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drawings/drawing1.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workbookProtection workbookPassword="CBE0" lockStructure="1"/>
  <bookViews>
    <workbookView xWindow="240" yWindow="75" windowWidth="15480" windowHeight="7995"/>
  </bookViews>
  <sheets>
    <sheet name="Instructions" sheetId="4" r:id="rId1"/>
    <sheet name="Service Data" sheetId="1" r:id="rId2"/>
    <sheet name="User Data" sheetId="3" r:id="rId3"/>
    <sheet name="Outcomes Star" sheetId="10" r:id="rId4"/>
    <sheet name="Lists" sheetId="5" state="hidden" r:id="rId5"/>
  </sheets>
  <definedNames>
    <definedName name="_xlnm.Print_Area" localSheetId="3">'Outcomes Star'!$B$2:$F$44</definedName>
    <definedName name="_xlnm.Print_Area" localSheetId="1">'Service Data'!$B$2:$J$57</definedName>
    <definedName name="_xlnm.Print_Area" localSheetId="2">Table1[#All]</definedName>
  </definedNames>
  <calcPr calcId="145621"/>
</workbook>
</file>

<file path=xl/calcChain.xml><?xml version="1.0" encoding="utf-8"?>
<calcChain xmlns="http://schemas.openxmlformats.org/spreadsheetml/2006/main">
  <c r="CR4" i="3" l="1"/>
  <c r="CS4" i="3"/>
  <c r="CT4" i="3"/>
  <c r="CU4" i="3"/>
  <c r="CV4" i="3"/>
  <c r="CW4" i="3"/>
  <c r="CX4" i="3"/>
  <c r="CY4" i="3"/>
  <c r="CZ4" i="3"/>
  <c r="DA4" i="3"/>
  <c r="DB4" i="3"/>
  <c r="DC4" i="3"/>
  <c r="DD4" i="3"/>
  <c r="DE4" i="3"/>
  <c r="DF4" i="3"/>
  <c r="DG4" i="3"/>
  <c r="CR5" i="3"/>
  <c r="CS5" i="3"/>
  <c r="CT5" i="3"/>
  <c r="CU5" i="3"/>
  <c r="CV5" i="3"/>
  <c r="CW5" i="3"/>
  <c r="CX5" i="3"/>
  <c r="CY5" i="3"/>
  <c r="CZ5" i="3"/>
  <c r="DA5" i="3"/>
  <c r="DB5" i="3"/>
  <c r="DC5" i="3"/>
  <c r="DD5" i="3"/>
  <c r="DE5" i="3"/>
  <c r="DF5" i="3"/>
  <c r="DG5" i="3"/>
  <c r="CR6" i="3"/>
  <c r="CS6" i="3"/>
  <c r="CT6" i="3"/>
  <c r="CU6" i="3"/>
  <c r="CV6" i="3"/>
  <c r="CW6" i="3"/>
  <c r="CX6" i="3"/>
  <c r="CY6" i="3"/>
  <c r="CZ6" i="3"/>
  <c r="DA6" i="3"/>
  <c r="DB6" i="3"/>
  <c r="DC6" i="3"/>
  <c r="DD6" i="3"/>
  <c r="DE6" i="3"/>
  <c r="DF6" i="3"/>
  <c r="DG6" i="3"/>
  <c r="CR7" i="3"/>
  <c r="CS7" i="3"/>
  <c r="CT7" i="3"/>
  <c r="CU7" i="3"/>
  <c r="CV7" i="3"/>
  <c r="CW7" i="3"/>
  <c r="CX7" i="3"/>
  <c r="CY7" i="3"/>
  <c r="CZ7" i="3"/>
  <c r="DA7" i="3"/>
  <c r="DB7" i="3"/>
  <c r="DC7" i="3"/>
  <c r="DD7" i="3"/>
  <c r="DE7" i="3"/>
  <c r="DF7" i="3"/>
  <c r="DG7" i="3"/>
  <c r="CR8" i="3"/>
  <c r="CS8" i="3"/>
  <c r="CT8" i="3"/>
  <c r="CU8" i="3"/>
  <c r="CV8" i="3"/>
  <c r="CW8" i="3"/>
  <c r="CX8" i="3"/>
  <c r="CY8" i="3"/>
  <c r="CZ8" i="3"/>
  <c r="DA8" i="3"/>
  <c r="DB8" i="3"/>
  <c r="DC8" i="3"/>
  <c r="DD8" i="3"/>
  <c r="DE8" i="3"/>
  <c r="DF8" i="3"/>
  <c r="DG8" i="3"/>
  <c r="CR9" i="3"/>
  <c r="CS9" i="3"/>
  <c r="CT9" i="3"/>
  <c r="CU9" i="3"/>
  <c r="CV9" i="3"/>
  <c r="CW9" i="3"/>
  <c r="CX9" i="3"/>
  <c r="CY9" i="3"/>
  <c r="CZ9" i="3"/>
  <c r="DA9" i="3"/>
  <c r="DB9" i="3"/>
  <c r="DC9" i="3"/>
  <c r="DD9" i="3"/>
  <c r="DE9" i="3"/>
  <c r="DF9" i="3"/>
  <c r="DG9" i="3"/>
  <c r="CR10" i="3"/>
  <c r="CS10" i="3"/>
  <c r="CT10" i="3"/>
  <c r="CU10" i="3"/>
  <c r="CV10" i="3"/>
  <c r="CW10" i="3"/>
  <c r="CX10" i="3"/>
  <c r="CY10" i="3"/>
  <c r="CZ10" i="3"/>
  <c r="DA10" i="3"/>
  <c r="DB10" i="3"/>
  <c r="DC10" i="3"/>
  <c r="DD10" i="3"/>
  <c r="DE10" i="3"/>
  <c r="DF10" i="3"/>
  <c r="DG10" i="3"/>
  <c r="CR11" i="3"/>
  <c r="CS11" i="3"/>
  <c r="CT11" i="3"/>
  <c r="CU11" i="3"/>
  <c r="CV11" i="3"/>
  <c r="CW11" i="3"/>
  <c r="CX11" i="3"/>
  <c r="CY11" i="3"/>
  <c r="CZ11" i="3"/>
  <c r="DA11" i="3"/>
  <c r="DB11" i="3"/>
  <c r="DC11" i="3"/>
  <c r="DD11" i="3"/>
  <c r="DE11" i="3"/>
  <c r="DF11" i="3"/>
  <c r="DG11" i="3"/>
  <c r="CR12" i="3"/>
  <c r="CS12" i="3"/>
  <c r="CT12" i="3"/>
  <c r="CU12" i="3"/>
  <c r="CV12" i="3"/>
  <c r="CW12" i="3"/>
  <c r="CX12" i="3"/>
  <c r="CY12" i="3"/>
  <c r="CZ12" i="3"/>
  <c r="DA12" i="3"/>
  <c r="DB12" i="3"/>
  <c r="DC12" i="3"/>
  <c r="DD12" i="3"/>
  <c r="DE12" i="3"/>
  <c r="DF12" i="3"/>
  <c r="DG12" i="3"/>
  <c r="CR13" i="3"/>
  <c r="CS13" i="3"/>
  <c r="CT13" i="3"/>
  <c r="CU13" i="3"/>
  <c r="CV13" i="3"/>
  <c r="CW13" i="3"/>
  <c r="CX13" i="3"/>
  <c r="CY13" i="3"/>
  <c r="CZ13" i="3"/>
  <c r="DA13" i="3"/>
  <c r="DB13" i="3"/>
  <c r="DC13" i="3"/>
  <c r="DD13" i="3"/>
  <c r="DE13" i="3"/>
  <c r="DF13" i="3"/>
  <c r="DG13" i="3"/>
  <c r="CR14" i="3"/>
  <c r="CS14" i="3"/>
  <c r="CT14" i="3"/>
  <c r="CU14" i="3"/>
  <c r="CV14" i="3"/>
  <c r="CW14" i="3"/>
  <c r="CX14" i="3"/>
  <c r="CY14" i="3"/>
  <c r="CZ14" i="3"/>
  <c r="DA14" i="3"/>
  <c r="DB14" i="3"/>
  <c r="DC14" i="3"/>
  <c r="DD14" i="3"/>
  <c r="DE14" i="3"/>
  <c r="DF14" i="3"/>
  <c r="DG14" i="3"/>
  <c r="CR15" i="3"/>
  <c r="CS15" i="3"/>
  <c r="CT15" i="3"/>
  <c r="CU15" i="3"/>
  <c r="CV15" i="3"/>
  <c r="CW15" i="3"/>
  <c r="CX15" i="3"/>
  <c r="CY15" i="3"/>
  <c r="CZ15" i="3"/>
  <c r="DA15" i="3"/>
  <c r="DB15" i="3"/>
  <c r="DC15" i="3"/>
  <c r="DD15" i="3"/>
  <c r="DE15" i="3"/>
  <c r="DF15" i="3"/>
  <c r="DG15" i="3"/>
  <c r="CR16" i="3"/>
  <c r="CS16" i="3"/>
  <c r="CT16" i="3"/>
  <c r="CU16" i="3"/>
  <c r="CV16" i="3"/>
  <c r="CW16" i="3"/>
  <c r="CX16" i="3"/>
  <c r="CY16" i="3"/>
  <c r="CZ16" i="3"/>
  <c r="DA16" i="3"/>
  <c r="DB16" i="3"/>
  <c r="DC16" i="3"/>
  <c r="DD16" i="3"/>
  <c r="DE16" i="3"/>
  <c r="DF16" i="3"/>
  <c r="DG16" i="3"/>
  <c r="CR17" i="3"/>
  <c r="CS17" i="3"/>
  <c r="CT17" i="3"/>
  <c r="CU17" i="3"/>
  <c r="CV17" i="3"/>
  <c r="CW17" i="3"/>
  <c r="CX17" i="3"/>
  <c r="CY17" i="3"/>
  <c r="CZ17" i="3"/>
  <c r="DA17" i="3"/>
  <c r="DB17" i="3"/>
  <c r="DC17" i="3"/>
  <c r="DD17" i="3"/>
  <c r="DE17" i="3"/>
  <c r="DF17" i="3"/>
  <c r="DG17" i="3"/>
  <c r="CR18" i="3"/>
  <c r="CS18" i="3"/>
  <c r="CT18" i="3"/>
  <c r="CU18" i="3"/>
  <c r="CV18" i="3"/>
  <c r="CW18" i="3"/>
  <c r="CX18" i="3"/>
  <c r="CY18" i="3"/>
  <c r="CZ18" i="3"/>
  <c r="DA18" i="3"/>
  <c r="DB18" i="3"/>
  <c r="DC18" i="3"/>
  <c r="DD18" i="3"/>
  <c r="DE18" i="3"/>
  <c r="DF18" i="3"/>
  <c r="DG18" i="3"/>
  <c r="CR19" i="3"/>
  <c r="CS19" i="3"/>
  <c r="CT19" i="3"/>
  <c r="CU19" i="3"/>
  <c r="CV19" i="3"/>
  <c r="CW19" i="3"/>
  <c r="CX19" i="3"/>
  <c r="CY19" i="3"/>
  <c r="CZ19" i="3"/>
  <c r="DA19" i="3"/>
  <c r="DB19" i="3"/>
  <c r="DC19" i="3"/>
  <c r="DD19" i="3"/>
  <c r="DE19" i="3"/>
  <c r="DF19" i="3"/>
  <c r="DG19" i="3"/>
  <c r="CR20" i="3"/>
  <c r="CS20" i="3"/>
  <c r="CT20" i="3"/>
  <c r="CU20" i="3"/>
  <c r="CV20" i="3"/>
  <c r="CW20" i="3"/>
  <c r="CX20" i="3"/>
  <c r="CY20" i="3"/>
  <c r="CZ20" i="3"/>
  <c r="DA20" i="3"/>
  <c r="DB20" i="3"/>
  <c r="DC20" i="3"/>
  <c r="DD20" i="3"/>
  <c r="DE20" i="3"/>
  <c r="DF20" i="3"/>
  <c r="DG20" i="3"/>
  <c r="CR21" i="3"/>
  <c r="CS21" i="3"/>
  <c r="CT21" i="3"/>
  <c r="CU21" i="3"/>
  <c r="CV21" i="3"/>
  <c r="CW21" i="3"/>
  <c r="CX21" i="3"/>
  <c r="CY21" i="3"/>
  <c r="CZ21" i="3"/>
  <c r="DA21" i="3"/>
  <c r="DB21" i="3"/>
  <c r="DC21" i="3"/>
  <c r="DD21" i="3"/>
  <c r="DE21" i="3"/>
  <c r="DF21" i="3"/>
  <c r="DG21" i="3"/>
  <c r="CR22" i="3"/>
  <c r="CS22" i="3"/>
  <c r="CT22" i="3"/>
  <c r="CU22" i="3"/>
  <c r="CV22" i="3"/>
  <c r="CW22" i="3"/>
  <c r="CX22" i="3"/>
  <c r="CY22" i="3"/>
  <c r="CZ22" i="3"/>
  <c r="DA22" i="3"/>
  <c r="DB22" i="3"/>
  <c r="DC22" i="3"/>
  <c r="DD22" i="3"/>
  <c r="DE22" i="3"/>
  <c r="DF22" i="3"/>
  <c r="DG22" i="3"/>
  <c r="CR23" i="3"/>
  <c r="CS23" i="3"/>
  <c r="CT23" i="3"/>
  <c r="CU23" i="3"/>
  <c r="CV23" i="3"/>
  <c r="CW23" i="3"/>
  <c r="CX23" i="3"/>
  <c r="CY23" i="3"/>
  <c r="CZ23" i="3"/>
  <c r="DA23" i="3"/>
  <c r="DB23" i="3"/>
  <c r="DC23" i="3"/>
  <c r="DD23" i="3"/>
  <c r="DE23" i="3"/>
  <c r="DF23" i="3"/>
  <c r="DG23" i="3"/>
  <c r="CR24" i="3"/>
  <c r="CS24" i="3"/>
  <c r="CT24" i="3"/>
  <c r="CU24" i="3"/>
  <c r="CV24" i="3"/>
  <c r="CW24" i="3"/>
  <c r="CX24" i="3"/>
  <c r="CY24" i="3"/>
  <c r="CZ24" i="3"/>
  <c r="DA24" i="3"/>
  <c r="DB24" i="3"/>
  <c r="DC24" i="3"/>
  <c r="DD24" i="3"/>
  <c r="DE24" i="3"/>
  <c r="DF24" i="3"/>
  <c r="DG24" i="3"/>
  <c r="CR25" i="3"/>
  <c r="CS25" i="3"/>
  <c r="CT25" i="3"/>
  <c r="CU25" i="3"/>
  <c r="CV25" i="3"/>
  <c r="CW25" i="3"/>
  <c r="CX25" i="3"/>
  <c r="CY25" i="3"/>
  <c r="CZ25" i="3"/>
  <c r="DA25" i="3"/>
  <c r="DB25" i="3"/>
  <c r="DC25" i="3"/>
  <c r="DD25" i="3"/>
  <c r="DE25" i="3"/>
  <c r="DF25" i="3"/>
  <c r="DG25" i="3"/>
  <c r="CR26" i="3"/>
  <c r="CS26" i="3"/>
  <c r="CT26" i="3"/>
  <c r="CU26" i="3"/>
  <c r="CV26" i="3"/>
  <c r="CW26" i="3"/>
  <c r="CX26" i="3"/>
  <c r="CY26" i="3"/>
  <c r="CZ26" i="3"/>
  <c r="DA26" i="3"/>
  <c r="DB26" i="3"/>
  <c r="DC26" i="3"/>
  <c r="DD26" i="3"/>
  <c r="DE26" i="3"/>
  <c r="DF26" i="3"/>
  <c r="DG26" i="3"/>
  <c r="CR27" i="3"/>
  <c r="CS27" i="3"/>
  <c r="CT27" i="3"/>
  <c r="CU27" i="3"/>
  <c r="CV27" i="3"/>
  <c r="CW27" i="3"/>
  <c r="CX27" i="3"/>
  <c r="CY27" i="3"/>
  <c r="CZ27" i="3"/>
  <c r="DA27" i="3"/>
  <c r="DB27" i="3"/>
  <c r="DC27" i="3"/>
  <c r="DD27" i="3"/>
  <c r="DE27" i="3"/>
  <c r="DF27" i="3"/>
  <c r="DG27" i="3"/>
  <c r="CR28" i="3"/>
  <c r="CS28" i="3"/>
  <c r="CT28" i="3"/>
  <c r="CU28" i="3"/>
  <c r="CV28" i="3"/>
  <c r="CW28" i="3"/>
  <c r="CX28" i="3"/>
  <c r="CY28" i="3"/>
  <c r="CZ28" i="3"/>
  <c r="DA28" i="3"/>
  <c r="DB28" i="3"/>
  <c r="DC28" i="3"/>
  <c r="DD28" i="3"/>
  <c r="DE28" i="3"/>
  <c r="DF28" i="3"/>
  <c r="DG28" i="3"/>
  <c r="CR29" i="3"/>
  <c r="CS29" i="3"/>
  <c r="CT29" i="3"/>
  <c r="CU29" i="3"/>
  <c r="CV29" i="3"/>
  <c r="CW29" i="3"/>
  <c r="CX29" i="3"/>
  <c r="CY29" i="3"/>
  <c r="CZ29" i="3"/>
  <c r="DA29" i="3"/>
  <c r="DB29" i="3"/>
  <c r="DC29" i="3"/>
  <c r="DD29" i="3"/>
  <c r="DE29" i="3"/>
  <c r="DF29" i="3"/>
  <c r="DG29" i="3"/>
  <c r="CR30" i="3"/>
  <c r="CS30" i="3"/>
  <c r="CT30" i="3"/>
  <c r="CU30" i="3"/>
  <c r="CV30" i="3"/>
  <c r="CW30" i="3"/>
  <c r="CX30" i="3"/>
  <c r="CY30" i="3"/>
  <c r="CZ30" i="3"/>
  <c r="DA30" i="3"/>
  <c r="DB30" i="3"/>
  <c r="DC30" i="3"/>
  <c r="DD30" i="3"/>
  <c r="DE30" i="3"/>
  <c r="DF30" i="3"/>
  <c r="DG30" i="3"/>
  <c r="CR31" i="3"/>
  <c r="CS31" i="3"/>
  <c r="CT31" i="3"/>
  <c r="CU31" i="3"/>
  <c r="CV31" i="3"/>
  <c r="CW31" i="3"/>
  <c r="CX31" i="3"/>
  <c r="CY31" i="3"/>
  <c r="CZ31" i="3"/>
  <c r="DA31" i="3"/>
  <c r="DB31" i="3"/>
  <c r="DC31" i="3"/>
  <c r="DD31" i="3"/>
  <c r="DE31" i="3"/>
  <c r="DF31" i="3"/>
  <c r="DG31" i="3"/>
  <c r="CR32" i="3"/>
  <c r="CS32" i="3"/>
  <c r="CT32" i="3"/>
  <c r="CU32" i="3"/>
  <c r="CV32" i="3"/>
  <c r="CW32" i="3"/>
  <c r="CX32" i="3"/>
  <c r="CY32" i="3"/>
  <c r="CZ32" i="3"/>
  <c r="DA32" i="3"/>
  <c r="DB32" i="3"/>
  <c r="DC32" i="3"/>
  <c r="DD32" i="3"/>
  <c r="DE32" i="3"/>
  <c r="DF32" i="3"/>
  <c r="DG32" i="3"/>
  <c r="CR33" i="3"/>
  <c r="CS33" i="3"/>
  <c r="CT33" i="3"/>
  <c r="CU33" i="3"/>
  <c r="CV33" i="3"/>
  <c r="CW33" i="3"/>
  <c r="CX33" i="3"/>
  <c r="CY33" i="3"/>
  <c r="CZ33" i="3"/>
  <c r="DA33" i="3"/>
  <c r="DB33" i="3"/>
  <c r="DC33" i="3"/>
  <c r="DD33" i="3"/>
  <c r="DE33" i="3"/>
  <c r="DF33" i="3"/>
  <c r="DG33" i="3"/>
  <c r="CR34" i="3"/>
  <c r="CS34" i="3"/>
  <c r="CT34" i="3"/>
  <c r="CU34" i="3"/>
  <c r="CV34" i="3"/>
  <c r="CW34" i="3"/>
  <c r="CX34" i="3"/>
  <c r="CY34" i="3"/>
  <c r="CZ34" i="3"/>
  <c r="DA34" i="3"/>
  <c r="DB34" i="3"/>
  <c r="DC34" i="3"/>
  <c r="DD34" i="3"/>
  <c r="DE34" i="3"/>
  <c r="DF34" i="3"/>
  <c r="DG34" i="3"/>
  <c r="CR35" i="3"/>
  <c r="CS35" i="3"/>
  <c r="CT35" i="3"/>
  <c r="CU35" i="3"/>
  <c r="CV35" i="3"/>
  <c r="CW35" i="3"/>
  <c r="CX35" i="3"/>
  <c r="CY35" i="3"/>
  <c r="CZ35" i="3"/>
  <c r="DA35" i="3"/>
  <c r="DB35" i="3"/>
  <c r="DC35" i="3"/>
  <c r="DD35" i="3"/>
  <c r="DE35" i="3"/>
  <c r="DF35" i="3"/>
  <c r="DG35" i="3"/>
  <c r="CR36" i="3"/>
  <c r="CS36" i="3"/>
  <c r="CT36" i="3"/>
  <c r="CU36" i="3"/>
  <c r="CV36" i="3"/>
  <c r="CW36" i="3"/>
  <c r="CX36" i="3"/>
  <c r="CY36" i="3"/>
  <c r="CZ36" i="3"/>
  <c r="DA36" i="3"/>
  <c r="DB36" i="3"/>
  <c r="DC36" i="3"/>
  <c r="DD36" i="3"/>
  <c r="DE36" i="3"/>
  <c r="DF36" i="3"/>
  <c r="DG36" i="3"/>
  <c r="CR37" i="3"/>
  <c r="CS37" i="3"/>
  <c r="CT37" i="3"/>
  <c r="CU37" i="3"/>
  <c r="CV37" i="3"/>
  <c r="CW37" i="3"/>
  <c r="CX37" i="3"/>
  <c r="CY37" i="3"/>
  <c r="CZ37" i="3"/>
  <c r="DA37" i="3"/>
  <c r="DB37" i="3"/>
  <c r="DC37" i="3"/>
  <c r="DD37" i="3"/>
  <c r="DE37" i="3"/>
  <c r="DF37" i="3"/>
  <c r="DG37" i="3"/>
  <c r="CR38" i="3"/>
  <c r="CS38" i="3"/>
  <c r="CT38" i="3"/>
  <c r="CU38" i="3"/>
  <c r="CV38" i="3"/>
  <c r="CW38" i="3"/>
  <c r="CX38" i="3"/>
  <c r="CY38" i="3"/>
  <c r="CZ38" i="3"/>
  <c r="DA38" i="3"/>
  <c r="DB38" i="3"/>
  <c r="DC38" i="3"/>
  <c r="DD38" i="3"/>
  <c r="DE38" i="3"/>
  <c r="DF38" i="3"/>
  <c r="DG38" i="3"/>
  <c r="CR39" i="3"/>
  <c r="CS39" i="3"/>
  <c r="CT39" i="3"/>
  <c r="CU39" i="3"/>
  <c r="CV39" i="3"/>
  <c r="CW39" i="3"/>
  <c r="CX39" i="3"/>
  <c r="CY39" i="3"/>
  <c r="CZ39" i="3"/>
  <c r="DA39" i="3"/>
  <c r="DB39" i="3"/>
  <c r="DC39" i="3"/>
  <c r="DD39" i="3"/>
  <c r="DE39" i="3"/>
  <c r="DF39" i="3"/>
  <c r="DG39" i="3"/>
  <c r="CR40" i="3"/>
  <c r="CS40" i="3"/>
  <c r="CT40" i="3"/>
  <c r="CU40" i="3"/>
  <c r="CV40" i="3"/>
  <c r="CW40" i="3"/>
  <c r="CX40" i="3"/>
  <c r="CY40" i="3"/>
  <c r="CZ40" i="3"/>
  <c r="DA40" i="3"/>
  <c r="DB40" i="3"/>
  <c r="DC40" i="3"/>
  <c r="DD40" i="3"/>
  <c r="DE40" i="3"/>
  <c r="DF40" i="3"/>
  <c r="DG40" i="3"/>
  <c r="CR41" i="3"/>
  <c r="CS41" i="3"/>
  <c r="CT41" i="3"/>
  <c r="CU41" i="3"/>
  <c r="CV41" i="3"/>
  <c r="CW41" i="3"/>
  <c r="CX41" i="3"/>
  <c r="CY41" i="3"/>
  <c r="CZ41" i="3"/>
  <c r="DA41" i="3"/>
  <c r="DB41" i="3"/>
  <c r="DC41" i="3"/>
  <c r="DD41" i="3"/>
  <c r="DE41" i="3"/>
  <c r="DF41" i="3"/>
  <c r="DG41" i="3"/>
  <c r="CR42" i="3"/>
  <c r="CS42" i="3"/>
  <c r="CT42" i="3"/>
  <c r="CU42" i="3"/>
  <c r="CV42" i="3"/>
  <c r="CW42" i="3"/>
  <c r="CX42" i="3"/>
  <c r="CY42" i="3"/>
  <c r="CZ42" i="3"/>
  <c r="DA42" i="3"/>
  <c r="DB42" i="3"/>
  <c r="DC42" i="3"/>
  <c r="DD42" i="3"/>
  <c r="DE42" i="3"/>
  <c r="DF42" i="3"/>
  <c r="DG42" i="3"/>
  <c r="CR43" i="3"/>
  <c r="CS43" i="3"/>
  <c r="CT43" i="3"/>
  <c r="CU43" i="3"/>
  <c r="CV43" i="3"/>
  <c r="CW43" i="3"/>
  <c r="CX43" i="3"/>
  <c r="CY43" i="3"/>
  <c r="CZ43" i="3"/>
  <c r="DA43" i="3"/>
  <c r="DB43" i="3"/>
  <c r="DC43" i="3"/>
  <c r="DD43" i="3"/>
  <c r="DE43" i="3"/>
  <c r="DF43" i="3"/>
  <c r="DG43" i="3"/>
  <c r="CR44" i="3"/>
  <c r="CS44" i="3"/>
  <c r="CT44" i="3"/>
  <c r="CU44" i="3"/>
  <c r="CV44" i="3"/>
  <c r="CW44" i="3"/>
  <c r="CX44" i="3"/>
  <c r="CY44" i="3"/>
  <c r="CZ44" i="3"/>
  <c r="DA44" i="3"/>
  <c r="DB44" i="3"/>
  <c r="DC44" i="3"/>
  <c r="DD44" i="3"/>
  <c r="DE44" i="3"/>
  <c r="DF44" i="3"/>
  <c r="DG44" i="3"/>
  <c r="CR45" i="3"/>
  <c r="CS45" i="3"/>
  <c r="CT45" i="3"/>
  <c r="CU45" i="3"/>
  <c r="CV45" i="3"/>
  <c r="CW45" i="3"/>
  <c r="CX45" i="3"/>
  <c r="CY45" i="3"/>
  <c r="CZ45" i="3"/>
  <c r="DA45" i="3"/>
  <c r="DB45" i="3"/>
  <c r="DC45" i="3"/>
  <c r="DD45" i="3"/>
  <c r="DE45" i="3"/>
  <c r="DF45" i="3"/>
  <c r="DG45" i="3"/>
  <c r="CR46" i="3"/>
  <c r="CS46" i="3"/>
  <c r="CT46" i="3"/>
  <c r="CU46" i="3"/>
  <c r="CV46" i="3"/>
  <c r="CW46" i="3"/>
  <c r="CX46" i="3"/>
  <c r="CY46" i="3"/>
  <c r="CZ46" i="3"/>
  <c r="DA46" i="3"/>
  <c r="DB46" i="3"/>
  <c r="DC46" i="3"/>
  <c r="DD46" i="3"/>
  <c r="DE46" i="3"/>
  <c r="DF46" i="3"/>
  <c r="DG46" i="3"/>
  <c r="CR47" i="3"/>
  <c r="CS47" i="3"/>
  <c r="CT47" i="3"/>
  <c r="CU47" i="3"/>
  <c r="CV47" i="3"/>
  <c r="CW47" i="3"/>
  <c r="CX47" i="3"/>
  <c r="CY47" i="3"/>
  <c r="CZ47" i="3"/>
  <c r="DA47" i="3"/>
  <c r="DB47" i="3"/>
  <c r="DC47" i="3"/>
  <c r="DD47" i="3"/>
  <c r="DE47" i="3"/>
  <c r="DF47" i="3"/>
  <c r="DG47" i="3"/>
  <c r="CR48" i="3"/>
  <c r="CS48" i="3"/>
  <c r="CT48" i="3"/>
  <c r="CU48" i="3"/>
  <c r="CV48" i="3"/>
  <c r="CW48" i="3"/>
  <c r="CX48" i="3"/>
  <c r="CY48" i="3"/>
  <c r="CZ48" i="3"/>
  <c r="DA48" i="3"/>
  <c r="DB48" i="3"/>
  <c r="DC48" i="3"/>
  <c r="DD48" i="3"/>
  <c r="DE48" i="3"/>
  <c r="DF48" i="3"/>
  <c r="DG48" i="3"/>
  <c r="CR49" i="3"/>
  <c r="CS49" i="3"/>
  <c r="CT49" i="3"/>
  <c r="CU49" i="3"/>
  <c r="CV49" i="3"/>
  <c r="CW49" i="3"/>
  <c r="CX49" i="3"/>
  <c r="CY49" i="3"/>
  <c r="CZ49" i="3"/>
  <c r="DA49" i="3"/>
  <c r="DB49" i="3"/>
  <c r="DC49" i="3"/>
  <c r="DD49" i="3"/>
  <c r="DE49" i="3"/>
  <c r="DF49" i="3"/>
  <c r="DG49" i="3"/>
  <c r="CR50" i="3"/>
  <c r="CS50" i="3"/>
  <c r="CT50" i="3"/>
  <c r="CU50" i="3"/>
  <c r="CV50" i="3"/>
  <c r="CW50" i="3"/>
  <c r="CX50" i="3"/>
  <c r="CY50" i="3"/>
  <c r="CZ50" i="3"/>
  <c r="DA50" i="3"/>
  <c r="DB50" i="3"/>
  <c r="DC50" i="3"/>
  <c r="DD50" i="3"/>
  <c r="DE50" i="3"/>
  <c r="DF50" i="3"/>
  <c r="DG50" i="3"/>
  <c r="CR51" i="3"/>
  <c r="CS51" i="3"/>
  <c r="CT51" i="3"/>
  <c r="CU51" i="3"/>
  <c r="CV51" i="3"/>
  <c r="CW51" i="3"/>
  <c r="CX51" i="3"/>
  <c r="CY51" i="3"/>
  <c r="CZ51" i="3"/>
  <c r="DA51" i="3"/>
  <c r="DB51" i="3"/>
  <c r="DC51" i="3"/>
  <c r="DD51" i="3"/>
  <c r="DE51" i="3"/>
  <c r="DF51" i="3"/>
  <c r="DG51" i="3"/>
  <c r="CR52" i="3"/>
  <c r="CS52" i="3"/>
  <c r="CT52" i="3"/>
  <c r="CU52" i="3"/>
  <c r="CV52" i="3"/>
  <c r="CW52" i="3"/>
  <c r="CX52" i="3"/>
  <c r="CY52" i="3"/>
  <c r="CZ52" i="3"/>
  <c r="DA52" i="3"/>
  <c r="DB52" i="3"/>
  <c r="DC52" i="3"/>
  <c r="DD52" i="3"/>
  <c r="DE52" i="3"/>
  <c r="DF52" i="3"/>
  <c r="DG52" i="3"/>
  <c r="CR53" i="3"/>
  <c r="CS53" i="3"/>
  <c r="CT53" i="3"/>
  <c r="CU53" i="3"/>
  <c r="CV53" i="3"/>
  <c r="CW53" i="3"/>
  <c r="CX53" i="3"/>
  <c r="CY53" i="3"/>
  <c r="CZ53" i="3"/>
  <c r="DA53" i="3"/>
  <c r="DB53" i="3"/>
  <c r="DC53" i="3"/>
  <c r="DD53" i="3"/>
  <c r="DE53" i="3"/>
  <c r="DF53" i="3"/>
  <c r="DG53" i="3"/>
  <c r="CR54" i="3"/>
  <c r="CS54" i="3"/>
  <c r="CT54" i="3"/>
  <c r="CU54" i="3"/>
  <c r="CV54" i="3"/>
  <c r="CW54" i="3"/>
  <c r="CX54" i="3"/>
  <c r="CY54" i="3"/>
  <c r="CZ54" i="3"/>
  <c r="DA54" i="3"/>
  <c r="DB54" i="3"/>
  <c r="DC54" i="3"/>
  <c r="DD54" i="3"/>
  <c r="DE54" i="3"/>
  <c r="DF54" i="3"/>
  <c r="DG54" i="3"/>
  <c r="CR55" i="3"/>
  <c r="CS55" i="3"/>
  <c r="CT55" i="3"/>
  <c r="CU55" i="3"/>
  <c r="CV55" i="3"/>
  <c r="CW55" i="3"/>
  <c r="CX55" i="3"/>
  <c r="CY55" i="3"/>
  <c r="CZ55" i="3"/>
  <c r="DA55" i="3"/>
  <c r="DB55" i="3"/>
  <c r="DC55" i="3"/>
  <c r="DD55" i="3"/>
  <c r="DE55" i="3"/>
  <c r="DF55" i="3"/>
  <c r="DG55" i="3"/>
  <c r="CR56" i="3"/>
  <c r="CS56" i="3"/>
  <c r="CT56" i="3"/>
  <c r="CU56" i="3"/>
  <c r="CV56" i="3"/>
  <c r="CW56" i="3"/>
  <c r="CX56" i="3"/>
  <c r="CY56" i="3"/>
  <c r="CZ56" i="3"/>
  <c r="DA56" i="3"/>
  <c r="DB56" i="3"/>
  <c r="DC56" i="3"/>
  <c r="DD56" i="3"/>
  <c r="DE56" i="3"/>
  <c r="DF56" i="3"/>
  <c r="DG56" i="3"/>
  <c r="CR57" i="3"/>
  <c r="CS57" i="3"/>
  <c r="CT57" i="3"/>
  <c r="CU57" i="3"/>
  <c r="CV57" i="3"/>
  <c r="CW57" i="3"/>
  <c r="CX57" i="3"/>
  <c r="CY57" i="3"/>
  <c r="CZ57" i="3"/>
  <c r="DA57" i="3"/>
  <c r="DB57" i="3"/>
  <c r="DC57" i="3"/>
  <c r="DD57" i="3"/>
  <c r="DE57" i="3"/>
  <c r="DF57" i="3"/>
  <c r="DG57" i="3"/>
  <c r="CR58" i="3"/>
  <c r="CS58" i="3"/>
  <c r="CT58" i="3"/>
  <c r="CU58" i="3"/>
  <c r="CV58" i="3"/>
  <c r="CW58" i="3"/>
  <c r="CX58" i="3"/>
  <c r="CY58" i="3"/>
  <c r="CZ58" i="3"/>
  <c r="DA58" i="3"/>
  <c r="DB58" i="3"/>
  <c r="DC58" i="3"/>
  <c r="DD58" i="3"/>
  <c r="DE58" i="3"/>
  <c r="DF58" i="3"/>
  <c r="DG58" i="3"/>
  <c r="CR59" i="3"/>
  <c r="CS59" i="3"/>
  <c r="CT59" i="3"/>
  <c r="CU59" i="3"/>
  <c r="CV59" i="3"/>
  <c r="CW59" i="3"/>
  <c r="CX59" i="3"/>
  <c r="CY59" i="3"/>
  <c r="CZ59" i="3"/>
  <c r="DA59" i="3"/>
  <c r="DB59" i="3"/>
  <c r="DC59" i="3"/>
  <c r="DD59" i="3"/>
  <c r="DE59" i="3"/>
  <c r="DF59" i="3"/>
  <c r="DG59" i="3"/>
  <c r="CR60" i="3"/>
  <c r="CS60" i="3"/>
  <c r="CT60" i="3"/>
  <c r="CU60" i="3"/>
  <c r="CV60" i="3"/>
  <c r="CW60" i="3"/>
  <c r="CX60" i="3"/>
  <c r="CY60" i="3"/>
  <c r="CZ60" i="3"/>
  <c r="DA60" i="3"/>
  <c r="DB60" i="3"/>
  <c r="DC60" i="3"/>
  <c r="DD60" i="3"/>
  <c r="DE60" i="3"/>
  <c r="DF60" i="3"/>
  <c r="DG60" i="3"/>
  <c r="CR61" i="3"/>
  <c r="CS61" i="3"/>
  <c r="CT61" i="3"/>
  <c r="CU61" i="3"/>
  <c r="CV61" i="3"/>
  <c r="CW61" i="3"/>
  <c r="CX61" i="3"/>
  <c r="CY61" i="3"/>
  <c r="CZ61" i="3"/>
  <c r="DA61" i="3"/>
  <c r="DB61" i="3"/>
  <c r="DC61" i="3"/>
  <c r="DD61" i="3"/>
  <c r="DE61" i="3"/>
  <c r="DF61" i="3"/>
  <c r="DG61" i="3"/>
  <c r="CR62" i="3"/>
  <c r="CS62" i="3"/>
  <c r="CT62" i="3"/>
  <c r="CU62" i="3"/>
  <c r="CV62" i="3"/>
  <c r="CW62" i="3"/>
  <c r="CX62" i="3"/>
  <c r="CY62" i="3"/>
  <c r="CZ62" i="3"/>
  <c r="DA62" i="3"/>
  <c r="DB62" i="3"/>
  <c r="DC62" i="3"/>
  <c r="DD62" i="3"/>
  <c r="DE62" i="3"/>
  <c r="DF62" i="3"/>
  <c r="DG62" i="3"/>
  <c r="CR63" i="3"/>
  <c r="CS63" i="3"/>
  <c r="CT63" i="3"/>
  <c r="CU63" i="3"/>
  <c r="CV63" i="3"/>
  <c r="CW63" i="3"/>
  <c r="CX63" i="3"/>
  <c r="CY63" i="3"/>
  <c r="CZ63" i="3"/>
  <c r="DA63" i="3"/>
  <c r="DB63" i="3"/>
  <c r="DC63" i="3"/>
  <c r="DD63" i="3"/>
  <c r="DE63" i="3"/>
  <c r="DF63" i="3"/>
  <c r="DG63" i="3"/>
  <c r="CR64" i="3"/>
  <c r="CS64" i="3"/>
  <c r="CT64" i="3"/>
  <c r="CU64" i="3"/>
  <c r="CV64" i="3"/>
  <c r="CW64" i="3"/>
  <c r="CX64" i="3"/>
  <c r="CY64" i="3"/>
  <c r="CZ64" i="3"/>
  <c r="DA64" i="3"/>
  <c r="DB64" i="3"/>
  <c r="DC64" i="3"/>
  <c r="DD64" i="3"/>
  <c r="DE64" i="3"/>
  <c r="DF64" i="3"/>
  <c r="DG64" i="3"/>
  <c r="CR65" i="3"/>
  <c r="CS65" i="3"/>
  <c r="CT65" i="3"/>
  <c r="CU65" i="3"/>
  <c r="CV65" i="3"/>
  <c r="CW65" i="3"/>
  <c r="CX65" i="3"/>
  <c r="CY65" i="3"/>
  <c r="CZ65" i="3"/>
  <c r="DA65" i="3"/>
  <c r="DB65" i="3"/>
  <c r="DC65" i="3"/>
  <c r="DD65" i="3"/>
  <c r="DE65" i="3"/>
  <c r="DF65" i="3"/>
  <c r="DG65" i="3"/>
  <c r="CR66" i="3"/>
  <c r="CS66" i="3"/>
  <c r="CT66" i="3"/>
  <c r="CU66" i="3"/>
  <c r="CV66" i="3"/>
  <c r="CW66" i="3"/>
  <c r="CX66" i="3"/>
  <c r="CY66" i="3"/>
  <c r="CZ66" i="3"/>
  <c r="DA66" i="3"/>
  <c r="DB66" i="3"/>
  <c r="DC66" i="3"/>
  <c r="DD66" i="3"/>
  <c r="DE66" i="3"/>
  <c r="DF66" i="3"/>
  <c r="DG66" i="3"/>
  <c r="CR67" i="3"/>
  <c r="CS67" i="3"/>
  <c r="CT67" i="3"/>
  <c r="CU67" i="3"/>
  <c r="CV67" i="3"/>
  <c r="CW67" i="3"/>
  <c r="CX67" i="3"/>
  <c r="CY67" i="3"/>
  <c r="CZ67" i="3"/>
  <c r="DA67" i="3"/>
  <c r="DB67" i="3"/>
  <c r="DC67" i="3"/>
  <c r="DD67" i="3"/>
  <c r="DE67" i="3"/>
  <c r="DF67" i="3"/>
  <c r="DG67" i="3"/>
  <c r="CR68" i="3"/>
  <c r="CS68" i="3"/>
  <c r="CT68" i="3"/>
  <c r="CU68" i="3"/>
  <c r="CV68" i="3"/>
  <c r="CW68" i="3"/>
  <c r="CX68" i="3"/>
  <c r="CY68" i="3"/>
  <c r="CZ68" i="3"/>
  <c r="DA68" i="3"/>
  <c r="DB68" i="3"/>
  <c r="DC68" i="3"/>
  <c r="DD68" i="3"/>
  <c r="DE68" i="3"/>
  <c r="DF68" i="3"/>
  <c r="DG68" i="3"/>
  <c r="CR69" i="3"/>
  <c r="CS69" i="3"/>
  <c r="CT69" i="3"/>
  <c r="CU69" i="3"/>
  <c r="CV69" i="3"/>
  <c r="CW69" i="3"/>
  <c r="CX69" i="3"/>
  <c r="CY69" i="3"/>
  <c r="CZ69" i="3"/>
  <c r="DA69" i="3"/>
  <c r="DB69" i="3"/>
  <c r="DC69" i="3"/>
  <c r="DD69" i="3"/>
  <c r="DE69" i="3"/>
  <c r="DF69" i="3"/>
  <c r="DG69" i="3"/>
  <c r="CR70" i="3"/>
  <c r="CS70" i="3"/>
  <c r="CT70" i="3"/>
  <c r="CU70" i="3"/>
  <c r="CV70" i="3"/>
  <c r="CW70" i="3"/>
  <c r="CX70" i="3"/>
  <c r="CY70" i="3"/>
  <c r="CZ70" i="3"/>
  <c r="DA70" i="3"/>
  <c r="DB70" i="3"/>
  <c r="DC70" i="3"/>
  <c r="DD70" i="3"/>
  <c r="DE70" i="3"/>
  <c r="DF70" i="3"/>
  <c r="DG70" i="3"/>
  <c r="CR71" i="3"/>
  <c r="CS71" i="3"/>
  <c r="CT71" i="3"/>
  <c r="CU71" i="3"/>
  <c r="CV71" i="3"/>
  <c r="CW71" i="3"/>
  <c r="CX71" i="3"/>
  <c r="CY71" i="3"/>
  <c r="CZ71" i="3"/>
  <c r="DA71" i="3"/>
  <c r="DB71" i="3"/>
  <c r="DC71" i="3"/>
  <c r="DD71" i="3"/>
  <c r="DE71" i="3"/>
  <c r="DF71" i="3"/>
  <c r="DG71" i="3"/>
  <c r="CR72" i="3"/>
  <c r="CS72" i="3"/>
  <c r="CT72" i="3"/>
  <c r="CU72" i="3"/>
  <c r="CV72" i="3"/>
  <c r="CW72" i="3"/>
  <c r="CX72" i="3"/>
  <c r="CY72" i="3"/>
  <c r="CZ72" i="3"/>
  <c r="DA72" i="3"/>
  <c r="DB72" i="3"/>
  <c r="DC72" i="3"/>
  <c r="DD72" i="3"/>
  <c r="DE72" i="3"/>
  <c r="DF72" i="3"/>
  <c r="DG72" i="3"/>
  <c r="CR73" i="3"/>
  <c r="CS73" i="3"/>
  <c r="CT73" i="3"/>
  <c r="CU73" i="3"/>
  <c r="CV73" i="3"/>
  <c r="CW73" i="3"/>
  <c r="CX73" i="3"/>
  <c r="CY73" i="3"/>
  <c r="CZ73" i="3"/>
  <c r="DA73" i="3"/>
  <c r="DB73" i="3"/>
  <c r="DC73" i="3"/>
  <c r="DD73" i="3"/>
  <c r="DE73" i="3"/>
  <c r="DF73" i="3"/>
  <c r="DG73" i="3"/>
  <c r="CR74" i="3"/>
  <c r="CS74" i="3"/>
  <c r="CT74" i="3"/>
  <c r="CU74" i="3"/>
  <c r="CV74" i="3"/>
  <c r="CW74" i="3"/>
  <c r="CX74" i="3"/>
  <c r="CY74" i="3"/>
  <c r="CZ74" i="3"/>
  <c r="DA74" i="3"/>
  <c r="DB74" i="3"/>
  <c r="DC74" i="3"/>
  <c r="DD74" i="3"/>
  <c r="DE74" i="3"/>
  <c r="DF74" i="3"/>
  <c r="DG74" i="3"/>
  <c r="CR75" i="3"/>
  <c r="CS75" i="3"/>
  <c r="CT75" i="3"/>
  <c r="CU75" i="3"/>
  <c r="CV75" i="3"/>
  <c r="CW75" i="3"/>
  <c r="CX75" i="3"/>
  <c r="CY75" i="3"/>
  <c r="CZ75" i="3"/>
  <c r="DA75" i="3"/>
  <c r="DB75" i="3"/>
  <c r="DC75" i="3"/>
  <c r="DD75" i="3"/>
  <c r="DE75" i="3"/>
  <c r="DF75" i="3"/>
  <c r="DG75" i="3"/>
  <c r="CR76" i="3"/>
  <c r="CS76" i="3"/>
  <c r="CT76" i="3"/>
  <c r="CU76" i="3"/>
  <c r="CV76" i="3"/>
  <c r="CW76" i="3"/>
  <c r="CX76" i="3"/>
  <c r="CY76" i="3"/>
  <c r="CZ76" i="3"/>
  <c r="DA76" i="3"/>
  <c r="DB76" i="3"/>
  <c r="DC76" i="3"/>
  <c r="DD76" i="3"/>
  <c r="DE76" i="3"/>
  <c r="DF76" i="3"/>
  <c r="DG76" i="3"/>
  <c r="CR77" i="3"/>
  <c r="CS77" i="3"/>
  <c r="CT77" i="3"/>
  <c r="CU77" i="3"/>
  <c r="CV77" i="3"/>
  <c r="CW77" i="3"/>
  <c r="CX77" i="3"/>
  <c r="CY77" i="3"/>
  <c r="CZ77" i="3"/>
  <c r="DA77" i="3"/>
  <c r="DB77" i="3"/>
  <c r="DC77" i="3"/>
  <c r="DD77" i="3"/>
  <c r="DE77" i="3"/>
  <c r="DF77" i="3"/>
  <c r="DG77" i="3"/>
  <c r="CR78" i="3"/>
  <c r="CS78" i="3"/>
  <c r="CT78" i="3"/>
  <c r="CU78" i="3"/>
  <c r="CV78" i="3"/>
  <c r="CW78" i="3"/>
  <c r="CX78" i="3"/>
  <c r="CY78" i="3"/>
  <c r="CZ78" i="3"/>
  <c r="DA78" i="3"/>
  <c r="DB78" i="3"/>
  <c r="DC78" i="3"/>
  <c r="DD78" i="3"/>
  <c r="DE78" i="3"/>
  <c r="DF78" i="3"/>
  <c r="DG78" i="3"/>
  <c r="CR79" i="3"/>
  <c r="CS79" i="3"/>
  <c r="CT79" i="3"/>
  <c r="CU79" i="3"/>
  <c r="CV79" i="3"/>
  <c r="CW79" i="3"/>
  <c r="CX79" i="3"/>
  <c r="CY79" i="3"/>
  <c r="CZ79" i="3"/>
  <c r="DA79" i="3"/>
  <c r="DB79" i="3"/>
  <c r="DC79" i="3"/>
  <c r="DD79" i="3"/>
  <c r="DE79" i="3"/>
  <c r="DF79" i="3"/>
  <c r="DG79" i="3"/>
  <c r="CR80" i="3"/>
  <c r="CS80" i="3"/>
  <c r="CT80" i="3"/>
  <c r="CU80" i="3"/>
  <c r="CV80" i="3"/>
  <c r="CW80" i="3"/>
  <c r="CX80" i="3"/>
  <c r="CY80" i="3"/>
  <c r="CZ80" i="3"/>
  <c r="DA80" i="3"/>
  <c r="DB80" i="3"/>
  <c r="DC80" i="3"/>
  <c r="DD80" i="3"/>
  <c r="DE80" i="3"/>
  <c r="DF80" i="3"/>
  <c r="DG80" i="3"/>
  <c r="CR81" i="3"/>
  <c r="CS81" i="3"/>
  <c r="CT81" i="3"/>
  <c r="CU81" i="3"/>
  <c r="CV81" i="3"/>
  <c r="CW81" i="3"/>
  <c r="CX81" i="3"/>
  <c r="CY81" i="3"/>
  <c r="CZ81" i="3"/>
  <c r="DA81" i="3"/>
  <c r="DB81" i="3"/>
  <c r="DC81" i="3"/>
  <c r="DD81" i="3"/>
  <c r="DE81" i="3"/>
  <c r="DF81" i="3"/>
  <c r="DG81" i="3"/>
  <c r="CR82" i="3"/>
  <c r="CS82" i="3"/>
  <c r="CT82" i="3"/>
  <c r="CU82" i="3"/>
  <c r="CV82" i="3"/>
  <c r="CW82" i="3"/>
  <c r="CX82" i="3"/>
  <c r="CY82" i="3"/>
  <c r="CZ82" i="3"/>
  <c r="DA82" i="3"/>
  <c r="DB82" i="3"/>
  <c r="DC82" i="3"/>
  <c r="DD82" i="3"/>
  <c r="DE82" i="3"/>
  <c r="DF82" i="3"/>
  <c r="DG82" i="3"/>
  <c r="CR83" i="3"/>
  <c r="CS83" i="3"/>
  <c r="CT83" i="3"/>
  <c r="CU83" i="3"/>
  <c r="CV83" i="3"/>
  <c r="CW83" i="3"/>
  <c r="CX83" i="3"/>
  <c r="CY83" i="3"/>
  <c r="CZ83" i="3"/>
  <c r="DA83" i="3"/>
  <c r="DB83" i="3"/>
  <c r="DC83" i="3"/>
  <c r="DD83" i="3"/>
  <c r="DE83" i="3"/>
  <c r="DF83" i="3"/>
  <c r="DG83" i="3"/>
  <c r="CR84" i="3"/>
  <c r="CS84" i="3"/>
  <c r="CT84" i="3"/>
  <c r="CU84" i="3"/>
  <c r="CV84" i="3"/>
  <c r="CW84" i="3"/>
  <c r="CX84" i="3"/>
  <c r="CY84" i="3"/>
  <c r="CZ84" i="3"/>
  <c r="DA84" i="3"/>
  <c r="DB84" i="3"/>
  <c r="DC84" i="3"/>
  <c r="DD84" i="3"/>
  <c r="DE84" i="3"/>
  <c r="DF84" i="3"/>
  <c r="DG84" i="3"/>
  <c r="CR85" i="3"/>
  <c r="CS85" i="3"/>
  <c r="CT85" i="3"/>
  <c r="CU85" i="3"/>
  <c r="CV85" i="3"/>
  <c r="CW85" i="3"/>
  <c r="CX85" i="3"/>
  <c r="CY85" i="3"/>
  <c r="CZ85" i="3"/>
  <c r="DA85" i="3"/>
  <c r="DB85" i="3"/>
  <c r="DC85" i="3"/>
  <c r="DD85" i="3"/>
  <c r="DE85" i="3"/>
  <c r="DF85" i="3"/>
  <c r="DG85" i="3"/>
  <c r="CR86" i="3"/>
  <c r="CS86" i="3"/>
  <c r="CT86" i="3"/>
  <c r="CU86" i="3"/>
  <c r="CV86" i="3"/>
  <c r="CW86" i="3"/>
  <c r="CX86" i="3"/>
  <c r="CY86" i="3"/>
  <c r="CZ86" i="3"/>
  <c r="DA86" i="3"/>
  <c r="DB86" i="3"/>
  <c r="DC86" i="3"/>
  <c r="DD86" i="3"/>
  <c r="DE86" i="3"/>
  <c r="DF86" i="3"/>
  <c r="DG86" i="3"/>
  <c r="CR87" i="3"/>
  <c r="CS87" i="3"/>
  <c r="CT87" i="3"/>
  <c r="CU87" i="3"/>
  <c r="CV87" i="3"/>
  <c r="CW87" i="3"/>
  <c r="CX87" i="3"/>
  <c r="CY87" i="3"/>
  <c r="CZ87" i="3"/>
  <c r="DA87" i="3"/>
  <c r="DB87" i="3"/>
  <c r="DC87" i="3"/>
  <c r="DD87" i="3"/>
  <c r="DE87" i="3"/>
  <c r="DF87" i="3"/>
  <c r="DG87" i="3"/>
  <c r="CR88" i="3"/>
  <c r="CS88" i="3"/>
  <c r="CT88" i="3"/>
  <c r="CU88" i="3"/>
  <c r="CV88" i="3"/>
  <c r="CW88" i="3"/>
  <c r="CX88" i="3"/>
  <c r="CY88" i="3"/>
  <c r="CZ88" i="3"/>
  <c r="DA88" i="3"/>
  <c r="DB88" i="3"/>
  <c r="DC88" i="3"/>
  <c r="DD88" i="3"/>
  <c r="DE88" i="3"/>
  <c r="DF88" i="3"/>
  <c r="DG88" i="3"/>
  <c r="CR89" i="3"/>
  <c r="CS89" i="3"/>
  <c r="CT89" i="3"/>
  <c r="CU89" i="3"/>
  <c r="CV89" i="3"/>
  <c r="CW89" i="3"/>
  <c r="CX89" i="3"/>
  <c r="CY89" i="3"/>
  <c r="CZ89" i="3"/>
  <c r="DA89" i="3"/>
  <c r="DB89" i="3"/>
  <c r="DC89" i="3"/>
  <c r="DD89" i="3"/>
  <c r="DE89" i="3"/>
  <c r="DF89" i="3"/>
  <c r="DG89" i="3"/>
  <c r="CR90" i="3"/>
  <c r="CS90" i="3"/>
  <c r="CT90" i="3"/>
  <c r="CU90" i="3"/>
  <c r="CV90" i="3"/>
  <c r="CW90" i="3"/>
  <c r="CX90" i="3"/>
  <c r="CY90" i="3"/>
  <c r="CZ90" i="3"/>
  <c r="DA90" i="3"/>
  <c r="DB90" i="3"/>
  <c r="DC90" i="3"/>
  <c r="DD90" i="3"/>
  <c r="DE90" i="3"/>
  <c r="DF90" i="3"/>
  <c r="DG90" i="3"/>
  <c r="CR91" i="3"/>
  <c r="CS91" i="3"/>
  <c r="CT91" i="3"/>
  <c r="CU91" i="3"/>
  <c r="CV91" i="3"/>
  <c r="CW91" i="3"/>
  <c r="CX91" i="3"/>
  <c r="CY91" i="3"/>
  <c r="CZ91" i="3"/>
  <c r="DA91" i="3"/>
  <c r="DB91" i="3"/>
  <c r="DC91" i="3"/>
  <c r="DD91" i="3"/>
  <c r="DE91" i="3"/>
  <c r="DF91" i="3"/>
  <c r="DG91" i="3"/>
  <c r="CR92" i="3"/>
  <c r="CS92" i="3"/>
  <c r="CT92" i="3"/>
  <c r="CU92" i="3"/>
  <c r="CV92" i="3"/>
  <c r="CW92" i="3"/>
  <c r="CX92" i="3"/>
  <c r="CY92" i="3"/>
  <c r="CZ92" i="3"/>
  <c r="DA92" i="3"/>
  <c r="DB92" i="3"/>
  <c r="DC92" i="3"/>
  <c r="DD92" i="3"/>
  <c r="DE92" i="3"/>
  <c r="DF92" i="3"/>
  <c r="DG92" i="3"/>
  <c r="CR93" i="3"/>
  <c r="CS93" i="3"/>
  <c r="CT93" i="3"/>
  <c r="CU93" i="3"/>
  <c r="CV93" i="3"/>
  <c r="CW93" i="3"/>
  <c r="CX93" i="3"/>
  <c r="CY93" i="3"/>
  <c r="CZ93" i="3"/>
  <c r="DA93" i="3"/>
  <c r="DB93" i="3"/>
  <c r="DC93" i="3"/>
  <c r="DD93" i="3"/>
  <c r="DE93" i="3"/>
  <c r="DF93" i="3"/>
  <c r="DG93" i="3"/>
  <c r="CR94" i="3"/>
  <c r="CS94" i="3"/>
  <c r="CT94" i="3"/>
  <c r="CU94" i="3"/>
  <c r="CV94" i="3"/>
  <c r="CW94" i="3"/>
  <c r="CX94" i="3"/>
  <c r="CY94" i="3"/>
  <c r="CZ94" i="3"/>
  <c r="DA94" i="3"/>
  <c r="DB94" i="3"/>
  <c r="DC94" i="3"/>
  <c r="DD94" i="3"/>
  <c r="DE94" i="3"/>
  <c r="DF94" i="3"/>
  <c r="DG94" i="3"/>
  <c r="CR95" i="3"/>
  <c r="CS95" i="3"/>
  <c r="CT95" i="3"/>
  <c r="CU95" i="3"/>
  <c r="CV95" i="3"/>
  <c r="CW95" i="3"/>
  <c r="CX95" i="3"/>
  <c r="CY95" i="3"/>
  <c r="CZ95" i="3"/>
  <c r="DA95" i="3"/>
  <c r="DB95" i="3"/>
  <c r="DC95" i="3"/>
  <c r="DD95" i="3"/>
  <c r="DE95" i="3"/>
  <c r="DF95" i="3"/>
  <c r="DG95" i="3"/>
  <c r="CR96" i="3"/>
  <c r="CS96" i="3"/>
  <c r="CT96" i="3"/>
  <c r="CU96" i="3"/>
  <c r="CV96" i="3"/>
  <c r="CW96" i="3"/>
  <c r="CX96" i="3"/>
  <c r="CY96" i="3"/>
  <c r="CZ96" i="3"/>
  <c r="DA96" i="3"/>
  <c r="DB96" i="3"/>
  <c r="DC96" i="3"/>
  <c r="DD96" i="3"/>
  <c r="DE96" i="3"/>
  <c r="DF96" i="3"/>
  <c r="DG96" i="3"/>
  <c r="CR97" i="3"/>
  <c r="CS97" i="3"/>
  <c r="CT97" i="3"/>
  <c r="CU97" i="3"/>
  <c r="CV97" i="3"/>
  <c r="CW97" i="3"/>
  <c r="CX97" i="3"/>
  <c r="CY97" i="3"/>
  <c r="CZ97" i="3"/>
  <c r="DA97" i="3"/>
  <c r="DB97" i="3"/>
  <c r="DC97" i="3"/>
  <c r="DD97" i="3"/>
  <c r="DE97" i="3"/>
  <c r="DF97" i="3"/>
  <c r="DG97" i="3"/>
  <c r="CR98" i="3"/>
  <c r="CS98" i="3"/>
  <c r="CT98" i="3"/>
  <c r="CU98" i="3"/>
  <c r="CV98" i="3"/>
  <c r="CW98" i="3"/>
  <c r="CX98" i="3"/>
  <c r="CY98" i="3"/>
  <c r="CZ98" i="3"/>
  <c r="DA98" i="3"/>
  <c r="DB98" i="3"/>
  <c r="DC98" i="3"/>
  <c r="DD98" i="3"/>
  <c r="DE98" i="3"/>
  <c r="DF98" i="3"/>
  <c r="DG98" i="3"/>
  <c r="CR99" i="3"/>
  <c r="CS99" i="3"/>
  <c r="CT99" i="3"/>
  <c r="CU99" i="3"/>
  <c r="CV99" i="3"/>
  <c r="CW99" i="3"/>
  <c r="CX99" i="3"/>
  <c r="CY99" i="3"/>
  <c r="CZ99" i="3"/>
  <c r="DA99" i="3"/>
  <c r="DB99" i="3"/>
  <c r="DC99" i="3"/>
  <c r="DD99" i="3"/>
  <c r="DE99" i="3"/>
  <c r="DF99" i="3"/>
  <c r="DG99" i="3"/>
  <c r="CR100" i="3"/>
  <c r="CS100" i="3"/>
  <c r="CT100" i="3"/>
  <c r="CU100" i="3"/>
  <c r="CV100" i="3"/>
  <c r="CW100" i="3"/>
  <c r="CX100" i="3"/>
  <c r="CY100" i="3"/>
  <c r="CZ100" i="3"/>
  <c r="DA100" i="3"/>
  <c r="DB100" i="3"/>
  <c r="DC100" i="3"/>
  <c r="DD100" i="3"/>
  <c r="DE100" i="3"/>
  <c r="DF100" i="3"/>
  <c r="DG100" i="3"/>
  <c r="CR101" i="3"/>
  <c r="CS101" i="3"/>
  <c r="CT101" i="3"/>
  <c r="CU101" i="3"/>
  <c r="CV101" i="3"/>
  <c r="CW101" i="3"/>
  <c r="CX101" i="3"/>
  <c r="CY101" i="3"/>
  <c r="CZ101" i="3"/>
  <c r="DA101" i="3"/>
  <c r="DB101" i="3"/>
  <c r="DC101" i="3"/>
  <c r="DD101" i="3"/>
  <c r="DE101" i="3"/>
  <c r="DF101" i="3"/>
  <c r="DG101" i="3"/>
  <c r="CR102" i="3"/>
  <c r="CS102" i="3"/>
  <c r="CT102" i="3"/>
  <c r="CU102" i="3"/>
  <c r="CV102" i="3"/>
  <c r="CW102" i="3"/>
  <c r="CX102" i="3"/>
  <c r="CY102" i="3"/>
  <c r="CZ102" i="3"/>
  <c r="DA102" i="3"/>
  <c r="DB102" i="3"/>
  <c r="DC102" i="3"/>
  <c r="DD102" i="3"/>
  <c r="DE102" i="3"/>
  <c r="DF102" i="3"/>
  <c r="DG102" i="3"/>
  <c r="CR103" i="3"/>
  <c r="CS103" i="3"/>
  <c r="CT103" i="3"/>
  <c r="CU103" i="3"/>
  <c r="CV103" i="3"/>
  <c r="CW103" i="3"/>
  <c r="CX103" i="3"/>
  <c r="CY103" i="3"/>
  <c r="CZ103" i="3"/>
  <c r="DA103" i="3"/>
  <c r="DB103" i="3"/>
  <c r="DC103" i="3"/>
  <c r="DD103" i="3"/>
  <c r="DE103" i="3"/>
  <c r="DF103" i="3"/>
  <c r="DG103" i="3"/>
  <c r="CR104" i="3"/>
  <c r="CS104" i="3"/>
  <c r="CT104" i="3"/>
  <c r="CU104" i="3"/>
  <c r="CV104" i="3"/>
  <c r="CW104" i="3"/>
  <c r="CX104" i="3"/>
  <c r="CY104" i="3"/>
  <c r="CZ104" i="3"/>
  <c r="DA104" i="3"/>
  <c r="DB104" i="3"/>
  <c r="DC104" i="3"/>
  <c r="DD104" i="3"/>
  <c r="DE104" i="3"/>
  <c r="DF104" i="3"/>
  <c r="DG104" i="3"/>
  <c r="CR105" i="3"/>
  <c r="CS105" i="3"/>
  <c r="CT105" i="3"/>
  <c r="CU105" i="3"/>
  <c r="CV105" i="3"/>
  <c r="CW105" i="3"/>
  <c r="CX105" i="3"/>
  <c r="CY105" i="3"/>
  <c r="CZ105" i="3"/>
  <c r="DA105" i="3"/>
  <c r="DB105" i="3"/>
  <c r="DC105" i="3"/>
  <c r="DD105" i="3"/>
  <c r="DE105" i="3"/>
  <c r="DF105" i="3"/>
  <c r="DG105" i="3"/>
  <c r="CR106" i="3"/>
  <c r="CS106" i="3"/>
  <c r="CT106" i="3"/>
  <c r="CU106" i="3"/>
  <c r="CV106" i="3"/>
  <c r="CW106" i="3"/>
  <c r="CX106" i="3"/>
  <c r="CY106" i="3"/>
  <c r="CZ106" i="3"/>
  <c r="DA106" i="3"/>
  <c r="DB106" i="3"/>
  <c r="DC106" i="3"/>
  <c r="DD106" i="3"/>
  <c r="DE106" i="3"/>
  <c r="DF106" i="3"/>
  <c r="DG106" i="3"/>
  <c r="CR107" i="3"/>
  <c r="CS107" i="3"/>
  <c r="CT107" i="3"/>
  <c r="CU107" i="3"/>
  <c r="CV107" i="3"/>
  <c r="CW107" i="3"/>
  <c r="CX107" i="3"/>
  <c r="CY107" i="3"/>
  <c r="CZ107" i="3"/>
  <c r="DA107" i="3"/>
  <c r="DB107" i="3"/>
  <c r="DC107" i="3"/>
  <c r="DD107" i="3"/>
  <c r="DE107" i="3"/>
  <c r="DF107" i="3"/>
  <c r="DG107" i="3"/>
  <c r="CR108" i="3"/>
  <c r="CS108" i="3"/>
  <c r="CT108" i="3"/>
  <c r="CU108" i="3"/>
  <c r="CV108" i="3"/>
  <c r="CW108" i="3"/>
  <c r="CX108" i="3"/>
  <c r="CY108" i="3"/>
  <c r="CZ108" i="3"/>
  <c r="DA108" i="3"/>
  <c r="DB108" i="3"/>
  <c r="DC108" i="3"/>
  <c r="DD108" i="3"/>
  <c r="DE108" i="3"/>
  <c r="DF108" i="3"/>
  <c r="DG108" i="3"/>
  <c r="CR109" i="3"/>
  <c r="CS109" i="3"/>
  <c r="CT109" i="3"/>
  <c r="CU109" i="3"/>
  <c r="CV109" i="3"/>
  <c r="CW109" i="3"/>
  <c r="CX109" i="3"/>
  <c r="CY109" i="3"/>
  <c r="CZ109" i="3"/>
  <c r="DA109" i="3"/>
  <c r="DB109" i="3"/>
  <c r="DC109" i="3"/>
  <c r="DD109" i="3"/>
  <c r="DE109" i="3"/>
  <c r="DF109" i="3"/>
  <c r="DG109" i="3"/>
  <c r="CR110" i="3"/>
  <c r="CS110" i="3"/>
  <c r="CT110" i="3"/>
  <c r="CU110" i="3"/>
  <c r="CV110" i="3"/>
  <c r="CW110" i="3"/>
  <c r="CX110" i="3"/>
  <c r="CY110" i="3"/>
  <c r="CZ110" i="3"/>
  <c r="DA110" i="3"/>
  <c r="DB110" i="3"/>
  <c r="DC110" i="3"/>
  <c r="DD110" i="3"/>
  <c r="DE110" i="3"/>
  <c r="DF110" i="3"/>
  <c r="DG110" i="3"/>
  <c r="CR111" i="3"/>
  <c r="CS111" i="3"/>
  <c r="CT111" i="3"/>
  <c r="CU111" i="3"/>
  <c r="CV111" i="3"/>
  <c r="CW111" i="3"/>
  <c r="CX111" i="3"/>
  <c r="CY111" i="3"/>
  <c r="CZ111" i="3"/>
  <c r="DA111" i="3"/>
  <c r="DB111" i="3"/>
  <c r="DC111" i="3"/>
  <c r="DD111" i="3"/>
  <c r="DE111" i="3"/>
  <c r="DF111" i="3"/>
  <c r="DG111" i="3"/>
  <c r="CR112" i="3"/>
  <c r="CS112" i="3"/>
  <c r="CT112" i="3"/>
  <c r="CU112" i="3"/>
  <c r="CV112" i="3"/>
  <c r="CW112" i="3"/>
  <c r="CX112" i="3"/>
  <c r="CY112" i="3"/>
  <c r="CZ112" i="3"/>
  <c r="DA112" i="3"/>
  <c r="DB112" i="3"/>
  <c r="DC112" i="3"/>
  <c r="DD112" i="3"/>
  <c r="DE112" i="3"/>
  <c r="DF112" i="3"/>
  <c r="DG112" i="3"/>
  <c r="CR113" i="3"/>
  <c r="CS113" i="3"/>
  <c r="CT113" i="3"/>
  <c r="CU113" i="3"/>
  <c r="CV113" i="3"/>
  <c r="CW113" i="3"/>
  <c r="CX113" i="3"/>
  <c r="CY113" i="3"/>
  <c r="CZ113" i="3"/>
  <c r="DA113" i="3"/>
  <c r="DB113" i="3"/>
  <c r="DC113" i="3"/>
  <c r="DD113" i="3"/>
  <c r="DE113" i="3"/>
  <c r="DF113" i="3"/>
  <c r="DG113" i="3"/>
  <c r="CR114" i="3"/>
  <c r="CS114" i="3"/>
  <c r="CT114" i="3"/>
  <c r="CU114" i="3"/>
  <c r="CV114" i="3"/>
  <c r="CW114" i="3"/>
  <c r="CX114" i="3"/>
  <c r="CY114" i="3"/>
  <c r="CZ114" i="3"/>
  <c r="DA114" i="3"/>
  <c r="DB114" i="3"/>
  <c r="DC114" i="3"/>
  <c r="DD114" i="3"/>
  <c r="DE114" i="3"/>
  <c r="DF114" i="3"/>
  <c r="DG114" i="3"/>
  <c r="CR115" i="3"/>
  <c r="CS115" i="3"/>
  <c r="CT115" i="3"/>
  <c r="CU115" i="3"/>
  <c r="CV115" i="3"/>
  <c r="CW115" i="3"/>
  <c r="CX115" i="3"/>
  <c r="CY115" i="3"/>
  <c r="CZ115" i="3"/>
  <c r="DA115" i="3"/>
  <c r="DB115" i="3"/>
  <c r="DC115" i="3"/>
  <c r="DD115" i="3"/>
  <c r="DE115" i="3"/>
  <c r="DF115" i="3"/>
  <c r="DG115" i="3"/>
  <c r="CR116" i="3"/>
  <c r="CS116" i="3"/>
  <c r="CT116" i="3"/>
  <c r="CU116" i="3"/>
  <c r="CV116" i="3"/>
  <c r="CW116" i="3"/>
  <c r="CX116" i="3"/>
  <c r="CY116" i="3"/>
  <c r="CZ116" i="3"/>
  <c r="DA116" i="3"/>
  <c r="DB116" i="3"/>
  <c r="DC116" i="3"/>
  <c r="DD116" i="3"/>
  <c r="DE116" i="3"/>
  <c r="DF116" i="3"/>
  <c r="DG116" i="3"/>
  <c r="CR117" i="3"/>
  <c r="CS117" i="3"/>
  <c r="CT117" i="3"/>
  <c r="CU117" i="3"/>
  <c r="CV117" i="3"/>
  <c r="CW117" i="3"/>
  <c r="CX117" i="3"/>
  <c r="CY117" i="3"/>
  <c r="CZ117" i="3"/>
  <c r="DA117" i="3"/>
  <c r="DB117" i="3"/>
  <c r="DC117" i="3"/>
  <c r="DD117" i="3"/>
  <c r="DE117" i="3"/>
  <c r="DF117" i="3"/>
  <c r="DG117" i="3"/>
  <c r="CR118" i="3"/>
  <c r="CS118" i="3"/>
  <c r="CT118" i="3"/>
  <c r="CU118" i="3"/>
  <c r="CV118" i="3"/>
  <c r="CW118" i="3"/>
  <c r="CX118" i="3"/>
  <c r="CY118" i="3"/>
  <c r="CZ118" i="3"/>
  <c r="DA118" i="3"/>
  <c r="DB118" i="3"/>
  <c r="DC118" i="3"/>
  <c r="DD118" i="3"/>
  <c r="DE118" i="3"/>
  <c r="DF118" i="3"/>
  <c r="DG118" i="3"/>
  <c r="CR119" i="3"/>
  <c r="CS119" i="3"/>
  <c r="CT119" i="3"/>
  <c r="CU119" i="3"/>
  <c r="CV119" i="3"/>
  <c r="CW119" i="3"/>
  <c r="CX119" i="3"/>
  <c r="CY119" i="3"/>
  <c r="CZ119" i="3"/>
  <c r="DA119" i="3"/>
  <c r="DB119" i="3"/>
  <c r="DC119" i="3"/>
  <c r="DD119" i="3"/>
  <c r="DE119" i="3"/>
  <c r="DF119" i="3"/>
  <c r="DG119" i="3"/>
  <c r="CR120" i="3"/>
  <c r="CS120" i="3"/>
  <c r="CT120" i="3"/>
  <c r="CU120" i="3"/>
  <c r="CV120" i="3"/>
  <c r="CW120" i="3"/>
  <c r="CX120" i="3"/>
  <c r="CY120" i="3"/>
  <c r="CZ120" i="3"/>
  <c r="DA120" i="3"/>
  <c r="DB120" i="3"/>
  <c r="DC120" i="3"/>
  <c r="DD120" i="3"/>
  <c r="DE120" i="3"/>
  <c r="DF120" i="3"/>
  <c r="DG120" i="3"/>
  <c r="CR121" i="3"/>
  <c r="CS121" i="3"/>
  <c r="CT121" i="3"/>
  <c r="CU121" i="3"/>
  <c r="CV121" i="3"/>
  <c r="CW121" i="3"/>
  <c r="CX121" i="3"/>
  <c r="CY121" i="3"/>
  <c r="CZ121" i="3"/>
  <c r="DA121" i="3"/>
  <c r="DB121" i="3"/>
  <c r="DC121" i="3"/>
  <c r="DD121" i="3"/>
  <c r="DE121" i="3"/>
  <c r="DF121" i="3"/>
  <c r="DG121" i="3"/>
  <c r="CR122" i="3"/>
  <c r="CS122" i="3"/>
  <c r="CT122" i="3"/>
  <c r="CU122" i="3"/>
  <c r="CV122" i="3"/>
  <c r="CW122" i="3"/>
  <c r="CX122" i="3"/>
  <c r="CY122" i="3"/>
  <c r="CZ122" i="3"/>
  <c r="DA122" i="3"/>
  <c r="DB122" i="3"/>
  <c r="DC122" i="3"/>
  <c r="DD122" i="3"/>
  <c r="DE122" i="3"/>
  <c r="DF122" i="3"/>
  <c r="DG122" i="3"/>
  <c r="CR123" i="3"/>
  <c r="CS123" i="3"/>
  <c r="CT123" i="3"/>
  <c r="CU123" i="3"/>
  <c r="CV123" i="3"/>
  <c r="CW123" i="3"/>
  <c r="CX123" i="3"/>
  <c r="CY123" i="3"/>
  <c r="CZ123" i="3"/>
  <c r="DA123" i="3"/>
  <c r="DB123" i="3"/>
  <c r="DC123" i="3"/>
  <c r="DD123" i="3"/>
  <c r="DE123" i="3"/>
  <c r="DF123" i="3"/>
  <c r="DG123" i="3"/>
  <c r="CR124" i="3"/>
  <c r="CS124" i="3"/>
  <c r="CT124" i="3"/>
  <c r="CU124" i="3"/>
  <c r="CV124" i="3"/>
  <c r="CW124" i="3"/>
  <c r="CX124" i="3"/>
  <c r="CY124" i="3"/>
  <c r="CZ124" i="3"/>
  <c r="DA124" i="3"/>
  <c r="DB124" i="3"/>
  <c r="DC124" i="3"/>
  <c r="DD124" i="3"/>
  <c r="DE124" i="3"/>
  <c r="DF124" i="3"/>
  <c r="DG124" i="3"/>
  <c r="CR125" i="3"/>
  <c r="CS125" i="3"/>
  <c r="CT125" i="3"/>
  <c r="CU125" i="3"/>
  <c r="CV125" i="3"/>
  <c r="CW125" i="3"/>
  <c r="CX125" i="3"/>
  <c r="CY125" i="3"/>
  <c r="CZ125" i="3"/>
  <c r="DA125" i="3"/>
  <c r="DB125" i="3"/>
  <c r="DC125" i="3"/>
  <c r="DD125" i="3"/>
  <c r="DE125" i="3"/>
  <c r="DF125" i="3"/>
  <c r="DG125" i="3"/>
  <c r="CR126" i="3"/>
  <c r="CS126" i="3"/>
  <c r="CT126" i="3"/>
  <c r="CU126" i="3"/>
  <c r="CV126" i="3"/>
  <c r="CW126" i="3"/>
  <c r="CX126" i="3"/>
  <c r="CY126" i="3"/>
  <c r="CZ126" i="3"/>
  <c r="DA126" i="3"/>
  <c r="DB126" i="3"/>
  <c r="DC126" i="3"/>
  <c r="DD126" i="3"/>
  <c r="DE126" i="3"/>
  <c r="DF126" i="3"/>
  <c r="DG126" i="3"/>
  <c r="CR127" i="3"/>
  <c r="CS127" i="3"/>
  <c r="CT127" i="3"/>
  <c r="CU127" i="3"/>
  <c r="CV127" i="3"/>
  <c r="CW127" i="3"/>
  <c r="CX127" i="3"/>
  <c r="CY127" i="3"/>
  <c r="CZ127" i="3"/>
  <c r="DA127" i="3"/>
  <c r="DB127" i="3"/>
  <c r="DC127" i="3"/>
  <c r="DD127" i="3"/>
  <c r="DE127" i="3"/>
  <c r="DF127" i="3"/>
  <c r="DG127" i="3"/>
  <c r="CR128" i="3"/>
  <c r="CS128" i="3"/>
  <c r="CT128" i="3"/>
  <c r="CU128" i="3"/>
  <c r="CV128" i="3"/>
  <c r="CW128" i="3"/>
  <c r="CX128" i="3"/>
  <c r="CY128" i="3"/>
  <c r="CZ128" i="3"/>
  <c r="DA128" i="3"/>
  <c r="DB128" i="3"/>
  <c r="DC128" i="3"/>
  <c r="DD128" i="3"/>
  <c r="DE128" i="3"/>
  <c r="DF128" i="3"/>
  <c r="DG128" i="3"/>
  <c r="CR129" i="3"/>
  <c r="CS129" i="3"/>
  <c r="CT129" i="3"/>
  <c r="CU129" i="3"/>
  <c r="CV129" i="3"/>
  <c r="CW129" i="3"/>
  <c r="CX129" i="3"/>
  <c r="CY129" i="3"/>
  <c r="CZ129" i="3"/>
  <c r="DA129" i="3"/>
  <c r="DB129" i="3"/>
  <c r="DC129" i="3"/>
  <c r="DD129" i="3"/>
  <c r="DE129" i="3"/>
  <c r="DF129" i="3"/>
  <c r="DG129" i="3"/>
  <c r="CR130" i="3"/>
  <c r="CS130" i="3"/>
  <c r="CT130" i="3"/>
  <c r="CU130" i="3"/>
  <c r="CV130" i="3"/>
  <c r="CW130" i="3"/>
  <c r="CX130" i="3"/>
  <c r="CY130" i="3"/>
  <c r="CZ130" i="3"/>
  <c r="DA130" i="3"/>
  <c r="DB130" i="3"/>
  <c r="DC130" i="3"/>
  <c r="DD130" i="3"/>
  <c r="DE130" i="3"/>
  <c r="DF130" i="3"/>
  <c r="DG130" i="3"/>
  <c r="CR131" i="3"/>
  <c r="CS131" i="3"/>
  <c r="CT131" i="3"/>
  <c r="CU131" i="3"/>
  <c r="CV131" i="3"/>
  <c r="CW131" i="3"/>
  <c r="CX131" i="3"/>
  <c r="CY131" i="3"/>
  <c r="CZ131" i="3"/>
  <c r="DA131" i="3"/>
  <c r="DB131" i="3"/>
  <c r="DC131" i="3"/>
  <c r="DD131" i="3"/>
  <c r="DE131" i="3"/>
  <c r="DF131" i="3"/>
  <c r="DG131" i="3"/>
  <c r="CR132" i="3"/>
  <c r="CS132" i="3"/>
  <c r="CT132" i="3"/>
  <c r="CU132" i="3"/>
  <c r="CV132" i="3"/>
  <c r="CW132" i="3"/>
  <c r="CX132" i="3"/>
  <c r="CY132" i="3"/>
  <c r="CZ132" i="3"/>
  <c r="DA132" i="3"/>
  <c r="DB132" i="3"/>
  <c r="DC132" i="3"/>
  <c r="DD132" i="3"/>
  <c r="DE132" i="3"/>
  <c r="DF132" i="3"/>
  <c r="DG132" i="3"/>
  <c r="CR133" i="3"/>
  <c r="CS133" i="3"/>
  <c r="CT133" i="3"/>
  <c r="CU133" i="3"/>
  <c r="CV133" i="3"/>
  <c r="CW133" i="3"/>
  <c r="CX133" i="3"/>
  <c r="CY133" i="3"/>
  <c r="CZ133" i="3"/>
  <c r="DA133" i="3"/>
  <c r="DB133" i="3"/>
  <c r="DC133" i="3"/>
  <c r="DD133" i="3"/>
  <c r="DE133" i="3"/>
  <c r="DF133" i="3"/>
  <c r="DG133" i="3"/>
  <c r="CR134" i="3"/>
  <c r="CS134" i="3"/>
  <c r="CT134" i="3"/>
  <c r="CU134" i="3"/>
  <c r="CV134" i="3"/>
  <c r="CW134" i="3"/>
  <c r="CX134" i="3"/>
  <c r="CY134" i="3"/>
  <c r="CZ134" i="3"/>
  <c r="DA134" i="3"/>
  <c r="DB134" i="3"/>
  <c r="DC134" i="3"/>
  <c r="DD134" i="3"/>
  <c r="DE134" i="3"/>
  <c r="DF134" i="3"/>
  <c r="DG134" i="3"/>
  <c r="CR135" i="3"/>
  <c r="CS135" i="3"/>
  <c r="CT135" i="3"/>
  <c r="CU135" i="3"/>
  <c r="CV135" i="3"/>
  <c r="CW135" i="3"/>
  <c r="CX135" i="3"/>
  <c r="CY135" i="3"/>
  <c r="CZ135" i="3"/>
  <c r="DA135" i="3"/>
  <c r="DB135" i="3"/>
  <c r="DC135" i="3"/>
  <c r="DD135" i="3"/>
  <c r="DE135" i="3"/>
  <c r="DF135" i="3"/>
  <c r="DG135" i="3"/>
  <c r="CR136" i="3"/>
  <c r="CS136" i="3"/>
  <c r="CT136" i="3"/>
  <c r="CU136" i="3"/>
  <c r="CV136" i="3"/>
  <c r="CW136" i="3"/>
  <c r="CX136" i="3"/>
  <c r="CY136" i="3"/>
  <c r="CZ136" i="3"/>
  <c r="DA136" i="3"/>
  <c r="DB136" i="3"/>
  <c r="DC136" i="3"/>
  <c r="DD136" i="3"/>
  <c r="DE136" i="3"/>
  <c r="DF136" i="3"/>
  <c r="DG136" i="3"/>
  <c r="CR137" i="3"/>
  <c r="CS137" i="3"/>
  <c r="CT137" i="3"/>
  <c r="CU137" i="3"/>
  <c r="CV137" i="3"/>
  <c r="CW137" i="3"/>
  <c r="CX137" i="3"/>
  <c r="CY137" i="3"/>
  <c r="CZ137" i="3"/>
  <c r="DA137" i="3"/>
  <c r="DB137" i="3"/>
  <c r="DC137" i="3"/>
  <c r="DD137" i="3"/>
  <c r="DE137" i="3"/>
  <c r="DF137" i="3"/>
  <c r="DG137" i="3"/>
  <c r="CR138" i="3"/>
  <c r="CS138" i="3"/>
  <c r="CT138" i="3"/>
  <c r="CU138" i="3"/>
  <c r="CV138" i="3"/>
  <c r="CW138" i="3"/>
  <c r="CX138" i="3"/>
  <c r="CY138" i="3"/>
  <c r="CZ138" i="3"/>
  <c r="DA138" i="3"/>
  <c r="DB138" i="3"/>
  <c r="DC138" i="3"/>
  <c r="DD138" i="3"/>
  <c r="DE138" i="3"/>
  <c r="DF138" i="3"/>
  <c r="DG138" i="3"/>
  <c r="CR139" i="3"/>
  <c r="CS139" i="3"/>
  <c r="CT139" i="3"/>
  <c r="CU139" i="3"/>
  <c r="CV139" i="3"/>
  <c r="CW139" i="3"/>
  <c r="CX139" i="3"/>
  <c r="CY139" i="3"/>
  <c r="CZ139" i="3"/>
  <c r="DA139" i="3"/>
  <c r="DB139" i="3"/>
  <c r="DC139" i="3"/>
  <c r="DD139" i="3"/>
  <c r="DE139" i="3"/>
  <c r="DF139" i="3"/>
  <c r="DG139" i="3"/>
  <c r="CR140" i="3"/>
  <c r="CS140" i="3"/>
  <c r="CT140" i="3"/>
  <c r="CU140" i="3"/>
  <c r="CV140" i="3"/>
  <c r="CW140" i="3"/>
  <c r="CX140" i="3"/>
  <c r="CY140" i="3"/>
  <c r="CZ140" i="3"/>
  <c r="DA140" i="3"/>
  <c r="DB140" i="3"/>
  <c r="DC140" i="3"/>
  <c r="DD140" i="3"/>
  <c r="DE140" i="3"/>
  <c r="DF140" i="3"/>
  <c r="DG140" i="3"/>
  <c r="CR141" i="3"/>
  <c r="CS141" i="3"/>
  <c r="CT141" i="3"/>
  <c r="CU141" i="3"/>
  <c r="CV141" i="3"/>
  <c r="CW141" i="3"/>
  <c r="CX141" i="3"/>
  <c r="CY141" i="3"/>
  <c r="CZ141" i="3"/>
  <c r="DA141" i="3"/>
  <c r="DB141" i="3"/>
  <c r="DC141" i="3"/>
  <c r="DD141" i="3"/>
  <c r="DE141" i="3"/>
  <c r="DF141" i="3"/>
  <c r="DG141" i="3"/>
  <c r="CR142" i="3"/>
  <c r="CS142" i="3"/>
  <c r="CT142" i="3"/>
  <c r="CU142" i="3"/>
  <c r="CV142" i="3"/>
  <c r="CW142" i="3"/>
  <c r="CX142" i="3"/>
  <c r="CY142" i="3"/>
  <c r="CZ142" i="3"/>
  <c r="DA142" i="3"/>
  <c r="DB142" i="3"/>
  <c r="DC142" i="3"/>
  <c r="DD142" i="3"/>
  <c r="DE142" i="3"/>
  <c r="DF142" i="3"/>
  <c r="DG142" i="3"/>
  <c r="CR143" i="3"/>
  <c r="CS143" i="3"/>
  <c r="CT143" i="3"/>
  <c r="CU143" i="3"/>
  <c r="CV143" i="3"/>
  <c r="CW143" i="3"/>
  <c r="CX143" i="3"/>
  <c r="CY143" i="3"/>
  <c r="CZ143" i="3"/>
  <c r="DA143" i="3"/>
  <c r="DB143" i="3"/>
  <c r="DC143" i="3"/>
  <c r="DD143" i="3"/>
  <c r="DE143" i="3"/>
  <c r="DF143" i="3"/>
  <c r="DG143" i="3"/>
  <c r="CR144" i="3"/>
  <c r="CS144" i="3"/>
  <c r="CT144" i="3"/>
  <c r="CU144" i="3"/>
  <c r="CV144" i="3"/>
  <c r="CW144" i="3"/>
  <c r="CX144" i="3"/>
  <c r="CY144" i="3"/>
  <c r="CZ144" i="3"/>
  <c r="DA144" i="3"/>
  <c r="DB144" i="3"/>
  <c r="DC144" i="3"/>
  <c r="DD144" i="3"/>
  <c r="DE144" i="3"/>
  <c r="DF144" i="3"/>
  <c r="DG144" i="3"/>
  <c r="CR145" i="3"/>
  <c r="CS145" i="3"/>
  <c r="CT145" i="3"/>
  <c r="CU145" i="3"/>
  <c r="CV145" i="3"/>
  <c r="CW145" i="3"/>
  <c r="CX145" i="3"/>
  <c r="CY145" i="3"/>
  <c r="CZ145" i="3"/>
  <c r="DA145" i="3"/>
  <c r="DB145" i="3"/>
  <c r="DC145" i="3"/>
  <c r="DD145" i="3"/>
  <c r="DE145" i="3"/>
  <c r="DF145" i="3"/>
  <c r="DG145" i="3"/>
  <c r="CR146" i="3"/>
  <c r="CS146" i="3"/>
  <c r="CT146" i="3"/>
  <c r="CU146" i="3"/>
  <c r="CV146" i="3"/>
  <c r="CW146" i="3"/>
  <c r="CX146" i="3"/>
  <c r="CY146" i="3"/>
  <c r="CZ146" i="3"/>
  <c r="DA146" i="3"/>
  <c r="DB146" i="3"/>
  <c r="DC146" i="3"/>
  <c r="DD146" i="3"/>
  <c r="DE146" i="3"/>
  <c r="DF146" i="3"/>
  <c r="DG146" i="3"/>
  <c r="CR147" i="3"/>
  <c r="CS147" i="3"/>
  <c r="CT147" i="3"/>
  <c r="CU147" i="3"/>
  <c r="CV147" i="3"/>
  <c r="CW147" i="3"/>
  <c r="CX147" i="3"/>
  <c r="CY147" i="3"/>
  <c r="CZ147" i="3"/>
  <c r="DA147" i="3"/>
  <c r="DB147" i="3"/>
  <c r="DC147" i="3"/>
  <c r="DD147" i="3"/>
  <c r="DE147" i="3"/>
  <c r="DF147" i="3"/>
  <c r="DG147" i="3"/>
  <c r="CR148" i="3"/>
  <c r="CS148" i="3"/>
  <c r="CT148" i="3"/>
  <c r="CU148" i="3"/>
  <c r="CV148" i="3"/>
  <c r="CW148" i="3"/>
  <c r="CX148" i="3"/>
  <c r="CY148" i="3"/>
  <c r="CZ148" i="3"/>
  <c r="DA148" i="3"/>
  <c r="DB148" i="3"/>
  <c r="DC148" i="3"/>
  <c r="DD148" i="3"/>
  <c r="DE148" i="3"/>
  <c r="DF148" i="3"/>
  <c r="DG148" i="3"/>
  <c r="CR149" i="3"/>
  <c r="CS149" i="3"/>
  <c r="CT149" i="3"/>
  <c r="CU149" i="3"/>
  <c r="CV149" i="3"/>
  <c r="CW149" i="3"/>
  <c r="CX149" i="3"/>
  <c r="CY149" i="3"/>
  <c r="CZ149" i="3"/>
  <c r="DA149" i="3"/>
  <c r="DB149" i="3"/>
  <c r="DC149" i="3"/>
  <c r="DD149" i="3"/>
  <c r="DE149" i="3"/>
  <c r="DF149" i="3"/>
  <c r="DG149" i="3"/>
  <c r="CR150" i="3"/>
  <c r="CS150" i="3"/>
  <c r="CT150" i="3"/>
  <c r="CU150" i="3"/>
  <c r="CV150" i="3"/>
  <c r="CW150" i="3"/>
  <c r="CX150" i="3"/>
  <c r="CY150" i="3"/>
  <c r="CZ150" i="3"/>
  <c r="DA150" i="3"/>
  <c r="DB150" i="3"/>
  <c r="DC150" i="3"/>
  <c r="DD150" i="3"/>
  <c r="DE150" i="3"/>
  <c r="DF150" i="3"/>
  <c r="DG150" i="3"/>
  <c r="CR151" i="3"/>
  <c r="CS151" i="3"/>
  <c r="CT151" i="3"/>
  <c r="CU151" i="3"/>
  <c r="CV151" i="3"/>
  <c r="CW151" i="3"/>
  <c r="CX151" i="3"/>
  <c r="CY151" i="3"/>
  <c r="CZ151" i="3"/>
  <c r="DA151" i="3"/>
  <c r="DB151" i="3"/>
  <c r="DC151" i="3"/>
  <c r="DD151" i="3"/>
  <c r="DE151" i="3"/>
  <c r="DF151" i="3"/>
  <c r="DG151" i="3"/>
  <c r="CR152" i="3"/>
  <c r="CS152" i="3"/>
  <c r="CT152" i="3"/>
  <c r="CU152" i="3"/>
  <c r="CV152" i="3"/>
  <c r="CW152" i="3"/>
  <c r="CX152" i="3"/>
  <c r="CY152" i="3"/>
  <c r="CZ152" i="3"/>
  <c r="DA152" i="3"/>
  <c r="DB152" i="3"/>
  <c r="DC152" i="3"/>
  <c r="DD152" i="3"/>
  <c r="DE152" i="3"/>
  <c r="DF152" i="3"/>
  <c r="DG152" i="3"/>
  <c r="CR153" i="3"/>
  <c r="CS153" i="3"/>
  <c r="CT153" i="3"/>
  <c r="CU153" i="3"/>
  <c r="CV153" i="3"/>
  <c r="CW153" i="3"/>
  <c r="CX153" i="3"/>
  <c r="CY153" i="3"/>
  <c r="CZ153" i="3"/>
  <c r="DA153" i="3"/>
  <c r="DB153" i="3"/>
  <c r="DC153" i="3"/>
  <c r="DD153" i="3"/>
  <c r="DE153" i="3"/>
  <c r="DF153" i="3"/>
  <c r="DG153" i="3"/>
  <c r="CR154" i="3"/>
  <c r="CS154" i="3"/>
  <c r="CT154" i="3"/>
  <c r="CU154" i="3"/>
  <c r="CV154" i="3"/>
  <c r="CW154" i="3"/>
  <c r="CX154" i="3"/>
  <c r="CY154" i="3"/>
  <c r="CZ154" i="3"/>
  <c r="DA154" i="3"/>
  <c r="DB154" i="3"/>
  <c r="DC154" i="3"/>
  <c r="DD154" i="3"/>
  <c r="DE154" i="3"/>
  <c r="DF154" i="3"/>
  <c r="DG154" i="3"/>
  <c r="CR155" i="3"/>
  <c r="CS155" i="3"/>
  <c r="CT155" i="3"/>
  <c r="CU155" i="3"/>
  <c r="CV155" i="3"/>
  <c r="CW155" i="3"/>
  <c r="CX155" i="3"/>
  <c r="CY155" i="3"/>
  <c r="CZ155" i="3"/>
  <c r="DA155" i="3"/>
  <c r="DB155" i="3"/>
  <c r="DC155" i="3"/>
  <c r="DD155" i="3"/>
  <c r="DE155" i="3"/>
  <c r="DF155" i="3"/>
  <c r="DG155" i="3"/>
  <c r="CR156" i="3"/>
  <c r="CS156" i="3"/>
  <c r="CT156" i="3"/>
  <c r="CU156" i="3"/>
  <c r="CV156" i="3"/>
  <c r="CW156" i="3"/>
  <c r="CX156" i="3"/>
  <c r="CY156" i="3"/>
  <c r="CZ156" i="3"/>
  <c r="DA156" i="3"/>
  <c r="DB156" i="3"/>
  <c r="DC156" i="3"/>
  <c r="DD156" i="3"/>
  <c r="DE156" i="3"/>
  <c r="DF156" i="3"/>
  <c r="DG156" i="3"/>
  <c r="CR157" i="3"/>
  <c r="CS157" i="3"/>
  <c r="CT157" i="3"/>
  <c r="CU157" i="3"/>
  <c r="CV157" i="3"/>
  <c r="CW157" i="3"/>
  <c r="CX157" i="3"/>
  <c r="CY157" i="3"/>
  <c r="CZ157" i="3"/>
  <c r="DA157" i="3"/>
  <c r="DB157" i="3"/>
  <c r="DC157" i="3"/>
  <c r="DD157" i="3"/>
  <c r="DE157" i="3"/>
  <c r="DF157" i="3"/>
  <c r="DG157" i="3"/>
  <c r="CR158" i="3"/>
  <c r="CS158" i="3"/>
  <c r="CT158" i="3"/>
  <c r="CU158" i="3"/>
  <c r="CV158" i="3"/>
  <c r="CW158" i="3"/>
  <c r="CX158" i="3"/>
  <c r="CY158" i="3"/>
  <c r="CZ158" i="3"/>
  <c r="DA158" i="3"/>
  <c r="DB158" i="3"/>
  <c r="DC158" i="3"/>
  <c r="DD158" i="3"/>
  <c r="DE158" i="3"/>
  <c r="DF158" i="3"/>
  <c r="DG158" i="3"/>
  <c r="CR159" i="3"/>
  <c r="CS159" i="3"/>
  <c r="CT159" i="3"/>
  <c r="CU159" i="3"/>
  <c r="CV159" i="3"/>
  <c r="CW159" i="3"/>
  <c r="CX159" i="3"/>
  <c r="CY159" i="3"/>
  <c r="CZ159" i="3"/>
  <c r="DA159" i="3"/>
  <c r="DB159" i="3"/>
  <c r="DC159" i="3"/>
  <c r="DD159" i="3"/>
  <c r="DE159" i="3"/>
  <c r="DF159" i="3"/>
  <c r="DG159" i="3"/>
  <c r="CR160" i="3"/>
  <c r="CS160" i="3"/>
  <c r="CT160" i="3"/>
  <c r="CU160" i="3"/>
  <c r="CV160" i="3"/>
  <c r="CW160" i="3"/>
  <c r="CX160" i="3"/>
  <c r="CY160" i="3"/>
  <c r="CZ160" i="3"/>
  <c r="DA160" i="3"/>
  <c r="DB160" i="3"/>
  <c r="DC160" i="3"/>
  <c r="DD160" i="3"/>
  <c r="DE160" i="3"/>
  <c r="DF160" i="3"/>
  <c r="DG160" i="3"/>
  <c r="CR161" i="3"/>
  <c r="CS161" i="3"/>
  <c r="CT161" i="3"/>
  <c r="CU161" i="3"/>
  <c r="CV161" i="3"/>
  <c r="CW161" i="3"/>
  <c r="CX161" i="3"/>
  <c r="CY161" i="3"/>
  <c r="CZ161" i="3"/>
  <c r="DA161" i="3"/>
  <c r="DB161" i="3"/>
  <c r="DC161" i="3"/>
  <c r="DD161" i="3"/>
  <c r="DE161" i="3"/>
  <c r="DF161" i="3"/>
  <c r="DG161" i="3"/>
  <c r="CR162" i="3"/>
  <c r="CS162" i="3"/>
  <c r="CT162" i="3"/>
  <c r="CU162" i="3"/>
  <c r="CV162" i="3"/>
  <c r="CW162" i="3"/>
  <c r="CX162" i="3"/>
  <c r="CY162" i="3"/>
  <c r="CZ162" i="3"/>
  <c r="DA162" i="3"/>
  <c r="DB162" i="3"/>
  <c r="DC162" i="3"/>
  <c r="DD162" i="3"/>
  <c r="DE162" i="3"/>
  <c r="DF162" i="3"/>
  <c r="DG162" i="3"/>
  <c r="CR163" i="3"/>
  <c r="CS163" i="3"/>
  <c r="CT163" i="3"/>
  <c r="CU163" i="3"/>
  <c r="CV163" i="3"/>
  <c r="CW163" i="3"/>
  <c r="CX163" i="3"/>
  <c r="CY163" i="3"/>
  <c r="CZ163" i="3"/>
  <c r="DA163" i="3"/>
  <c r="DB163" i="3"/>
  <c r="DC163" i="3"/>
  <c r="DD163" i="3"/>
  <c r="DE163" i="3"/>
  <c r="DF163" i="3"/>
  <c r="DG163" i="3"/>
  <c r="CR164" i="3"/>
  <c r="CS164" i="3"/>
  <c r="CT164" i="3"/>
  <c r="CU164" i="3"/>
  <c r="CV164" i="3"/>
  <c r="CW164" i="3"/>
  <c r="CX164" i="3"/>
  <c r="CY164" i="3"/>
  <c r="CZ164" i="3"/>
  <c r="DA164" i="3"/>
  <c r="DB164" i="3"/>
  <c r="DC164" i="3"/>
  <c r="DD164" i="3"/>
  <c r="DE164" i="3"/>
  <c r="DF164" i="3"/>
  <c r="DG164" i="3"/>
  <c r="CR165" i="3"/>
  <c r="CS165" i="3"/>
  <c r="CT165" i="3"/>
  <c r="CU165" i="3"/>
  <c r="CV165" i="3"/>
  <c r="CW165" i="3"/>
  <c r="CX165" i="3"/>
  <c r="CY165" i="3"/>
  <c r="CZ165" i="3"/>
  <c r="DA165" i="3"/>
  <c r="DB165" i="3"/>
  <c r="DC165" i="3"/>
  <c r="DD165" i="3"/>
  <c r="DE165" i="3"/>
  <c r="DF165" i="3"/>
  <c r="DG165" i="3"/>
  <c r="CR166" i="3"/>
  <c r="CS166" i="3"/>
  <c r="CT166" i="3"/>
  <c r="CU166" i="3"/>
  <c r="CV166" i="3"/>
  <c r="CW166" i="3"/>
  <c r="CX166" i="3"/>
  <c r="CY166" i="3"/>
  <c r="CZ166" i="3"/>
  <c r="DA166" i="3"/>
  <c r="DB166" i="3"/>
  <c r="DC166" i="3"/>
  <c r="DD166" i="3"/>
  <c r="DE166" i="3"/>
  <c r="DF166" i="3"/>
  <c r="DG166" i="3"/>
  <c r="CR167" i="3"/>
  <c r="CS167" i="3"/>
  <c r="CT167" i="3"/>
  <c r="CU167" i="3"/>
  <c r="CV167" i="3"/>
  <c r="CW167" i="3"/>
  <c r="CX167" i="3"/>
  <c r="CY167" i="3"/>
  <c r="CZ167" i="3"/>
  <c r="DA167" i="3"/>
  <c r="DB167" i="3"/>
  <c r="DC167" i="3"/>
  <c r="DD167" i="3"/>
  <c r="DE167" i="3"/>
  <c r="DF167" i="3"/>
  <c r="DG167" i="3"/>
  <c r="CR168" i="3"/>
  <c r="CS168" i="3"/>
  <c r="CT168" i="3"/>
  <c r="CU168" i="3"/>
  <c r="CV168" i="3"/>
  <c r="CW168" i="3"/>
  <c r="CX168" i="3"/>
  <c r="CY168" i="3"/>
  <c r="CZ168" i="3"/>
  <c r="DA168" i="3"/>
  <c r="DB168" i="3"/>
  <c r="DC168" i="3"/>
  <c r="DD168" i="3"/>
  <c r="DE168" i="3"/>
  <c r="DF168" i="3"/>
  <c r="DG168" i="3"/>
  <c r="CR169" i="3"/>
  <c r="CS169" i="3"/>
  <c r="CT169" i="3"/>
  <c r="CU169" i="3"/>
  <c r="CV169" i="3"/>
  <c r="CW169" i="3"/>
  <c r="CX169" i="3"/>
  <c r="CY169" i="3"/>
  <c r="CZ169" i="3"/>
  <c r="DA169" i="3"/>
  <c r="DB169" i="3"/>
  <c r="DC169" i="3"/>
  <c r="DD169" i="3"/>
  <c r="DE169" i="3"/>
  <c r="DF169" i="3"/>
  <c r="DG169" i="3"/>
  <c r="CR170" i="3"/>
  <c r="CS170" i="3"/>
  <c r="CT170" i="3"/>
  <c r="CU170" i="3"/>
  <c r="CV170" i="3"/>
  <c r="CW170" i="3"/>
  <c r="CX170" i="3"/>
  <c r="CY170" i="3"/>
  <c r="CZ170" i="3"/>
  <c r="DA170" i="3"/>
  <c r="DB170" i="3"/>
  <c r="DC170" i="3"/>
  <c r="DD170" i="3"/>
  <c r="DE170" i="3"/>
  <c r="DF170" i="3"/>
  <c r="DG170" i="3"/>
  <c r="CR171" i="3"/>
  <c r="CS171" i="3"/>
  <c r="CT171" i="3"/>
  <c r="CU171" i="3"/>
  <c r="CV171" i="3"/>
  <c r="CW171" i="3"/>
  <c r="CX171" i="3"/>
  <c r="CY171" i="3"/>
  <c r="CZ171" i="3"/>
  <c r="DA171" i="3"/>
  <c r="DB171" i="3"/>
  <c r="DC171" i="3"/>
  <c r="DD171" i="3"/>
  <c r="DE171" i="3"/>
  <c r="DF171" i="3"/>
  <c r="DG171" i="3"/>
  <c r="CR172" i="3"/>
  <c r="CS172" i="3"/>
  <c r="CT172" i="3"/>
  <c r="CU172" i="3"/>
  <c r="CV172" i="3"/>
  <c r="CW172" i="3"/>
  <c r="CX172" i="3"/>
  <c r="CY172" i="3"/>
  <c r="CZ172" i="3"/>
  <c r="DA172" i="3"/>
  <c r="DB172" i="3"/>
  <c r="DC172" i="3"/>
  <c r="DD172" i="3"/>
  <c r="DE172" i="3"/>
  <c r="DF172" i="3"/>
  <c r="DG172" i="3"/>
  <c r="CR173" i="3"/>
  <c r="CS173" i="3"/>
  <c r="CT173" i="3"/>
  <c r="CU173" i="3"/>
  <c r="CV173" i="3"/>
  <c r="CW173" i="3"/>
  <c r="CX173" i="3"/>
  <c r="CY173" i="3"/>
  <c r="CZ173" i="3"/>
  <c r="DA173" i="3"/>
  <c r="DB173" i="3"/>
  <c r="DC173" i="3"/>
  <c r="DD173" i="3"/>
  <c r="DE173" i="3"/>
  <c r="DF173" i="3"/>
  <c r="DG173" i="3"/>
  <c r="CR174" i="3"/>
  <c r="CS174" i="3"/>
  <c r="CT174" i="3"/>
  <c r="CU174" i="3"/>
  <c r="CV174" i="3"/>
  <c r="CW174" i="3"/>
  <c r="CX174" i="3"/>
  <c r="CY174" i="3"/>
  <c r="CZ174" i="3"/>
  <c r="DA174" i="3"/>
  <c r="DB174" i="3"/>
  <c r="DC174" i="3"/>
  <c r="DD174" i="3"/>
  <c r="DE174" i="3"/>
  <c r="DF174" i="3"/>
  <c r="DG174" i="3"/>
  <c r="CR175" i="3"/>
  <c r="CS175" i="3"/>
  <c r="CT175" i="3"/>
  <c r="CU175" i="3"/>
  <c r="CV175" i="3"/>
  <c r="CW175" i="3"/>
  <c r="CX175" i="3"/>
  <c r="CY175" i="3"/>
  <c r="CZ175" i="3"/>
  <c r="DA175" i="3"/>
  <c r="DB175" i="3"/>
  <c r="DC175" i="3"/>
  <c r="DD175" i="3"/>
  <c r="DE175" i="3"/>
  <c r="DF175" i="3"/>
  <c r="DG175" i="3"/>
  <c r="CR176" i="3"/>
  <c r="CS176" i="3"/>
  <c r="CT176" i="3"/>
  <c r="CU176" i="3"/>
  <c r="CV176" i="3"/>
  <c r="CW176" i="3"/>
  <c r="CX176" i="3"/>
  <c r="CY176" i="3"/>
  <c r="CZ176" i="3"/>
  <c r="DA176" i="3"/>
  <c r="DB176" i="3"/>
  <c r="DC176" i="3"/>
  <c r="DD176" i="3"/>
  <c r="DE176" i="3"/>
  <c r="DF176" i="3"/>
  <c r="DG176" i="3"/>
  <c r="CR177" i="3"/>
  <c r="CS177" i="3"/>
  <c r="CT177" i="3"/>
  <c r="CU177" i="3"/>
  <c r="CV177" i="3"/>
  <c r="CW177" i="3"/>
  <c r="CX177" i="3"/>
  <c r="CY177" i="3"/>
  <c r="CZ177" i="3"/>
  <c r="DA177" i="3"/>
  <c r="DB177" i="3"/>
  <c r="DC177" i="3"/>
  <c r="DD177" i="3"/>
  <c r="DE177" i="3"/>
  <c r="DF177" i="3"/>
  <c r="DG177" i="3"/>
  <c r="CR178" i="3"/>
  <c r="CS178" i="3"/>
  <c r="CT178" i="3"/>
  <c r="CU178" i="3"/>
  <c r="CV178" i="3"/>
  <c r="CW178" i="3"/>
  <c r="CX178" i="3"/>
  <c r="CY178" i="3"/>
  <c r="CZ178" i="3"/>
  <c r="DA178" i="3"/>
  <c r="DB178" i="3"/>
  <c r="DC178" i="3"/>
  <c r="DD178" i="3"/>
  <c r="DE178" i="3"/>
  <c r="DF178" i="3"/>
  <c r="DG178" i="3"/>
  <c r="CR179" i="3"/>
  <c r="CS179" i="3"/>
  <c r="CT179" i="3"/>
  <c r="CU179" i="3"/>
  <c r="CV179" i="3"/>
  <c r="CW179" i="3"/>
  <c r="CX179" i="3"/>
  <c r="CY179" i="3"/>
  <c r="CZ179" i="3"/>
  <c r="DA179" i="3"/>
  <c r="DB179" i="3"/>
  <c r="DC179" i="3"/>
  <c r="DD179" i="3"/>
  <c r="DE179" i="3"/>
  <c r="DF179" i="3"/>
  <c r="DG179" i="3"/>
  <c r="CR180" i="3"/>
  <c r="CS180" i="3"/>
  <c r="CT180" i="3"/>
  <c r="CU180" i="3"/>
  <c r="CV180" i="3"/>
  <c r="CW180" i="3"/>
  <c r="CX180" i="3"/>
  <c r="CY180" i="3"/>
  <c r="CZ180" i="3"/>
  <c r="DA180" i="3"/>
  <c r="DB180" i="3"/>
  <c r="DC180" i="3"/>
  <c r="DD180" i="3"/>
  <c r="DE180" i="3"/>
  <c r="DF180" i="3"/>
  <c r="DG180" i="3"/>
  <c r="CR181" i="3"/>
  <c r="CS181" i="3"/>
  <c r="CT181" i="3"/>
  <c r="CU181" i="3"/>
  <c r="CV181" i="3"/>
  <c r="CW181" i="3"/>
  <c r="CX181" i="3"/>
  <c r="CY181" i="3"/>
  <c r="CZ181" i="3"/>
  <c r="DA181" i="3"/>
  <c r="DB181" i="3"/>
  <c r="DC181" i="3"/>
  <c r="DD181" i="3"/>
  <c r="DE181" i="3"/>
  <c r="DF181" i="3"/>
  <c r="DG181" i="3"/>
  <c r="CR182" i="3"/>
  <c r="CS182" i="3"/>
  <c r="CT182" i="3"/>
  <c r="CU182" i="3"/>
  <c r="CV182" i="3"/>
  <c r="CW182" i="3"/>
  <c r="CX182" i="3"/>
  <c r="CY182" i="3"/>
  <c r="CZ182" i="3"/>
  <c r="DA182" i="3"/>
  <c r="DB182" i="3"/>
  <c r="DC182" i="3"/>
  <c r="DD182" i="3"/>
  <c r="DE182" i="3"/>
  <c r="DF182" i="3"/>
  <c r="DG182" i="3"/>
  <c r="CR183" i="3"/>
  <c r="CS183" i="3"/>
  <c r="CT183" i="3"/>
  <c r="CU183" i="3"/>
  <c r="CV183" i="3"/>
  <c r="CW183" i="3"/>
  <c r="CX183" i="3"/>
  <c r="CY183" i="3"/>
  <c r="CZ183" i="3"/>
  <c r="DA183" i="3"/>
  <c r="DB183" i="3"/>
  <c r="DC183" i="3"/>
  <c r="DD183" i="3"/>
  <c r="DE183" i="3"/>
  <c r="DF183" i="3"/>
  <c r="DG183" i="3"/>
  <c r="CR184" i="3"/>
  <c r="CS184" i="3"/>
  <c r="CT184" i="3"/>
  <c r="CU184" i="3"/>
  <c r="CV184" i="3"/>
  <c r="CW184" i="3"/>
  <c r="CX184" i="3"/>
  <c r="CY184" i="3"/>
  <c r="CZ184" i="3"/>
  <c r="DA184" i="3"/>
  <c r="DB184" i="3"/>
  <c r="DC184" i="3"/>
  <c r="DD184" i="3"/>
  <c r="DE184" i="3"/>
  <c r="DF184" i="3"/>
  <c r="DG184" i="3"/>
  <c r="CR185" i="3"/>
  <c r="CS185" i="3"/>
  <c r="CT185" i="3"/>
  <c r="CU185" i="3"/>
  <c r="CV185" i="3"/>
  <c r="CW185" i="3"/>
  <c r="CX185" i="3"/>
  <c r="CY185" i="3"/>
  <c r="CZ185" i="3"/>
  <c r="DA185" i="3"/>
  <c r="DB185" i="3"/>
  <c r="DC185" i="3"/>
  <c r="DD185" i="3"/>
  <c r="DE185" i="3"/>
  <c r="DF185" i="3"/>
  <c r="DG185" i="3"/>
  <c r="CR186" i="3"/>
  <c r="CS186" i="3"/>
  <c r="CT186" i="3"/>
  <c r="CU186" i="3"/>
  <c r="CV186" i="3"/>
  <c r="CW186" i="3"/>
  <c r="CX186" i="3"/>
  <c r="CY186" i="3"/>
  <c r="CZ186" i="3"/>
  <c r="DA186" i="3"/>
  <c r="DB186" i="3"/>
  <c r="DC186" i="3"/>
  <c r="DD186" i="3"/>
  <c r="DE186" i="3"/>
  <c r="DF186" i="3"/>
  <c r="DG186" i="3"/>
  <c r="CR187" i="3"/>
  <c r="CS187" i="3"/>
  <c r="CT187" i="3"/>
  <c r="CU187" i="3"/>
  <c r="CV187" i="3"/>
  <c r="CW187" i="3"/>
  <c r="CX187" i="3"/>
  <c r="CY187" i="3"/>
  <c r="CZ187" i="3"/>
  <c r="DA187" i="3"/>
  <c r="DB187" i="3"/>
  <c r="DC187" i="3"/>
  <c r="DD187" i="3"/>
  <c r="DE187" i="3"/>
  <c r="DF187" i="3"/>
  <c r="DG187" i="3"/>
  <c r="CR188" i="3"/>
  <c r="CS188" i="3"/>
  <c r="CT188" i="3"/>
  <c r="CU188" i="3"/>
  <c r="CV188" i="3"/>
  <c r="CW188" i="3"/>
  <c r="CX188" i="3"/>
  <c r="CY188" i="3"/>
  <c r="CZ188" i="3"/>
  <c r="DA188" i="3"/>
  <c r="DB188" i="3"/>
  <c r="DC188" i="3"/>
  <c r="DD188" i="3"/>
  <c r="DE188" i="3"/>
  <c r="DF188" i="3"/>
  <c r="DG188" i="3"/>
  <c r="CR189" i="3"/>
  <c r="CS189" i="3"/>
  <c r="CT189" i="3"/>
  <c r="CU189" i="3"/>
  <c r="CV189" i="3"/>
  <c r="CW189" i="3"/>
  <c r="CX189" i="3"/>
  <c r="CY189" i="3"/>
  <c r="CZ189" i="3"/>
  <c r="DA189" i="3"/>
  <c r="DB189" i="3"/>
  <c r="DC189" i="3"/>
  <c r="DD189" i="3"/>
  <c r="DE189" i="3"/>
  <c r="DF189" i="3"/>
  <c r="DG189" i="3"/>
  <c r="CR190" i="3"/>
  <c r="CS190" i="3"/>
  <c r="CT190" i="3"/>
  <c r="CU190" i="3"/>
  <c r="CV190" i="3"/>
  <c r="CW190" i="3"/>
  <c r="CX190" i="3"/>
  <c r="CY190" i="3"/>
  <c r="CZ190" i="3"/>
  <c r="DA190" i="3"/>
  <c r="DB190" i="3"/>
  <c r="DC190" i="3"/>
  <c r="DD190" i="3"/>
  <c r="DE190" i="3"/>
  <c r="DF190" i="3"/>
  <c r="DG190" i="3"/>
  <c r="CR191" i="3"/>
  <c r="CS191" i="3"/>
  <c r="CT191" i="3"/>
  <c r="CU191" i="3"/>
  <c r="CV191" i="3"/>
  <c r="CW191" i="3"/>
  <c r="CX191" i="3"/>
  <c r="CY191" i="3"/>
  <c r="CZ191" i="3"/>
  <c r="DA191" i="3"/>
  <c r="DB191" i="3"/>
  <c r="DC191" i="3"/>
  <c r="DD191" i="3"/>
  <c r="DE191" i="3"/>
  <c r="DF191" i="3"/>
  <c r="DG191" i="3"/>
  <c r="CR192" i="3"/>
  <c r="CS192" i="3"/>
  <c r="CT192" i="3"/>
  <c r="CU192" i="3"/>
  <c r="CV192" i="3"/>
  <c r="CW192" i="3"/>
  <c r="CX192" i="3"/>
  <c r="CY192" i="3"/>
  <c r="CZ192" i="3"/>
  <c r="DA192" i="3"/>
  <c r="DB192" i="3"/>
  <c r="DC192" i="3"/>
  <c r="DD192" i="3"/>
  <c r="DE192" i="3"/>
  <c r="DF192" i="3"/>
  <c r="DG192" i="3"/>
  <c r="CR193" i="3"/>
  <c r="CS193" i="3"/>
  <c r="CT193" i="3"/>
  <c r="CU193" i="3"/>
  <c r="CV193" i="3"/>
  <c r="CW193" i="3"/>
  <c r="CX193" i="3"/>
  <c r="CY193" i="3"/>
  <c r="CZ193" i="3"/>
  <c r="DA193" i="3"/>
  <c r="DB193" i="3"/>
  <c r="DC193" i="3"/>
  <c r="DD193" i="3"/>
  <c r="DE193" i="3"/>
  <c r="DF193" i="3"/>
  <c r="DG193" i="3"/>
  <c r="CR194" i="3"/>
  <c r="CS194" i="3"/>
  <c r="CT194" i="3"/>
  <c r="CU194" i="3"/>
  <c r="CV194" i="3"/>
  <c r="CW194" i="3"/>
  <c r="CX194" i="3"/>
  <c r="CY194" i="3"/>
  <c r="CZ194" i="3"/>
  <c r="DA194" i="3"/>
  <c r="DB194" i="3"/>
  <c r="DC194" i="3"/>
  <c r="DD194" i="3"/>
  <c r="DE194" i="3"/>
  <c r="DF194" i="3"/>
  <c r="DG194" i="3"/>
  <c r="CR195" i="3"/>
  <c r="CS195" i="3"/>
  <c r="CT195" i="3"/>
  <c r="CU195" i="3"/>
  <c r="CV195" i="3"/>
  <c r="CW195" i="3"/>
  <c r="CX195" i="3"/>
  <c r="CY195" i="3"/>
  <c r="CZ195" i="3"/>
  <c r="DA195" i="3"/>
  <c r="DB195" i="3"/>
  <c r="DC195" i="3"/>
  <c r="DD195" i="3"/>
  <c r="DE195" i="3"/>
  <c r="DF195" i="3"/>
  <c r="DG195" i="3"/>
  <c r="CR196" i="3"/>
  <c r="CS196" i="3"/>
  <c r="CT196" i="3"/>
  <c r="CU196" i="3"/>
  <c r="CV196" i="3"/>
  <c r="CW196" i="3"/>
  <c r="CX196" i="3"/>
  <c r="CY196" i="3"/>
  <c r="CZ196" i="3"/>
  <c r="DA196" i="3"/>
  <c r="DB196" i="3"/>
  <c r="DC196" i="3"/>
  <c r="DD196" i="3"/>
  <c r="DE196" i="3"/>
  <c r="DF196" i="3"/>
  <c r="DG196" i="3"/>
  <c r="CR197" i="3"/>
  <c r="CS197" i="3"/>
  <c r="CT197" i="3"/>
  <c r="CU197" i="3"/>
  <c r="CV197" i="3"/>
  <c r="CW197" i="3"/>
  <c r="CX197" i="3"/>
  <c r="CY197" i="3"/>
  <c r="CZ197" i="3"/>
  <c r="DA197" i="3"/>
  <c r="DB197" i="3"/>
  <c r="DC197" i="3"/>
  <c r="DD197" i="3"/>
  <c r="DE197" i="3"/>
  <c r="DF197" i="3"/>
  <c r="DG197" i="3"/>
  <c r="CR198" i="3"/>
  <c r="CS198" i="3"/>
  <c r="CT198" i="3"/>
  <c r="CU198" i="3"/>
  <c r="CV198" i="3"/>
  <c r="CW198" i="3"/>
  <c r="CX198" i="3"/>
  <c r="CY198" i="3"/>
  <c r="CZ198" i="3"/>
  <c r="DA198" i="3"/>
  <c r="DB198" i="3"/>
  <c r="DC198" i="3"/>
  <c r="DD198" i="3"/>
  <c r="DE198" i="3"/>
  <c r="DF198" i="3"/>
  <c r="DG198" i="3"/>
  <c r="CR199" i="3"/>
  <c r="CS199" i="3"/>
  <c r="CT199" i="3"/>
  <c r="CU199" i="3"/>
  <c r="CV199" i="3"/>
  <c r="CW199" i="3"/>
  <c r="CX199" i="3"/>
  <c r="CY199" i="3"/>
  <c r="CZ199" i="3"/>
  <c r="DA199" i="3"/>
  <c r="DB199" i="3"/>
  <c r="DC199" i="3"/>
  <c r="DD199" i="3"/>
  <c r="DE199" i="3"/>
  <c r="DF199" i="3"/>
  <c r="DG199" i="3"/>
  <c r="CR200" i="3"/>
  <c r="CS200" i="3"/>
  <c r="CT200" i="3"/>
  <c r="CU200" i="3"/>
  <c r="CV200" i="3"/>
  <c r="CW200" i="3"/>
  <c r="CX200" i="3"/>
  <c r="CY200" i="3"/>
  <c r="CZ200" i="3"/>
  <c r="DA200" i="3"/>
  <c r="DB200" i="3"/>
  <c r="DC200" i="3"/>
  <c r="DD200" i="3"/>
  <c r="DE200" i="3"/>
  <c r="DF200" i="3"/>
  <c r="DG200" i="3"/>
  <c r="CR201" i="3"/>
  <c r="CS201" i="3"/>
  <c r="CT201" i="3"/>
  <c r="CU201" i="3"/>
  <c r="CV201" i="3"/>
  <c r="CW201" i="3"/>
  <c r="CX201" i="3"/>
  <c r="CY201" i="3"/>
  <c r="CZ201" i="3"/>
  <c r="DA201" i="3"/>
  <c r="DB201" i="3"/>
  <c r="DC201" i="3"/>
  <c r="DD201" i="3"/>
  <c r="DE201" i="3"/>
  <c r="DF201" i="3"/>
  <c r="DG201" i="3"/>
  <c r="CR202" i="3"/>
  <c r="CS202" i="3"/>
  <c r="CT202" i="3"/>
  <c r="CU202" i="3"/>
  <c r="CV202" i="3"/>
  <c r="CW202" i="3"/>
  <c r="CX202" i="3"/>
  <c r="CY202" i="3"/>
  <c r="CZ202" i="3"/>
  <c r="DA202" i="3"/>
  <c r="DB202" i="3"/>
  <c r="DC202" i="3"/>
  <c r="DD202" i="3"/>
  <c r="DE202" i="3"/>
  <c r="DF202" i="3"/>
  <c r="DG202" i="3"/>
  <c r="CR203" i="3"/>
  <c r="CS203" i="3"/>
  <c r="CT203" i="3"/>
  <c r="CU203" i="3"/>
  <c r="CV203" i="3"/>
  <c r="CW203" i="3"/>
  <c r="CX203" i="3"/>
  <c r="CY203" i="3"/>
  <c r="CZ203" i="3"/>
  <c r="DA203" i="3"/>
  <c r="DB203" i="3"/>
  <c r="DC203" i="3"/>
  <c r="DD203" i="3"/>
  <c r="DE203" i="3"/>
  <c r="DF203" i="3"/>
  <c r="DG203" i="3"/>
  <c r="CR204" i="3"/>
  <c r="CS204" i="3"/>
  <c r="CT204" i="3"/>
  <c r="CU204" i="3"/>
  <c r="CV204" i="3"/>
  <c r="CW204" i="3"/>
  <c r="CX204" i="3"/>
  <c r="CY204" i="3"/>
  <c r="CZ204" i="3"/>
  <c r="DA204" i="3"/>
  <c r="DB204" i="3"/>
  <c r="DC204" i="3"/>
  <c r="DD204" i="3"/>
  <c r="DE204" i="3"/>
  <c r="DF204" i="3"/>
  <c r="DG204" i="3"/>
  <c r="CR205" i="3"/>
  <c r="CS205" i="3"/>
  <c r="CT205" i="3"/>
  <c r="CU205" i="3"/>
  <c r="CV205" i="3"/>
  <c r="CW205" i="3"/>
  <c r="CX205" i="3"/>
  <c r="CY205" i="3"/>
  <c r="CZ205" i="3"/>
  <c r="DA205" i="3"/>
  <c r="DB205" i="3"/>
  <c r="DC205" i="3"/>
  <c r="DD205" i="3"/>
  <c r="DE205" i="3"/>
  <c r="DF205" i="3"/>
  <c r="DG205" i="3"/>
  <c r="CR206" i="3"/>
  <c r="CS206" i="3"/>
  <c r="CT206" i="3"/>
  <c r="CU206" i="3"/>
  <c r="CV206" i="3"/>
  <c r="CW206" i="3"/>
  <c r="CX206" i="3"/>
  <c r="CY206" i="3"/>
  <c r="CZ206" i="3"/>
  <c r="DA206" i="3"/>
  <c r="DB206" i="3"/>
  <c r="DC206" i="3"/>
  <c r="DD206" i="3"/>
  <c r="DE206" i="3"/>
  <c r="DF206" i="3"/>
  <c r="DG206" i="3"/>
  <c r="CR207" i="3"/>
  <c r="CS207" i="3"/>
  <c r="CT207" i="3"/>
  <c r="CU207" i="3"/>
  <c r="CV207" i="3"/>
  <c r="CW207" i="3"/>
  <c r="CX207" i="3"/>
  <c r="CY207" i="3"/>
  <c r="CZ207" i="3"/>
  <c r="DA207" i="3"/>
  <c r="DB207" i="3"/>
  <c r="DC207" i="3"/>
  <c r="DD207" i="3"/>
  <c r="DE207" i="3"/>
  <c r="DF207" i="3"/>
  <c r="DG207" i="3"/>
  <c r="CR208" i="3"/>
  <c r="CS208" i="3"/>
  <c r="CT208" i="3"/>
  <c r="CU208" i="3"/>
  <c r="CV208" i="3"/>
  <c r="CW208" i="3"/>
  <c r="CX208" i="3"/>
  <c r="CY208" i="3"/>
  <c r="CZ208" i="3"/>
  <c r="DA208" i="3"/>
  <c r="DB208" i="3"/>
  <c r="DC208" i="3"/>
  <c r="DD208" i="3"/>
  <c r="DE208" i="3"/>
  <c r="DF208" i="3"/>
  <c r="DG208" i="3"/>
  <c r="CR209" i="3"/>
  <c r="CS209" i="3"/>
  <c r="CT209" i="3"/>
  <c r="CU209" i="3"/>
  <c r="CV209" i="3"/>
  <c r="CW209" i="3"/>
  <c r="CX209" i="3"/>
  <c r="CY209" i="3"/>
  <c r="CZ209" i="3"/>
  <c r="DA209" i="3"/>
  <c r="DB209" i="3"/>
  <c r="DC209" i="3"/>
  <c r="DD209" i="3"/>
  <c r="DE209" i="3"/>
  <c r="DF209" i="3"/>
  <c r="DG209" i="3"/>
  <c r="CR210" i="3"/>
  <c r="CS210" i="3"/>
  <c r="CT210" i="3"/>
  <c r="CU210" i="3"/>
  <c r="CV210" i="3"/>
  <c r="CW210" i="3"/>
  <c r="CX210" i="3"/>
  <c r="CY210" i="3"/>
  <c r="CZ210" i="3"/>
  <c r="DA210" i="3"/>
  <c r="DB210" i="3"/>
  <c r="DC210" i="3"/>
  <c r="DD210" i="3"/>
  <c r="DE210" i="3"/>
  <c r="DF210" i="3"/>
  <c r="DG210" i="3"/>
  <c r="CR211" i="3"/>
  <c r="CS211" i="3"/>
  <c r="CT211" i="3"/>
  <c r="CU211" i="3"/>
  <c r="CV211" i="3"/>
  <c r="CW211" i="3"/>
  <c r="CX211" i="3"/>
  <c r="CY211" i="3"/>
  <c r="CZ211" i="3"/>
  <c r="DA211" i="3"/>
  <c r="DB211" i="3"/>
  <c r="DC211" i="3"/>
  <c r="DD211" i="3"/>
  <c r="DE211" i="3"/>
  <c r="DF211" i="3"/>
  <c r="DG211" i="3"/>
  <c r="CR212" i="3"/>
  <c r="CS212" i="3"/>
  <c r="CT212" i="3"/>
  <c r="CU212" i="3"/>
  <c r="CV212" i="3"/>
  <c r="CW212" i="3"/>
  <c r="CX212" i="3"/>
  <c r="CY212" i="3"/>
  <c r="CZ212" i="3"/>
  <c r="DA212" i="3"/>
  <c r="DB212" i="3"/>
  <c r="DC212" i="3"/>
  <c r="DD212" i="3"/>
  <c r="DE212" i="3"/>
  <c r="DF212" i="3"/>
  <c r="DG212" i="3"/>
  <c r="CR213" i="3"/>
  <c r="CS213" i="3"/>
  <c r="CT213" i="3"/>
  <c r="CU213" i="3"/>
  <c r="CV213" i="3"/>
  <c r="CW213" i="3"/>
  <c r="CX213" i="3"/>
  <c r="CY213" i="3"/>
  <c r="CZ213" i="3"/>
  <c r="DA213" i="3"/>
  <c r="DB213" i="3"/>
  <c r="DC213" i="3"/>
  <c r="DD213" i="3"/>
  <c r="DE213" i="3"/>
  <c r="DF213" i="3"/>
  <c r="DG213" i="3"/>
  <c r="CR214" i="3"/>
  <c r="CS214" i="3"/>
  <c r="CT214" i="3"/>
  <c r="CU214" i="3"/>
  <c r="CV214" i="3"/>
  <c r="CW214" i="3"/>
  <c r="CX214" i="3"/>
  <c r="CY214" i="3"/>
  <c r="CZ214" i="3"/>
  <c r="DA214" i="3"/>
  <c r="DB214" i="3"/>
  <c r="DC214" i="3"/>
  <c r="DD214" i="3"/>
  <c r="DE214" i="3"/>
  <c r="DF214" i="3"/>
  <c r="DG214" i="3"/>
  <c r="CR215" i="3"/>
  <c r="CS215" i="3"/>
  <c r="CT215" i="3"/>
  <c r="CU215" i="3"/>
  <c r="CV215" i="3"/>
  <c r="CW215" i="3"/>
  <c r="CX215" i="3"/>
  <c r="CY215" i="3"/>
  <c r="CZ215" i="3"/>
  <c r="DA215" i="3"/>
  <c r="DB215" i="3"/>
  <c r="DC215" i="3"/>
  <c r="DD215" i="3"/>
  <c r="DE215" i="3"/>
  <c r="DF215" i="3"/>
  <c r="DG215" i="3"/>
  <c r="CR216" i="3"/>
  <c r="CS216" i="3"/>
  <c r="CT216" i="3"/>
  <c r="CU216" i="3"/>
  <c r="CV216" i="3"/>
  <c r="CW216" i="3"/>
  <c r="CX216" i="3"/>
  <c r="CY216" i="3"/>
  <c r="CZ216" i="3"/>
  <c r="DA216" i="3"/>
  <c r="DB216" i="3"/>
  <c r="DC216" i="3"/>
  <c r="DD216" i="3"/>
  <c r="DE216" i="3"/>
  <c r="DF216" i="3"/>
  <c r="DG216" i="3"/>
  <c r="CR217" i="3"/>
  <c r="CS217" i="3"/>
  <c r="CT217" i="3"/>
  <c r="CU217" i="3"/>
  <c r="CV217" i="3"/>
  <c r="CW217" i="3"/>
  <c r="CX217" i="3"/>
  <c r="CY217" i="3"/>
  <c r="CZ217" i="3"/>
  <c r="DA217" i="3"/>
  <c r="DB217" i="3"/>
  <c r="DC217" i="3"/>
  <c r="DD217" i="3"/>
  <c r="DE217" i="3"/>
  <c r="DF217" i="3"/>
  <c r="DG217" i="3"/>
  <c r="CR218" i="3"/>
  <c r="CS218" i="3"/>
  <c r="CT218" i="3"/>
  <c r="CU218" i="3"/>
  <c r="CV218" i="3"/>
  <c r="CW218" i="3"/>
  <c r="CX218" i="3"/>
  <c r="CY218" i="3"/>
  <c r="CZ218" i="3"/>
  <c r="DA218" i="3"/>
  <c r="DB218" i="3"/>
  <c r="DC218" i="3"/>
  <c r="DD218" i="3"/>
  <c r="DE218" i="3"/>
  <c r="DF218" i="3"/>
  <c r="DG218" i="3"/>
  <c r="CR219" i="3"/>
  <c r="CS219" i="3"/>
  <c r="CT219" i="3"/>
  <c r="CU219" i="3"/>
  <c r="CV219" i="3"/>
  <c r="CW219" i="3"/>
  <c r="CX219" i="3"/>
  <c r="CY219" i="3"/>
  <c r="CZ219" i="3"/>
  <c r="DA219" i="3"/>
  <c r="DB219" i="3"/>
  <c r="DC219" i="3"/>
  <c r="DD219" i="3"/>
  <c r="DE219" i="3"/>
  <c r="DF219" i="3"/>
  <c r="DG219" i="3"/>
  <c r="CR220" i="3"/>
  <c r="CS220" i="3"/>
  <c r="CT220" i="3"/>
  <c r="CU220" i="3"/>
  <c r="CV220" i="3"/>
  <c r="CW220" i="3"/>
  <c r="CX220" i="3"/>
  <c r="CY220" i="3"/>
  <c r="CZ220" i="3"/>
  <c r="DA220" i="3"/>
  <c r="DB220" i="3"/>
  <c r="DC220" i="3"/>
  <c r="DD220" i="3"/>
  <c r="DE220" i="3"/>
  <c r="DF220" i="3"/>
  <c r="DG220" i="3"/>
  <c r="CR221" i="3"/>
  <c r="CS221" i="3"/>
  <c r="CT221" i="3"/>
  <c r="CU221" i="3"/>
  <c r="CV221" i="3"/>
  <c r="CW221" i="3"/>
  <c r="CX221" i="3"/>
  <c r="CY221" i="3"/>
  <c r="CZ221" i="3"/>
  <c r="DA221" i="3"/>
  <c r="DB221" i="3"/>
  <c r="DC221" i="3"/>
  <c r="DD221" i="3"/>
  <c r="DE221" i="3"/>
  <c r="DF221" i="3"/>
  <c r="DG221" i="3"/>
  <c r="CR222" i="3"/>
  <c r="CS222" i="3"/>
  <c r="CT222" i="3"/>
  <c r="CU222" i="3"/>
  <c r="CV222" i="3"/>
  <c r="CW222" i="3"/>
  <c r="CX222" i="3"/>
  <c r="CY222" i="3"/>
  <c r="CZ222" i="3"/>
  <c r="DA222" i="3"/>
  <c r="DB222" i="3"/>
  <c r="DC222" i="3"/>
  <c r="DD222" i="3"/>
  <c r="DE222" i="3"/>
  <c r="DF222" i="3"/>
  <c r="DG222" i="3"/>
  <c r="CR223" i="3"/>
  <c r="CS223" i="3"/>
  <c r="CT223" i="3"/>
  <c r="CU223" i="3"/>
  <c r="CV223" i="3"/>
  <c r="CW223" i="3"/>
  <c r="CX223" i="3"/>
  <c r="CY223" i="3"/>
  <c r="CZ223" i="3"/>
  <c r="DA223" i="3"/>
  <c r="DB223" i="3"/>
  <c r="DC223" i="3"/>
  <c r="DD223" i="3"/>
  <c r="DE223" i="3"/>
  <c r="DF223" i="3"/>
  <c r="DG223" i="3"/>
  <c r="CR224" i="3"/>
  <c r="CS224" i="3"/>
  <c r="CT224" i="3"/>
  <c r="CU224" i="3"/>
  <c r="CV224" i="3"/>
  <c r="CW224" i="3"/>
  <c r="CX224" i="3"/>
  <c r="CY224" i="3"/>
  <c r="CZ224" i="3"/>
  <c r="DA224" i="3"/>
  <c r="DB224" i="3"/>
  <c r="DC224" i="3"/>
  <c r="DD224" i="3"/>
  <c r="DE224" i="3"/>
  <c r="DF224" i="3"/>
  <c r="DG224" i="3"/>
  <c r="CR225" i="3"/>
  <c r="CS225" i="3"/>
  <c r="CT225" i="3"/>
  <c r="CU225" i="3"/>
  <c r="CV225" i="3"/>
  <c r="CW225" i="3"/>
  <c r="CX225" i="3"/>
  <c r="CY225" i="3"/>
  <c r="CZ225" i="3"/>
  <c r="DA225" i="3"/>
  <c r="DB225" i="3"/>
  <c r="DC225" i="3"/>
  <c r="DD225" i="3"/>
  <c r="DE225" i="3"/>
  <c r="DF225" i="3"/>
  <c r="DG225" i="3"/>
  <c r="CR226" i="3"/>
  <c r="CS226" i="3"/>
  <c r="CT226" i="3"/>
  <c r="CU226" i="3"/>
  <c r="CV226" i="3"/>
  <c r="CW226" i="3"/>
  <c r="CX226" i="3"/>
  <c r="CY226" i="3"/>
  <c r="CZ226" i="3"/>
  <c r="DA226" i="3"/>
  <c r="DB226" i="3"/>
  <c r="DC226" i="3"/>
  <c r="DD226" i="3"/>
  <c r="DE226" i="3"/>
  <c r="DF226" i="3"/>
  <c r="DG226" i="3"/>
  <c r="CR227" i="3"/>
  <c r="CS227" i="3"/>
  <c r="CT227" i="3"/>
  <c r="CU227" i="3"/>
  <c r="CV227" i="3"/>
  <c r="CW227" i="3"/>
  <c r="CX227" i="3"/>
  <c r="CY227" i="3"/>
  <c r="CZ227" i="3"/>
  <c r="DA227" i="3"/>
  <c r="DB227" i="3"/>
  <c r="DC227" i="3"/>
  <c r="DD227" i="3"/>
  <c r="DE227" i="3"/>
  <c r="DF227" i="3"/>
  <c r="DG227" i="3"/>
  <c r="CR228" i="3"/>
  <c r="CS228" i="3"/>
  <c r="CT228" i="3"/>
  <c r="CU228" i="3"/>
  <c r="CV228" i="3"/>
  <c r="CW228" i="3"/>
  <c r="CX228" i="3"/>
  <c r="CY228" i="3"/>
  <c r="CZ228" i="3"/>
  <c r="DA228" i="3"/>
  <c r="DB228" i="3"/>
  <c r="DC228" i="3"/>
  <c r="DD228" i="3"/>
  <c r="DE228" i="3"/>
  <c r="DF228" i="3"/>
  <c r="DG228" i="3"/>
  <c r="CR229" i="3"/>
  <c r="CS229" i="3"/>
  <c r="CT229" i="3"/>
  <c r="CU229" i="3"/>
  <c r="CV229" i="3"/>
  <c r="CW229" i="3"/>
  <c r="CX229" i="3"/>
  <c r="CY229" i="3"/>
  <c r="CZ229" i="3"/>
  <c r="DA229" i="3"/>
  <c r="DB229" i="3"/>
  <c r="DC229" i="3"/>
  <c r="DD229" i="3"/>
  <c r="DE229" i="3"/>
  <c r="DF229" i="3"/>
  <c r="DG229" i="3"/>
  <c r="CR230" i="3"/>
  <c r="CS230" i="3"/>
  <c r="CT230" i="3"/>
  <c r="CU230" i="3"/>
  <c r="CV230" i="3"/>
  <c r="CW230" i="3"/>
  <c r="CX230" i="3"/>
  <c r="CY230" i="3"/>
  <c r="CZ230" i="3"/>
  <c r="DA230" i="3"/>
  <c r="DB230" i="3"/>
  <c r="DC230" i="3"/>
  <c r="DD230" i="3"/>
  <c r="DE230" i="3"/>
  <c r="DF230" i="3"/>
  <c r="DG230" i="3"/>
  <c r="CR231" i="3"/>
  <c r="CS231" i="3"/>
  <c r="CT231" i="3"/>
  <c r="CU231" i="3"/>
  <c r="CV231" i="3"/>
  <c r="CW231" i="3"/>
  <c r="CX231" i="3"/>
  <c r="CY231" i="3"/>
  <c r="CZ231" i="3"/>
  <c r="DA231" i="3"/>
  <c r="DB231" i="3"/>
  <c r="DC231" i="3"/>
  <c r="DD231" i="3"/>
  <c r="DE231" i="3"/>
  <c r="DF231" i="3"/>
  <c r="DG231" i="3"/>
  <c r="CR232" i="3"/>
  <c r="CS232" i="3"/>
  <c r="CT232" i="3"/>
  <c r="CU232" i="3"/>
  <c r="CV232" i="3"/>
  <c r="CW232" i="3"/>
  <c r="CX232" i="3"/>
  <c r="CY232" i="3"/>
  <c r="CZ232" i="3"/>
  <c r="DA232" i="3"/>
  <c r="DB232" i="3"/>
  <c r="DC232" i="3"/>
  <c r="DD232" i="3"/>
  <c r="DE232" i="3"/>
  <c r="DF232" i="3"/>
  <c r="DG232" i="3"/>
  <c r="CR233" i="3"/>
  <c r="CS233" i="3"/>
  <c r="CT233" i="3"/>
  <c r="CU233" i="3"/>
  <c r="CV233" i="3"/>
  <c r="CW233" i="3"/>
  <c r="CX233" i="3"/>
  <c r="CY233" i="3"/>
  <c r="CZ233" i="3"/>
  <c r="DA233" i="3"/>
  <c r="DB233" i="3"/>
  <c r="DC233" i="3"/>
  <c r="DD233" i="3"/>
  <c r="DE233" i="3"/>
  <c r="DF233" i="3"/>
  <c r="DG233" i="3"/>
  <c r="CR234" i="3"/>
  <c r="CS234" i="3"/>
  <c r="CT234" i="3"/>
  <c r="CU234" i="3"/>
  <c r="CV234" i="3"/>
  <c r="CW234" i="3"/>
  <c r="CX234" i="3"/>
  <c r="CY234" i="3"/>
  <c r="CZ234" i="3"/>
  <c r="DA234" i="3"/>
  <c r="DB234" i="3"/>
  <c r="DC234" i="3"/>
  <c r="DD234" i="3"/>
  <c r="DE234" i="3"/>
  <c r="DF234" i="3"/>
  <c r="DG234" i="3"/>
  <c r="CR235" i="3"/>
  <c r="CS235" i="3"/>
  <c r="CT235" i="3"/>
  <c r="CU235" i="3"/>
  <c r="CV235" i="3"/>
  <c r="CW235" i="3"/>
  <c r="CX235" i="3"/>
  <c r="CY235" i="3"/>
  <c r="CZ235" i="3"/>
  <c r="DA235" i="3"/>
  <c r="DB235" i="3"/>
  <c r="DC235" i="3"/>
  <c r="DD235" i="3"/>
  <c r="DE235" i="3"/>
  <c r="DF235" i="3"/>
  <c r="DG235" i="3"/>
  <c r="CR236" i="3"/>
  <c r="CS236" i="3"/>
  <c r="CT236" i="3"/>
  <c r="CU236" i="3"/>
  <c r="CV236" i="3"/>
  <c r="CW236" i="3"/>
  <c r="CX236" i="3"/>
  <c r="CY236" i="3"/>
  <c r="CZ236" i="3"/>
  <c r="DA236" i="3"/>
  <c r="DB236" i="3"/>
  <c r="DC236" i="3"/>
  <c r="DD236" i="3"/>
  <c r="DE236" i="3"/>
  <c r="DF236" i="3"/>
  <c r="DG236" i="3"/>
  <c r="CR237" i="3"/>
  <c r="CS237" i="3"/>
  <c r="CT237" i="3"/>
  <c r="CU237" i="3"/>
  <c r="CV237" i="3"/>
  <c r="CW237" i="3"/>
  <c r="CX237" i="3"/>
  <c r="CY237" i="3"/>
  <c r="CZ237" i="3"/>
  <c r="DA237" i="3"/>
  <c r="DB237" i="3"/>
  <c r="DC237" i="3"/>
  <c r="DD237" i="3"/>
  <c r="DE237" i="3"/>
  <c r="DF237" i="3"/>
  <c r="DG237" i="3"/>
  <c r="CR238" i="3"/>
  <c r="CS238" i="3"/>
  <c r="CT238" i="3"/>
  <c r="CU238" i="3"/>
  <c r="CV238" i="3"/>
  <c r="CW238" i="3"/>
  <c r="CX238" i="3"/>
  <c r="CY238" i="3"/>
  <c r="CZ238" i="3"/>
  <c r="DA238" i="3"/>
  <c r="DB238" i="3"/>
  <c r="DC238" i="3"/>
  <c r="DD238" i="3"/>
  <c r="DE238" i="3"/>
  <c r="DF238" i="3"/>
  <c r="DG238" i="3"/>
  <c r="CR239" i="3"/>
  <c r="CS239" i="3"/>
  <c r="CT239" i="3"/>
  <c r="CU239" i="3"/>
  <c r="CV239" i="3"/>
  <c r="CW239" i="3"/>
  <c r="CX239" i="3"/>
  <c r="CY239" i="3"/>
  <c r="CZ239" i="3"/>
  <c r="DA239" i="3"/>
  <c r="DB239" i="3"/>
  <c r="DC239" i="3"/>
  <c r="DD239" i="3"/>
  <c r="DE239" i="3"/>
  <c r="DF239" i="3"/>
  <c r="DG239" i="3"/>
  <c r="CR240" i="3"/>
  <c r="CS240" i="3"/>
  <c r="CT240" i="3"/>
  <c r="CU240" i="3"/>
  <c r="CV240" i="3"/>
  <c r="CW240" i="3"/>
  <c r="CX240" i="3"/>
  <c r="CY240" i="3"/>
  <c r="CZ240" i="3"/>
  <c r="DA240" i="3"/>
  <c r="DB240" i="3"/>
  <c r="DC240" i="3"/>
  <c r="DD240" i="3"/>
  <c r="DE240" i="3"/>
  <c r="DF240" i="3"/>
  <c r="DG240" i="3"/>
  <c r="CR241" i="3"/>
  <c r="CS241" i="3"/>
  <c r="CT241" i="3"/>
  <c r="CU241" i="3"/>
  <c r="CV241" i="3"/>
  <c r="CW241" i="3"/>
  <c r="CX241" i="3"/>
  <c r="CY241" i="3"/>
  <c r="CZ241" i="3"/>
  <c r="DA241" i="3"/>
  <c r="DB241" i="3"/>
  <c r="DC241" i="3"/>
  <c r="DD241" i="3"/>
  <c r="DE241" i="3"/>
  <c r="DF241" i="3"/>
  <c r="DG241" i="3"/>
  <c r="CR242" i="3"/>
  <c r="CS242" i="3"/>
  <c r="CT242" i="3"/>
  <c r="CU242" i="3"/>
  <c r="CV242" i="3"/>
  <c r="CW242" i="3"/>
  <c r="CX242" i="3"/>
  <c r="CY242" i="3"/>
  <c r="CZ242" i="3"/>
  <c r="DA242" i="3"/>
  <c r="DB242" i="3"/>
  <c r="DC242" i="3"/>
  <c r="DD242" i="3"/>
  <c r="DE242" i="3"/>
  <c r="DF242" i="3"/>
  <c r="DG242" i="3"/>
  <c r="CR243" i="3"/>
  <c r="CS243" i="3"/>
  <c r="CT243" i="3"/>
  <c r="CU243" i="3"/>
  <c r="CV243" i="3"/>
  <c r="CW243" i="3"/>
  <c r="CX243" i="3"/>
  <c r="CY243" i="3"/>
  <c r="CZ243" i="3"/>
  <c r="DA243" i="3"/>
  <c r="DB243" i="3"/>
  <c r="DC243" i="3"/>
  <c r="DD243" i="3"/>
  <c r="DE243" i="3"/>
  <c r="DF243" i="3"/>
  <c r="DG243" i="3"/>
  <c r="CR244" i="3"/>
  <c r="CS244" i="3"/>
  <c r="CT244" i="3"/>
  <c r="CU244" i="3"/>
  <c r="CV244" i="3"/>
  <c r="CW244" i="3"/>
  <c r="CX244" i="3"/>
  <c r="CY244" i="3"/>
  <c r="CZ244" i="3"/>
  <c r="DA244" i="3"/>
  <c r="DB244" i="3"/>
  <c r="DC244" i="3"/>
  <c r="DD244" i="3"/>
  <c r="DE244" i="3"/>
  <c r="DF244" i="3"/>
  <c r="DG244" i="3"/>
  <c r="CR245" i="3"/>
  <c r="CS245" i="3"/>
  <c r="CT245" i="3"/>
  <c r="CU245" i="3"/>
  <c r="CV245" i="3"/>
  <c r="CW245" i="3"/>
  <c r="CX245" i="3"/>
  <c r="CY245" i="3"/>
  <c r="CZ245" i="3"/>
  <c r="DA245" i="3"/>
  <c r="DB245" i="3"/>
  <c r="DC245" i="3"/>
  <c r="DD245" i="3"/>
  <c r="DE245" i="3"/>
  <c r="DF245" i="3"/>
  <c r="DG245" i="3"/>
  <c r="CR246" i="3"/>
  <c r="CS246" i="3"/>
  <c r="CT246" i="3"/>
  <c r="CU246" i="3"/>
  <c r="CV246" i="3"/>
  <c r="CW246" i="3"/>
  <c r="CX246" i="3"/>
  <c r="CY246" i="3"/>
  <c r="CZ246" i="3"/>
  <c r="DA246" i="3"/>
  <c r="DB246" i="3"/>
  <c r="DC246" i="3"/>
  <c r="DD246" i="3"/>
  <c r="DE246" i="3"/>
  <c r="DF246" i="3"/>
  <c r="DG246" i="3"/>
  <c r="CR247" i="3"/>
  <c r="CS247" i="3"/>
  <c r="CT247" i="3"/>
  <c r="CU247" i="3"/>
  <c r="CV247" i="3"/>
  <c r="CW247" i="3"/>
  <c r="CX247" i="3"/>
  <c r="CY247" i="3"/>
  <c r="CZ247" i="3"/>
  <c r="DA247" i="3"/>
  <c r="DB247" i="3"/>
  <c r="DC247" i="3"/>
  <c r="DD247" i="3"/>
  <c r="DE247" i="3"/>
  <c r="DF247" i="3"/>
  <c r="DG247" i="3"/>
  <c r="CR248" i="3"/>
  <c r="CS248" i="3"/>
  <c r="CT248" i="3"/>
  <c r="CU248" i="3"/>
  <c r="CV248" i="3"/>
  <c r="CW248" i="3"/>
  <c r="CX248" i="3"/>
  <c r="CY248" i="3"/>
  <c r="CZ248" i="3"/>
  <c r="DA248" i="3"/>
  <c r="DB248" i="3"/>
  <c r="DC248" i="3"/>
  <c r="DD248" i="3"/>
  <c r="DE248" i="3"/>
  <c r="DF248" i="3"/>
  <c r="DG248" i="3"/>
  <c r="CR249" i="3"/>
  <c r="CS249" i="3"/>
  <c r="CT249" i="3"/>
  <c r="CU249" i="3"/>
  <c r="CV249" i="3"/>
  <c r="CW249" i="3"/>
  <c r="CX249" i="3"/>
  <c r="CY249" i="3"/>
  <c r="CZ249" i="3"/>
  <c r="DA249" i="3"/>
  <c r="DB249" i="3"/>
  <c r="DC249" i="3"/>
  <c r="DD249" i="3"/>
  <c r="DE249" i="3"/>
  <c r="DF249" i="3"/>
  <c r="DG249" i="3"/>
  <c r="CR250" i="3"/>
  <c r="CS250" i="3"/>
  <c r="CT250" i="3"/>
  <c r="CU250" i="3"/>
  <c r="CV250" i="3"/>
  <c r="CW250" i="3"/>
  <c r="CX250" i="3"/>
  <c r="CY250" i="3"/>
  <c r="CZ250" i="3"/>
  <c r="DA250" i="3"/>
  <c r="DB250" i="3"/>
  <c r="DC250" i="3"/>
  <c r="DD250" i="3"/>
  <c r="DE250" i="3"/>
  <c r="DF250" i="3"/>
  <c r="DG250" i="3"/>
  <c r="CR251" i="3"/>
  <c r="CS251" i="3"/>
  <c r="CT251" i="3"/>
  <c r="CU251" i="3"/>
  <c r="CV251" i="3"/>
  <c r="CW251" i="3"/>
  <c r="CX251" i="3"/>
  <c r="CY251" i="3"/>
  <c r="CZ251" i="3"/>
  <c r="DA251" i="3"/>
  <c r="DB251" i="3"/>
  <c r="DC251" i="3"/>
  <c r="DD251" i="3"/>
  <c r="DE251" i="3"/>
  <c r="DF251" i="3"/>
  <c r="DG251" i="3"/>
  <c r="CR252" i="3"/>
  <c r="CS252" i="3"/>
  <c r="CT252" i="3"/>
  <c r="CU252" i="3"/>
  <c r="CV252" i="3"/>
  <c r="CW252" i="3"/>
  <c r="CX252" i="3"/>
  <c r="CY252" i="3"/>
  <c r="CZ252" i="3"/>
  <c r="DA252" i="3"/>
  <c r="DB252" i="3"/>
  <c r="DC252" i="3"/>
  <c r="DD252" i="3"/>
  <c r="DE252" i="3"/>
  <c r="DF252" i="3"/>
  <c r="DG252" i="3"/>
  <c r="CR253" i="3"/>
  <c r="CS253" i="3"/>
  <c r="CT253" i="3"/>
  <c r="CU253" i="3"/>
  <c r="CV253" i="3"/>
  <c r="CW253" i="3"/>
  <c r="CX253" i="3"/>
  <c r="CY253" i="3"/>
  <c r="CZ253" i="3"/>
  <c r="DA253" i="3"/>
  <c r="DB253" i="3"/>
  <c r="DC253" i="3"/>
  <c r="DD253" i="3"/>
  <c r="DE253" i="3"/>
  <c r="DF253" i="3"/>
  <c r="DG253" i="3"/>
  <c r="CR254" i="3"/>
  <c r="CS254" i="3"/>
  <c r="CT254" i="3"/>
  <c r="CU254" i="3"/>
  <c r="CV254" i="3"/>
  <c r="CW254" i="3"/>
  <c r="CX254" i="3"/>
  <c r="CY254" i="3"/>
  <c r="CZ254" i="3"/>
  <c r="DA254" i="3"/>
  <c r="DB254" i="3"/>
  <c r="DC254" i="3"/>
  <c r="DD254" i="3"/>
  <c r="DE254" i="3"/>
  <c r="DF254" i="3"/>
  <c r="DG254" i="3"/>
  <c r="CR255" i="3"/>
  <c r="CS255" i="3"/>
  <c r="CT255" i="3"/>
  <c r="CU255" i="3"/>
  <c r="CV255" i="3"/>
  <c r="CW255" i="3"/>
  <c r="CX255" i="3"/>
  <c r="CY255" i="3"/>
  <c r="CZ255" i="3"/>
  <c r="DA255" i="3"/>
  <c r="DB255" i="3"/>
  <c r="DC255" i="3"/>
  <c r="DD255" i="3"/>
  <c r="DE255" i="3"/>
  <c r="DF255" i="3"/>
  <c r="DG255" i="3"/>
  <c r="CR256" i="3"/>
  <c r="CS256" i="3"/>
  <c r="CT256" i="3"/>
  <c r="CU256" i="3"/>
  <c r="CV256" i="3"/>
  <c r="CW256" i="3"/>
  <c r="CX256" i="3"/>
  <c r="CY256" i="3"/>
  <c r="CZ256" i="3"/>
  <c r="DA256" i="3"/>
  <c r="DB256" i="3"/>
  <c r="DC256" i="3"/>
  <c r="DD256" i="3"/>
  <c r="DE256" i="3"/>
  <c r="DF256" i="3"/>
  <c r="DG256" i="3"/>
  <c r="CR257" i="3"/>
  <c r="CS257" i="3"/>
  <c r="CT257" i="3"/>
  <c r="CU257" i="3"/>
  <c r="CV257" i="3"/>
  <c r="CW257" i="3"/>
  <c r="CX257" i="3"/>
  <c r="CY257" i="3"/>
  <c r="CZ257" i="3"/>
  <c r="DA257" i="3"/>
  <c r="DB257" i="3"/>
  <c r="DC257" i="3"/>
  <c r="DD257" i="3"/>
  <c r="DE257" i="3"/>
  <c r="DF257" i="3"/>
  <c r="DG257" i="3"/>
  <c r="CR258" i="3"/>
  <c r="CS258" i="3"/>
  <c r="CT258" i="3"/>
  <c r="CU258" i="3"/>
  <c r="CV258" i="3"/>
  <c r="CW258" i="3"/>
  <c r="CX258" i="3"/>
  <c r="CY258" i="3"/>
  <c r="CZ258" i="3"/>
  <c r="DA258" i="3"/>
  <c r="DB258" i="3"/>
  <c r="DC258" i="3"/>
  <c r="DD258" i="3"/>
  <c r="DE258" i="3"/>
  <c r="DF258" i="3"/>
  <c r="DG258" i="3"/>
  <c r="CR259" i="3"/>
  <c r="CS259" i="3"/>
  <c r="CT259" i="3"/>
  <c r="CU259" i="3"/>
  <c r="CV259" i="3"/>
  <c r="CW259" i="3"/>
  <c r="CX259" i="3"/>
  <c r="CY259" i="3"/>
  <c r="CZ259" i="3"/>
  <c r="DA259" i="3"/>
  <c r="DB259" i="3"/>
  <c r="DC259" i="3"/>
  <c r="DD259" i="3"/>
  <c r="DE259" i="3"/>
  <c r="DF259" i="3"/>
  <c r="DG259" i="3"/>
  <c r="CR260" i="3"/>
  <c r="CS260" i="3"/>
  <c r="CT260" i="3"/>
  <c r="CU260" i="3"/>
  <c r="CV260" i="3"/>
  <c r="CW260" i="3"/>
  <c r="CX260" i="3"/>
  <c r="CY260" i="3"/>
  <c r="CZ260" i="3"/>
  <c r="DA260" i="3"/>
  <c r="DB260" i="3"/>
  <c r="DC260" i="3"/>
  <c r="DD260" i="3"/>
  <c r="DE260" i="3"/>
  <c r="DF260" i="3"/>
  <c r="DG260" i="3"/>
  <c r="CR261" i="3"/>
  <c r="CS261" i="3"/>
  <c r="CT261" i="3"/>
  <c r="CU261" i="3"/>
  <c r="CV261" i="3"/>
  <c r="CW261" i="3"/>
  <c r="CX261" i="3"/>
  <c r="CY261" i="3"/>
  <c r="CZ261" i="3"/>
  <c r="DA261" i="3"/>
  <c r="DB261" i="3"/>
  <c r="DC261" i="3"/>
  <c r="DD261" i="3"/>
  <c r="DE261" i="3"/>
  <c r="DF261" i="3"/>
  <c r="DG261" i="3"/>
  <c r="CR262" i="3"/>
  <c r="CS262" i="3"/>
  <c r="CT262" i="3"/>
  <c r="CU262" i="3"/>
  <c r="CV262" i="3"/>
  <c r="CW262" i="3"/>
  <c r="CX262" i="3"/>
  <c r="CY262" i="3"/>
  <c r="CZ262" i="3"/>
  <c r="DA262" i="3"/>
  <c r="DB262" i="3"/>
  <c r="DC262" i="3"/>
  <c r="DD262" i="3"/>
  <c r="DE262" i="3"/>
  <c r="DF262" i="3"/>
  <c r="DG262" i="3"/>
  <c r="CR263" i="3"/>
  <c r="CS263" i="3"/>
  <c r="CT263" i="3"/>
  <c r="CU263" i="3"/>
  <c r="CV263" i="3"/>
  <c r="CW263" i="3"/>
  <c r="CX263" i="3"/>
  <c r="CY263" i="3"/>
  <c r="CZ263" i="3"/>
  <c r="DA263" i="3"/>
  <c r="DB263" i="3"/>
  <c r="DC263" i="3"/>
  <c r="DD263" i="3"/>
  <c r="DE263" i="3"/>
  <c r="DF263" i="3"/>
  <c r="DG263" i="3"/>
  <c r="CR264" i="3"/>
  <c r="CS264" i="3"/>
  <c r="CT264" i="3"/>
  <c r="CU264" i="3"/>
  <c r="CV264" i="3"/>
  <c r="CW264" i="3"/>
  <c r="CX264" i="3"/>
  <c r="CY264" i="3"/>
  <c r="CZ264" i="3"/>
  <c r="DA264" i="3"/>
  <c r="DB264" i="3"/>
  <c r="DC264" i="3"/>
  <c r="DD264" i="3"/>
  <c r="DE264" i="3"/>
  <c r="DF264" i="3"/>
  <c r="DG264" i="3"/>
  <c r="CR265" i="3"/>
  <c r="CS265" i="3"/>
  <c r="CT265" i="3"/>
  <c r="CU265" i="3"/>
  <c r="CV265" i="3"/>
  <c r="CW265" i="3"/>
  <c r="CX265" i="3"/>
  <c r="CY265" i="3"/>
  <c r="CZ265" i="3"/>
  <c r="DA265" i="3"/>
  <c r="DB265" i="3"/>
  <c r="DC265" i="3"/>
  <c r="DD265" i="3"/>
  <c r="DE265" i="3"/>
  <c r="DF265" i="3"/>
  <c r="DG265" i="3"/>
  <c r="CR266" i="3"/>
  <c r="CS266" i="3"/>
  <c r="CT266" i="3"/>
  <c r="CU266" i="3"/>
  <c r="CV266" i="3"/>
  <c r="CW266" i="3"/>
  <c r="CX266" i="3"/>
  <c r="CY266" i="3"/>
  <c r="CZ266" i="3"/>
  <c r="DA266" i="3"/>
  <c r="DB266" i="3"/>
  <c r="DC266" i="3"/>
  <c r="DD266" i="3"/>
  <c r="DE266" i="3"/>
  <c r="DF266" i="3"/>
  <c r="DG266" i="3"/>
  <c r="CR267" i="3"/>
  <c r="CS267" i="3"/>
  <c r="CT267" i="3"/>
  <c r="CU267" i="3"/>
  <c r="CV267" i="3"/>
  <c r="CW267" i="3"/>
  <c r="CX267" i="3"/>
  <c r="CY267" i="3"/>
  <c r="CZ267" i="3"/>
  <c r="DA267" i="3"/>
  <c r="DB267" i="3"/>
  <c r="DC267" i="3"/>
  <c r="DD267" i="3"/>
  <c r="DE267" i="3"/>
  <c r="DF267" i="3"/>
  <c r="DG267" i="3"/>
  <c r="CR268" i="3"/>
  <c r="CS268" i="3"/>
  <c r="CT268" i="3"/>
  <c r="CU268" i="3"/>
  <c r="CV268" i="3"/>
  <c r="CW268" i="3"/>
  <c r="CX268" i="3"/>
  <c r="CY268" i="3"/>
  <c r="CZ268" i="3"/>
  <c r="DA268" i="3"/>
  <c r="DB268" i="3"/>
  <c r="DC268" i="3"/>
  <c r="DD268" i="3"/>
  <c r="DE268" i="3"/>
  <c r="DF268" i="3"/>
  <c r="DG268" i="3"/>
  <c r="CR269" i="3"/>
  <c r="CS269" i="3"/>
  <c r="CT269" i="3"/>
  <c r="CU269" i="3"/>
  <c r="CV269" i="3"/>
  <c r="CW269" i="3"/>
  <c r="CX269" i="3"/>
  <c r="CY269" i="3"/>
  <c r="CZ269" i="3"/>
  <c r="DA269" i="3"/>
  <c r="DB269" i="3"/>
  <c r="DC269" i="3"/>
  <c r="DD269" i="3"/>
  <c r="DE269" i="3"/>
  <c r="DF269" i="3"/>
  <c r="DG269" i="3"/>
  <c r="CR270" i="3"/>
  <c r="CS270" i="3"/>
  <c r="CT270" i="3"/>
  <c r="CU270" i="3"/>
  <c r="CV270" i="3"/>
  <c r="CW270" i="3"/>
  <c r="CX270" i="3"/>
  <c r="CY270" i="3"/>
  <c r="CZ270" i="3"/>
  <c r="DA270" i="3"/>
  <c r="DB270" i="3"/>
  <c r="DC270" i="3"/>
  <c r="DD270" i="3"/>
  <c r="DE270" i="3"/>
  <c r="DF270" i="3"/>
  <c r="DG270" i="3"/>
  <c r="CR271" i="3"/>
  <c r="CS271" i="3"/>
  <c r="CT271" i="3"/>
  <c r="CU271" i="3"/>
  <c r="CV271" i="3"/>
  <c r="CW271" i="3"/>
  <c r="CX271" i="3"/>
  <c r="CY271" i="3"/>
  <c r="CZ271" i="3"/>
  <c r="DA271" i="3"/>
  <c r="DB271" i="3"/>
  <c r="DC271" i="3"/>
  <c r="DD271" i="3"/>
  <c r="DE271" i="3"/>
  <c r="DF271" i="3"/>
  <c r="DG271" i="3"/>
  <c r="CR272" i="3"/>
  <c r="CS272" i="3"/>
  <c r="CT272" i="3"/>
  <c r="CU272" i="3"/>
  <c r="CV272" i="3"/>
  <c r="CW272" i="3"/>
  <c r="CX272" i="3"/>
  <c r="CY272" i="3"/>
  <c r="CZ272" i="3"/>
  <c r="DA272" i="3"/>
  <c r="DB272" i="3"/>
  <c r="DC272" i="3"/>
  <c r="DD272" i="3"/>
  <c r="DE272" i="3"/>
  <c r="DF272" i="3"/>
  <c r="DG272" i="3"/>
  <c r="CR273" i="3"/>
  <c r="CS273" i="3"/>
  <c r="CT273" i="3"/>
  <c r="CU273" i="3"/>
  <c r="CV273" i="3"/>
  <c r="CW273" i="3"/>
  <c r="CX273" i="3"/>
  <c r="CY273" i="3"/>
  <c r="CZ273" i="3"/>
  <c r="DA273" i="3"/>
  <c r="DB273" i="3"/>
  <c r="DC273" i="3"/>
  <c r="DD273" i="3"/>
  <c r="DE273" i="3"/>
  <c r="DF273" i="3"/>
  <c r="DG273" i="3"/>
  <c r="CR274" i="3"/>
  <c r="CS274" i="3"/>
  <c r="CT274" i="3"/>
  <c r="CU274" i="3"/>
  <c r="CV274" i="3"/>
  <c r="CW274" i="3"/>
  <c r="CX274" i="3"/>
  <c r="CY274" i="3"/>
  <c r="CZ274" i="3"/>
  <c r="DA274" i="3"/>
  <c r="DB274" i="3"/>
  <c r="DC274" i="3"/>
  <c r="DD274" i="3"/>
  <c r="DE274" i="3"/>
  <c r="DF274" i="3"/>
  <c r="DG274" i="3"/>
  <c r="CR275" i="3"/>
  <c r="CS275" i="3"/>
  <c r="CT275" i="3"/>
  <c r="CU275" i="3"/>
  <c r="CV275" i="3"/>
  <c r="CW275" i="3"/>
  <c r="CX275" i="3"/>
  <c r="CY275" i="3"/>
  <c r="CZ275" i="3"/>
  <c r="DA275" i="3"/>
  <c r="DB275" i="3"/>
  <c r="DC275" i="3"/>
  <c r="DD275" i="3"/>
  <c r="DE275" i="3"/>
  <c r="DF275" i="3"/>
  <c r="DG275" i="3"/>
  <c r="CR276" i="3"/>
  <c r="CS276" i="3"/>
  <c r="CT276" i="3"/>
  <c r="CU276" i="3"/>
  <c r="CV276" i="3"/>
  <c r="CW276" i="3"/>
  <c r="CX276" i="3"/>
  <c r="CY276" i="3"/>
  <c r="CZ276" i="3"/>
  <c r="DA276" i="3"/>
  <c r="DB276" i="3"/>
  <c r="DC276" i="3"/>
  <c r="DD276" i="3"/>
  <c r="DE276" i="3"/>
  <c r="DF276" i="3"/>
  <c r="DG276" i="3"/>
  <c r="CR277" i="3"/>
  <c r="CS277" i="3"/>
  <c r="CT277" i="3"/>
  <c r="CU277" i="3"/>
  <c r="CV277" i="3"/>
  <c r="CW277" i="3"/>
  <c r="CX277" i="3"/>
  <c r="CY277" i="3"/>
  <c r="CZ277" i="3"/>
  <c r="DA277" i="3"/>
  <c r="DB277" i="3"/>
  <c r="DC277" i="3"/>
  <c r="DD277" i="3"/>
  <c r="DE277" i="3"/>
  <c r="DF277" i="3"/>
  <c r="DG277" i="3"/>
  <c r="CR278" i="3"/>
  <c r="CS278" i="3"/>
  <c r="CT278" i="3"/>
  <c r="CU278" i="3"/>
  <c r="CV278" i="3"/>
  <c r="CW278" i="3"/>
  <c r="CX278" i="3"/>
  <c r="CY278" i="3"/>
  <c r="CZ278" i="3"/>
  <c r="DA278" i="3"/>
  <c r="DB278" i="3"/>
  <c r="DC278" i="3"/>
  <c r="DD278" i="3"/>
  <c r="DE278" i="3"/>
  <c r="DF278" i="3"/>
  <c r="DG278" i="3"/>
  <c r="CR279" i="3"/>
  <c r="CS279" i="3"/>
  <c r="CT279" i="3"/>
  <c r="CU279" i="3"/>
  <c r="CV279" i="3"/>
  <c r="CW279" i="3"/>
  <c r="CX279" i="3"/>
  <c r="CY279" i="3"/>
  <c r="CZ279" i="3"/>
  <c r="DA279" i="3"/>
  <c r="DB279" i="3"/>
  <c r="DC279" i="3"/>
  <c r="DD279" i="3"/>
  <c r="DE279" i="3"/>
  <c r="DF279" i="3"/>
  <c r="DG279" i="3"/>
  <c r="CR280" i="3"/>
  <c r="CS280" i="3"/>
  <c r="CT280" i="3"/>
  <c r="CU280" i="3"/>
  <c r="CV280" i="3"/>
  <c r="CW280" i="3"/>
  <c r="CX280" i="3"/>
  <c r="CY280" i="3"/>
  <c r="CZ280" i="3"/>
  <c r="DA280" i="3"/>
  <c r="DB280" i="3"/>
  <c r="DC280" i="3"/>
  <c r="DD280" i="3"/>
  <c r="DE280" i="3"/>
  <c r="DF280" i="3"/>
  <c r="DG280" i="3"/>
  <c r="CR281" i="3"/>
  <c r="CS281" i="3"/>
  <c r="CT281" i="3"/>
  <c r="CU281" i="3"/>
  <c r="CV281" i="3"/>
  <c r="CW281" i="3"/>
  <c r="CX281" i="3"/>
  <c r="CY281" i="3"/>
  <c r="CZ281" i="3"/>
  <c r="DA281" i="3"/>
  <c r="DB281" i="3"/>
  <c r="DC281" i="3"/>
  <c r="DD281" i="3"/>
  <c r="DE281" i="3"/>
  <c r="DF281" i="3"/>
  <c r="DG281" i="3"/>
  <c r="CR282" i="3"/>
  <c r="CS282" i="3"/>
  <c r="CT282" i="3"/>
  <c r="CU282" i="3"/>
  <c r="CV282" i="3"/>
  <c r="CW282" i="3"/>
  <c r="CX282" i="3"/>
  <c r="CY282" i="3"/>
  <c r="CZ282" i="3"/>
  <c r="DA282" i="3"/>
  <c r="DB282" i="3"/>
  <c r="DC282" i="3"/>
  <c r="DD282" i="3"/>
  <c r="DE282" i="3"/>
  <c r="DF282" i="3"/>
  <c r="DG282" i="3"/>
  <c r="CR283" i="3"/>
  <c r="CS283" i="3"/>
  <c r="CT283" i="3"/>
  <c r="CU283" i="3"/>
  <c r="CV283" i="3"/>
  <c r="CW283" i="3"/>
  <c r="CX283" i="3"/>
  <c r="CY283" i="3"/>
  <c r="CZ283" i="3"/>
  <c r="DA283" i="3"/>
  <c r="DB283" i="3"/>
  <c r="DC283" i="3"/>
  <c r="DD283" i="3"/>
  <c r="DE283" i="3"/>
  <c r="DF283" i="3"/>
  <c r="DG283" i="3"/>
  <c r="CR284" i="3"/>
  <c r="CS284" i="3"/>
  <c r="CT284" i="3"/>
  <c r="CU284" i="3"/>
  <c r="CV284" i="3"/>
  <c r="CW284" i="3"/>
  <c r="CX284" i="3"/>
  <c r="CY284" i="3"/>
  <c r="CZ284" i="3"/>
  <c r="DA284" i="3"/>
  <c r="DB284" i="3"/>
  <c r="DC284" i="3"/>
  <c r="DD284" i="3"/>
  <c r="DE284" i="3"/>
  <c r="DF284" i="3"/>
  <c r="DG284" i="3"/>
  <c r="CR285" i="3"/>
  <c r="CS285" i="3"/>
  <c r="CT285" i="3"/>
  <c r="CU285" i="3"/>
  <c r="CV285" i="3"/>
  <c r="CW285" i="3"/>
  <c r="CX285" i="3"/>
  <c r="CY285" i="3"/>
  <c r="CZ285" i="3"/>
  <c r="DA285" i="3"/>
  <c r="DB285" i="3"/>
  <c r="DC285" i="3"/>
  <c r="DD285" i="3"/>
  <c r="DE285" i="3"/>
  <c r="DF285" i="3"/>
  <c r="DG285" i="3"/>
  <c r="CR286" i="3"/>
  <c r="CS286" i="3"/>
  <c r="CT286" i="3"/>
  <c r="CU286" i="3"/>
  <c r="CV286" i="3"/>
  <c r="CW286" i="3"/>
  <c r="CX286" i="3"/>
  <c r="CY286" i="3"/>
  <c r="CZ286" i="3"/>
  <c r="DA286" i="3"/>
  <c r="DB286" i="3"/>
  <c r="DC286" i="3"/>
  <c r="DD286" i="3"/>
  <c r="DE286" i="3"/>
  <c r="DF286" i="3"/>
  <c r="DG286" i="3"/>
  <c r="CR287" i="3"/>
  <c r="CS287" i="3"/>
  <c r="CT287" i="3"/>
  <c r="CU287" i="3"/>
  <c r="CV287" i="3"/>
  <c r="CW287" i="3"/>
  <c r="CX287" i="3"/>
  <c r="CY287" i="3"/>
  <c r="CZ287" i="3"/>
  <c r="DA287" i="3"/>
  <c r="DB287" i="3"/>
  <c r="DC287" i="3"/>
  <c r="DD287" i="3"/>
  <c r="DE287" i="3"/>
  <c r="DF287" i="3"/>
  <c r="DG287" i="3"/>
  <c r="CR288" i="3"/>
  <c r="CS288" i="3"/>
  <c r="CT288" i="3"/>
  <c r="CU288" i="3"/>
  <c r="CV288" i="3"/>
  <c r="CW288" i="3"/>
  <c r="CX288" i="3"/>
  <c r="CY288" i="3"/>
  <c r="CZ288" i="3"/>
  <c r="DA288" i="3"/>
  <c r="DB288" i="3"/>
  <c r="DC288" i="3"/>
  <c r="DD288" i="3"/>
  <c r="DE288" i="3"/>
  <c r="DF288" i="3"/>
  <c r="DG288" i="3"/>
  <c r="CR289" i="3"/>
  <c r="CS289" i="3"/>
  <c r="CT289" i="3"/>
  <c r="CU289" i="3"/>
  <c r="CV289" i="3"/>
  <c r="CW289" i="3"/>
  <c r="CX289" i="3"/>
  <c r="CY289" i="3"/>
  <c r="CZ289" i="3"/>
  <c r="DA289" i="3"/>
  <c r="DB289" i="3"/>
  <c r="DC289" i="3"/>
  <c r="DD289" i="3"/>
  <c r="DE289" i="3"/>
  <c r="DF289" i="3"/>
  <c r="DG289" i="3"/>
  <c r="CR290" i="3"/>
  <c r="CS290" i="3"/>
  <c r="CT290" i="3"/>
  <c r="CU290" i="3"/>
  <c r="CV290" i="3"/>
  <c r="CW290" i="3"/>
  <c r="CX290" i="3"/>
  <c r="CY290" i="3"/>
  <c r="CZ290" i="3"/>
  <c r="DA290" i="3"/>
  <c r="DB290" i="3"/>
  <c r="DC290" i="3"/>
  <c r="DD290" i="3"/>
  <c r="DE290" i="3"/>
  <c r="DF290" i="3"/>
  <c r="DG290" i="3"/>
  <c r="CR291" i="3"/>
  <c r="CS291" i="3"/>
  <c r="CT291" i="3"/>
  <c r="CU291" i="3"/>
  <c r="CV291" i="3"/>
  <c r="CW291" i="3"/>
  <c r="CX291" i="3"/>
  <c r="CY291" i="3"/>
  <c r="CZ291" i="3"/>
  <c r="DA291" i="3"/>
  <c r="DB291" i="3"/>
  <c r="DC291" i="3"/>
  <c r="DD291" i="3"/>
  <c r="DE291" i="3"/>
  <c r="DF291" i="3"/>
  <c r="DG291" i="3"/>
  <c r="CR292" i="3"/>
  <c r="CS292" i="3"/>
  <c r="CT292" i="3"/>
  <c r="CU292" i="3"/>
  <c r="CV292" i="3"/>
  <c r="CW292" i="3"/>
  <c r="CX292" i="3"/>
  <c r="CY292" i="3"/>
  <c r="CZ292" i="3"/>
  <c r="DA292" i="3"/>
  <c r="DB292" i="3"/>
  <c r="DC292" i="3"/>
  <c r="DD292" i="3"/>
  <c r="DE292" i="3"/>
  <c r="DF292" i="3"/>
  <c r="DG292" i="3"/>
  <c r="CR293" i="3"/>
  <c r="CS293" i="3"/>
  <c r="CT293" i="3"/>
  <c r="CU293" i="3"/>
  <c r="CV293" i="3"/>
  <c r="CW293" i="3"/>
  <c r="CX293" i="3"/>
  <c r="CY293" i="3"/>
  <c r="CZ293" i="3"/>
  <c r="DA293" i="3"/>
  <c r="DB293" i="3"/>
  <c r="DC293" i="3"/>
  <c r="DD293" i="3"/>
  <c r="DE293" i="3"/>
  <c r="DF293" i="3"/>
  <c r="DG293" i="3"/>
  <c r="CR294" i="3"/>
  <c r="CS294" i="3"/>
  <c r="CT294" i="3"/>
  <c r="CU294" i="3"/>
  <c r="CV294" i="3"/>
  <c r="CW294" i="3"/>
  <c r="CX294" i="3"/>
  <c r="CY294" i="3"/>
  <c r="CZ294" i="3"/>
  <c r="DA294" i="3"/>
  <c r="DB294" i="3"/>
  <c r="DC294" i="3"/>
  <c r="DD294" i="3"/>
  <c r="DE294" i="3"/>
  <c r="DF294" i="3"/>
  <c r="DG294" i="3"/>
  <c r="CR295" i="3"/>
  <c r="CS295" i="3"/>
  <c r="CT295" i="3"/>
  <c r="CU295" i="3"/>
  <c r="CV295" i="3"/>
  <c r="CW295" i="3"/>
  <c r="CX295" i="3"/>
  <c r="CY295" i="3"/>
  <c r="CZ295" i="3"/>
  <c r="DA295" i="3"/>
  <c r="DB295" i="3"/>
  <c r="DC295" i="3"/>
  <c r="DD295" i="3"/>
  <c r="DE295" i="3"/>
  <c r="DF295" i="3"/>
  <c r="DG295" i="3"/>
  <c r="CR296" i="3"/>
  <c r="CS296" i="3"/>
  <c r="CT296" i="3"/>
  <c r="CU296" i="3"/>
  <c r="CV296" i="3"/>
  <c r="CW296" i="3"/>
  <c r="CX296" i="3"/>
  <c r="CY296" i="3"/>
  <c r="CZ296" i="3"/>
  <c r="DA296" i="3"/>
  <c r="DB296" i="3"/>
  <c r="DC296" i="3"/>
  <c r="DD296" i="3"/>
  <c r="DE296" i="3"/>
  <c r="DF296" i="3"/>
  <c r="DG296" i="3"/>
  <c r="CR297" i="3"/>
  <c r="CS297" i="3"/>
  <c r="CT297" i="3"/>
  <c r="CU297" i="3"/>
  <c r="CV297" i="3"/>
  <c r="CW297" i="3"/>
  <c r="CX297" i="3"/>
  <c r="CY297" i="3"/>
  <c r="CZ297" i="3"/>
  <c r="DA297" i="3"/>
  <c r="DB297" i="3"/>
  <c r="DC297" i="3"/>
  <c r="DD297" i="3"/>
  <c r="DE297" i="3"/>
  <c r="DF297" i="3"/>
  <c r="DG297" i="3"/>
  <c r="CR298" i="3"/>
  <c r="CS298" i="3"/>
  <c r="CT298" i="3"/>
  <c r="CU298" i="3"/>
  <c r="CV298" i="3"/>
  <c r="CW298" i="3"/>
  <c r="CX298" i="3"/>
  <c r="CY298" i="3"/>
  <c r="CZ298" i="3"/>
  <c r="DA298" i="3"/>
  <c r="DB298" i="3"/>
  <c r="DC298" i="3"/>
  <c r="DD298" i="3"/>
  <c r="DE298" i="3"/>
  <c r="DF298" i="3"/>
  <c r="DG298" i="3"/>
  <c r="CR299" i="3"/>
  <c r="CS299" i="3"/>
  <c r="CT299" i="3"/>
  <c r="CU299" i="3"/>
  <c r="CV299" i="3"/>
  <c r="CW299" i="3"/>
  <c r="CX299" i="3"/>
  <c r="CY299" i="3"/>
  <c r="CZ299" i="3"/>
  <c r="DA299" i="3"/>
  <c r="DB299" i="3"/>
  <c r="DC299" i="3"/>
  <c r="DD299" i="3"/>
  <c r="DE299" i="3"/>
  <c r="DF299" i="3"/>
  <c r="DG299" i="3"/>
  <c r="CR300" i="3"/>
  <c r="CS300" i="3"/>
  <c r="CT300" i="3"/>
  <c r="CU300" i="3"/>
  <c r="CV300" i="3"/>
  <c r="CW300" i="3"/>
  <c r="CX300" i="3"/>
  <c r="CY300" i="3"/>
  <c r="CZ300" i="3"/>
  <c r="DA300" i="3"/>
  <c r="DB300" i="3"/>
  <c r="DC300" i="3"/>
  <c r="DD300" i="3"/>
  <c r="DE300" i="3"/>
  <c r="DF300" i="3"/>
  <c r="DG300" i="3"/>
  <c r="CR301" i="3"/>
  <c r="CS301" i="3"/>
  <c r="CT301" i="3"/>
  <c r="CU301" i="3"/>
  <c r="CV301" i="3"/>
  <c r="CW301" i="3"/>
  <c r="CX301" i="3"/>
  <c r="CY301" i="3"/>
  <c r="CZ301" i="3"/>
  <c r="DA301" i="3"/>
  <c r="DB301" i="3"/>
  <c r="DC301" i="3"/>
  <c r="DD301" i="3"/>
  <c r="DE301" i="3"/>
  <c r="DF301" i="3"/>
  <c r="DG301" i="3"/>
  <c r="CR302" i="3"/>
  <c r="CS302" i="3"/>
  <c r="CT302" i="3"/>
  <c r="CU302" i="3"/>
  <c r="CV302" i="3"/>
  <c r="CW302" i="3"/>
  <c r="CX302" i="3"/>
  <c r="CY302" i="3"/>
  <c r="CZ302" i="3"/>
  <c r="DA302" i="3"/>
  <c r="DB302" i="3"/>
  <c r="DC302" i="3"/>
  <c r="DD302" i="3"/>
  <c r="DE302" i="3"/>
  <c r="DF302" i="3"/>
  <c r="DG302" i="3"/>
  <c r="CR303" i="3"/>
  <c r="CS303" i="3"/>
  <c r="CT303" i="3"/>
  <c r="CU303" i="3"/>
  <c r="CV303" i="3"/>
  <c r="CW303" i="3"/>
  <c r="CX303" i="3"/>
  <c r="CY303" i="3"/>
  <c r="CZ303" i="3"/>
  <c r="DA303" i="3"/>
  <c r="DB303" i="3"/>
  <c r="DC303" i="3"/>
  <c r="DD303" i="3"/>
  <c r="DE303" i="3"/>
  <c r="DF303" i="3"/>
  <c r="DG303" i="3"/>
  <c r="CR304" i="3"/>
  <c r="CS304" i="3"/>
  <c r="CT304" i="3"/>
  <c r="CU304" i="3"/>
  <c r="CV304" i="3"/>
  <c r="CW304" i="3"/>
  <c r="CX304" i="3"/>
  <c r="CY304" i="3"/>
  <c r="CZ304" i="3"/>
  <c r="DA304" i="3"/>
  <c r="DB304" i="3"/>
  <c r="DC304" i="3"/>
  <c r="DD304" i="3"/>
  <c r="DE304" i="3"/>
  <c r="DF304" i="3"/>
  <c r="DG304" i="3"/>
  <c r="CR305" i="3"/>
  <c r="CS305" i="3"/>
  <c r="CT305" i="3"/>
  <c r="CU305" i="3"/>
  <c r="CV305" i="3"/>
  <c r="CW305" i="3"/>
  <c r="CX305" i="3"/>
  <c r="CY305" i="3"/>
  <c r="CZ305" i="3"/>
  <c r="DA305" i="3"/>
  <c r="DB305" i="3"/>
  <c r="DC305" i="3"/>
  <c r="DD305" i="3"/>
  <c r="DE305" i="3"/>
  <c r="DF305" i="3"/>
  <c r="DG305" i="3"/>
  <c r="CR306" i="3"/>
  <c r="CS306" i="3"/>
  <c r="CT306" i="3"/>
  <c r="CU306" i="3"/>
  <c r="CV306" i="3"/>
  <c r="CW306" i="3"/>
  <c r="CX306" i="3"/>
  <c r="CY306" i="3"/>
  <c r="CZ306" i="3"/>
  <c r="DA306" i="3"/>
  <c r="DB306" i="3"/>
  <c r="DC306" i="3"/>
  <c r="DD306" i="3"/>
  <c r="DE306" i="3"/>
  <c r="DF306" i="3"/>
  <c r="DG306" i="3"/>
  <c r="CR307" i="3"/>
  <c r="CS307" i="3"/>
  <c r="CT307" i="3"/>
  <c r="CU307" i="3"/>
  <c r="CV307" i="3"/>
  <c r="CW307" i="3"/>
  <c r="CX307" i="3"/>
  <c r="CY307" i="3"/>
  <c r="CZ307" i="3"/>
  <c r="DA307" i="3"/>
  <c r="DB307" i="3"/>
  <c r="DC307" i="3"/>
  <c r="DD307" i="3"/>
  <c r="DE307" i="3"/>
  <c r="DF307" i="3"/>
  <c r="DG307" i="3"/>
  <c r="CR308" i="3"/>
  <c r="CS308" i="3"/>
  <c r="CT308" i="3"/>
  <c r="CU308" i="3"/>
  <c r="CV308" i="3"/>
  <c r="CW308" i="3"/>
  <c r="CX308" i="3"/>
  <c r="CY308" i="3"/>
  <c r="CZ308" i="3"/>
  <c r="DA308" i="3"/>
  <c r="DB308" i="3"/>
  <c r="DC308" i="3"/>
  <c r="DD308" i="3"/>
  <c r="DE308" i="3"/>
  <c r="DF308" i="3"/>
  <c r="DG308" i="3"/>
  <c r="CR309" i="3"/>
  <c r="CS309" i="3"/>
  <c r="CT309" i="3"/>
  <c r="CU309" i="3"/>
  <c r="CV309" i="3"/>
  <c r="CW309" i="3"/>
  <c r="CX309" i="3"/>
  <c r="CY309" i="3"/>
  <c r="CZ309" i="3"/>
  <c r="DA309" i="3"/>
  <c r="DB309" i="3"/>
  <c r="DC309" i="3"/>
  <c r="DD309" i="3"/>
  <c r="DE309" i="3"/>
  <c r="DF309" i="3"/>
  <c r="DG309" i="3"/>
  <c r="CR310" i="3"/>
  <c r="CS310" i="3"/>
  <c r="CT310" i="3"/>
  <c r="CU310" i="3"/>
  <c r="CV310" i="3"/>
  <c r="CW310" i="3"/>
  <c r="CX310" i="3"/>
  <c r="CY310" i="3"/>
  <c r="CZ310" i="3"/>
  <c r="DA310" i="3"/>
  <c r="DB310" i="3"/>
  <c r="DC310" i="3"/>
  <c r="DD310" i="3"/>
  <c r="DE310" i="3"/>
  <c r="DF310" i="3"/>
  <c r="DG310" i="3"/>
  <c r="CR311" i="3"/>
  <c r="CS311" i="3"/>
  <c r="CT311" i="3"/>
  <c r="CU311" i="3"/>
  <c r="CV311" i="3"/>
  <c r="CW311" i="3"/>
  <c r="CX311" i="3"/>
  <c r="CY311" i="3"/>
  <c r="CZ311" i="3"/>
  <c r="DA311" i="3"/>
  <c r="DB311" i="3"/>
  <c r="DC311" i="3"/>
  <c r="DD311" i="3"/>
  <c r="DE311" i="3"/>
  <c r="DF311" i="3"/>
  <c r="DG311" i="3"/>
  <c r="CR312" i="3"/>
  <c r="CS312" i="3"/>
  <c r="CT312" i="3"/>
  <c r="CU312" i="3"/>
  <c r="CV312" i="3"/>
  <c r="CW312" i="3"/>
  <c r="CX312" i="3"/>
  <c r="CY312" i="3"/>
  <c r="CZ312" i="3"/>
  <c r="DA312" i="3"/>
  <c r="DB312" i="3"/>
  <c r="DC312" i="3"/>
  <c r="DD312" i="3"/>
  <c r="DE312" i="3"/>
  <c r="DF312" i="3"/>
  <c r="DG312" i="3"/>
  <c r="CR313" i="3"/>
  <c r="CS313" i="3"/>
  <c r="CT313" i="3"/>
  <c r="CU313" i="3"/>
  <c r="CV313" i="3"/>
  <c r="CW313" i="3"/>
  <c r="CX313" i="3"/>
  <c r="CY313" i="3"/>
  <c r="CZ313" i="3"/>
  <c r="DA313" i="3"/>
  <c r="DB313" i="3"/>
  <c r="DC313" i="3"/>
  <c r="DD313" i="3"/>
  <c r="DE313" i="3"/>
  <c r="DF313" i="3"/>
  <c r="DG313" i="3"/>
  <c r="CR314" i="3"/>
  <c r="CS314" i="3"/>
  <c r="CT314" i="3"/>
  <c r="CU314" i="3"/>
  <c r="CV314" i="3"/>
  <c r="CW314" i="3"/>
  <c r="CX314" i="3"/>
  <c r="CY314" i="3"/>
  <c r="CZ314" i="3"/>
  <c r="DA314" i="3"/>
  <c r="DB314" i="3"/>
  <c r="DC314" i="3"/>
  <c r="DD314" i="3"/>
  <c r="DE314" i="3"/>
  <c r="DF314" i="3"/>
  <c r="DG314" i="3"/>
  <c r="CR315" i="3"/>
  <c r="CS315" i="3"/>
  <c r="CT315" i="3"/>
  <c r="CU315" i="3"/>
  <c r="CV315" i="3"/>
  <c r="CW315" i="3"/>
  <c r="CX315" i="3"/>
  <c r="CY315" i="3"/>
  <c r="CZ315" i="3"/>
  <c r="DA315" i="3"/>
  <c r="DB315" i="3"/>
  <c r="DC315" i="3"/>
  <c r="DD315" i="3"/>
  <c r="DE315" i="3"/>
  <c r="DF315" i="3"/>
  <c r="DG315" i="3"/>
  <c r="CR316" i="3"/>
  <c r="CS316" i="3"/>
  <c r="CT316" i="3"/>
  <c r="CU316" i="3"/>
  <c r="CV316" i="3"/>
  <c r="CW316" i="3"/>
  <c r="CX316" i="3"/>
  <c r="CY316" i="3"/>
  <c r="CZ316" i="3"/>
  <c r="DA316" i="3"/>
  <c r="DB316" i="3"/>
  <c r="DC316" i="3"/>
  <c r="DD316" i="3"/>
  <c r="DE316" i="3"/>
  <c r="DF316" i="3"/>
  <c r="DG316" i="3"/>
  <c r="CR317" i="3"/>
  <c r="CS317" i="3"/>
  <c r="CT317" i="3"/>
  <c r="CU317" i="3"/>
  <c r="CV317" i="3"/>
  <c r="CW317" i="3"/>
  <c r="CX317" i="3"/>
  <c r="CY317" i="3"/>
  <c r="CZ317" i="3"/>
  <c r="DA317" i="3"/>
  <c r="DB317" i="3"/>
  <c r="DC317" i="3"/>
  <c r="DD317" i="3"/>
  <c r="DE317" i="3"/>
  <c r="DF317" i="3"/>
  <c r="DG317" i="3"/>
  <c r="CR318" i="3"/>
  <c r="CS318" i="3"/>
  <c r="CT318" i="3"/>
  <c r="CU318" i="3"/>
  <c r="CV318" i="3"/>
  <c r="CW318" i="3"/>
  <c r="CX318" i="3"/>
  <c r="CY318" i="3"/>
  <c r="CZ318" i="3"/>
  <c r="DA318" i="3"/>
  <c r="DB318" i="3"/>
  <c r="DC318" i="3"/>
  <c r="DD318" i="3"/>
  <c r="DE318" i="3"/>
  <c r="DF318" i="3"/>
  <c r="DG318" i="3"/>
  <c r="CR319" i="3"/>
  <c r="CS319" i="3"/>
  <c r="CT319" i="3"/>
  <c r="CU319" i="3"/>
  <c r="CV319" i="3"/>
  <c r="CW319" i="3"/>
  <c r="CX319" i="3"/>
  <c r="CY319" i="3"/>
  <c r="CZ319" i="3"/>
  <c r="DA319" i="3"/>
  <c r="DB319" i="3"/>
  <c r="DC319" i="3"/>
  <c r="DD319" i="3"/>
  <c r="DE319" i="3"/>
  <c r="DF319" i="3"/>
  <c r="DG319" i="3"/>
  <c r="CR320" i="3"/>
  <c r="CS320" i="3"/>
  <c r="CT320" i="3"/>
  <c r="CU320" i="3"/>
  <c r="CV320" i="3"/>
  <c r="CW320" i="3"/>
  <c r="CX320" i="3"/>
  <c r="CY320" i="3"/>
  <c r="CZ320" i="3"/>
  <c r="DA320" i="3"/>
  <c r="DB320" i="3"/>
  <c r="DC320" i="3"/>
  <c r="DD320" i="3"/>
  <c r="DE320" i="3"/>
  <c r="DF320" i="3"/>
  <c r="DG320" i="3"/>
  <c r="CR321" i="3"/>
  <c r="CS321" i="3"/>
  <c r="CT321" i="3"/>
  <c r="CU321" i="3"/>
  <c r="CV321" i="3"/>
  <c r="CW321" i="3"/>
  <c r="CX321" i="3"/>
  <c r="CY321" i="3"/>
  <c r="CZ321" i="3"/>
  <c r="DA321" i="3"/>
  <c r="DB321" i="3"/>
  <c r="DC321" i="3"/>
  <c r="DD321" i="3"/>
  <c r="DE321" i="3"/>
  <c r="DF321" i="3"/>
  <c r="DG321" i="3"/>
  <c r="CR322" i="3"/>
  <c r="CS322" i="3"/>
  <c r="CT322" i="3"/>
  <c r="CU322" i="3"/>
  <c r="CV322" i="3"/>
  <c r="CW322" i="3"/>
  <c r="CX322" i="3"/>
  <c r="CY322" i="3"/>
  <c r="CZ322" i="3"/>
  <c r="DA322" i="3"/>
  <c r="DB322" i="3"/>
  <c r="DC322" i="3"/>
  <c r="DD322" i="3"/>
  <c r="DE322" i="3"/>
  <c r="DF322" i="3"/>
  <c r="DG322" i="3"/>
  <c r="CR323" i="3"/>
  <c r="CS323" i="3"/>
  <c r="CT323" i="3"/>
  <c r="CU323" i="3"/>
  <c r="CV323" i="3"/>
  <c r="CW323" i="3"/>
  <c r="CX323" i="3"/>
  <c r="CY323" i="3"/>
  <c r="CZ323" i="3"/>
  <c r="DA323" i="3"/>
  <c r="DB323" i="3"/>
  <c r="DC323" i="3"/>
  <c r="DD323" i="3"/>
  <c r="DE323" i="3"/>
  <c r="DF323" i="3"/>
  <c r="DG323" i="3"/>
  <c r="CR324" i="3"/>
  <c r="CS324" i="3"/>
  <c r="CT324" i="3"/>
  <c r="CU324" i="3"/>
  <c r="CV324" i="3"/>
  <c r="CW324" i="3"/>
  <c r="CX324" i="3"/>
  <c r="CY324" i="3"/>
  <c r="CZ324" i="3"/>
  <c r="DA324" i="3"/>
  <c r="DB324" i="3"/>
  <c r="DC324" i="3"/>
  <c r="DD324" i="3"/>
  <c r="DE324" i="3"/>
  <c r="DF324" i="3"/>
  <c r="DG324" i="3"/>
  <c r="CR325" i="3"/>
  <c r="CS325" i="3"/>
  <c r="CT325" i="3"/>
  <c r="CU325" i="3"/>
  <c r="CV325" i="3"/>
  <c r="CW325" i="3"/>
  <c r="CX325" i="3"/>
  <c r="CY325" i="3"/>
  <c r="CZ325" i="3"/>
  <c r="DA325" i="3"/>
  <c r="DB325" i="3"/>
  <c r="DC325" i="3"/>
  <c r="DD325" i="3"/>
  <c r="DE325" i="3"/>
  <c r="DF325" i="3"/>
  <c r="DG325" i="3"/>
  <c r="CR326" i="3"/>
  <c r="CS326" i="3"/>
  <c r="CT326" i="3"/>
  <c r="CU326" i="3"/>
  <c r="CV326" i="3"/>
  <c r="CW326" i="3"/>
  <c r="CX326" i="3"/>
  <c r="CY326" i="3"/>
  <c r="CZ326" i="3"/>
  <c r="DA326" i="3"/>
  <c r="DB326" i="3"/>
  <c r="DC326" i="3"/>
  <c r="DD326" i="3"/>
  <c r="DE326" i="3"/>
  <c r="DF326" i="3"/>
  <c r="DG326" i="3"/>
  <c r="CR327" i="3"/>
  <c r="CS327" i="3"/>
  <c r="CT327" i="3"/>
  <c r="CU327" i="3"/>
  <c r="CV327" i="3"/>
  <c r="CW327" i="3"/>
  <c r="CX327" i="3"/>
  <c r="CY327" i="3"/>
  <c r="CZ327" i="3"/>
  <c r="DA327" i="3"/>
  <c r="DB327" i="3"/>
  <c r="DC327" i="3"/>
  <c r="DD327" i="3"/>
  <c r="DE327" i="3"/>
  <c r="DF327" i="3"/>
  <c r="DG327" i="3"/>
  <c r="CR328" i="3"/>
  <c r="CS328" i="3"/>
  <c r="CT328" i="3"/>
  <c r="CU328" i="3"/>
  <c r="CV328" i="3"/>
  <c r="CW328" i="3"/>
  <c r="CX328" i="3"/>
  <c r="CY328" i="3"/>
  <c r="CZ328" i="3"/>
  <c r="DA328" i="3"/>
  <c r="DB328" i="3"/>
  <c r="DC328" i="3"/>
  <c r="DD328" i="3"/>
  <c r="DE328" i="3"/>
  <c r="DF328" i="3"/>
  <c r="DG328" i="3"/>
  <c r="CR329" i="3"/>
  <c r="CS329" i="3"/>
  <c r="CT329" i="3"/>
  <c r="CU329" i="3"/>
  <c r="CV329" i="3"/>
  <c r="CW329" i="3"/>
  <c r="CX329" i="3"/>
  <c r="CY329" i="3"/>
  <c r="CZ329" i="3"/>
  <c r="DA329" i="3"/>
  <c r="DB329" i="3"/>
  <c r="DC329" i="3"/>
  <c r="DD329" i="3"/>
  <c r="DE329" i="3"/>
  <c r="DF329" i="3"/>
  <c r="DG329" i="3"/>
  <c r="CR330" i="3"/>
  <c r="CS330" i="3"/>
  <c r="CT330" i="3"/>
  <c r="CU330" i="3"/>
  <c r="CV330" i="3"/>
  <c r="CW330" i="3"/>
  <c r="CX330" i="3"/>
  <c r="CY330" i="3"/>
  <c r="CZ330" i="3"/>
  <c r="DA330" i="3"/>
  <c r="DB330" i="3"/>
  <c r="DC330" i="3"/>
  <c r="DD330" i="3"/>
  <c r="DE330" i="3"/>
  <c r="DF330" i="3"/>
  <c r="DG330" i="3"/>
  <c r="CR331" i="3"/>
  <c r="CS331" i="3"/>
  <c r="CT331" i="3"/>
  <c r="CU331" i="3"/>
  <c r="CV331" i="3"/>
  <c r="CW331" i="3"/>
  <c r="CX331" i="3"/>
  <c r="CY331" i="3"/>
  <c r="CZ331" i="3"/>
  <c r="DA331" i="3"/>
  <c r="DB331" i="3"/>
  <c r="DC331" i="3"/>
  <c r="DD331" i="3"/>
  <c r="DE331" i="3"/>
  <c r="DF331" i="3"/>
  <c r="DG331" i="3"/>
  <c r="CR332" i="3"/>
  <c r="CS332" i="3"/>
  <c r="CT332" i="3"/>
  <c r="CU332" i="3"/>
  <c r="CV332" i="3"/>
  <c r="CW332" i="3"/>
  <c r="CX332" i="3"/>
  <c r="CY332" i="3"/>
  <c r="CZ332" i="3"/>
  <c r="DA332" i="3"/>
  <c r="DB332" i="3"/>
  <c r="DC332" i="3"/>
  <c r="DD332" i="3"/>
  <c r="DE332" i="3"/>
  <c r="DF332" i="3"/>
  <c r="DG332" i="3"/>
  <c r="CR333" i="3"/>
  <c r="CS333" i="3"/>
  <c r="CT333" i="3"/>
  <c r="CU333" i="3"/>
  <c r="CV333" i="3"/>
  <c r="CW333" i="3"/>
  <c r="CX333" i="3"/>
  <c r="CY333" i="3"/>
  <c r="CZ333" i="3"/>
  <c r="DA333" i="3"/>
  <c r="DB333" i="3"/>
  <c r="DC333" i="3"/>
  <c r="DD333" i="3"/>
  <c r="DE333" i="3"/>
  <c r="DF333" i="3"/>
  <c r="DG333" i="3"/>
  <c r="CR334" i="3"/>
  <c r="CS334" i="3"/>
  <c r="CT334" i="3"/>
  <c r="CU334" i="3"/>
  <c r="CV334" i="3"/>
  <c r="CW334" i="3"/>
  <c r="CX334" i="3"/>
  <c r="CY334" i="3"/>
  <c r="CZ334" i="3"/>
  <c r="DA334" i="3"/>
  <c r="DB334" i="3"/>
  <c r="DC334" i="3"/>
  <c r="DD334" i="3"/>
  <c r="DE334" i="3"/>
  <c r="DF334" i="3"/>
  <c r="DG334" i="3"/>
  <c r="CR335" i="3"/>
  <c r="CS335" i="3"/>
  <c r="CT335" i="3"/>
  <c r="CU335" i="3"/>
  <c r="CV335" i="3"/>
  <c r="CW335" i="3"/>
  <c r="CX335" i="3"/>
  <c r="CY335" i="3"/>
  <c r="CZ335" i="3"/>
  <c r="DA335" i="3"/>
  <c r="DB335" i="3"/>
  <c r="DC335" i="3"/>
  <c r="DD335" i="3"/>
  <c r="DE335" i="3"/>
  <c r="DF335" i="3"/>
  <c r="DG335" i="3"/>
  <c r="CR336" i="3"/>
  <c r="CS336" i="3"/>
  <c r="CT336" i="3"/>
  <c r="CU336" i="3"/>
  <c r="CV336" i="3"/>
  <c r="CW336" i="3"/>
  <c r="CX336" i="3"/>
  <c r="CY336" i="3"/>
  <c r="CZ336" i="3"/>
  <c r="DA336" i="3"/>
  <c r="DB336" i="3"/>
  <c r="DC336" i="3"/>
  <c r="DD336" i="3"/>
  <c r="DE336" i="3"/>
  <c r="DF336" i="3"/>
  <c r="DG336" i="3"/>
  <c r="CR337" i="3"/>
  <c r="CS337" i="3"/>
  <c r="CT337" i="3"/>
  <c r="CU337" i="3"/>
  <c r="CV337" i="3"/>
  <c r="CW337" i="3"/>
  <c r="CX337" i="3"/>
  <c r="CY337" i="3"/>
  <c r="CZ337" i="3"/>
  <c r="DA337" i="3"/>
  <c r="DB337" i="3"/>
  <c r="DC337" i="3"/>
  <c r="DD337" i="3"/>
  <c r="DE337" i="3"/>
  <c r="DF337" i="3"/>
  <c r="DG337" i="3"/>
  <c r="CR338" i="3"/>
  <c r="CS338" i="3"/>
  <c r="CT338" i="3"/>
  <c r="CU338" i="3"/>
  <c r="CV338" i="3"/>
  <c r="CW338" i="3"/>
  <c r="CX338" i="3"/>
  <c r="CY338" i="3"/>
  <c r="CZ338" i="3"/>
  <c r="DA338" i="3"/>
  <c r="DB338" i="3"/>
  <c r="DC338" i="3"/>
  <c r="DD338" i="3"/>
  <c r="DE338" i="3"/>
  <c r="DF338" i="3"/>
  <c r="DG338" i="3"/>
  <c r="CR339" i="3"/>
  <c r="CS339" i="3"/>
  <c r="CT339" i="3"/>
  <c r="CU339" i="3"/>
  <c r="CV339" i="3"/>
  <c r="CW339" i="3"/>
  <c r="CX339" i="3"/>
  <c r="CY339" i="3"/>
  <c r="CZ339" i="3"/>
  <c r="DA339" i="3"/>
  <c r="DB339" i="3"/>
  <c r="DC339" i="3"/>
  <c r="DD339" i="3"/>
  <c r="DE339" i="3"/>
  <c r="DF339" i="3"/>
  <c r="DG339" i="3"/>
  <c r="CR340" i="3"/>
  <c r="CS340" i="3"/>
  <c r="CT340" i="3"/>
  <c r="CU340" i="3"/>
  <c r="CV340" i="3"/>
  <c r="CW340" i="3"/>
  <c r="CX340" i="3"/>
  <c r="CY340" i="3"/>
  <c r="CZ340" i="3"/>
  <c r="DA340" i="3"/>
  <c r="DB340" i="3"/>
  <c r="DC340" i="3"/>
  <c r="DD340" i="3"/>
  <c r="DE340" i="3"/>
  <c r="DF340" i="3"/>
  <c r="DG340" i="3"/>
  <c r="CR341" i="3"/>
  <c r="CS341" i="3"/>
  <c r="CT341" i="3"/>
  <c r="CU341" i="3"/>
  <c r="CV341" i="3"/>
  <c r="CW341" i="3"/>
  <c r="CX341" i="3"/>
  <c r="CY341" i="3"/>
  <c r="CZ341" i="3"/>
  <c r="DA341" i="3"/>
  <c r="DB341" i="3"/>
  <c r="DC341" i="3"/>
  <c r="DD341" i="3"/>
  <c r="DE341" i="3"/>
  <c r="DF341" i="3"/>
  <c r="DG341" i="3"/>
  <c r="CR342" i="3"/>
  <c r="CS342" i="3"/>
  <c r="CT342" i="3"/>
  <c r="CU342" i="3"/>
  <c r="CV342" i="3"/>
  <c r="CW342" i="3"/>
  <c r="CX342" i="3"/>
  <c r="CY342" i="3"/>
  <c r="CZ342" i="3"/>
  <c r="DA342" i="3"/>
  <c r="DB342" i="3"/>
  <c r="DC342" i="3"/>
  <c r="DD342" i="3"/>
  <c r="DE342" i="3"/>
  <c r="DF342" i="3"/>
  <c r="DG342" i="3"/>
  <c r="CR343" i="3"/>
  <c r="CS343" i="3"/>
  <c r="CT343" i="3"/>
  <c r="CU343" i="3"/>
  <c r="CV343" i="3"/>
  <c r="CW343" i="3"/>
  <c r="CX343" i="3"/>
  <c r="CY343" i="3"/>
  <c r="CZ343" i="3"/>
  <c r="DA343" i="3"/>
  <c r="DB343" i="3"/>
  <c r="DC343" i="3"/>
  <c r="DD343" i="3"/>
  <c r="DE343" i="3"/>
  <c r="DF343" i="3"/>
  <c r="DG343" i="3"/>
  <c r="CR344" i="3"/>
  <c r="CS344" i="3"/>
  <c r="CT344" i="3"/>
  <c r="CU344" i="3"/>
  <c r="CV344" i="3"/>
  <c r="CW344" i="3"/>
  <c r="CX344" i="3"/>
  <c r="CY344" i="3"/>
  <c r="CZ344" i="3"/>
  <c r="DA344" i="3"/>
  <c r="DB344" i="3"/>
  <c r="DC344" i="3"/>
  <c r="DD344" i="3"/>
  <c r="DE344" i="3"/>
  <c r="DF344" i="3"/>
  <c r="DG344" i="3"/>
  <c r="CR345" i="3"/>
  <c r="CS345" i="3"/>
  <c r="CT345" i="3"/>
  <c r="CU345" i="3"/>
  <c r="CV345" i="3"/>
  <c r="CW345" i="3"/>
  <c r="CX345" i="3"/>
  <c r="CY345" i="3"/>
  <c r="CZ345" i="3"/>
  <c r="DA345" i="3"/>
  <c r="DB345" i="3"/>
  <c r="DC345" i="3"/>
  <c r="DD345" i="3"/>
  <c r="DE345" i="3"/>
  <c r="DF345" i="3"/>
  <c r="DG345" i="3"/>
  <c r="CR346" i="3"/>
  <c r="CS346" i="3"/>
  <c r="CT346" i="3"/>
  <c r="CU346" i="3"/>
  <c r="CV346" i="3"/>
  <c r="CW346" i="3"/>
  <c r="CX346" i="3"/>
  <c r="CY346" i="3"/>
  <c r="CZ346" i="3"/>
  <c r="DA346" i="3"/>
  <c r="DB346" i="3"/>
  <c r="DC346" i="3"/>
  <c r="DD346" i="3"/>
  <c r="DE346" i="3"/>
  <c r="DF346" i="3"/>
  <c r="DG346" i="3"/>
  <c r="CR347" i="3"/>
  <c r="CS347" i="3"/>
  <c r="CT347" i="3"/>
  <c r="CU347" i="3"/>
  <c r="CV347" i="3"/>
  <c r="CW347" i="3"/>
  <c r="CX347" i="3"/>
  <c r="CY347" i="3"/>
  <c r="CZ347" i="3"/>
  <c r="DA347" i="3"/>
  <c r="DB347" i="3"/>
  <c r="DC347" i="3"/>
  <c r="DD347" i="3"/>
  <c r="DE347" i="3"/>
  <c r="DF347" i="3"/>
  <c r="DG347" i="3"/>
  <c r="CR348" i="3"/>
  <c r="CS348" i="3"/>
  <c r="CT348" i="3"/>
  <c r="CU348" i="3"/>
  <c r="CV348" i="3"/>
  <c r="CW348" i="3"/>
  <c r="CX348" i="3"/>
  <c r="CY348" i="3"/>
  <c r="CZ348" i="3"/>
  <c r="DA348" i="3"/>
  <c r="DB348" i="3"/>
  <c r="DC348" i="3"/>
  <c r="DD348" i="3"/>
  <c r="DE348" i="3"/>
  <c r="DF348" i="3"/>
  <c r="DG348" i="3"/>
  <c r="CR349" i="3"/>
  <c r="CS349" i="3"/>
  <c r="CT349" i="3"/>
  <c r="CU349" i="3"/>
  <c r="CV349" i="3"/>
  <c r="CW349" i="3"/>
  <c r="CX349" i="3"/>
  <c r="CY349" i="3"/>
  <c r="CZ349" i="3"/>
  <c r="DA349" i="3"/>
  <c r="DB349" i="3"/>
  <c r="DC349" i="3"/>
  <c r="DD349" i="3"/>
  <c r="DE349" i="3"/>
  <c r="DF349" i="3"/>
  <c r="DG349" i="3"/>
  <c r="CR350" i="3"/>
  <c r="CS350" i="3"/>
  <c r="CT350" i="3"/>
  <c r="CU350" i="3"/>
  <c r="CV350" i="3"/>
  <c r="CW350" i="3"/>
  <c r="CX350" i="3"/>
  <c r="CY350" i="3"/>
  <c r="CZ350" i="3"/>
  <c r="DA350" i="3"/>
  <c r="DB350" i="3"/>
  <c r="DC350" i="3"/>
  <c r="DD350" i="3"/>
  <c r="DE350" i="3"/>
  <c r="DF350" i="3"/>
  <c r="DG350" i="3"/>
  <c r="CR351" i="3"/>
  <c r="CS351" i="3"/>
  <c r="CT351" i="3"/>
  <c r="CU351" i="3"/>
  <c r="CV351" i="3"/>
  <c r="CW351" i="3"/>
  <c r="CX351" i="3"/>
  <c r="CY351" i="3"/>
  <c r="CZ351" i="3"/>
  <c r="DA351" i="3"/>
  <c r="DB351" i="3"/>
  <c r="DC351" i="3"/>
  <c r="DD351" i="3"/>
  <c r="DE351" i="3"/>
  <c r="DF351" i="3"/>
  <c r="DG351" i="3"/>
  <c r="CR352" i="3"/>
  <c r="CS352" i="3"/>
  <c r="CT352" i="3"/>
  <c r="CU352" i="3"/>
  <c r="CV352" i="3"/>
  <c r="CW352" i="3"/>
  <c r="CX352" i="3"/>
  <c r="CY352" i="3"/>
  <c r="CZ352" i="3"/>
  <c r="DA352" i="3"/>
  <c r="DB352" i="3"/>
  <c r="DC352" i="3"/>
  <c r="DD352" i="3"/>
  <c r="DE352" i="3"/>
  <c r="DF352" i="3"/>
  <c r="DG352" i="3"/>
  <c r="CR353" i="3"/>
  <c r="CS353" i="3"/>
  <c r="CT353" i="3"/>
  <c r="CU353" i="3"/>
  <c r="CV353" i="3"/>
  <c r="CW353" i="3"/>
  <c r="CX353" i="3"/>
  <c r="CY353" i="3"/>
  <c r="CZ353" i="3"/>
  <c r="DA353" i="3"/>
  <c r="DB353" i="3"/>
  <c r="DC353" i="3"/>
  <c r="DD353" i="3"/>
  <c r="DE353" i="3"/>
  <c r="DF353" i="3"/>
  <c r="DG353" i="3"/>
  <c r="CR354" i="3"/>
  <c r="CS354" i="3"/>
  <c r="CT354" i="3"/>
  <c r="CU354" i="3"/>
  <c r="CV354" i="3"/>
  <c r="CW354" i="3"/>
  <c r="CX354" i="3"/>
  <c r="CY354" i="3"/>
  <c r="CZ354" i="3"/>
  <c r="DA354" i="3"/>
  <c r="DB354" i="3"/>
  <c r="DC354" i="3"/>
  <c r="DD354" i="3"/>
  <c r="DE354" i="3"/>
  <c r="DF354" i="3"/>
  <c r="DG354" i="3"/>
  <c r="CR355" i="3"/>
  <c r="CS355" i="3"/>
  <c r="CT355" i="3"/>
  <c r="CU355" i="3"/>
  <c r="CV355" i="3"/>
  <c r="CW355" i="3"/>
  <c r="CX355" i="3"/>
  <c r="CY355" i="3"/>
  <c r="CZ355" i="3"/>
  <c r="DA355" i="3"/>
  <c r="DB355" i="3"/>
  <c r="DC355" i="3"/>
  <c r="DD355" i="3"/>
  <c r="DE355" i="3"/>
  <c r="DF355" i="3"/>
  <c r="DG355" i="3"/>
  <c r="CR356" i="3"/>
  <c r="CS356" i="3"/>
  <c r="CT356" i="3"/>
  <c r="CU356" i="3"/>
  <c r="CV356" i="3"/>
  <c r="CW356" i="3"/>
  <c r="CX356" i="3"/>
  <c r="CY356" i="3"/>
  <c r="CZ356" i="3"/>
  <c r="DA356" i="3"/>
  <c r="DB356" i="3"/>
  <c r="DC356" i="3"/>
  <c r="DD356" i="3"/>
  <c r="DE356" i="3"/>
  <c r="DF356" i="3"/>
  <c r="DG356" i="3"/>
  <c r="CR357" i="3"/>
  <c r="CS357" i="3"/>
  <c r="CT357" i="3"/>
  <c r="CU357" i="3"/>
  <c r="CV357" i="3"/>
  <c r="CW357" i="3"/>
  <c r="CX357" i="3"/>
  <c r="CY357" i="3"/>
  <c r="CZ357" i="3"/>
  <c r="DA357" i="3"/>
  <c r="DB357" i="3"/>
  <c r="DC357" i="3"/>
  <c r="DD357" i="3"/>
  <c r="DE357" i="3"/>
  <c r="DF357" i="3"/>
  <c r="DG357" i="3"/>
  <c r="CR358" i="3"/>
  <c r="CS358" i="3"/>
  <c r="CT358" i="3"/>
  <c r="CU358" i="3"/>
  <c r="CV358" i="3"/>
  <c r="CW358" i="3"/>
  <c r="CX358" i="3"/>
  <c r="CY358" i="3"/>
  <c r="CZ358" i="3"/>
  <c r="DA358" i="3"/>
  <c r="DB358" i="3"/>
  <c r="DC358" i="3"/>
  <c r="DD358" i="3"/>
  <c r="DE358" i="3"/>
  <c r="DF358" i="3"/>
  <c r="DG358" i="3"/>
  <c r="CR359" i="3"/>
  <c r="CS359" i="3"/>
  <c r="CT359" i="3"/>
  <c r="CU359" i="3"/>
  <c r="CV359" i="3"/>
  <c r="CW359" i="3"/>
  <c r="CX359" i="3"/>
  <c r="CY359" i="3"/>
  <c r="CZ359" i="3"/>
  <c r="DA359" i="3"/>
  <c r="DB359" i="3"/>
  <c r="DC359" i="3"/>
  <c r="DD359" i="3"/>
  <c r="DE359" i="3"/>
  <c r="DF359" i="3"/>
  <c r="DG359" i="3"/>
  <c r="CR360" i="3"/>
  <c r="CS360" i="3"/>
  <c r="CT360" i="3"/>
  <c r="CU360" i="3"/>
  <c r="CV360" i="3"/>
  <c r="CW360" i="3"/>
  <c r="CX360" i="3"/>
  <c r="CY360" i="3"/>
  <c r="CZ360" i="3"/>
  <c r="DA360" i="3"/>
  <c r="DB360" i="3"/>
  <c r="DC360" i="3"/>
  <c r="DD360" i="3"/>
  <c r="DE360" i="3"/>
  <c r="DF360" i="3"/>
  <c r="DG360" i="3"/>
  <c r="CR361" i="3"/>
  <c r="CS361" i="3"/>
  <c r="CT361" i="3"/>
  <c r="CU361" i="3"/>
  <c r="CV361" i="3"/>
  <c r="CW361" i="3"/>
  <c r="CX361" i="3"/>
  <c r="CY361" i="3"/>
  <c r="CZ361" i="3"/>
  <c r="DA361" i="3"/>
  <c r="DB361" i="3"/>
  <c r="DC361" i="3"/>
  <c r="DD361" i="3"/>
  <c r="DE361" i="3"/>
  <c r="DF361" i="3"/>
  <c r="DG361" i="3"/>
  <c r="CR362" i="3"/>
  <c r="CS362" i="3"/>
  <c r="CT362" i="3"/>
  <c r="CU362" i="3"/>
  <c r="CV362" i="3"/>
  <c r="CW362" i="3"/>
  <c r="CX362" i="3"/>
  <c r="CY362" i="3"/>
  <c r="CZ362" i="3"/>
  <c r="DA362" i="3"/>
  <c r="DB362" i="3"/>
  <c r="DC362" i="3"/>
  <c r="DD362" i="3"/>
  <c r="DE362" i="3"/>
  <c r="DF362" i="3"/>
  <c r="DG362" i="3"/>
  <c r="CR363" i="3"/>
  <c r="CS363" i="3"/>
  <c r="CT363" i="3"/>
  <c r="CU363" i="3"/>
  <c r="CV363" i="3"/>
  <c r="CW363" i="3"/>
  <c r="CX363" i="3"/>
  <c r="CY363" i="3"/>
  <c r="CZ363" i="3"/>
  <c r="DA363" i="3"/>
  <c r="DB363" i="3"/>
  <c r="DC363" i="3"/>
  <c r="DD363" i="3"/>
  <c r="DE363" i="3"/>
  <c r="DF363" i="3"/>
  <c r="DG363" i="3"/>
  <c r="CR364" i="3"/>
  <c r="CS364" i="3"/>
  <c r="CT364" i="3"/>
  <c r="CU364" i="3"/>
  <c r="CV364" i="3"/>
  <c r="CW364" i="3"/>
  <c r="CX364" i="3"/>
  <c r="CY364" i="3"/>
  <c r="CZ364" i="3"/>
  <c r="DA364" i="3"/>
  <c r="DB364" i="3"/>
  <c r="DC364" i="3"/>
  <c r="DD364" i="3"/>
  <c r="DE364" i="3"/>
  <c r="DF364" i="3"/>
  <c r="DG364" i="3"/>
  <c r="CR365" i="3"/>
  <c r="CS365" i="3"/>
  <c r="CT365" i="3"/>
  <c r="CU365" i="3"/>
  <c r="CV365" i="3"/>
  <c r="CW365" i="3"/>
  <c r="CX365" i="3"/>
  <c r="CY365" i="3"/>
  <c r="CZ365" i="3"/>
  <c r="DA365" i="3"/>
  <c r="DB365" i="3"/>
  <c r="DC365" i="3"/>
  <c r="DD365" i="3"/>
  <c r="DE365" i="3"/>
  <c r="DF365" i="3"/>
  <c r="DG365" i="3"/>
  <c r="CR366" i="3"/>
  <c r="CS366" i="3"/>
  <c r="CT366" i="3"/>
  <c r="CU366" i="3"/>
  <c r="CV366" i="3"/>
  <c r="CW366" i="3"/>
  <c r="CX366" i="3"/>
  <c r="CY366" i="3"/>
  <c r="CZ366" i="3"/>
  <c r="DA366" i="3"/>
  <c r="DB366" i="3"/>
  <c r="DC366" i="3"/>
  <c r="DD366" i="3"/>
  <c r="DE366" i="3"/>
  <c r="DF366" i="3"/>
  <c r="DG366" i="3"/>
  <c r="CR367" i="3"/>
  <c r="CS367" i="3"/>
  <c r="CT367" i="3"/>
  <c r="CU367" i="3"/>
  <c r="CV367" i="3"/>
  <c r="CW367" i="3"/>
  <c r="CX367" i="3"/>
  <c r="CY367" i="3"/>
  <c r="CZ367" i="3"/>
  <c r="DA367" i="3"/>
  <c r="DB367" i="3"/>
  <c r="DC367" i="3"/>
  <c r="DD367" i="3"/>
  <c r="DE367" i="3"/>
  <c r="DF367" i="3"/>
  <c r="DG367" i="3"/>
  <c r="CR368" i="3"/>
  <c r="CS368" i="3"/>
  <c r="CT368" i="3"/>
  <c r="CU368" i="3"/>
  <c r="CV368" i="3"/>
  <c r="CW368" i="3"/>
  <c r="CX368" i="3"/>
  <c r="CY368" i="3"/>
  <c r="CZ368" i="3"/>
  <c r="DA368" i="3"/>
  <c r="DB368" i="3"/>
  <c r="DC368" i="3"/>
  <c r="DD368" i="3"/>
  <c r="DE368" i="3"/>
  <c r="DF368" i="3"/>
  <c r="DG368" i="3"/>
  <c r="CR369" i="3"/>
  <c r="CS369" i="3"/>
  <c r="CT369" i="3"/>
  <c r="CU369" i="3"/>
  <c r="CV369" i="3"/>
  <c r="CW369" i="3"/>
  <c r="CX369" i="3"/>
  <c r="CY369" i="3"/>
  <c r="CZ369" i="3"/>
  <c r="DA369" i="3"/>
  <c r="DB369" i="3"/>
  <c r="DC369" i="3"/>
  <c r="DD369" i="3"/>
  <c r="DE369" i="3"/>
  <c r="DF369" i="3"/>
  <c r="DG369" i="3"/>
  <c r="CR370" i="3"/>
  <c r="CS370" i="3"/>
  <c r="CT370" i="3"/>
  <c r="CU370" i="3"/>
  <c r="CV370" i="3"/>
  <c r="CW370" i="3"/>
  <c r="CX370" i="3"/>
  <c r="CY370" i="3"/>
  <c r="CZ370" i="3"/>
  <c r="DA370" i="3"/>
  <c r="DB370" i="3"/>
  <c r="DC370" i="3"/>
  <c r="DD370" i="3"/>
  <c r="DE370" i="3"/>
  <c r="DF370" i="3"/>
  <c r="DG370" i="3"/>
  <c r="CR371" i="3"/>
  <c r="CS371" i="3"/>
  <c r="CT371" i="3"/>
  <c r="CU371" i="3"/>
  <c r="CV371" i="3"/>
  <c r="CW371" i="3"/>
  <c r="CX371" i="3"/>
  <c r="CY371" i="3"/>
  <c r="CZ371" i="3"/>
  <c r="DA371" i="3"/>
  <c r="DB371" i="3"/>
  <c r="DC371" i="3"/>
  <c r="DD371" i="3"/>
  <c r="DE371" i="3"/>
  <c r="DF371" i="3"/>
  <c r="DG371" i="3"/>
  <c r="CR372" i="3"/>
  <c r="CS372" i="3"/>
  <c r="CT372" i="3"/>
  <c r="CU372" i="3"/>
  <c r="CV372" i="3"/>
  <c r="CW372" i="3"/>
  <c r="CX372" i="3"/>
  <c r="CY372" i="3"/>
  <c r="CZ372" i="3"/>
  <c r="DA372" i="3"/>
  <c r="DB372" i="3"/>
  <c r="DC372" i="3"/>
  <c r="DD372" i="3"/>
  <c r="DE372" i="3"/>
  <c r="DF372" i="3"/>
  <c r="DG372" i="3"/>
  <c r="CR373" i="3"/>
  <c r="CS373" i="3"/>
  <c r="CT373" i="3"/>
  <c r="CU373" i="3"/>
  <c r="CV373" i="3"/>
  <c r="CW373" i="3"/>
  <c r="CX373" i="3"/>
  <c r="CY373" i="3"/>
  <c r="CZ373" i="3"/>
  <c r="DA373" i="3"/>
  <c r="DB373" i="3"/>
  <c r="DC373" i="3"/>
  <c r="DD373" i="3"/>
  <c r="DE373" i="3"/>
  <c r="DF373" i="3"/>
  <c r="DG373" i="3"/>
  <c r="CR374" i="3"/>
  <c r="CS374" i="3"/>
  <c r="CT374" i="3"/>
  <c r="CU374" i="3"/>
  <c r="CV374" i="3"/>
  <c r="CW374" i="3"/>
  <c r="CX374" i="3"/>
  <c r="CY374" i="3"/>
  <c r="CZ374" i="3"/>
  <c r="DA374" i="3"/>
  <c r="DB374" i="3"/>
  <c r="DC374" i="3"/>
  <c r="DD374" i="3"/>
  <c r="DE374" i="3"/>
  <c r="DF374" i="3"/>
  <c r="DG374" i="3"/>
  <c r="CR375" i="3"/>
  <c r="CS375" i="3"/>
  <c r="CT375" i="3"/>
  <c r="CU375" i="3"/>
  <c r="CV375" i="3"/>
  <c r="CW375" i="3"/>
  <c r="CX375" i="3"/>
  <c r="CY375" i="3"/>
  <c r="CZ375" i="3"/>
  <c r="DA375" i="3"/>
  <c r="DB375" i="3"/>
  <c r="DC375" i="3"/>
  <c r="DD375" i="3"/>
  <c r="DE375" i="3"/>
  <c r="DF375" i="3"/>
  <c r="DG375" i="3"/>
  <c r="CR376" i="3"/>
  <c r="CS376" i="3"/>
  <c r="CT376" i="3"/>
  <c r="CU376" i="3"/>
  <c r="CV376" i="3"/>
  <c r="CW376" i="3"/>
  <c r="CX376" i="3"/>
  <c r="CY376" i="3"/>
  <c r="CZ376" i="3"/>
  <c r="DA376" i="3"/>
  <c r="DB376" i="3"/>
  <c r="DC376" i="3"/>
  <c r="DD376" i="3"/>
  <c r="DE376" i="3"/>
  <c r="DF376" i="3"/>
  <c r="DG376" i="3"/>
  <c r="CR377" i="3"/>
  <c r="CS377" i="3"/>
  <c r="CT377" i="3"/>
  <c r="CU377" i="3"/>
  <c r="CV377" i="3"/>
  <c r="CW377" i="3"/>
  <c r="CX377" i="3"/>
  <c r="CY377" i="3"/>
  <c r="CZ377" i="3"/>
  <c r="DA377" i="3"/>
  <c r="DB377" i="3"/>
  <c r="DC377" i="3"/>
  <c r="DD377" i="3"/>
  <c r="DE377" i="3"/>
  <c r="DF377" i="3"/>
  <c r="DG377" i="3"/>
  <c r="CR378" i="3"/>
  <c r="CS378" i="3"/>
  <c r="CT378" i="3"/>
  <c r="CU378" i="3"/>
  <c r="CV378" i="3"/>
  <c r="CW378" i="3"/>
  <c r="CX378" i="3"/>
  <c r="CY378" i="3"/>
  <c r="CZ378" i="3"/>
  <c r="DA378" i="3"/>
  <c r="DB378" i="3"/>
  <c r="DC378" i="3"/>
  <c r="DD378" i="3"/>
  <c r="DE378" i="3"/>
  <c r="DF378" i="3"/>
  <c r="DG378" i="3"/>
  <c r="CR379" i="3"/>
  <c r="CS379" i="3"/>
  <c r="CT379" i="3"/>
  <c r="CU379" i="3"/>
  <c r="CV379" i="3"/>
  <c r="CW379" i="3"/>
  <c r="CX379" i="3"/>
  <c r="CY379" i="3"/>
  <c r="CZ379" i="3"/>
  <c r="DA379" i="3"/>
  <c r="DB379" i="3"/>
  <c r="DC379" i="3"/>
  <c r="DD379" i="3"/>
  <c r="DE379" i="3"/>
  <c r="DF379" i="3"/>
  <c r="DG379" i="3"/>
  <c r="CR380" i="3"/>
  <c r="CS380" i="3"/>
  <c r="CT380" i="3"/>
  <c r="CU380" i="3"/>
  <c r="CV380" i="3"/>
  <c r="CW380" i="3"/>
  <c r="CX380" i="3"/>
  <c r="CY380" i="3"/>
  <c r="CZ380" i="3"/>
  <c r="DA380" i="3"/>
  <c r="DB380" i="3"/>
  <c r="DC380" i="3"/>
  <c r="DD380" i="3"/>
  <c r="DE380" i="3"/>
  <c r="DF380" i="3"/>
  <c r="DG380" i="3"/>
  <c r="CR381" i="3"/>
  <c r="CS381" i="3"/>
  <c r="CT381" i="3"/>
  <c r="CU381" i="3"/>
  <c r="CV381" i="3"/>
  <c r="CW381" i="3"/>
  <c r="CX381" i="3"/>
  <c r="CY381" i="3"/>
  <c r="CZ381" i="3"/>
  <c r="DA381" i="3"/>
  <c r="DB381" i="3"/>
  <c r="DC381" i="3"/>
  <c r="DD381" i="3"/>
  <c r="DE381" i="3"/>
  <c r="DF381" i="3"/>
  <c r="DG381" i="3"/>
  <c r="CR382" i="3"/>
  <c r="CS382" i="3"/>
  <c r="CT382" i="3"/>
  <c r="CU382" i="3"/>
  <c r="CV382" i="3"/>
  <c r="CW382" i="3"/>
  <c r="CX382" i="3"/>
  <c r="CY382" i="3"/>
  <c r="CZ382" i="3"/>
  <c r="DA382" i="3"/>
  <c r="DB382" i="3"/>
  <c r="DC382" i="3"/>
  <c r="DD382" i="3"/>
  <c r="DE382" i="3"/>
  <c r="DF382" i="3"/>
  <c r="DG382" i="3"/>
  <c r="CR383" i="3"/>
  <c r="CS383" i="3"/>
  <c r="CT383" i="3"/>
  <c r="CU383" i="3"/>
  <c r="CV383" i="3"/>
  <c r="CW383" i="3"/>
  <c r="CX383" i="3"/>
  <c r="CY383" i="3"/>
  <c r="CZ383" i="3"/>
  <c r="DA383" i="3"/>
  <c r="DB383" i="3"/>
  <c r="DC383" i="3"/>
  <c r="DD383" i="3"/>
  <c r="DE383" i="3"/>
  <c r="DF383" i="3"/>
  <c r="DG383" i="3"/>
  <c r="CR384" i="3"/>
  <c r="CS384" i="3"/>
  <c r="CT384" i="3"/>
  <c r="CU384" i="3"/>
  <c r="CV384" i="3"/>
  <c r="CW384" i="3"/>
  <c r="CX384" i="3"/>
  <c r="CY384" i="3"/>
  <c r="CZ384" i="3"/>
  <c r="DA384" i="3"/>
  <c r="DB384" i="3"/>
  <c r="DC384" i="3"/>
  <c r="DD384" i="3"/>
  <c r="DE384" i="3"/>
  <c r="DF384" i="3"/>
  <c r="DG384" i="3"/>
  <c r="CR385" i="3"/>
  <c r="CS385" i="3"/>
  <c r="CT385" i="3"/>
  <c r="CU385" i="3"/>
  <c r="CV385" i="3"/>
  <c r="CW385" i="3"/>
  <c r="CX385" i="3"/>
  <c r="CY385" i="3"/>
  <c r="CZ385" i="3"/>
  <c r="DA385" i="3"/>
  <c r="DB385" i="3"/>
  <c r="DC385" i="3"/>
  <c r="DD385" i="3"/>
  <c r="DE385" i="3"/>
  <c r="DF385" i="3"/>
  <c r="DG385" i="3"/>
  <c r="CR386" i="3"/>
  <c r="CS386" i="3"/>
  <c r="CT386" i="3"/>
  <c r="CU386" i="3"/>
  <c r="CV386" i="3"/>
  <c r="CW386" i="3"/>
  <c r="CX386" i="3"/>
  <c r="CY386" i="3"/>
  <c r="CZ386" i="3"/>
  <c r="DA386" i="3"/>
  <c r="DB386" i="3"/>
  <c r="DC386" i="3"/>
  <c r="DD386" i="3"/>
  <c r="DE386" i="3"/>
  <c r="DF386" i="3"/>
  <c r="DG386" i="3"/>
  <c r="CR387" i="3"/>
  <c r="CS387" i="3"/>
  <c r="CT387" i="3"/>
  <c r="CU387" i="3"/>
  <c r="CV387" i="3"/>
  <c r="CW387" i="3"/>
  <c r="CX387" i="3"/>
  <c r="CY387" i="3"/>
  <c r="CZ387" i="3"/>
  <c r="DA387" i="3"/>
  <c r="DB387" i="3"/>
  <c r="DC387" i="3"/>
  <c r="DD387" i="3"/>
  <c r="DE387" i="3"/>
  <c r="DF387" i="3"/>
  <c r="DG387" i="3"/>
  <c r="CR388" i="3"/>
  <c r="CS388" i="3"/>
  <c r="CT388" i="3"/>
  <c r="CU388" i="3"/>
  <c r="CV388" i="3"/>
  <c r="CW388" i="3"/>
  <c r="CX388" i="3"/>
  <c r="CY388" i="3"/>
  <c r="CZ388" i="3"/>
  <c r="DA388" i="3"/>
  <c r="DB388" i="3"/>
  <c r="DC388" i="3"/>
  <c r="DD388" i="3"/>
  <c r="DE388" i="3"/>
  <c r="DF388" i="3"/>
  <c r="DG388" i="3"/>
  <c r="CR389" i="3"/>
  <c r="CS389" i="3"/>
  <c r="CT389" i="3"/>
  <c r="CU389" i="3"/>
  <c r="CV389" i="3"/>
  <c r="CW389" i="3"/>
  <c r="CX389" i="3"/>
  <c r="CY389" i="3"/>
  <c r="CZ389" i="3"/>
  <c r="DA389" i="3"/>
  <c r="DB389" i="3"/>
  <c r="DC389" i="3"/>
  <c r="DD389" i="3"/>
  <c r="DE389" i="3"/>
  <c r="DF389" i="3"/>
  <c r="DG389" i="3"/>
  <c r="CR390" i="3"/>
  <c r="CS390" i="3"/>
  <c r="CT390" i="3"/>
  <c r="CU390" i="3"/>
  <c r="CV390" i="3"/>
  <c r="CW390" i="3"/>
  <c r="CX390" i="3"/>
  <c r="CY390" i="3"/>
  <c r="CZ390" i="3"/>
  <c r="DA390" i="3"/>
  <c r="DB390" i="3"/>
  <c r="DC390" i="3"/>
  <c r="DD390" i="3"/>
  <c r="DE390" i="3"/>
  <c r="DF390" i="3"/>
  <c r="DG390" i="3"/>
  <c r="CR391" i="3"/>
  <c r="CS391" i="3"/>
  <c r="CT391" i="3"/>
  <c r="CU391" i="3"/>
  <c r="CV391" i="3"/>
  <c r="CW391" i="3"/>
  <c r="CX391" i="3"/>
  <c r="CY391" i="3"/>
  <c r="CZ391" i="3"/>
  <c r="DA391" i="3"/>
  <c r="DB391" i="3"/>
  <c r="DC391" i="3"/>
  <c r="DD391" i="3"/>
  <c r="DE391" i="3"/>
  <c r="DF391" i="3"/>
  <c r="DG391" i="3"/>
  <c r="CR392" i="3"/>
  <c r="CS392" i="3"/>
  <c r="CT392" i="3"/>
  <c r="CU392" i="3"/>
  <c r="CV392" i="3"/>
  <c r="CW392" i="3"/>
  <c r="CX392" i="3"/>
  <c r="CY392" i="3"/>
  <c r="CZ392" i="3"/>
  <c r="DA392" i="3"/>
  <c r="DB392" i="3"/>
  <c r="DC392" i="3"/>
  <c r="DD392" i="3"/>
  <c r="DE392" i="3"/>
  <c r="DF392" i="3"/>
  <c r="DG392" i="3"/>
  <c r="CR393" i="3"/>
  <c r="CS393" i="3"/>
  <c r="CT393" i="3"/>
  <c r="CU393" i="3"/>
  <c r="CV393" i="3"/>
  <c r="CW393" i="3"/>
  <c r="CX393" i="3"/>
  <c r="CY393" i="3"/>
  <c r="CZ393" i="3"/>
  <c r="DA393" i="3"/>
  <c r="DB393" i="3"/>
  <c r="DC393" i="3"/>
  <c r="DD393" i="3"/>
  <c r="DE393" i="3"/>
  <c r="DF393" i="3"/>
  <c r="DG393" i="3"/>
  <c r="CR394" i="3"/>
  <c r="CS394" i="3"/>
  <c r="CT394" i="3"/>
  <c r="CU394" i="3"/>
  <c r="CV394" i="3"/>
  <c r="CW394" i="3"/>
  <c r="CX394" i="3"/>
  <c r="CY394" i="3"/>
  <c r="CZ394" i="3"/>
  <c r="DA394" i="3"/>
  <c r="DB394" i="3"/>
  <c r="DC394" i="3"/>
  <c r="DD394" i="3"/>
  <c r="DE394" i="3"/>
  <c r="DF394" i="3"/>
  <c r="DG394" i="3"/>
  <c r="CR395" i="3"/>
  <c r="CS395" i="3"/>
  <c r="CT395" i="3"/>
  <c r="CU395" i="3"/>
  <c r="CV395" i="3"/>
  <c r="CW395" i="3"/>
  <c r="CX395" i="3"/>
  <c r="CY395" i="3"/>
  <c r="CZ395" i="3"/>
  <c r="DA395" i="3"/>
  <c r="DB395" i="3"/>
  <c r="DC395" i="3"/>
  <c r="DD395" i="3"/>
  <c r="DE395" i="3"/>
  <c r="DF395" i="3"/>
  <c r="DG395" i="3"/>
  <c r="CR396" i="3"/>
  <c r="CS396" i="3"/>
  <c r="CT396" i="3"/>
  <c r="CU396" i="3"/>
  <c r="CV396" i="3"/>
  <c r="CW396" i="3"/>
  <c r="CX396" i="3"/>
  <c r="CY396" i="3"/>
  <c r="CZ396" i="3"/>
  <c r="DA396" i="3"/>
  <c r="DB396" i="3"/>
  <c r="DC396" i="3"/>
  <c r="DD396" i="3"/>
  <c r="DE396" i="3"/>
  <c r="DF396" i="3"/>
  <c r="DG396" i="3"/>
  <c r="CR397" i="3"/>
  <c r="CS397" i="3"/>
  <c r="CT397" i="3"/>
  <c r="CU397" i="3"/>
  <c r="CV397" i="3"/>
  <c r="CW397" i="3"/>
  <c r="CX397" i="3"/>
  <c r="CY397" i="3"/>
  <c r="CZ397" i="3"/>
  <c r="DA397" i="3"/>
  <c r="DB397" i="3"/>
  <c r="DC397" i="3"/>
  <c r="DD397" i="3"/>
  <c r="DE397" i="3"/>
  <c r="DF397" i="3"/>
  <c r="DG397" i="3"/>
  <c r="CR398" i="3"/>
  <c r="CS398" i="3"/>
  <c r="CT398" i="3"/>
  <c r="CU398" i="3"/>
  <c r="CV398" i="3"/>
  <c r="CW398" i="3"/>
  <c r="CX398" i="3"/>
  <c r="CY398" i="3"/>
  <c r="CZ398" i="3"/>
  <c r="DA398" i="3"/>
  <c r="DB398" i="3"/>
  <c r="DC398" i="3"/>
  <c r="DD398" i="3"/>
  <c r="DE398" i="3"/>
  <c r="DF398" i="3"/>
  <c r="DG398" i="3"/>
  <c r="CR399" i="3"/>
  <c r="CS399" i="3"/>
  <c r="CT399" i="3"/>
  <c r="CU399" i="3"/>
  <c r="CV399" i="3"/>
  <c r="CW399" i="3"/>
  <c r="CX399" i="3"/>
  <c r="CY399" i="3"/>
  <c r="CZ399" i="3"/>
  <c r="DA399" i="3"/>
  <c r="DB399" i="3"/>
  <c r="DC399" i="3"/>
  <c r="DD399" i="3"/>
  <c r="DE399" i="3"/>
  <c r="DF399" i="3"/>
  <c r="DG399" i="3"/>
  <c r="CR400" i="3"/>
  <c r="CS400" i="3"/>
  <c r="CT400" i="3"/>
  <c r="CU400" i="3"/>
  <c r="CV400" i="3"/>
  <c r="CW400" i="3"/>
  <c r="CX400" i="3"/>
  <c r="CY400" i="3"/>
  <c r="CZ400" i="3"/>
  <c r="DA400" i="3"/>
  <c r="DB400" i="3"/>
  <c r="DC400" i="3"/>
  <c r="DD400" i="3"/>
  <c r="DE400" i="3"/>
  <c r="DF400" i="3"/>
  <c r="DG400" i="3"/>
  <c r="CR401" i="3"/>
  <c r="CS401" i="3"/>
  <c r="CT401" i="3"/>
  <c r="CU401" i="3"/>
  <c r="CV401" i="3"/>
  <c r="CW401" i="3"/>
  <c r="CX401" i="3"/>
  <c r="CY401" i="3"/>
  <c r="CZ401" i="3"/>
  <c r="DA401" i="3"/>
  <c r="DB401" i="3"/>
  <c r="DC401" i="3"/>
  <c r="DD401" i="3"/>
  <c r="DE401" i="3"/>
  <c r="DF401" i="3"/>
  <c r="DG401" i="3"/>
  <c r="CR402" i="3"/>
  <c r="CS402" i="3"/>
  <c r="CT402" i="3"/>
  <c r="CU402" i="3"/>
  <c r="CV402" i="3"/>
  <c r="CW402" i="3"/>
  <c r="CX402" i="3"/>
  <c r="CY402" i="3"/>
  <c r="CZ402" i="3"/>
  <c r="DA402" i="3"/>
  <c r="DB402" i="3"/>
  <c r="DC402" i="3"/>
  <c r="DD402" i="3"/>
  <c r="DE402" i="3"/>
  <c r="DF402" i="3"/>
  <c r="DG402" i="3"/>
  <c r="CR403" i="3"/>
  <c r="CS403" i="3"/>
  <c r="CT403" i="3"/>
  <c r="CU403" i="3"/>
  <c r="CV403" i="3"/>
  <c r="CW403" i="3"/>
  <c r="CX403" i="3"/>
  <c r="CY403" i="3"/>
  <c r="CZ403" i="3"/>
  <c r="DA403" i="3"/>
  <c r="DB403" i="3"/>
  <c r="DC403" i="3"/>
  <c r="DD403" i="3"/>
  <c r="DE403" i="3"/>
  <c r="DF403" i="3"/>
  <c r="DG403" i="3"/>
  <c r="CR404" i="3"/>
  <c r="CS404" i="3"/>
  <c r="CT404" i="3"/>
  <c r="CU404" i="3"/>
  <c r="CV404" i="3"/>
  <c r="CW404" i="3"/>
  <c r="CX404" i="3"/>
  <c r="CY404" i="3"/>
  <c r="CZ404" i="3"/>
  <c r="DA404" i="3"/>
  <c r="DB404" i="3"/>
  <c r="DC404" i="3"/>
  <c r="DD404" i="3"/>
  <c r="DE404" i="3"/>
  <c r="DF404" i="3"/>
  <c r="DG404" i="3"/>
  <c r="CR405" i="3"/>
  <c r="CS405" i="3"/>
  <c r="CT405" i="3"/>
  <c r="CU405" i="3"/>
  <c r="CV405" i="3"/>
  <c r="CW405" i="3"/>
  <c r="CX405" i="3"/>
  <c r="CY405" i="3"/>
  <c r="CZ405" i="3"/>
  <c r="DA405" i="3"/>
  <c r="DB405" i="3"/>
  <c r="DC405" i="3"/>
  <c r="DD405" i="3"/>
  <c r="DE405" i="3"/>
  <c r="DF405" i="3"/>
  <c r="DG405" i="3"/>
  <c r="CR406" i="3"/>
  <c r="CS406" i="3"/>
  <c r="CT406" i="3"/>
  <c r="CU406" i="3"/>
  <c r="CV406" i="3"/>
  <c r="CW406" i="3"/>
  <c r="CX406" i="3"/>
  <c r="CY406" i="3"/>
  <c r="CZ406" i="3"/>
  <c r="DA406" i="3"/>
  <c r="DB406" i="3"/>
  <c r="DC406" i="3"/>
  <c r="DD406" i="3"/>
  <c r="DE406" i="3"/>
  <c r="DF406" i="3"/>
  <c r="DG406" i="3"/>
  <c r="CR407" i="3"/>
  <c r="CS407" i="3"/>
  <c r="CT407" i="3"/>
  <c r="CU407" i="3"/>
  <c r="CV407" i="3"/>
  <c r="CW407" i="3"/>
  <c r="CX407" i="3"/>
  <c r="CY407" i="3"/>
  <c r="CZ407" i="3"/>
  <c r="DA407" i="3"/>
  <c r="DB407" i="3"/>
  <c r="DC407" i="3"/>
  <c r="DD407" i="3"/>
  <c r="DE407" i="3"/>
  <c r="DF407" i="3"/>
  <c r="DG407" i="3"/>
  <c r="CR408" i="3"/>
  <c r="CS408" i="3"/>
  <c r="CT408" i="3"/>
  <c r="CU408" i="3"/>
  <c r="CV408" i="3"/>
  <c r="CW408" i="3"/>
  <c r="CX408" i="3"/>
  <c r="CY408" i="3"/>
  <c r="CZ408" i="3"/>
  <c r="DA408" i="3"/>
  <c r="DB408" i="3"/>
  <c r="DC408" i="3"/>
  <c r="DD408" i="3"/>
  <c r="DE408" i="3"/>
  <c r="DF408" i="3"/>
  <c r="DG408" i="3"/>
  <c r="CR409" i="3"/>
  <c r="CS409" i="3"/>
  <c r="CT409" i="3"/>
  <c r="CU409" i="3"/>
  <c r="CV409" i="3"/>
  <c r="CW409" i="3"/>
  <c r="CX409" i="3"/>
  <c r="CY409" i="3"/>
  <c r="CZ409" i="3"/>
  <c r="DA409" i="3"/>
  <c r="DB409" i="3"/>
  <c r="DC409" i="3"/>
  <c r="DD409" i="3"/>
  <c r="DE409" i="3"/>
  <c r="DF409" i="3"/>
  <c r="DG409" i="3"/>
  <c r="CR410" i="3"/>
  <c r="CS410" i="3"/>
  <c r="CT410" i="3"/>
  <c r="CU410" i="3"/>
  <c r="CV410" i="3"/>
  <c r="CW410" i="3"/>
  <c r="CX410" i="3"/>
  <c r="CY410" i="3"/>
  <c r="CZ410" i="3"/>
  <c r="DA410" i="3"/>
  <c r="DB410" i="3"/>
  <c r="DC410" i="3"/>
  <c r="DD410" i="3"/>
  <c r="DE410" i="3"/>
  <c r="DF410" i="3"/>
  <c r="DG410" i="3"/>
  <c r="CR411" i="3"/>
  <c r="CS411" i="3"/>
  <c r="CT411" i="3"/>
  <c r="CU411" i="3"/>
  <c r="CV411" i="3"/>
  <c r="CW411" i="3"/>
  <c r="CX411" i="3"/>
  <c r="CY411" i="3"/>
  <c r="CZ411" i="3"/>
  <c r="DA411" i="3"/>
  <c r="DB411" i="3"/>
  <c r="DC411" i="3"/>
  <c r="DD411" i="3"/>
  <c r="DE411" i="3"/>
  <c r="DF411" i="3"/>
  <c r="DG411" i="3"/>
  <c r="CR412" i="3"/>
  <c r="CS412" i="3"/>
  <c r="CT412" i="3"/>
  <c r="CU412" i="3"/>
  <c r="CV412" i="3"/>
  <c r="CW412" i="3"/>
  <c r="CX412" i="3"/>
  <c r="CY412" i="3"/>
  <c r="CZ412" i="3"/>
  <c r="DA412" i="3"/>
  <c r="DB412" i="3"/>
  <c r="DC412" i="3"/>
  <c r="DD412" i="3"/>
  <c r="DE412" i="3"/>
  <c r="DF412" i="3"/>
  <c r="DG412" i="3"/>
  <c r="CR413" i="3"/>
  <c r="CS413" i="3"/>
  <c r="CT413" i="3"/>
  <c r="CU413" i="3"/>
  <c r="CV413" i="3"/>
  <c r="CW413" i="3"/>
  <c r="CX413" i="3"/>
  <c r="CY413" i="3"/>
  <c r="CZ413" i="3"/>
  <c r="DA413" i="3"/>
  <c r="DB413" i="3"/>
  <c r="DC413" i="3"/>
  <c r="DD413" i="3"/>
  <c r="DE413" i="3"/>
  <c r="DF413" i="3"/>
  <c r="DG413" i="3"/>
  <c r="CR414" i="3"/>
  <c r="CS414" i="3"/>
  <c r="CT414" i="3"/>
  <c r="CU414" i="3"/>
  <c r="CV414" i="3"/>
  <c r="CW414" i="3"/>
  <c r="CX414" i="3"/>
  <c r="CY414" i="3"/>
  <c r="CZ414" i="3"/>
  <c r="DA414" i="3"/>
  <c r="DB414" i="3"/>
  <c r="DC414" i="3"/>
  <c r="DD414" i="3"/>
  <c r="DE414" i="3"/>
  <c r="DF414" i="3"/>
  <c r="DG414" i="3"/>
  <c r="CR415" i="3"/>
  <c r="CS415" i="3"/>
  <c r="CT415" i="3"/>
  <c r="CU415" i="3"/>
  <c r="CV415" i="3"/>
  <c r="CW415" i="3"/>
  <c r="CX415" i="3"/>
  <c r="CY415" i="3"/>
  <c r="CZ415" i="3"/>
  <c r="DA415" i="3"/>
  <c r="DB415" i="3"/>
  <c r="DC415" i="3"/>
  <c r="DD415" i="3"/>
  <c r="DE415" i="3"/>
  <c r="DF415" i="3"/>
  <c r="DG415" i="3"/>
  <c r="CR416" i="3"/>
  <c r="CS416" i="3"/>
  <c r="CT416" i="3"/>
  <c r="CU416" i="3"/>
  <c r="CV416" i="3"/>
  <c r="CW416" i="3"/>
  <c r="CX416" i="3"/>
  <c r="CY416" i="3"/>
  <c r="CZ416" i="3"/>
  <c r="DA416" i="3"/>
  <c r="DB416" i="3"/>
  <c r="DC416" i="3"/>
  <c r="DD416" i="3"/>
  <c r="DE416" i="3"/>
  <c r="DF416" i="3"/>
  <c r="DG416" i="3"/>
  <c r="CR417" i="3"/>
  <c r="CS417" i="3"/>
  <c r="CT417" i="3"/>
  <c r="CU417" i="3"/>
  <c r="CV417" i="3"/>
  <c r="CW417" i="3"/>
  <c r="CX417" i="3"/>
  <c r="CY417" i="3"/>
  <c r="CZ417" i="3"/>
  <c r="DA417" i="3"/>
  <c r="DB417" i="3"/>
  <c r="DC417" i="3"/>
  <c r="DD417" i="3"/>
  <c r="DE417" i="3"/>
  <c r="DF417" i="3"/>
  <c r="DG417" i="3"/>
  <c r="CR418" i="3"/>
  <c r="CS418" i="3"/>
  <c r="CT418" i="3"/>
  <c r="CU418" i="3"/>
  <c r="CV418" i="3"/>
  <c r="CW418" i="3"/>
  <c r="CX418" i="3"/>
  <c r="CY418" i="3"/>
  <c r="CZ418" i="3"/>
  <c r="DA418" i="3"/>
  <c r="DB418" i="3"/>
  <c r="DC418" i="3"/>
  <c r="DD418" i="3"/>
  <c r="DE418" i="3"/>
  <c r="DF418" i="3"/>
  <c r="DG418" i="3"/>
  <c r="CR419" i="3"/>
  <c r="CS419" i="3"/>
  <c r="CT419" i="3"/>
  <c r="CU419" i="3"/>
  <c r="CV419" i="3"/>
  <c r="CW419" i="3"/>
  <c r="CX419" i="3"/>
  <c r="CY419" i="3"/>
  <c r="CZ419" i="3"/>
  <c r="DA419" i="3"/>
  <c r="DB419" i="3"/>
  <c r="DC419" i="3"/>
  <c r="DD419" i="3"/>
  <c r="DE419" i="3"/>
  <c r="DF419" i="3"/>
  <c r="DG419" i="3"/>
  <c r="CR420" i="3"/>
  <c r="CS420" i="3"/>
  <c r="CT420" i="3"/>
  <c r="CU420" i="3"/>
  <c r="CV420" i="3"/>
  <c r="CW420" i="3"/>
  <c r="CX420" i="3"/>
  <c r="CY420" i="3"/>
  <c r="CZ420" i="3"/>
  <c r="DA420" i="3"/>
  <c r="DB420" i="3"/>
  <c r="DC420" i="3"/>
  <c r="DD420" i="3"/>
  <c r="DE420" i="3"/>
  <c r="DF420" i="3"/>
  <c r="DG420" i="3"/>
  <c r="CR421" i="3"/>
  <c r="CS421" i="3"/>
  <c r="CT421" i="3"/>
  <c r="CU421" i="3"/>
  <c r="CV421" i="3"/>
  <c r="CW421" i="3"/>
  <c r="CX421" i="3"/>
  <c r="CY421" i="3"/>
  <c r="CZ421" i="3"/>
  <c r="DA421" i="3"/>
  <c r="DB421" i="3"/>
  <c r="DC421" i="3"/>
  <c r="DD421" i="3"/>
  <c r="DE421" i="3"/>
  <c r="DF421" i="3"/>
  <c r="DG421" i="3"/>
  <c r="CR422" i="3"/>
  <c r="CS422" i="3"/>
  <c r="CT422" i="3"/>
  <c r="CU422" i="3"/>
  <c r="CV422" i="3"/>
  <c r="CW422" i="3"/>
  <c r="CX422" i="3"/>
  <c r="CY422" i="3"/>
  <c r="CZ422" i="3"/>
  <c r="DA422" i="3"/>
  <c r="DB422" i="3"/>
  <c r="DC422" i="3"/>
  <c r="DD422" i="3"/>
  <c r="DE422" i="3"/>
  <c r="DF422" i="3"/>
  <c r="DG422" i="3"/>
  <c r="CR423" i="3"/>
  <c r="CS423" i="3"/>
  <c r="CT423" i="3"/>
  <c r="CU423" i="3"/>
  <c r="CV423" i="3"/>
  <c r="CW423" i="3"/>
  <c r="CX423" i="3"/>
  <c r="CY423" i="3"/>
  <c r="CZ423" i="3"/>
  <c r="DA423" i="3"/>
  <c r="DB423" i="3"/>
  <c r="DC423" i="3"/>
  <c r="DD423" i="3"/>
  <c r="DE423" i="3"/>
  <c r="DF423" i="3"/>
  <c r="DG423" i="3"/>
  <c r="CR424" i="3"/>
  <c r="CS424" i="3"/>
  <c r="CT424" i="3"/>
  <c r="CU424" i="3"/>
  <c r="CV424" i="3"/>
  <c r="CW424" i="3"/>
  <c r="CX424" i="3"/>
  <c r="CY424" i="3"/>
  <c r="CZ424" i="3"/>
  <c r="DA424" i="3"/>
  <c r="DB424" i="3"/>
  <c r="DC424" i="3"/>
  <c r="DD424" i="3"/>
  <c r="DE424" i="3"/>
  <c r="DF424" i="3"/>
  <c r="DG424" i="3"/>
  <c r="CR425" i="3"/>
  <c r="CS425" i="3"/>
  <c r="CT425" i="3"/>
  <c r="CU425" i="3"/>
  <c r="CV425" i="3"/>
  <c r="CW425" i="3"/>
  <c r="CX425" i="3"/>
  <c r="CY425" i="3"/>
  <c r="CZ425" i="3"/>
  <c r="DA425" i="3"/>
  <c r="DB425" i="3"/>
  <c r="DC425" i="3"/>
  <c r="DD425" i="3"/>
  <c r="DE425" i="3"/>
  <c r="DF425" i="3"/>
  <c r="DG425" i="3"/>
  <c r="CR426" i="3"/>
  <c r="CS426" i="3"/>
  <c r="CT426" i="3"/>
  <c r="CU426" i="3"/>
  <c r="CV426" i="3"/>
  <c r="CW426" i="3"/>
  <c r="CX426" i="3"/>
  <c r="CY426" i="3"/>
  <c r="CZ426" i="3"/>
  <c r="DA426" i="3"/>
  <c r="DB426" i="3"/>
  <c r="DC426" i="3"/>
  <c r="DD426" i="3"/>
  <c r="DE426" i="3"/>
  <c r="DF426" i="3"/>
  <c r="DG426" i="3"/>
  <c r="CR427" i="3"/>
  <c r="CS427" i="3"/>
  <c r="CT427" i="3"/>
  <c r="CU427" i="3"/>
  <c r="CV427" i="3"/>
  <c r="CW427" i="3"/>
  <c r="CX427" i="3"/>
  <c r="CY427" i="3"/>
  <c r="CZ427" i="3"/>
  <c r="DA427" i="3"/>
  <c r="DB427" i="3"/>
  <c r="DC427" i="3"/>
  <c r="DD427" i="3"/>
  <c r="DE427" i="3"/>
  <c r="DF427" i="3"/>
  <c r="DG427" i="3"/>
  <c r="CR428" i="3"/>
  <c r="CS428" i="3"/>
  <c r="CT428" i="3"/>
  <c r="CU428" i="3"/>
  <c r="CV428" i="3"/>
  <c r="CW428" i="3"/>
  <c r="CX428" i="3"/>
  <c r="CY428" i="3"/>
  <c r="CZ428" i="3"/>
  <c r="DA428" i="3"/>
  <c r="DB428" i="3"/>
  <c r="DC428" i="3"/>
  <c r="DD428" i="3"/>
  <c r="DE428" i="3"/>
  <c r="DF428" i="3"/>
  <c r="DG428" i="3"/>
  <c r="CR429" i="3"/>
  <c r="CS429" i="3"/>
  <c r="CT429" i="3"/>
  <c r="CU429" i="3"/>
  <c r="CV429" i="3"/>
  <c r="CW429" i="3"/>
  <c r="CX429" i="3"/>
  <c r="CY429" i="3"/>
  <c r="CZ429" i="3"/>
  <c r="DA429" i="3"/>
  <c r="DB429" i="3"/>
  <c r="DC429" i="3"/>
  <c r="DD429" i="3"/>
  <c r="DE429" i="3"/>
  <c r="DF429" i="3"/>
  <c r="DG429" i="3"/>
  <c r="CR430" i="3"/>
  <c r="CS430" i="3"/>
  <c r="CT430" i="3"/>
  <c r="CU430" i="3"/>
  <c r="CV430" i="3"/>
  <c r="CW430" i="3"/>
  <c r="CX430" i="3"/>
  <c r="CY430" i="3"/>
  <c r="CZ430" i="3"/>
  <c r="DA430" i="3"/>
  <c r="DB430" i="3"/>
  <c r="DC430" i="3"/>
  <c r="DD430" i="3"/>
  <c r="DE430" i="3"/>
  <c r="DF430" i="3"/>
  <c r="DG430" i="3"/>
  <c r="CR431" i="3"/>
  <c r="CS431" i="3"/>
  <c r="CT431" i="3"/>
  <c r="CU431" i="3"/>
  <c r="CV431" i="3"/>
  <c r="CW431" i="3"/>
  <c r="CX431" i="3"/>
  <c r="CY431" i="3"/>
  <c r="CZ431" i="3"/>
  <c r="DA431" i="3"/>
  <c r="DB431" i="3"/>
  <c r="DC431" i="3"/>
  <c r="DD431" i="3"/>
  <c r="DE431" i="3"/>
  <c r="DF431" i="3"/>
  <c r="DG431" i="3"/>
  <c r="CR432" i="3"/>
  <c r="CS432" i="3"/>
  <c r="CT432" i="3"/>
  <c r="CU432" i="3"/>
  <c r="CV432" i="3"/>
  <c r="CW432" i="3"/>
  <c r="CX432" i="3"/>
  <c r="CY432" i="3"/>
  <c r="CZ432" i="3"/>
  <c r="DA432" i="3"/>
  <c r="DB432" i="3"/>
  <c r="DC432" i="3"/>
  <c r="DD432" i="3"/>
  <c r="DE432" i="3"/>
  <c r="DF432" i="3"/>
  <c r="DG432" i="3"/>
  <c r="CR433" i="3"/>
  <c r="CS433" i="3"/>
  <c r="CT433" i="3"/>
  <c r="CU433" i="3"/>
  <c r="CV433" i="3"/>
  <c r="CW433" i="3"/>
  <c r="CX433" i="3"/>
  <c r="CY433" i="3"/>
  <c r="CZ433" i="3"/>
  <c r="DA433" i="3"/>
  <c r="DB433" i="3"/>
  <c r="DC433" i="3"/>
  <c r="DD433" i="3"/>
  <c r="DE433" i="3"/>
  <c r="DF433" i="3"/>
  <c r="DG433" i="3"/>
  <c r="CR434" i="3"/>
  <c r="CS434" i="3"/>
  <c r="CT434" i="3"/>
  <c r="CU434" i="3"/>
  <c r="CV434" i="3"/>
  <c r="CW434" i="3"/>
  <c r="CX434" i="3"/>
  <c r="CY434" i="3"/>
  <c r="CZ434" i="3"/>
  <c r="DA434" i="3"/>
  <c r="DB434" i="3"/>
  <c r="DC434" i="3"/>
  <c r="DD434" i="3"/>
  <c r="DE434" i="3"/>
  <c r="DF434" i="3"/>
  <c r="DG434" i="3"/>
  <c r="CR435" i="3"/>
  <c r="CS435" i="3"/>
  <c r="CT435" i="3"/>
  <c r="CU435" i="3"/>
  <c r="CV435" i="3"/>
  <c r="CW435" i="3"/>
  <c r="CX435" i="3"/>
  <c r="CY435" i="3"/>
  <c r="CZ435" i="3"/>
  <c r="DA435" i="3"/>
  <c r="DB435" i="3"/>
  <c r="DC435" i="3"/>
  <c r="DD435" i="3"/>
  <c r="DE435" i="3"/>
  <c r="DF435" i="3"/>
  <c r="DG435" i="3"/>
  <c r="CR436" i="3"/>
  <c r="CS436" i="3"/>
  <c r="CT436" i="3"/>
  <c r="CU436" i="3"/>
  <c r="CV436" i="3"/>
  <c r="CW436" i="3"/>
  <c r="CX436" i="3"/>
  <c r="CY436" i="3"/>
  <c r="CZ436" i="3"/>
  <c r="DA436" i="3"/>
  <c r="DB436" i="3"/>
  <c r="DC436" i="3"/>
  <c r="DD436" i="3"/>
  <c r="DE436" i="3"/>
  <c r="DF436" i="3"/>
  <c r="DG436" i="3"/>
  <c r="CR437" i="3"/>
  <c r="CS437" i="3"/>
  <c r="CT437" i="3"/>
  <c r="CU437" i="3"/>
  <c r="CV437" i="3"/>
  <c r="CW437" i="3"/>
  <c r="CX437" i="3"/>
  <c r="CY437" i="3"/>
  <c r="CZ437" i="3"/>
  <c r="DA437" i="3"/>
  <c r="DB437" i="3"/>
  <c r="DC437" i="3"/>
  <c r="DD437" i="3"/>
  <c r="DE437" i="3"/>
  <c r="DF437" i="3"/>
  <c r="DG437" i="3"/>
  <c r="CR438" i="3"/>
  <c r="CS438" i="3"/>
  <c r="CT438" i="3"/>
  <c r="CU438" i="3"/>
  <c r="CV438" i="3"/>
  <c r="CW438" i="3"/>
  <c r="CX438" i="3"/>
  <c r="CY438" i="3"/>
  <c r="CZ438" i="3"/>
  <c r="DA438" i="3"/>
  <c r="DB438" i="3"/>
  <c r="DC438" i="3"/>
  <c r="DD438" i="3"/>
  <c r="DE438" i="3"/>
  <c r="DF438" i="3"/>
  <c r="DG438" i="3"/>
  <c r="CR439" i="3"/>
  <c r="CS439" i="3"/>
  <c r="CT439" i="3"/>
  <c r="CU439" i="3"/>
  <c r="CV439" i="3"/>
  <c r="CW439" i="3"/>
  <c r="CX439" i="3"/>
  <c r="CY439" i="3"/>
  <c r="CZ439" i="3"/>
  <c r="DA439" i="3"/>
  <c r="DB439" i="3"/>
  <c r="DC439" i="3"/>
  <c r="DD439" i="3"/>
  <c r="DE439" i="3"/>
  <c r="DF439" i="3"/>
  <c r="DG439" i="3"/>
  <c r="CR440" i="3"/>
  <c r="CS440" i="3"/>
  <c r="CT440" i="3"/>
  <c r="CU440" i="3"/>
  <c r="CV440" i="3"/>
  <c r="CW440" i="3"/>
  <c r="CX440" i="3"/>
  <c r="CY440" i="3"/>
  <c r="CZ440" i="3"/>
  <c r="DA440" i="3"/>
  <c r="DB440" i="3"/>
  <c r="DC440" i="3"/>
  <c r="DD440" i="3"/>
  <c r="DE440" i="3"/>
  <c r="DF440" i="3"/>
  <c r="DG440" i="3"/>
  <c r="CR441" i="3"/>
  <c r="CS441" i="3"/>
  <c r="CT441" i="3"/>
  <c r="CU441" i="3"/>
  <c r="CV441" i="3"/>
  <c r="CW441" i="3"/>
  <c r="CX441" i="3"/>
  <c r="CY441" i="3"/>
  <c r="CZ441" i="3"/>
  <c r="DA441" i="3"/>
  <c r="DB441" i="3"/>
  <c r="DC441" i="3"/>
  <c r="DD441" i="3"/>
  <c r="DE441" i="3"/>
  <c r="DF441" i="3"/>
  <c r="DG441" i="3"/>
  <c r="CR442" i="3"/>
  <c r="CS442" i="3"/>
  <c r="CT442" i="3"/>
  <c r="CU442" i="3"/>
  <c r="CV442" i="3"/>
  <c r="CW442" i="3"/>
  <c r="CX442" i="3"/>
  <c r="CY442" i="3"/>
  <c r="CZ442" i="3"/>
  <c r="DA442" i="3"/>
  <c r="DB442" i="3"/>
  <c r="DC442" i="3"/>
  <c r="DD442" i="3"/>
  <c r="DE442" i="3"/>
  <c r="DF442" i="3"/>
  <c r="DG442" i="3"/>
  <c r="CR443" i="3"/>
  <c r="CS443" i="3"/>
  <c r="CT443" i="3"/>
  <c r="CU443" i="3"/>
  <c r="CV443" i="3"/>
  <c r="CW443" i="3"/>
  <c r="CX443" i="3"/>
  <c r="CY443" i="3"/>
  <c r="CZ443" i="3"/>
  <c r="DA443" i="3"/>
  <c r="DB443" i="3"/>
  <c r="DC443" i="3"/>
  <c r="DD443" i="3"/>
  <c r="DE443" i="3"/>
  <c r="DF443" i="3"/>
  <c r="DG443" i="3"/>
  <c r="CR444" i="3"/>
  <c r="CS444" i="3"/>
  <c r="CT444" i="3"/>
  <c r="CU444" i="3"/>
  <c r="CV444" i="3"/>
  <c r="CW444" i="3"/>
  <c r="CX444" i="3"/>
  <c r="CY444" i="3"/>
  <c r="CZ444" i="3"/>
  <c r="DA444" i="3"/>
  <c r="DB444" i="3"/>
  <c r="DC444" i="3"/>
  <c r="DD444" i="3"/>
  <c r="DE444" i="3"/>
  <c r="DF444" i="3"/>
  <c r="DG444" i="3"/>
  <c r="CR445" i="3"/>
  <c r="CS445" i="3"/>
  <c r="CT445" i="3"/>
  <c r="CU445" i="3"/>
  <c r="CV445" i="3"/>
  <c r="CW445" i="3"/>
  <c r="CX445" i="3"/>
  <c r="CY445" i="3"/>
  <c r="CZ445" i="3"/>
  <c r="DA445" i="3"/>
  <c r="DB445" i="3"/>
  <c r="DC445" i="3"/>
  <c r="DD445" i="3"/>
  <c r="DE445" i="3"/>
  <c r="DF445" i="3"/>
  <c r="DG445" i="3"/>
  <c r="CR446" i="3"/>
  <c r="CS446" i="3"/>
  <c r="CT446" i="3"/>
  <c r="CU446" i="3"/>
  <c r="CV446" i="3"/>
  <c r="CW446" i="3"/>
  <c r="CX446" i="3"/>
  <c r="CY446" i="3"/>
  <c r="CZ446" i="3"/>
  <c r="DA446" i="3"/>
  <c r="DB446" i="3"/>
  <c r="DC446" i="3"/>
  <c r="DD446" i="3"/>
  <c r="DE446" i="3"/>
  <c r="DF446" i="3"/>
  <c r="DG446" i="3"/>
  <c r="CR447" i="3"/>
  <c r="CS447" i="3"/>
  <c r="CT447" i="3"/>
  <c r="CU447" i="3"/>
  <c r="CV447" i="3"/>
  <c r="CW447" i="3"/>
  <c r="CX447" i="3"/>
  <c r="CY447" i="3"/>
  <c r="CZ447" i="3"/>
  <c r="DA447" i="3"/>
  <c r="DB447" i="3"/>
  <c r="DC447" i="3"/>
  <c r="DD447" i="3"/>
  <c r="DE447" i="3"/>
  <c r="DF447" i="3"/>
  <c r="DG447" i="3"/>
  <c r="CR448" i="3"/>
  <c r="CS448" i="3"/>
  <c r="CT448" i="3"/>
  <c r="CU448" i="3"/>
  <c r="CV448" i="3"/>
  <c r="CW448" i="3"/>
  <c r="CX448" i="3"/>
  <c r="CY448" i="3"/>
  <c r="CZ448" i="3"/>
  <c r="DA448" i="3"/>
  <c r="DB448" i="3"/>
  <c r="DC448" i="3"/>
  <c r="DD448" i="3"/>
  <c r="DE448" i="3"/>
  <c r="DF448" i="3"/>
  <c r="DG448" i="3"/>
  <c r="CR449" i="3"/>
  <c r="CS449" i="3"/>
  <c r="CT449" i="3"/>
  <c r="CU449" i="3"/>
  <c r="CV449" i="3"/>
  <c r="CW449" i="3"/>
  <c r="CX449" i="3"/>
  <c r="CY449" i="3"/>
  <c r="CZ449" i="3"/>
  <c r="DA449" i="3"/>
  <c r="DB449" i="3"/>
  <c r="DC449" i="3"/>
  <c r="DD449" i="3"/>
  <c r="DE449" i="3"/>
  <c r="DF449" i="3"/>
  <c r="DG449" i="3"/>
  <c r="CR450" i="3"/>
  <c r="CS450" i="3"/>
  <c r="CT450" i="3"/>
  <c r="CU450" i="3"/>
  <c r="CV450" i="3"/>
  <c r="CW450" i="3"/>
  <c r="CX450" i="3"/>
  <c r="CY450" i="3"/>
  <c r="CZ450" i="3"/>
  <c r="DA450" i="3"/>
  <c r="DB450" i="3"/>
  <c r="DC450" i="3"/>
  <c r="DD450" i="3"/>
  <c r="DE450" i="3"/>
  <c r="DF450" i="3"/>
  <c r="DG450" i="3"/>
  <c r="CR451" i="3"/>
  <c r="CS451" i="3"/>
  <c r="CT451" i="3"/>
  <c r="CU451" i="3"/>
  <c r="CV451" i="3"/>
  <c r="CW451" i="3"/>
  <c r="CX451" i="3"/>
  <c r="CY451" i="3"/>
  <c r="CZ451" i="3"/>
  <c r="DA451" i="3"/>
  <c r="DB451" i="3"/>
  <c r="DC451" i="3"/>
  <c r="DD451" i="3"/>
  <c r="DE451" i="3"/>
  <c r="DF451" i="3"/>
  <c r="DG451" i="3"/>
  <c r="CR452" i="3"/>
  <c r="CS452" i="3"/>
  <c r="CT452" i="3"/>
  <c r="CU452" i="3"/>
  <c r="CV452" i="3"/>
  <c r="CW452" i="3"/>
  <c r="CX452" i="3"/>
  <c r="CY452" i="3"/>
  <c r="CZ452" i="3"/>
  <c r="DA452" i="3"/>
  <c r="DB452" i="3"/>
  <c r="DC452" i="3"/>
  <c r="DD452" i="3"/>
  <c r="DE452" i="3"/>
  <c r="DF452" i="3"/>
  <c r="DG452" i="3"/>
  <c r="CR453" i="3"/>
  <c r="CS453" i="3"/>
  <c r="CT453" i="3"/>
  <c r="CU453" i="3"/>
  <c r="CV453" i="3"/>
  <c r="CW453" i="3"/>
  <c r="CX453" i="3"/>
  <c r="CY453" i="3"/>
  <c r="CZ453" i="3"/>
  <c r="DA453" i="3"/>
  <c r="DB453" i="3"/>
  <c r="DC453" i="3"/>
  <c r="DD453" i="3"/>
  <c r="DE453" i="3"/>
  <c r="DF453" i="3"/>
  <c r="DG453" i="3"/>
  <c r="CR454" i="3"/>
  <c r="CS454" i="3"/>
  <c r="CT454" i="3"/>
  <c r="CU454" i="3"/>
  <c r="CV454" i="3"/>
  <c r="CW454" i="3"/>
  <c r="CX454" i="3"/>
  <c r="CY454" i="3"/>
  <c r="CZ454" i="3"/>
  <c r="DA454" i="3"/>
  <c r="DB454" i="3"/>
  <c r="DC454" i="3"/>
  <c r="DD454" i="3"/>
  <c r="DE454" i="3"/>
  <c r="DF454" i="3"/>
  <c r="DG454" i="3"/>
  <c r="CR455" i="3"/>
  <c r="CS455" i="3"/>
  <c r="CT455" i="3"/>
  <c r="CU455" i="3"/>
  <c r="CV455" i="3"/>
  <c r="CW455" i="3"/>
  <c r="CX455" i="3"/>
  <c r="CY455" i="3"/>
  <c r="CZ455" i="3"/>
  <c r="DA455" i="3"/>
  <c r="DB455" i="3"/>
  <c r="DC455" i="3"/>
  <c r="DD455" i="3"/>
  <c r="DE455" i="3"/>
  <c r="DF455" i="3"/>
  <c r="DG455" i="3"/>
  <c r="CR456" i="3"/>
  <c r="CS456" i="3"/>
  <c r="CT456" i="3"/>
  <c r="CU456" i="3"/>
  <c r="CV456" i="3"/>
  <c r="CW456" i="3"/>
  <c r="CX456" i="3"/>
  <c r="CY456" i="3"/>
  <c r="CZ456" i="3"/>
  <c r="DA456" i="3"/>
  <c r="DB456" i="3"/>
  <c r="DC456" i="3"/>
  <c r="DD456" i="3"/>
  <c r="DE456" i="3"/>
  <c r="DF456" i="3"/>
  <c r="DG456" i="3"/>
  <c r="CR457" i="3"/>
  <c r="CS457" i="3"/>
  <c r="CT457" i="3"/>
  <c r="CU457" i="3"/>
  <c r="CV457" i="3"/>
  <c r="CW457" i="3"/>
  <c r="CX457" i="3"/>
  <c r="CY457" i="3"/>
  <c r="CZ457" i="3"/>
  <c r="DA457" i="3"/>
  <c r="DB457" i="3"/>
  <c r="DC457" i="3"/>
  <c r="DD457" i="3"/>
  <c r="DE457" i="3"/>
  <c r="DF457" i="3"/>
  <c r="DG457" i="3"/>
  <c r="CR458" i="3"/>
  <c r="CS458" i="3"/>
  <c r="CT458" i="3"/>
  <c r="CU458" i="3"/>
  <c r="CV458" i="3"/>
  <c r="CW458" i="3"/>
  <c r="CX458" i="3"/>
  <c r="CY458" i="3"/>
  <c r="CZ458" i="3"/>
  <c r="DA458" i="3"/>
  <c r="DB458" i="3"/>
  <c r="DC458" i="3"/>
  <c r="DD458" i="3"/>
  <c r="DE458" i="3"/>
  <c r="DF458" i="3"/>
  <c r="DG458" i="3"/>
  <c r="CR459" i="3"/>
  <c r="CS459" i="3"/>
  <c r="CT459" i="3"/>
  <c r="CU459" i="3"/>
  <c r="CV459" i="3"/>
  <c r="CW459" i="3"/>
  <c r="CX459" i="3"/>
  <c r="CY459" i="3"/>
  <c r="CZ459" i="3"/>
  <c r="DA459" i="3"/>
  <c r="DB459" i="3"/>
  <c r="DC459" i="3"/>
  <c r="DD459" i="3"/>
  <c r="DE459" i="3"/>
  <c r="DF459" i="3"/>
  <c r="DG459" i="3"/>
  <c r="CR460" i="3"/>
  <c r="CS460" i="3"/>
  <c r="CT460" i="3"/>
  <c r="CU460" i="3"/>
  <c r="CV460" i="3"/>
  <c r="CW460" i="3"/>
  <c r="CX460" i="3"/>
  <c r="CY460" i="3"/>
  <c r="CZ460" i="3"/>
  <c r="DA460" i="3"/>
  <c r="DB460" i="3"/>
  <c r="DC460" i="3"/>
  <c r="DD460" i="3"/>
  <c r="DE460" i="3"/>
  <c r="DF460" i="3"/>
  <c r="DG460" i="3"/>
  <c r="CR461" i="3"/>
  <c r="CS461" i="3"/>
  <c r="CT461" i="3"/>
  <c r="CU461" i="3"/>
  <c r="CV461" i="3"/>
  <c r="CW461" i="3"/>
  <c r="CX461" i="3"/>
  <c r="CY461" i="3"/>
  <c r="CZ461" i="3"/>
  <c r="DA461" i="3"/>
  <c r="DB461" i="3"/>
  <c r="DC461" i="3"/>
  <c r="DD461" i="3"/>
  <c r="DE461" i="3"/>
  <c r="DF461" i="3"/>
  <c r="DG461" i="3"/>
  <c r="CR462" i="3"/>
  <c r="CS462" i="3"/>
  <c r="CT462" i="3"/>
  <c r="CU462" i="3"/>
  <c r="CV462" i="3"/>
  <c r="CW462" i="3"/>
  <c r="CX462" i="3"/>
  <c r="CY462" i="3"/>
  <c r="CZ462" i="3"/>
  <c r="DA462" i="3"/>
  <c r="DB462" i="3"/>
  <c r="DC462" i="3"/>
  <c r="DD462" i="3"/>
  <c r="DE462" i="3"/>
  <c r="DF462" i="3"/>
  <c r="DG462" i="3"/>
  <c r="CR463" i="3"/>
  <c r="CS463" i="3"/>
  <c r="CT463" i="3"/>
  <c r="CU463" i="3"/>
  <c r="CV463" i="3"/>
  <c r="CW463" i="3"/>
  <c r="CX463" i="3"/>
  <c r="CY463" i="3"/>
  <c r="CZ463" i="3"/>
  <c r="DA463" i="3"/>
  <c r="DB463" i="3"/>
  <c r="DC463" i="3"/>
  <c r="DD463" i="3"/>
  <c r="DE463" i="3"/>
  <c r="DF463" i="3"/>
  <c r="DG463" i="3"/>
  <c r="CR464" i="3"/>
  <c r="CS464" i="3"/>
  <c r="CT464" i="3"/>
  <c r="CU464" i="3"/>
  <c r="CV464" i="3"/>
  <c r="CW464" i="3"/>
  <c r="CX464" i="3"/>
  <c r="CY464" i="3"/>
  <c r="CZ464" i="3"/>
  <c r="DA464" i="3"/>
  <c r="DB464" i="3"/>
  <c r="DC464" i="3"/>
  <c r="DD464" i="3"/>
  <c r="DE464" i="3"/>
  <c r="DF464" i="3"/>
  <c r="DG464" i="3"/>
  <c r="CR465" i="3"/>
  <c r="CS465" i="3"/>
  <c r="CT465" i="3"/>
  <c r="CU465" i="3"/>
  <c r="CV465" i="3"/>
  <c r="CW465" i="3"/>
  <c r="CX465" i="3"/>
  <c r="CY465" i="3"/>
  <c r="CZ465" i="3"/>
  <c r="DA465" i="3"/>
  <c r="DB465" i="3"/>
  <c r="DC465" i="3"/>
  <c r="DD465" i="3"/>
  <c r="DE465" i="3"/>
  <c r="DF465" i="3"/>
  <c r="DG465" i="3"/>
  <c r="CR466" i="3"/>
  <c r="CS466" i="3"/>
  <c r="CT466" i="3"/>
  <c r="CU466" i="3"/>
  <c r="CV466" i="3"/>
  <c r="CW466" i="3"/>
  <c r="CX466" i="3"/>
  <c r="CY466" i="3"/>
  <c r="CZ466" i="3"/>
  <c r="DA466" i="3"/>
  <c r="DB466" i="3"/>
  <c r="DC466" i="3"/>
  <c r="DD466" i="3"/>
  <c r="DE466" i="3"/>
  <c r="DF466" i="3"/>
  <c r="DG466" i="3"/>
  <c r="CR467" i="3"/>
  <c r="CS467" i="3"/>
  <c r="CT467" i="3"/>
  <c r="CU467" i="3"/>
  <c r="CV467" i="3"/>
  <c r="CW467" i="3"/>
  <c r="CX467" i="3"/>
  <c r="CY467" i="3"/>
  <c r="CZ467" i="3"/>
  <c r="DA467" i="3"/>
  <c r="DB467" i="3"/>
  <c r="DC467" i="3"/>
  <c r="DD467" i="3"/>
  <c r="DE467" i="3"/>
  <c r="DF467" i="3"/>
  <c r="DG467" i="3"/>
  <c r="CR468" i="3"/>
  <c r="CS468" i="3"/>
  <c r="CT468" i="3"/>
  <c r="CU468" i="3"/>
  <c r="CV468" i="3"/>
  <c r="CW468" i="3"/>
  <c r="CX468" i="3"/>
  <c r="CY468" i="3"/>
  <c r="CZ468" i="3"/>
  <c r="DA468" i="3"/>
  <c r="DB468" i="3"/>
  <c r="DC468" i="3"/>
  <c r="DD468" i="3"/>
  <c r="DE468" i="3"/>
  <c r="DF468" i="3"/>
  <c r="DG468" i="3"/>
  <c r="CR469" i="3"/>
  <c r="CS469" i="3"/>
  <c r="CT469" i="3"/>
  <c r="CU469" i="3"/>
  <c r="CV469" i="3"/>
  <c r="CW469" i="3"/>
  <c r="CX469" i="3"/>
  <c r="CY469" i="3"/>
  <c r="CZ469" i="3"/>
  <c r="DA469" i="3"/>
  <c r="DB469" i="3"/>
  <c r="DC469" i="3"/>
  <c r="DD469" i="3"/>
  <c r="DE469" i="3"/>
  <c r="DF469" i="3"/>
  <c r="DG469" i="3"/>
  <c r="CR470" i="3"/>
  <c r="CS470" i="3"/>
  <c r="CT470" i="3"/>
  <c r="CU470" i="3"/>
  <c r="CV470" i="3"/>
  <c r="CW470" i="3"/>
  <c r="CX470" i="3"/>
  <c r="CY470" i="3"/>
  <c r="CZ470" i="3"/>
  <c r="DA470" i="3"/>
  <c r="DB470" i="3"/>
  <c r="DC470" i="3"/>
  <c r="DD470" i="3"/>
  <c r="DE470" i="3"/>
  <c r="DF470" i="3"/>
  <c r="DG470" i="3"/>
  <c r="CR471" i="3"/>
  <c r="CS471" i="3"/>
  <c r="CT471" i="3"/>
  <c r="CU471" i="3"/>
  <c r="CV471" i="3"/>
  <c r="CW471" i="3"/>
  <c r="CX471" i="3"/>
  <c r="CY471" i="3"/>
  <c r="CZ471" i="3"/>
  <c r="DA471" i="3"/>
  <c r="DB471" i="3"/>
  <c r="DC471" i="3"/>
  <c r="DD471" i="3"/>
  <c r="DE471" i="3"/>
  <c r="DF471" i="3"/>
  <c r="DG471" i="3"/>
  <c r="CR472" i="3"/>
  <c r="CS472" i="3"/>
  <c r="CT472" i="3"/>
  <c r="CU472" i="3"/>
  <c r="CV472" i="3"/>
  <c r="CW472" i="3"/>
  <c r="CX472" i="3"/>
  <c r="CY472" i="3"/>
  <c r="CZ472" i="3"/>
  <c r="DA472" i="3"/>
  <c r="DB472" i="3"/>
  <c r="DC472" i="3"/>
  <c r="DD472" i="3"/>
  <c r="DE472" i="3"/>
  <c r="DF472" i="3"/>
  <c r="DG472" i="3"/>
  <c r="CR473" i="3"/>
  <c r="CS473" i="3"/>
  <c r="CT473" i="3"/>
  <c r="CU473" i="3"/>
  <c r="CV473" i="3"/>
  <c r="CW473" i="3"/>
  <c r="CX473" i="3"/>
  <c r="CY473" i="3"/>
  <c r="CZ473" i="3"/>
  <c r="DA473" i="3"/>
  <c r="DB473" i="3"/>
  <c r="DC473" i="3"/>
  <c r="DD473" i="3"/>
  <c r="DE473" i="3"/>
  <c r="DF473" i="3"/>
  <c r="DG473" i="3"/>
  <c r="CR474" i="3"/>
  <c r="CS474" i="3"/>
  <c r="CT474" i="3"/>
  <c r="CU474" i="3"/>
  <c r="CV474" i="3"/>
  <c r="CW474" i="3"/>
  <c r="CX474" i="3"/>
  <c r="CY474" i="3"/>
  <c r="CZ474" i="3"/>
  <c r="DA474" i="3"/>
  <c r="DB474" i="3"/>
  <c r="DC474" i="3"/>
  <c r="DD474" i="3"/>
  <c r="DE474" i="3"/>
  <c r="DF474" i="3"/>
  <c r="DG474" i="3"/>
  <c r="CR475" i="3"/>
  <c r="CS475" i="3"/>
  <c r="CT475" i="3"/>
  <c r="CU475" i="3"/>
  <c r="CV475" i="3"/>
  <c r="CW475" i="3"/>
  <c r="CX475" i="3"/>
  <c r="CY475" i="3"/>
  <c r="CZ475" i="3"/>
  <c r="DA475" i="3"/>
  <c r="DB475" i="3"/>
  <c r="DC475" i="3"/>
  <c r="DD475" i="3"/>
  <c r="DE475" i="3"/>
  <c r="DF475" i="3"/>
  <c r="DG475" i="3"/>
  <c r="CR476" i="3"/>
  <c r="CS476" i="3"/>
  <c r="CT476" i="3"/>
  <c r="CU476" i="3"/>
  <c r="CV476" i="3"/>
  <c r="CW476" i="3"/>
  <c r="CX476" i="3"/>
  <c r="CY476" i="3"/>
  <c r="CZ476" i="3"/>
  <c r="DA476" i="3"/>
  <c r="DB476" i="3"/>
  <c r="DC476" i="3"/>
  <c r="DD476" i="3"/>
  <c r="DE476" i="3"/>
  <c r="DF476" i="3"/>
  <c r="DG476" i="3"/>
  <c r="CR477" i="3"/>
  <c r="CS477" i="3"/>
  <c r="CT477" i="3"/>
  <c r="CU477" i="3"/>
  <c r="CV477" i="3"/>
  <c r="CW477" i="3"/>
  <c r="CX477" i="3"/>
  <c r="CY477" i="3"/>
  <c r="CZ477" i="3"/>
  <c r="DA477" i="3"/>
  <c r="DB477" i="3"/>
  <c r="DC477" i="3"/>
  <c r="DD477" i="3"/>
  <c r="DE477" i="3"/>
  <c r="DF477" i="3"/>
  <c r="DG477" i="3"/>
  <c r="CR478" i="3"/>
  <c r="CS478" i="3"/>
  <c r="CT478" i="3"/>
  <c r="CU478" i="3"/>
  <c r="CV478" i="3"/>
  <c r="CW478" i="3"/>
  <c r="CX478" i="3"/>
  <c r="CY478" i="3"/>
  <c r="CZ478" i="3"/>
  <c r="DA478" i="3"/>
  <c r="DB478" i="3"/>
  <c r="DC478" i="3"/>
  <c r="DD478" i="3"/>
  <c r="DE478" i="3"/>
  <c r="DF478" i="3"/>
  <c r="DG478" i="3"/>
  <c r="CR479" i="3"/>
  <c r="CS479" i="3"/>
  <c r="CT479" i="3"/>
  <c r="CU479" i="3"/>
  <c r="CV479" i="3"/>
  <c r="CW479" i="3"/>
  <c r="CX479" i="3"/>
  <c r="CY479" i="3"/>
  <c r="CZ479" i="3"/>
  <c r="DA479" i="3"/>
  <c r="DB479" i="3"/>
  <c r="DC479" i="3"/>
  <c r="DD479" i="3"/>
  <c r="DE479" i="3"/>
  <c r="DF479" i="3"/>
  <c r="DG479" i="3"/>
  <c r="CR480" i="3"/>
  <c r="CS480" i="3"/>
  <c r="CT480" i="3"/>
  <c r="CU480" i="3"/>
  <c r="CV480" i="3"/>
  <c r="CW480" i="3"/>
  <c r="CX480" i="3"/>
  <c r="CY480" i="3"/>
  <c r="CZ480" i="3"/>
  <c r="DA480" i="3"/>
  <c r="DB480" i="3"/>
  <c r="DC480" i="3"/>
  <c r="DD480" i="3"/>
  <c r="DE480" i="3"/>
  <c r="DF480" i="3"/>
  <c r="DG480" i="3"/>
  <c r="CR481" i="3"/>
  <c r="CS481" i="3"/>
  <c r="CT481" i="3"/>
  <c r="CU481" i="3"/>
  <c r="CV481" i="3"/>
  <c r="CW481" i="3"/>
  <c r="CX481" i="3"/>
  <c r="CY481" i="3"/>
  <c r="CZ481" i="3"/>
  <c r="DA481" i="3"/>
  <c r="DB481" i="3"/>
  <c r="DC481" i="3"/>
  <c r="DD481" i="3"/>
  <c r="DE481" i="3"/>
  <c r="DF481" i="3"/>
  <c r="DG481" i="3"/>
  <c r="CR482" i="3"/>
  <c r="CS482" i="3"/>
  <c r="CT482" i="3"/>
  <c r="CU482" i="3"/>
  <c r="CV482" i="3"/>
  <c r="CW482" i="3"/>
  <c r="CX482" i="3"/>
  <c r="CY482" i="3"/>
  <c r="CZ482" i="3"/>
  <c r="DA482" i="3"/>
  <c r="DB482" i="3"/>
  <c r="DC482" i="3"/>
  <c r="DD482" i="3"/>
  <c r="DE482" i="3"/>
  <c r="DF482" i="3"/>
  <c r="DG482" i="3"/>
  <c r="CR483" i="3"/>
  <c r="CS483" i="3"/>
  <c r="CT483" i="3"/>
  <c r="CU483" i="3"/>
  <c r="CV483" i="3"/>
  <c r="CW483" i="3"/>
  <c r="CX483" i="3"/>
  <c r="CY483" i="3"/>
  <c r="CZ483" i="3"/>
  <c r="DA483" i="3"/>
  <c r="DB483" i="3"/>
  <c r="DC483" i="3"/>
  <c r="DD483" i="3"/>
  <c r="DE483" i="3"/>
  <c r="DF483" i="3"/>
  <c r="DG483" i="3"/>
  <c r="CR484" i="3"/>
  <c r="CS484" i="3"/>
  <c r="CT484" i="3"/>
  <c r="CU484" i="3"/>
  <c r="CV484" i="3"/>
  <c r="CW484" i="3"/>
  <c r="CX484" i="3"/>
  <c r="CY484" i="3"/>
  <c r="CZ484" i="3"/>
  <c r="DA484" i="3"/>
  <c r="DB484" i="3"/>
  <c r="DC484" i="3"/>
  <c r="DD484" i="3"/>
  <c r="DE484" i="3"/>
  <c r="DF484" i="3"/>
  <c r="DG484" i="3"/>
  <c r="CR485" i="3"/>
  <c r="CS485" i="3"/>
  <c r="CT485" i="3"/>
  <c r="CU485" i="3"/>
  <c r="CV485" i="3"/>
  <c r="CW485" i="3"/>
  <c r="CX485" i="3"/>
  <c r="CY485" i="3"/>
  <c r="CZ485" i="3"/>
  <c r="DA485" i="3"/>
  <c r="DB485" i="3"/>
  <c r="DC485" i="3"/>
  <c r="DD485" i="3"/>
  <c r="DE485" i="3"/>
  <c r="DF485" i="3"/>
  <c r="DG485" i="3"/>
  <c r="CR486" i="3"/>
  <c r="CS486" i="3"/>
  <c r="CT486" i="3"/>
  <c r="CU486" i="3"/>
  <c r="CV486" i="3"/>
  <c r="CW486" i="3"/>
  <c r="CX486" i="3"/>
  <c r="CY486" i="3"/>
  <c r="CZ486" i="3"/>
  <c r="DA486" i="3"/>
  <c r="DB486" i="3"/>
  <c r="DC486" i="3"/>
  <c r="DD486" i="3"/>
  <c r="DE486" i="3"/>
  <c r="DF486" i="3"/>
  <c r="DG486" i="3"/>
  <c r="CR487" i="3"/>
  <c r="CS487" i="3"/>
  <c r="CT487" i="3"/>
  <c r="CU487" i="3"/>
  <c r="CV487" i="3"/>
  <c r="CW487" i="3"/>
  <c r="CX487" i="3"/>
  <c r="CY487" i="3"/>
  <c r="CZ487" i="3"/>
  <c r="DA487" i="3"/>
  <c r="DB487" i="3"/>
  <c r="DC487" i="3"/>
  <c r="DD487" i="3"/>
  <c r="DE487" i="3"/>
  <c r="DF487" i="3"/>
  <c r="DG487" i="3"/>
  <c r="CR488" i="3"/>
  <c r="CS488" i="3"/>
  <c r="CT488" i="3"/>
  <c r="CU488" i="3"/>
  <c r="CV488" i="3"/>
  <c r="CW488" i="3"/>
  <c r="CX488" i="3"/>
  <c r="CY488" i="3"/>
  <c r="CZ488" i="3"/>
  <c r="DA488" i="3"/>
  <c r="DB488" i="3"/>
  <c r="DC488" i="3"/>
  <c r="DD488" i="3"/>
  <c r="DE488" i="3"/>
  <c r="DF488" i="3"/>
  <c r="DG488" i="3"/>
  <c r="CR489" i="3"/>
  <c r="CS489" i="3"/>
  <c r="CT489" i="3"/>
  <c r="CU489" i="3"/>
  <c r="CV489" i="3"/>
  <c r="CW489" i="3"/>
  <c r="CX489" i="3"/>
  <c r="CY489" i="3"/>
  <c r="CZ489" i="3"/>
  <c r="DA489" i="3"/>
  <c r="DB489" i="3"/>
  <c r="DC489" i="3"/>
  <c r="DD489" i="3"/>
  <c r="DE489" i="3"/>
  <c r="DF489" i="3"/>
  <c r="DG489" i="3"/>
  <c r="CR490" i="3"/>
  <c r="CS490" i="3"/>
  <c r="CT490" i="3"/>
  <c r="CU490" i="3"/>
  <c r="CV490" i="3"/>
  <c r="CW490" i="3"/>
  <c r="CX490" i="3"/>
  <c r="CY490" i="3"/>
  <c r="CZ490" i="3"/>
  <c r="DA490" i="3"/>
  <c r="DB490" i="3"/>
  <c r="DC490" i="3"/>
  <c r="DD490" i="3"/>
  <c r="DE490" i="3"/>
  <c r="DF490" i="3"/>
  <c r="DG490" i="3"/>
  <c r="CR491" i="3"/>
  <c r="CS491" i="3"/>
  <c r="CT491" i="3"/>
  <c r="CU491" i="3"/>
  <c r="CV491" i="3"/>
  <c r="CW491" i="3"/>
  <c r="CX491" i="3"/>
  <c r="CY491" i="3"/>
  <c r="CZ491" i="3"/>
  <c r="DA491" i="3"/>
  <c r="DB491" i="3"/>
  <c r="DC491" i="3"/>
  <c r="DD491" i="3"/>
  <c r="DE491" i="3"/>
  <c r="DF491" i="3"/>
  <c r="DG491" i="3"/>
  <c r="CR492" i="3"/>
  <c r="CS492" i="3"/>
  <c r="CT492" i="3"/>
  <c r="CU492" i="3"/>
  <c r="CV492" i="3"/>
  <c r="CW492" i="3"/>
  <c r="CX492" i="3"/>
  <c r="CY492" i="3"/>
  <c r="CZ492" i="3"/>
  <c r="DA492" i="3"/>
  <c r="DB492" i="3"/>
  <c r="DC492" i="3"/>
  <c r="DD492" i="3"/>
  <c r="DE492" i="3"/>
  <c r="DF492" i="3"/>
  <c r="DG492" i="3"/>
  <c r="CR493" i="3"/>
  <c r="CS493" i="3"/>
  <c r="CT493" i="3"/>
  <c r="CU493" i="3"/>
  <c r="CV493" i="3"/>
  <c r="CW493" i="3"/>
  <c r="CX493" i="3"/>
  <c r="CY493" i="3"/>
  <c r="CZ493" i="3"/>
  <c r="DA493" i="3"/>
  <c r="DB493" i="3"/>
  <c r="DC493" i="3"/>
  <c r="DD493" i="3"/>
  <c r="DE493" i="3"/>
  <c r="DF493" i="3"/>
  <c r="DG493" i="3"/>
  <c r="CR494" i="3"/>
  <c r="CS494" i="3"/>
  <c r="CT494" i="3"/>
  <c r="CU494" i="3"/>
  <c r="CV494" i="3"/>
  <c r="CW494" i="3"/>
  <c r="CX494" i="3"/>
  <c r="CY494" i="3"/>
  <c r="CZ494" i="3"/>
  <c r="DA494" i="3"/>
  <c r="DB494" i="3"/>
  <c r="DC494" i="3"/>
  <c r="DD494" i="3"/>
  <c r="DE494" i="3"/>
  <c r="DF494" i="3"/>
  <c r="DG494" i="3"/>
  <c r="CR495" i="3"/>
  <c r="CS495" i="3"/>
  <c r="CT495" i="3"/>
  <c r="CU495" i="3"/>
  <c r="CV495" i="3"/>
  <c r="CW495" i="3"/>
  <c r="CX495" i="3"/>
  <c r="CY495" i="3"/>
  <c r="CZ495" i="3"/>
  <c r="DA495" i="3"/>
  <c r="DB495" i="3"/>
  <c r="DC495" i="3"/>
  <c r="DD495" i="3"/>
  <c r="DE495" i="3"/>
  <c r="DF495" i="3"/>
  <c r="DG495" i="3"/>
  <c r="CR496" i="3"/>
  <c r="CS496" i="3"/>
  <c r="CT496" i="3"/>
  <c r="CU496" i="3"/>
  <c r="CV496" i="3"/>
  <c r="CW496" i="3"/>
  <c r="CX496" i="3"/>
  <c r="CY496" i="3"/>
  <c r="CZ496" i="3"/>
  <c r="DA496" i="3"/>
  <c r="DB496" i="3"/>
  <c r="DC496" i="3"/>
  <c r="DD496" i="3"/>
  <c r="DE496" i="3"/>
  <c r="DF496" i="3"/>
  <c r="DG496" i="3"/>
  <c r="CR497" i="3"/>
  <c r="CS497" i="3"/>
  <c r="CT497" i="3"/>
  <c r="CU497" i="3"/>
  <c r="CV497" i="3"/>
  <c r="CW497" i="3"/>
  <c r="CX497" i="3"/>
  <c r="CY497" i="3"/>
  <c r="CZ497" i="3"/>
  <c r="DA497" i="3"/>
  <c r="DB497" i="3"/>
  <c r="DC497" i="3"/>
  <c r="DD497" i="3"/>
  <c r="DE497" i="3"/>
  <c r="DF497" i="3"/>
  <c r="DG497" i="3"/>
  <c r="CR498" i="3"/>
  <c r="CS498" i="3"/>
  <c r="CT498" i="3"/>
  <c r="CU498" i="3"/>
  <c r="CV498" i="3"/>
  <c r="CW498" i="3"/>
  <c r="CX498" i="3"/>
  <c r="CY498" i="3"/>
  <c r="CZ498" i="3"/>
  <c r="DA498" i="3"/>
  <c r="DB498" i="3"/>
  <c r="DC498" i="3"/>
  <c r="DD498" i="3"/>
  <c r="DE498" i="3"/>
  <c r="DF498" i="3"/>
  <c r="DG498" i="3"/>
  <c r="CR499" i="3"/>
  <c r="CS499" i="3"/>
  <c r="CT499" i="3"/>
  <c r="CU499" i="3"/>
  <c r="CV499" i="3"/>
  <c r="CW499" i="3"/>
  <c r="CX499" i="3"/>
  <c r="CY499" i="3"/>
  <c r="CZ499" i="3"/>
  <c r="DA499" i="3"/>
  <c r="DB499" i="3"/>
  <c r="DC499" i="3"/>
  <c r="DD499" i="3"/>
  <c r="DE499" i="3"/>
  <c r="DF499" i="3"/>
  <c r="DG499" i="3"/>
  <c r="CR500" i="3"/>
  <c r="CS500" i="3"/>
  <c r="CT500" i="3"/>
  <c r="CU500" i="3"/>
  <c r="CV500" i="3"/>
  <c r="CW500" i="3"/>
  <c r="CX500" i="3"/>
  <c r="CY500" i="3"/>
  <c r="CZ500" i="3"/>
  <c r="DA500" i="3"/>
  <c r="DB500" i="3"/>
  <c r="DC500" i="3"/>
  <c r="DD500" i="3"/>
  <c r="DE500" i="3"/>
  <c r="DF500" i="3"/>
  <c r="DG500" i="3"/>
  <c r="CR501" i="3"/>
  <c r="CS501" i="3"/>
  <c r="CT501" i="3"/>
  <c r="CU501" i="3"/>
  <c r="CV501" i="3"/>
  <c r="CW501" i="3"/>
  <c r="CX501" i="3"/>
  <c r="CY501" i="3"/>
  <c r="CZ501" i="3"/>
  <c r="DA501" i="3"/>
  <c r="DB501" i="3"/>
  <c r="DC501" i="3"/>
  <c r="DD501" i="3"/>
  <c r="DE501" i="3"/>
  <c r="DF501" i="3"/>
  <c r="DG501" i="3"/>
  <c r="CR502" i="3"/>
  <c r="CS502" i="3"/>
  <c r="CT502" i="3"/>
  <c r="CU502" i="3"/>
  <c r="CV502" i="3"/>
  <c r="CW502" i="3"/>
  <c r="CX502" i="3"/>
  <c r="CY502" i="3"/>
  <c r="CZ502" i="3"/>
  <c r="DA502" i="3"/>
  <c r="DB502" i="3"/>
  <c r="DC502" i="3"/>
  <c r="DD502" i="3"/>
  <c r="DE502" i="3"/>
  <c r="DF502" i="3"/>
  <c r="DG502" i="3"/>
  <c r="CR503" i="3"/>
  <c r="CS503" i="3"/>
  <c r="CT503" i="3"/>
  <c r="CU503" i="3"/>
  <c r="CV503" i="3"/>
  <c r="CW503" i="3"/>
  <c r="CX503" i="3"/>
  <c r="CY503" i="3"/>
  <c r="CZ503" i="3"/>
  <c r="DA503" i="3"/>
  <c r="DB503" i="3"/>
  <c r="DC503" i="3"/>
  <c r="DD503" i="3"/>
  <c r="DE503" i="3"/>
  <c r="DF503" i="3"/>
  <c r="DG503" i="3"/>
  <c r="CR504" i="3"/>
  <c r="CS504" i="3"/>
  <c r="CT504" i="3"/>
  <c r="CU504" i="3"/>
  <c r="CV504" i="3"/>
  <c r="CW504" i="3"/>
  <c r="CX504" i="3"/>
  <c r="CY504" i="3"/>
  <c r="CZ504" i="3"/>
  <c r="DA504" i="3"/>
  <c r="DB504" i="3"/>
  <c r="DC504" i="3"/>
  <c r="DD504" i="3"/>
  <c r="DE504" i="3"/>
  <c r="DF504" i="3"/>
  <c r="DG504" i="3"/>
  <c r="CR505" i="3"/>
  <c r="CS505" i="3"/>
  <c r="CT505" i="3"/>
  <c r="CU505" i="3"/>
  <c r="CV505" i="3"/>
  <c r="CW505" i="3"/>
  <c r="CX505" i="3"/>
  <c r="CY505" i="3"/>
  <c r="CZ505" i="3"/>
  <c r="DA505" i="3"/>
  <c r="DB505" i="3"/>
  <c r="DC505" i="3"/>
  <c r="DD505" i="3"/>
  <c r="DE505" i="3"/>
  <c r="DF505" i="3"/>
  <c r="DG505" i="3"/>
  <c r="CR506" i="3"/>
  <c r="CS506" i="3"/>
  <c r="CT506" i="3"/>
  <c r="CU506" i="3"/>
  <c r="CV506" i="3"/>
  <c r="CW506" i="3"/>
  <c r="CX506" i="3"/>
  <c r="CY506" i="3"/>
  <c r="CZ506" i="3"/>
  <c r="DA506" i="3"/>
  <c r="DB506" i="3"/>
  <c r="DC506" i="3"/>
  <c r="DD506" i="3"/>
  <c r="DE506" i="3"/>
  <c r="DF506" i="3"/>
  <c r="DG506" i="3"/>
  <c r="CR507" i="3"/>
  <c r="CS507" i="3"/>
  <c r="CT507" i="3"/>
  <c r="CU507" i="3"/>
  <c r="CV507" i="3"/>
  <c r="CW507" i="3"/>
  <c r="CX507" i="3"/>
  <c r="CY507" i="3"/>
  <c r="CZ507" i="3"/>
  <c r="DA507" i="3"/>
  <c r="DB507" i="3"/>
  <c r="DC507" i="3"/>
  <c r="DD507" i="3"/>
  <c r="DE507" i="3"/>
  <c r="DF507" i="3"/>
  <c r="DG507" i="3"/>
  <c r="CR508" i="3"/>
  <c r="CS508" i="3"/>
  <c r="CT508" i="3"/>
  <c r="CU508" i="3"/>
  <c r="CV508" i="3"/>
  <c r="CW508" i="3"/>
  <c r="CX508" i="3"/>
  <c r="CY508" i="3"/>
  <c r="CZ508" i="3"/>
  <c r="DA508" i="3"/>
  <c r="DB508" i="3"/>
  <c r="DC508" i="3"/>
  <c r="DD508" i="3"/>
  <c r="DE508" i="3"/>
  <c r="DF508" i="3"/>
  <c r="DG508" i="3"/>
  <c r="CR509" i="3"/>
  <c r="CS509" i="3"/>
  <c r="CT509" i="3"/>
  <c r="CU509" i="3"/>
  <c r="CV509" i="3"/>
  <c r="CW509" i="3"/>
  <c r="CX509" i="3"/>
  <c r="CY509" i="3"/>
  <c r="CZ509" i="3"/>
  <c r="DA509" i="3"/>
  <c r="DB509" i="3"/>
  <c r="DC509" i="3"/>
  <c r="DD509" i="3"/>
  <c r="DE509" i="3"/>
  <c r="DF509" i="3"/>
  <c r="DG509" i="3"/>
  <c r="CR510" i="3"/>
  <c r="CS510" i="3"/>
  <c r="CT510" i="3"/>
  <c r="CU510" i="3"/>
  <c r="CV510" i="3"/>
  <c r="CW510" i="3"/>
  <c r="CX510" i="3"/>
  <c r="CY510" i="3"/>
  <c r="CZ510" i="3"/>
  <c r="DA510" i="3"/>
  <c r="DB510" i="3"/>
  <c r="DC510" i="3"/>
  <c r="DD510" i="3"/>
  <c r="DE510" i="3"/>
  <c r="DF510" i="3"/>
  <c r="DG510" i="3"/>
  <c r="CR511" i="3"/>
  <c r="CS511" i="3"/>
  <c r="CT511" i="3"/>
  <c r="CU511" i="3"/>
  <c r="CV511" i="3"/>
  <c r="CW511" i="3"/>
  <c r="CX511" i="3"/>
  <c r="CY511" i="3"/>
  <c r="CZ511" i="3"/>
  <c r="DA511" i="3"/>
  <c r="DB511" i="3"/>
  <c r="DC511" i="3"/>
  <c r="DD511" i="3"/>
  <c r="DE511" i="3"/>
  <c r="DF511" i="3"/>
  <c r="DG511" i="3"/>
  <c r="CR512" i="3"/>
  <c r="CS512" i="3"/>
  <c r="CT512" i="3"/>
  <c r="CU512" i="3"/>
  <c r="CV512" i="3"/>
  <c r="CW512" i="3"/>
  <c r="CX512" i="3"/>
  <c r="CY512" i="3"/>
  <c r="CZ512" i="3"/>
  <c r="DA512" i="3"/>
  <c r="DB512" i="3"/>
  <c r="DC512" i="3"/>
  <c r="DD512" i="3"/>
  <c r="DE512" i="3"/>
  <c r="DF512" i="3"/>
  <c r="DG512" i="3"/>
  <c r="CR513" i="3"/>
  <c r="CS513" i="3"/>
  <c r="CT513" i="3"/>
  <c r="CU513" i="3"/>
  <c r="CV513" i="3"/>
  <c r="CW513" i="3"/>
  <c r="CX513" i="3"/>
  <c r="CY513" i="3"/>
  <c r="CZ513" i="3"/>
  <c r="DA513" i="3"/>
  <c r="DB513" i="3"/>
  <c r="DC513" i="3"/>
  <c r="DD513" i="3"/>
  <c r="DE513" i="3"/>
  <c r="DF513" i="3"/>
  <c r="DG513" i="3"/>
  <c r="CR514" i="3"/>
  <c r="CS514" i="3"/>
  <c r="CT514" i="3"/>
  <c r="CU514" i="3"/>
  <c r="CV514" i="3"/>
  <c r="CW514" i="3"/>
  <c r="CX514" i="3"/>
  <c r="CY514" i="3"/>
  <c r="CZ514" i="3"/>
  <c r="DA514" i="3"/>
  <c r="DB514" i="3"/>
  <c r="DC514" i="3"/>
  <c r="DD514" i="3"/>
  <c r="DE514" i="3"/>
  <c r="DF514" i="3"/>
  <c r="DG514" i="3"/>
  <c r="CR515" i="3"/>
  <c r="CS515" i="3"/>
  <c r="CT515" i="3"/>
  <c r="CU515" i="3"/>
  <c r="CV515" i="3"/>
  <c r="CW515" i="3"/>
  <c r="CX515" i="3"/>
  <c r="CY515" i="3"/>
  <c r="CZ515" i="3"/>
  <c r="DA515" i="3"/>
  <c r="DB515" i="3"/>
  <c r="DC515" i="3"/>
  <c r="DD515" i="3"/>
  <c r="DE515" i="3"/>
  <c r="DF515" i="3"/>
  <c r="DG515" i="3"/>
  <c r="CR516" i="3"/>
  <c r="CS516" i="3"/>
  <c r="CT516" i="3"/>
  <c r="CU516" i="3"/>
  <c r="CV516" i="3"/>
  <c r="CW516" i="3"/>
  <c r="CX516" i="3"/>
  <c r="CY516" i="3"/>
  <c r="CZ516" i="3"/>
  <c r="DA516" i="3"/>
  <c r="DB516" i="3"/>
  <c r="DC516" i="3"/>
  <c r="DD516" i="3"/>
  <c r="DE516" i="3"/>
  <c r="DF516" i="3"/>
  <c r="DG516" i="3"/>
  <c r="CR517" i="3"/>
  <c r="CS517" i="3"/>
  <c r="CT517" i="3"/>
  <c r="CU517" i="3"/>
  <c r="CV517" i="3"/>
  <c r="CW517" i="3"/>
  <c r="CX517" i="3"/>
  <c r="CY517" i="3"/>
  <c r="CZ517" i="3"/>
  <c r="DA517" i="3"/>
  <c r="DB517" i="3"/>
  <c r="DC517" i="3"/>
  <c r="DD517" i="3"/>
  <c r="DE517" i="3"/>
  <c r="DF517" i="3"/>
  <c r="DG517" i="3"/>
  <c r="CR518" i="3"/>
  <c r="CS518" i="3"/>
  <c r="CT518" i="3"/>
  <c r="CU518" i="3"/>
  <c r="CV518" i="3"/>
  <c r="CW518" i="3"/>
  <c r="CX518" i="3"/>
  <c r="CY518" i="3"/>
  <c r="CZ518" i="3"/>
  <c r="DA518" i="3"/>
  <c r="DB518" i="3"/>
  <c r="DC518" i="3"/>
  <c r="DD518" i="3"/>
  <c r="DE518" i="3"/>
  <c r="DF518" i="3"/>
  <c r="DG518" i="3"/>
  <c r="CR519" i="3"/>
  <c r="CS519" i="3"/>
  <c r="CT519" i="3"/>
  <c r="CU519" i="3"/>
  <c r="CV519" i="3"/>
  <c r="CW519" i="3"/>
  <c r="CX519" i="3"/>
  <c r="CY519" i="3"/>
  <c r="CZ519" i="3"/>
  <c r="DA519" i="3"/>
  <c r="DB519" i="3"/>
  <c r="DC519" i="3"/>
  <c r="DD519" i="3"/>
  <c r="DE519" i="3"/>
  <c r="DF519" i="3"/>
  <c r="DG519" i="3"/>
  <c r="CR520" i="3"/>
  <c r="CS520" i="3"/>
  <c r="CT520" i="3"/>
  <c r="CU520" i="3"/>
  <c r="CV520" i="3"/>
  <c r="CW520" i="3"/>
  <c r="CX520" i="3"/>
  <c r="CY520" i="3"/>
  <c r="CZ520" i="3"/>
  <c r="DA520" i="3"/>
  <c r="DB520" i="3"/>
  <c r="DC520" i="3"/>
  <c r="DD520" i="3"/>
  <c r="DE520" i="3"/>
  <c r="DF520" i="3"/>
  <c r="DG520" i="3"/>
  <c r="CR521" i="3"/>
  <c r="CS521" i="3"/>
  <c r="CT521" i="3"/>
  <c r="CU521" i="3"/>
  <c r="CV521" i="3"/>
  <c r="CW521" i="3"/>
  <c r="CX521" i="3"/>
  <c r="CY521" i="3"/>
  <c r="CZ521" i="3"/>
  <c r="DA521" i="3"/>
  <c r="DB521" i="3"/>
  <c r="DC521" i="3"/>
  <c r="DD521" i="3"/>
  <c r="DE521" i="3"/>
  <c r="DF521" i="3"/>
  <c r="DG521" i="3"/>
  <c r="CR522" i="3"/>
  <c r="CS522" i="3"/>
  <c r="CT522" i="3"/>
  <c r="CU522" i="3"/>
  <c r="CV522" i="3"/>
  <c r="CW522" i="3"/>
  <c r="CX522" i="3"/>
  <c r="CY522" i="3"/>
  <c r="CZ522" i="3"/>
  <c r="DA522" i="3"/>
  <c r="DB522" i="3"/>
  <c r="DC522" i="3"/>
  <c r="DD522" i="3"/>
  <c r="DE522" i="3"/>
  <c r="DF522" i="3"/>
  <c r="DG522" i="3"/>
  <c r="CR523" i="3"/>
  <c r="CS523" i="3"/>
  <c r="CT523" i="3"/>
  <c r="CU523" i="3"/>
  <c r="CV523" i="3"/>
  <c r="CW523" i="3"/>
  <c r="CX523" i="3"/>
  <c r="CY523" i="3"/>
  <c r="CZ523" i="3"/>
  <c r="DA523" i="3"/>
  <c r="DB523" i="3"/>
  <c r="DC523" i="3"/>
  <c r="DD523" i="3"/>
  <c r="DE523" i="3"/>
  <c r="DF523" i="3"/>
  <c r="DG523" i="3"/>
  <c r="CR524" i="3"/>
  <c r="CS524" i="3"/>
  <c r="CT524" i="3"/>
  <c r="CU524" i="3"/>
  <c r="CV524" i="3"/>
  <c r="CW524" i="3"/>
  <c r="CX524" i="3"/>
  <c r="CY524" i="3"/>
  <c r="CZ524" i="3"/>
  <c r="DA524" i="3"/>
  <c r="DB524" i="3"/>
  <c r="DC524" i="3"/>
  <c r="DD524" i="3"/>
  <c r="DE524" i="3"/>
  <c r="DF524" i="3"/>
  <c r="DG524" i="3"/>
  <c r="CR525" i="3"/>
  <c r="CS525" i="3"/>
  <c r="CT525" i="3"/>
  <c r="CU525" i="3"/>
  <c r="CV525" i="3"/>
  <c r="CW525" i="3"/>
  <c r="CX525" i="3"/>
  <c r="CY525" i="3"/>
  <c r="CZ525" i="3"/>
  <c r="DA525" i="3"/>
  <c r="DB525" i="3"/>
  <c r="DC525" i="3"/>
  <c r="DD525" i="3"/>
  <c r="DE525" i="3"/>
  <c r="DF525" i="3"/>
  <c r="DG525" i="3"/>
  <c r="CR526" i="3"/>
  <c r="CS526" i="3"/>
  <c r="CT526" i="3"/>
  <c r="CU526" i="3"/>
  <c r="CV526" i="3"/>
  <c r="CW526" i="3"/>
  <c r="CX526" i="3"/>
  <c r="CY526" i="3"/>
  <c r="CZ526" i="3"/>
  <c r="DA526" i="3"/>
  <c r="DB526" i="3"/>
  <c r="DC526" i="3"/>
  <c r="DD526" i="3"/>
  <c r="DE526" i="3"/>
  <c r="DF526" i="3"/>
  <c r="DG526" i="3"/>
  <c r="CR527" i="3"/>
  <c r="CS527" i="3"/>
  <c r="CT527" i="3"/>
  <c r="CU527" i="3"/>
  <c r="CV527" i="3"/>
  <c r="CW527" i="3"/>
  <c r="CX527" i="3"/>
  <c r="CY527" i="3"/>
  <c r="CZ527" i="3"/>
  <c r="DA527" i="3"/>
  <c r="DB527" i="3"/>
  <c r="DC527" i="3"/>
  <c r="DD527" i="3"/>
  <c r="DE527" i="3"/>
  <c r="DF527" i="3"/>
  <c r="DG527" i="3"/>
  <c r="CR528" i="3"/>
  <c r="CS528" i="3"/>
  <c r="CT528" i="3"/>
  <c r="CU528" i="3"/>
  <c r="CV528" i="3"/>
  <c r="CW528" i="3"/>
  <c r="CX528" i="3"/>
  <c r="CY528" i="3"/>
  <c r="CZ528" i="3"/>
  <c r="DA528" i="3"/>
  <c r="DB528" i="3"/>
  <c r="DC528" i="3"/>
  <c r="DD528" i="3"/>
  <c r="DE528" i="3"/>
  <c r="DF528" i="3"/>
  <c r="DG528" i="3"/>
  <c r="CR529" i="3"/>
  <c r="CS529" i="3"/>
  <c r="CT529" i="3"/>
  <c r="CU529" i="3"/>
  <c r="CV529" i="3"/>
  <c r="CW529" i="3"/>
  <c r="CX529" i="3"/>
  <c r="CY529" i="3"/>
  <c r="CZ529" i="3"/>
  <c r="DA529" i="3"/>
  <c r="DB529" i="3"/>
  <c r="DC529" i="3"/>
  <c r="DD529" i="3"/>
  <c r="DE529" i="3"/>
  <c r="DF529" i="3"/>
  <c r="DG529" i="3"/>
  <c r="CR530" i="3"/>
  <c r="CS530" i="3"/>
  <c r="CT530" i="3"/>
  <c r="CU530" i="3"/>
  <c r="CV530" i="3"/>
  <c r="CW530" i="3"/>
  <c r="CX530" i="3"/>
  <c r="CY530" i="3"/>
  <c r="CZ530" i="3"/>
  <c r="DA530" i="3"/>
  <c r="DB530" i="3"/>
  <c r="DC530" i="3"/>
  <c r="DD530" i="3"/>
  <c r="DE530" i="3"/>
  <c r="DF530" i="3"/>
  <c r="DG530" i="3"/>
  <c r="CR531" i="3"/>
  <c r="CS531" i="3"/>
  <c r="CT531" i="3"/>
  <c r="CU531" i="3"/>
  <c r="CV531" i="3"/>
  <c r="CW531" i="3"/>
  <c r="CX531" i="3"/>
  <c r="CY531" i="3"/>
  <c r="CZ531" i="3"/>
  <c r="DA531" i="3"/>
  <c r="DB531" i="3"/>
  <c r="DC531" i="3"/>
  <c r="DD531" i="3"/>
  <c r="DE531" i="3"/>
  <c r="DF531" i="3"/>
  <c r="DG531" i="3"/>
  <c r="CR532" i="3"/>
  <c r="CS532" i="3"/>
  <c r="CT532" i="3"/>
  <c r="CU532" i="3"/>
  <c r="CV532" i="3"/>
  <c r="CW532" i="3"/>
  <c r="CX532" i="3"/>
  <c r="CY532" i="3"/>
  <c r="CZ532" i="3"/>
  <c r="DA532" i="3"/>
  <c r="DB532" i="3"/>
  <c r="DC532" i="3"/>
  <c r="DD532" i="3"/>
  <c r="DE532" i="3"/>
  <c r="DF532" i="3"/>
  <c r="DG532" i="3"/>
  <c r="CR533" i="3"/>
  <c r="CS533" i="3"/>
  <c r="CT533" i="3"/>
  <c r="CU533" i="3"/>
  <c r="CV533" i="3"/>
  <c r="CW533" i="3"/>
  <c r="CX533" i="3"/>
  <c r="CY533" i="3"/>
  <c r="CZ533" i="3"/>
  <c r="DA533" i="3"/>
  <c r="DB533" i="3"/>
  <c r="DC533" i="3"/>
  <c r="DD533" i="3"/>
  <c r="DE533" i="3"/>
  <c r="DF533" i="3"/>
  <c r="DG533" i="3"/>
  <c r="CR534" i="3"/>
  <c r="CS534" i="3"/>
  <c r="CT534" i="3"/>
  <c r="CU534" i="3"/>
  <c r="CV534" i="3"/>
  <c r="CW534" i="3"/>
  <c r="CX534" i="3"/>
  <c r="CY534" i="3"/>
  <c r="CZ534" i="3"/>
  <c r="DA534" i="3"/>
  <c r="DB534" i="3"/>
  <c r="DC534" i="3"/>
  <c r="DD534" i="3"/>
  <c r="DE534" i="3"/>
  <c r="DF534" i="3"/>
  <c r="DG534" i="3"/>
  <c r="CR535" i="3"/>
  <c r="CS535" i="3"/>
  <c r="CT535" i="3"/>
  <c r="CU535" i="3"/>
  <c r="CV535" i="3"/>
  <c r="CW535" i="3"/>
  <c r="CX535" i="3"/>
  <c r="CY535" i="3"/>
  <c r="CZ535" i="3"/>
  <c r="DA535" i="3"/>
  <c r="DB535" i="3"/>
  <c r="DC535" i="3"/>
  <c r="DD535" i="3"/>
  <c r="DE535" i="3"/>
  <c r="DF535" i="3"/>
  <c r="DG535" i="3"/>
  <c r="CR536" i="3"/>
  <c r="CS536" i="3"/>
  <c r="CT536" i="3"/>
  <c r="CU536" i="3"/>
  <c r="CV536" i="3"/>
  <c r="CW536" i="3"/>
  <c r="CX536" i="3"/>
  <c r="CY536" i="3"/>
  <c r="CZ536" i="3"/>
  <c r="DA536" i="3"/>
  <c r="DB536" i="3"/>
  <c r="DC536" i="3"/>
  <c r="DD536" i="3"/>
  <c r="DE536" i="3"/>
  <c r="DF536" i="3"/>
  <c r="DG536" i="3"/>
  <c r="CR537" i="3"/>
  <c r="CS537" i="3"/>
  <c r="CT537" i="3"/>
  <c r="CU537" i="3"/>
  <c r="CV537" i="3"/>
  <c r="CW537" i="3"/>
  <c r="CX537" i="3"/>
  <c r="CY537" i="3"/>
  <c r="CZ537" i="3"/>
  <c r="DA537" i="3"/>
  <c r="DB537" i="3"/>
  <c r="DC537" i="3"/>
  <c r="DD537" i="3"/>
  <c r="DE537" i="3"/>
  <c r="DF537" i="3"/>
  <c r="DG537" i="3"/>
  <c r="CR538" i="3"/>
  <c r="CS538" i="3"/>
  <c r="CT538" i="3"/>
  <c r="CU538" i="3"/>
  <c r="CV538" i="3"/>
  <c r="CW538" i="3"/>
  <c r="CX538" i="3"/>
  <c r="CY538" i="3"/>
  <c r="CZ538" i="3"/>
  <c r="DA538" i="3"/>
  <c r="DB538" i="3"/>
  <c r="DC538" i="3"/>
  <c r="DD538" i="3"/>
  <c r="DE538" i="3"/>
  <c r="DF538" i="3"/>
  <c r="DG538" i="3"/>
  <c r="CR539" i="3"/>
  <c r="CS539" i="3"/>
  <c r="CT539" i="3"/>
  <c r="CU539" i="3"/>
  <c r="CV539" i="3"/>
  <c r="CW539" i="3"/>
  <c r="CX539" i="3"/>
  <c r="CY539" i="3"/>
  <c r="CZ539" i="3"/>
  <c r="DA539" i="3"/>
  <c r="DB539" i="3"/>
  <c r="DC539" i="3"/>
  <c r="DD539" i="3"/>
  <c r="DE539" i="3"/>
  <c r="DF539" i="3"/>
  <c r="DG539" i="3"/>
  <c r="CR540" i="3"/>
  <c r="CS540" i="3"/>
  <c r="CT540" i="3"/>
  <c r="CU540" i="3"/>
  <c r="CV540" i="3"/>
  <c r="CW540" i="3"/>
  <c r="CX540" i="3"/>
  <c r="CY540" i="3"/>
  <c r="CZ540" i="3"/>
  <c r="DA540" i="3"/>
  <c r="DB540" i="3"/>
  <c r="DC540" i="3"/>
  <c r="DD540" i="3"/>
  <c r="DE540" i="3"/>
  <c r="DF540" i="3"/>
  <c r="DG540" i="3"/>
  <c r="CR541" i="3"/>
  <c r="CS541" i="3"/>
  <c r="CT541" i="3"/>
  <c r="CU541" i="3"/>
  <c r="CV541" i="3"/>
  <c r="CW541" i="3"/>
  <c r="CX541" i="3"/>
  <c r="CY541" i="3"/>
  <c r="CZ541" i="3"/>
  <c r="DA541" i="3"/>
  <c r="DB541" i="3"/>
  <c r="DC541" i="3"/>
  <c r="DD541" i="3"/>
  <c r="DE541" i="3"/>
  <c r="DF541" i="3"/>
  <c r="DG541" i="3"/>
  <c r="CR542" i="3"/>
  <c r="CS542" i="3"/>
  <c r="CT542" i="3"/>
  <c r="CU542" i="3"/>
  <c r="CV542" i="3"/>
  <c r="CW542" i="3"/>
  <c r="CX542" i="3"/>
  <c r="CY542" i="3"/>
  <c r="CZ542" i="3"/>
  <c r="DA542" i="3"/>
  <c r="DB542" i="3"/>
  <c r="DC542" i="3"/>
  <c r="DD542" i="3"/>
  <c r="DE542" i="3"/>
  <c r="DF542" i="3"/>
  <c r="DG542" i="3"/>
  <c r="CR543" i="3"/>
  <c r="CS543" i="3"/>
  <c r="CT543" i="3"/>
  <c r="CU543" i="3"/>
  <c r="CV543" i="3"/>
  <c r="CW543" i="3"/>
  <c r="CX543" i="3"/>
  <c r="CY543" i="3"/>
  <c r="CZ543" i="3"/>
  <c r="DA543" i="3"/>
  <c r="DB543" i="3"/>
  <c r="DC543" i="3"/>
  <c r="DD543" i="3"/>
  <c r="DE543" i="3"/>
  <c r="DF543" i="3"/>
  <c r="DG543" i="3"/>
  <c r="CR544" i="3"/>
  <c r="CS544" i="3"/>
  <c r="CT544" i="3"/>
  <c r="CU544" i="3"/>
  <c r="CV544" i="3"/>
  <c r="CW544" i="3"/>
  <c r="CX544" i="3"/>
  <c r="CY544" i="3"/>
  <c r="CZ544" i="3"/>
  <c r="DA544" i="3"/>
  <c r="DB544" i="3"/>
  <c r="DC544" i="3"/>
  <c r="DD544" i="3"/>
  <c r="DE544" i="3"/>
  <c r="DF544" i="3"/>
  <c r="DG544" i="3"/>
  <c r="CR545" i="3"/>
  <c r="CS545" i="3"/>
  <c r="CT545" i="3"/>
  <c r="CU545" i="3"/>
  <c r="CV545" i="3"/>
  <c r="CW545" i="3"/>
  <c r="CX545" i="3"/>
  <c r="CY545" i="3"/>
  <c r="CZ545" i="3"/>
  <c r="DA545" i="3"/>
  <c r="DB545" i="3"/>
  <c r="DC545" i="3"/>
  <c r="DD545" i="3"/>
  <c r="DE545" i="3"/>
  <c r="DF545" i="3"/>
  <c r="DG545" i="3"/>
  <c r="CR546" i="3"/>
  <c r="CS546" i="3"/>
  <c r="CT546" i="3"/>
  <c r="CU546" i="3"/>
  <c r="CV546" i="3"/>
  <c r="CW546" i="3"/>
  <c r="CX546" i="3"/>
  <c r="CY546" i="3"/>
  <c r="CZ546" i="3"/>
  <c r="DA546" i="3"/>
  <c r="DB546" i="3"/>
  <c r="DC546" i="3"/>
  <c r="DD546" i="3"/>
  <c r="DE546" i="3"/>
  <c r="DF546" i="3"/>
  <c r="DG546" i="3"/>
  <c r="CR547" i="3"/>
  <c r="CS547" i="3"/>
  <c r="CT547" i="3"/>
  <c r="CU547" i="3"/>
  <c r="CV547" i="3"/>
  <c r="CW547" i="3"/>
  <c r="CX547" i="3"/>
  <c r="CY547" i="3"/>
  <c r="CZ547" i="3"/>
  <c r="DA547" i="3"/>
  <c r="DB547" i="3"/>
  <c r="DC547" i="3"/>
  <c r="DD547" i="3"/>
  <c r="DE547" i="3"/>
  <c r="DF547" i="3"/>
  <c r="DG547" i="3"/>
  <c r="CR548" i="3"/>
  <c r="CS548" i="3"/>
  <c r="CT548" i="3"/>
  <c r="CU548" i="3"/>
  <c r="CV548" i="3"/>
  <c r="CW548" i="3"/>
  <c r="CX548" i="3"/>
  <c r="CY548" i="3"/>
  <c r="CZ548" i="3"/>
  <c r="DA548" i="3"/>
  <c r="DB548" i="3"/>
  <c r="DC548" i="3"/>
  <c r="DD548" i="3"/>
  <c r="DE548" i="3"/>
  <c r="DF548" i="3"/>
  <c r="DG548" i="3"/>
  <c r="CR549" i="3"/>
  <c r="CS549" i="3"/>
  <c r="CT549" i="3"/>
  <c r="CU549" i="3"/>
  <c r="CV549" i="3"/>
  <c r="CW549" i="3"/>
  <c r="CX549" i="3"/>
  <c r="CY549" i="3"/>
  <c r="CZ549" i="3"/>
  <c r="DA549" i="3"/>
  <c r="DB549" i="3"/>
  <c r="DC549" i="3"/>
  <c r="DD549" i="3"/>
  <c r="DE549" i="3"/>
  <c r="DF549" i="3"/>
  <c r="DG549" i="3"/>
  <c r="CR550" i="3"/>
  <c r="CS550" i="3"/>
  <c r="CT550" i="3"/>
  <c r="CU550" i="3"/>
  <c r="CV550" i="3"/>
  <c r="CW550" i="3"/>
  <c r="CX550" i="3"/>
  <c r="CY550" i="3"/>
  <c r="CZ550" i="3"/>
  <c r="DA550" i="3"/>
  <c r="DB550" i="3"/>
  <c r="DC550" i="3"/>
  <c r="DD550" i="3"/>
  <c r="DE550" i="3"/>
  <c r="DF550" i="3"/>
  <c r="DG550" i="3"/>
  <c r="CR551" i="3"/>
  <c r="CS551" i="3"/>
  <c r="CT551" i="3"/>
  <c r="CU551" i="3"/>
  <c r="CV551" i="3"/>
  <c r="CW551" i="3"/>
  <c r="CX551" i="3"/>
  <c r="CY551" i="3"/>
  <c r="CZ551" i="3"/>
  <c r="DA551" i="3"/>
  <c r="DB551" i="3"/>
  <c r="DC551" i="3"/>
  <c r="DD551" i="3"/>
  <c r="DE551" i="3"/>
  <c r="DF551" i="3"/>
  <c r="DG551" i="3"/>
  <c r="CR552" i="3"/>
  <c r="CS552" i="3"/>
  <c r="CT552" i="3"/>
  <c r="CU552" i="3"/>
  <c r="CV552" i="3"/>
  <c r="CW552" i="3"/>
  <c r="CX552" i="3"/>
  <c r="CY552" i="3"/>
  <c r="CZ552" i="3"/>
  <c r="DA552" i="3"/>
  <c r="DB552" i="3"/>
  <c r="DC552" i="3"/>
  <c r="DD552" i="3"/>
  <c r="DE552" i="3"/>
  <c r="DF552" i="3"/>
  <c r="DG552" i="3"/>
  <c r="CR553" i="3"/>
  <c r="CS553" i="3"/>
  <c r="CT553" i="3"/>
  <c r="CU553" i="3"/>
  <c r="CV553" i="3"/>
  <c r="CW553" i="3"/>
  <c r="CX553" i="3"/>
  <c r="CY553" i="3"/>
  <c r="CZ553" i="3"/>
  <c r="DA553" i="3"/>
  <c r="DB553" i="3"/>
  <c r="DC553" i="3"/>
  <c r="DD553" i="3"/>
  <c r="DE553" i="3"/>
  <c r="DF553" i="3"/>
  <c r="DG553" i="3"/>
  <c r="CR554" i="3"/>
  <c r="CS554" i="3"/>
  <c r="CT554" i="3"/>
  <c r="CU554" i="3"/>
  <c r="CV554" i="3"/>
  <c r="CW554" i="3"/>
  <c r="CX554" i="3"/>
  <c r="CY554" i="3"/>
  <c r="CZ554" i="3"/>
  <c r="DA554" i="3"/>
  <c r="DB554" i="3"/>
  <c r="DC554" i="3"/>
  <c r="DD554" i="3"/>
  <c r="DE554" i="3"/>
  <c r="DF554" i="3"/>
  <c r="DG554" i="3"/>
  <c r="CR555" i="3"/>
  <c r="CS555" i="3"/>
  <c r="CT555" i="3"/>
  <c r="CU555" i="3"/>
  <c r="CV555" i="3"/>
  <c r="CW555" i="3"/>
  <c r="CX555" i="3"/>
  <c r="CY555" i="3"/>
  <c r="CZ555" i="3"/>
  <c r="DA555" i="3"/>
  <c r="DB555" i="3"/>
  <c r="DC555" i="3"/>
  <c r="DD555" i="3"/>
  <c r="DE555" i="3"/>
  <c r="DF555" i="3"/>
  <c r="DG555" i="3"/>
  <c r="CR556" i="3"/>
  <c r="CS556" i="3"/>
  <c r="CT556" i="3"/>
  <c r="CU556" i="3"/>
  <c r="CV556" i="3"/>
  <c r="CW556" i="3"/>
  <c r="CX556" i="3"/>
  <c r="CY556" i="3"/>
  <c r="CZ556" i="3"/>
  <c r="DA556" i="3"/>
  <c r="DB556" i="3"/>
  <c r="DC556" i="3"/>
  <c r="DD556" i="3"/>
  <c r="DE556" i="3"/>
  <c r="DF556" i="3"/>
  <c r="DG556" i="3"/>
  <c r="CR557" i="3"/>
  <c r="CS557" i="3"/>
  <c r="CT557" i="3"/>
  <c r="CU557" i="3"/>
  <c r="CV557" i="3"/>
  <c r="CW557" i="3"/>
  <c r="CX557" i="3"/>
  <c r="CY557" i="3"/>
  <c r="CZ557" i="3"/>
  <c r="DA557" i="3"/>
  <c r="DB557" i="3"/>
  <c r="DC557" i="3"/>
  <c r="DD557" i="3"/>
  <c r="DE557" i="3"/>
  <c r="DF557" i="3"/>
  <c r="DG557" i="3"/>
  <c r="CR558" i="3"/>
  <c r="CS558" i="3"/>
  <c r="CT558" i="3"/>
  <c r="CU558" i="3"/>
  <c r="CV558" i="3"/>
  <c r="CW558" i="3"/>
  <c r="CX558" i="3"/>
  <c r="CY558" i="3"/>
  <c r="CZ558" i="3"/>
  <c r="DA558" i="3"/>
  <c r="DB558" i="3"/>
  <c r="DC558" i="3"/>
  <c r="DD558" i="3"/>
  <c r="DE558" i="3"/>
  <c r="DF558" i="3"/>
  <c r="DG558" i="3"/>
  <c r="CR559" i="3"/>
  <c r="CS559" i="3"/>
  <c r="CT559" i="3"/>
  <c r="CU559" i="3"/>
  <c r="CV559" i="3"/>
  <c r="CW559" i="3"/>
  <c r="CX559" i="3"/>
  <c r="CY559" i="3"/>
  <c r="CZ559" i="3"/>
  <c r="DA559" i="3"/>
  <c r="DB559" i="3"/>
  <c r="DC559" i="3"/>
  <c r="DD559" i="3"/>
  <c r="DE559" i="3"/>
  <c r="DF559" i="3"/>
  <c r="DG559" i="3"/>
  <c r="CR560" i="3"/>
  <c r="CS560" i="3"/>
  <c r="CT560" i="3"/>
  <c r="CU560" i="3"/>
  <c r="CV560" i="3"/>
  <c r="CW560" i="3"/>
  <c r="CX560" i="3"/>
  <c r="CY560" i="3"/>
  <c r="CZ560" i="3"/>
  <c r="DA560" i="3"/>
  <c r="DB560" i="3"/>
  <c r="DC560" i="3"/>
  <c r="DD560" i="3"/>
  <c r="DE560" i="3"/>
  <c r="DF560" i="3"/>
  <c r="DG560" i="3"/>
  <c r="CR561" i="3"/>
  <c r="CS561" i="3"/>
  <c r="CT561" i="3"/>
  <c r="CU561" i="3"/>
  <c r="CV561" i="3"/>
  <c r="CW561" i="3"/>
  <c r="CX561" i="3"/>
  <c r="CY561" i="3"/>
  <c r="CZ561" i="3"/>
  <c r="DA561" i="3"/>
  <c r="DB561" i="3"/>
  <c r="DC561" i="3"/>
  <c r="DD561" i="3"/>
  <c r="DE561" i="3"/>
  <c r="DF561" i="3"/>
  <c r="DG561" i="3"/>
  <c r="CR562" i="3"/>
  <c r="CS562" i="3"/>
  <c r="CT562" i="3"/>
  <c r="CU562" i="3"/>
  <c r="CV562" i="3"/>
  <c r="CW562" i="3"/>
  <c r="CX562" i="3"/>
  <c r="CY562" i="3"/>
  <c r="CZ562" i="3"/>
  <c r="DA562" i="3"/>
  <c r="DB562" i="3"/>
  <c r="DC562" i="3"/>
  <c r="DD562" i="3"/>
  <c r="DE562" i="3"/>
  <c r="DF562" i="3"/>
  <c r="DG562" i="3"/>
  <c r="CR563" i="3"/>
  <c r="CS563" i="3"/>
  <c r="CT563" i="3"/>
  <c r="CU563" i="3"/>
  <c r="CV563" i="3"/>
  <c r="CW563" i="3"/>
  <c r="CX563" i="3"/>
  <c r="CY563" i="3"/>
  <c r="CZ563" i="3"/>
  <c r="DA563" i="3"/>
  <c r="DB563" i="3"/>
  <c r="DC563" i="3"/>
  <c r="DD563" i="3"/>
  <c r="DE563" i="3"/>
  <c r="DF563" i="3"/>
  <c r="DG563" i="3"/>
  <c r="CR564" i="3"/>
  <c r="CS564" i="3"/>
  <c r="CT564" i="3"/>
  <c r="CU564" i="3"/>
  <c r="CV564" i="3"/>
  <c r="CW564" i="3"/>
  <c r="CX564" i="3"/>
  <c r="CY564" i="3"/>
  <c r="CZ564" i="3"/>
  <c r="DA564" i="3"/>
  <c r="DB564" i="3"/>
  <c r="DC564" i="3"/>
  <c r="DD564" i="3"/>
  <c r="DE564" i="3"/>
  <c r="DF564" i="3"/>
  <c r="DG564" i="3"/>
  <c r="CR565" i="3"/>
  <c r="CS565" i="3"/>
  <c r="CT565" i="3"/>
  <c r="CU565" i="3"/>
  <c r="CV565" i="3"/>
  <c r="CW565" i="3"/>
  <c r="CX565" i="3"/>
  <c r="CY565" i="3"/>
  <c r="CZ565" i="3"/>
  <c r="DA565" i="3"/>
  <c r="DB565" i="3"/>
  <c r="DC565" i="3"/>
  <c r="DD565" i="3"/>
  <c r="DE565" i="3"/>
  <c r="DF565" i="3"/>
  <c r="DG565" i="3"/>
  <c r="CR566" i="3"/>
  <c r="CS566" i="3"/>
  <c r="CT566" i="3"/>
  <c r="CU566" i="3"/>
  <c r="CV566" i="3"/>
  <c r="CW566" i="3"/>
  <c r="CX566" i="3"/>
  <c r="CY566" i="3"/>
  <c r="CZ566" i="3"/>
  <c r="DA566" i="3"/>
  <c r="DB566" i="3"/>
  <c r="DC566" i="3"/>
  <c r="DD566" i="3"/>
  <c r="DE566" i="3"/>
  <c r="DF566" i="3"/>
  <c r="DG566" i="3"/>
  <c r="CR567" i="3"/>
  <c r="CS567" i="3"/>
  <c r="CT567" i="3"/>
  <c r="CU567" i="3"/>
  <c r="CV567" i="3"/>
  <c r="CW567" i="3"/>
  <c r="CX567" i="3"/>
  <c r="CY567" i="3"/>
  <c r="CZ567" i="3"/>
  <c r="DA567" i="3"/>
  <c r="DB567" i="3"/>
  <c r="DC567" i="3"/>
  <c r="DD567" i="3"/>
  <c r="DE567" i="3"/>
  <c r="DF567" i="3"/>
  <c r="DG567" i="3"/>
  <c r="CR568" i="3"/>
  <c r="CS568" i="3"/>
  <c r="CT568" i="3"/>
  <c r="CU568" i="3"/>
  <c r="CV568" i="3"/>
  <c r="CW568" i="3"/>
  <c r="CX568" i="3"/>
  <c r="CY568" i="3"/>
  <c r="CZ568" i="3"/>
  <c r="DA568" i="3"/>
  <c r="DB568" i="3"/>
  <c r="DC568" i="3"/>
  <c r="DD568" i="3"/>
  <c r="DE568" i="3"/>
  <c r="DF568" i="3"/>
  <c r="DG568" i="3"/>
  <c r="CR569" i="3"/>
  <c r="CS569" i="3"/>
  <c r="CT569" i="3"/>
  <c r="CU569" i="3"/>
  <c r="CV569" i="3"/>
  <c r="CW569" i="3"/>
  <c r="CX569" i="3"/>
  <c r="CY569" i="3"/>
  <c r="CZ569" i="3"/>
  <c r="DA569" i="3"/>
  <c r="DB569" i="3"/>
  <c r="DC569" i="3"/>
  <c r="DD569" i="3"/>
  <c r="DE569" i="3"/>
  <c r="DF569" i="3"/>
  <c r="DG569" i="3"/>
  <c r="CR570" i="3"/>
  <c r="CS570" i="3"/>
  <c r="CT570" i="3"/>
  <c r="CU570" i="3"/>
  <c r="CV570" i="3"/>
  <c r="CW570" i="3"/>
  <c r="CX570" i="3"/>
  <c r="CY570" i="3"/>
  <c r="CZ570" i="3"/>
  <c r="DA570" i="3"/>
  <c r="DB570" i="3"/>
  <c r="DC570" i="3"/>
  <c r="DD570" i="3"/>
  <c r="DE570" i="3"/>
  <c r="DF570" i="3"/>
  <c r="DG570" i="3"/>
  <c r="CR571" i="3"/>
  <c r="CS571" i="3"/>
  <c r="CT571" i="3"/>
  <c r="CU571" i="3"/>
  <c r="CV571" i="3"/>
  <c r="CW571" i="3"/>
  <c r="CX571" i="3"/>
  <c r="CY571" i="3"/>
  <c r="CZ571" i="3"/>
  <c r="DA571" i="3"/>
  <c r="DB571" i="3"/>
  <c r="DC571" i="3"/>
  <c r="DD571" i="3"/>
  <c r="DE571" i="3"/>
  <c r="DF571" i="3"/>
  <c r="DG571" i="3"/>
  <c r="CR572" i="3"/>
  <c r="CS572" i="3"/>
  <c r="CT572" i="3"/>
  <c r="CU572" i="3"/>
  <c r="CV572" i="3"/>
  <c r="CW572" i="3"/>
  <c r="CX572" i="3"/>
  <c r="CY572" i="3"/>
  <c r="CZ572" i="3"/>
  <c r="DA572" i="3"/>
  <c r="DB572" i="3"/>
  <c r="DC572" i="3"/>
  <c r="DD572" i="3"/>
  <c r="DE572" i="3"/>
  <c r="DF572" i="3"/>
  <c r="DG572" i="3"/>
  <c r="CR573" i="3"/>
  <c r="CS573" i="3"/>
  <c r="CT573" i="3"/>
  <c r="CU573" i="3"/>
  <c r="CV573" i="3"/>
  <c r="CW573" i="3"/>
  <c r="CX573" i="3"/>
  <c r="CY573" i="3"/>
  <c r="CZ573" i="3"/>
  <c r="DA573" i="3"/>
  <c r="DB573" i="3"/>
  <c r="DC573" i="3"/>
  <c r="DD573" i="3"/>
  <c r="DE573" i="3"/>
  <c r="DF573" i="3"/>
  <c r="DG573" i="3"/>
  <c r="CR574" i="3"/>
  <c r="CS574" i="3"/>
  <c r="CT574" i="3"/>
  <c r="CU574" i="3"/>
  <c r="CV574" i="3"/>
  <c r="CW574" i="3"/>
  <c r="CX574" i="3"/>
  <c r="CY574" i="3"/>
  <c r="CZ574" i="3"/>
  <c r="DA574" i="3"/>
  <c r="DB574" i="3"/>
  <c r="DC574" i="3"/>
  <c r="DD574" i="3"/>
  <c r="DE574" i="3"/>
  <c r="DF574" i="3"/>
  <c r="DG574" i="3"/>
  <c r="CR575" i="3"/>
  <c r="CS575" i="3"/>
  <c r="CT575" i="3"/>
  <c r="CU575" i="3"/>
  <c r="CV575" i="3"/>
  <c r="CW575" i="3"/>
  <c r="CX575" i="3"/>
  <c r="CY575" i="3"/>
  <c r="CZ575" i="3"/>
  <c r="DA575" i="3"/>
  <c r="DB575" i="3"/>
  <c r="DC575" i="3"/>
  <c r="DD575" i="3"/>
  <c r="DE575" i="3"/>
  <c r="DF575" i="3"/>
  <c r="DG575" i="3"/>
  <c r="CR576" i="3"/>
  <c r="CS576" i="3"/>
  <c r="CT576" i="3"/>
  <c r="CU576" i="3"/>
  <c r="CV576" i="3"/>
  <c r="CW576" i="3"/>
  <c r="CX576" i="3"/>
  <c r="CY576" i="3"/>
  <c r="CZ576" i="3"/>
  <c r="DA576" i="3"/>
  <c r="DB576" i="3"/>
  <c r="DC576" i="3"/>
  <c r="DD576" i="3"/>
  <c r="DE576" i="3"/>
  <c r="DF576" i="3"/>
  <c r="DG576" i="3"/>
  <c r="CR577" i="3"/>
  <c r="CS577" i="3"/>
  <c r="CT577" i="3"/>
  <c r="CU577" i="3"/>
  <c r="CV577" i="3"/>
  <c r="CW577" i="3"/>
  <c r="CX577" i="3"/>
  <c r="CY577" i="3"/>
  <c r="CZ577" i="3"/>
  <c r="DA577" i="3"/>
  <c r="DB577" i="3"/>
  <c r="DC577" i="3"/>
  <c r="DD577" i="3"/>
  <c r="DE577" i="3"/>
  <c r="DF577" i="3"/>
  <c r="DG577" i="3"/>
  <c r="CR578" i="3"/>
  <c r="CS578" i="3"/>
  <c r="CT578" i="3"/>
  <c r="CU578" i="3"/>
  <c r="CV578" i="3"/>
  <c r="CW578" i="3"/>
  <c r="CX578" i="3"/>
  <c r="CY578" i="3"/>
  <c r="CZ578" i="3"/>
  <c r="DA578" i="3"/>
  <c r="DB578" i="3"/>
  <c r="DC578" i="3"/>
  <c r="DD578" i="3"/>
  <c r="DE578" i="3"/>
  <c r="DF578" i="3"/>
  <c r="DG578" i="3"/>
  <c r="CR579" i="3"/>
  <c r="CS579" i="3"/>
  <c r="CT579" i="3"/>
  <c r="CU579" i="3"/>
  <c r="CV579" i="3"/>
  <c r="CW579" i="3"/>
  <c r="CX579" i="3"/>
  <c r="CY579" i="3"/>
  <c r="CZ579" i="3"/>
  <c r="DA579" i="3"/>
  <c r="DB579" i="3"/>
  <c r="DC579" i="3"/>
  <c r="DD579" i="3"/>
  <c r="DE579" i="3"/>
  <c r="DF579" i="3"/>
  <c r="DG579" i="3"/>
  <c r="CR580" i="3"/>
  <c r="CS580" i="3"/>
  <c r="CT580" i="3"/>
  <c r="CU580" i="3"/>
  <c r="CV580" i="3"/>
  <c r="CW580" i="3"/>
  <c r="CX580" i="3"/>
  <c r="CY580" i="3"/>
  <c r="CZ580" i="3"/>
  <c r="DA580" i="3"/>
  <c r="DB580" i="3"/>
  <c r="DC580" i="3"/>
  <c r="DD580" i="3"/>
  <c r="DE580" i="3"/>
  <c r="DF580" i="3"/>
  <c r="DG580" i="3"/>
  <c r="CR581" i="3"/>
  <c r="CS581" i="3"/>
  <c r="CT581" i="3"/>
  <c r="CU581" i="3"/>
  <c r="CV581" i="3"/>
  <c r="CW581" i="3"/>
  <c r="CX581" i="3"/>
  <c r="CY581" i="3"/>
  <c r="CZ581" i="3"/>
  <c r="DA581" i="3"/>
  <c r="DB581" i="3"/>
  <c r="DC581" i="3"/>
  <c r="DD581" i="3"/>
  <c r="DE581" i="3"/>
  <c r="DF581" i="3"/>
  <c r="DG581" i="3"/>
  <c r="CR582" i="3"/>
  <c r="CS582" i="3"/>
  <c r="CT582" i="3"/>
  <c r="CU582" i="3"/>
  <c r="CV582" i="3"/>
  <c r="CW582" i="3"/>
  <c r="CX582" i="3"/>
  <c r="CY582" i="3"/>
  <c r="CZ582" i="3"/>
  <c r="DA582" i="3"/>
  <c r="DB582" i="3"/>
  <c r="DC582" i="3"/>
  <c r="DD582" i="3"/>
  <c r="DE582" i="3"/>
  <c r="DF582" i="3"/>
  <c r="DG582" i="3"/>
  <c r="CR583" i="3"/>
  <c r="CS583" i="3"/>
  <c r="CT583" i="3"/>
  <c r="CU583" i="3"/>
  <c r="CV583" i="3"/>
  <c r="CW583" i="3"/>
  <c r="CX583" i="3"/>
  <c r="CY583" i="3"/>
  <c r="CZ583" i="3"/>
  <c r="DA583" i="3"/>
  <c r="DB583" i="3"/>
  <c r="DC583" i="3"/>
  <c r="DD583" i="3"/>
  <c r="DE583" i="3"/>
  <c r="DF583" i="3"/>
  <c r="DG583" i="3"/>
  <c r="CR584" i="3"/>
  <c r="CS584" i="3"/>
  <c r="CT584" i="3"/>
  <c r="CU584" i="3"/>
  <c r="CV584" i="3"/>
  <c r="CW584" i="3"/>
  <c r="CX584" i="3"/>
  <c r="CY584" i="3"/>
  <c r="CZ584" i="3"/>
  <c r="DA584" i="3"/>
  <c r="DB584" i="3"/>
  <c r="DC584" i="3"/>
  <c r="DD584" i="3"/>
  <c r="DE584" i="3"/>
  <c r="DF584" i="3"/>
  <c r="DG584" i="3"/>
  <c r="CR585" i="3"/>
  <c r="CS585" i="3"/>
  <c r="CT585" i="3"/>
  <c r="CU585" i="3"/>
  <c r="CV585" i="3"/>
  <c r="CW585" i="3"/>
  <c r="CX585" i="3"/>
  <c r="CY585" i="3"/>
  <c r="CZ585" i="3"/>
  <c r="DA585" i="3"/>
  <c r="DB585" i="3"/>
  <c r="DC585" i="3"/>
  <c r="DD585" i="3"/>
  <c r="DE585" i="3"/>
  <c r="DF585" i="3"/>
  <c r="DG585" i="3"/>
  <c r="CR586" i="3"/>
  <c r="CS586" i="3"/>
  <c r="CT586" i="3"/>
  <c r="CU586" i="3"/>
  <c r="CV586" i="3"/>
  <c r="CW586" i="3"/>
  <c r="CX586" i="3"/>
  <c r="CY586" i="3"/>
  <c r="CZ586" i="3"/>
  <c r="DA586" i="3"/>
  <c r="DB586" i="3"/>
  <c r="DC586" i="3"/>
  <c r="DD586" i="3"/>
  <c r="DE586" i="3"/>
  <c r="DF586" i="3"/>
  <c r="DG586" i="3"/>
  <c r="CR587" i="3"/>
  <c r="CS587" i="3"/>
  <c r="CT587" i="3"/>
  <c r="CU587" i="3"/>
  <c r="CV587" i="3"/>
  <c r="CW587" i="3"/>
  <c r="CX587" i="3"/>
  <c r="CY587" i="3"/>
  <c r="CZ587" i="3"/>
  <c r="DA587" i="3"/>
  <c r="DB587" i="3"/>
  <c r="DC587" i="3"/>
  <c r="DD587" i="3"/>
  <c r="DE587" i="3"/>
  <c r="DF587" i="3"/>
  <c r="DG587" i="3"/>
  <c r="CR588" i="3"/>
  <c r="CS588" i="3"/>
  <c r="CT588" i="3"/>
  <c r="CU588" i="3"/>
  <c r="CV588" i="3"/>
  <c r="CW588" i="3"/>
  <c r="CX588" i="3"/>
  <c r="CY588" i="3"/>
  <c r="CZ588" i="3"/>
  <c r="DA588" i="3"/>
  <c r="DB588" i="3"/>
  <c r="DC588" i="3"/>
  <c r="DD588" i="3"/>
  <c r="DE588" i="3"/>
  <c r="DF588" i="3"/>
  <c r="DG588" i="3"/>
  <c r="CR589" i="3"/>
  <c r="CS589" i="3"/>
  <c r="CT589" i="3"/>
  <c r="CU589" i="3"/>
  <c r="CV589" i="3"/>
  <c r="CW589" i="3"/>
  <c r="CX589" i="3"/>
  <c r="CY589" i="3"/>
  <c r="CZ589" i="3"/>
  <c r="DA589" i="3"/>
  <c r="DB589" i="3"/>
  <c r="DC589" i="3"/>
  <c r="DD589" i="3"/>
  <c r="DE589" i="3"/>
  <c r="DF589" i="3"/>
  <c r="DG589" i="3"/>
  <c r="CR590" i="3"/>
  <c r="CS590" i="3"/>
  <c r="CT590" i="3"/>
  <c r="CU590" i="3"/>
  <c r="CV590" i="3"/>
  <c r="CW590" i="3"/>
  <c r="CX590" i="3"/>
  <c r="CY590" i="3"/>
  <c r="CZ590" i="3"/>
  <c r="DA590" i="3"/>
  <c r="DB590" i="3"/>
  <c r="DC590" i="3"/>
  <c r="DD590" i="3"/>
  <c r="DE590" i="3"/>
  <c r="DF590" i="3"/>
  <c r="DG590" i="3"/>
  <c r="CR591" i="3"/>
  <c r="CS591" i="3"/>
  <c r="CT591" i="3"/>
  <c r="CU591" i="3"/>
  <c r="CV591" i="3"/>
  <c r="CW591" i="3"/>
  <c r="CX591" i="3"/>
  <c r="CY591" i="3"/>
  <c r="CZ591" i="3"/>
  <c r="DA591" i="3"/>
  <c r="DB591" i="3"/>
  <c r="DC591" i="3"/>
  <c r="DD591" i="3"/>
  <c r="DE591" i="3"/>
  <c r="DF591" i="3"/>
  <c r="DG591" i="3"/>
  <c r="CR592" i="3"/>
  <c r="CS592" i="3"/>
  <c r="CT592" i="3"/>
  <c r="CU592" i="3"/>
  <c r="CV592" i="3"/>
  <c r="CW592" i="3"/>
  <c r="CX592" i="3"/>
  <c r="CY592" i="3"/>
  <c r="CZ592" i="3"/>
  <c r="DA592" i="3"/>
  <c r="DB592" i="3"/>
  <c r="DC592" i="3"/>
  <c r="DD592" i="3"/>
  <c r="DE592" i="3"/>
  <c r="DF592" i="3"/>
  <c r="DG592" i="3"/>
  <c r="CR593" i="3"/>
  <c r="CS593" i="3"/>
  <c r="CT593" i="3"/>
  <c r="CU593" i="3"/>
  <c r="CV593" i="3"/>
  <c r="CW593" i="3"/>
  <c r="CX593" i="3"/>
  <c r="CY593" i="3"/>
  <c r="CZ593" i="3"/>
  <c r="DA593" i="3"/>
  <c r="DB593" i="3"/>
  <c r="DC593" i="3"/>
  <c r="DD593" i="3"/>
  <c r="DE593" i="3"/>
  <c r="DF593" i="3"/>
  <c r="DG593" i="3"/>
  <c r="CR594" i="3"/>
  <c r="CS594" i="3"/>
  <c r="CT594" i="3"/>
  <c r="CU594" i="3"/>
  <c r="CV594" i="3"/>
  <c r="CW594" i="3"/>
  <c r="CX594" i="3"/>
  <c r="CY594" i="3"/>
  <c r="CZ594" i="3"/>
  <c r="DA594" i="3"/>
  <c r="DB594" i="3"/>
  <c r="DC594" i="3"/>
  <c r="DD594" i="3"/>
  <c r="DE594" i="3"/>
  <c r="DF594" i="3"/>
  <c r="DG594" i="3"/>
  <c r="CR595" i="3"/>
  <c r="CS595" i="3"/>
  <c r="CT595" i="3"/>
  <c r="CU595" i="3"/>
  <c r="CV595" i="3"/>
  <c r="CW595" i="3"/>
  <c r="CX595" i="3"/>
  <c r="CY595" i="3"/>
  <c r="CZ595" i="3"/>
  <c r="DA595" i="3"/>
  <c r="DB595" i="3"/>
  <c r="DC595" i="3"/>
  <c r="DD595" i="3"/>
  <c r="DE595" i="3"/>
  <c r="DF595" i="3"/>
  <c r="DG595" i="3"/>
  <c r="CR596" i="3"/>
  <c r="CS596" i="3"/>
  <c r="CT596" i="3"/>
  <c r="CU596" i="3"/>
  <c r="CV596" i="3"/>
  <c r="CW596" i="3"/>
  <c r="CX596" i="3"/>
  <c r="CY596" i="3"/>
  <c r="CZ596" i="3"/>
  <c r="DA596" i="3"/>
  <c r="DB596" i="3"/>
  <c r="DC596" i="3"/>
  <c r="DD596" i="3"/>
  <c r="DE596" i="3"/>
  <c r="DF596" i="3"/>
  <c r="DG596" i="3"/>
  <c r="CR597" i="3"/>
  <c r="CS597" i="3"/>
  <c r="CT597" i="3"/>
  <c r="CU597" i="3"/>
  <c r="CV597" i="3"/>
  <c r="CW597" i="3"/>
  <c r="CX597" i="3"/>
  <c r="CY597" i="3"/>
  <c r="CZ597" i="3"/>
  <c r="DA597" i="3"/>
  <c r="DB597" i="3"/>
  <c r="DC597" i="3"/>
  <c r="DD597" i="3"/>
  <c r="DE597" i="3"/>
  <c r="DF597" i="3"/>
  <c r="DG597" i="3"/>
  <c r="CR598" i="3"/>
  <c r="CS598" i="3"/>
  <c r="CT598" i="3"/>
  <c r="CU598" i="3"/>
  <c r="CV598" i="3"/>
  <c r="CW598" i="3"/>
  <c r="CX598" i="3"/>
  <c r="CY598" i="3"/>
  <c r="CZ598" i="3"/>
  <c r="DA598" i="3"/>
  <c r="DB598" i="3"/>
  <c r="DC598" i="3"/>
  <c r="DD598" i="3"/>
  <c r="DE598" i="3"/>
  <c r="DF598" i="3"/>
  <c r="DG598" i="3"/>
  <c r="CR599" i="3"/>
  <c r="CS599" i="3"/>
  <c r="CT599" i="3"/>
  <c r="CU599" i="3"/>
  <c r="CV599" i="3"/>
  <c r="CW599" i="3"/>
  <c r="CX599" i="3"/>
  <c r="CY599" i="3"/>
  <c r="CZ599" i="3"/>
  <c r="DA599" i="3"/>
  <c r="DB599" i="3"/>
  <c r="DC599" i="3"/>
  <c r="DD599" i="3"/>
  <c r="DE599" i="3"/>
  <c r="DF599" i="3"/>
  <c r="DG599" i="3"/>
  <c r="CR600" i="3"/>
  <c r="CS600" i="3"/>
  <c r="CT600" i="3"/>
  <c r="CU600" i="3"/>
  <c r="CV600" i="3"/>
  <c r="CW600" i="3"/>
  <c r="CX600" i="3"/>
  <c r="CY600" i="3"/>
  <c r="CZ600" i="3"/>
  <c r="DA600" i="3"/>
  <c r="DB600" i="3"/>
  <c r="DC600" i="3"/>
  <c r="DD600" i="3"/>
  <c r="DE600" i="3"/>
  <c r="DF600" i="3"/>
  <c r="DG600" i="3"/>
  <c r="U5" i="10" l="1"/>
  <c r="T5" i="10"/>
  <c r="S5" i="10"/>
  <c r="R5" i="10"/>
  <c r="Q5" i="10"/>
  <c r="P5" i="10"/>
  <c r="O5" i="10"/>
  <c r="N5" i="10"/>
  <c r="M5" i="10"/>
  <c r="L5" i="10"/>
  <c r="K5" i="10"/>
  <c r="J5" i="10"/>
  <c r="I5" i="10"/>
  <c r="H5" i="10"/>
  <c r="G5" i="10"/>
  <c r="F5" i="10"/>
  <c r="E5" i="10"/>
  <c r="D5" i="10"/>
  <c r="C5" i="10"/>
  <c r="B5" i="10"/>
  <c r="B3" i="3" l="1"/>
  <c r="B4" i="3"/>
  <c r="B5" i="3"/>
  <c r="B6" i="3"/>
  <c r="B7" i="3"/>
  <c r="B8" i="3"/>
  <c r="B9" i="3"/>
  <c r="B10" i="3"/>
  <c r="B11" i="3"/>
  <c r="B12" i="3"/>
  <c r="B13" i="3"/>
  <c r="B14" i="3"/>
  <c r="B15" i="3"/>
  <c r="B16" i="3"/>
  <c r="B17" i="3"/>
  <c r="B18" i="3"/>
  <c r="B19" i="3"/>
  <c r="B20" i="3"/>
  <c r="B21" i="3"/>
  <c r="B22" i="3"/>
  <c r="B23" i="3"/>
  <c r="B24" i="3"/>
  <c r="B25" i="3"/>
  <c r="B26" i="3"/>
  <c r="B27" i="3"/>
  <c r="B28" i="3"/>
  <c r="B29" i="3"/>
  <c r="B30" i="3"/>
  <c r="B31" i="3"/>
  <c r="B32" i="3"/>
  <c r="B33" i="3"/>
  <c r="B34" i="3"/>
  <c r="B35" i="3"/>
  <c r="B36" i="3"/>
  <c r="B37" i="3"/>
  <c r="B38" i="3"/>
  <c r="B39" i="3"/>
  <c r="B40" i="3"/>
  <c r="B41" i="3"/>
  <c r="B42" i="3"/>
  <c r="B43" i="3"/>
  <c r="B44" i="3"/>
  <c r="B45" i="3"/>
  <c r="B46" i="3"/>
  <c r="B47" i="3"/>
  <c r="B48" i="3"/>
  <c r="B49" i="3"/>
  <c r="B50" i="3"/>
  <c r="B51" i="3"/>
  <c r="B52" i="3"/>
  <c r="B53" i="3"/>
  <c r="B54" i="3"/>
  <c r="B55" i="3"/>
  <c r="B56" i="3"/>
  <c r="B57" i="3"/>
  <c r="B58" i="3"/>
  <c r="B59" i="3"/>
  <c r="B60" i="3"/>
  <c r="B61" i="3"/>
  <c r="B62" i="3"/>
  <c r="B63" i="3"/>
  <c r="B64" i="3"/>
  <c r="B65" i="3"/>
  <c r="B66" i="3"/>
  <c r="B67" i="3"/>
  <c r="B68" i="3"/>
  <c r="B69" i="3"/>
  <c r="B70" i="3"/>
  <c r="B71" i="3"/>
  <c r="B72" i="3"/>
  <c r="B73" i="3"/>
  <c r="B74" i="3"/>
  <c r="B75" i="3"/>
  <c r="B76" i="3"/>
  <c r="B77" i="3"/>
  <c r="B78" i="3"/>
  <c r="B79" i="3"/>
  <c r="B80" i="3"/>
  <c r="B81" i="3"/>
  <c r="B82" i="3"/>
  <c r="B83" i="3"/>
  <c r="B84" i="3"/>
  <c r="B85" i="3"/>
  <c r="B86" i="3"/>
  <c r="B87" i="3"/>
  <c r="B88" i="3"/>
  <c r="B89" i="3"/>
  <c r="B90" i="3"/>
  <c r="B91" i="3"/>
  <c r="B92" i="3"/>
  <c r="B93" i="3"/>
  <c r="B94" i="3"/>
  <c r="B95" i="3"/>
  <c r="B96" i="3"/>
  <c r="B97" i="3"/>
  <c r="B98" i="3"/>
  <c r="B99" i="3"/>
  <c r="B100" i="3"/>
  <c r="B101" i="3"/>
  <c r="B102" i="3"/>
  <c r="B103" i="3"/>
  <c r="B104" i="3"/>
  <c r="B105" i="3"/>
  <c r="B106" i="3"/>
  <c r="B107" i="3"/>
  <c r="B108" i="3"/>
  <c r="B109" i="3"/>
  <c r="B110" i="3"/>
  <c r="B111" i="3"/>
  <c r="B112" i="3"/>
  <c r="B113" i="3"/>
  <c r="B114" i="3"/>
  <c r="B115" i="3"/>
  <c r="B116" i="3"/>
  <c r="B117" i="3"/>
  <c r="B118" i="3"/>
  <c r="B119" i="3"/>
  <c r="B120" i="3"/>
  <c r="B121" i="3"/>
  <c r="B122" i="3"/>
  <c r="B123" i="3"/>
  <c r="B124" i="3"/>
  <c r="B125" i="3"/>
  <c r="B126" i="3"/>
  <c r="B127" i="3"/>
  <c r="B128" i="3"/>
  <c r="B129" i="3"/>
  <c r="B130" i="3"/>
  <c r="B131" i="3"/>
  <c r="B132" i="3"/>
  <c r="B133" i="3"/>
  <c r="B134" i="3"/>
  <c r="B135" i="3"/>
  <c r="B136" i="3"/>
  <c r="B137" i="3"/>
  <c r="B138" i="3"/>
  <c r="B139" i="3"/>
  <c r="B140" i="3"/>
  <c r="B141" i="3"/>
  <c r="B142" i="3"/>
  <c r="B143" i="3"/>
  <c r="B144" i="3"/>
  <c r="B145" i="3"/>
  <c r="B146" i="3"/>
  <c r="B147" i="3"/>
  <c r="B148" i="3"/>
  <c r="B149" i="3"/>
  <c r="B150" i="3"/>
  <c r="B151" i="3"/>
  <c r="B152" i="3"/>
  <c r="B153" i="3"/>
  <c r="B154" i="3"/>
  <c r="B155" i="3"/>
  <c r="B156" i="3"/>
  <c r="B157" i="3"/>
  <c r="B158" i="3"/>
  <c r="B159" i="3"/>
  <c r="B160" i="3"/>
  <c r="B161" i="3"/>
  <c r="B162" i="3"/>
  <c r="B163" i="3"/>
  <c r="B164" i="3"/>
  <c r="B165" i="3"/>
  <c r="B166" i="3"/>
  <c r="B167" i="3"/>
  <c r="B168" i="3"/>
  <c r="B169" i="3"/>
  <c r="B170" i="3"/>
  <c r="B171" i="3"/>
  <c r="B172" i="3"/>
  <c r="B173" i="3"/>
  <c r="B174" i="3"/>
  <c r="B175" i="3"/>
  <c r="B176" i="3"/>
  <c r="B177" i="3"/>
  <c r="B178" i="3"/>
  <c r="B179" i="3"/>
  <c r="B180" i="3"/>
  <c r="B181" i="3"/>
  <c r="B182" i="3"/>
  <c r="B183" i="3"/>
  <c r="B184" i="3"/>
  <c r="B185" i="3"/>
  <c r="B186" i="3"/>
  <c r="B187" i="3"/>
  <c r="B188" i="3"/>
  <c r="B189" i="3"/>
  <c r="B190" i="3"/>
  <c r="B191" i="3"/>
  <c r="B192" i="3"/>
  <c r="B193" i="3"/>
  <c r="B194" i="3"/>
  <c r="B195" i="3"/>
  <c r="B196" i="3"/>
  <c r="B197" i="3"/>
  <c r="B198" i="3"/>
  <c r="B199" i="3"/>
  <c r="B200" i="3"/>
  <c r="B201" i="3"/>
  <c r="B202" i="3"/>
  <c r="B203" i="3"/>
  <c r="B204" i="3"/>
  <c r="B205" i="3"/>
  <c r="B206" i="3"/>
  <c r="B207" i="3"/>
  <c r="B208" i="3"/>
  <c r="B209" i="3"/>
  <c r="B210" i="3"/>
  <c r="B211" i="3"/>
  <c r="B212" i="3"/>
  <c r="B213" i="3"/>
  <c r="B214" i="3"/>
  <c r="B215" i="3"/>
  <c r="B216" i="3"/>
  <c r="B217" i="3"/>
  <c r="B218" i="3"/>
  <c r="B219" i="3"/>
  <c r="B220" i="3"/>
  <c r="B221" i="3"/>
  <c r="B222" i="3"/>
  <c r="B223" i="3"/>
  <c r="B224" i="3"/>
  <c r="B225" i="3"/>
  <c r="B226" i="3"/>
  <c r="B227" i="3"/>
  <c r="B228" i="3"/>
  <c r="B229" i="3"/>
  <c r="B230" i="3"/>
  <c r="B231" i="3"/>
  <c r="B232" i="3"/>
  <c r="B233" i="3"/>
  <c r="B234" i="3"/>
  <c r="B235" i="3"/>
  <c r="B236" i="3"/>
  <c r="B237" i="3"/>
  <c r="B238" i="3"/>
  <c r="B239" i="3"/>
  <c r="B240" i="3"/>
  <c r="B241" i="3"/>
  <c r="B242" i="3"/>
  <c r="B243" i="3"/>
  <c r="B244" i="3"/>
  <c r="B245" i="3"/>
  <c r="B246" i="3"/>
  <c r="B247" i="3"/>
  <c r="B248" i="3"/>
  <c r="B249" i="3"/>
  <c r="B250" i="3"/>
  <c r="B251" i="3"/>
  <c r="B252" i="3"/>
  <c r="B253" i="3"/>
  <c r="B254" i="3"/>
  <c r="B255" i="3"/>
  <c r="B256" i="3"/>
  <c r="B257" i="3"/>
  <c r="B258" i="3"/>
  <c r="B259" i="3"/>
  <c r="B260" i="3"/>
  <c r="B261" i="3"/>
  <c r="B262" i="3"/>
  <c r="B263" i="3"/>
  <c r="B264" i="3"/>
  <c r="B265" i="3"/>
  <c r="B266" i="3"/>
  <c r="B267" i="3"/>
  <c r="B268" i="3"/>
  <c r="B269" i="3"/>
  <c r="B270" i="3"/>
  <c r="B271" i="3"/>
  <c r="B272" i="3"/>
  <c r="B273" i="3"/>
  <c r="B274" i="3"/>
  <c r="B275" i="3"/>
  <c r="B276" i="3"/>
  <c r="B277" i="3"/>
  <c r="B278" i="3"/>
  <c r="B279" i="3"/>
  <c r="B280" i="3"/>
  <c r="B281" i="3"/>
  <c r="B282" i="3"/>
  <c r="B283" i="3"/>
  <c r="B284" i="3"/>
  <c r="B285" i="3"/>
  <c r="B286" i="3"/>
  <c r="B287" i="3"/>
  <c r="B288" i="3"/>
  <c r="B289" i="3"/>
  <c r="B290" i="3"/>
  <c r="B291" i="3"/>
  <c r="B292" i="3"/>
  <c r="B293" i="3"/>
  <c r="B294" i="3"/>
  <c r="B295" i="3"/>
  <c r="B296" i="3"/>
  <c r="B297" i="3"/>
  <c r="B298" i="3"/>
  <c r="B299" i="3"/>
  <c r="B300" i="3"/>
  <c r="B301" i="3"/>
  <c r="B302" i="3"/>
  <c r="B303" i="3"/>
  <c r="B304" i="3"/>
  <c r="B305" i="3"/>
  <c r="B306" i="3"/>
  <c r="B307" i="3"/>
  <c r="B308" i="3"/>
  <c r="B309" i="3"/>
  <c r="B310" i="3"/>
  <c r="B311" i="3"/>
  <c r="B312" i="3"/>
  <c r="B313" i="3"/>
  <c r="B314" i="3"/>
  <c r="B315" i="3"/>
  <c r="B316" i="3"/>
  <c r="B317" i="3"/>
  <c r="B318" i="3"/>
  <c r="B319" i="3"/>
  <c r="B320" i="3"/>
  <c r="B321" i="3"/>
  <c r="B322" i="3"/>
  <c r="B323" i="3"/>
  <c r="B324" i="3"/>
  <c r="B325" i="3"/>
  <c r="B326" i="3"/>
  <c r="B327" i="3"/>
  <c r="B328" i="3"/>
  <c r="B329" i="3"/>
  <c r="B330" i="3"/>
  <c r="B331" i="3"/>
  <c r="B332" i="3"/>
  <c r="B333" i="3"/>
  <c r="B334" i="3"/>
  <c r="B335" i="3"/>
  <c r="B336" i="3"/>
  <c r="B337" i="3"/>
  <c r="B338" i="3"/>
  <c r="B339" i="3"/>
  <c r="B340" i="3"/>
  <c r="B341" i="3"/>
  <c r="B342" i="3"/>
  <c r="B343" i="3"/>
  <c r="B344" i="3"/>
  <c r="B345" i="3"/>
  <c r="B346" i="3"/>
  <c r="B347" i="3"/>
  <c r="B348" i="3"/>
  <c r="B349" i="3"/>
  <c r="B350" i="3"/>
  <c r="B351" i="3"/>
  <c r="B352" i="3"/>
  <c r="B353" i="3"/>
  <c r="B354" i="3"/>
  <c r="B355" i="3"/>
  <c r="B356" i="3"/>
  <c r="B357" i="3"/>
  <c r="B358" i="3"/>
  <c r="B359" i="3"/>
  <c r="B360" i="3"/>
  <c r="B361" i="3"/>
  <c r="B362" i="3"/>
  <c r="B363" i="3"/>
  <c r="B364" i="3"/>
  <c r="B365" i="3"/>
  <c r="B366" i="3"/>
  <c r="B367" i="3"/>
  <c r="B368" i="3"/>
  <c r="B369" i="3"/>
  <c r="B370" i="3"/>
  <c r="B371" i="3"/>
  <c r="B372" i="3"/>
  <c r="B373" i="3"/>
  <c r="B374" i="3"/>
  <c r="B375" i="3"/>
  <c r="B376" i="3"/>
  <c r="B377" i="3"/>
  <c r="B378" i="3"/>
  <c r="B379" i="3"/>
  <c r="B380" i="3"/>
  <c r="B381" i="3"/>
  <c r="B382" i="3"/>
  <c r="B383" i="3"/>
  <c r="B384" i="3"/>
  <c r="B385" i="3"/>
  <c r="B386" i="3"/>
  <c r="B387" i="3"/>
  <c r="B388" i="3"/>
  <c r="B389" i="3"/>
  <c r="B390" i="3"/>
  <c r="B391" i="3"/>
  <c r="B392" i="3"/>
  <c r="B393" i="3"/>
  <c r="B394" i="3"/>
  <c r="B395" i="3"/>
  <c r="B396" i="3"/>
  <c r="B397" i="3"/>
  <c r="B398" i="3"/>
  <c r="B399" i="3"/>
  <c r="B400" i="3"/>
  <c r="B401" i="3"/>
  <c r="B402" i="3"/>
  <c r="B403" i="3"/>
  <c r="B404" i="3"/>
  <c r="B405" i="3"/>
  <c r="B406" i="3"/>
  <c r="B407" i="3"/>
  <c r="B408" i="3"/>
  <c r="B409" i="3"/>
  <c r="B410" i="3"/>
  <c r="B411" i="3"/>
  <c r="B412" i="3"/>
  <c r="B413" i="3"/>
  <c r="B414" i="3"/>
  <c r="B415" i="3"/>
  <c r="B416" i="3"/>
  <c r="B417" i="3"/>
  <c r="B418" i="3"/>
  <c r="B419" i="3"/>
  <c r="B420" i="3"/>
  <c r="B421" i="3"/>
  <c r="B422" i="3"/>
  <c r="B423" i="3"/>
  <c r="B424" i="3"/>
  <c r="B425" i="3"/>
  <c r="B426" i="3"/>
  <c r="B427" i="3"/>
  <c r="B428" i="3"/>
  <c r="B429" i="3"/>
  <c r="B430" i="3"/>
  <c r="B431" i="3"/>
  <c r="B432" i="3"/>
  <c r="B433" i="3"/>
  <c r="B434" i="3"/>
  <c r="B435" i="3"/>
  <c r="B436" i="3"/>
  <c r="B437" i="3"/>
  <c r="B438" i="3"/>
  <c r="B439" i="3"/>
  <c r="B440" i="3"/>
  <c r="B441" i="3"/>
  <c r="B442" i="3"/>
  <c r="B443" i="3"/>
  <c r="B444" i="3"/>
  <c r="B445" i="3"/>
  <c r="B446" i="3"/>
  <c r="B447" i="3"/>
  <c r="B448" i="3"/>
  <c r="B449" i="3"/>
  <c r="B450" i="3"/>
  <c r="B451" i="3"/>
  <c r="B452" i="3"/>
  <c r="B453" i="3"/>
  <c r="B454" i="3"/>
  <c r="B455" i="3"/>
  <c r="B456" i="3"/>
  <c r="B457" i="3"/>
  <c r="B458" i="3"/>
  <c r="B459" i="3"/>
  <c r="B460" i="3"/>
  <c r="B461" i="3"/>
  <c r="B462" i="3"/>
  <c r="B463" i="3"/>
  <c r="B464" i="3"/>
  <c r="B465" i="3"/>
  <c r="B466" i="3"/>
  <c r="B467" i="3"/>
  <c r="B468" i="3"/>
  <c r="B469" i="3"/>
  <c r="B470" i="3"/>
  <c r="B471" i="3"/>
  <c r="B472" i="3"/>
  <c r="B473" i="3"/>
  <c r="B474" i="3"/>
  <c r="B475" i="3"/>
  <c r="B476" i="3"/>
  <c r="B477" i="3"/>
  <c r="B478" i="3"/>
  <c r="B479" i="3"/>
  <c r="B480" i="3"/>
  <c r="B481" i="3"/>
  <c r="B482" i="3"/>
  <c r="B483" i="3"/>
  <c r="B484" i="3"/>
  <c r="B485" i="3"/>
  <c r="B486" i="3"/>
  <c r="B487" i="3"/>
  <c r="B488" i="3"/>
  <c r="B489" i="3"/>
  <c r="B490" i="3"/>
  <c r="B491" i="3"/>
  <c r="B492" i="3"/>
  <c r="B493" i="3"/>
  <c r="B494" i="3"/>
  <c r="B495" i="3"/>
  <c r="B496" i="3"/>
  <c r="B497" i="3"/>
  <c r="B498" i="3"/>
  <c r="B499" i="3"/>
  <c r="B500" i="3"/>
  <c r="B501" i="3"/>
  <c r="B502" i="3"/>
  <c r="B503" i="3"/>
  <c r="B504" i="3"/>
  <c r="B505" i="3"/>
  <c r="B506" i="3"/>
  <c r="B507" i="3"/>
  <c r="B508" i="3"/>
  <c r="B509" i="3"/>
  <c r="B510" i="3"/>
  <c r="B511" i="3"/>
  <c r="B512" i="3"/>
  <c r="B513" i="3"/>
  <c r="B514" i="3"/>
  <c r="B515" i="3"/>
  <c r="B516" i="3"/>
  <c r="B517" i="3"/>
  <c r="B518" i="3"/>
  <c r="B519" i="3"/>
  <c r="B520" i="3"/>
  <c r="B521" i="3"/>
  <c r="B522" i="3"/>
  <c r="B523" i="3"/>
  <c r="B524" i="3"/>
  <c r="B525" i="3"/>
  <c r="B526" i="3"/>
  <c r="B527" i="3"/>
  <c r="B528" i="3"/>
  <c r="B529" i="3"/>
  <c r="B530" i="3"/>
  <c r="B531" i="3"/>
  <c r="B532" i="3"/>
  <c r="B533" i="3"/>
  <c r="B534" i="3"/>
  <c r="B535" i="3"/>
  <c r="B536" i="3"/>
  <c r="B537" i="3"/>
  <c r="B538" i="3"/>
  <c r="B539" i="3"/>
  <c r="B540" i="3"/>
  <c r="B541" i="3"/>
  <c r="B542" i="3"/>
  <c r="B543" i="3"/>
  <c r="B544" i="3"/>
  <c r="B545" i="3"/>
  <c r="B546" i="3"/>
  <c r="B547" i="3"/>
  <c r="B548" i="3"/>
  <c r="B549" i="3"/>
  <c r="B550" i="3"/>
  <c r="B551" i="3"/>
  <c r="B552" i="3"/>
  <c r="B553" i="3"/>
  <c r="B554" i="3"/>
  <c r="B555" i="3"/>
  <c r="B556" i="3"/>
  <c r="B557" i="3"/>
  <c r="B558" i="3"/>
  <c r="B559" i="3"/>
  <c r="B560" i="3"/>
  <c r="B561" i="3"/>
  <c r="B562" i="3"/>
  <c r="B563" i="3"/>
  <c r="B564" i="3"/>
  <c r="B565" i="3"/>
  <c r="B566" i="3"/>
  <c r="B567" i="3"/>
  <c r="B568" i="3"/>
  <c r="B569" i="3"/>
  <c r="B570" i="3"/>
  <c r="B571" i="3"/>
  <c r="B572" i="3"/>
  <c r="B573" i="3"/>
  <c r="B574" i="3"/>
  <c r="B575" i="3"/>
  <c r="B576" i="3"/>
  <c r="B577" i="3"/>
  <c r="B578" i="3"/>
  <c r="B579" i="3"/>
  <c r="B580" i="3"/>
  <c r="B581" i="3"/>
  <c r="B582" i="3"/>
  <c r="B583" i="3"/>
  <c r="B584" i="3"/>
  <c r="B585" i="3"/>
  <c r="B586" i="3"/>
  <c r="B587" i="3"/>
  <c r="B588" i="3"/>
  <c r="B589" i="3"/>
  <c r="B590" i="3"/>
  <c r="B591" i="3"/>
  <c r="B592" i="3"/>
  <c r="B593" i="3"/>
  <c r="B594" i="3"/>
  <c r="B595" i="3"/>
  <c r="B596" i="3"/>
  <c r="B597" i="3"/>
  <c r="B598" i="3"/>
  <c r="B599" i="3"/>
  <c r="B600" i="3"/>
  <c r="CT3" i="3" l="1"/>
  <c r="CU3" i="3"/>
  <c r="CV3" i="3"/>
  <c r="CW3" i="3"/>
  <c r="CX3" i="3"/>
  <c r="CY3" i="3"/>
  <c r="CZ3" i="3"/>
  <c r="DA3" i="3"/>
  <c r="DB3" i="3"/>
  <c r="CS3" i="3"/>
  <c r="DF3" i="3"/>
  <c r="DG3" i="3"/>
  <c r="DE3" i="3"/>
  <c r="DD3" i="3"/>
  <c r="DC3" i="3"/>
  <c r="CR3" i="3"/>
  <c r="I4" i="3" l="1"/>
  <c r="I5" i="3"/>
  <c r="I6" i="3"/>
  <c r="I7" i="3"/>
  <c r="I8" i="3"/>
  <c r="I9" i="3"/>
  <c r="I10" i="3"/>
  <c r="I11" i="3"/>
  <c r="I12" i="3"/>
  <c r="I13" i="3"/>
  <c r="I14" i="3"/>
  <c r="I15" i="3"/>
  <c r="I16" i="3"/>
  <c r="I17" i="3"/>
  <c r="I18" i="3"/>
  <c r="I19" i="3"/>
  <c r="I20" i="3"/>
  <c r="I21" i="3"/>
  <c r="I22" i="3"/>
  <c r="I23" i="3"/>
  <c r="I24" i="3"/>
  <c r="I25" i="3"/>
  <c r="I26" i="3"/>
  <c r="I27" i="3"/>
  <c r="I28" i="3"/>
  <c r="I29" i="3"/>
  <c r="I30" i="3"/>
  <c r="I31" i="3"/>
  <c r="I32" i="3"/>
  <c r="I33" i="3"/>
  <c r="I34" i="3"/>
  <c r="I35" i="3"/>
  <c r="I36" i="3"/>
  <c r="I37" i="3"/>
  <c r="I38" i="3"/>
  <c r="I39" i="3"/>
  <c r="I40" i="3"/>
  <c r="I41" i="3"/>
  <c r="I42" i="3"/>
  <c r="I43" i="3"/>
  <c r="I44" i="3"/>
  <c r="I45" i="3"/>
  <c r="I46" i="3"/>
  <c r="I47" i="3"/>
  <c r="I48" i="3"/>
  <c r="I49" i="3"/>
  <c r="I50" i="3"/>
  <c r="I51" i="3"/>
  <c r="I52" i="3"/>
  <c r="I53" i="3"/>
  <c r="I54" i="3"/>
  <c r="I55" i="3"/>
  <c r="I56" i="3"/>
  <c r="I57" i="3"/>
  <c r="I58" i="3"/>
  <c r="I59" i="3"/>
  <c r="I60" i="3"/>
  <c r="I61" i="3"/>
  <c r="I62" i="3"/>
  <c r="I63" i="3"/>
  <c r="I64" i="3"/>
  <c r="I65" i="3"/>
  <c r="I66" i="3"/>
  <c r="I67" i="3"/>
  <c r="I68" i="3"/>
  <c r="I69" i="3"/>
  <c r="I70" i="3"/>
  <c r="I71" i="3"/>
  <c r="I72" i="3"/>
  <c r="I73" i="3"/>
  <c r="I74" i="3"/>
  <c r="I75" i="3"/>
  <c r="I76" i="3"/>
  <c r="I77" i="3"/>
  <c r="I78" i="3"/>
  <c r="I79" i="3"/>
  <c r="I80" i="3"/>
  <c r="I81" i="3"/>
  <c r="I82" i="3"/>
  <c r="I83" i="3"/>
  <c r="I84" i="3"/>
  <c r="I85" i="3"/>
  <c r="I86" i="3"/>
  <c r="I87" i="3"/>
  <c r="I88" i="3"/>
  <c r="I89" i="3"/>
  <c r="I90" i="3"/>
  <c r="I91" i="3"/>
  <c r="I92" i="3"/>
  <c r="I93" i="3"/>
  <c r="I94" i="3"/>
  <c r="I95" i="3"/>
  <c r="I96" i="3"/>
  <c r="I97" i="3"/>
  <c r="I98" i="3"/>
  <c r="I99" i="3"/>
  <c r="I100" i="3"/>
  <c r="I101" i="3"/>
  <c r="I102" i="3"/>
  <c r="I103" i="3"/>
  <c r="I104" i="3"/>
  <c r="I105" i="3"/>
  <c r="I106" i="3"/>
  <c r="I107" i="3"/>
  <c r="I108" i="3"/>
  <c r="I109" i="3"/>
  <c r="I110" i="3"/>
  <c r="I111" i="3"/>
  <c r="I112" i="3"/>
  <c r="I113" i="3"/>
  <c r="I114" i="3"/>
  <c r="I115" i="3"/>
  <c r="I116" i="3"/>
  <c r="I117" i="3"/>
  <c r="I118" i="3"/>
  <c r="I119" i="3"/>
  <c r="I120" i="3"/>
  <c r="I121" i="3"/>
  <c r="I122" i="3"/>
  <c r="I123" i="3"/>
  <c r="I124" i="3"/>
  <c r="I125" i="3"/>
  <c r="I126" i="3"/>
  <c r="I127" i="3"/>
  <c r="I128" i="3"/>
  <c r="I129" i="3"/>
  <c r="I130" i="3"/>
  <c r="I131" i="3"/>
  <c r="I132" i="3"/>
  <c r="I133" i="3"/>
  <c r="I134" i="3"/>
  <c r="I135" i="3"/>
  <c r="I136" i="3"/>
  <c r="I137" i="3"/>
  <c r="I138" i="3"/>
  <c r="I139" i="3"/>
  <c r="I140" i="3"/>
  <c r="I141" i="3"/>
  <c r="I142" i="3"/>
  <c r="I143" i="3"/>
  <c r="I144" i="3"/>
  <c r="I145" i="3"/>
  <c r="I146" i="3"/>
  <c r="I147" i="3"/>
  <c r="I148" i="3"/>
  <c r="I149" i="3"/>
  <c r="I150" i="3"/>
  <c r="I151" i="3"/>
  <c r="I152" i="3"/>
  <c r="I153" i="3"/>
  <c r="I154" i="3"/>
  <c r="I155" i="3"/>
  <c r="I156" i="3"/>
  <c r="I157" i="3"/>
  <c r="I158" i="3"/>
  <c r="I159" i="3"/>
  <c r="I160" i="3"/>
  <c r="I161" i="3"/>
  <c r="I162" i="3"/>
  <c r="I163" i="3"/>
  <c r="I164" i="3"/>
  <c r="I165" i="3"/>
  <c r="I166" i="3"/>
  <c r="I167" i="3"/>
  <c r="I168" i="3"/>
  <c r="I169" i="3"/>
  <c r="I170" i="3"/>
  <c r="I171" i="3"/>
  <c r="I172" i="3"/>
  <c r="I173" i="3"/>
  <c r="I174" i="3"/>
  <c r="I175" i="3"/>
  <c r="I176" i="3"/>
  <c r="I177" i="3"/>
  <c r="I178" i="3"/>
  <c r="I179" i="3"/>
  <c r="I180" i="3"/>
  <c r="I181" i="3"/>
  <c r="I182" i="3"/>
  <c r="I183" i="3"/>
  <c r="I184" i="3"/>
  <c r="I185" i="3"/>
  <c r="I186" i="3"/>
  <c r="I187" i="3"/>
  <c r="I188" i="3"/>
  <c r="I189" i="3"/>
  <c r="I190" i="3"/>
  <c r="I191" i="3"/>
  <c r="I192" i="3"/>
  <c r="I193" i="3"/>
  <c r="I194" i="3"/>
  <c r="I195" i="3"/>
  <c r="I196" i="3"/>
  <c r="I197" i="3"/>
  <c r="I198" i="3"/>
  <c r="I199" i="3"/>
  <c r="I200" i="3"/>
  <c r="I201" i="3"/>
  <c r="I202" i="3"/>
  <c r="I203" i="3"/>
  <c r="I204" i="3"/>
  <c r="I205" i="3"/>
  <c r="I206" i="3"/>
  <c r="I207" i="3"/>
  <c r="I208" i="3"/>
  <c r="I209" i="3"/>
  <c r="I210" i="3"/>
  <c r="I211" i="3"/>
  <c r="I212" i="3"/>
  <c r="I213" i="3"/>
  <c r="I214" i="3"/>
  <c r="I215" i="3"/>
  <c r="I216" i="3"/>
  <c r="I217" i="3"/>
  <c r="I218" i="3"/>
  <c r="I219" i="3"/>
  <c r="I220" i="3"/>
  <c r="I221" i="3"/>
  <c r="I222" i="3"/>
  <c r="I223" i="3"/>
  <c r="I224" i="3"/>
  <c r="I225" i="3"/>
  <c r="I226" i="3"/>
  <c r="I227" i="3"/>
  <c r="I228" i="3"/>
  <c r="I229" i="3"/>
  <c r="I230" i="3"/>
  <c r="I231" i="3"/>
  <c r="I232" i="3"/>
  <c r="I233" i="3"/>
  <c r="I234" i="3"/>
  <c r="I235" i="3"/>
  <c r="I236" i="3"/>
  <c r="I237" i="3"/>
  <c r="I238" i="3"/>
  <c r="I239" i="3"/>
  <c r="I240" i="3"/>
  <c r="I241" i="3"/>
  <c r="I242" i="3"/>
  <c r="I243" i="3"/>
  <c r="I244" i="3"/>
  <c r="I245" i="3"/>
  <c r="I246" i="3"/>
  <c r="I247" i="3"/>
  <c r="I248" i="3"/>
  <c r="I249" i="3"/>
  <c r="I250" i="3"/>
  <c r="I251" i="3"/>
  <c r="I252" i="3"/>
  <c r="I253" i="3"/>
  <c r="I254" i="3"/>
  <c r="I255" i="3"/>
  <c r="I256" i="3"/>
  <c r="I257" i="3"/>
  <c r="I258" i="3"/>
  <c r="I259" i="3"/>
  <c r="I260" i="3"/>
  <c r="I261" i="3"/>
  <c r="I262" i="3"/>
  <c r="I263" i="3"/>
  <c r="I264" i="3"/>
  <c r="I265" i="3"/>
  <c r="I266" i="3"/>
  <c r="I267" i="3"/>
  <c r="I268" i="3"/>
  <c r="I269" i="3"/>
  <c r="I270" i="3"/>
  <c r="I271" i="3"/>
  <c r="I272" i="3"/>
  <c r="I273" i="3"/>
  <c r="I274" i="3"/>
  <c r="I275" i="3"/>
  <c r="I276" i="3"/>
  <c r="I277" i="3"/>
  <c r="I278" i="3"/>
  <c r="I279" i="3"/>
  <c r="I280" i="3"/>
  <c r="I281" i="3"/>
  <c r="I282" i="3"/>
  <c r="I283" i="3"/>
  <c r="I284" i="3"/>
  <c r="I285" i="3"/>
  <c r="I286" i="3"/>
  <c r="I287" i="3"/>
  <c r="I288" i="3"/>
  <c r="I289" i="3"/>
  <c r="I290" i="3"/>
  <c r="I291" i="3"/>
  <c r="I292" i="3"/>
  <c r="I293" i="3"/>
  <c r="I294" i="3"/>
  <c r="I295" i="3"/>
  <c r="I296" i="3"/>
  <c r="I297" i="3"/>
  <c r="I298" i="3"/>
  <c r="I299" i="3"/>
  <c r="I300" i="3"/>
  <c r="I301" i="3"/>
  <c r="I302" i="3"/>
  <c r="I303" i="3"/>
  <c r="I304" i="3"/>
  <c r="I305" i="3"/>
  <c r="I306" i="3"/>
  <c r="I307" i="3"/>
  <c r="I308" i="3"/>
  <c r="I309" i="3"/>
  <c r="I310" i="3"/>
  <c r="I311" i="3"/>
  <c r="I312" i="3"/>
  <c r="I313" i="3"/>
  <c r="I314" i="3"/>
  <c r="I315" i="3"/>
  <c r="I316" i="3"/>
  <c r="I317" i="3"/>
  <c r="I318" i="3"/>
  <c r="I319" i="3"/>
  <c r="I320" i="3"/>
  <c r="I321" i="3"/>
  <c r="I322" i="3"/>
  <c r="I323" i="3"/>
  <c r="I324" i="3"/>
  <c r="I325" i="3"/>
  <c r="I326" i="3"/>
  <c r="I327" i="3"/>
  <c r="I328" i="3"/>
  <c r="I329" i="3"/>
  <c r="I330" i="3"/>
  <c r="I331" i="3"/>
  <c r="I332" i="3"/>
  <c r="I333" i="3"/>
  <c r="I334" i="3"/>
  <c r="I335" i="3"/>
  <c r="I336" i="3"/>
  <c r="I337" i="3"/>
  <c r="I338" i="3"/>
  <c r="I339" i="3"/>
  <c r="I340" i="3"/>
  <c r="I341" i="3"/>
  <c r="I342" i="3"/>
  <c r="I343" i="3"/>
  <c r="I344" i="3"/>
  <c r="I345" i="3"/>
  <c r="I346" i="3"/>
  <c r="I347" i="3"/>
  <c r="I348" i="3"/>
  <c r="I349" i="3"/>
  <c r="I350" i="3"/>
  <c r="I351" i="3"/>
  <c r="I352" i="3"/>
  <c r="I353" i="3"/>
  <c r="I354" i="3"/>
  <c r="I355" i="3"/>
  <c r="I356" i="3"/>
  <c r="I357" i="3"/>
  <c r="I358" i="3"/>
  <c r="I359" i="3"/>
  <c r="I360" i="3"/>
  <c r="I361" i="3"/>
  <c r="I362" i="3"/>
  <c r="I363" i="3"/>
  <c r="I364" i="3"/>
  <c r="I365" i="3"/>
  <c r="I366" i="3"/>
  <c r="I367" i="3"/>
  <c r="I368" i="3"/>
  <c r="I369" i="3"/>
  <c r="I370" i="3"/>
  <c r="I371" i="3"/>
  <c r="I372" i="3"/>
  <c r="I373" i="3"/>
  <c r="I374" i="3"/>
  <c r="I375" i="3"/>
  <c r="I376" i="3"/>
  <c r="I377" i="3"/>
  <c r="I378" i="3"/>
  <c r="I379" i="3"/>
  <c r="I380" i="3"/>
  <c r="I381" i="3"/>
  <c r="I382" i="3"/>
  <c r="I383" i="3"/>
  <c r="I384" i="3"/>
  <c r="I385" i="3"/>
  <c r="I386" i="3"/>
  <c r="I387" i="3"/>
  <c r="I388" i="3"/>
  <c r="I389" i="3"/>
  <c r="I390" i="3"/>
  <c r="I391" i="3"/>
  <c r="I392" i="3"/>
  <c r="I393" i="3"/>
  <c r="I394" i="3"/>
  <c r="I395" i="3"/>
  <c r="I396" i="3"/>
  <c r="I397" i="3"/>
  <c r="I398" i="3"/>
  <c r="I399" i="3"/>
  <c r="I400" i="3"/>
  <c r="I401" i="3"/>
  <c r="I402" i="3"/>
  <c r="I403" i="3"/>
  <c r="I404" i="3"/>
  <c r="I405" i="3"/>
  <c r="I406" i="3"/>
  <c r="I407" i="3"/>
  <c r="I408" i="3"/>
  <c r="I409" i="3"/>
  <c r="I410" i="3"/>
  <c r="I411" i="3"/>
  <c r="I412" i="3"/>
  <c r="I413" i="3"/>
  <c r="I414" i="3"/>
  <c r="I415" i="3"/>
  <c r="I416" i="3"/>
  <c r="I417" i="3"/>
  <c r="I418" i="3"/>
  <c r="I419" i="3"/>
  <c r="I420" i="3"/>
  <c r="I421" i="3"/>
  <c r="I422" i="3"/>
  <c r="I423" i="3"/>
  <c r="I424" i="3"/>
  <c r="I425" i="3"/>
  <c r="I426" i="3"/>
  <c r="I427" i="3"/>
  <c r="I428" i="3"/>
  <c r="I429" i="3"/>
  <c r="I430" i="3"/>
  <c r="I431" i="3"/>
  <c r="I432" i="3"/>
  <c r="I433" i="3"/>
  <c r="I434" i="3"/>
  <c r="I435" i="3"/>
  <c r="I436" i="3"/>
  <c r="I437" i="3"/>
  <c r="I438" i="3"/>
  <c r="I439" i="3"/>
  <c r="I440" i="3"/>
  <c r="I441" i="3"/>
  <c r="I442" i="3"/>
  <c r="I443" i="3"/>
  <c r="I444" i="3"/>
  <c r="I445" i="3"/>
  <c r="I446" i="3"/>
  <c r="I447" i="3"/>
  <c r="I448" i="3"/>
  <c r="I449" i="3"/>
  <c r="I450" i="3"/>
  <c r="I451" i="3"/>
  <c r="I452" i="3"/>
  <c r="I453" i="3"/>
  <c r="I454" i="3"/>
  <c r="I455" i="3"/>
  <c r="I456" i="3"/>
  <c r="I457" i="3"/>
  <c r="I458" i="3"/>
  <c r="I459" i="3"/>
  <c r="I460" i="3"/>
  <c r="I461" i="3"/>
  <c r="I462" i="3"/>
  <c r="I463" i="3"/>
  <c r="I464" i="3"/>
  <c r="I465" i="3"/>
  <c r="I466" i="3"/>
  <c r="I467" i="3"/>
  <c r="I468" i="3"/>
  <c r="I469" i="3"/>
  <c r="I470" i="3"/>
  <c r="I471" i="3"/>
  <c r="I472" i="3"/>
  <c r="I473" i="3"/>
  <c r="I474" i="3"/>
  <c r="I475" i="3"/>
  <c r="I476" i="3"/>
  <c r="I477" i="3"/>
  <c r="I478" i="3"/>
  <c r="I479" i="3"/>
  <c r="I480" i="3"/>
  <c r="I481" i="3"/>
  <c r="I482" i="3"/>
  <c r="I483" i="3"/>
  <c r="I484" i="3"/>
  <c r="I485" i="3"/>
  <c r="I486" i="3"/>
  <c r="I487" i="3"/>
  <c r="I488" i="3"/>
  <c r="I489" i="3"/>
  <c r="I490" i="3"/>
  <c r="I491" i="3"/>
  <c r="I492" i="3"/>
  <c r="I493" i="3"/>
  <c r="I494" i="3"/>
  <c r="I495" i="3"/>
  <c r="I496" i="3"/>
  <c r="I497" i="3"/>
  <c r="I498" i="3"/>
  <c r="I499" i="3"/>
  <c r="I500" i="3"/>
  <c r="I501" i="3"/>
  <c r="I502" i="3"/>
  <c r="I503" i="3"/>
  <c r="I504" i="3"/>
  <c r="I505" i="3"/>
  <c r="I506" i="3"/>
  <c r="I507" i="3"/>
  <c r="I508" i="3"/>
  <c r="I509" i="3"/>
  <c r="I510" i="3"/>
  <c r="I511" i="3"/>
  <c r="I512" i="3"/>
  <c r="I513" i="3"/>
  <c r="I514" i="3"/>
  <c r="I515" i="3"/>
  <c r="I516" i="3"/>
  <c r="I517" i="3"/>
  <c r="I518" i="3"/>
  <c r="I519" i="3"/>
  <c r="I520" i="3"/>
  <c r="I521" i="3"/>
  <c r="I522" i="3"/>
  <c r="I523" i="3"/>
  <c r="I524" i="3"/>
  <c r="I525" i="3"/>
  <c r="I526" i="3"/>
  <c r="I527" i="3"/>
  <c r="I528" i="3"/>
  <c r="I529" i="3"/>
  <c r="I530" i="3"/>
  <c r="I531" i="3"/>
  <c r="I532" i="3"/>
  <c r="I533" i="3"/>
  <c r="I534" i="3"/>
  <c r="I535" i="3"/>
  <c r="I536" i="3"/>
  <c r="I537" i="3"/>
  <c r="I538" i="3"/>
  <c r="I539" i="3"/>
  <c r="I540" i="3"/>
  <c r="I541" i="3"/>
  <c r="I542" i="3"/>
  <c r="I543" i="3"/>
  <c r="I544" i="3"/>
  <c r="I545" i="3"/>
  <c r="I546" i="3"/>
  <c r="I547" i="3"/>
  <c r="I548" i="3"/>
  <c r="I549" i="3"/>
  <c r="I550" i="3"/>
  <c r="I551" i="3"/>
  <c r="I552" i="3"/>
  <c r="I553" i="3"/>
  <c r="I554" i="3"/>
  <c r="I555" i="3"/>
  <c r="I556" i="3"/>
  <c r="I557" i="3"/>
  <c r="I558" i="3"/>
  <c r="I559" i="3"/>
  <c r="I560" i="3"/>
  <c r="I561" i="3"/>
  <c r="I562" i="3"/>
  <c r="I563" i="3"/>
  <c r="I564" i="3"/>
  <c r="I565" i="3"/>
  <c r="I566" i="3"/>
  <c r="I567" i="3"/>
  <c r="I568" i="3"/>
  <c r="I569" i="3"/>
  <c r="I570" i="3"/>
  <c r="I571" i="3"/>
  <c r="I572" i="3"/>
  <c r="I573" i="3"/>
  <c r="I574" i="3"/>
  <c r="I575" i="3"/>
  <c r="I576" i="3"/>
  <c r="I577" i="3"/>
  <c r="I578" i="3"/>
  <c r="I579" i="3"/>
  <c r="I580" i="3"/>
  <c r="I581" i="3"/>
  <c r="I582" i="3"/>
  <c r="I583" i="3"/>
  <c r="I584" i="3"/>
  <c r="I585" i="3"/>
  <c r="I586" i="3"/>
  <c r="I587" i="3"/>
  <c r="I588" i="3"/>
  <c r="I589" i="3"/>
  <c r="I590" i="3"/>
  <c r="I591" i="3"/>
  <c r="I592" i="3"/>
  <c r="I593" i="3"/>
  <c r="I594" i="3"/>
  <c r="I595" i="3"/>
  <c r="I596" i="3"/>
  <c r="I597" i="3"/>
  <c r="I598" i="3"/>
  <c r="I599" i="3"/>
  <c r="I600" i="3"/>
  <c r="I3" i="3"/>
  <c r="FJ3" i="3" l="1"/>
  <c r="FJ4" i="3"/>
  <c r="FJ5" i="3"/>
  <c r="FJ6" i="3"/>
  <c r="FJ7" i="3"/>
  <c r="FJ8" i="3"/>
  <c r="FJ9" i="3"/>
  <c r="FJ10" i="3"/>
  <c r="FJ11" i="3"/>
  <c r="FJ12" i="3"/>
  <c r="FJ13" i="3"/>
  <c r="FJ14" i="3"/>
  <c r="FJ15" i="3"/>
  <c r="FJ16" i="3"/>
  <c r="FJ17" i="3"/>
  <c r="FJ18" i="3"/>
  <c r="FJ19" i="3"/>
  <c r="FJ20" i="3"/>
  <c r="FJ21" i="3"/>
  <c r="FJ22" i="3"/>
  <c r="FJ23" i="3"/>
  <c r="FJ24" i="3"/>
  <c r="FJ25" i="3"/>
  <c r="FJ26" i="3"/>
  <c r="FJ27" i="3"/>
  <c r="FJ28" i="3"/>
  <c r="FJ29" i="3"/>
  <c r="FJ30" i="3"/>
  <c r="FJ31" i="3"/>
  <c r="FJ32" i="3"/>
  <c r="FJ33" i="3"/>
  <c r="FJ34" i="3"/>
  <c r="FJ35" i="3"/>
  <c r="FJ36" i="3"/>
  <c r="FJ37" i="3"/>
  <c r="FJ38" i="3"/>
  <c r="FJ39" i="3"/>
  <c r="FJ40" i="3"/>
  <c r="FJ41" i="3"/>
  <c r="FJ42" i="3"/>
  <c r="FJ43" i="3"/>
  <c r="FJ44" i="3"/>
  <c r="FJ45" i="3"/>
  <c r="FJ46" i="3"/>
  <c r="FJ47" i="3"/>
  <c r="FJ48" i="3"/>
  <c r="FJ49" i="3"/>
  <c r="FJ50" i="3"/>
  <c r="FJ51" i="3"/>
  <c r="FJ52" i="3"/>
  <c r="FJ53" i="3"/>
  <c r="FJ54" i="3"/>
  <c r="FJ55" i="3"/>
  <c r="FJ56" i="3"/>
  <c r="FJ57" i="3"/>
  <c r="FJ58" i="3"/>
  <c r="FJ59" i="3"/>
  <c r="FJ60" i="3"/>
  <c r="FJ61" i="3"/>
  <c r="FJ62" i="3"/>
  <c r="FJ63" i="3"/>
  <c r="FJ64" i="3"/>
  <c r="FJ65" i="3"/>
  <c r="FJ66" i="3"/>
  <c r="FJ67" i="3"/>
  <c r="FJ68" i="3"/>
  <c r="FJ69" i="3"/>
  <c r="FJ70" i="3"/>
  <c r="FJ71" i="3"/>
  <c r="FJ72" i="3"/>
  <c r="FJ73" i="3"/>
  <c r="FJ74" i="3"/>
  <c r="FJ75" i="3"/>
  <c r="FJ76" i="3"/>
  <c r="FJ77" i="3"/>
  <c r="FJ78" i="3"/>
  <c r="FJ79" i="3"/>
  <c r="FJ80" i="3"/>
  <c r="FJ81" i="3"/>
  <c r="FJ82" i="3"/>
  <c r="FJ83" i="3"/>
  <c r="FJ84" i="3"/>
  <c r="FJ85" i="3"/>
  <c r="FJ86" i="3"/>
  <c r="FJ87" i="3"/>
  <c r="FJ88" i="3"/>
  <c r="FJ89" i="3"/>
  <c r="FJ90" i="3"/>
  <c r="FJ91" i="3"/>
  <c r="FJ92" i="3"/>
  <c r="FJ93" i="3"/>
  <c r="FJ94" i="3"/>
  <c r="FJ95" i="3"/>
  <c r="FJ96" i="3"/>
  <c r="FJ97" i="3"/>
  <c r="FJ98" i="3"/>
  <c r="FJ99" i="3"/>
  <c r="FJ100" i="3"/>
  <c r="FJ101" i="3"/>
  <c r="FJ102" i="3"/>
  <c r="FJ103" i="3"/>
  <c r="FJ104" i="3"/>
  <c r="FJ105" i="3"/>
  <c r="FJ106" i="3"/>
  <c r="FJ107" i="3"/>
  <c r="FJ108" i="3"/>
  <c r="FJ109" i="3"/>
  <c r="FJ110" i="3"/>
  <c r="FJ111" i="3"/>
  <c r="FJ112" i="3"/>
  <c r="FJ113" i="3"/>
  <c r="FJ114" i="3"/>
  <c r="FJ115" i="3"/>
  <c r="FJ116" i="3"/>
  <c r="FJ117" i="3"/>
  <c r="FJ118" i="3"/>
  <c r="FJ119" i="3"/>
  <c r="FJ120" i="3"/>
  <c r="FJ121" i="3"/>
  <c r="FJ122" i="3"/>
  <c r="FJ123" i="3"/>
  <c r="FJ124" i="3"/>
  <c r="FJ125" i="3"/>
  <c r="FJ126" i="3"/>
  <c r="FJ127" i="3"/>
  <c r="FJ128" i="3"/>
  <c r="FJ129" i="3"/>
  <c r="FJ130" i="3"/>
  <c r="FJ131" i="3"/>
  <c r="FJ132" i="3"/>
  <c r="FJ133" i="3"/>
  <c r="FJ134" i="3"/>
  <c r="FJ135" i="3"/>
  <c r="FJ136" i="3"/>
  <c r="FJ137" i="3"/>
  <c r="FJ138" i="3"/>
  <c r="FJ139" i="3"/>
  <c r="FJ140" i="3"/>
  <c r="FJ141" i="3"/>
  <c r="FJ142" i="3"/>
  <c r="FJ143" i="3"/>
  <c r="FJ144" i="3"/>
  <c r="FJ145" i="3"/>
  <c r="FJ146" i="3"/>
  <c r="FJ147" i="3"/>
  <c r="FJ148" i="3"/>
  <c r="FJ149" i="3"/>
  <c r="FJ150" i="3"/>
  <c r="FJ151" i="3"/>
  <c r="FJ152" i="3"/>
  <c r="FJ153" i="3"/>
  <c r="FJ154" i="3"/>
  <c r="FJ155" i="3"/>
  <c r="FJ156" i="3"/>
  <c r="FJ157" i="3"/>
  <c r="FJ158" i="3"/>
  <c r="FJ159" i="3"/>
  <c r="FJ160" i="3"/>
  <c r="FJ161" i="3"/>
  <c r="FJ162" i="3"/>
  <c r="FJ163" i="3"/>
  <c r="FJ164" i="3"/>
  <c r="FJ165" i="3"/>
  <c r="FJ166" i="3"/>
  <c r="FJ167" i="3"/>
  <c r="FJ168" i="3"/>
  <c r="FJ169" i="3"/>
  <c r="FJ170" i="3"/>
  <c r="FJ171" i="3"/>
  <c r="FJ172" i="3"/>
  <c r="FJ173" i="3"/>
  <c r="FJ174" i="3"/>
  <c r="FJ175" i="3"/>
  <c r="FJ176" i="3"/>
  <c r="FJ177" i="3"/>
  <c r="FJ178" i="3"/>
  <c r="FJ179" i="3"/>
  <c r="FJ180" i="3"/>
  <c r="FJ181" i="3"/>
  <c r="FJ182" i="3"/>
  <c r="FJ183" i="3"/>
  <c r="FJ184" i="3"/>
  <c r="FJ185" i="3"/>
  <c r="FJ186" i="3"/>
  <c r="FJ187" i="3"/>
  <c r="FJ188" i="3"/>
  <c r="FJ189" i="3"/>
  <c r="FJ190" i="3"/>
  <c r="FJ191" i="3"/>
  <c r="FJ192" i="3"/>
  <c r="FJ193" i="3"/>
  <c r="FJ194" i="3"/>
  <c r="FJ195" i="3"/>
  <c r="FJ196" i="3"/>
  <c r="FJ197" i="3"/>
  <c r="FJ198" i="3"/>
  <c r="FJ199" i="3"/>
  <c r="FJ200" i="3"/>
  <c r="FJ201" i="3"/>
  <c r="FJ202" i="3"/>
  <c r="FJ203" i="3"/>
  <c r="FJ204" i="3"/>
  <c r="FJ205" i="3"/>
  <c r="FJ206" i="3"/>
  <c r="FJ207" i="3"/>
  <c r="FJ208" i="3"/>
  <c r="FJ209" i="3"/>
  <c r="FJ210" i="3"/>
  <c r="FJ211" i="3"/>
  <c r="FJ212" i="3"/>
  <c r="FJ213" i="3"/>
  <c r="FJ214" i="3"/>
  <c r="FJ215" i="3"/>
  <c r="FJ216" i="3"/>
  <c r="FJ217" i="3"/>
  <c r="FJ218" i="3"/>
  <c r="FJ219" i="3"/>
  <c r="FJ220" i="3"/>
  <c r="FJ221" i="3"/>
  <c r="FJ222" i="3"/>
  <c r="FJ223" i="3"/>
  <c r="FJ224" i="3"/>
  <c r="FJ225" i="3"/>
  <c r="FJ226" i="3"/>
  <c r="FJ227" i="3"/>
  <c r="FJ228" i="3"/>
  <c r="FJ229" i="3"/>
  <c r="FJ230" i="3"/>
  <c r="FJ231" i="3"/>
  <c r="FJ232" i="3"/>
  <c r="FJ233" i="3"/>
  <c r="FJ234" i="3"/>
  <c r="FJ235" i="3"/>
  <c r="FJ236" i="3"/>
  <c r="FJ237" i="3"/>
  <c r="FJ238" i="3"/>
  <c r="FJ239" i="3"/>
  <c r="FJ240" i="3"/>
  <c r="FJ241" i="3"/>
  <c r="FJ242" i="3"/>
  <c r="FJ243" i="3"/>
  <c r="FJ244" i="3"/>
  <c r="FJ245" i="3"/>
  <c r="FJ246" i="3"/>
  <c r="FJ247" i="3"/>
  <c r="FJ248" i="3"/>
  <c r="FJ249" i="3"/>
  <c r="FJ250" i="3"/>
  <c r="FJ251" i="3"/>
  <c r="FJ252" i="3"/>
  <c r="FJ253" i="3"/>
  <c r="FJ254" i="3"/>
  <c r="FJ255" i="3"/>
  <c r="FJ256" i="3"/>
  <c r="FJ257" i="3"/>
  <c r="FJ258" i="3"/>
  <c r="FJ259" i="3"/>
  <c r="FJ260" i="3"/>
  <c r="FJ261" i="3"/>
  <c r="FJ262" i="3"/>
  <c r="FJ263" i="3"/>
  <c r="FJ264" i="3"/>
  <c r="FJ265" i="3"/>
  <c r="FJ266" i="3"/>
  <c r="FJ267" i="3"/>
  <c r="FJ268" i="3"/>
  <c r="FJ269" i="3"/>
  <c r="FJ270" i="3"/>
  <c r="FJ271" i="3"/>
  <c r="FJ272" i="3"/>
  <c r="FJ273" i="3"/>
  <c r="FJ274" i="3"/>
  <c r="FJ275" i="3"/>
  <c r="FJ276" i="3"/>
  <c r="FJ277" i="3"/>
  <c r="FJ278" i="3"/>
  <c r="FJ279" i="3"/>
  <c r="FJ280" i="3"/>
  <c r="FJ281" i="3"/>
  <c r="FJ282" i="3"/>
  <c r="FJ283" i="3"/>
  <c r="FJ284" i="3"/>
  <c r="FJ285" i="3"/>
  <c r="FJ286" i="3"/>
  <c r="FJ287" i="3"/>
  <c r="FJ288" i="3"/>
  <c r="FJ289" i="3"/>
  <c r="FJ290" i="3"/>
  <c r="FJ291" i="3"/>
  <c r="FJ292" i="3"/>
  <c r="FJ293" i="3"/>
  <c r="FJ294" i="3"/>
  <c r="FJ295" i="3"/>
  <c r="FJ296" i="3"/>
  <c r="FJ297" i="3"/>
  <c r="FJ298" i="3"/>
  <c r="FJ299" i="3"/>
  <c r="FJ300" i="3"/>
  <c r="FJ301" i="3"/>
  <c r="FJ302" i="3"/>
  <c r="FJ303" i="3"/>
  <c r="FJ304" i="3"/>
  <c r="FJ305" i="3"/>
  <c r="FJ306" i="3"/>
  <c r="FJ307" i="3"/>
  <c r="FJ308" i="3"/>
  <c r="FJ309" i="3"/>
  <c r="FJ310" i="3"/>
  <c r="FJ311" i="3"/>
  <c r="FJ312" i="3"/>
  <c r="FJ313" i="3"/>
  <c r="FJ314" i="3"/>
  <c r="FJ315" i="3"/>
  <c r="FJ316" i="3"/>
  <c r="FJ317" i="3"/>
  <c r="FJ318" i="3"/>
  <c r="FJ319" i="3"/>
  <c r="FJ320" i="3"/>
  <c r="FJ321" i="3"/>
  <c r="FJ322" i="3"/>
  <c r="FJ323" i="3"/>
  <c r="FJ324" i="3"/>
  <c r="FJ325" i="3"/>
  <c r="FJ326" i="3"/>
  <c r="FJ327" i="3"/>
  <c r="FJ328" i="3"/>
  <c r="FJ329" i="3"/>
  <c r="FJ330" i="3"/>
  <c r="FJ331" i="3"/>
  <c r="FJ332" i="3"/>
  <c r="FJ333" i="3"/>
  <c r="FJ334" i="3"/>
  <c r="FJ335" i="3"/>
  <c r="FJ336" i="3"/>
  <c r="FJ337" i="3"/>
  <c r="FJ338" i="3"/>
  <c r="FJ339" i="3"/>
  <c r="FJ340" i="3"/>
  <c r="FJ341" i="3"/>
  <c r="FJ342" i="3"/>
  <c r="FJ343" i="3"/>
  <c r="FJ344" i="3"/>
  <c r="FJ345" i="3"/>
  <c r="FJ346" i="3"/>
  <c r="FJ347" i="3"/>
  <c r="FJ348" i="3"/>
  <c r="FJ349" i="3"/>
  <c r="FJ350" i="3"/>
  <c r="FJ351" i="3"/>
  <c r="FJ352" i="3"/>
  <c r="FJ353" i="3"/>
  <c r="FJ354" i="3"/>
  <c r="FJ355" i="3"/>
  <c r="FJ356" i="3"/>
  <c r="FJ357" i="3"/>
  <c r="FJ358" i="3"/>
  <c r="FJ359" i="3"/>
  <c r="FJ360" i="3"/>
  <c r="FJ361" i="3"/>
  <c r="FJ362" i="3"/>
  <c r="FJ363" i="3"/>
  <c r="FJ364" i="3"/>
  <c r="FJ365" i="3"/>
  <c r="FJ366" i="3"/>
  <c r="FJ367" i="3"/>
  <c r="FJ368" i="3"/>
  <c r="FJ369" i="3"/>
  <c r="FJ370" i="3"/>
  <c r="FJ371" i="3"/>
  <c r="FJ372" i="3"/>
  <c r="FJ373" i="3"/>
  <c r="FJ374" i="3"/>
  <c r="FJ375" i="3"/>
  <c r="FJ376" i="3"/>
  <c r="FJ377" i="3"/>
  <c r="FJ378" i="3"/>
  <c r="FJ379" i="3"/>
  <c r="FJ380" i="3"/>
  <c r="FJ381" i="3"/>
  <c r="FJ382" i="3"/>
  <c r="FJ383" i="3"/>
  <c r="FJ384" i="3"/>
  <c r="FJ385" i="3"/>
  <c r="FJ386" i="3"/>
  <c r="FJ387" i="3"/>
  <c r="FJ388" i="3"/>
  <c r="FJ389" i="3"/>
  <c r="FJ390" i="3"/>
  <c r="FJ391" i="3"/>
  <c r="FJ392" i="3"/>
  <c r="FJ393" i="3"/>
  <c r="FJ394" i="3"/>
  <c r="FJ395" i="3"/>
  <c r="FJ396" i="3"/>
  <c r="FJ397" i="3"/>
  <c r="FJ398" i="3"/>
  <c r="FJ399" i="3"/>
  <c r="FJ400" i="3"/>
  <c r="FJ401" i="3"/>
  <c r="FJ402" i="3"/>
  <c r="FJ403" i="3"/>
  <c r="FJ404" i="3"/>
  <c r="FJ405" i="3"/>
  <c r="FJ406" i="3"/>
  <c r="FJ407" i="3"/>
  <c r="FJ408" i="3"/>
  <c r="FJ409" i="3"/>
  <c r="FJ410" i="3"/>
  <c r="FJ411" i="3"/>
  <c r="FJ412" i="3"/>
  <c r="FJ413" i="3"/>
  <c r="FJ414" i="3"/>
  <c r="FJ415" i="3"/>
  <c r="FJ416" i="3"/>
  <c r="FJ417" i="3"/>
  <c r="FJ418" i="3"/>
  <c r="FJ419" i="3"/>
  <c r="FJ420" i="3"/>
  <c r="FJ421" i="3"/>
  <c r="FJ422" i="3"/>
  <c r="FJ423" i="3"/>
  <c r="FJ424" i="3"/>
  <c r="FJ425" i="3"/>
  <c r="FJ426" i="3"/>
  <c r="FJ427" i="3"/>
  <c r="FJ428" i="3"/>
  <c r="FJ429" i="3"/>
  <c r="FJ430" i="3"/>
  <c r="FJ431" i="3"/>
  <c r="FJ432" i="3"/>
  <c r="FJ433" i="3"/>
  <c r="FJ434" i="3"/>
  <c r="FJ435" i="3"/>
  <c r="FJ436" i="3"/>
  <c r="FJ437" i="3"/>
  <c r="FJ438" i="3"/>
  <c r="FJ439" i="3"/>
  <c r="FJ440" i="3"/>
  <c r="FJ441" i="3"/>
  <c r="FJ442" i="3"/>
  <c r="FJ443" i="3"/>
  <c r="FJ444" i="3"/>
  <c r="FJ445" i="3"/>
  <c r="FJ446" i="3"/>
  <c r="FJ447" i="3"/>
  <c r="FJ448" i="3"/>
  <c r="FJ449" i="3"/>
  <c r="FJ450" i="3"/>
  <c r="FJ451" i="3"/>
  <c r="FJ452" i="3"/>
  <c r="FJ453" i="3"/>
  <c r="FJ454" i="3"/>
  <c r="FJ455" i="3"/>
  <c r="FJ456" i="3"/>
  <c r="FJ457" i="3"/>
  <c r="FJ458" i="3"/>
  <c r="FJ459" i="3"/>
  <c r="FJ460" i="3"/>
  <c r="FJ461" i="3"/>
  <c r="FJ462" i="3"/>
  <c r="FJ463" i="3"/>
  <c r="FJ464" i="3"/>
  <c r="FJ465" i="3"/>
  <c r="FJ466" i="3"/>
  <c r="FJ467" i="3"/>
  <c r="FJ468" i="3"/>
  <c r="FJ469" i="3"/>
  <c r="FJ470" i="3"/>
  <c r="FJ471" i="3"/>
  <c r="FJ472" i="3"/>
  <c r="FJ473" i="3"/>
  <c r="FJ474" i="3"/>
  <c r="FJ475" i="3"/>
  <c r="FJ476" i="3"/>
  <c r="FJ477" i="3"/>
  <c r="FJ478" i="3"/>
  <c r="FJ479" i="3"/>
  <c r="FJ480" i="3"/>
  <c r="FJ481" i="3"/>
  <c r="FJ482" i="3"/>
  <c r="FJ483" i="3"/>
  <c r="FJ484" i="3"/>
  <c r="FJ485" i="3"/>
  <c r="FJ486" i="3"/>
  <c r="FJ487" i="3"/>
  <c r="FJ488" i="3"/>
  <c r="FJ489" i="3"/>
  <c r="FJ490" i="3"/>
  <c r="FJ491" i="3"/>
  <c r="FJ492" i="3"/>
  <c r="FJ493" i="3"/>
  <c r="FJ494" i="3"/>
  <c r="FJ495" i="3"/>
  <c r="FJ496" i="3"/>
  <c r="FJ497" i="3"/>
  <c r="FJ498" i="3"/>
  <c r="FJ499" i="3"/>
  <c r="FJ500" i="3"/>
  <c r="FJ501" i="3"/>
  <c r="FJ502" i="3"/>
  <c r="FJ503" i="3"/>
  <c r="FJ504" i="3"/>
  <c r="FJ505" i="3"/>
  <c r="FJ506" i="3"/>
  <c r="FJ507" i="3"/>
  <c r="FJ508" i="3"/>
  <c r="FJ509" i="3"/>
  <c r="FJ510" i="3"/>
  <c r="FJ511" i="3"/>
  <c r="FJ512" i="3"/>
  <c r="FJ513" i="3"/>
  <c r="FJ514" i="3"/>
  <c r="FJ515" i="3"/>
  <c r="FJ516" i="3"/>
  <c r="FJ517" i="3"/>
  <c r="FJ518" i="3"/>
  <c r="FJ519" i="3"/>
  <c r="FJ520" i="3"/>
  <c r="FJ521" i="3"/>
  <c r="FJ522" i="3"/>
  <c r="FJ523" i="3"/>
  <c r="FJ524" i="3"/>
  <c r="FJ525" i="3"/>
  <c r="FJ526" i="3"/>
  <c r="FJ527" i="3"/>
  <c r="FJ528" i="3"/>
  <c r="FJ529" i="3"/>
  <c r="FJ530" i="3"/>
  <c r="FJ531" i="3"/>
  <c r="FJ532" i="3"/>
  <c r="FJ533" i="3"/>
  <c r="FJ534" i="3"/>
  <c r="FJ535" i="3"/>
  <c r="FJ536" i="3"/>
  <c r="FJ537" i="3"/>
  <c r="FJ538" i="3"/>
  <c r="FJ539" i="3"/>
  <c r="FJ540" i="3"/>
  <c r="FJ541" i="3"/>
  <c r="FJ542" i="3"/>
  <c r="FJ543" i="3"/>
  <c r="FJ544" i="3"/>
  <c r="FJ545" i="3"/>
  <c r="FJ546" i="3"/>
  <c r="FJ547" i="3"/>
  <c r="FJ548" i="3"/>
  <c r="FJ549" i="3"/>
  <c r="FJ550" i="3"/>
  <c r="FJ551" i="3"/>
  <c r="FJ552" i="3"/>
  <c r="FJ553" i="3"/>
  <c r="FJ554" i="3"/>
  <c r="FJ555" i="3"/>
  <c r="FJ556" i="3"/>
  <c r="FJ557" i="3"/>
  <c r="FJ558" i="3"/>
  <c r="FJ559" i="3"/>
  <c r="FJ560" i="3"/>
  <c r="FJ561" i="3"/>
  <c r="FJ562" i="3"/>
  <c r="FJ563" i="3"/>
  <c r="FJ564" i="3"/>
  <c r="FJ565" i="3"/>
  <c r="FJ566" i="3"/>
  <c r="FJ567" i="3"/>
  <c r="FJ568" i="3"/>
  <c r="FJ569" i="3"/>
  <c r="FJ570" i="3"/>
  <c r="FJ571" i="3"/>
  <c r="FJ572" i="3"/>
  <c r="FJ573" i="3"/>
  <c r="FJ574" i="3"/>
  <c r="FJ575" i="3"/>
  <c r="FJ576" i="3"/>
  <c r="FJ577" i="3"/>
  <c r="FJ578" i="3"/>
  <c r="FJ579" i="3"/>
  <c r="FJ580" i="3"/>
  <c r="FJ581" i="3"/>
  <c r="FJ582" i="3"/>
  <c r="FJ583" i="3"/>
  <c r="FJ584" i="3"/>
  <c r="FJ585" i="3"/>
  <c r="FJ586" i="3"/>
  <c r="FJ587" i="3"/>
  <c r="FJ588" i="3"/>
  <c r="FJ589" i="3"/>
  <c r="FJ590" i="3"/>
  <c r="FJ591" i="3"/>
  <c r="FJ592" i="3"/>
  <c r="FJ593" i="3"/>
  <c r="FJ594" i="3"/>
  <c r="FJ595" i="3"/>
  <c r="FJ596" i="3"/>
  <c r="FJ597" i="3"/>
  <c r="FJ598" i="3"/>
  <c r="FJ599" i="3"/>
  <c r="FJ600" i="3"/>
  <c r="FI3" i="3"/>
  <c r="FI4" i="3"/>
  <c r="FI5" i="3"/>
  <c r="FI6" i="3"/>
  <c r="FI7" i="3"/>
  <c r="FI8" i="3"/>
  <c r="FI9" i="3"/>
  <c r="FI10" i="3"/>
  <c r="FI11" i="3"/>
  <c r="FI12" i="3"/>
  <c r="FI13" i="3"/>
  <c r="FI14" i="3"/>
  <c r="FI15" i="3"/>
  <c r="FI16" i="3"/>
  <c r="FI17" i="3"/>
  <c r="FI18" i="3"/>
  <c r="FI19" i="3"/>
  <c r="FI20" i="3"/>
  <c r="FI21" i="3"/>
  <c r="FI22" i="3"/>
  <c r="FI23" i="3"/>
  <c r="FI24" i="3"/>
  <c r="FI25" i="3"/>
  <c r="FI26" i="3"/>
  <c r="FI27" i="3"/>
  <c r="FI28" i="3"/>
  <c r="FI29" i="3"/>
  <c r="FI30" i="3"/>
  <c r="FI31" i="3"/>
  <c r="FI32" i="3"/>
  <c r="FI33" i="3"/>
  <c r="FI34" i="3"/>
  <c r="FI35" i="3"/>
  <c r="FI36" i="3"/>
  <c r="FI37" i="3"/>
  <c r="FI38" i="3"/>
  <c r="FI39" i="3"/>
  <c r="FI40" i="3"/>
  <c r="FI41" i="3"/>
  <c r="FI42" i="3"/>
  <c r="FI43" i="3"/>
  <c r="FI44" i="3"/>
  <c r="FI45" i="3"/>
  <c r="FI46" i="3"/>
  <c r="FI47" i="3"/>
  <c r="FI48" i="3"/>
  <c r="FI49" i="3"/>
  <c r="FI50" i="3"/>
  <c r="FI51" i="3"/>
  <c r="FI52" i="3"/>
  <c r="FI53" i="3"/>
  <c r="FI54" i="3"/>
  <c r="FI55" i="3"/>
  <c r="FI56" i="3"/>
  <c r="FI57" i="3"/>
  <c r="FI58" i="3"/>
  <c r="FI59" i="3"/>
  <c r="FI60" i="3"/>
  <c r="FI61" i="3"/>
  <c r="FI62" i="3"/>
  <c r="FI63" i="3"/>
  <c r="FI64" i="3"/>
  <c r="FI65" i="3"/>
  <c r="FI66" i="3"/>
  <c r="FI67" i="3"/>
  <c r="FI68" i="3"/>
  <c r="FI69" i="3"/>
  <c r="FI70" i="3"/>
  <c r="FI71" i="3"/>
  <c r="FI72" i="3"/>
  <c r="FI73" i="3"/>
  <c r="FI74" i="3"/>
  <c r="FI75" i="3"/>
  <c r="FI76" i="3"/>
  <c r="FI77" i="3"/>
  <c r="FI78" i="3"/>
  <c r="FI79" i="3"/>
  <c r="FI80" i="3"/>
  <c r="FI81" i="3"/>
  <c r="FI82" i="3"/>
  <c r="FI83" i="3"/>
  <c r="FI84" i="3"/>
  <c r="FI85" i="3"/>
  <c r="FI86" i="3"/>
  <c r="FI87" i="3"/>
  <c r="FI88" i="3"/>
  <c r="FI89" i="3"/>
  <c r="FI90" i="3"/>
  <c r="FI91" i="3"/>
  <c r="FI92" i="3"/>
  <c r="FI93" i="3"/>
  <c r="FI94" i="3"/>
  <c r="FI95" i="3"/>
  <c r="FI96" i="3"/>
  <c r="FI97" i="3"/>
  <c r="FI98" i="3"/>
  <c r="FI99" i="3"/>
  <c r="FI100" i="3"/>
  <c r="FI101" i="3"/>
  <c r="FI102" i="3"/>
  <c r="FI103" i="3"/>
  <c r="FI104" i="3"/>
  <c r="FI105" i="3"/>
  <c r="FI106" i="3"/>
  <c r="FI107" i="3"/>
  <c r="FI108" i="3"/>
  <c r="FI109" i="3"/>
  <c r="FI110" i="3"/>
  <c r="FI111" i="3"/>
  <c r="FI112" i="3"/>
  <c r="FI113" i="3"/>
  <c r="FI114" i="3"/>
  <c r="FI115" i="3"/>
  <c r="FI116" i="3"/>
  <c r="FI117" i="3"/>
  <c r="FI118" i="3"/>
  <c r="FI119" i="3"/>
  <c r="FI120" i="3"/>
  <c r="FI121" i="3"/>
  <c r="FI122" i="3"/>
  <c r="FI123" i="3"/>
  <c r="FI124" i="3"/>
  <c r="FI125" i="3"/>
  <c r="FI126" i="3"/>
  <c r="FI127" i="3"/>
  <c r="FI128" i="3"/>
  <c r="FI129" i="3"/>
  <c r="FI130" i="3"/>
  <c r="FI131" i="3"/>
  <c r="FI132" i="3"/>
  <c r="FI133" i="3"/>
  <c r="FI134" i="3"/>
  <c r="FI135" i="3"/>
  <c r="FI136" i="3"/>
  <c r="FI137" i="3"/>
  <c r="FI138" i="3"/>
  <c r="FI139" i="3"/>
  <c r="FI140" i="3"/>
  <c r="FI141" i="3"/>
  <c r="FI142" i="3"/>
  <c r="FI143" i="3"/>
  <c r="FI144" i="3"/>
  <c r="FI145" i="3"/>
  <c r="FI146" i="3"/>
  <c r="FI147" i="3"/>
  <c r="FI148" i="3"/>
  <c r="FI149" i="3"/>
  <c r="FI150" i="3"/>
  <c r="FI151" i="3"/>
  <c r="FI152" i="3"/>
  <c r="FI153" i="3"/>
  <c r="FI154" i="3"/>
  <c r="FI155" i="3"/>
  <c r="FI156" i="3"/>
  <c r="FI157" i="3"/>
  <c r="FI158" i="3"/>
  <c r="FI159" i="3"/>
  <c r="FI160" i="3"/>
  <c r="FI161" i="3"/>
  <c r="FI162" i="3"/>
  <c r="FI163" i="3"/>
  <c r="FI164" i="3"/>
  <c r="FI165" i="3"/>
  <c r="FI166" i="3"/>
  <c r="FI167" i="3"/>
  <c r="FI168" i="3"/>
  <c r="FI169" i="3"/>
  <c r="FI170" i="3"/>
  <c r="FI171" i="3"/>
  <c r="FI172" i="3"/>
  <c r="FI173" i="3"/>
  <c r="FI174" i="3"/>
  <c r="FI175" i="3"/>
  <c r="FI176" i="3"/>
  <c r="FI177" i="3"/>
  <c r="FI178" i="3"/>
  <c r="FI179" i="3"/>
  <c r="FI180" i="3"/>
  <c r="FI181" i="3"/>
  <c r="FI182" i="3"/>
  <c r="FI183" i="3"/>
  <c r="FI184" i="3"/>
  <c r="FI185" i="3"/>
  <c r="FI186" i="3"/>
  <c r="FI187" i="3"/>
  <c r="FI188" i="3"/>
  <c r="FI189" i="3"/>
  <c r="FI190" i="3"/>
  <c r="FI191" i="3"/>
  <c r="FI192" i="3"/>
  <c r="FI193" i="3"/>
  <c r="FI194" i="3"/>
  <c r="FI195" i="3"/>
  <c r="FI196" i="3"/>
  <c r="FI197" i="3"/>
  <c r="FI198" i="3"/>
  <c r="FI199" i="3"/>
  <c r="FI200" i="3"/>
  <c r="FI201" i="3"/>
  <c r="FI202" i="3"/>
  <c r="FI203" i="3"/>
  <c r="FI204" i="3"/>
  <c r="FI205" i="3"/>
  <c r="FI206" i="3"/>
  <c r="FI207" i="3"/>
  <c r="FI208" i="3"/>
  <c r="FI209" i="3"/>
  <c r="FI210" i="3"/>
  <c r="FI211" i="3"/>
  <c r="FI212" i="3"/>
  <c r="FI213" i="3"/>
  <c r="FI214" i="3"/>
  <c r="FI215" i="3"/>
  <c r="FI216" i="3"/>
  <c r="FI217" i="3"/>
  <c r="FI218" i="3"/>
  <c r="FI219" i="3"/>
  <c r="FI220" i="3"/>
  <c r="FI221" i="3"/>
  <c r="FI222" i="3"/>
  <c r="FI223" i="3"/>
  <c r="FI224" i="3"/>
  <c r="FI225" i="3"/>
  <c r="FI226" i="3"/>
  <c r="FI227" i="3"/>
  <c r="FI228" i="3"/>
  <c r="FI229" i="3"/>
  <c r="FI230" i="3"/>
  <c r="FI231" i="3"/>
  <c r="FI232" i="3"/>
  <c r="FI233" i="3"/>
  <c r="FI234" i="3"/>
  <c r="FI235" i="3"/>
  <c r="FI236" i="3"/>
  <c r="FI237" i="3"/>
  <c r="FI238" i="3"/>
  <c r="FI239" i="3"/>
  <c r="FI240" i="3"/>
  <c r="FI241" i="3"/>
  <c r="FI242" i="3"/>
  <c r="FI243" i="3"/>
  <c r="FI244" i="3"/>
  <c r="FI245" i="3"/>
  <c r="FI246" i="3"/>
  <c r="FI247" i="3"/>
  <c r="FI248" i="3"/>
  <c r="FI249" i="3"/>
  <c r="FI250" i="3"/>
  <c r="FI251" i="3"/>
  <c r="FI252" i="3"/>
  <c r="FI253" i="3"/>
  <c r="FI254" i="3"/>
  <c r="FI255" i="3"/>
  <c r="FI256" i="3"/>
  <c r="FI257" i="3"/>
  <c r="FI258" i="3"/>
  <c r="FI259" i="3"/>
  <c r="FI260" i="3"/>
  <c r="FI261" i="3"/>
  <c r="FI262" i="3"/>
  <c r="FI263" i="3"/>
  <c r="FI264" i="3"/>
  <c r="FI265" i="3"/>
  <c r="FI266" i="3"/>
  <c r="FI267" i="3"/>
  <c r="FI268" i="3"/>
  <c r="FI269" i="3"/>
  <c r="FI270" i="3"/>
  <c r="FI271" i="3"/>
  <c r="FI272" i="3"/>
  <c r="FI273" i="3"/>
  <c r="FI274" i="3"/>
  <c r="FI275" i="3"/>
  <c r="FI276" i="3"/>
  <c r="FI277" i="3"/>
  <c r="FI278" i="3"/>
  <c r="FI279" i="3"/>
  <c r="FI280" i="3"/>
  <c r="FI281" i="3"/>
  <c r="FI282" i="3"/>
  <c r="FI283" i="3"/>
  <c r="FI284" i="3"/>
  <c r="FI285" i="3"/>
  <c r="FI286" i="3"/>
  <c r="FI287" i="3"/>
  <c r="FI288" i="3"/>
  <c r="FI289" i="3"/>
  <c r="FI290" i="3"/>
  <c r="FI291" i="3"/>
  <c r="FI292" i="3"/>
  <c r="FI293" i="3"/>
  <c r="FI294" i="3"/>
  <c r="FI295" i="3"/>
  <c r="FI296" i="3"/>
  <c r="FI297" i="3"/>
  <c r="FI298" i="3"/>
  <c r="FI299" i="3"/>
  <c r="FI300" i="3"/>
  <c r="FI301" i="3"/>
  <c r="FI302" i="3"/>
  <c r="FI303" i="3"/>
  <c r="FI304" i="3"/>
  <c r="FI305" i="3"/>
  <c r="FI306" i="3"/>
  <c r="FI307" i="3"/>
  <c r="FI308" i="3"/>
  <c r="FI309" i="3"/>
  <c r="FI310" i="3"/>
  <c r="FI311" i="3"/>
  <c r="FI312" i="3"/>
  <c r="FI313" i="3"/>
  <c r="FI314" i="3"/>
  <c r="FI315" i="3"/>
  <c r="FI316" i="3"/>
  <c r="FI317" i="3"/>
  <c r="FI318" i="3"/>
  <c r="FI319" i="3"/>
  <c r="FI320" i="3"/>
  <c r="FI321" i="3"/>
  <c r="FI322" i="3"/>
  <c r="FI323" i="3"/>
  <c r="FI324" i="3"/>
  <c r="FI325" i="3"/>
  <c r="FI326" i="3"/>
  <c r="FI327" i="3"/>
  <c r="FI328" i="3"/>
  <c r="FI329" i="3"/>
  <c r="FI330" i="3"/>
  <c r="FI331" i="3"/>
  <c r="FI332" i="3"/>
  <c r="FI333" i="3"/>
  <c r="FI334" i="3"/>
  <c r="FI335" i="3"/>
  <c r="FI336" i="3"/>
  <c r="FI337" i="3"/>
  <c r="FI338" i="3"/>
  <c r="FI339" i="3"/>
  <c r="FI340" i="3"/>
  <c r="FI341" i="3"/>
  <c r="FI342" i="3"/>
  <c r="FI343" i="3"/>
  <c r="FI344" i="3"/>
  <c r="FI345" i="3"/>
  <c r="FI346" i="3"/>
  <c r="FI347" i="3"/>
  <c r="FI348" i="3"/>
  <c r="FI349" i="3"/>
  <c r="FI350" i="3"/>
  <c r="FI351" i="3"/>
  <c r="FI352" i="3"/>
  <c r="FI353" i="3"/>
  <c r="FI354" i="3"/>
  <c r="FI355" i="3"/>
  <c r="FI356" i="3"/>
  <c r="FI357" i="3"/>
  <c r="FI358" i="3"/>
  <c r="FI359" i="3"/>
  <c r="FI360" i="3"/>
  <c r="FI361" i="3"/>
  <c r="FI362" i="3"/>
  <c r="FI363" i="3"/>
  <c r="FI364" i="3"/>
  <c r="FI365" i="3"/>
  <c r="FI366" i="3"/>
  <c r="FI367" i="3"/>
  <c r="FI368" i="3"/>
  <c r="FI369" i="3"/>
  <c r="FI370" i="3"/>
  <c r="FI371" i="3"/>
  <c r="FI372" i="3"/>
  <c r="FI373" i="3"/>
  <c r="FI374" i="3"/>
  <c r="FI375" i="3"/>
  <c r="FI376" i="3"/>
  <c r="FI377" i="3"/>
  <c r="FI378" i="3"/>
  <c r="FI379" i="3"/>
  <c r="FI380" i="3"/>
  <c r="FI381" i="3"/>
  <c r="FI382" i="3"/>
  <c r="FI383" i="3"/>
  <c r="FI384" i="3"/>
  <c r="FI385" i="3"/>
  <c r="FI386" i="3"/>
  <c r="FI387" i="3"/>
  <c r="FI388" i="3"/>
  <c r="FI389" i="3"/>
  <c r="FI390" i="3"/>
  <c r="FI391" i="3"/>
  <c r="FI392" i="3"/>
  <c r="FI393" i="3"/>
  <c r="FI394" i="3"/>
  <c r="FI395" i="3"/>
  <c r="FI396" i="3"/>
  <c r="FI397" i="3"/>
  <c r="FI398" i="3"/>
  <c r="FI399" i="3"/>
  <c r="FI400" i="3"/>
  <c r="FI401" i="3"/>
  <c r="FI402" i="3"/>
  <c r="FI403" i="3"/>
  <c r="FI404" i="3"/>
  <c r="FI405" i="3"/>
  <c r="FI406" i="3"/>
  <c r="FI407" i="3"/>
  <c r="FI408" i="3"/>
  <c r="FI409" i="3"/>
  <c r="FI410" i="3"/>
  <c r="FI411" i="3"/>
  <c r="FI412" i="3"/>
  <c r="FI413" i="3"/>
  <c r="FI414" i="3"/>
  <c r="FI415" i="3"/>
  <c r="FI416" i="3"/>
  <c r="FI417" i="3"/>
  <c r="FI418" i="3"/>
  <c r="FI419" i="3"/>
  <c r="FI420" i="3"/>
  <c r="FI421" i="3"/>
  <c r="FI422" i="3"/>
  <c r="FI423" i="3"/>
  <c r="FI424" i="3"/>
  <c r="FI425" i="3"/>
  <c r="FI426" i="3"/>
  <c r="FI427" i="3"/>
  <c r="FI428" i="3"/>
  <c r="FI429" i="3"/>
  <c r="FI430" i="3"/>
  <c r="FI431" i="3"/>
  <c r="FI432" i="3"/>
  <c r="FI433" i="3"/>
  <c r="FI434" i="3"/>
  <c r="FI435" i="3"/>
  <c r="FI436" i="3"/>
  <c r="FI437" i="3"/>
  <c r="FI438" i="3"/>
  <c r="FI439" i="3"/>
  <c r="FI440" i="3"/>
  <c r="FI441" i="3"/>
  <c r="FI442" i="3"/>
  <c r="FI443" i="3"/>
  <c r="FI444" i="3"/>
  <c r="FI445" i="3"/>
  <c r="FI446" i="3"/>
  <c r="FI447" i="3"/>
  <c r="FI448" i="3"/>
  <c r="FI449" i="3"/>
  <c r="FI450" i="3"/>
  <c r="FI451" i="3"/>
  <c r="FI452" i="3"/>
  <c r="FI453" i="3"/>
  <c r="FI454" i="3"/>
  <c r="FI455" i="3"/>
  <c r="FI456" i="3"/>
  <c r="FI457" i="3"/>
  <c r="FI458" i="3"/>
  <c r="FI459" i="3"/>
  <c r="FI460" i="3"/>
  <c r="FI461" i="3"/>
  <c r="FI462" i="3"/>
  <c r="FI463" i="3"/>
  <c r="FI464" i="3"/>
  <c r="FI465" i="3"/>
  <c r="FI466" i="3"/>
  <c r="FI467" i="3"/>
  <c r="FI468" i="3"/>
  <c r="FI469" i="3"/>
  <c r="FI470" i="3"/>
  <c r="FI471" i="3"/>
  <c r="FI472" i="3"/>
  <c r="FI473" i="3"/>
  <c r="FI474" i="3"/>
  <c r="FI475" i="3"/>
  <c r="FI476" i="3"/>
  <c r="FI477" i="3"/>
  <c r="FI478" i="3"/>
  <c r="FI479" i="3"/>
  <c r="FI480" i="3"/>
  <c r="FI481" i="3"/>
  <c r="FI482" i="3"/>
  <c r="FI483" i="3"/>
  <c r="FI484" i="3"/>
  <c r="FI485" i="3"/>
  <c r="FI486" i="3"/>
  <c r="FI487" i="3"/>
  <c r="FI488" i="3"/>
  <c r="FI489" i="3"/>
  <c r="FI490" i="3"/>
  <c r="FI491" i="3"/>
  <c r="FI492" i="3"/>
  <c r="FI493" i="3"/>
  <c r="FI494" i="3"/>
  <c r="FI495" i="3"/>
  <c r="FI496" i="3"/>
  <c r="FI497" i="3"/>
  <c r="FI498" i="3"/>
  <c r="FI499" i="3"/>
  <c r="FI500" i="3"/>
  <c r="FI501" i="3"/>
  <c r="FI502" i="3"/>
  <c r="FI503" i="3"/>
  <c r="FI504" i="3"/>
  <c r="FI505" i="3"/>
  <c r="FI506" i="3"/>
  <c r="FI507" i="3"/>
  <c r="FI508" i="3"/>
  <c r="FI509" i="3"/>
  <c r="FI510" i="3"/>
  <c r="FI511" i="3"/>
  <c r="FI512" i="3"/>
  <c r="FI513" i="3"/>
  <c r="FI514" i="3"/>
  <c r="FI515" i="3"/>
  <c r="FI516" i="3"/>
  <c r="FI517" i="3"/>
  <c r="FI518" i="3"/>
  <c r="FI519" i="3"/>
  <c r="FI520" i="3"/>
  <c r="FI521" i="3"/>
  <c r="FI522" i="3"/>
  <c r="FI523" i="3"/>
  <c r="FI524" i="3"/>
  <c r="FI525" i="3"/>
  <c r="FI526" i="3"/>
  <c r="FI527" i="3"/>
  <c r="FI528" i="3"/>
  <c r="FI529" i="3"/>
  <c r="FI530" i="3"/>
  <c r="FI531" i="3"/>
  <c r="FI532" i="3"/>
  <c r="FI533" i="3"/>
  <c r="FI534" i="3"/>
  <c r="FI535" i="3"/>
  <c r="FI536" i="3"/>
  <c r="FI537" i="3"/>
  <c r="FI538" i="3"/>
  <c r="FI539" i="3"/>
  <c r="FI540" i="3"/>
  <c r="FI541" i="3"/>
  <c r="FI542" i="3"/>
  <c r="FI543" i="3"/>
  <c r="FI544" i="3"/>
  <c r="FI545" i="3"/>
  <c r="FI546" i="3"/>
  <c r="FI547" i="3"/>
  <c r="FI548" i="3"/>
  <c r="FI549" i="3"/>
  <c r="FI550" i="3"/>
  <c r="FI551" i="3"/>
  <c r="FI552" i="3"/>
  <c r="FI553" i="3"/>
  <c r="FI554" i="3"/>
  <c r="FI555" i="3"/>
  <c r="FI556" i="3"/>
  <c r="FI557" i="3"/>
  <c r="FI558" i="3"/>
  <c r="FI559" i="3"/>
  <c r="FI560" i="3"/>
  <c r="FI561" i="3"/>
  <c r="FI562" i="3"/>
  <c r="FI563" i="3"/>
  <c r="FI564" i="3"/>
  <c r="FI565" i="3"/>
  <c r="FI566" i="3"/>
  <c r="FI567" i="3"/>
  <c r="FI568" i="3"/>
  <c r="FI569" i="3"/>
  <c r="FI570" i="3"/>
  <c r="FI571" i="3"/>
  <c r="FI572" i="3"/>
  <c r="FI573" i="3"/>
  <c r="FI574" i="3"/>
  <c r="FI575" i="3"/>
  <c r="FI576" i="3"/>
  <c r="FI577" i="3"/>
  <c r="FI578" i="3"/>
  <c r="FI579" i="3"/>
  <c r="FI580" i="3"/>
  <c r="FI581" i="3"/>
  <c r="FI582" i="3"/>
  <c r="FI583" i="3"/>
  <c r="FI584" i="3"/>
  <c r="FI585" i="3"/>
  <c r="FI586" i="3"/>
  <c r="FI587" i="3"/>
  <c r="FI588" i="3"/>
  <c r="FI589" i="3"/>
  <c r="FI590" i="3"/>
  <c r="FI591" i="3"/>
  <c r="FI592" i="3"/>
  <c r="FI593" i="3"/>
  <c r="FI594" i="3"/>
  <c r="FI595" i="3"/>
  <c r="FI596" i="3"/>
  <c r="FI597" i="3"/>
  <c r="FI598" i="3"/>
  <c r="FI599" i="3"/>
  <c r="FI600" i="3"/>
  <c r="FH3" i="3"/>
  <c r="FH4" i="3"/>
  <c r="FH5" i="3"/>
  <c r="FH6" i="3"/>
  <c r="FH7" i="3"/>
  <c r="FH8" i="3"/>
  <c r="FH9" i="3"/>
  <c r="FH10" i="3"/>
  <c r="FH11" i="3"/>
  <c r="FH12" i="3"/>
  <c r="FH13" i="3"/>
  <c r="FH14" i="3"/>
  <c r="FH15" i="3"/>
  <c r="FH16" i="3"/>
  <c r="FH17" i="3"/>
  <c r="FH18" i="3"/>
  <c r="FH19" i="3"/>
  <c r="FH20" i="3"/>
  <c r="FH21" i="3"/>
  <c r="FH22" i="3"/>
  <c r="FH23" i="3"/>
  <c r="FH24" i="3"/>
  <c r="FH25" i="3"/>
  <c r="FH26" i="3"/>
  <c r="FH27" i="3"/>
  <c r="FH28" i="3"/>
  <c r="FH29" i="3"/>
  <c r="FH30" i="3"/>
  <c r="FH31" i="3"/>
  <c r="FH32" i="3"/>
  <c r="FH33" i="3"/>
  <c r="FH34" i="3"/>
  <c r="FH35" i="3"/>
  <c r="FH36" i="3"/>
  <c r="FH37" i="3"/>
  <c r="FH38" i="3"/>
  <c r="FH39" i="3"/>
  <c r="FH40" i="3"/>
  <c r="FH41" i="3"/>
  <c r="FH42" i="3"/>
  <c r="FH43" i="3"/>
  <c r="FH44" i="3"/>
  <c r="FH45" i="3"/>
  <c r="FH46" i="3"/>
  <c r="FH47" i="3"/>
  <c r="FH48" i="3"/>
  <c r="FH49" i="3"/>
  <c r="FH50" i="3"/>
  <c r="FH51" i="3"/>
  <c r="FH52" i="3"/>
  <c r="FH53" i="3"/>
  <c r="FH54" i="3"/>
  <c r="FH55" i="3"/>
  <c r="FH56" i="3"/>
  <c r="FH57" i="3"/>
  <c r="FH58" i="3"/>
  <c r="FH59" i="3"/>
  <c r="FH60" i="3"/>
  <c r="FH61" i="3"/>
  <c r="FH62" i="3"/>
  <c r="FH63" i="3"/>
  <c r="FH64" i="3"/>
  <c r="FH65" i="3"/>
  <c r="FH66" i="3"/>
  <c r="FH67" i="3"/>
  <c r="FH68" i="3"/>
  <c r="FH69" i="3"/>
  <c r="FH70" i="3"/>
  <c r="FH71" i="3"/>
  <c r="FH72" i="3"/>
  <c r="FH73" i="3"/>
  <c r="FH74" i="3"/>
  <c r="FH75" i="3"/>
  <c r="FH76" i="3"/>
  <c r="FH77" i="3"/>
  <c r="FH78" i="3"/>
  <c r="FH79" i="3"/>
  <c r="FH80" i="3"/>
  <c r="FH81" i="3"/>
  <c r="FH82" i="3"/>
  <c r="FH83" i="3"/>
  <c r="FH84" i="3"/>
  <c r="FH85" i="3"/>
  <c r="FH86" i="3"/>
  <c r="FH87" i="3"/>
  <c r="FH88" i="3"/>
  <c r="FH89" i="3"/>
  <c r="FH90" i="3"/>
  <c r="FH91" i="3"/>
  <c r="FH92" i="3"/>
  <c r="FH93" i="3"/>
  <c r="FH94" i="3"/>
  <c r="FH95" i="3"/>
  <c r="FH96" i="3"/>
  <c r="FH97" i="3"/>
  <c r="FH98" i="3"/>
  <c r="FH99" i="3"/>
  <c r="FH100" i="3"/>
  <c r="FH101" i="3"/>
  <c r="FH102" i="3"/>
  <c r="FH103" i="3"/>
  <c r="FH104" i="3"/>
  <c r="FH105" i="3"/>
  <c r="FH106" i="3"/>
  <c r="FH107" i="3"/>
  <c r="FH108" i="3"/>
  <c r="FH109" i="3"/>
  <c r="FH110" i="3"/>
  <c r="FH111" i="3"/>
  <c r="FH112" i="3"/>
  <c r="FH113" i="3"/>
  <c r="FH114" i="3"/>
  <c r="FH115" i="3"/>
  <c r="FH116" i="3"/>
  <c r="FH117" i="3"/>
  <c r="FH118" i="3"/>
  <c r="FH119" i="3"/>
  <c r="FH120" i="3"/>
  <c r="FH121" i="3"/>
  <c r="FH122" i="3"/>
  <c r="FH123" i="3"/>
  <c r="FH124" i="3"/>
  <c r="FH125" i="3"/>
  <c r="FH126" i="3"/>
  <c r="FH127" i="3"/>
  <c r="FH128" i="3"/>
  <c r="FH129" i="3"/>
  <c r="FH130" i="3"/>
  <c r="FH131" i="3"/>
  <c r="FH132" i="3"/>
  <c r="FH133" i="3"/>
  <c r="FH134" i="3"/>
  <c r="FH135" i="3"/>
  <c r="FH136" i="3"/>
  <c r="FH137" i="3"/>
  <c r="FH138" i="3"/>
  <c r="FH139" i="3"/>
  <c r="FH140" i="3"/>
  <c r="FH141" i="3"/>
  <c r="FH142" i="3"/>
  <c r="FH143" i="3"/>
  <c r="FH144" i="3"/>
  <c r="FH145" i="3"/>
  <c r="FH146" i="3"/>
  <c r="FH147" i="3"/>
  <c r="FH148" i="3"/>
  <c r="FH149" i="3"/>
  <c r="FH150" i="3"/>
  <c r="FH151" i="3"/>
  <c r="FH152" i="3"/>
  <c r="FH153" i="3"/>
  <c r="FH154" i="3"/>
  <c r="FH155" i="3"/>
  <c r="FH156" i="3"/>
  <c r="FH157" i="3"/>
  <c r="FH158" i="3"/>
  <c r="FH159" i="3"/>
  <c r="FH160" i="3"/>
  <c r="FH161" i="3"/>
  <c r="FH162" i="3"/>
  <c r="FH163" i="3"/>
  <c r="FH164" i="3"/>
  <c r="FH165" i="3"/>
  <c r="FH166" i="3"/>
  <c r="FH167" i="3"/>
  <c r="FH168" i="3"/>
  <c r="FH169" i="3"/>
  <c r="FH170" i="3"/>
  <c r="FH171" i="3"/>
  <c r="FH172" i="3"/>
  <c r="FH173" i="3"/>
  <c r="FH174" i="3"/>
  <c r="FH175" i="3"/>
  <c r="FH176" i="3"/>
  <c r="FH177" i="3"/>
  <c r="FH178" i="3"/>
  <c r="FH179" i="3"/>
  <c r="FH180" i="3"/>
  <c r="FH181" i="3"/>
  <c r="FH182" i="3"/>
  <c r="FH183" i="3"/>
  <c r="FH184" i="3"/>
  <c r="FH185" i="3"/>
  <c r="FH186" i="3"/>
  <c r="FH187" i="3"/>
  <c r="FH188" i="3"/>
  <c r="FH189" i="3"/>
  <c r="FH190" i="3"/>
  <c r="FH191" i="3"/>
  <c r="FH192" i="3"/>
  <c r="FH193" i="3"/>
  <c r="FH194" i="3"/>
  <c r="FH195" i="3"/>
  <c r="FH196" i="3"/>
  <c r="FH197" i="3"/>
  <c r="FH198" i="3"/>
  <c r="FH199" i="3"/>
  <c r="FH200" i="3"/>
  <c r="FH201" i="3"/>
  <c r="FH202" i="3"/>
  <c r="FH203" i="3"/>
  <c r="FH204" i="3"/>
  <c r="FH205" i="3"/>
  <c r="FH206" i="3"/>
  <c r="FH207" i="3"/>
  <c r="FH208" i="3"/>
  <c r="FH209" i="3"/>
  <c r="FH210" i="3"/>
  <c r="FH211" i="3"/>
  <c r="FH212" i="3"/>
  <c r="FH213" i="3"/>
  <c r="FH214" i="3"/>
  <c r="FH215" i="3"/>
  <c r="FH216" i="3"/>
  <c r="FH217" i="3"/>
  <c r="FH218" i="3"/>
  <c r="FH219" i="3"/>
  <c r="FH220" i="3"/>
  <c r="FH221" i="3"/>
  <c r="FH222" i="3"/>
  <c r="FH223" i="3"/>
  <c r="FH224" i="3"/>
  <c r="FH225" i="3"/>
  <c r="FH226" i="3"/>
  <c r="FH227" i="3"/>
  <c r="FH228" i="3"/>
  <c r="FH229" i="3"/>
  <c r="FH230" i="3"/>
  <c r="FH231" i="3"/>
  <c r="FH232" i="3"/>
  <c r="FH233" i="3"/>
  <c r="FH234" i="3"/>
  <c r="FH235" i="3"/>
  <c r="FH236" i="3"/>
  <c r="FH237" i="3"/>
  <c r="FH238" i="3"/>
  <c r="FH239" i="3"/>
  <c r="FH240" i="3"/>
  <c r="FH241" i="3"/>
  <c r="FH242" i="3"/>
  <c r="FH243" i="3"/>
  <c r="FH244" i="3"/>
  <c r="FH245" i="3"/>
  <c r="FH246" i="3"/>
  <c r="FH247" i="3"/>
  <c r="FH248" i="3"/>
  <c r="FH249" i="3"/>
  <c r="FH250" i="3"/>
  <c r="FH251" i="3"/>
  <c r="FH252" i="3"/>
  <c r="FH253" i="3"/>
  <c r="FH254" i="3"/>
  <c r="FH255" i="3"/>
  <c r="FH256" i="3"/>
  <c r="FH257" i="3"/>
  <c r="FH258" i="3"/>
  <c r="FH259" i="3"/>
  <c r="FH260" i="3"/>
  <c r="FH261" i="3"/>
  <c r="FH262" i="3"/>
  <c r="FH263" i="3"/>
  <c r="FH264" i="3"/>
  <c r="FH265" i="3"/>
  <c r="FH266" i="3"/>
  <c r="FH267" i="3"/>
  <c r="FH268" i="3"/>
  <c r="FH269" i="3"/>
  <c r="FH270" i="3"/>
  <c r="FH271" i="3"/>
  <c r="FH272" i="3"/>
  <c r="FH273" i="3"/>
  <c r="FH274" i="3"/>
  <c r="FH275" i="3"/>
  <c r="FH276" i="3"/>
  <c r="FH277" i="3"/>
  <c r="FH278" i="3"/>
  <c r="FH279" i="3"/>
  <c r="FH280" i="3"/>
  <c r="FH281" i="3"/>
  <c r="FH282" i="3"/>
  <c r="FH283" i="3"/>
  <c r="FH284" i="3"/>
  <c r="FH285" i="3"/>
  <c r="FH286" i="3"/>
  <c r="FH287" i="3"/>
  <c r="FH288" i="3"/>
  <c r="FH289" i="3"/>
  <c r="FH290" i="3"/>
  <c r="FH291" i="3"/>
  <c r="FH292" i="3"/>
  <c r="FH293" i="3"/>
  <c r="FH294" i="3"/>
  <c r="FH295" i="3"/>
  <c r="FH296" i="3"/>
  <c r="FH297" i="3"/>
  <c r="FH298" i="3"/>
  <c r="FH299" i="3"/>
  <c r="FH300" i="3"/>
  <c r="FH301" i="3"/>
  <c r="FH302" i="3"/>
  <c r="FH303" i="3"/>
  <c r="FH304" i="3"/>
  <c r="FH305" i="3"/>
  <c r="FH306" i="3"/>
  <c r="FH307" i="3"/>
  <c r="FH308" i="3"/>
  <c r="FH309" i="3"/>
  <c r="FH310" i="3"/>
  <c r="FH311" i="3"/>
  <c r="FH312" i="3"/>
  <c r="FH313" i="3"/>
  <c r="FH314" i="3"/>
  <c r="FH315" i="3"/>
  <c r="FH316" i="3"/>
  <c r="FH317" i="3"/>
  <c r="FH318" i="3"/>
  <c r="FH319" i="3"/>
  <c r="FH320" i="3"/>
  <c r="FH321" i="3"/>
  <c r="FH322" i="3"/>
  <c r="FH323" i="3"/>
  <c r="FH324" i="3"/>
  <c r="FH325" i="3"/>
  <c r="FH326" i="3"/>
  <c r="FH327" i="3"/>
  <c r="FH328" i="3"/>
  <c r="FH329" i="3"/>
  <c r="FH330" i="3"/>
  <c r="FH331" i="3"/>
  <c r="FH332" i="3"/>
  <c r="FH333" i="3"/>
  <c r="FH334" i="3"/>
  <c r="FH335" i="3"/>
  <c r="FH336" i="3"/>
  <c r="FH337" i="3"/>
  <c r="FH338" i="3"/>
  <c r="FH339" i="3"/>
  <c r="FH340" i="3"/>
  <c r="FH341" i="3"/>
  <c r="FH342" i="3"/>
  <c r="FH343" i="3"/>
  <c r="FH344" i="3"/>
  <c r="FH345" i="3"/>
  <c r="FH346" i="3"/>
  <c r="FH347" i="3"/>
  <c r="FH348" i="3"/>
  <c r="FH349" i="3"/>
  <c r="FH350" i="3"/>
  <c r="FH351" i="3"/>
  <c r="FH352" i="3"/>
  <c r="FH353" i="3"/>
  <c r="FH354" i="3"/>
  <c r="FH355" i="3"/>
  <c r="FH356" i="3"/>
  <c r="FH357" i="3"/>
  <c r="FH358" i="3"/>
  <c r="FH359" i="3"/>
  <c r="FH360" i="3"/>
  <c r="FH361" i="3"/>
  <c r="FH362" i="3"/>
  <c r="FH363" i="3"/>
  <c r="FH364" i="3"/>
  <c r="FH365" i="3"/>
  <c r="FH366" i="3"/>
  <c r="FH367" i="3"/>
  <c r="FH368" i="3"/>
  <c r="FH369" i="3"/>
  <c r="FH370" i="3"/>
  <c r="FH371" i="3"/>
  <c r="FH372" i="3"/>
  <c r="FH373" i="3"/>
  <c r="FH374" i="3"/>
  <c r="FH375" i="3"/>
  <c r="FH376" i="3"/>
  <c r="FH377" i="3"/>
  <c r="FH378" i="3"/>
  <c r="FH379" i="3"/>
  <c r="FH380" i="3"/>
  <c r="FH381" i="3"/>
  <c r="FH382" i="3"/>
  <c r="FH383" i="3"/>
  <c r="FH384" i="3"/>
  <c r="FH385" i="3"/>
  <c r="FH386" i="3"/>
  <c r="FH387" i="3"/>
  <c r="FH388" i="3"/>
  <c r="FH389" i="3"/>
  <c r="FH390" i="3"/>
  <c r="FH391" i="3"/>
  <c r="FH392" i="3"/>
  <c r="FH393" i="3"/>
  <c r="FH394" i="3"/>
  <c r="FH395" i="3"/>
  <c r="FH396" i="3"/>
  <c r="FH397" i="3"/>
  <c r="FH398" i="3"/>
  <c r="FH399" i="3"/>
  <c r="FH400" i="3"/>
  <c r="FH401" i="3"/>
  <c r="FH402" i="3"/>
  <c r="FH403" i="3"/>
  <c r="FH404" i="3"/>
  <c r="FH405" i="3"/>
  <c r="FH406" i="3"/>
  <c r="FH407" i="3"/>
  <c r="FH408" i="3"/>
  <c r="FH409" i="3"/>
  <c r="FH410" i="3"/>
  <c r="FH411" i="3"/>
  <c r="FH412" i="3"/>
  <c r="FH413" i="3"/>
  <c r="FH414" i="3"/>
  <c r="FH415" i="3"/>
  <c r="FH416" i="3"/>
  <c r="FH417" i="3"/>
  <c r="FH418" i="3"/>
  <c r="FH419" i="3"/>
  <c r="FH420" i="3"/>
  <c r="FH421" i="3"/>
  <c r="FH422" i="3"/>
  <c r="FH423" i="3"/>
  <c r="FH424" i="3"/>
  <c r="FH425" i="3"/>
  <c r="FH426" i="3"/>
  <c r="FH427" i="3"/>
  <c r="FH428" i="3"/>
  <c r="FH429" i="3"/>
  <c r="FH430" i="3"/>
  <c r="FH431" i="3"/>
  <c r="FH432" i="3"/>
  <c r="FH433" i="3"/>
  <c r="FH434" i="3"/>
  <c r="FH435" i="3"/>
  <c r="FH436" i="3"/>
  <c r="FH437" i="3"/>
  <c r="FH438" i="3"/>
  <c r="FH439" i="3"/>
  <c r="FH440" i="3"/>
  <c r="FH441" i="3"/>
  <c r="FH442" i="3"/>
  <c r="FH443" i="3"/>
  <c r="FH444" i="3"/>
  <c r="FH445" i="3"/>
  <c r="FH446" i="3"/>
  <c r="FH447" i="3"/>
  <c r="FH448" i="3"/>
  <c r="FH449" i="3"/>
  <c r="FH450" i="3"/>
  <c r="FH451" i="3"/>
  <c r="FH452" i="3"/>
  <c r="FH453" i="3"/>
  <c r="FH454" i="3"/>
  <c r="FH455" i="3"/>
  <c r="FH456" i="3"/>
  <c r="FH457" i="3"/>
  <c r="FH458" i="3"/>
  <c r="FH459" i="3"/>
  <c r="FH460" i="3"/>
  <c r="FH461" i="3"/>
  <c r="FH462" i="3"/>
  <c r="FH463" i="3"/>
  <c r="FH464" i="3"/>
  <c r="FH465" i="3"/>
  <c r="FH466" i="3"/>
  <c r="FH467" i="3"/>
  <c r="FH468" i="3"/>
  <c r="FH469" i="3"/>
  <c r="FH470" i="3"/>
  <c r="FH471" i="3"/>
  <c r="FH472" i="3"/>
  <c r="FH473" i="3"/>
  <c r="FH474" i="3"/>
  <c r="FH475" i="3"/>
  <c r="FH476" i="3"/>
  <c r="FH477" i="3"/>
  <c r="FH478" i="3"/>
  <c r="FH479" i="3"/>
  <c r="FH480" i="3"/>
  <c r="FH481" i="3"/>
  <c r="FH482" i="3"/>
  <c r="FH483" i="3"/>
  <c r="FH484" i="3"/>
  <c r="FH485" i="3"/>
  <c r="FH486" i="3"/>
  <c r="FH487" i="3"/>
  <c r="FH488" i="3"/>
  <c r="FH489" i="3"/>
  <c r="FH490" i="3"/>
  <c r="FH491" i="3"/>
  <c r="FH492" i="3"/>
  <c r="FH493" i="3"/>
  <c r="FH494" i="3"/>
  <c r="FH495" i="3"/>
  <c r="FH496" i="3"/>
  <c r="FH497" i="3"/>
  <c r="FH498" i="3"/>
  <c r="FH499" i="3"/>
  <c r="FH500" i="3"/>
  <c r="FH501" i="3"/>
  <c r="FH502" i="3"/>
  <c r="FH503" i="3"/>
  <c r="FH504" i="3"/>
  <c r="FH505" i="3"/>
  <c r="FH506" i="3"/>
  <c r="FH507" i="3"/>
  <c r="FH508" i="3"/>
  <c r="FH509" i="3"/>
  <c r="FH510" i="3"/>
  <c r="FH511" i="3"/>
  <c r="FH512" i="3"/>
  <c r="FH513" i="3"/>
  <c r="FH514" i="3"/>
  <c r="FH515" i="3"/>
  <c r="FH516" i="3"/>
  <c r="FH517" i="3"/>
  <c r="FH518" i="3"/>
  <c r="FH519" i="3"/>
  <c r="FH520" i="3"/>
  <c r="FH521" i="3"/>
  <c r="FH522" i="3"/>
  <c r="FH523" i="3"/>
  <c r="FH524" i="3"/>
  <c r="FH525" i="3"/>
  <c r="FH526" i="3"/>
  <c r="FH527" i="3"/>
  <c r="FH528" i="3"/>
  <c r="FH529" i="3"/>
  <c r="FH530" i="3"/>
  <c r="FH531" i="3"/>
  <c r="FH532" i="3"/>
  <c r="FH533" i="3"/>
  <c r="FH534" i="3"/>
  <c r="FH535" i="3"/>
  <c r="FH536" i="3"/>
  <c r="FH537" i="3"/>
  <c r="FH538" i="3"/>
  <c r="FH539" i="3"/>
  <c r="FH540" i="3"/>
  <c r="FH541" i="3"/>
  <c r="FH542" i="3"/>
  <c r="FH543" i="3"/>
  <c r="FH544" i="3"/>
  <c r="FH545" i="3"/>
  <c r="FH546" i="3"/>
  <c r="FH547" i="3"/>
  <c r="FH548" i="3"/>
  <c r="FH549" i="3"/>
  <c r="FH550" i="3"/>
  <c r="FH551" i="3"/>
  <c r="FH552" i="3"/>
  <c r="FH553" i="3"/>
  <c r="FH554" i="3"/>
  <c r="FH555" i="3"/>
  <c r="FH556" i="3"/>
  <c r="FH557" i="3"/>
  <c r="FH558" i="3"/>
  <c r="FH559" i="3"/>
  <c r="FH560" i="3"/>
  <c r="FH561" i="3"/>
  <c r="FH562" i="3"/>
  <c r="FH563" i="3"/>
  <c r="FH564" i="3"/>
  <c r="FH565" i="3"/>
  <c r="FH566" i="3"/>
  <c r="FH567" i="3"/>
  <c r="FH568" i="3"/>
  <c r="FH569" i="3"/>
  <c r="FH570" i="3"/>
  <c r="FH571" i="3"/>
  <c r="FH572" i="3"/>
  <c r="FH573" i="3"/>
  <c r="FH574" i="3"/>
  <c r="FH575" i="3"/>
  <c r="FH576" i="3"/>
  <c r="FH577" i="3"/>
  <c r="FH578" i="3"/>
  <c r="FH579" i="3"/>
  <c r="FH580" i="3"/>
  <c r="FH581" i="3"/>
  <c r="FH582" i="3"/>
  <c r="FH583" i="3"/>
  <c r="FH584" i="3"/>
  <c r="FH585" i="3"/>
  <c r="FH586" i="3"/>
  <c r="FH587" i="3"/>
  <c r="FH588" i="3"/>
  <c r="FH589" i="3"/>
  <c r="FH590" i="3"/>
  <c r="FH591" i="3"/>
  <c r="FH592" i="3"/>
  <c r="FH593" i="3"/>
  <c r="FH594" i="3"/>
  <c r="FH595" i="3"/>
  <c r="FH596" i="3"/>
  <c r="FH597" i="3"/>
  <c r="FH598" i="3"/>
  <c r="FH599" i="3"/>
  <c r="FH600" i="3"/>
  <c r="FG3" i="3"/>
  <c r="FG4" i="3"/>
  <c r="FG5" i="3"/>
  <c r="FG6" i="3"/>
  <c r="FG7" i="3"/>
  <c r="FG8" i="3"/>
  <c r="FG9" i="3"/>
  <c r="FG10" i="3"/>
  <c r="FG11" i="3"/>
  <c r="FG12" i="3"/>
  <c r="FG13" i="3"/>
  <c r="FG14" i="3"/>
  <c r="FG15" i="3"/>
  <c r="FG16" i="3"/>
  <c r="FG17" i="3"/>
  <c r="FG18" i="3"/>
  <c r="FG19" i="3"/>
  <c r="FG20" i="3"/>
  <c r="FG21" i="3"/>
  <c r="FG22" i="3"/>
  <c r="FG23" i="3"/>
  <c r="FG24" i="3"/>
  <c r="FG25" i="3"/>
  <c r="FG26" i="3"/>
  <c r="FG27" i="3"/>
  <c r="FG28" i="3"/>
  <c r="FG29" i="3"/>
  <c r="FG30" i="3"/>
  <c r="FG31" i="3"/>
  <c r="FG32" i="3"/>
  <c r="FG33" i="3"/>
  <c r="FG34" i="3"/>
  <c r="FG35" i="3"/>
  <c r="FG36" i="3"/>
  <c r="FG37" i="3"/>
  <c r="FG38" i="3"/>
  <c r="FG39" i="3"/>
  <c r="FG40" i="3"/>
  <c r="FG41" i="3"/>
  <c r="FG42" i="3"/>
  <c r="FG43" i="3"/>
  <c r="FG44" i="3"/>
  <c r="FG45" i="3"/>
  <c r="FG46" i="3"/>
  <c r="FG47" i="3"/>
  <c r="FG48" i="3"/>
  <c r="FG49" i="3"/>
  <c r="FG50" i="3"/>
  <c r="FG51" i="3"/>
  <c r="FG52" i="3"/>
  <c r="FG53" i="3"/>
  <c r="FG54" i="3"/>
  <c r="FG55" i="3"/>
  <c r="FG56" i="3"/>
  <c r="FG57" i="3"/>
  <c r="FG58" i="3"/>
  <c r="FG59" i="3"/>
  <c r="FG60" i="3"/>
  <c r="FG61" i="3"/>
  <c r="FG62" i="3"/>
  <c r="FG63" i="3"/>
  <c r="FG64" i="3"/>
  <c r="FG65" i="3"/>
  <c r="FG66" i="3"/>
  <c r="FG67" i="3"/>
  <c r="FG68" i="3"/>
  <c r="FG69" i="3"/>
  <c r="FG70" i="3"/>
  <c r="FG71" i="3"/>
  <c r="FG72" i="3"/>
  <c r="FG73" i="3"/>
  <c r="FG74" i="3"/>
  <c r="FG75" i="3"/>
  <c r="FG76" i="3"/>
  <c r="FG77" i="3"/>
  <c r="FG78" i="3"/>
  <c r="FG79" i="3"/>
  <c r="FG80" i="3"/>
  <c r="FG81" i="3"/>
  <c r="FG82" i="3"/>
  <c r="FG83" i="3"/>
  <c r="FG84" i="3"/>
  <c r="FG85" i="3"/>
  <c r="FG86" i="3"/>
  <c r="FG87" i="3"/>
  <c r="FG88" i="3"/>
  <c r="FG89" i="3"/>
  <c r="FG90" i="3"/>
  <c r="FG91" i="3"/>
  <c r="FG92" i="3"/>
  <c r="FG93" i="3"/>
  <c r="FG94" i="3"/>
  <c r="FG95" i="3"/>
  <c r="FG96" i="3"/>
  <c r="FG97" i="3"/>
  <c r="FG98" i="3"/>
  <c r="FG99" i="3"/>
  <c r="FG100" i="3"/>
  <c r="FG101" i="3"/>
  <c r="FG102" i="3"/>
  <c r="FG103" i="3"/>
  <c r="FG104" i="3"/>
  <c r="FG105" i="3"/>
  <c r="FG106" i="3"/>
  <c r="FG107" i="3"/>
  <c r="FG108" i="3"/>
  <c r="FG109" i="3"/>
  <c r="FG110" i="3"/>
  <c r="FG111" i="3"/>
  <c r="FG112" i="3"/>
  <c r="FG113" i="3"/>
  <c r="FG114" i="3"/>
  <c r="FG115" i="3"/>
  <c r="FG116" i="3"/>
  <c r="FG117" i="3"/>
  <c r="FG118" i="3"/>
  <c r="FG119" i="3"/>
  <c r="FG120" i="3"/>
  <c r="FG121" i="3"/>
  <c r="FG122" i="3"/>
  <c r="FG123" i="3"/>
  <c r="FG124" i="3"/>
  <c r="FG125" i="3"/>
  <c r="FG126" i="3"/>
  <c r="FG127" i="3"/>
  <c r="FG128" i="3"/>
  <c r="FG129" i="3"/>
  <c r="FG130" i="3"/>
  <c r="FG131" i="3"/>
  <c r="FG132" i="3"/>
  <c r="FG133" i="3"/>
  <c r="FG134" i="3"/>
  <c r="FG135" i="3"/>
  <c r="FG136" i="3"/>
  <c r="FG137" i="3"/>
  <c r="FG138" i="3"/>
  <c r="FG139" i="3"/>
  <c r="FG140" i="3"/>
  <c r="FG141" i="3"/>
  <c r="FG142" i="3"/>
  <c r="FG143" i="3"/>
  <c r="FG144" i="3"/>
  <c r="FG145" i="3"/>
  <c r="FG146" i="3"/>
  <c r="FG147" i="3"/>
  <c r="FG148" i="3"/>
  <c r="FG149" i="3"/>
  <c r="FG150" i="3"/>
  <c r="FG151" i="3"/>
  <c r="FG152" i="3"/>
  <c r="FG153" i="3"/>
  <c r="FG154" i="3"/>
  <c r="FG155" i="3"/>
  <c r="FG156" i="3"/>
  <c r="FG157" i="3"/>
  <c r="FG158" i="3"/>
  <c r="FG159" i="3"/>
  <c r="FG160" i="3"/>
  <c r="FG161" i="3"/>
  <c r="FG162" i="3"/>
  <c r="FG163" i="3"/>
  <c r="FG164" i="3"/>
  <c r="FG165" i="3"/>
  <c r="FG166" i="3"/>
  <c r="FG167" i="3"/>
  <c r="FG168" i="3"/>
  <c r="FG169" i="3"/>
  <c r="FG170" i="3"/>
  <c r="FG171" i="3"/>
  <c r="FG172" i="3"/>
  <c r="FG173" i="3"/>
  <c r="FG174" i="3"/>
  <c r="FG175" i="3"/>
  <c r="FG176" i="3"/>
  <c r="FG177" i="3"/>
  <c r="FG178" i="3"/>
  <c r="FG179" i="3"/>
  <c r="FG180" i="3"/>
  <c r="FG181" i="3"/>
  <c r="FG182" i="3"/>
  <c r="FG183" i="3"/>
  <c r="FG184" i="3"/>
  <c r="FG185" i="3"/>
  <c r="FG186" i="3"/>
  <c r="FG187" i="3"/>
  <c r="FG188" i="3"/>
  <c r="FG189" i="3"/>
  <c r="FG190" i="3"/>
  <c r="FG191" i="3"/>
  <c r="FG192" i="3"/>
  <c r="FG193" i="3"/>
  <c r="FG194" i="3"/>
  <c r="FG195" i="3"/>
  <c r="FG196" i="3"/>
  <c r="FG197" i="3"/>
  <c r="FG198" i="3"/>
  <c r="FG199" i="3"/>
  <c r="FG200" i="3"/>
  <c r="FG201" i="3"/>
  <c r="FG202" i="3"/>
  <c r="FG203" i="3"/>
  <c r="FG204" i="3"/>
  <c r="FG205" i="3"/>
  <c r="FG206" i="3"/>
  <c r="FG207" i="3"/>
  <c r="FG208" i="3"/>
  <c r="FG209" i="3"/>
  <c r="FG210" i="3"/>
  <c r="FG211" i="3"/>
  <c r="FG212" i="3"/>
  <c r="FG213" i="3"/>
  <c r="FG214" i="3"/>
  <c r="FG215" i="3"/>
  <c r="FG216" i="3"/>
  <c r="FG217" i="3"/>
  <c r="FG218" i="3"/>
  <c r="FG219" i="3"/>
  <c r="FG220" i="3"/>
  <c r="FG221" i="3"/>
  <c r="FG222" i="3"/>
  <c r="FG223" i="3"/>
  <c r="FG224" i="3"/>
  <c r="FG225" i="3"/>
  <c r="FG226" i="3"/>
  <c r="FG227" i="3"/>
  <c r="FG228" i="3"/>
  <c r="FG229" i="3"/>
  <c r="FG230" i="3"/>
  <c r="FG231" i="3"/>
  <c r="FG232" i="3"/>
  <c r="FG233" i="3"/>
  <c r="FG234" i="3"/>
  <c r="FG235" i="3"/>
  <c r="FG236" i="3"/>
  <c r="FG237" i="3"/>
  <c r="FG238" i="3"/>
  <c r="FG239" i="3"/>
  <c r="FG240" i="3"/>
  <c r="FG241" i="3"/>
  <c r="FG242" i="3"/>
  <c r="FG243" i="3"/>
  <c r="FG244" i="3"/>
  <c r="FG245" i="3"/>
  <c r="FG246" i="3"/>
  <c r="FG247" i="3"/>
  <c r="FG248" i="3"/>
  <c r="FG249" i="3"/>
  <c r="FG250" i="3"/>
  <c r="FG251" i="3"/>
  <c r="FG252" i="3"/>
  <c r="FG253" i="3"/>
  <c r="FG254" i="3"/>
  <c r="FG255" i="3"/>
  <c r="FG256" i="3"/>
  <c r="FG257" i="3"/>
  <c r="FG258" i="3"/>
  <c r="FG259" i="3"/>
  <c r="FG260" i="3"/>
  <c r="FG261" i="3"/>
  <c r="FG262" i="3"/>
  <c r="FG263" i="3"/>
  <c r="FG264" i="3"/>
  <c r="FG265" i="3"/>
  <c r="FG266" i="3"/>
  <c r="FG267" i="3"/>
  <c r="FG268" i="3"/>
  <c r="FG269" i="3"/>
  <c r="FG270" i="3"/>
  <c r="FG271" i="3"/>
  <c r="FG272" i="3"/>
  <c r="FG273" i="3"/>
  <c r="FG274" i="3"/>
  <c r="FG275" i="3"/>
  <c r="FG276" i="3"/>
  <c r="FG277" i="3"/>
  <c r="FG278" i="3"/>
  <c r="FG279" i="3"/>
  <c r="FG280" i="3"/>
  <c r="FG281" i="3"/>
  <c r="FG282" i="3"/>
  <c r="FG283" i="3"/>
  <c r="FG284" i="3"/>
  <c r="FG285" i="3"/>
  <c r="FG286" i="3"/>
  <c r="FG287" i="3"/>
  <c r="FG288" i="3"/>
  <c r="FG289" i="3"/>
  <c r="FG290" i="3"/>
  <c r="FG291" i="3"/>
  <c r="FG292" i="3"/>
  <c r="FG293" i="3"/>
  <c r="FG294" i="3"/>
  <c r="FG295" i="3"/>
  <c r="FG296" i="3"/>
  <c r="FG297" i="3"/>
  <c r="FG298" i="3"/>
  <c r="FG299" i="3"/>
  <c r="FG300" i="3"/>
  <c r="FG301" i="3"/>
  <c r="FG302" i="3"/>
  <c r="FG303" i="3"/>
  <c r="FG304" i="3"/>
  <c r="FG305" i="3"/>
  <c r="FG306" i="3"/>
  <c r="FG307" i="3"/>
  <c r="FG308" i="3"/>
  <c r="FG309" i="3"/>
  <c r="FG310" i="3"/>
  <c r="FG311" i="3"/>
  <c r="FG312" i="3"/>
  <c r="FG313" i="3"/>
  <c r="FG314" i="3"/>
  <c r="FG315" i="3"/>
  <c r="FG316" i="3"/>
  <c r="FG317" i="3"/>
  <c r="FG318" i="3"/>
  <c r="FG319" i="3"/>
  <c r="FG320" i="3"/>
  <c r="FG321" i="3"/>
  <c r="FG322" i="3"/>
  <c r="FG323" i="3"/>
  <c r="FG324" i="3"/>
  <c r="FG325" i="3"/>
  <c r="FG326" i="3"/>
  <c r="FG327" i="3"/>
  <c r="FG328" i="3"/>
  <c r="FG329" i="3"/>
  <c r="FG330" i="3"/>
  <c r="FG331" i="3"/>
  <c r="FG332" i="3"/>
  <c r="FG333" i="3"/>
  <c r="FG334" i="3"/>
  <c r="FG335" i="3"/>
  <c r="FG336" i="3"/>
  <c r="FG337" i="3"/>
  <c r="FG338" i="3"/>
  <c r="FG339" i="3"/>
  <c r="FG340" i="3"/>
  <c r="FG341" i="3"/>
  <c r="FG342" i="3"/>
  <c r="FG343" i="3"/>
  <c r="FG344" i="3"/>
  <c r="FG345" i="3"/>
  <c r="FG346" i="3"/>
  <c r="FG347" i="3"/>
  <c r="FG348" i="3"/>
  <c r="FG349" i="3"/>
  <c r="FG350" i="3"/>
  <c r="FG351" i="3"/>
  <c r="FG352" i="3"/>
  <c r="FG353" i="3"/>
  <c r="FG354" i="3"/>
  <c r="FG355" i="3"/>
  <c r="FG356" i="3"/>
  <c r="FG357" i="3"/>
  <c r="FG358" i="3"/>
  <c r="FG359" i="3"/>
  <c r="FG360" i="3"/>
  <c r="FG361" i="3"/>
  <c r="FG362" i="3"/>
  <c r="FG363" i="3"/>
  <c r="FG364" i="3"/>
  <c r="FG365" i="3"/>
  <c r="FG366" i="3"/>
  <c r="FG367" i="3"/>
  <c r="FG368" i="3"/>
  <c r="FG369" i="3"/>
  <c r="FG370" i="3"/>
  <c r="FG371" i="3"/>
  <c r="FG372" i="3"/>
  <c r="FG373" i="3"/>
  <c r="FG374" i="3"/>
  <c r="FG375" i="3"/>
  <c r="FG376" i="3"/>
  <c r="FG377" i="3"/>
  <c r="FG378" i="3"/>
  <c r="FG379" i="3"/>
  <c r="FG380" i="3"/>
  <c r="FG381" i="3"/>
  <c r="FG382" i="3"/>
  <c r="FG383" i="3"/>
  <c r="FG384" i="3"/>
  <c r="FG385" i="3"/>
  <c r="FG386" i="3"/>
  <c r="FG387" i="3"/>
  <c r="FG388" i="3"/>
  <c r="FG389" i="3"/>
  <c r="FG390" i="3"/>
  <c r="FG391" i="3"/>
  <c r="FG392" i="3"/>
  <c r="FG393" i="3"/>
  <c r="FG394" i="3"/>
  <c r="FG395" i="3"/>
  <c r="FG396" i="3"/>
  <c r="FG397" i="3"/>
  <c r="FG398" i="3"/>
  <c r="FG399" i="3"/>
  <c r="FG400" i="3"/>
  <c r="FG401" i="3"/>
  <c r="FG402" i="3"/>
  <c r="FG403" i="3"/>
  <c r="FG404" i="3"/>
  <c r="FG405" i="3"/>
  <c r="FG406" i="3"/>
  <c r="FG407" i="3"/>
  <c r="FG408" i="3"/>
  <c r="FG409" i="3"/>
  <c r="FG410" i="3"/>
  <c r="FG411" i="3"/>
  <c r="FG412" i="3"/>
  <c r="FG413" i="3"/>
  <c r="FG414" i="3"/>
  <c r="FG415" i="3"/>
  <c r="FG416" i="3"/>
  <c r="FG417" i="3"/>
  <c r="FG418" i="3"/>
  <c r="FG419" i="3"/>
  <c r="FG420" i="3"/>
  <c r="FG421" i="3"/>
  <c r="FG422" i="3"/>
  <c r="FG423" i="3"/>
  <c r="FG424" i="3"/>
  <c r="FG425" i="3"/>
  <c r="FG426" i="3"/>
  <c r="FG427" i="3"/>
  <c r="FG428" i="3"/>
  <c r="FG429" i="3"/>
  <c r="FG430" i="3"/>
  <c r="FG431" i="3"/>
  <c r="FG432" i="3"/>
  <c r="FG433" i="3"/>
  <c r="FG434" i="3"/>
  <c r="FG435" i="3"/>
  <c r="FG436" i="3"/>
  <c r="FG437" i="3"/>
  <c r="FG438" i="3"/>
  <c r="FG439" i="3"/>
  <c r="FG440" i="3"/>
  <c r="FG441" i="3"/>
  <c r="FG442" i="3"/>
  <c r="FG443" i="3"/>
  <c r="FG444" i="3"/>
  <c r="FG445" i="3"/>
  <c r="FG446" i="3"/>
  <c r="FG447" i="3"/>
  <c r="FG448" i="3"/>
  <c r="FG449" i="3"/>
  <c r="FG450" i="3"/>
  <c r="FG451" i="3"/>
  <c r="FG452" i="3"/>
  <c r="FG453" i="3"/>
  <c r="FG454" i="3"/>
  <c r="FG455" i="3"/>
  <c r="FG456" i="3"/>
  <c r="FG457" i="3"/>
  <c r="FG458" i="3"/>
  <c r="FG459" i="3"/>
  <c r="FG460" i="3"/>
  <c r="FG461" i="3"/>
  <c r="FG462" i="3"/>
  <c r="FG463" i="3"/>
  <c r="FG464" i="3"/>
  <c r="FG465" i="3"/>
  <c r="FG466" i="3"/>
  <c r="FG467" i="3"/>
  <c r="FG468" i="3"/>
  <c r="FG469" i="3"/>
  <c r="FG470" i="3"/>
  <c r="FG471" i="3"/>
  <c r="FG472" i="3"/>
  <c r="FG473" i="3"/>
  <c r="FG474" i="3"/>
  <c r="FG475" i="3"/>
  <c r="FG476" i="3"/>
  <c r="FG477" i="3"/>
  <c r="FG478" i="3"/>
  <c r="FG479" i="3"/>
  <c r="FG480" i="3"/>
  <c r="FG481" i="3"/>
  <c r="FG482" i="3"/>
  <c r="FG483" i="3"/>
  <c r="FG484" i="3"/>
  <c r="FG485" i="3"/>
  <c r="FG486" i="3"/>
  <c r="FG487" i="3"/>
  <c r="FG488" i="3"/>
  <c r="FG489" i="3"/>
  <c r="FG490" i="3"/>
  <c r="FG491" i="3"/>
  <c r="FG492" i="3"/>
  <c r="FG493" i="3"/>
  <c r="FG494" i="3"/>
  <c r="FG495" i="3"/>
  <c r="FG496" i="3"/>
  <c r="FG497" i="3"/>
  <c r="FG498" i="3"/>
  <c r="FG499" i="3"/>
  <c r="FG500" i="3"/>
  <c r="FG501" i="3"/>
  <c r="FG502" i="3"/>
  <c r="FG503" i="3"/>
  <c r="FG504" i="3"/>
  <c r="FG505" i="3"/>
  <c r="FG506" i="3"/>
  <c r="FG507" i="3"/>
  <c r="FG508" i="3"/>
  <c r="FG509" i="3"/>
  <c r="FG510" i="3"/>
  <c r="FG511" i="3"/>
  <c r="FG512" i="3"/>
  <c r="FG513" i="3"/>
  <c r="FG514" i="3"/>
  <c r="FG515" i="3"/>
  <c r="FG516" i="3"/>
  <c r="FG517" i="3"/>
  <c r="FG518" i="3"/>
  <c r="FG519" i="3"/>
  <c r="FG520" i="3"/>
  <c r="FG521" i="3"/>
  <c r="FG522" i="3"/>
  <c r="FG523" i="3"/>
  <c r="FG524" i="3"/>
  <c r="FG525" i="3"/>
  <c r="FG526" i="3"/>
  <c r="FG527" i="3"/>
  <c r="FG528" i="3"/>
  <c r="FG529" i="3"/>
  <c r="FG530" i="3"/>
  <c r="FG531" i="3"/>
  <c r="FG532" i="3"/>
  <c r="FG533" i="3"/>
  <c r="FG534" i="3"/>
  <c r="FG535" i="3"/>
  <c r="FG536" i="3"/>
  <c r="FG537" i="3"/>
  <c r="FG538" i="3"/>
  <c r="FG539" i="3"/>
  <c r="FG540" i="3"/>
  <c r="FG541" i="3"/>
  <c r="FG542" i="3"/>
  <c r="FG543" i="3"/>
  <c r="FG544" i="3"/>
  <c r="FG545" i="3"/>
  <c r="FG546" i="3"/>
  <c r="FG547" i="3"/>
  <c r="FG548" i="3"/>
  <c r="FG549" i="3"/>
  <c r="FG550" i="3"/>
  <c r="FG551" i="3"/>
  <c r="FG552" i="3"/>
  <c r="FG553" i="3"/>
  <c r="FG554" i="3"/>
  <c r="FG555" i="3"/>
  <c r="FG556" i="3"/>
  <c r="FG557" i="3"/>
  <c r="FG558" i="3"/>
  <c r="FG559" i="3"/>
  <c r="FG560" i="3"/>
  <c r="FG561" i="3"/>
  <c r="FG562" i="3"/>
  <c r="FG563" i="3"/>
  <c r="FG564" i="3"/>
  <c r="FG565" i="3"/>
  <c r="FG566" i="3"/>
  <c r="FG567" i="3"/>
  <c r="FG568" i="3"/>
  <c r="FG569" i="3"/>
  <c r="FG570" i="3"/>
  <c r="FG571" i="3"/>
  <c r="FG572" i="3"/>
  <c r="FG573" i="3"/>
  <c r="FG574" i="3"/>
  <c r="FG575" i="3"/>
  <c r="FG576" i="3"/>
  <c r="FG577" i="3"/>
  <c r="FG578" i="3"/>
  <c r="FG579" i="3"/>
  <c r="FG580" i="3"/>
  <c r="FG581" i="3"/>
  <c r="FG582" i="3"/>
  <c r="FG583" i="3"/>
  <c r="FG584" i="3"/>
  <c r="FG585" i="3"/>
  <c r="FG586" i="3"/>
  <c r="FG587" i="3"/>
  <c r="FG588" i="3"/>
  <c r="FG589" i="3"/>
  <c r="FG590" i="3"/>
  <c r="FG591" i="3"/>
  <c r="FG592" i="3"/>
  <c r="FG593" i="3"/>
  <c r="FG594" i="3"/>
  <c r="FG595" i="3"/>
  <c r="FG596" i="3"/>
  <c r="FG597" i="3"/>
  <c r="FG598" i="3"/>
  <c r="FG599" i="3"/>
  <c r="FG600" i="3"/>
  <c r="FF3" i="3"/>
  <c r="FF4" i="3"/>
  <c r="FF5" i="3"/>
  <c r="FF6" i="3"/>
  <c r="FF7" i="3"/>
  <c r="FF8" i="3"/>
  <c r="FF9" i="3"/>
  <c r="FF10" i="3"/>
  <c r="FF11" i="3"/>
  <c r="FF12" i="3"/>
  <c r="FF13" i="3"/>
  <c r="FF14" i="3"/>
  <c r="FF15" i="3"/>
  <c r="FF16" i="3"/>
  <c r="FF17" i="3"/>
  <c r="FF18" i="3"/>
  <c r="FF19" i="3"/>
  <c r="FF20" i="3"/>
  <c r="FF21" i="3"/>
  <c r="FF22" i="3"/>
  <c r="FF23" i="3"/>
  <c r="FF24" i="3"/>
  <c r="FF25" i="3"/>
  <c r="FF26" i="3"/>
  <c r="FF27" i="3"/>
  <c r="FF28" i="3"/>
  <c r="FF29" i="3"/>
  <c r="FF30" i="3"/>
  <c r="FF31" i="3"/>
  <c r="FF32" i="3"/>
  <c r="FF33" i="3"/>
  <c r="FF34" i="3"/>
  <c r="FF35" i="3"/>
  <c r="FF36" i="3"/>
  <c r="FF37" i="3"/>
  <c r="FF38" i="3"/>
  <c r="FF39" i="3"/>
  <c r="FF40" i="3"/>
  <c r="FF41" i="3"/>
  <c r="FF42" i="3"/>
  <c r="FF43" i="3"/>
  <c r="FF44" i="3"/>
  <c r="FF45" i="3"/>
  <c r="FF46" i="3"/>
  <c r="FF47" i="3"/>
  <c r="FF48" i="3"/>
  <c r="FF49" i="3"/>
  <c r="FF50" i="3"/>
  <c r="FF51" i="3"/>
  <c r="FF52" i="3"/>
  <c r="FF53" i="3"/>
  <c r="FF54" i="3"/>
  <c r="FF55" i="3"/>
  <c r="FF56" i="3"/>
  <c r="FF57" i="3"/>
  <c r="FF58" i="3"/>
  <c r="FF59" i="3"/>
  <c r="FF60" i="3"/>
  <c r="FF61" i="3"/>
  <c r="FF62" i="3"/>
  <c r="FF63" i="3"/>
  <c r="FF64" i="3"/>
  <c r="FF65" i="3"/>
  <c r="FF66" i="3"/>
  <c r="FF67" i="3"/>
  <c r="FF68" i="3"/>
  <c r="FF69" i="3"/>
  <c r="FF70" i="3"/>
  <c r="FF71" i="3"/>
  <c r="FF72" i="3"/>
  <c r="FF73" i="3"/>
  <c r="FF74" i="3"/>
  <c r="FF75" i="3"/>
  <c r="FF76" i="3"/>
  <c r="FF77" i="3"/>
  <c r="FF78" i="3"/>
  <c r="FF79" i="3"/>
  <c r="FF80" i="3"/>
  <c r="FF81" i="3"/>
  <c r="FF82" i="3"/>
  <c r="FF83" i="3"/>
  <c r="FF84" i="3"/>
  <c r="FF85" i="3"/>
  <c r="FF86" i="3"/>
  <c r="FF87" i="3"/>
  <c r="FF88" i="3"/>
  <c r="FF89" i="3"/>
  <c r="FF90" i="3"/>
  <c r="FF91" i="3"/>
  <c r="FF92" i="3"/>
  <c r="FF93" i="3"/>
  <c r="FF94" i="3"/>
  <c r="FF95" i="3"/>
  <c r="FF96" i="3"/>
  <c r="FF97" i="3"/>
  <c r="FF98" i="3"/>
  <c r="FF99" i="3"/>
  <c r="FF100" i="3"/>
  <c r="FF101" i="3"/>
  <c r="FF102" i="3"/>
  <c r="FF103" i="3"/>
  <c r="FF104" i="3"/>
  <c r="FF105" i="3"/>
  <c r="FF106" i="3"/>
  <c r="FF107" i="3"/>
  <c r="FF108" i="3"/>
  <c r="FF109" i="3"/>
  <c r="FF110" i="3"/>
  <c r="FF111" i="3"/>
  <c r="FF112" i="3"/>
  <c r="FF113" i="3"/>
  <c r="FF114" i="3"/>
  <c r="FF115" i="3"/>
  <c r="FF116" i="3"/>
  <c r="FF117" i="3"/>
  <c r="FF118" i="3"/>
  <c r="FF119" i="3"/>
  <c r="FF120" i="3"/>
  <c r="FF121" i="3"/>
  <c r="FF122" i="3"/>
  <c r="FF123" i="3"/>
  <c r="FF124" i="3"/>
  <c r="FF125" i="3"/>
  <c r="FF126" i="3"/>
  <c r="FF127" i="3"/>
  <c r="FF128" i="3"/>
  <c r="FF129" i="3"/>
  <c r="FF130" i="3"/>
  <c r="FF131" i="3"/>
  <c r="FF132" i="3"/>
  <c r="FF133" i="3"/>
  <c r="FF134" i="3"/>
  <c r="FF135" i="3"/>
  <c r="FF136" i="3"/>
  <c r="FF137" i="3"/>
  <c r="FF138" i="3"/>
  <c r="FF139" i="3"/>
  <c r="FF140" i="3"/>
  <c r="FF141" i="3"/>
  <c r="FF142" i="3"/>
  <c r="FF143" i="3"/>
  <c r="FF144" i="3"/>
  <c r="FF145" i="3"/>
  <c r="FF146" i="3"/>
  <c r="FF147" i="3"/>
  <c r="FF148" i="3"/>
  <c r="FF149" i="3"/>
  <c r="FF150" i="3"/>
  <c r="FF151" i="3"/>
  <c r="FF152" i="3"/>
  <c r="FF153" i="3"/>
  <c r="FF154" i="3"/>
  <c r="FF155" i="3"/>
  <c r="FF156" i="3"/>
  <c r="FF157" i="3"/>
  <c r="FF158" i="3"/>
  <c r="FF159" i="3"/>
  <c r="FF160" i="3"/>
  <c r="FF161" i="3"/>
  <c r="FF162" i="3"/>
  <c r="FF163" i="3"/>
  <c r="FF164" i="3"/>
  <c r="FF165" i="3"/>
  <c r="FF166" i="3"/>
  <c r="FF167" i="3"/>
  <c r="FF168" i="3"/>
  <c r="FF169" i="3"/>
  <c r="FF170" i="3"/>
  <c r="FF171" i="3"/>
  <c r="FF172" i="3"/>
  <c r="FF173" i="3"/>
  <c r="FF174" i="3"/>
  <c r="FF175" i="3"/>
  <c r="FF176" i="3"/>
  <c r="FF177" i="3"/>
  <c r="FF178" i="3"/>
  <c r="FF179" i="3"/>
  <c r="FF180" i="3"/>
  <c r="FF181" i="3"/>
  <c r="FF182" i="3"/>
  <c r="FF183" i="3"/>
  <c r="FF184" i="3"/>
  <c r="FF185" i="3"/>
  <c r="FF186" i="3"/>
  <c r="FF187" i="3"/>
  <c r="FF188" i="3"/>
  <c r="FF189" i="3"/>
  <c r="FF190" i="3"/>
  <c r="FF191" i="3"/>
  <c r="FF192" i="3"/>
  <c r="FF193" i="3"/>
  <c r="FF194" i="3"/>
  <c r="FF195" i="3"/>
  <c r="FF196" i="3"/>
  <c r="FF197" i="3"/>
  <c r="FF198" i="3"/>
  <c r="FF199" i="3"/>
  <c r="FF200" i="3"/>
  <c r="FF201" i="3"/>
  <c r="FF202" i="3"/>
  <c r="FF203" i="3"/>
  <c r="FF204" i="3"/>
  <c r="FF205" i="3"/>
  <c r="FF206" i="3"/>
  <c r="FF207" i="3"/>
  <c r="FF208" i="3"/>
  <c r="FF209" i="3"/>
  <c r="FF210" i="3"/>
  <c r="FF211" i="3"/>
  <c r="FF212" i="3"/>
  <c r="FF213" i="3"/>
  <c r="FF214" i="3"/>
  <c r="FF215" i="3"/>
  <c r="FF216" i="3"/>
  <c r="FF217" i="3"/>
  <c r="FF218" i="3"/>
  <c r="FF219" i="3"/>
  <c r="FF220" i="3"/>
  <c r="FF221" i="3"/>
  <c r="FF222" i="3"/>
  <c r="FF223" i="3"/>
  <c r="FF224" i="3"/>
  <c r="FF225" i="3"/>
  <c r="FF226" i="3"/>
  <c r="FF227" i="3"/>
  <c r="FF228" i="3"/>
  <c r="FF229" i="3"/>
  <c r="FF230" i="3"/>
  <c r="FF231" i="3"/>
  <c r="FF232" i="3"/>
  <c r="FF233" i="3"/>
  <c r="FF234" i="3"/>
  <c r="FF235" i="3"/>
  <c r="FF236" i="3"/>
  <c r="FF237" i="3"/>
  <c r="FF238" i="3"/>
  <c r="FF239" i="3"/>
  <c r="FF240" i="3"/>
  <c r="FF241" i="3"/>
  <c r="FF242" i="3"/>
  <c r="FF243" i="3"/>
  <c r="FF244" i="3"/>
  <c r="FF245" i="3"/>
  <c r="FF246" i="3"/>
  <c r="FF247" i="3"/>
  <c r="FF248" i="3"/>
  <c r="FF249" i="3"/>
  <c r="FF250" i="3"/>
  <c r="FF251" i="3"/>
  <c r="FF252" i="3"/>
  <c r="FF253" i="3"/>
  <c r="FF254" i="3"/>
  <c r="FF255" i="3"/>
  <c r="FF256" i="3"/>
  <c r="FF257" i="3"/>
  <c r="FF258" i="3"/>
  <c r="FF259" i="3"/>
  <c r="FF260" i="3"/>
  <c r="FF261" i="3"/>
  <c r="FF262" i="3"/>
  <c r="FF263" i="3"/>
  <c r="FF264" i="3"/>
  <c r="FF265" i="3"/>
  <c r="FF266" i="3"/>
  <c r="FF267" i="3"/>
  <c r="FF268" i="3"/>
  <c r="FF269" i="3"/>
  <c r="FF270" i="3"/>
  <c r="FF271" i="3"/>
  <c r="FF272" i="3"/>
  <c r="FF273" i="3"/>
  <c r="FF274" i="3"/>
  <c r="FF275" i="3"/>
  <c r="FF276" i="3"/>
  <c r="FF277" i="3"/>
  <c r="FF278" i="3"/>
  <c r="FF279" i="3"/>
  <c r="FF280" i="3"/>
  <c r="FF281" i="3"/>
  <c r="FF282" i="3"/>
  <c r="FF283" i="3"/>
  <c r="FF284" i="3"/>
  <c r="FF285" i="3"/>
  <c r="FF286" i="3"/>
  <c r="FF287" i="3"/>
  <c r="FF288" i="3"/>
  <c r="FF289" i="3"/>
  <c r="FF290" i="3"/>
  <c r="FF291" i="3"/>
  <c r="FF292" i="3"/>
  <c r="FF293" i="3"/>
  <c r="FF294" i="3"/>
  <c r="FF295" i="3"/>
  <c r="FF296" i="3"/>
  <c r="FF297" i="3"/>
  <c r="FF298" i="3"/>
  <c r="FF299" i="3"/>
  <c r="FF300" i="3"/>
  <c r="FF301" i="3"/>
  <c r="FF302" i="3"/>
  <c r="FF303" i="3"/>
  <c r="FF304" i="3"/>
  <c r="FF305" i="3"/>
  <c r="FF306" i="3"/>
  <c r="FF307" i="3"/>
  <c r="FF308" i="3"/>
  <c r="FF309" i="3"/>
  <c r="FF310" i="3"/>
  <c r="FF311" i="3"/>
  <c r="FF312" i="3"/>
  <c r="FF313" i="3"/>
  <c r="FF314" i="3"/>
  <c r="FF315" i="3"/>
  <c r="FF316" i="3"/>
  <c r="FF317" i="3"/>
  <c r="FF318" i="3"/>
  <c r="FF319" i="3"/>
  <c r="FF320" i="3"/>
  <c r="FF321" i="3"/>
  <c r="FF322" i="3"/>
  <c r="FF323" i="3"/>
  <c r="FF324" i="3"/>
  <c r="FF325" i="3"/>
  <c r="FF326" i="3"/>
  <c r="FF327" i="3"/>
  <c r="FF328" i="3"/>
  <c r="FF329" i="3"/>
  <c r="FF330" i="3"/>
  <c r="FF331" i="3"/>
  <c r="FF332" i="3"/>
  <c r="FF333" i="3"/>
  <c r="FF334" i="3"/>
  <c r="FF335" i="3"/>
  <c r="FF336" i="3"/>
  <c r="FF337" i="3"/>
  <c r="FF338" i="3"/>
  <c r="FF339" i="3"/>
  <c r="FF340" i="3"/>
  <c r="FF341" i="3"/>
  <c r="FF342" i="3"/>
  <c r="FF343" i="3"/>
  <c r="FF344" i="3"/>
  <c r="FF345" i="3"/>
  <c r="FF346" i="3"/>
  <c r="FF347" i="3"/>
  <c r="FF348" i="3"/>
  <c r="FF349" i="3"/>
  <c r="FF350" i="3"/>
  <c r="FF351" i="3"/>
  <c r="FF352" i="3"/>
  <c r="FF353" i="3"/>
  <c r="FF354" i="3"/>
  <c r="FF355" i="3"/>
  <c r="FF356" i="3"/>
  <c r="FF357" i="3"/>
  <c r="FF358" i="3"/>
  <c r="FF359" i="3"/>
  <c r="FF360" i="3"/>
  <c r="FF361" i="3"/>
  <c r="FF362" i="3"/>
  <c r="FF363" i="3"/>
  <c r="FF364" i="3"/>
  <c r="FF365" i="3"/>
  <c r="FF366" i="3"/>
  <c r="FF367" i="3"/>
  <c r="FF368" i="3"/>
  <c r="FF369" i="3"/>
  <c r="FF370" i="3"/>
  <c r="FF371" i="3"/>
  <c r="FF372" i="3"/>
  <c r="FF373" i="3"/>
  <c r="FF374" i="3"/>
  <c r="FF375" i="3"/>
  <c r="FF376" i="3"/>
  <c r="FF377" i="3"/>
  <c r="FF378" i="3"/>
  <c r="FF379" i="3"/>
  <c r="FF380" i="3"/>
  <c r="FF381" i="3"/>
  <c r="FF382" i="3"/>
  <c r="FF383" i="3"/>
  <c r="FF384" i="3"/>
  <c r="FF385" i="3"/>
  <c r="FF386" i="3"/>
  <c r="FF387" i="3"/>
  <c r="FF388" i="3"/>
  <c r="FF389" i="3"/>
  <c r="FF390" i="3"/>
  <c r="FF391" i="3"/>
  <c r="FF392" i="3"/>
  <c r="FF393" i="3"/>
  <c r="FF394" i="3"/>
  <c r="FF395" i="3"/>
  <c r="FF396" i="3"/>
  <c r="FF397" i="3"/>
  <c r="FF398" i="3"/>
  <c r="FF399" i="3"/>
  <c r="FF400" i="3"/>
  <c r="FF401" i="3"/>
  <c r="FF402" i="3"/>
  <c r="FF403" i="3"/>
  <c r="FF404" i="3"/>
  <c r="FF405" i="3"/>
  <c r="FF406" i="3"/>
  <c r="FF407" i="3"/>
  <c r="FF408" i="3"/>
  <c r="FF409" i="3"/>
  <c r="FF410" i="3"/>
  <c r="FF411" i="3"/>
  <c r="FF412" i="3"/>
  <c r="FF413" i="3"/>
  <c r="FF414" i="3"/>
  <c r="FF415" i="3"/>
  <c r="FF416" i="3"/>
  <c r="FF417" i="3"/>
  <c r="FF418" i="3"/>
  <c r="FF419" i="3"/>
  <c r="FF420" i="3"/>
  <c r="FF421" i="3"/>
  <c r="FF422" i="3"/>
  <c r="FF423" i="3"/>
  <c r="FF424" i="3"/>
  <c r="FF425" i="3"/>
  <c r="FF426" i="3"/>
  <c r="FF427" i="3"/>
  <c r="FF428" i="3"/>
  <c r="FF429" i="3"/>
  <c r="FF430" i="3"/>
  <c r="FF431" i="3"/>
  <c r="FF432" i="3"/>
  <c r="FF433" i="3"/>
  <c r="FF434" i="3"/>
  <c r="FF435" i="3"/>
  <c r="FF436" i="3"/>
  <c r="FF437" i="3"/>
  <c r="FF438" i="3"/>
  <c r="FF439" i="3"/>
  <c r="FF440" i="3"/>
  <c r="FF441" i="3"/>
  <c r="FF442" i="3"/>
  <c r="FF443" i="3"/>
  <c r="FF444" i="3"/>
  <c r="FF445" i="3"/>
  <c r="FF446" i="3"/>
  <c r="FF447" i="3"/>
  <c r="FF448" i="3"/>
  <c r="FF449" i="3"/>
  <c r="FF450" i="3"/>
  <c r="FF451" i="3"/>
  <c r="FF452" i="3"/>
  <c r="FF453" i="3"/>
  <c r="FF454" i="3"/>
  <c r="FF455" i="3"/>
  <c r="FF456" i="3"/>
  <c r="FF457" i="3"/>
  <c r="FF458" i="3"/>
  <c r="FF459" i="3"/>
  <c r="FF460" i="3"/>
  <c r="FF461" i="3"/>
  <c r="FF462" i="3"/>
  <c r="FF463" i="3"/>
  <c r="FF464" i="3"/>
  <c r="FF465" i="3"/>
  <c r="FF466" i="3"/>
  <c r="FF467" i="3"/>
  <c r="FF468" i="3"/>
  <c r="FF469" i="3"/>
  <c r="FF470" i="3"/>
  <c r="FF471" i="3"/>
  <c r="FF472" i="3"/>
  <c r="FF473" i="3"/>
  <c r="FF474" i="3"/>
  <c r="FF475" i="3"/>
  <c r="FF476" i="3"/>
  <c r="FF477" i="3"/>
  <c r="FF478" i="3"/>
  <c r="FF479" i="3"/>
  <c r="FF480" i="3"/>
  <c r="FF481" i="3"/>
  <c r="FF482" i="3"/>
  <c r="FF483" i="3"/>
  <c r="FF484" i="3"/>
  <c r="FF485" i="3"/>
  <c r="FF486" i="3"/>
  <c r="FF487" i="3"/>
  <c r="FF488" i="3"/>
  <c r="FF489" i="3"/>
  <c r="FF490" i="3"/>
  <c r="FF491" i="3"/>
  <c r="FF492" i="3"/>
  <c r="FF493" i="3"/>
  <c r="FF494" i="3"/>
  <c r="FF495" i="3"/>
  <c r="FF496" i="3"/>
  <c r="FF497" i="3"/>
  <c r="FF498" i="3"/>
  <c r="FF499" i="3"/>
  <c r="FF500" i="3"/>
  <c r="FF501" i="3"/>
  <c r="FF502" i="3"/>
  <c r="FF503" i="3"/>
  <c r="FF504" i="3"/>
  <c r="FF505" i="3"/>
  <c r="FF506" i="3"/>
  <c r="FF507" i="3"/>
  <c r="FF508" i="3"/>
  <c r="FF509" i="3"/>
  <c r="FF510" i="3"/>
  <c r="FF511" i="3"/>
  <c r="FF512" i="3"/>
  <c r="FF513" i="3"/>
  <c r="FF514" i="3"/>
  <c r="FF515" i="3"/>
  <c r="FF516" i="3"/>
  <c r="FF517" i="3"/>
  <c r="FF518" i="3"/>
  <c r="FF519" i="3"/>
  <c r="FF520" i="3"/>
  <c r="FF521" i="3"/>
  <c r="FF522" i="3"/>
  <c r="FF523" i="3"/>
  <c r="FF524" i="3"/>
  <c r="FF525" i="3"/>
  <c r="FF526" i="3"/>
  <c r="FF527" i="3"/>
  <c r="FF528" i="3"/>
  <c r="FF529" i="3"/>
  <c r="FF530" i="3"/>
  <c r="FF531" i="3"/>
  <c r="FF532" i="3"/>
  <c r="FF533" i="3"/>
  <c r="FF534" i="3"/>
  <c r="FF535" i="3"/>
  <c r="FF536" i="3"/>
  <c r="FF537" i="3"/>
  <c r="FF538" i="3"/>
  <c r="FF539" i="3"/>
  <c r="FF540" i="3"/>
  <c r="FF541" i="3"/>
  <c r="FF542" i="3"/>
  <c r="FF543" i="3"/>
  <c r="FF544" i="3"/>
  <c r="FF545" i="3"/>
  <c r="FF546" i="3"/>
  <c r="FF547" i="3"/>
  <c r="FF548" i="3"/>
  <c r="FF549" i="3"/>
  <c r="FF550" i="3"/>
  <c r="FF551" i="3"/>
  <c r="FF552" i="3"/>
  <c r="FF553" i="3"/>
  <c r="FF554" i="3"/>
  <c r="FF555" i="3"/>
  <c r="FF556" i="3"/>
  <c r="FF557" i="3"/>
  <c r="FF558" i="3"/>
  <c r="FF559" i="3"/>
  <c r="FF560" i="3"/>
  <c r="FF561" i="3"/>
  <c r="FF562" i="3"/>
  <c r="FF563" i="3"/>
  <c r="FF564" i="3"/>
  <c r="FF565" i="3"/>
  <c r="FF566" i="3"/>
  <c r="FF567" i="3"/>
  <c r="FF568" i="3"/>
  <c r="FF569" i="3"/>
  <c r="FF570" i="3"/>
  <c r="FF571" i="3"/>
  <c r="FF572" i="3"/>
  <c r="FF573" i="3"/>
  <c r="FF574" i="3"/>
  <c r="FF575" i="3"/>
  <c r="FF576" i="3"/>
  <c r="FF577" i="3"/>
  <c r="FF578" i="3"/>
  <c r="FF579" i="3"/>
  <c r="FF580" i="3"/>
  <c r="FF581" i="3"/>
  <c r="FF582" i="3"/>
  <c r="FF583" i="3"/>
  <c r="FF584" i="3"/>
  <c r="FF585" i="3"/>
  <c r="FF586" i="3"/>
  <c r="FF587" i="3"/>
  <c r="FF588" i="3"/>
  <c r="FF589" i="3"/>
  <c r="FF590" i="3"/>
  <c r="FF591" i="3"/>
  <c r="FF592" i="3"/>
  <c r="FF593" i="3"/>
  <c r="FF594" i="3"/>
  <c r="FF595" i="3"/>
  <c r="FF596" i="3"/>
  <c r="FF597" i="3"/>
  <c r="FF598" i="3"/>
  <c r="FF599" i="3"/>
  <c r="FF600" i="3"/>
  <c r="FE3" i="3"/>
  <c r="FE4" i="3"/>
  <c r="FE5" i="3"/>
  <c r="FE6" i="3"/>
  <c r="FE7" i="3"/>
  <c r="FE8" i="3"/>
  <c r="FE9" i="3"/>
  <c r="FE10" i="3"/>
  <c r="FE11" i="3"/>
  <c r="FE12" i="3"/>
  <c r="FE13" i="3"/>
  <c r="FE14" i="3"/>
  <c r="FE15" i="3"/>
  <c r="FE16" i="3"/>
  <c r="FE17" i="3"/>
  <c r="FE18" i="3"/>
  <c r="FE19" i="3"/>
  <c r="FE20" i="3"/>
  <c r="FE21" i="3"/>
  <c r="FE22" i="3"/>
  <c r="FE23" i="3"/>
  <c r="FE24" i="3"/>
  <c r="FE25" i="3"/>
  <c r="FE26" i="3"/>
  <c r="FE27" i="3"/>
  <c r="FE28" i="3"/>
  <c r="FE29" i="3"/>
  <c r="FE30" i="3"/>
  <c r="FE31" i="3"/>
  <c r="FE32" i="3"/>
  <c r="FE33" i="3"/>
  <c r="FE34" i="3"/>
  <c r="FE35" i="3"/>
  <c r="FE36" i="3"/>
  <c r="FE37" i="3"/>
  <c r="FE38" i="3"/>
  <c r="FE39" i="3"/>
  <c r="FE40" i="3"/>
  <c r="FE41" i="3"/>
  <c r="FE42" i="3"/>
  <c r="FE43" i="3"/>
  <c r="FE44" i="3"/>
  <c r="FE45" i="3"/>
  <c r="FE46" i="3"/>
  <c r="FE47" i="3"/>
  <c r="FE48" i="3"/>
  <c r="FE49" i="3"/>
  <c r="FE50" i="3"/>
  <c r="FE51" i="3"/>
  <c r="FE52" i="3"/>
  <c r="FE53" i="3"/>
  <c r="FE54" i="3"/>
  <c r="FE55" i="3"/>
  <c r="FE56" i="3"/>
  <c r="FE57" i="3"/>
  <c r="FE58" i="3"/>
  <c r="FE59" i="3"/>
  <c r="FE60" i="3"/>
  <c r="FE61" i="3"/>
  <c r="FE62" i="3"/>
  <c r="FE63" i="3"/>
  <c r="FE64" i="3"/>
  <c r="FE65" i="3"/>
  <c r="FE66" i="3"/>
  <c r="FE67" i="3"/>
  <c r="FE68" i="3"/>
  <c r="FE69" i="3"/>
  <c r="FE70" i="3"/>
  <c r="FE71" i="3"/>
  <c r="FE72" i="3"/>
  <c r="FE73" i="3"/>
  <c r="FE74" i="3"/>
  <c r="FE75" i="3"/>
  <c r="FE76" i="3"/>
  <c r="FE77" i="3"/>
  <c r="FE78" i="3"/>
  <c r="FE79" i="3"/>
  <c r="FE80" i="3"/>
  <c r="FE81" i="3"/>
  <c r="FE82" i="3"/>
  <c r="FE83" i="3"/>
  <c r="FE84" i="3"/>
  <c r="FE85" i="3"/>
  <c r="FE86" i="3"/>
  <c r="FE87" i="3"/>
  <c r="FE88" i="3"/>
  <c r="FE89" i="3"/>
  <c r="FE90" i="3"/>
  <c r="FE91" i="3"/>
  <c r="FE92" i="3"/>
  <c r="FE93" i="3"/>
  <c r="FE94" i="3"/>
  <c r="FE95" i="3"/>
  <c r="FE96" i="3"/>
  <c r="FE97" i="3"/>
  <c r="FE98" i="3"/>
  <c r="FE99" i="3"/>
  <c r="FE100" i="3"/>
  <c r="FE101" i="3"/>
  <c r="FE102" i="3"/>
  <c r="FE103" i="3"/>
  <c r="FE104" i="3"/>
  <c r="FE105" i="3"/>
  <c r="FE106" i="3"/>
  <c r="FE107" i="3"/>
  <c r="FE108" i="3"/>
  <c r="FE109" i="3"/>
  <c r="FE110" i="3"/>
  <c r="FE111" i="3"/>
  <c r="FE112" i="3"/>
  <c r="FE113" i="3"/>
  <c r="FE114" i="3"/>
  <c r="FE115" i="3"/>
  <c r="FE116" i="3"/>
  <c r="FE117" i="3"/>
  <c r="FE118" i="3"/>
  <c r="FE119" i="3"/>
  <c r="FE120" i="3"/>
  <c r="FE121" i="3"/>
  <c r="FE122" i="3"/>
  <c r="FE123" i="3"/>
  <c r="FE124" i="3"/>
  <c r="FE125" i="3"/>
  <c r="FE126" i="3"/>
  <c r="FE127" i="3"/>
  <c r="FE128" i="3"/>
  <c r="FE129" i="3"/>
  <c r="FE130" i="3"/>
  <c r="FE131" i="3"/>
  <c r="FE132" i="3"/>
  <c r="FE133" i="3"/>
  <c r="FE134" i="3"/>
  <c r="FE135" i="3"/>
  <c r="FE136" i="3"/>
  <c r="FE137" i="3"/>
  <c r="FE138" i="3"/>
  <c r="FE139" i="3"/>
  <c r="FE140" i="3"/>
  <c r="FE141" i="3"/>
  <c r="FE142" i="3"/>
  <c r="FE143" i="3"/>
  <c r="FE144" i="3"/>
  <c r="FE145" i="3"/>
  <c r="FE146" i="3"/>
  <c r="FE147" i="3"/>
  <c r="FE148" i="3"/>
  <c r="FE149" i="3"/>
  <c r="FE150" i="3"/>
  <c r="FE151" i="3"/>
  <c r="FE152" i="3"/>
  <c r="FE153" i="3"/>
  <c r="FE154" i="3"/>
  <c r="FE155" i="3"/>
  <c r="FE156" i="3"/>
  <c r="FE157" i="3"/>
  <c r="FE158" i="3"/>
  <c r="FE159" i="3"/>
  <c r="FE160" i="3"/>
  <c r="FE161" i="3"/>
  <c r="FE162" i="3"/>
  <c r="FE163" i="3"/>
  <c r="FE164" i="3"/>
  <c r="FE165" i="3"/>
  <c r="FE166" i="3"/>
  <c r="FE167" i="3"/>
  <c r="FE168" i="3"/>
  <c r="FE169" i="3"/>
  <c r="FE170" i="3"/>
  <c r="FE171" i="3"/>
  <c r="FE172" i="3"/>
  <c r="FE173" i="3"/>
  <c r="FE174" i="3"/>
  <c r="FE175" i="3"/>
  <c r="FE176" i="3"/>
  <c r="FE177" i="3"/>
  <c r="FE178" i="3"/>
  <c r="FE179" i="3"/>
  <c r="FE180" i="3"/>
  <c r="FE181" i="3"/>
  <c r="FE182" i="3"/>
  <c r="FE183" i="3"/>
  <c r="FE184" i="3"/>
  <c r="FE185" i="3"/>
  <c r="FE186" i="3"/>
  <c r="FE187" i="3"/>
  <c r="FE188" i="3"/>
  <c r="FE189" i="3"/>
  <c r="FE190" i="3"/>
  <c r="FE191" i="3"/>
  <c r="FE192" i="3"/>
  <c r="FE193" i="3"/>
  <c r="FE194" i="3"/>
  <c r="FE195" i="3"/>
  <c r="FE196" i="3"/>
  <c r="FE197" i="3"/>
  <c r="FE198" i="3"/>
  <c r="FE199" i="3"/>
  <c r="FE200" i="3"/>
  <c r="FE201" i="3"/>
  <c r="FE202" i="3"/>
  <c r="FE203" i="3"/>
  <c r="FE204" i="3"/>
  <c r="FE205" i="3"/>
  <c r="FE206" i="3"/>
  <c r="FE207" i="3"/>
  <c r="FE208" i="3"/>
  <c r="FE209" i="3"/>
  <c r="FE210" i="3"/>
  <c r="FE211" i="3"/>
  <c r="FE212" i="3"/>
  <c r="FE213" i="3"/>
  <c r="FE214" i="3"/>
  <c r="FE215" i="3"/>
  <c r="FE216" i="3"/>
  <c r="FE217" i="3"/>
  <c r="FE218" i="3"/>
  <c r="FE219" i="3"/>
  <c r="FE220" i="3"/>
  <c r="FE221" i="3"/>
  <c r="FE222" i="3"/>
  <c r="FE223" i="3"/>
  <c r="FE224" i="3"/>
  <c r="FE225" i="3"/>
  <c r="FE226" i="3"/>
  <c r="FE227" i="3"/>
  <c r="FE228" i="3"/>
  <c r="FE229" i="3"/>
  <c r="FE230" i="3"/>
  <c r="FE231" i="3"/>
  <c r="FE232" i="3"/>
  <c r="FE233" i="3"/>
  <c r="FE234" i="3"/>
  <c r="FE235" i="3"/>
  <c r="FE236" i="3"/>
  <c r="FE237" i="3"/>
  <c r="FE238" i="3"/>
  <c r="FE239" i="3"/>
  <c r="FE240" i="3"/>
  <c r="FE241" i="3"/>
  <c r="FE242" i="3"/>
  <c r="FE243" i="3"/>
  <c r="FE244" i="3"/>
  <c r="FE245" i="3"/>
  <c r="FE246" i="3"/>
  <c r="FE247" i="3"/>
  <c r="FE248" i="3"/>
  <c r="FE249" i="3"/>
  <c r="FE250" i="3"/>
  <c r="FE251" i="3"/>
  <c r="FE252" i="3"/>
  <c r="FE253" i="3"/>
  <c r="FE254" i="3"/>
  <c r="FE255" i="3"/>
  <c r="FE256" i="3"/>
  <c r="FE257" i="3"/>
  <c r="FE258" i="3"/>
  <c r="FE259" i="3"/>
  <c r="FE260" i="3"/>
  <c r="FE261" i="3"/>
  <c r="FE262" i="3"/>
  <c r="FE263" i="3"/>
  <c r="FE264" i="3"/>
  <c r="FE265" i="3"/>
  <c r="FE266" i="3"/>
  <c r="FE267" i="3"/>
  <c r="FE268" i="3"/>
  <c r="FE269" i="3"/>
  <c r="FE270" i="3"/>
  <c r="FE271" i="3"/>
  <c r="FE272" i="3"/>
  <c r="FE273" i="3"/>
  <c r="FE274" i="3"/>
  <c r="FE275" i="3"/>
  <c r="FE276" i="3"/>
  <c r="FE277" i="3"/>
  <c r="FE278" i="3"/>
  <c r="FE279" i="3"/>
  <c r="FE280" i="3"/>
  <c r="FE281" i="3"/>
  <c r="FE282" i="3"/>
  <c r="FE283" i="3"/>
  <c r="FE284" i="3"/>
  <c r="FE285" i="3"/>
  <c r="FE286" i="3"/>
  <c r="FE287" i="3"/>
  <c r="FE288" i="3"/>
  <c r="FE289" i="3"/>
  <c r="FE290" i="3"/>
  <c r="FE291" i="3"/>
  <c r="FE292" i="3"/>
  <c r="FE293" i="3"/>
  <c r="FE294" i="3"/>
  <c r="FE295" i="3"/>
  <c r="FE296" i="3"/>
  <c r="FE297" i="3"/>
  <c r="FE298" i="3"/>
  <c r="FE299" i="3"/>
  <c r="FE300" i="3"/>
  <c r="FE301" i="3"/>
  <c r="FE302" i="3"/>
  <c r="FE303" i="3"/>
  <c r="FE304" i="3"/>
  <c r="FE305" i="3"/>
  <c r="FE306" i="3"/>
  <c r="FE307" i="3"/>
  <c r="FE308" i="3"/>
  <c r="FE309" i="3"/>
  <c r="FE310" i="3"/>
  <c r="FE311" i="3"/>
  <c r="FE312" i="3"/>
  <c r="FE313" i="3"/>
  <c r="FE314" i="3"/>
  <c r="FE315" i="3"/>
  <c r="FE316" i="3"/>
  <c r="FE317" i="3"/>
  <c r="FE318" i="3"/>
  <c r="FE319" i="3"/>
  <c r="FE320" i="3"/>
  <c r="FE321" i="3"/>
  <c r="FE322" i="3"/>
  <c r="FE323" i="3"/>
  <c r="FE324" i="3"/>
  <c r="FE325" i="3"/>
  <c r="FE326" i="3"/>
  <c r="FE327" i="3"/>
  <c r="FE328" i="3"/>
  <c r="FE329" i="3"/>
  <c r="FE330" i="3"/>
  <c r="FE331" i="3"/>
  <c r="FE332" i="3"/>
  <c r="FE333" i="3"/>
  <c r="FE334" i="3"/>
  <c r="FE335" i="3"/>
  <c r="FE336" i="3"/>
  <c r="FE337" i="3"/>
  <c r="FE338" i="3"/>
  <c r="FE339" i="3"/>
  <c r="FE340" i="3"/>
  <c r="FE341" i="3"/>
  <c r="FE342" i="3"/>
  <c r="FE343" i="3"/>
  <c r="FE344" i="3"/>
  <c r="FE345" i="3"/>
  <c r="FE346" i="3"/>
  <c r="FE347" i="3"/>
  <c r="FE348" i="3"/>
  <c r="FE349" i="3"/>
  <c r="FE350" i="3"/>
  <c r="FE351" i="3"/>
  <c r="FE352" i="3"/>
  <c r="FE353" i="3"/>
  <c r="FE354" i="3"/>
  <c r="FE355" i="3"/>
  <c r="FE356" i="3"/>
  <c r="FE357" i="3"/>
  <c r="FE358" i="3"/>
  <c r="FE359" i="3"/>
  <c r="FE360" i="3"/>
  <c r="FE361" i="3"/>
  <c r="FE362" i="3"/>
  <c r="FE363" i="3"/>
  <c r="FE364" i="3"/>
  <c r="FE365" i="3"/>
  <c r="FE366" i="3"/>
  <c r="FE367" i="3"/>
  <c r="FE368" i="3"/>
  <c r="FE369" i="3"/>
  <c r="FE370" i="3"/>
  <c r="FE371" i="3"/>
  <c r="FE372" i="3"/>
  <c r="FE373" i="3"/>
  <c r="FE374" i="3"/>
  <c r="FE375" i="3"/>
  <c r="FE376" i="3"/>
  <c r="FE377" i="3"/>
  <c r="FE378" i="3"/>
  <c r="FE379" i="3"/>
  <c r="FE380" i="3"/>
  <c r="FE381" i="3"/>
  <c r="FE382" i="3"/>
  <c r="FE383" i="3"/>
  <c r="FE384" i="3"/>
  <c r="FE385" i="3"/>
  <c r="FE386" i="3"/>
  <c r="FE387" i="3"/>
  <c r="FE388" i="3"/>
  <c r="FE389" i="3"/>
  <c r="FE390" i="3"/>
  <c r="FE391" i="3"/>
  <c r="FE392" i="3"/>
  <c r="FE393" i="3"/>
  <c r="FE394" i="3"/>
  <c r="FE395" i="3"/>
  <c r="FE396" i="3"/>
  <c r="FE397" i="3"/>
  <c r="FE398" i="3"/>
  <c r="FE399" i="3"/>
  <c r="FE400" i="3"/>
  <c r="FE401" i="3"/>
  <c r="FE402" i="3"/>
  <c r="FE403" i="3"/>
  <c r="FE404" i="3"/>
  <c r="FE405" i="3"/>
  <c r="FE406" i="3"/>
  <c r="FE407" i="3"/>
  <c r="FE408" i="3"/>
  <c r="FE409" i="3"/>
  <c r="FE410" i="3"/>
  <c r="FE411" i="3"/>
  <c r="FE412" i="3"/>
  <c r="FE413" i="3"/>
  <c r="FE414" i="3"/>
  <c r="FE415" i="3"/>
  <c r="FE416" i="3"/>
  <c r="FE417" i="3"/>
  <c r="FE418" i="3"/>
  <c r="FE419" i="3"/>
  <c r="FE420" i="3"/>
  <c r="FE421" i="3"/>
  <c r="FE422" i="3"/>
  <c r="FE423" i="3"/>
  <c r="FE424" i="3"/>
  <c r="FE425" i="3"/>
  <c r="FE426" i="3"/>
  <c r="FE427" i="3"/>
  <c r="FE428" i="3"/>
  <c r="FE429" i="3"/>
  <c r="FE430" i="3"/>
  <c r="FE431" i="3"/>
  <c r="FE432" i="3"/>
  <c r="FE433" i="3"/>
  <c r="FE434" i="3"/>
  <c r="FE435" i="3"/>
  <c r="FE436" i="3"/>
  <c r="FE437" i="3"/>
  <c r="FE438" i="3"/>
  <c r="FE439" i="3"/>
  <c r="FE440" i="3"/>
  <c r="FE441" i="3"/>
  <c r="FE442" i="3"/>
  <c r="FE443" i="3"/>
  <c r="FE444" i="3"/>
  <c r="FE445" i="3"/>
  <c r="FE446" i="3"/>
  <c r="FE447" i="3"/>
  <c r="FE448" i="3"/>
  <c r="FE449" i="3"/>
  <c r="FE450" i="3"/>
  <c r="FE451" i="3"/>
  <c r="FE452" i="3"/>
  <c r="FE453" i="3"/>
  <c r="FE454" i="3"/>
  <c r="FE455" i="3"/>
  <c r="FE456" i="3"/>
  <c r="FE457" i="3"/>
  <c r="FE458" i="3"/>
  <c r="FE459" i="3"/>
  <c r="FE460" i="3"/>
  <c r="FE461" i="3"/>
  <c r="FE462" i="3"/>
  <c r="FE463" i="3"/>
  <c r="FE464" i="3"/>
  <c r="FE465" i="3"/>
  <c r="FE466" i="3"/>
  <c r="FE467" i="3"/>
  <c r="FE468" i="3"/>
  <c r="FE469" i="3"/>
  <c r="FE470" i="3"/>
  <c r="FE471" i="3"/>
  <c r="FE472" i="3"/>
  <c r="FE473" i="3"/>
  <c r="FE474" i="3"/>
  <c r="FE475" i="3"/>
  <c r="FE476" i="3"/>
  <c r="FE477" i="3"/>
  <c r="FE478" i="3"/>
  <c r="FE479" i="3"/>
  <c r="FE480" i="3"/>
  <c r="FE481" i="3"/>
  <c r="FE482" i="3"/>
  <c r="FE483" i="3"/>
  <c r="FE484" i="3"/>
  <c r="FE485" i="3"/>
  <c r="FE486" i="3"/>
  <c r="FE487" i="3"/>
  <c r="FE488" i="3"/>
  <c r="FE489" i="3"/>
  <c r="FE490" i="3"/>
  <c r="FE491" i="3"/>
  <c r="FE492" i="3"/>
  <c r="FE493" i="3"/>
  <c r="FE494" i="3"/>
  <c r="FE495" i="3"/>
  <c r="FE496" i="3"/>
  <c r="FE497" i="3"/>
  <c r="FE498" i="3"/>
  <c r="FE499" i="3"/>
  <c r="FE500" i="3"/>
  <c r="FE501" i="3"/>
  <c r="FE502" i="3"/>
  <c r="FE503" i="3"/>
  <c r="FE504" i="3"/>
  <c r="FE505" i="3"/>
  <c r="FE506" i="3"/>
  <c r="FE507" i="3"/>
  <c r="FE508" i="3"/>
  <c r="FE509" i="3"/>
  <c r="FE510" i="3"/>
  <c r="FE511" i="3"/>
  <c r="FE512" i="3"/>
  <c r="FE513" i="3"/>
  <c r="FE514" i="3"/>
  <c r="FE515" i="3"/>
  <c r="FE516" i="3"/>
  <c r="FE517" i="3"/>
  <c r="FE518" i="3"/>
  <c r="FE519" i="3"/>
  <c r="FE520" i="3"/>
  <c r="FE521" i="3"/>
  <c r="FE522" i="3"/>
  <c r="FE523" i="3"/>
  <c r="FE524" i="3"/>
  <c r="FE525" i="3"/>
  <c r="FE526" i="3"/>
  <c r="FE527" i="3"/>
  <c r="FE528" i="3"/>
  <c r="FE529" i="3"/>
  <c r="FE530" i="3"/>
  <c r="FE531" i="3"/>
  <c r="FE532" i="3"/>
  <c r="FE533" i="3"/>
  <c r="FE534" i="3"/>
  <c r="FE535" i="3"/>
  <c r="FE536" i="3"/>
  <c r="FE537" i="3"/>
  <c r="FE538" i="3"/>
  <c r="FE539" i="3"/>
  <c r="FE540" i="3"/>
  <c r="FE541" i="3"/>
  <c r="FE542" i="3"/>
  <c r="FE543" i="3"/>
  <c r="FE544" i="3"/>
  <c r="FE545" i="3"/>
  <c r="FE546" i="3"/>
  <c r="FE547" i="3"/>
  <c r="FE548" i="3"/>
  <c r="FE549" i="3"/>
  <c r="FE550" i="3"/>
  <c r="FE551" i="3"/>
  <c r="FE552" i="3"/>
  <c r="FE553" i="3"/>
  <c r="FE554" i="3"/>
  <c r="FE555" i="3"/>
  <c r="FE556" i="3"/>
  <c r="FE557" i="3"/>
  <c r="FE558" i="3"/>
  <c r="FE559" i="3"/>
  <c r="FE560" i="3"/>
  <c r="FE561" i="3"/>
  <c r="FE562" i="3"/>
  <c r="FE563" i="3"/>
  <c r="FE564" i="3"/>
  <c r="FE565" i="3"/>
  <c r="FE566" i="3"/>
  <c r="FE567" i="3"/>
  <c r="FE568" i="3"/>
  <c r="FE569" i="3"/>
  <c r="FE570" i="3"/>
  <c r="FE571" i="3"/>
  <c r="FE572" i="3"/>
  <c r="FE573" i="3"/>
  <c r="FE574" i="3"/>
  <c r="FE575" i="3"/>
  <c r="FE576" i="3"/>
  <c r="FE577" i="3"/>
  <c r="FE578" i="3"/>
  <c r="FE579" i="3"/>
  <c r="FE580" i="3"/>
  <c r="FE581" i="3"/>
  <c r="FE582" i="3"/>
  <c r="FE583" i="3"/>
  <c r="FE584" i="3"/>
  <c r="FE585" i="3"/>
  <c r="FE586" i="3"/>
  <c r="FE587" i="3"/>
  <c r="FE588" i="3"/>
  <c r="FE589" i="3"/>
  <c r="FE590" i="3"/>
  <c r="FE591" i="3"/>
  <c r="FE592" i="3"/>
  <c r="FE593" i="3"/>
  <c r="FE594" i="3"/>
  <c r="FE595" i="3"/>
  <c r="FE596" i="3"/>
  <c r="FE597" i="3"/>
  <c r="FE598" i="3"/>
  <c r="FE599" i="3"/>
  <c r="FE600" i="3"/>
  <c r="FD3" i="3"/>
  <c r="FD4" i="3"/>
  <c r="FD5" i="3"/>
  <c r="FD6" i="3"/>
  <c r="FD7" i="3"/>
  <c r="FD8" i="3"/>
  <c r="FD9" i="3"/>
  <c r="FD10" i="3"/>
  <c r="FD11" i="3"/>
  <c r="FD12" i="3"/>
  <c r="FD13" i="3"/>
  <c r="FD14" i="3"/>
  <c r="FD15" i="3"/>
  <c r="FD16" i="3"/>
  <c r="FD17" i="3"/>
  <c r="FD18" i="3"/>
  <c r="FD19" i="3"/>
  <c r="FD20" i="3"/>
  <c r="FD21" i="3"/>
  <c r="FD22" i="3"/>
  <c r="FD23" i="3"/>
  <c r="FD24" i="3"/>
  <c r="FD25" i="3"/>
  <c r="FD26" i="3"/>
  <c r="FD27" i="3"/>
  <c r="FD28" i="3"/>
  <c r="FD29" i="3"/>
  <c r="FD30" i="3"/>
  <c r="FD31" i="3"/>
  <c r="FD32" i="3"/>
  <c r="FD33" i="3"/>
  <c r="FD34" i="3"/>
  <c r="FD35" i="3"/>
  <c r="FD36" i="3"/>
  <c r="FD37" i="3"/>
  <c r="FD38" i="3"/>
  <c r="FD39" i="3"/>
  <c r="FD40" i="3"/>
  <c r="FD41" i="3"/>
  <c r="FD42" i="3"/>
  <c r="FD43" i="3"/>
  <c r="FD44" i="3"/>
  <c r="FD45" i="3"/>
  <c r="FD46" i="3"/>
  <c r="FD47" i="3"/>
  <c r="FD48" i="3"/>
  <c r="FD49" i="3"/>
  <c r="FD50" i="3"/>
  <c r="FD51" i="3"/>
  <c r="FD52" i="3"/>
  <c r="FD53" i="3"/>
  <c r="FD54" i="3"/>
  <c r="FD55" i="3"/>
  <c r="FD56" i="3"/>
  <c r="FD57" i="3"/>
  <c r="FD58" i="3"/>
  <c r="FD59" i="3"/>
  <c r="FD60" i="3"/>
  <c r="FD61" i="3"/>
  <c r="FD62" i="3"/>
  <c r="FD63" i="3"/>
  <c r="FD64" i="3"/>
  <c r="FD65" i="3"/>
  <c r="FD66" i="3"/>
  <c r="FD67" i="3"/>
  <c r="FD68" i="3"/>
  <c r="FD69" i="3"/>
  <c r="FD70" i="3"/>
  <c r="FD71" i="3"/>
  <c r="FD72" i="3"/>
  <c r="FD73" i="3"/>
  <c r="FD74" i="3"/>
  <c r="FD75" i="3"/>
  <c r="FD76" i="3"/>
  <c r="FD77" i="3"/>
  <c r="FD78" i="3"/>
  <c r="FD79" i="3"/>
  <c r="FD80" i="3"/>
  <c r="FD81" i="3"/>
  <c r="FD82" i="3"/>
  <c r="FD83" i="3"/>
  <c r="FD84" i="3"/>
  <c r="FD85" i="3"/>
  <c r="FD86" i="3"/>
  <c r="FD87" i="3"/>
  <c r="FD88" i="3"/>
  <c r="FD89" i="3"/>
  <c r="FD90" i="3"/>
  <c r="FD91" i="3"/>
  <c r="FD92" i="3"/>
  <c r="FD93" i="3"/>
  <c r="FD94" i="3"/>
  <c r="FD95" i="3"/>
  <c r="FD96" i="3"/>
  <c r="FD97" i="3"/>
  <c r="FD98" i="3"/>
  <c r="FD99" i="3"/>
  <c r="FD100" i="3"/>
  <c r="FD101" i="3"/>
  <c r="FD102" i="3"/>
  <c r="FD103" i="3"/>
  <c r="FD104" i="3"/>
  <c r="FD105" i="3"/>
  <c r="FD106" i="3"/>
  <c r="FD107" i="3"/>
  <c r="FD108" i="3"/>
  <c r="FD109" i="3"/>
  <c r="FD110" i="3"/>
  <c r="FD111" i="3"/>
  <c r="FD112" i="3"/>
  <c r="FD113" i="3"/>
  <c r="FD114" i="3"/>
  <c r="FD115" i="3"/>
  <c r="FD116" i="3"/>
  <c r="FD117" i="3"/>
  <c r="FD118" i="3"/>
  <c r="FD119" i="3"/>
  <c r="FD120" i="3"/>
  <c r="FD121" i="3"/>
  <c r="FD122" i="3"/>
  <c r="FD123" i="3"/>
  <c r="FD124" i="3"/>
  <c r="FD125" i="3"/>
  <c r="FD126" i="3"/>
  <c r="FD127" i="3"/>
  <c r="FD128" i="3"/>
  <c r="FD129" i="3"/>
  <c r="FD130" i="3"/>
  <c r="FD131" i="3"/>
  <c r="FD132" i="3"/>
  <c r="FD133" i="3"/>
  <c r="FD134" i="3"/>
  <c r="FD135" i="3"/>
  <c r="FD136" i="3"/>
  <c r="FD137" i="3"/>
  <c r="FD138" i="3"/>
  <c r="FD139" i="3"/>
  <c r="FD140" i="3"/>
  <c r="FD141" i="3"/>
  <c r="FD142" i="3"/>
  <c r="FD143" i="3"/>
  <c r="FD144" i="3"/>
  <c r="FD145" i="3"/>
  <c r="FD146" i="3"/>
  <c r="FD147" i="3"/>
  <c r="FD148" i="3"/>
  <c r="FD149" i="3"/>
  <c r="FD150" i="3"/>
  <c r="FD151" i="3"/>
  <c r="FD152" i="3"/>
  <c r="FD153" i="3"/>
  <c r="FD154" i="3"/>
  <c r="FD155" i="3"/>
  <c r="FD156" i="3"/>
  <c r="FD157" i="3"/>
  <c r="FD158" i="3"/>
  <c r="FD159" i="3"/>
  <c r="FD160" i="3"/>
  <c r="FD161" i="3"/>
  <c r="FD162" i="3"/>
  <c r="FD163" i="3"/>
  <c r="FD164" i="3"/>
  <c r="FD165" i="3"/>
  <c r="FD166" i="3"/>
  <c r="FD167" i="3"/>
  <c r="FD168" i="3"/>
  <c r="FD169" i="3"/>
  <c r="FD170" i="3"/>
  <c r="FD171" i="3"/>
  <c r="FD172" i="3"/>
  <c r="FD173" i="3"/>
  <c r="FD174" i="3"/>
  <c r="FD175" i="3"/>
  <c r="FD176" i="3"/>
  <c r="FD177" i="3"/>
  <c r="FD178" i="3"/>
  <c r="FD179" i="3"/>
  <c r="FD180" i="3"/>
  <c r="FD181" i="3"/>
  <c r="FD182" i="3"/>
  <c r="FD183" i="3"/>
  <c r="FD184" i="3"/>
  <c r="FD185" i="3"/>
  <c r="FD186" i="3"/>
  <c r="FD187" i="3"/>
  <c r="FD188" i="3"/>
  <c r="FD189" i="3"/>
  <c r="FD190" i="3"/>
  <c r="FD191" i="3"/>
  <c r="FD192" i="3"/>
  <c r="FD193" i="3"/>
  <c r="FD194" i="3"/>
  <c r="FD195" i="3"/>
  <c r="FD196" i="3"/>
  <c r="FD197" i="3"/>
  <c r="FD198" i="3"/>
  <c r="FD199" i="3"/>
  <c r="FD200" i="3"/>
  <c r="FD201" i="3"/>
  <c r="FD202" i="3"/>
  <c r="FD203" i="3"/>
  <c r="FD204" i="3"/>
  <c r="FD205" i="3"/>
  <c r="FD206" i="3"/>
  <c r="FD207" i="3"/>
  <c r="FD208" i="3"/>
  <c r="FD209" i="3"/>
  <c r="FD210" i="3"/>
  <c r="FD211" i="3"/>
  <c r="FD212" i="3"/>
  <c r="FD213" i="3"/>
  <c r="FD214" i="3"/>
  <c r="FD215" i="3"/>
  <c r="FD216" i="3"/>
  <c r="FD217" i="3"/>
  <c r="FD218" i="3"/>
  <c r="FD219" i="3"/>
  <c r="FD220" i="3"/>
  <c r="FD221" i="3"/>
  <c r="FD222" i="3"/>
  <c r="FD223" i="3"/>
  <c r="FD224" i="3"/>
  <c r="FD225" i="3"/>
  <c r="FD226" i="3"/>
  <c r="FD227" i="3"/>
  <c r="FD228" i="3"/>
  <c r="FD229" i="3"/>
  <c r="FD230" i="3"/>
  <c r="FD231" i="3"/>
  <c r="FD232" i="3"/>
  <c r="FD233" i="3"/>
  <c r="FD234" i="3"/>
  <c r="FD235" i="3"/>
  <c r="FD236" i="3"/>
  <c r="FD237" i="3"/>
  <c r="FD238" i="3"/>
  <c r="FD239" i="3"/>
  <c r="FD240" i="3"/>
  <c r="FD241" i="3"/>
  <c r="FD242" i="3"/>
  <c r="FD243" i="3"/>
  <c r="FD244" i="3"/>
  <c r="FD245" i="3"/>
  <c r="FD246" i="3"/>
  <c r="FD247" i="3"/>
  <c r="FD248" i="3"/>
  <c r="FD249" i="3"/>
  <c r="FD250" i="3"/>
  <c r="FD251" i="3"/>
  <c r="FD252" i="3"/>
  <c r="FD253" i="3"/>
  <c r="FD254" i="3"/>
  <c r="FD255" i="3"/>
  <c r="FD256" i="3"/>
  <c r="FD257" i="3"/>
  <c r="FD258" i="3"/>
  <c r="FD259" i="3"/>
  <c r="FD260" i="3"/>
  <c r="FD261" i="3"/>
  <c r="FD262" i="3"/>
  <c r="FD263" i="3"/>
  <c r="FD264" i="3"/>
  <c r="FD265" i="3"/>
  <c r="FD266" i="3"/>
  <c r="FD267" i="3"/>
  <c r="FD268" i="3"/>
  <c r="FD269" i="3"/>
  <c r="FD270" i="3"/>
  <c r="FD271" i="3"/>
  <c r="FD272" i="3"/>
  <c r="FD273" i="3"/>
  <c r="FD274" i="3"/>
  <c r="FD275" i="3"/>
  <c r="FD276" i="3"/>
  <c r="FD277" i="3"/>
  <c r="FD278" i="3"/>
  <c r="FD279" i="3"/>
  <c r="FD280" i="3"/>
  <c r="FD281" i="3"/>
  <c r="FD282" i="3"/>
  <c r="FD283" i="3"/>
  <c r="FD284" i="3"/>
  <c r="FD285" i="3"/>
  <c r="FD286" i="3"/>
  <c r="FD287" i="3"/>
  <c r="FD288" i="3"/>
  <c r="FD289" i="3"/>
  <c r="FD290" i="3"/>
  <c r="FD291" i="3"/>
  <c r="FD292" i="3"/>
  <c r="FD293" i="3"/>
  <c r="FD294" i="3"/>
  <c r="FD295" i="3"/>
  <c r="FD296" i="3"/>
  <c r="FD297" i="3"/>
  <c r="FD298" i="3"/>
  <c r="FD299" i="3"/>
  <c r="FD300" i="3"/>
  <c r="FD301" i="3"/>
  <c r="FD302" i="3"/>
  <c r="FD303" i="3"/>
  <c r="FD304" i="3"/>
  <c r="FD305" i="3"/>
  <c r="FD306" i="3"/>
  <c r="FD307" i="3"/>
  <c r="FD308" i="3"/>
  <c r="FD309" i="3"/>
  <c r="FD310" i="3"/>
  <c r="FD311" i="3"/>
  <c r="FD312" i="3"/>
  <c r="FD313" i="3"/>
  <c r="FD314" i="3"/>
  <c r="FD315" i="3"/>
  <c r="FD316" i="3"/>
  <c r="FD317" i="3"/>
  <c r="FD318" i="3"/>
  <c r="FD319" i="3"/>
  <c r="FD320" i="3"/>
  <c r="FD321" i="3"/>
  <c r="FD322" i="3"/>
  <c r="FD323" i="3"/>
  <c r="FD324" i="3"/>
  <c r="FD325" i="3"/>
  <c r="FD326" i="3"/>
  <c r="FD327" i="3"/>
  <c r="FD328" i="3"/>
  <c r="FD329" i="3"/>
  <c r="FD330" i="3"/>
  <c r="FD331" i="3"/>
  <c r="FD332" i="3"/>
  <c r="FD333" i="3"/>
  <c r="FD334" i="3"/>
  <c r="FD335" i="3"/>
  <c r="FD336" i="3"/>
  <c r="FD337" i="3"/>
  <c r="FD338" i="3"/>
  <c r="FD339" i="3"/>
  <c r="FD340" i="3"/>
  <c r="FD341" i="3"/>
  <c r="FD342" i="3"/>
  <c r="FD343" i="3"/>
  <c r="FD344" i="3"/>
  <c r="FD345" i="3"/>
  <c r="FD346" i="3"/>
  <c r="FD347" i="3"/>
  <c r="FD348" i="3"/>
  <c r="FD349" i="3"/>
  <c r="FD350" i="3"/>
  <c r="FD351" i="3"/>
  <c r="FD352" i="3"/>
  <c r="FD353" i="3"/>
  <c r="FD354" i="3"/>
  <c r="FD355" i="3"/>
  <c r="FD356" i="3"/>
  <c r="FD357" i="3"/>
  <c r="FD358" i="3"/>
  <c r="FD359" i="3"/>
  <c r="FD360" i="3"/>
  <c r="FD361" i="3"/>
  <c r="FD362" i="3"/>
  <c r="FD363" i="3"/>
  <c r="FD364" i="3"/>
  <c r="FD365" i="3"/>
  <c r="FD366" i="3"/>
  <c r="FD367" i="3"/>
  <c r="FD368" i="3"/>
  <c r="FD369" i="3"/>
  <c r="FD370" i="3"/>
  <c r="FD371" i="3"/>
  <c r="FD372" i="3"/>
  <c r="FD373" i="3"/>
  <c r="FD374" i="3"/>
  <c r="FD375" i="3"/>
  <c r="FD376" i="3"/>
  <c r="FD377" i="3"/>
  <c r="FD378" i="3"/>
  <c r="FD379" i="3"/>
  <c r="FD380" i="3"/>
  <c r="FD381" i="3"/>
  <c r="FD382" i="3"/>
  <c r="FD383" i="3"/>
  <c r="FD384" i="3"/>
  <c r="FD385" i="3"/>
  <c r="FD386" i="3"/>
  <c r="FD387" i="3"/>
  <c r="FD388" i="3"/>
  <c r="FD389" i="3"/>
  <c r="FD390" i="3"/>
  <c r="FD391" i="3"/>
  <c r="FD392" i="3"/>
  <c r="FD393" i="3"/>
  <c r="FD394" i="3"/>
  <c r="FD395" i="3"/>
  <c r="FD396" i="3"/>
  <c r="FD397" i="3"/>
  <c r="FD398" i="3"/>
  <c r="FD399" i="3"/>
  <c r="FD400" i="3"/>
  <c r="FD401" i="3"/>
  <c r="FD402" i="3"/>
  <c r="FD403" i="3"/>
  <c r="FD404" i="3"/>
  <c r="FD405" i="3"/>
  <c r="FD406" i="3"/>
  <c r="FD407" i="3"/>
  <c r="FD408" i="3"/>
  <c r="FD409" i="3"/>
  <c r="FD410" i="3"/>
  <c r="FD411" i="3"/>
  <c r="FD412" i="3"/>
  <c r="FD413" i="3"/>
  <c r="FD414" i="3"/>
  <c r="FD415" i="3"/>
  <c r="FD416" i="3"/>
  <c r="FD417" i="3"/>
  <c r="FD418" i="3"/>
  <c r="FD419" i="3"/>
  <c r="FD420" i="3"/>
  <c r="FD421" i="3"/>
  <c r="FD422" i="3"/>
  <c r="FD423" i="3"/>
  <c r="FD424" i="3"/>
  <c r="FD425" i="3"/>
  <c r="FD426" i="3"/>
  <c r="FD427" i="3"/>
  <c r="FD428" i="3"/>
  <c r="FD429" i="3"/>
  <c r="FD430" i="3"/>
  <c r="FD431" i="3"/>
  <c r="FD432" i="3"/>
  <c r="FD433" i="3"/>
  <c r="FD434" i="3"/>
  <c r="FD435" i="3"/>
  <c r="FD436" i="3"/>
  <c r="FD437" i="3"/>
  <c r="FD438" i="3"/>
  <c r="FD439" i="3"/>
  <c r="FD440" i="3"/>
  <c r="FD441" i="3"/>
  <c r="FD442" i="3"/>
  <c r="FD443" i="3"/>
  <c r="FD444" i="3"/>
  <c r="FD445" i="3"/>
  <c r="FD446" i="3"/>
  <c r="FD447" i="3"/>
  <c r="FD448" i="3"/>
  <c r="FD449" i="3"/>
  <c r="FD450" i="3"/>
  <c r="FD451" i="3"/>
  <c r="FD452" i="3"/>
  <c r="FD453" i="3"/>
  <c r="FD454" i="3"/>
  <c r="FD455" i="3"/>
  <c r="FD456" i="3"/>
  <c r="FD457" i="3"/>
  <c r="FD458" i="3"/>
  <c r="FD459" i="3"/>
  <c r="FD460" i="3"/>
  <c r="FD461" i="3"/>
  <c r="FD462" i="3"/>
  <c r="FD463" i="3"/>
  <c r="FD464" i="3"/>
  <c r="FD465" i="3"/>
  <c r="FD466" i="3"/>
  <c r="FD467" i="3"/>
  <c r="FD468" i="3"/>
  <c r="FD469" i="3"/>
  <c r="FD470" i="3"/>
  <c r="FD471" i="3"/>
  <c r="FD472" i="3"/>
  <c r="FD473" i="3"/>
  <c r="FD474" i="3"/>
  <c r="FD475" i="3"/>
  <c r="FD476" i="3"/>
  <c r="FD477" i="3"/>
  <c r="FD478" i="3"/>
  <c r="FD479" i="3"/>
  <c r="FD480" i="3"/>
  <c r="FD481" i="3"/>
  <c r="FD482" i="3"/>
  <c r="FD483" i="3"/>
  <c r="FD484" i="3"/>
  <c r="FD485" i="3"/>
  <c r="FD486" i="3"/>
  <c r="FD487" i="3"/>
  <c r="FD488" i="3"/>
  <c r="FD489" i="3"/>
  <c r="FD490" i="3"/>
  <c r="FD491" i="3"/>
  <c r="FD492" i="3"/>
  <c r="FD493" i="3"/>
  <c r="FD494" i="3"/>
  <c r="FD495" i="3"/>
  <c r="FD496" i="3"/>
  <c r="FD497" i="3"/>
  <c r="FD498" i="3"/>
  <c r="FD499" i="3"/>
  <c r="FD500" i="3"/>
  <c r="FD501" i="3"/>
  <c r="FD502" i="3"/>
  <c r="FD503" i="3"/>
  <c r="FD504" i="3"/>
  <c r="FD505" i="3"/>
  <c r="FD506" i="3"/>
  <c r="FD507" i="3"/>
  <c r="FD508" i="3"/>
  <c r="FD509" i="3"/>
  <c r="FD510" i="3"/>
  <c r="FD511" i="3"/>
  <c r="FD512" i="3"/>
  <c r="FD513" i="3"/>
  <c r="FD514" i="3"/>
  <c r="FD515" i="3"/>
  <c r="FD516" i="3"/>
  <c r="FD517" i="3"/>
  <c r="FD518" i="3"/>
  <c r="FD519" i="3"/>
  <c r="FD520" i="3"/>
  <c r="FD521" i="3"/>
  <c r="FD522" i="3"/>
  <c r="FD523" i="3"/>
  <c r="FD524" i="3"/>
  <c r="FD525" i="3"/>
  <c r="FD526" i="3"/>
  <c r="FD527" i="3"/>
  <c r="FD528" i="3"/>
  <c r="FD529" i="3"/>
  <c r="FD530" i="3"/>
  <c r="FD531" i="3"/>
  <c r="FD532" i="3"/>
  <c r="FD533" i="3"/>
  <c r="FD534" i="3"/>
  <c r="FD535" i="3"/>
  <c r="FD536" i="3"/>
  <c r="FD537" i="3"/>
  <c r="FD538" i="3"/>
  <c r="FD539" i="3"/>
  <c r="FD540" i="3"/>
  <c r="FD541" i="3"/>
  <c r="FD542" i="3"/>
  <c r="FD543" i="3"/>
  <c r="FD544" i="3"/>
  <c r="FD545" i="3"/>
  <c r="FD546" i="3"/>
  <c r="FD547" i="3"/>
  <c r="FD548" i="3"/>
  <c r="FD549" i="3"/>
  <c r="FD550" i="3"/>
  <c r="FD551" i="3"/>
  <c r="FD552" i="3"/>
  <c r="FD553" i="3"/>
  <c r="FD554" i="3"/>
  <c r="FD555" i="3"/>
  <c r="FD556" i="3"/>
  <c r="FD557" i="3"/>
  <c r="FD558" i="3"/>
  <c r="FD559" i="3"/>
  <c r="FD560" i="3"/>
  <c r="FD561" i="3"/>
  <c r="FD562" i="3"/>
  <c r="FD563" i="3"/>
  <c r="FD564" i="3"/>
  <c r="FD565" i="3"/>
  <c r="FD566" i="3"/>
  <c r="FD567" i="3"/>
  <c r="FD568" i="3"/>
  <c r="FD569" i="3"/>
  <c r="FD570" i="3"/>
  <c r="FD571" i="3"/>
  <c r="FD572" i="3"/>
  <c r="FD573" i="3"/>
  <c r="FD574" i="3"/>
  <c r="FD575" i="3"/>
  <c r="FD576" i="3"/>
  <c r="FD577" i="3"/>
  <c r="FD578" i="3"/>
  <c r="FD579" i="3"/>
  <c r="FD580" i="3"/>
  <c r="FD581" i="3"/>
  <c r="FD582" i="3"/>
  <c r="FD583" i="3"/>
  <c r="FD584" i="3"/>
  <c r="FD585" i="3"/>
  <c r="FD586" i="3"/>
  <c r="FD587" i="3"/>
  <c r="FD588" i="3"/>
  <c r="FD589" i="3"/>
  <c r="FD590" i="3"/>
  <c r="FD591" i="3"/>
  <c r="FD592" i="3"/>
  <c r="FD593" i="3"/>
  <c r="FD594" i="3"/>
  <c r="FD595" i="3"/>
  <c r="FD596" i="3"/>
  <c r="FD597" i="3"/>
  <c r="FD598" i="3"/>
  <c r="FD599" i="3"/>
  <c r="FD600" i="3"/>
  <c r="FC3" i="3"/>
  <c r="FC4" i="3"/>
  <c r="FC5" i="3"/>
  <c r="FC6" i="3"/>
  <c r="FC7" i="3"/>
  <c r="FC8" i="3"/>
  <c r="FC9" i="3"/>
  <c r="FC10" i="3"/>
  <c r="FC11" i="3"/>
  <c r="FC12" i="3"/>
  <c r="FC13" i="3"/>
  <c r="FC14" i="3"/>
  <c r="FC15" i="3"/>
  <c r="FC16" i="3"/>
  <c r="FC17" i="3"/>
  <c r="FC18" i="3"/>
  <c r="FC19" i="3"/>
  <c r="FC20" i="3"/>
  <c r="FC21" i="3"/>
  <c r="FC22" i="3"/>
  <c r="FC23" i="3"/>
  <c r="FC24" i="3"/>
  <c r="FC25" i="3"/>
  <c r="FC26" i="3"/>
  <c r="FC27" i="3"/>
  <c r="FC28" i="3"/>
  <c r="FC29" i="3"/>
  <c r="FC30" i="3"/>
  <c r="FC31" i="3"/>
  <c r="FC32" i="3"/>
  <c r="FC33" i="3"/>
  <c r="FC34" i="3"/>
  <c r="FC35" i="3"/>
  <c r="FC36" i="3"/>
  <c r="FC37" i="3"/>
  <c r="FC38" i="3"/>
  <c r="FC39" i="3"/>
  <c r="FC40" i="3"/>
  <c r="FC41" i="3"/>
  <c r="FC42" i="3"/>
  <c r="FC43" i="3"/>
  <c r="FC44" i="3"/>
  <c r="FC45" i="3"/>
  <c r="FC46" i="3"/>
  <c r="FC47" i="3"/>
  <c r="FC48" i="3"/>
  <c r="FC49" i="3"/>
  <c r="FC50" i="3"/>
  <c r="FC51" i="3"/>
  <c r="FC52" i="3"/>
  <c r="FC53" i="3"/>
  <c r="FC54" i="3"/>
  <c r="FC55" i="3"/>
  <c r="FC56" i="3"/>
  <c r="FC57" i="3"/>
  <c r="FC58" i="3"/>
  <c r="FC59" i="3"/>
  <c r="FC60" i="3"/>
  <c r="FC61" i="3"/>
  <c r="FC62" i="3"/>
  <c r="FC63" i="3"/>
  <c r="FC64" i="3"/>
  <c r="FC65" i="3"/>
  <c r="FC66" i="3"/>
  <c r="FC67" i="3"/>
  <c r="FC68" i="3"/>
  <c r="FC69" i="3"/>
  <c r="FC70" i="3"/>
  <c r="FC71" i="3"/>
  <c r="FC72" i="3"/>
  <c r="FC73" i="3"/>
  <c r="FC74" i="3"/>
  <c r="FC75" i="3"/>
  <c r="FC76" i="3"/>
  <c r="FC77" i="3"/>
  <c r="FC78" i="3"/>
  <c r="FC79" i="3"/>
  <c r="FC80" i="3"/>
  <c r="FC81" i="3"/>
  <c r="FC82" i="3"/>
  <c r="FC83" i="3"/>
  <c r="FC84" i="3"/>
  <c r="FC85" i="3"/>
  <c r="FC86" i="3"/>
  <c r="FC87" i="3"/>
  <c r="FC88" i="3"/>
  <c r="FC89" i="3"/>
  <c r="FC90" i="3"/>
  <c r="FC91" i="3"/>
  <c r="FC92" i="3"/>
  <c r="FC93" i="3"/>
  <c r="FC94" i="3"/>
  <c r="FC95" i="3"/>
  <c r="FC96" i="3"/>
  <c r="FC97" i="3"/>
  <c r="FC98" i="3"/>
  <c r="FC99" i="3"/>
  <c r="FC100" i="3"/>
  <c r="FC101" i="3"/>
  <c r="FC102" i="3"/>
  <c r="FC103" i="3"/>
  <c r="FC104" i="3"/>
  <c r="FC105" i="3"/>
  <c r="FC106" i="3"/>
  <c r="FC107" i="3"/>
  <c r="FC108" i="3"/>
  <c r="FC109" i="3"/>
  <c r="FC110" i="3"/>
  <c r="FC111" i="3"/>
  <c r="FC112" i="3"/>
  <c r="FC113" i="3"/>
  <c r="FC114" i="3"/>
  <c r="FC115" i="3"/>
  <c r="FC116" i="3"/>
  <c r="FC117" i="3"/>
  <c r="FC118" i="3"/>
  <c r="FC119" i="3"/>
  <c r="FC120" i="3"/>
  <c r="FC121" i="3"/>
  <c r="FC122" i="3"/>
  <c r="FC123" i="3"/>
  <c r="FC124" i="3"/>
  <c r="FC125" i="3"/>
  <c r="FC126" i="3"/>
  <c r="FC127" i="3"/>
  <c r="FC128" i="3"/>
  <c r="FC129" i="3"/>
  <c r="FC130" i="3"/>
  <c r="FC131" i="3"/>
  <c r="FC132" i="3"/>
  <c r="FC133" i="3"/>
  <c r="FC134" i="3"/>
  <c r="FC135" i="3"/>
  <c r="FC136" i="3"/>
  <c r="FC137" i="3"/>
  <c r="FC138" i="3"/>
  <c r="FC139" i="3"/>
  <c r="FC140" i="3"/>
  <c r="FC141" i="3"/>
  <c r="FC142" i="3"/>
  <c r="FC143" i="3"/>
  <c r="FC144" i="3"/>
  <c r="FC145" i="3"/>
  <c r="FC146" i="3"/>
  <c r="FC147" i="3"/>
  <c r="FC148" i="3"/>
  <c r="FC149" i="3"/>
  <c r="FC150" i="3"/>
  <c r="FC151" i="3"/>
  <c r="FC152" i="3"/>
  <c r="FC153" i="3"/>
  <c r="FC154" i="3"/>
  <c r="FC155" i="3"/>
  <c r="FC156" i="3"/>
  <c r="FC157" i="3"/>
  <c r="FC158" i="3"/>
  <c r="FC159" i="3"/>
  <c r="FC160" i="3"/>
  <c r="FC161" i="3"/>
  <c r="FC162" i="3"/>
  <c r="FC163" i="3"/>
  <c r="FC164" i="3"/>
  <c r="FC165" i="3"/>
  <c r="FC166" i="3"/>
  <c r="FC167" i="3"/>
  <c r="FC168" i="3"/>
  <c r="FC169" i="3"/>
  <c r="FC170" i="3"/>
  <c r="FC171" i="3"/>
  <c r="FC172" i="3"/>
  <c r="FC173" i="3"/>
  <c r="FC174" i="3"/>
  <c r="FC175" i="3"/>
  <c r="FC176" i="3"/>
  <c r="FC177" i="3"/>
  <c r="FC178" i="3"/>
  <c r="FC179" i="3"/>
  <c r="FC180" i="3"/>
  <c r="FC181" i="3"/>
  <c r="FC182" i="3"/>
  <c r="FC183" i="3"/>
  <c r="FC184" i="3"/>
  <c r="FC185" i="3"/>
  <c r="FC186" i="3"/>
  <c r="FC187" i="3"/>
  <c r="FC188" i="3"/>
  <c r="FC189" i="3"/>
  <c r="FC190" i="3"/>
  <c r="FC191" i="3"/>
  <c r="FC192" i="3"/>
  <c r="FC193" i="3"/>
  <c r="FC194" i="3"/>
  <c r="FC195" i="3"/>
  <c r="FC196" i="3"/>
  <c r="FC197" i="3"/>
  <c r="FC198" i="3"/>
  <c r="FC199" i="3"/>
  <c r="FC200" i="3"/>
  <c r="FC201" i="3"/>
  <c r="FC202" i="3"/>
  <c r="FC203" i="3"/>
  <c r="FC204" i="3"/>
  <c r="FC205" i="3"/>
  <c r="FC206" i="3"/>
  <c r="FC207" i="3"/>
  <c r="FC208" i="3"/>
  <c r="FC209" i="3"/>
  <c r="FC210" i="3"/>
  <c r="FC211" i="3"/>
  <c r="FC212" i="3"/>
  <c r="FC213" i="3"/>
  <c r="FC214" i="3"/>
  <c r="FC215" i="3"/>
  <c r="FC216" i="3"/>
  <c r="FC217" i="3"/>
  <c r="FC218" i="3"/>
  <c r="FC219" i="3"/>
  <c r="FC220" i="3"/>
  <c r="FC221" i="3"/>
  <c r="FC222" i="3"/>
  <c r="FC223" i="3"/>
  <c r="FC224" i="3"/>
  <c r="FC225" i="3"/>
  <c r="FC226" i="3"/>
  <c r="FC227" i="3"/>
  <c r="FC228" i="3"/>
  <c r="FC229" i="3"/>
  <c r="FC230" i="3"/>
  <c r="FC231" i="3"/>
  <c r="FC232" i="3"/>
  <c r="FC233" i="3"/>
  <c r="FC234" i="3"/>
  <c r="FC235" i="3"/>
  <c r="FC236" i="3"/>
  <c r="FC237" i="3"/>
  <c r="FC238" i="3"/>
  <c r="FC239" i="3"/>
  <c r="FC240" i="3"/>
  <c r="FC241" i="3"/>
  <c r="FC242" i="3"/>
  <c r="FC243" i="3"/>
  <c r="FC244" i="3"/>
  <c r="FC245" i="3"/>
  <c r="FC246" i="3"/>
  <c r="FC247" i="3"/>
  <c r="FC248" i="3"/>
  <c r="FC249" i="3"/>
  <c r="FC250" i="3"/>
  <c r="FC251" i="3"/>
  <c r="FC252" i="3"/>
  <c r="FC253" i="3"/>
  <c r="FC254" i="3"/>
  <c r="FC255" i="3"/>
  <c r="FC256" i="3"/>
  <c r="FC257" i="3"/>
  <c r="FC258" i="3"/>
  <c r="FC259" i="3"/>
  <c r="FC260" i="3"/>
  <c r="FC261" i="3"/>
  <c r="FC262" i="3"/>
  <c r="FC263" i="3"/>
  <c r="FC264" i="3"/>
  <c r="FC265" i="3"/>
  <c r="FC266" i="3"/>
  <c r="FC267" i="3"/>
  <c r="FC268" i="3"/>
  <c r="FC269" i="3"/>
  <c r="FC270" i="3"/>
  <c r="FC271" i="3"/>
  <c r="FC272" i="3"/>
  <c r="FC273" i="3"/>
  <c r="FC274" i="3"/>
  <c r="FC275" i="3"/>
  <c r="FC276" i="3"/>
  <c r="FC277" i="3"/>
  <c r="FC278" i="3"/>
  <c r="FC279" i="3"/>
  <c r="FC280" i="3"/>
  <c r="FC281" i="3"/>
  <c r="FC282" i="3"/>
  <c r="FC283" i="3"/>
  <c r="FC284" i="3"/>
  <c r="FC285" i="3"/>
  <c r="FC286" i="3"/>
  <c r="FC287" i="3"/>
  <c r="FC288" i="3"/>
  <c r="FC289" i="3"/>
  <c r="FC290" i="3"/>
  <c r="FC291" i="3"/>
  <c r="FC292" i="3"/>
  <c r="FC293" i="3"/>
  <c r="FC294" i="3"/>
  <c r="FC295" i="3"/>
  <c r="FC296" i="3"/>
  <c r="FC297" i="3"/>
  <c r="FC298" i="3"/>
  <c r="FC299" i="3"/>
  <c r="FC300" i="3"/>
  <c r="FC301" i="3"/>
  <c r="FC302" i="3"/>
  <c r="FC303" i="3"/>
  <c r="FC304" i="3"/>
  <c r="FC305" i="3"/>
  <c r="FC306" i="3"/>
  <c r="FC307" i="3"/>
  <c r="FC308" i="3"/>
  <c r="FC309" i="3"/>
  <c r="FC310" i="3"/>
  <c r="FC311" i="3"/>
  <c r="FC312" i="3"/>
  <c r="FC313" i="3"/>
  <c r="FC314" i="3"/>
  <c r="FC315" i="3"/>
  <c r="FC316" i="3"/>
  <c r="FC317" i="3"/>
  <c r="FC318" i="3"/>
  <c r="FC319" i="3"/>
  <c r="FC320" i="3"/>
  <c r="FC321" i="3"/>
  <c r="FC322" i="3"/>
  <c r="FC323" i="3"/>
  <c r="FC324" i="3"/>
  <c r="FC325" i="3"/>
  <c r="FC326" i="3"/>
  <c r="FC327" i="3"/>
  <c r="FC328" i="3"/>
  <c r="FC329" i="3"/>
  <c r="FC330" i="3"/>
  <c r="FC331" i="3"/>
  <c r="FC332" i="3"/>
  <c r="FC333" i="3"/>
  <c r="FC334" i="3"/>
  <c r="FC335" i="3"/>
  <c r="FC336" i="3"/>
  <c r="FC337" i="3"/>
  <c r="FC338" i="3"/>
  <c r="FC339" i="3"/>
  <c r="FC340" i="3"/>
  <c r="FC341" i="3"/>
  <c r="FC342" i="3"/>
  <c r="FC343" i="3"/>
  <c r="FC344" i="3"/>
  <c r="FC345" i="3"/>
  <c r="FC346" i="3"/>
  <c r="FC347" i="3"/>
  <c r="FC348" i="3"/>
  <c r="FC349" i="3"/>
  <c r="FC350" i="3"/>
  <c r="FC351" i="3"/>
  <c r="FC352" i="3"/>
  <c r="FC353" i="3"/>
  <c r="FC354" i="3"/>
  <c r="FC355" i="3"/>
  <c r="FC356" i="3"/>
  <c r="FC357" i="3"/>
  <c r="FC358" i="3"/>
  <c r="FC359" i="3"/>
  <c r="FC360" i="3"/>
  <c r="FC361" i="3"/>
  <c r="FC362" i="3"/>
  <c r="FC363" i="3"/>
  <c r="FC364" i="3"/>
  <c r="FC365" i="3"/>
  <c r="FC366" i="3"/>
  <c r="FC367" i="3"/>
  <c r="FC368" i="3"/>
  <c r="FC369" i="3"/>
  <c r="FC370" i="3"/>
  <c r="FC371" i="3"/>
  <c r="FC372" i="3"/>
  <c r="FC373" i="3"/>
  <c r="FC374" i="3"/>
  <c r="FC375" i="3"/>
  <c r="FC376" i="3"/>
  <c r="FC377" i="3"/>
  <c r="FC378" i="3"/>
  <c r="FC379" i="3"/>
  <c r="FC380" i="3"/>
  <c r="FC381" i="3"/>
  <c r="FC382" i="3"/>
  <c r="FC383" i="3"/>
  <c r="FC384" i="3"/>
  <c r="FC385" i="3"/>
  <c r="FC386" i="3"/>
  <c r="FC387" i="3"/>
  <c r="FC388" i="3"/>
  <c r="FC389" i="3"/>
  <c r="FC390" i="3"/>
  <c r="FC391" i="3"/>
  <c r="FC392" i="3"/>
  <c r="FC393" i="3"/>
  <c r="FC394" i="3"/>
  <c r="FC395" i="3"/>
  <c r="FC396" i="3"/>
  <c r="FC397" i="3"/>
  <c r="FC398" i="3"/>
  <c r="FC399" i="3"/>
  <c r="FC400" i="3"/>
  <c r="FC401" i="3"/>
  <c r="FC402" i="3"/>
  <c r="FC403" i="3"/>
  <c r="FC404" i="3"/>
  <c r="FC405" i="3"/>
  <c r="FC406" i="3"/>
  <c r="FC407" i="3"/>
  <c r="FC408" i="3"/>
  <c r="FC409" i="3"/>
  <c r="FC410" i="3"/>
  <c r="FC411" i="3"/>
  <c r="FC412" i="3"/>
  <c r="FC413" i="3"/>
  <c r="FC414" i="3"/>
  <c r="FC415" i="3"/>
  <c r="FC416" i="3"/>
  <c r="FC417" i="3"/>
  <c r="FC418" i="3"/>
  <c r="FC419" i="3"/>
  <c r="FC420" i="3"/>
  <c r="FC421" i="3"/>
  <c r="FC422" i="3"/>
  <c r="FC423" i="3"/>
  <c r="FC424" i="3"/>
  <c r="FC425" i="3"/>
  <c r="FC426" i="3"/>
  <c r="FC427" i="3"/>
  <c r="FC428" i="3"/>
  <c r="FC429" i="3"/>
  <c r="FC430" i="3"/>
  <c r="FC431" i="3"/>
  <c r="FC432" i="3"/>
  <c r="FC433" i="3"/>
  <c r="FC434" i="3"/>
  <c r="FC435" i="3"/>
  <c r="FC436" i="3"/>
  <c r="FC437" i="3"/>
  <c r="FC438" i="3"/>
  <c r="FC439" i="3"/>
  <c r="FC440" i="3"/>
  <c r="FC441" i="3"/>
  <c r="FC442" i="3"/>
  <c r="FC443" i="3"/>
  <c r="FC444" i="3"/>
  <c r="FC445" i="3"/>
  <c r="FC446" i="3"/>
  <c r="FC447" i="3"/>
  <c r="FC448" i="3"/>
  <c r="FC449" i="3"/>
  <c r="FC450" i="3"/>
  <c r="FC451" i="3"/>
  <c r="FC452" i="3"/>
  <c r="FC453" i="3"/>
  <c r="FC454" i="3"/>
  <c r="FC455" i="3"/>
  <c r="FC456" i="3"/>
  <c r="FC457" i="3"/>
  <c r="FC458" i="3"/>
  <c r="FC459" i="3"/>
  <c r="FC460" i="3"/>
  <c r="FC461" i="3"/>
  <c r="FC462" i="3"/>
  <c r="FC463" i="3"/>
  <c r="FC464" i="3"/>
  <c r="FC465" i="3"/>
  <c r="FC466" i="3"/>
  <c r="FC467" i="3"/>
  <c r="FC468" i="3"/>
  <c r="FC469" i="3"/>
  <c r="FC470" i="3"/>
  <c r="FC471" i="3"/>
  <c r="FC472" i="3"/>
  <c r="FC473" i="3"/>
  <c r="FC474" i="3"/>
  <c r="FC475" i="3"/>
  <c r="FC476" i="3"/>
  <c r="FC477" i="3"/>
  <c r="FC478" i="3"/>
  <c r="FC479" i="3"/>
  <c r="FC480" i="3"/>
  <c r="FC481" i="3"/>
  <c r="FC482" i="3"/>
  <c r="FC483" i="3"/>
  <c r="FC484" i="3"/>
  <c r="FC485" i="3"/>
  <c r="FC486" i="3"/>
  <c r="FC487" i="3"/>
  <c r="FC488" i="3"/>
  <c r="FC489" i="3"/>
  <c r="FC490" i="3"/>
  <c r="FC491" i="3"/>
  <c r="FC492" i="3"/>
  <c r="FC493" i="3"/>
  <c r="FC494" i="3"/>
  <c r="FC495" i="3"/>
  <c r="FC496" i="3"/>
  <c r="FC497" i="3"/>
  <c r="FC498" i="3"/>
  <c r="FC499" i="3"/>
  <c r="FC500" i="3"/>
  <c r="FC501" i="3"/>
  <c r="FC502" i="3"/>
  <c r="FC503" i="3"/>
  <c r="FC504" i="3"/>
  <c r="FC505" i="3"/>
  <c r="FC506" i="3"/>
  <c r="FC507" i="3"/>
  <c r="FC508" i="3"/>
  <c r="FC509" i="3"/>
  <c r="FC510" i="3"/>
  <c r="FC511" i="3"/>
  <c r="FC512" i="3"/>
  <c r="FC513" i="3"/>
  <c r="FC514" i="3"/>
  <c r="FC515" i="3"/>
  <c r="FC516" i="3"/>
  <c r="FC517" i="3"/>
  <c r="FC518" i="3"/>
  <c r="FC519" i="3"/>
  <c r="FC520" i="3"/>
  <c r="FC521" i="3"/>
  <c r="FC522" i="3"/>
  <c r="FC523" i="3"/>
  <c r="FC524" i="3"/>
  <c r="FC525" i="3"/>
  <c r="FC526" i="3"/>
  <c r="FC527" i="3"/>
  <c r="FC528" i="3"/>
  <c r="FC529" i="3"/>
  <c r="FC530" i="3"/>
  <c r="FC531" i="3"/>
  <c r="FC532" i="3"/>
  <c r="FC533" i="3"/>
  <c r="FC534" i="3"/>
  <c r="FC535" i="3"/>
  <c r="FC536" i="3"/>
  <c r="FC537" i="3"/>
  <c r="FC538" i="3"/>
  <c r="FC539" i="3"/>
  <c r="FC540" i="3"/>
  <c r="FC541" i="3"/>
  <c r="FC542" i="3"/>
  <c r="FC543" i="3"/>
  <c r="FC544" i="3"/>
  <c r="FC545" i="3"/>
  <c r="FC546" i="3"/>
  <c r="FC547" i="3"/>
  <c r="FC548" i="3"/>
  <c r="FC549" i="3"/>
  <c r="FC550" i="3"/>
  <c r="FC551" i="3"/>
  <c r="FC552" i="3"/>
  <c r="FC553" i="3"/>
  <c r="FC554" i="3"/>
  <c r="FC555" i="3"/>
  <c r="FC556" i="3"/>
  <c r="FC557" i="3"/>
  <c r="FC558" i="3"/>
  <c r="FC559" i="3"/>
  <c r="FC560" i="3"/>
  <c r="FC561" i="3"/>
  <c r="FC562" i="3"/>
  <c r="FC563" i="3"/>
  <c r="FC564" i="3"/>
  <c r="FC565" i="3"/>
  <c r="FC566" i="3"/>
  <c r="FC567" i="3"/>
  <c r="FC568" i="3"/>
  <c r="FC569" i="3"/>
  <c r="FC570" i="3"/>
  <c r="FC571" i="3"/>
  <c r="FC572" i="3"/>
  <c r="FC573" i="3"/>
  <c r="FC574" i="3"/>
  <c r="FC575" i="3"/>
  <c r="FC576" i="3"/>
  <c r="FC577" i="3"/>
  <c r="FC578" i="3"/>
  <c r="FC579" i="3"/>
  <c r="FC580" i="3"/>
  <c r="FC581" i="3"/>
  <c r="FC582" i="3"/>
  <c r="FC583" i="3"/>
  <c r="FC584" i="3"/>
  <c r="FC585" i="3"/>
  <c r="FC586" i="3"/>
  <c r="FC587" i="3"/>
  <c r="FC588" i="3"/>
  <c r="FC589" i="3"/>
  <c r="FC590" i="3"/>
  <c r="FC591" i="3"/>
  <c r="FC592" i="3"/>
  <c r="FC593" i="3"/>
  <c r="FC594" i="3"/>
  <c r="FC595" i="3"/>
  <c r="FC596" i="3"/>
  <c r="FC597" i="3"/>
  <c r="FC598" i="3"/>
  <c r="FC599" i="3"/>
  <c r="FC600" i="3"/>
  <c r="FB3" i="3"/>
  <c r="FB4" i="3"/>
  <c r="FB5" i="3"/>
  <c r="FB6" i="3"/>
  <c r="FB7" i="3"/>
  <c r="FB8" i="3"/>
  <c r="FB9" i="3"/>
  <c r="FB10" i="3"/>
  <c r="FB11" i="3"/>
  <c r="FB12" i="3"/>
  <c r="FB13" i="3"/>
  <c r="FB14" i="3"/>
  <c r="FB15" i="3"/>
  <c r="FB16" i="3"/>
  <c r="FB17" i="3"/>
  <c r="FB18" i="3"/>
  <c r="FB19" i="3"/>
  <c r="FB20" i="3"/>
  <c r="FB21" i="3"/>
  <c r="FB22" i="3"/>
  <c r="FB23" i="3"/>
  <c r="FB24" i="3"/>
  <c r="FB25" i="3"/>
  <c r="FB26" i="3"/>
  <c r="FB27" i="3"/>
  <c r="FB28" i="3"/>
  <c r="FB29" i="3"/>
  <c r="FB30" i="3"/>
  <c r="FB31" i="3"/>
  <c r="FB32" i="3"/>
  <c r="FB33" i="3"/>
  <c r="FB34" i="3"/>
  <c r="FB35" i="3"/>
  <c r="FB36" i="3"/>
  <c r="FB37" i="3"/>
  <c r="FB38" i="3"/>
  <c r="FB39" i="3"/>
  <c r="FB40" i="3"/>
  <c r="FB41" i="3"/>
  <c r="FB42" i="3"/>
  <c r="FB43" i="3"/>
  <c r="FB44" i="3"/>
  <c r="FB45" i="3"/>
  <c r="FB46" i="3"/>
  <c r="FB47" i="3"/>
  <c r="FB48" i="3"/>
  <c r="FB49" i="3"/>
  <c r="FB50" i="3"/>
  <c r="FB51" i="3"/>
  <c r="FB52" i="3"/>
  <c r="FB53" i="3"/>
  <c r="FB54" i="3"/>
  <c r="FB55" i="3"/>
  <c r="FB56" i="3"/>
  <c r="FB57" i="3"/>
  <c r="FB58" i="3"/>
  <c r="FB59" i="3"/>
  <c r="FB60" i="3"/>
  <c r="FB61" i="3"/>
  <c r="FB62" i="3"/>
  <c r="FB63" i="3"/>
  <c r="FB64" i="3"/>
  <c r="FB65" i="3"/>
  <c r="FB66" i="3"/>
  <c r="FB67" i="3"/>
  <c r="FB68" i="3"/>
  <c r="FB69" i="3"/>
  <c r="FB70" i="3"/>
  <c r="FB71" i="3"/>
  <c r="FB72" i="3"/>
  <c r="FB73" i="3"/>
  <c r="FB74" i="3"/>
  <c r="FB75" i="3"/>
  <c r="FB76" i="3"/>
  <c r="FB77" i="3"/>
  <c r="FB78" i="3"/>
  <c r="FB79" i="3"/>
  <c r="FB80" i="3"/>
  <c r="FB81" i="3"/>
  <c r="FB82" i="3"/>
  <c r="FB83" i="3"/>
  <c r="FB84" i="3"/>
  <c r="FB85" i="3"/>
  <c r="FB86" i="3"/>
  <c r="FB87" i="3"/>
  <c r="FB88" i="3"/>
  <c r="FB89" i="3"/>
  <c r="FB90" i="3"/>
  <c r="FB91" i="3"/>
  <c r="FB92" i="3"/>
  <c r="FB93" i="3"/>
  <c r="FB94" i="3"/>
  <c r="FB95" i="3"/>
  <c r="FB96" i="3"/>
  <c r="FB97" i="3"/>
  <c r="FB98" i="3"/>
  <c r="FB99" i="3"/>
  <c r="FB100" i="3"/>
  <c r="FB101" i="3"/>
  <c r="FB102" i="3"/>
  <c r="FB103" i="3"/>
  <c r="FB104" i="3"/>
  <c r="FB105" i="3"/>
  <c r="FB106" i="3"/>
  <c r="FB107" i="3"/>
  <c r="FB108" i="3"/>
  <c r="FB109" i="3"/>
  <c r="FB110" i="3"/>
  <c r="FB111" i="3"/>
  <c r="FB112" i="3"/>
  <c r="FB113" i="3"/>
  <c r="FB114" i="3"/>
  <c r="FB115" i="3"/>
  <c r="FB116" i="3"/>
  <c r="FB117" i="3"/>
  <c r="FB118" i="3"/>
  <c r="FB119" i="3"/>
  <c r="FB120" i="3"/>
  <c r="FB121" i="3"/>
  <c r="FB122" i="3"/>
  <c r="FB123" i="3"/>
  <c r="FB124" i="3"/>
  <c r="FB125" i="3"/>
  <c r="FB126" i="3"/>
  <c r="FB127" i="3"/>
  <c r="FB128" i="3"/>
  <c r="FB129" i="3"/>
  <c r="FB130" i="3"/>
  <c r="FB131" i="3"/>
  <c r="FB132" i="3"/>
  <c r="FB133" i="3"/>
  <c r="FB134" i="3"/>
  <c r="FB135" i="3"/>
  <c r="FB136" i="3"/>
  <c r="FB137" i="3"/>
  <c r="FB138" i="3"/>
  <c r="FB139" i="3"/>
  <c r="FB140" i="3"/>
  <c r="FB141" i="3"/>
  <c r="FB142" i="3"/>
  <c r="FB143" i="3"/>
  <c r="FB144" i="3"/>
  <c r="FB145" i="3"/>
  <c r="FB146" i="3"/>
  <c r="FB147" i="3"/>
  <c r="FB148" i="3"/>
  <c r="FB149" i="3"/>
  <c r="FB150" i="3"/>
  <c r="FB151" i="3"/>
  <c r="FB152" i="3"/>
  <c r="FB153" i="3"/>
  <c r="FB154" i="3"/>
  <c r="FB155" i="3"/>
  <c r="FB156" i="3"/>
  <c r="FB157" i="3"/>
  <c r="FB158" i="3"/>
  <c r="FB159" i="3"/>
  <c r="FB160" i="3"/>
  <c r="FB161" i="3"/>
  <c r="FB162" i="3"/>
  <c r="FB163" i="3"/>
  <c r="FB164" i="3"/>
  <c r="FB165" i="3"/>
  <c r="FB166" i="3"/>
  <c r="FB167" i="3"/>
  <c r="FB168" i="3"/>
  <c r="FB169" i="3"/>
  <c r="FB170" i="3"/>
  <c r="FB171" i="3"/>
  <c r="FB172" i="3"/>
  <c r="FB173" i="3"/>
  <c r="FB174" i="3"/>
  <c r="FB175" i="3"/>
  <c r="FB176" i="3"/>
  <c r="FB177" i="3"/>
  <c r="FB178" i="3"/>
  <c r="FB179" i="3"/>
  <c r="FB180" i="3"/>
  <c r="FB181" i="3"/>
  <c r="FB182" i="3"/>
  <c r="FB183" i="3"/>
  <c r="FB184" i="3"/>
  <c r="FB185" i="3"/>
  <c r="FB186" i="3"/>
  <c r="FB187" i="3"/>
  <c r="FB188" i="3"/>
  <c r="FB189" i="3"/>
  <c r="FB190" i="3"/>
  <c r="FB191" i="3"/>
  <c r="FB192" i="3"/>
  <c r="FB193" i="3"/>
  <c r="FB194" i="3"/>
  <c r="FB195" i="3"/>
  <c r="FB196" i="3"/>
  <c r="FB197" i="3"/>
  <c r="FB198" i="3"/>
  <c r="FB199" i="3"/>
  <c r="FB200" i="3"/>
  <c r="FB201" i="3"/>
  <c r="FB202" i="3"/>
  <c r="FB203" i="3"/>
  <c r="FB204" i="3"/>
  <c r="FB205" i="3"/>
  <c r="FB206" i="3"/>
  <c r="FB207" i="3"/>
  <c r="FB208" i="3"/>
  <c r="FB209" i="3"/>
  <c r="FB210" i="3"/>
  <c r="FB211" i="3"/>
  <c r="FB212" i="3"/>
  <c r="FB213" i="3"/>
  <c r="FB214" i="3"/>
  <c r="FB215" i="3"/>
  <c r="FB216" i="3"/>
  <c r="FB217" i="3"/>
  <c r="FB218" i="3"/>
  <c r="FB219" i="3"/>
  <c r="FB220" i="3"/>
  <c r="FB221" i="3"/>
  <c r="FB222" i="3"/>
  <c r="FB223" i="3"/>
  <c r="FB224" i="3"/>
  <c r="FB225" i="3"/>
  <c r="FB226" i="3"/>
  <c r="FB227" i="3"/>
  <c r="FB228" i="3"/>
  <c r="FB229" i="3"/>
  <c r="FB230" i="3"/>
  <c r="FB231" i="3"/>
  <c r="FB232" i="3"/>
  <c r="FB233" i="3"/>
  <c r="FB234" i="3"/>
  <c r="FB235" i="3"/>
  <c r="FB236" i="3"/>
  <c r="FB237" i="3"/>
  <c r="FB238" i="3"/>
  <c r="FB239" i="3"/>
  <c r="FB240" i="3"/>
  <c r="FB241" i="3"/>
  <c r="FB242" i="3"/>
  <c r="FB243" i="3"/>
  <c r="FB244" i="3"/>
  <c r="FB245" i="3"/>
  <c r="FB246" i="3"/>
  <c r="FB247" i="3"/>
  <c r="FB248" i="3"/>
  <c r="FB249" i="3"/>
  <c r="FB250" i="3"/>
  <c r="FB251" i="3"/>
  <c r="FB252" i="3"/>
  <c r="FB253" i="3"/>
  <c r="FB254" i="3"/>
  <c r="FB255" i="3"/>
  <c r="FB256" i="3"/>
  <c r="FB257" i="3"/>
  <c r="FB258" i="3"/>
  <c r="FB259" i="3"/>
  <c r="FB260" i="3"/>
  <c r="FB261" i="3"/>
  <c r="FB262" i="3"/>
  <c r="FB263" i="3"/>
  <c r="FB264" i="3"/>
  <c r="FB265" i="3"/>
  <c r="FB266" i="3"/>
  <c r="FB267" i="3"/>
  <c r="FB268" i="3"/>
  <c r="FB269" i="3"/>
  <c r="FB270" i="3"/>
  <c r="FB271" i="3"/>
  <c r="FB272" i="3"/>
  <c r="FB273" i="3"/>
  <c r="FB274" i="3"/>
  <c r="FB275" i="3"/>
  <c r="FB276" i="3"/>
  <c r="FB277" i="3"/>
  <c r="FB278" i="3"/>
  <c r="FB279" i="3"/>
  <c r="FB280" i="3"/>
  <c r="FB281" i="3"/>
  <c r="FB282" i="3"/>
  <c r="FB283" i="3"/>
  <c r="FB284" i="3"/>
  <c r="FB285" i="3"/>
  <c r="FB286" i="3"/>
  <c r="FB287" i="3"/>
  <c r="FB288" i="3"/>
  <c r="FB289" i="3"/>
  <c r="FB290" i="3"/>
  <c r="FB291" i="3"/>
  <c r="FB292" i="3"/>
  <c r="FB293" i="3"/>
  <c r="FB294" i="3"/>
  <c r="FB295" i="3"/>
  <c r="FB296" i="3"/>
  <c r="FB297" i="3"/>
  <c r="FB298" i="3"/>
  <c r="FB299" i="3"/>
  <c r="FB300" i="3"/>
  <c r="FB301" i="3"/>
  <c r="FB302" i="3"/>
  <c r="FB303" i="3"/>
  <c r="FB304" i="3"/>
  <c r="FB305" i="3"/>
  <c r="FB306" i="3"/>
  <c r="FB307" i="3"/>
  <c r="FB308" i="3"/>
  <c r="FB309" i="3"/>
  <c r="FB310" i="3"/>
  <c r="FB311" i="3"/>
  <c r="FB312" i="3"/>
  <c r="FB313" i="3"/>
  <c r="FB314" i="3"/>
  <c r="FB315" i="3"/>
  <c r="FB316" i="3"/>
  <c r="FB317" i="3"/>
  <c r="FB318" i="3"/>
  <c r="FB319" i="3"/>
  <c r="FB320" i="3"/>
  <c r="FB321" i="3"/>
  <c r="FB322" i="3"/>
  <c r="FB323" i="3"/>
  <c r="FB324" i="3"/>
  <c r="FB325" i="3"/>
  <c r="FB326" i="3"/>
  <c r="FB327" i="3"/>
  <c r="FB328" i="3"/>
  <c r="FB329" i="3"/>
  <c r="FB330" i="3"/>
  <c r="FB331" i="3"/>
  <c r="FB332" i="3"/>
  <c r="FB333" i="3"/>
  <c r="FB334" i="3"/>
  <c r="FB335" i="3"/>
  <c r="FB336" i="3"/>
  <c r="FB337" i="3"/>
  <c r="FB338" i="3"/>
  <c r="FB339" i="3"/>
  <c r="FB340" i="3"/>
  <c r="FB341" i="3"/>
  <c r="FB342" i="3"/>
  <c r="FB343" i="3"/>
  <c r="FB344" i="3"/>
  <c r="FB345" i="3"/>
  <c r="FB346" i="3"/>
  <c r="FB347" i="3"/>
  <c r="FB348" i="3"/>
  <c r="FB349" i="3"/>
  <c r="FB350" i="3"/>
  <c r="FB351" i="3"/>
  <c r="FB352" i="3"/>
  <c r="FB353" i="3"/>
  <c r="FB354" i="3"/>
  <c r="FB355" i="3"/>
  <c r="FB356" i="3"/>
  <c r="FB357" i="3"/>
  <c r="FB358" i="3"/>
  <c r="FB359" i="3"/>
  <c r="FB360" i="3"/>
  <c r="FB361" i="3"/>
  <c r="FB362" i="3"/>
  <c r="FB363" i="3"/>
  <c r="FB364" i="3"/>
  <c r="FB365" i="3"/>
  <c r="FB366" i="3"/>
  <c r="FB367" i="3"/>
  <c r="FB368" i="3"/>
  <c r="FB369" i="3"/>
  <c r="FB370" i="3"/>
  <c r="FB371" i="3"/>
  <c r="FB372" i="3"/>
  <c r="FB373" i="3"/>
  <c r="FB374" i="3"/>
  <c r="FB375" i="3"/>
  <c r="FB376" i="3"/>
  <c r="FB377" i="3"/>
  <c r="FB378" i="3"/>
  <c r="FB379" i="3"/>
  <c r="FB380" i="3"/>
  <c r="FB381" i="3"/>
  <c r="FB382" i="3"/>
  <c r="FB383" i="3"/>
  <c r="FB384" i="3"/>
  <c r="FB385" i="3"/>
  <c r="FB386" i="3"/>
  <c r="FB387" i="3"/>
  <c r="FB388" i="3"/>
  <c r="FB389" i="3"/>
  <c r="FB390" i="3"/>
  <c r="FB391" i="3"/>
  <c r="FB392" i="3"/>
  <c r="FB393" i="3"/>
  <c r="FB394" i="3"/>
  <c r="FB395" i="3"/>
  <c r="FB396" i="3"/>
  <c r="FB397" i="3"/>
  <c r="FB398" i="3"/>
  <c r="FB399" i="3"/>
  <c r="FB400" i="3"/>
  <c r="FB401" i="3"/>
  <c r="FB402" i="3"/>
  <c r="FB403" i="3"/>
  <c r="FB404" i="3"/>
  <c r="FB405" i="3"/>
  <c r="FB406" i="3"/>
  <c r="FB407" i="3"/>
  <c r="FB408" i="3"/>
  <c r="FB409" i="3"/>
  <c r="FB410" i="3"/>
  <c r="FB411" i="3"/>
  <c r="FB412" i="3"/>
  <c r="FB413" i="3"/>
  <c r="FB414" i="3"/>
  <c r="FB415" i="3"/>
  <c r="FB416" i="3"/>
  <c r="FB417" i="3"/>
  <c r="FB418" i="3"/>
  <c r="FB419" i="3"/>
  <c r="FB420" i="3"/>
  <c r="FB421" i="3"/>
  <c r="FB422" i="3"/>
  <c r="FB423" i="3"/>
  <c r="FB424" i="3"/>
  <c r="FB425" i="3"/>
  <c r="FB426" i="3"/>
  <c r="FB427" i="3"/>
  <c r="FB428" i="3"/>
  <c r="FB429" i="3"/>
  <c r="FB430" i="3"/>
  <c r="FB431" i="3"/>
  <c r="FB432" i="3"/>
  <c r="FB433" i="3"/>
  <c r="FB434" i="3"/>
  <c r="FB435" i="3"/>
  <c r="FB436" i="3"/>
  <c r="FB437" i="3"/>
  <c r="FB438" i="3"/>
  <c r="FB439" i="3"/>
  <c r="FB440" i="3"/>
  <c r="FB441" i="3"/>
  <c r="FB442" i="3"/>
  <c r="FB443" i="3"/>
  <c r="FB444" i="3"/>
  <c r="FB445" i="3"/>
  <c r="FB446" i="3"/>
  <c r="FB447" i="3"/>
  <c r="FB448" i="3"/>
  <c r="FB449" i="3"/>
  <c r="FB450" i="3"/>
  <c r="FB451" i="3"/>
  <c r="FB452" i="3"/>
  <c r="FB453" i="3"/>
  <c r="FB454" i="3"/>
  <c r="FB455" i="3"/>
  <c r="FB456" i="3"/>
  <c r="FB457" i="3"/>
  <c r="FB458" i="3"/>
  <c r="FB459" i="3"/>
  <c r="FB460" i="3"/>
  <c r="FB461" i="3"/>
  <c r="FB462" i="3"/>
  <c r="FB463" i="3"/>
  <c r="FB464" i="3"/>
  <c r="FB465" i="3"/>
  <c r="FB466" i="3"/>
  <c r="FB467" i="3"/>
  <c r="FB468" i="3"/>
  <c r="FB469" i="3"/>
  <c r="FB470" i="3"/>
  <c r="FB471" i="3"/>
  <c r="FB472" i="3"/>
  <c r="FB473" i="3"/>
  <c r="FB474" i="3"/>
  <c r="FB475" i="3"/>
  <c r="FB476" i="3"/>
  <c r="FB477" i="3"/>
  <c r="FB478" i="3"/>
  <c r="FB479" i="3"/>
  <c r="FB480" i="3"/>
  <c r="FB481" i="3"/>
  <c r="FB482" i="3"/>
  <c r="FB483" i="3"/>
  <c r="FB484" i="3"/>
  <c r="FB485" i="3"/>
  <c r="FB486" i="3"/>
  <c r="FB487" i="3"/>
  <c r="FB488" i="3"/>
  <c r="FB489" i="3"/>
  <c r="FB490" i="3"/>
  <c r="FB491" i="3"/>
  <c r="FB492" i="3"/>
  <c r="FB493" i="3"/>
  <c r="FB494" i="3"/>
  <c r="FB495" i="3"/>
  <c r="FB496" i="3"/>
  <c r="FB497" i="3"/>
  <c r="FB498" i="3"/>
  <c r="FB499" i="3"/>
  <c r="FB500" i="3"/>
  <c r="FB501" i="3"/>
  <c r="FB502" i="3"/>
  <c r="FB503" i="3"/>
  <c r="FB504" i="3"/>
  <c r="FB505" i="3"/>
  <c r="FB506" i="3"/>
  <c r="FB507" i="3"/>
  <c r="FB508" i="3"/>
  <c r="FB509" i="3"/>
  <c r="FB510" i="3"/>
  <c r="FB511" i="3"/>
  <c r="FB512" i="3"/>
  <c r="FB513" i="3"/>
  <c r="FB514" i="3"/>
  <c r="FB515" i="3"/>
  <c r="FB516" i="3"/>
  <c r="FB517" i="3"/>
  <c r="FB518" i="3"/>
  <c r="FB519" i="3"/>
  <c r="FB520" i="3"/>
  <c r="FB521" i="3"/>
  <c r="FB522" i="3"/>
  <c r="FB523" i="3"/>
  <c r="FB524" i="3"/>
  <c r="FB525" i="3"/>
  <c r="FB526" i="3"/>
  <c r="FB527" i="3"/>
  <c r="FB528" i="3"/>
  <c r="FB529" i="3"/>
  <c r="FB530" i="3"/>
  <c r="FB531" i="3"/>
  <c r="FB532" i="3"/>
  <c r="FB533" i="3"/>
  <c r="FB534" i="3"/>
  <c r="FB535" i="3"/>
  <c r="FB536" i="3"/>
  <c r="FB537" i="3"/>
  <c r="FB538" i="3"/>
  <c r="FB539" i="3"/>
  <c r="FB540" i="3"/>
  <c r="FB541" i="3"/>
  <c r="FB542" i="3"/>
  <c r="FB543" i="3"/>
  <c r="FB544" i="3"/>
  <c r="FB545" i="3"/>
  <c r="FB546" i="3"/>
  <c r="FB547" i="3"/>
  <c r="FB548" i="3"/>
  <c r="FB549" i="3"/>
  <c r="FB550" i="3"/>
  <c r="FB551" i="3"/>
  <c r="FB552" i="3"/>
  <c r="FB553" i="3"/>
  <c r="FB554" i="3"/>
  <c r="FB555" i="3"/>
  <c r="FB556" i="3"/>
  <c r="FB557" i="3"/>
  <c r="FB558" i="3"/>
  <c r="FB559" i="3"/>
  <c r="FB560" i="3"/>
  <c r="FB561" i="3"/>
  <c r="FB562" i="3"/>
  <c r="FB563" i="3"/>
  <c r="FB564" i="3"/>
  <c r="FB565" i="3"/>
  <c r="FB566" i="3"/>
  <c r="FB567" i="3"/>
  <c r="FB568" i="3"/>
  <c r="FB569" i="3"/>
  <c r="FB570" i="3"/>
  <c r="FB571" i="3"/>
  <c r="FB572" i="3"/>
  <c r="FB573" i="3"/>
  <c r="FB574" i="3"/>
  <c r="FB575" i="3"/>
  <c r="FB576" i="3"/>
  <c r="FB577" i="3"/>
  <c r="FB578" i="3"/>
  <c r="FB579" i="3"/>
  <c r="FB580" i="3"/>
  <c r="FB581" i="3"/>
  <c r="FB582" i="3"/>
  <c r="FB583" i="3"/>
  <c r="FB584" i="3"/>
  <c r="FB585" i="3"/>
  <c r="FB586" i="3"/>
  <c r="FB587" i="3"/>
  <c r="FB588" i="3"/>
  <c r="FB589" i="3"/>
  <c r="FB590" i="3"/>
  <c r="FB591" i="3"/>
  <c r="FB592" i="3"/>
  <c r="FB593" i="3"/>
  <c r="FB594" i="3"/>
  <c r="FB595" i="3"/>
  <c r="FB596" i="3"/>
  <c r="FB597" i="3"/>
  <c r="FB598" i="3"/>
  <c r="FB599" i="3"/>
  <c r="FB600" i="3"/>
  <c r="FA3" i="3"/>
  <c r="FA4" i="3"/>
  <c r="FA5" i="3"/>
  <c r="FA6" i="3"/>
  <c r="FA7" i="3"/>
  <c r="FA8" i="3"/>
  <c r="FA9" i="3"/>
  <c r="FA10" i="3"/>
  <c r="FA11" i="3"/>
  <c r="FA12" i="3"/>
  <c r="FA13" i="3"/>
  <c r="FA14" i="3"/>
  <c r="FA15" i="3"/>
  <c r="FA16" i="3"/>
  <c r="FA17" i="3"/>
  <c r="FA18" i="3"/>
  <c r="FA19" i="3"/>
  <c r="FA20" i="3"/>
  <c r="FA21" i="3"/>
  <c r="FA22" i="3"/>
  <c r="FA23" i="3"/>
  <c r="FA24" i="3"/>
  <c r="FA25" i="3"/>
  <c r="FA26" i="3"/>
  <c r="FA27" i="3"/>
  <c r="FA28" i="3"/>
  <c r="FA29" i="3"/>
  <c r="FA30" i="3"/>
  <c r="FA31" i="3"/>
  <c r="FA32" i="3"/>
  <c r="FA33" i="3"/>
  <c r="FA34" i="3"/>
  <c r="FA35" i="3"/>
  <c r="FA36" i="3"/>
  <c r="FA37" i="3"/>
  <c r="FA38" i="3"/>
  <c r="FA39" i="3"/>
  <c r="FA40" i="3"/>
  <c r="FA41" i="3"/>
  <c r="FA42" i="3"/>
  <c r="FA43" i="3"/>
  <c r="FA44" i="3"/>
  <c r="FA45" i="3"/>
  <c r="FA46" i="3"/>
  <c r="FA47" i="3"/>
  <c r="FA48" i="3"/>
  <c r="FA49" i="3"/>
  <c r="FA50" i="3"/>
  <c r="FA51" i="3"/>
  <c r="FA52" i="3"/>
  <c r="FA53" i="3"/>
  <c r="FA54" i="3"/>
  <c r="FA55" i="3"/>
  <c r="FA56" i="3"/>
  <c r="FA57" i="3"/>
  <c r="FA58" i="3"/>
  <c r="FA59" i="3"/>
  <c r="FA60" i="3"/>
  <c r="FA61" i="3"/>
  <c r="FA62" i="3"/>
  <c r="FA63" i="3"/>
  <c r="FA64" i="3"/>
  <c r="FA65" i="3"/>
  <c r="FA66" i="3"/>
  <c r="FA67" i="3"/>
  <c r="FA68" i="3"/>
  <c r="FA69" i="3"/>
  <c r="FA70" i="3"/>
  <c r="FA71" i="3"/>
  <c r="FA72" i="3"/>
  <c r="FA73" i="3"/>
  <c r="FA74" i="3"/>
  <c r="FA75" i="3"/>
  <c r="FA76" i="3"/>
  <c r="FA77" i="3"/>
  <c r="FA78" i="3"/>
  <c r="FA79" i="3"/>
  <c r="FA80" i="3"/>
  <c r="FA81" i="3"/>
  <c r="FA82" i="3"/>
  <c r="FA83" i="3"/>
  <c r="FA84" i="3"/>
  <c r="FA85" i="3"/>
  <c r="FA86" i="3"/>
  <c r="FA87" i="3"/>
  <c r="FA88" i="3"/>
  <c r="FA89" i="3"/>
  <c r="FA90" i="3"/>
  <c r="FA91" i="3"/>
  <c r="FA92" i="3"/>
  <c r="FA93" i="3"/>
  <c r="FA94" i="3"/>
  <c r="FA95" i="3"/>
  <c r="FA96" i="3"/>
  <c r="FA97" i="3"/>
  <c r="FA98" i="3"/>
  <c r="FA99" i="3"/>
  <c r="FA100" i="3"/>
  <c r="FA101" i="3"/>
  <c r="FA102" i="3"/>
  <c r="FA103" i="3"/>
  <c r="FA104" i="3"/>
  <c r="FA105" i="3"/>
  <c r="FA106" i="3"/>
  <c r="FA107" i="3"/>
  <c r="FA108" i="3"/>
  <c r="FA109" i="3"/>
  <c r="FA110" i="3"/>
  <c r="FA111" i="3"/>
  <c r="FA112" i="3"/>
  <c r="FA113" i="3"/>
  <c r="FA114" i="3"/>
  <c r="FA115" i="3"/>
  <c r="FA116" i="3"/>
  <c r="FA117" i="3"/>
  <c r="FA118" i="3"/>
  <c r="FA119" i="3"/>
  <c r="FA120" i="3"/>
  <c r="FA121" i="3"/>
  <c r="FA122" i="3"/>
  <c r="FA123" i="3"/>
  <c r="FA124" i="3"/>
  <c r="FA125" i="3"/>
  <c r="FA126" i="3"/>
  <c r="FA127" i="3"/>
  <c r="FA128" i="3"/>
  <c r="FA129" i="3"/>
  <c r="FA130" i="3"/>
  <c r="FA131" i="3"/>
  <c r="FA132" i="3"/>
  <c r="FA133" i="3"/>
  <c r="FA134" i="3"/>
  <c r="FA135" i="3"/>
  <c r="FA136" i="3"/>
  <c r="FA137" i="3"/>
  <c r="FA138" i="3"/>
  <c r="FA139" i="3"/>
  <c r="FA140" i="3"/>
  <c r="FA141" i="3"/>
  <c r="FA142" i="3"/>
  <c r="FA143" i="3"/>
  <c r="FA144" i="3"/>
  <c r="FA145" i="3"/>
  <c r="FA146" i="3"/>
  <c r="FA147" i="3"/>
  <c r="FA148" i="3"/>
  <c r="FA149" i="3"/>
  <c r="FA150" i="3"/>
  <c r="FA151" i="3"/>
  <c r="FA152" i="3"/>
  <c r="FA153" i="3"/>
  <c r="FA154" i="3"/>
  <c r="FA155" i="3"/>
  <c r="FA156" i="3"/>
  <c r="FA157" i="3"/>
  <c r="FA158" i="3"/>
  <c r="FA159" i="3"/>
  <c r="FA160" i="3"/>
  <c r="FA161" i="3"/>
  <c r="FA162" i="3"/>
  <c r="FA163" i="3"/>
  <c r="FA164" i="3"/>
  <c r="FA165" i="3"/>
  <c r="FA166" i="3"/>
  <c r="FA167" i="3"/>
  <c r="FA168" i="3"/>
  <c r="FA169" i="3"/>
  <c r="FA170" i="3"/>
  <c r="FA171" i="3"/>
  <c r="FA172" i="3"/>
  <c r="FA173" i="3"/>
  <c r="FA174" i="3"/>
  <c r="FA175" i="3"/>
  <c r="FA176" i="3"/>
  <c r="FA177" i="3"/>
  <c r="FA178" i="3"/>
  <c r="FA179" i="3"/>
  <c r="FA180" i="3"/>
  <c r="FA181" i="3"/>
  <c r="FA182" i="3"/>
  <c r="FA183" i="3"/>
  <c r="FA184" i="3"/>
  <c r="FA185" i="3"/>
  <c r="FA186" i="3"/>
  <c r="FA187" i="3"/>
  <c r="FA188" i="3"/>
  <c r="FA189" i="3"/>
  <c r="FA190" i="3"/>
  <c r="FA191" i="3"/>
  <c r="FA192" i="3"/>
  <c r="FA193" i="3"/>
  <c r="FA194" i="3"/>
  <c r="FA195" i="3"/>
  <c r="FA196" i="3"/>
  <c r="FA197" i="3"/>
  <c r="FA198" i="3"/>
  <c r="FA199" i="3"/>
  <c r="FA200" i="3"/>
  <c r="FA201" i="3"/>
  <c r="FA202" i="3"/>
  <c r="FA203" i="3"/>
  <c r="FA204" i="3"/>
  <c r="FA205" i="3"/>
  <c r="FA206" i="3"/>
  <c r="FA207" i="3"/>
  <c r="FA208" i="3"/>
  <c r="FA209" i="3"/>
  <c r="FA210" i="3"/>
  <c r="FA211" i="3"/>
  <c r="FA212" i="3"/>
  <c r="FA213" i="3"/>
  <c r="FA214" i="3"/>
  <c r="FA215" i="3"/>
  <c r="FA216" i="3"/>
  <c r="FA217" i="3"/>
  <c r="FA218" i="3"/>
  <c r="FA219" i="3"/>
  <c r="FA220" i="3"/>
  <c r="FA221" i="3"/>
  <c r="FA222" i="3"/>
  <c r="FA223" i="3"/>
  <c r="FA224" i="3"/>
  <c r="FA225" i="3"/>
  <c r="FA226" i="3"/>
  <c r="FA227" i="3"/>
  <c r="FA228" i="3"/>
  <c r="FA229" i="3"/>
  <c r="FA230" i="3"/>
  <c r="FA231" i="3"/>
  <c r="FA232" i="3"/>
  <c r="FA233" i="3"/>
  <c r="FA234" i="3"/>
  <c r="FA235" i="3"/>
  <c r="FA236" i="3"/>
  <c r="FA237" i="3"/>
  <c r="FA238" i="3"/>
  <c r="FA239" i="3"/>
  <c r="FA240" i="3"/>
  <c r="FA241" i="3"/>
  <c r="FA242" i="3"/>
  <c r="FA243" i="3"/>
  <c r="FA244" i="3"/>
  <c r="FA245" i="3"/>
  <c r="FA246" i="3"/>
  <c r="FA247" i="3"/>
  <c r="FA248" i="3"/>
  <c r="FA249" i="3"/>
  <c r="FA250" i="3"/>
  <c r="FA251" i="3"/>
  <c r="FA252" i="3"/>
  <c r="FA253" i="3"/>
  <c r="FA254" i="3"/>
  <c r="FA255" i="3"/>
  <c r="FA256" i="3"/>
  <c r="FA257" i="3"/>
  <c r="FA258" i="3"/>
  <c r="FA259" i="3"/>
  <c r="FA260" i="3"/>
  <c r="FA261" i="3"/>
  <c r="FA262" i="3"/>
  <c r="FA263" i="3"/>
  <c r="FA264" i="3"/>
  <c r="FA265" i="3"/>
  <c r="FA266" i="3"/>
  <c r="FA267" i="3"/>
  <c r="FA268" i="3"/>
  <c r="FA269" i="3"/>
  <c r="FA270" i="3"/>
  <c r="FA271" i="3"/>
  <c r="FA272" i="3"/>
  <c r="FA273" i="3"/>
  <c r="FA274" i="3"/>
  <c r="FA275" i="3"/>
  <c r="FA276" i="3"/>
  <c r="FA277" i="3"/>
  <c r="FA278" i="3"/>
  <c r="FA279" i="3"/>
  <c r="FA280" i="3"/>
  <c r="FA281" i="3"/>
  <c r="FA282" i="3"/>
  <c r="FA283" i="3"/>
  <c r="FA284" i="3"/>
  <c r="FA285" i="3"/>
  <c r="FA286" i="3"/>
  <c r="FA287" i="3"/>
  <c r="FA288" i="3"/>
  <c r="FA289" i="3"/>
  <c r="FA290" i="3"/>
  <c r="FA291" i="3"/>
  <c r="FA292" i="3"/>
  <c r="FA293" i="3"/>
  <c r="FA294" i="3"/>
  <c r="FA295" i="3"/>
  <c r="FA296" i="3"/>
  <c r="FA297" i="3"/>
  <c r="FA298" i="3"/>
  <c r="FA299" i="3"/>
  <c r="FA300" i="3"/>
  <c r="FA301" i="3"/>
  <c r="FA302" i="3"/>
  <c r="FA303" i="3"/>
  <c r="FA304" i="3"/>
  <c r="FA305" i="3"/>
  <c r="FA306" i="3"/>
  <c r="FA307" i="3"/>
  <c r="FA308" i="3"/>
  <c r="FA309" i="3"/>
  <c r="FA310" i="3"/>
  <c r="FA311" i="3"/>
  <c r="FA312" i="3"/>
  <c r="FA313" i="3"/>
  <c r="FA314" i="3"/>
  <c r="FA315" i="3"/>
  <c r="FA316" i="3"/>
  <c r="FA317" i="3"/>
  <c r="FA318" i="3"/>
  <c r="FA319" i="3"/>
  <c r="FA320" i="3"/>
  <c r="FA321" i="3"/>
  <c r="FA322" i="3"/>
  <c r="FA323" i="3"/>
  <c r="FA324" i="3"/>
  <c r="FA325" i="3"/>
  <c r="FA326" i="3"/>
  <c r="FA327" i="3"/>
  <c r="FA328" i="3"/>
  <c r="FA329" i="3"/>
  <c r="FA330" i="3"/>
  <c r="FA331" i="3"/>
  <c r="FA332" i="3"/>
  <c r="FA333" i="3"/>
  <c r="FA334" i="3"/>
  <c r="FA335" i="3"/>
  <c r="FA336" i="3"/>
  <c r="FA337" i="3"/>
  <c r="FA338" i="3"/>
  <c r="FA339" i="3"/>
  <c r="FA340" i="3"/>
  <c r="FA341" i="3"/>
  <c r="FA342" i="3"/>
  <c r="FA343" i="3"/>
  <c r="FA344" i="3"/>
  <c r="FA345" i="3"/>
  <c r="FA346" i="3"/>
  <c r="FA347" i="3"/>
  <c r="FA348" i="3"/>
  <c r="FA349" i="3"/>
  <c r="FA350" i="3"/>
  <c r="FA351" i="3"/>
  <c r="FA352" i="3"/>
  <c r="FA353" i="3"/>
  <c r="FA354" i="3"/>
  <c r="FA355" i="3"/>
  <c r="FA356" i="3"/>
  <c r="FA357" i="3"/>
  <c r="FA358" i="3"/>
  <c r="FA359" i="3"/>
  <c r="FA360" i="3"/>
  <c r="FA361" i="3"/>
  <c r="FA362" i="3"/>
  <c r="FA363" i="3"/>
  <c r="FA364" i="3"/>
  <c r="FA365" i="3"/>
  <c r="FA366" i="3"/>
  <c r="FA367" i="3"/>
  <c r="FA368" i="3"/>
  <c r="FA369" i="3"/>
  <c r="FA370" i="3"/>
  <c r="FA371" i="3"/>
  <c r="FA372" i="3"/>
  <c r="FA373" i="3"/>
  <c r="FA374" i="3"/>
  <c r="FA375" i="3"/>
  <c r="FA376" i="3"/>
  <c r="FA377" i="3"/>
  <c r="FA378" i="3"/>
  <c r="FA379" i="3"/>
  <c r="FA380" i="3"/>
  <c r="FA381" i="3"/>
  <c r="FA382" i="3"/>
  <c r="FA383" i="3"/>
  <c r="FA384" i="3"/>
  <c r="FA385" i="3"/>
  <c r="FA386" i="3"/>
  <c r="FA387" i="3"/>
  <c r="FA388" i="3"/>
  <c r="FA389" i="3"/>
  <c r="FA390" i="3"/>
  <c r="FA391" i="3"/>
  <c r="FA392" i="3"/>
  <c r="FA393" i="3"/>
  <c r="FA394" i="3"/>
  <c r="FA395" i="3"/>
  <c r="FA396" i="3"/>
  <c r="FA397" i="3"/>
  <c r="FA398" i="3"/>
  <c r="FA399" i="3"/>
  <c r="FA400" i="3"/>
  <c r="FA401" i="3"/>
  <c r="FA402" i="3"/>
  <c r="FA403" i="3"/>
  <c r="FA404" i="3"/>
  <c r="FA405" i="3"/>
  <c r="FA406" i="3"/>
  <c r="FA407" i="3"/>
  <c r="FA408" i="3"/>
  <c r="FA409" i="3"/>
  <c r="FA410" i="3"/>
  <c r="FA411" i="3"/>
  <c r="FA412" i="3"/>
  <c r="FA413" i="3"/>
  <c r="FA414" i="3"/>
  <c r="FA415" i="3"/>
  <c r="FA416" i="3"/>
  <c r="FA417" i="3"/>
  <c r="FA418" i="3"/>
  <c r="FA419" i="3"/>
  <c r="FA420" i="3"/>
  <c r="FA421" i="3"/>
  <c r="FA422" i="3"/>
  <c r="FA423" i="3"/>
  <c r="FA424" i="3"/>
  <c r="FA425" i="3"/>
  <c r="FA426" i="3"/>
  <c r="FA427" i="3"/>
  <c r="FA428" i="3"/>
  <c r="FA429" i="3"/>
  <c r="FA430" i="3"/>
  <c r="FA431" i="3"/>
  <c r="FA432" i="3"/>
  <c r="FA433" i="3"/>
  <c r="FA434" i="3"/>
  <c r="FA435" i="3"/>
  <c r="FA436" i="3"/>
  <c r="FA437" i="3"/>
  <c r="FA438" i="3"/>
  <c r="FA439" i="3"/>
  <c r="FA440" i="3"/>
  <c r="FA441" i="3"/>
  <c r="FA442" i="3"/>
  <c r="FA443" i="3"/>
  <c r="FA444" i="3"/>
  <c r="FA445" i="3"/>
  <c r="FA446" i="3"/>
  <c r="FA447" i="3"/>
  <c r="FA448" i="3"/>
  <c r="FA449" i="3"/>
  <c r="FA450" i="3"/>
  <c r="FA451" i="3"/>
  <c r="FA452" i="3"/>
  <c r="FA453" i="3"/>
  <c r="FA454" i="3"/>
  <c r="FA455" i="3"/>
  <c r="FA456" i="3"/>
  <c r="FA457" i="3"/>
  <c r="FA458" i="3"/>
  <c r="FA459" i="3"/>
  <c r="FA460" i="3"/>
  <c r="FA461" i="3"/>
  <c r="FA462" i="3"/>
  <c r="FA463" i="3"/>
  <c r="FA464" i="3"/>
  <c r="FA465" i="3"/>
  <c r="FA466" i="3"/>
  <c r="FA467" i="3"/>
  <c r="FA468" i="3"/>
  <c r="FA469" i="3"/>
  <c r="FA470" i="3"/>
  <c r="FA471" i="3"/>
  <c r="FA472" i="3"/>
  <c r="FA473" i="3"/>
  <c r="FA474" i="3"/>
  <c r="FA475" i="3"/>
  <c r="FA476" i="3"/>
  <c r="FA477" i="3"/>
  <c r="FA478" i="3"/>
  <c r="FA479" i="3"/>
  <c r="FA480" i="3"/>
  <c r="FA481" i="3"/>
  <c r="FA482" i="3"/>
  <c r="FA483" i="3"/>
  <c r="FA484" i="3"/>
  <c r="FA485" i="3"/>
  <c r="FA486" i="3"/>
  <c r="FA487" i="3"/>
  <c r="FA488" i="3"/>
  <c r="FA489" i="3"/>
  <c r="FA490" i="3"/>
  <c r="FA491" i="3"/>
  <c r="FA492" i="3"/>
  <c r="FA493" i="3"/>
  <c r="FA494" i="3"/>
  <c r="FA495" i="3"/>
  <c r="FA496" i="3"/>
  <c r="FA497" i="3"/>
  <c r="FA498" i="3"/>
  <c r="FA499" i="3"/>
  <c r="FA500" i="3"/>
  <c r="FA501" i="3"/>
  <c r="FA502" i="3"/>
  <c r="FA503" i="3"/>
  <c r="FA504" i="3"/>
  <c r="FA505" i="3"/>
  <c r="FA506" i="3"/>
  <c r="FA507" i="3"/>
  <c r="FA508" i="3"/>
  <c r="FA509" i="3"/>
  <c r="FA510" i="3"/>
  <c r="FA511" i="3"/>
  <c r="FA512" i="3"/>
  <c r="FA513" i="3"/>
  <c r="FA514" i="3"/>
  <c r="FA515" i="3"/>
  <c r="FA516" i="3"/>
  <c r="FA517" i="3"/>
  <c r="FA518" i="3"/>
  <c r="FA519" i="3"/>
  <c r="FA520" i="3"/>
  <c r="FA521" i="3"/>
  <c r="FA522" i="3"/>
  <c r="FA523" i="3"/>
  <c r="FA524" i="3"/>
  <c r="FA525" i="3"/>
  <c r="FA526" i="3"/>
  <c r="FA527" i="3"/>
  <c r="FA528" i="3"/>
  <c r="FA529" i="3"/>
  <c r="FA530" i="3"/>
  <c r="FA531" i="3"/>
  <c r="FA532" i="3"/>
  <c r="FA533" i="3"/>
  <c r="FA534" i="3"/>
  <c r="FA535" i="3"/>
  <c r="FA536" i="3"/>
  <c r="FA537" i="3"/>
  <c r="FA538" i="3"/>
  <c r="FA539" i="3"/>
  <c r="FA540" i="3"/>
  <c r="FA541" i="3"/>
  <c r="FA542" i="3"/>
  <c r="FA543" i="3"/>
  <c r="FA544" i="3"/>
  <c r="FA545" i="3"/>
  <c r="FA546" i="3"/>
  <c r="FA547" i="3"/>
  <c r="FA548" i="3"/>
  <c r="FA549" i="3"/>
  <c r="FA550" i="3"/>
  <c r="FA551" i="3"/>
  <c r="FA552" i="3"/>
  <c r="FA553" i="3"/>
  <c r="FA554" i="3"/>
  <c r="FA555" i="3"/>
  <c r="FA556" i="3"/>
  <c r="FA557" i="3"/>
  <c r="FA558" i="3"/>
  <c r="FA559" i="3"/>
  <c r="FA560" i="3"/>
  <c r="FA561" i="3"/>
  <c r="FA562" i="3"/>
  <c r="FA563" i="3"/>
  <c r="FA564" i="3"/>
  <c r="FA565" i="3"/>
  <c r="FA566" i="3"/>
  <c r="FA567" i="3"/>
  <c r="FA568" i="3"/>
  <c r="FA569" i="3"/>
  <c r="FA570" i="3"/>
  <c r="FA571" i="3"/>
  <c r="FA572" i="3"/>
  <c r="FA573" i="3"/>
  <c r="FA574" i="3"/>
  <c r="FA575" i="3"/>
  <c r="FA576" i="3"/>
  <c r="FA577" i="3"/>
  <c r="FA578" i="3"/>
  <c r="FA579" i="3"/>
  <c r="FA580" i="3"/>
  <c r="FA581" i="3"/>
  <c r="FA582" i="3"/>
  <c r="FA583" i="3"/>
  <c r="FA584" i="3"/>
  <c r="FA585" i="3"/>
  <c r="FA586" i="3"/>
  <c r="FA587" i="3"/>
  <c r="FA588" i="3"/>
  <c r="FA589" i="3"/>
  <c r="FA590" i="3"/>
  <c r="FA591" i="3"/>
  <c r="FA592" i="3"/>
  <c r="FA593" i="3"/>
  <c r="FA594" i="3"/>
  <c r="FA595" i="3"/>
  <c r="FA596" i="3"/>
  <c r="FA597" i="3"/>
  <c r="FA598" i="3"/>
  <c r="FA599" i="3"/>
  <c r="FA600" i="3"/>
  <c r="GD3" i="3"/>
  <c r="GD4" i="3"/>
  <c r="GD5" i="3"/>
  <c r="GD6" i="3"/>
  <c r="GD7" i="3"/>
  <c r="GD8" i="3"/>
  <c r="GD9" i="3"/>
  <c r="GD10" i="3"/>
  <c r="GD11" i="3"/>
  <c r="GD12" i="3"/>
  <c r="GD13" i="3"/>
  <c r="GD14" i="3"/>
  <c r="GD15" i="3"/>
  <c r="GD16" i="3"/>
  <c r="GD17" i="3"/>
  <c r="GD18" i="3"/>
  <c r="GD19" i="3"/>
  <c r="GD20" i="3"/>
  <c r="GD21" i="3"/>
  <c r="GD22" i="3"/>
  <c r="GD23" i="3"/>
  <c r="GD24" i="3"/>
  <c r="GD25" i="3"/>
  <c r="GD26" i="3"/>
  <c r="GD27" i="3"/>
  <c r="GD28" i="3"/>
  <c r="GD29" i="3"/>
  <c r="GD30" i="3"/>
  <c r="GD31" i="3"/>
  <c r="GD32" i="3"/>
  <c r="GD33" i="3"/>
  <c r="GD34" i="3"/>
  <c r="GD35" i="3"/>
  <c r="GD36" i="3"/>
  <c r="GD37" i="3"/>
  <c r="GD38" i="3"/>
  <c r="GD39" i="3"/>
  <c r="GD40" i="3"/>
  <c r="GD41" i="3"/>
  <c r="GD42" i="3"/>
  <c r="GD43" i="3"/>
  <c r="GD44" i="3"/>
  <c r="GD45" i="3"/>
  <c r="GD46" i="3"/>
  <c r="GD47" i="3"/>
  <c r="GD48" i="3"/>
  <c r="GD49" i="3"/>
  <c r="GD50" i="3"/>
  <c r="GD51" i="3"/>
  <c r="GD52" i="3"/>
  <c r="GD53" i="3"/>
  <c r="GD54" i="3"/>
  <c r="GD55" i="3"/>
  <c r="GD56" i="3"/>
  <c r="GD57" i="3"/>
  <c r="GD58" i="3"/>
  <c r="GD59" i="3"/>
  <c r="GD60" i="3"/>
  <c r="GD61" i="3"/>
  <c r="GD62" i="3"/>
  <c r="GD63" i="3"/>
  <c r="GD64" i="3"/>
  <c r="GD65" i="3"/>
  <c r="GD66" i="3"/>
  <c r="GD67" i="3"/>
  <c r="GD68" i="3"/>
  <c r="GD69" i="3"/>
  <c r="GD70" i="3"/>
  <c r="GD71" i="3"/>
  <c r="GD72" i="3"/>
  <c r="GD73" i="3"/>
  <c r="GD74" i="3"/>
  <c r="GD75" i="3"/>
  <c r="GD76" i="3"/>
  <c r="GD77" i="3"/>
  <c r="GD78" i="3"/>
  <c r="GD79" i="3"/>
  <c r="GD80" i="3"/>
  <c r="GD81" i="3"/>
  <c r="GD82" i="3"/>
  <c r="GD83" i="3"/>
  <c r="GD84" i="3"/>
  <c r="GD85" i="3"/>
  <c r="GD86" i="3"/>
  <c r="GD87" i="3"/>
  <c r="GD88" i="3"/>
  <c r="GD89" i="3"/>
  <c r="GD90" i="3"/>
  <c r="GD91" i="3"/>
  <c r="GD92" i="3"/>
  <c r="GD93" i="3"/>
  <c r="GD94" i="3"/>
  <c r="GD95" i="3"/>
  <c r="GD96" i="3"/>
  <c r="GD97" i="3"/>
  <c r="GD98" i="3"/>
  <c r="GD99" i="3"/>
  <c r="GD100" i="3"/>
  <c r="GD101" i="3"/>
  <c r="GD102" i="3"/>
  <c r="GD103" i="3"/>
  <c r="GD104" i="3"/>
  <c r="GD105" i="3"/>
  <c r="GD106" i="3"/>
  <c r="GD107" i="3"/>
  <c r="GD108" i="3"/>
  <c r="GD109" i="3"/>
  <c r="GD110" i="3"/>
  <c r="GD111" i="3"/>
  <c r="GD112" i="3"/>
  <c r="GD113" i="3"/>
  <c r="GD114" i="3"/>
  <c r="GD115" i="3"/>
  <c r="GD116" i="3"/>
  <c r="GD117" i="3"/>
  <c r="GD118" i="3"/>
  <c r="GD119" i="3"/>
  <c r="GD120" i="3"/>
  <c r="GD121" i="3"/>
  <c r="GD122" i="3"/>
  <c r="GD123" i="3"/>
  <c r="GD124" i="3"/>
  <c r="GD125" i="3"/>
  <c r="GD126" i="3"/>
  <c r="GD127" i="3"/>
  <c r="GD128" i="3"/>
  <c r="GD129" i="3"/>
  <c r="GD130" i="3"/>
  <c r="GD131" i="3"/>
  <c r="GD132" i="3"/>
  <c r="GD133" i="3"/>
  <c r="GD134" i="3"/>
  <c r="GD135" i="3"/>
  <c r="GD136" i="3"/>
  <c r="GD137" i="3"/>
  <c r="GD138" i="3"/>
  <c r="GD139" i="3"/>
  <c r="GD140" i="3"/>
  <c r="GD141" i="3"/>
  <c r="GD142" i="3"/>
  <c r="GD143" i="3"/>
  <c r="GD144" i="3"/>
  <c r="GD145" i="3"/>
  <c r="GD146" i="3"/>
  <c r="GD147" i="3"/>
  <c r="GD148" i="3"/>
  <c r="GD149" i="3"/>
  <c r="GD150" i="3"/>
  <c r="GD151" i="3"/>
  <c r="GD152" i="3"/>
  <c r="GD153" i="3"/>
  <c r="GD154" i="3"/>
  <c r="GD155" i="3"/>
  <c r="GD156" i="3"/>
  <c r="GD157" i="3"/>
  <c r="GD158" i="3"/>
  <c r="GD159" i="3"/>
  <c r="GD160" i="3"/>
  <c r="GD161" i="3"/>
  <c r="GD162" i="3"/>
  <c r="GD163" i="3"/>
  <c r="GD164" i="3"/>
  <c r="GD165" i="3"/>
  <c r="GD166" i="3"/>
  <c r="GD167" i="3"/>
  <c r="GD168" i="3"/>
  <c r="GD169" i="3"/>
  <c r="GD170" i="3"/>
  <c r="GD171" i="3"/>
  <c r="GD172" i="3"/>
  <c r="GD173" i="3"/>
  <c r="GD174" i="3"/>
  <c r="GD175" i="3"/>
  <c r="GD176" i="3"/>
  <c r="GD177" i="3"/>
  <c r="GD178" i="3"/>
  <c r="GD179" i="3"/>
  <c r="GD180" i="3"/>
  <c r="GD181" i="3"/>
  <c r="GD182" i="3"/>
  <c r="GD183" i="3"/>
  <c r="GD184" i="3"/>
  <c r="GD185" i="3"/>
  <c r="GD186" i="3"/>
  <c r="GD187" i="3"/>
  <c r="GD188" i="3"/>
  <c r="GD189" i="3"/>
  <c r="GD190" i="3"/>
  <c r="GD191" i="3"/>
  <c r="GD192" i="3"/>
  <c r="GD193" i="3"/>
  <c r="GD194" i="3"/>
  <c r="GD195" i="3"/>
  <c r="GD196" i="3"/>
  <c r="GD197" i="3"/>
  <c r="GD198" i="3"/>
  <c r="GD199" i="3"/>
  <c r="GD200" i="3"/>
  <c r="GD201" i="3"/>
  <c r="GD202" i="3"/>
  <c r="GD203" i="3"/>
  <c r="GD204" i="3"/>
  <c r="GD205" i="3"/>
  <c r="GD206" i="3"/>
  <c r="GD207" i="3"/>
  <c r="GD208" i="3"/>
  <c r="GD209" i="3"/>
  <c r="GD210" i="3"/>
  <c r="GD211" i="3"/>
  <c r="GD212" i="3"/>
  <c r="GD213" i="3"/>
  <c r="GD214" i="3"/>
  <c r="GD215" i="3"/>
  <c r="GD216" i="3"/>
  <c r="GD217" i="3"/>
  <c r="GD218" i="3"/>
  <c r="GD219" i="3"/>
  <c r="GD220" i="3"/>
  <c r="GD221" i="3"/>
  <c r="GD222" i="3"/>
  <c r="GD223" i="3"/>
  <c r="GD224" i="3"/>
  <c r="GD225" i="3"/>
  <c r="GD226" i="3"/>
  <c r="GD227" i="3"/>
  <c r="GD228" i="3"/>
  <c r="GD229" i="3"/>
  <c r="GD230" i="3"/>
  <c r="GD231" i="3"/>
  <c r="GD232" i="3"/>
  <c r="GD233" i="3"/>
  <c r="GD234" i="3"/>
  <c r="GD235" i="3"/>
  <c r="GD236" i="3"/>
  <c r="GD237" i="3"/>
  <c r="GD238" i="3"/>
  <c r="GD239" i="3"/>
  <c r="GD240" i="3"/>
  <c r="GD241" i="3"/>
  <c r="GD242" i="3"/>
  <c r="GD243" i="3"/>
  <c r="GD244" i="3"/>
  <c r="GD245" i="3"/>
  <c r="GD246" i="3"/>
  <c r="GD247" i="3"/>
  <c r="GD248" i="3"/>
  <c r="GD249" i="3"/>
  <c r="GD250" i="3"/>
  <c r="GD251" i="3"/>
  <c r="GD252" i="3"/>
  <c r="GD253" i="3"/>
  <c r="GD254" i="3"/>
  <c r="GD255" i="3"/>
  <c r="GD256" i="3"/>
  <c r="GD257" i="3"/>
  <c r="GD258" i="3"/>
  <c r="GD259" i="3"/>
  <c r="GD260" i="3"/>
  <c r="GD261" i="3"/>
  <c r="GD262" i="3"/>
  <c r="GD263" i="3"/>
  <c r="GD264" i="3"/>
  <c r="GD265" i="3"/>
  <c r="GD266" i="3"/>
  <c r="GD267" i="3"/>
  <c r="GD268" i="3"/>
  <c r="GD269" i="3"/>
  <c r="GD270" i="3"/>
  <c r="GD271" i="3"/>
  <c r="GD272" i="3"/>
  <c r="GD273" i="3"/>
  <c r="GD274" i="3"/>
  <c r="GD275" i="3"/>
  <c r="GD276" i="3"/>
  <c r="GD277" i="3"/>
  <c r="GD278" i="3"/>
  <c r="GD279" i="3"/>
  <c r="GD280" i="3"/>
  <c r="GD281" i="3"/>
  <c r="GD282" i="3"/>
  <c r="GD283" i="3"/>
  <c r="GD284" i="3"/>
  <c r="GD285" i="3"/>
  <c r="GD286" i="3"/>
  <c r="GD287" i="3"/>
  <c r="GD288" i="3"/>
  <c r="GD289" i="3"/>
  <c r="GD290" i="3"/>
  <c r="GD291" i="3"/>
  <c r="GD292" i="3"/>
  <c r="GD293" i="3"/>
  <c r="GD294" i="3"/>
  <c r="GD295" i="3"/>
  <c r="GD296" i="3"/>
  <c r="GD297" i="3"/>
  <c r="GD298" i="3"/>
  <c r="GD299" i="3"/>
  <c r="GD300" i="3"/>
  <c r="GD301" i="3"/>
  <c r="GD302" i="3"/>
  <c r="GD303" i="3"/>
  <c r="GD304" i="3"/>
  <c r="GD305" i="3"/>
  <c r="GD306" i="3"/>
  <c r="GD307" i="3"/>
  <c r="GD308" i="3"/>
  <c r="GD309" i="3"/>
  <c r="GD310" i="3"/>
  <c r="GD311" i="3"/>
  <c r="GD312" i="3"/>
  <c r="GD313" i="3"/>
  <c r="GD314" i="3"/>
  <c r="GD315" i="3"/>
  <c r="GD316" i="3"/>
  <c r="GD317" i="3"/>
  <c r="GD318" i="3"/>
  <c r="GD319" i="3"/>
  <c r="GD320" i="3"/>
  <c r="GD321" i="3"/>
  <c r="GD322" i="3"/>
  <c r="GD323" i="3"/>
  <c r="GD324" i="3"/>
  <c r="GD325" i="3"/>
  <c r="GD326" i="3"/>
  <c r="GD327" i="3"/>
  <c r="GD328" i="3"/>
  <c r="GD329" i="3"/>
  <c r="GD330" i="3"/>
  <c r="GD331" i="3"/>
  <c r="GD332" i="3"/>
  <c r="GD333" i="3"/>
  <c r="GD334" i="3"/>
  <c r="GD335" i="3"/>
  <c r="GD336" i="3"/>
  <c r="GD337" i="3"/>
  <c r="GD338" i="3"/>
  <c r="GD339" i="3"/>
  <c r="GD340" i="3"/>
  <c r="GD341" i="3"/>
  <c r="GD342" i="3"/>
  <c r="GD343" i="3"/>
  <c r="GD344" i="3"/>
  <c r="GD345" i="3"/>
  <c r="GD346" i="3"/>
  <c r="GD347" i="3"/>
  <c r="GD348" i="3"/>
  <c r="GD349" i="3"/>
  <c r="GD350" i="3"/>
  <c r="GD351" i="3"/>
  <c r="GD352" i="3"/>
  <c r="GD353" i="3"/>
  <c r="GD354" i="3"/>
  <c r="GD355" i="3"/>
  <c r="GD356" i="3"/>
  <c r="GD357" i="3"/>
  <c r="GD358" i="3"/>
  <c r="GD359" i="3"/>
  <c r="GD360" i="3"/>
  <c r="GD361" i="3"/>
  <c r="GD362" i="3"/>
  <c r="GD363" i="3"/>
  <c r="GD364" i="3"/>
  <c r="GD365" i="3"/>
  <c r="GD366" i="3"/>
  <c r="GD367" i="3"/>
  <c r="GD368" i="3"/>
  <c r="GD369" i="3"/>
  <c r="GD370" i="3"/>
  <c r="GD371" i="3"/>
  <c r="GD372" i="3"/>
  <c r="GD373" i="3"/>
  <c r="GD374" i="3"/>
  <c r="GD375" i="3"/>
  <c r="GD376" i="3"/>
  <c r="GD377" i="3"/>
  <c r="GD378" i="3"/>
  <c r="GD379" i="3"/>
  <c r="GD380" i="3"/>
  <c r="GD381" i="3"/>
  <c r="GD382" i="3"/>
  <c r="GD383" i="3"/>
  <c r="GD384" i="3"/>
  <c r="GD385" i="3"/>
  <c r="GD386" i="3"/>
  <c r="GD387" i="3"/>
  <c r="GD388" i="3"/>
  <c r="GD389" i="3"/>
  <c r="GD390" i="3"/>
  <c r="GD391" i="3"/>
  <c r="GD392" i="3"/>
  <c r="GD393" i="3"/>
  <c r="GD394" i="3"/>
  <c r="GD395" i="3"/>
  <c r="GD396" i="3"/>
  <c r="GD397" i="3"/>
  <c r="GD398" i="3"/>
  <c r="GD399" i="3"/>
  <c r="GD400" i="3"/>
  <c r="GD401" i="3"/>
  <c r="GD402" i="3"/>
  <c r="GD403" i="3"/>
  <c r="GD404" i="3"/>
  <c r="GD405" i="3"/>
  <c r="GD406" i="3"/>
  <c r="GD407" i="3"/>
  <c r="GD408" i="3"/>
  <c r="GD409" i="3"/>
  <c r="GD410" i="3"/>
  <c r="GD411" i="3"/>
  <c r="GD412" i="3"/>
  <c r="GD413" i="3"/>
  <c r="GD414" i="3"/>
  <c r="GD415" i="3"/>
  <c r="GD416" i="3"/>
  <c r="GD417" i="3"/>
  <c r="GD418" i="3"/>
  <c r="GD419" i="3"/>
  <c r="GD420" i="3"/>
  <c r="GD421" i="3"/>
  <c r="GD422" i="3"/>
  <c r="GD423" i="3"/>
  <c r="GD424" i="3"/>
  <c r="GD425" i="3"/>
  <c r="GD426" i="3"/>
  <c r="GD427" i="3"/>
  <c r="GD428" i="3"/>
  <c r="GD429" i="3"/>
  <c r="GD430" i="3"/>
  <c r="GD431" i="3"/>
  <c r="GD432" i="3"/>
  <c r="GD433" i="3"/>
  <c r="GD434" i="3"/>
  <c r="GD435" i="3"/>
  <c r="GD436" i="3"/>
  <c r="GD437" i="3"/>
  <c r="GD438" i="3"/>
  <c r="GD439" i="3"/>
  <c r="GD440" i="3"/>
  <c r="GD441" i="3"/>
  <c r="GD442" i="3"/>
  <c r="GD443" i="3"/>
  <c r="GD444" i="3"/>
  <c r="GD445" i="3"/>
  <c r="GD446" i="3"/>
  <c r="GD447" i="3"/>
  <c r="GD448" i="3"/>
  <c r="GD449" i="3"/>
  <c r="GD450" i="3"/>
  <c r="GD451" i="3"/>
  <c r="GD452" i="3"/>
  <c r="GD453" i="3"/>
  <c r="GD454" i="3"/>
  <c r="GD455" i="3"/>
  <c r="GD456" i="3"/>
  <c r="GD457" i="3"/>
  <c r="GD458" i="3"/>
  <c r="GD459" i="3"/>
  <c r="GD460" i="3"/>
  <c r="GD461" i="3"/>
  <c r="GD462" i="3"/>
  <c r="GD463" i="3"/>
  <c r="GD464" i="3"/>
  <c r="GD465" i="3"/>
  <c r="GD466" i="3"/>
  <c r="GD467" i="3"/>
  <c r="GD468" i="3"/>
  <c r="GD469" i="3"/>
  <c r="GD470" i="3"/>
  <c r="GD471" i="3"/>
  <c r="GD472" i="3"/>
  <c r="GD473" i="3"/>
  <c r="GD474" i="3"/>
  <c r="GD475" i="3"/>
  <c r="GD476" i="3"/>
  <c r="GD477" i="3"/>
  <c r="GD478" i="3"/>
  <c r="GD479" i="3"/>
  <c r="GD480" i="3"/>
  <c r="GD481" i="3"/>
  <c r="GD482" i="3"/>
  <c r="GD483" i="3"/>
  <c r="GD484" i="3"/>
  <c r="GD485" i="3"/>
  <c r="GD486" i="3"/>
  <c r="GD487" i="3"/>
  <c r="GD488" i="3"/>
  <c r="GD489" i="3"/>
  <c r="GD490" i="3"/>
  <c r="GD491" i="3"/>
  <c r="GD492" i="3"/>
  <c r="GD493" i="3"/>
  <c r="GD494" i="3"/>
  <c r="GD495" i="3"/>
  <c r="GD496" i="3"/>
  <c r="GD497" i="3"/>
  <c r="GD498" i="3"/>
  <c r="GD499" i="3"/>
  <c r="GD500" i="3"/>
  <c r="GD501" i="3"/>
  <c r="GD502" i="3"/>
  <c r="GD503" i="3"/>
  <c r="GD504" i="3"/>
  <c r="GD505" i="3"/>
  <c r="GD506" i="3"/>
  <c r="GD507" i="3"/>
  <c r="GD508" i="3"/>
  <c r="GD509" i="3"/>
  <c r="GD510" i="3"/>
  <c r="GD511" i="3"/>
  <c r="GD512" i="3"/>
  <c r="GD513" i="3"/>
  <c r="GD514" i="3"/>
  <c r="GD515" i="3"/>
  <c r="GD516" i="3"/>
  <c r="GD517" i="3"/>
  <c r="GD518" i="3"/>
  <c r="GD519" i="3"/>
  <c r="GD520" i="3"/>
  <c r="GD521" i="3"/>
  <c r="GD522" i="3"/>
  <c r="GD523" i="3"/>
  <c r="GD524" i="3"/>
  <c r="GD525" i="3"/>
  <c r="GD526" i="3"/>
  <c r="GD527" i="3"/>
  <c r="GD528" i="3"/>
  <c r="GD529" i="3"/>
  <c r="GD530" i="3"/>
  <c r="GD531" i="3"/>
  <c r="GD532" i="3"/>
  <c r="GD533" i="3"/>
  <c r="GD534" i="3"/>
  <c r="GD535" i="3"/>
  <c r="GD536" i="3"/>
  <c r="GD537" i="3"/>
  <c r="GD538" i="3"/>
  <c r="GD539" i="3"/>
  <c r="GD540" i="3"/>
  <c r="GD541" i="3"/>
  <c r="GD542" i="3"/>
  <c r="GD543" i="3"/>
  <c r="GD544" i="3"/>
  <c r="GD545" i="3"/>
  <c r="GD546" i="3"/>
  <c r="GD547" i="3"/>
  <c r="GD548" i="3"/>
  <c r="GD549" i="3"/>
  <c r="GD550" i="3"/>
  <c r="GD551" i="3"/>
  <c r="GD552" i="3"/>
  <c r="GD553" i="3"/>
  <c r="GD554" i="3"/>
  <c r="GD555" i="3"/>
  <c r="GD556" i="3"/>
  <c r="GD557" i="3"/>
  <c r="GD558" i="3"/>
  <c r="GD559" i="3"/>
  <c r="GD560" i="3"/>
  <c r="GD561" i="3"/>
  <c r="GD562" i="3"/>
  <c r="GD563" i="3"/>
  <c r="GD564" i="3"/>
  <c r="GD565" i="3"/>
  <c r="GD566" i="3"/>
  <c r="GD567" i="3"/>
  <c r="GD568" i="3"/>
  <c r="GD569" i="3"/>
  <c r="GD570" i="3"/>
  <c r="GD571" i="3"/>
  <c r="GD572" i="3"/>
  <c r="GD573" i="3"/>
  <c r="GD574" i="3"/>
  <c r="GD575" i="3"/>
  <c r="GD576" i="3"/>
  <c r="GD577" i="3"/>
  <c r="GD578" i="3"/>
  <c r="GD579" i="3"/>
  <c r="GD580" i="3"/>
  <c r="GD581" i="3"/>
  <c r="GD582" i="3"/>
  <c r="GD583" i="3"/>
  <c r="GD584" i="3"/>
  <c r="GD585" i="3"/>
  <c r="GD586" i="3"/>
  <c r="GD587" i="3"/>
  <c r="GD588" i="3"/>
  <c r="GD589" i="3"/>
  <c r="GD590" i="3"/>
  <c r="GD591" i="3"/>
  <c r="GD592" i="3"/>
  <c r="GD593" i="3"/>
  <c r="GD594" i="3"/>
  <c r="GD595" i="3"/>
  <c r="GD596" i="3"/>
  <c r="GD597" i="3"/>
  <c r="GD598" i="3"/>
  <c r="GD599" i="3"/>
  <c r="GD600" i="3"/>
  <c r="GC3" i="3"/>
  <c r="GC4" i="3"/>
  <c r="GC5" i="3"/>
  <c r="GC6" i="3"/>
  <c r="GC7" i="3"/>
  <c r="GC8" i="3"/>
  <c r="GC9" i="3"/>
  <c r="GC10" i="3"/>
  <c r="GC11" i="3"/>
  <c r="GC12" i="3"/>
  <c r="GC13" i="3"/>
  <c r="GC14" i="3"/>
  <c r="GC15" i="3"/>
  <c r="GC16" i="3"/>
  <c r="GC17" i="3"/>
  <c r="GC18" i="3"/>
  <c r="GC19" i="3"/>
  <c r="GC20" i="3"/>
  <c r="GC21" i="3"/>
  <c r="GC22" i="3"/>
  <c r="GC23" i="3"/>
  <c r="GC24" i="3"/>
  <c r="GC25" i="3"/>
  <c r="GC26" i="3"/>
  <c r="GC27" i="3"/>
  <c r="GC28" i="3"/>
  <c r="GC29" i="3"/>
  <c r="GC30" i="3"/>
  <c r="GC31" i="3"/>
  <c r="GC32" i="3"/>
  <c r="GC33" i="3"/>
  <c r="GC34" i="3"/>
  <c r="GC35" i="3"/>
  <c r="GC36" i="3"/>
  <c r="GC37" i="3"/>
  <c r="GC38" i="3"/>
  <c r="GC39" i="3"/>
  <c r="GC40" i="3"/>
  <c r="GC41" i="3"/>
  <c r="GC42" i="3"/>
  <c r="GC43" i="3"/>
  <c r="GC44" i="3"/>
  <c r="GC45" i="3"/>
  <c r="GC46" i="3"/>
  <c r="GC47" i="3"/>
  <c r="GC48" i="3"/>
  <c r="GC49" i="3"/>
  <c r="GC50" i="3"/>
  <c r="GC51" i="3"/>
  <c r="GC52" i="3"/>
  <c r="GC53" i="3"/>
  <c r="GC54" i="3"/>
  <c r="GC55" i="3"/>
  <c r="GC56" i="3"/>
  <c r="GC57" i="3"/>
  <c r="GC58" i="3"/>
  <c r="GC59" i="3"/>
  <c r="GC60" i="3"/>
  <c r="GC61" i="3"/>
  <c r="GC62" i="3"/>
  <c r="GC63" i="3"/>
  <c r="GC64" i="3"/>
  <c r="GC65" i="3"/>
  <c r="GC66" i="3"/>
  <c r="GC67" i="3"/>
  <c r="GC68" i="3"/>
  <c r="GC69" i="3"/>
  <c r="GC70" i="3"/>
  <c r="GC71" i="3"/>
  <c r="GC72" i="3"/>
  <c r="GC73" i="3"/>
  <c r="GC74" i="3"/>
  <c r="GC75" i="3"/>
  <c r="GC76" i="3"/>
  <c r="GC77" i="3"/>
  <c r="GC78" i="3"/>
  <c r="GC79" i="3"/>
  <c r="GC80" i="3"/>
  <c r="GC81" i="3"/>
  <c r="GC82" i="3"/>
  <c r="GC83" i="3"/>
  <c r="GC84" i="3"/>
  <c r="GC85" i="3"/>
  <c r="GC86" i="3"/>
  <c r="GC87" i="3"/>
  <c r="GC88" i="3"/>
  <c r="GC89" i="3"/>
  <c r="GC90" i="3"/>
  <c r="GC91" i="3"/>
  <c r="GC92" i="3"/>
  <c r="GC93" i="3"/>
  <c r="GC94" i="3"/>
  <c r="GC95" i="3"/>
  <c r="GC96" i="3"/>
  <c r="GC97" i="3"/>
  <c r="GC98" i="3"/>
  <c r="GC99" i="3"/>
  <c r="GC100" i="3"/>
  <c r="GC101" i="3"/>
  <c r="GC102" i="3"/>
  <c r="GC103" i="3"/>
  <c r="GC104" i="3"/>
  <c r="GC105" i="3"/>
  <c r="GC106" i="3"/>
  <c r="GC107" i="3"/>
  <c r="GC108" i="3"/>
  <c r="GC109" i="3"/>
  <c r="GC110" i="3"/>
  <c r="GC111" i="3"/>
  <c r="GC112" i="3"/>
  <c r="GC113" i="3"/>
  <c r="GC114" i="3"/>
  <c r="GC115" i="3"/>
  <c r="GC116" i="3"/>
  <c r="GC117" i="3"/>
  <c r="GC118" i="3"/>
  <c r="GC119" i="3"/>
  <c r="GC120" i="3"/>
  <c r="GC121" i="3"/>
  <c r="GC122" i="3"/>
  <c r="GC123" i="3"/>
  <c r="GC124" i="3"/>
  <c r="GC125" i="3"/>
  <c r="GC126" i="3"/>
  <c r="GC127" i="3"/>
  <c r="GC128" i="3"/>
  <c r="GC129" i="3"/>
  <c r="GC130" i="3"/>
  <c r="GC131" i="3"/>
  <c r="GC132" i="3"/>
  <c r="GC133" i="3"/>
  <c r="GC134" i="3"/>
  <c r="GC135" i="3"/>
  <c r="GC136" i="3"/>
  <c r="GC137" i="3"/>
  <c r="GC138" i="3"/>
  <c r="GC139" i="3"/>
  <c r="GC140" i="3"/>
  <c r="GC141" i="3"/>
  <c r="GC142" i="3"/>
  <c r="GC143" i="3"/>
  <c r="GC144" i="3"/>
  <c r="GC145" i="3"/>
  <c r="GC146" i="3"/>
  <c r="GC147" i="3"/>
  <c r="GC148" i="3"/>
  <c r="GC149" i="3"/>
  <c r="GC150" i="3"/>
  <c r="GC151" i="3"/>
  <c r="GC152" i="3"/>
  <c r="GC153" i="3"/>
  <c r="GC154" i="3"/>
  <c r="GC155" i="3"/>
  <c r="GC156" i="3"/>
  <c r="GC157" i="3"/>
  <c r="GC158" i="3"/>
  <c r="GC159" i="3"/>
  <c r="GC160" i="3"/>
  <c r="GC161" i="3"/>
  <c r="GC162" i="3"/>
  <c r="GC163" i="3"/>
  <c r="GC164" i="3"/>
  <c r="GC165" i="3"/>
  <c r="GC166" i="3"/>
  <c r="GC167" i="3"/>
  <c r="GC168" i="3"/>
  <c r="GC169" i="3"/>
  <c r="GC170" i="3"/>
  <c r="GC171" i="3"/>
  <c r="GC172" i="3"/>
  <c r="GC173" i="3"/>
  <c r="GC174" i="3"/>
  <c r="GC175" i="3"/>
  <c r="GC176" i="3"/>
  <c r="GC177" i="3"/>
  <c r="GC178" i="3"/>
  <c r="GC179" i="3"/>
  <c r="GC180" i="3"/>
  <c r="GC181" i="3"/>
  <c r="GC182" i="3"/>
  <c r="GC183" i="3"/>
  <c r="GC184" i="3"/>
  <c r="GC185" i="3"/>
  <c r="GC186" i="3"/>
  <c r="GC187" i="3"/>
  <c r="GC188" i="3"/>
  <c r="GC189" i="3"/>
  <c r="GC190" i="3"/>
  <c r="GC191" i="3"/>
  <c r="GC192" i="3"/>
  <c r="GC193" i="3"/>
  <c r="GC194" i="3"/>
  <c r="GC195" i="3"/>
  <c r="GC196" i="3"/>
  <c r="GC197" i="3"/>
  <c r="GC198" i="3"/>
  <c r="GC199" i="3"/>
  <c r="GC200" i="3"/>
  <c r="GC201" i="3"/>
  <c r="GC202" i="3"/>
  <c r="GC203" i="3"/>
  <c r="GC204" i="3"/>
  <c r="GC205" i="3"/>
  <c r="GC206" i="3"/>
  <c r="GC207" i="3"/>
  <c r="GC208" i="3"/>
  <c r="GC209" i="3"/>
  <c r="GC210" i="3"/>
  <c r="GC211" i="3"/>
  <c r="GC212" i="3"/>
  <c r="GC213" i="3"/>
  <c r="GC214" i="3"/>
  <c r="GC215" i="3"/>
  <c r="GC216" i="3"/>
  <c r="GC217" i="3"/>
  <c r="GC218" i="3"/>
  <c r="GC219" i="3"/>
  <c r="GC220" i="3"/>
  <c r="GC221" i="3"/>
  <c r="GC222" i="3"/>
  <c r="GC223" i="3"/>
  <c r="GC224" i="3"/>
  <c r="GC225" i="3"/>
  <c r="GC226" i="3"/>
  <c r="GC227" i="3"/>
  <c r="GC228" i="3"/>
  <c r="GC229" i="3"/>
  <c r="GC230" i="3"/>
  <c r="GC231" i="3"/>
  <c r="GC232" i="3"/>
  <c r="GC233" i="3"/>
  <c r="GC234" i="3"/>
  <c r="GC235" i="3"/>
  <c r="GC236" i="3"/>
  <c r="GC237" i="3"/>
  <c r="GC238" i="3"/>
  <c r="GC239" i="3"/>
  <c r="GC240" i="3"/>
  <c r="GC241" i="3"/>
  <c r="GC242" i="3"/>
  <c r="GC243" i="3"/>
  <c r="GC244" i="3"/>
  <c r="GC245" i="3"/>
  <c r="GC246" i="3"/>
  <c r="GC247" i="3"/>
  <c r="GC248" i="3"/>
  <c r="GC249" i="3"/>
  <c r="GC250" i="3"/>
  <c r="GC251" i="3"/>
  <c r="GC252" i="3"/>
  <c r="GC253" i="3"/>
  <c r="GC254" i="3"/>
  <c r="GC255" i="3"/>
  <c r="GC256" i="3"/>
  <c r="GC257" i="3"/>
  <c r="GC258" i="3"/>
  <c r="GC259" i="3"/>
  <c r="GC260" i="3"/>
  <c r="GC261" i="3"/>
  <c r="GC262" i="3"/>
  <c r="GC263" i="3"/>
  <c r="GC264" i="3"/>
  <c r="GC265" i="3"/>
  <c r="GC266" i="3"/>
  <c r="GC267" i="3"/>
  <c r="GC268" i="3"/>
  <c r="GC269" i="3"/>
  <c r="GC270" i="3"/>
  <c r="GC271" i="3"/>
  <c r="GC272" i="3"/>
  <c r="GC273" i="3"/>
  <c r="GC274" i="3"/>
  <c r="GC275" i="3"/>
  <c r="GC276" i="3"/>
  <c r="GC277" i="3"/>
  <c r="GC278" i="3"/>
  <c r="GC279" i="3"/>
  <c r="GC280" i="3"/>
  <c r="GC281" i="3"/>
  <c r="GC282" i="3"/>
  <c r="GC283" i="3"/>
  <c r="GC284" i="3"/>
  <c r="GC285" i="3"/>
  <c r="GC286" i="3"/>
  <c r="GC287" i="3"/>
  <c r="GC288" i="3"/>
  <c r="GC289" i="3"/>
  <c r="GC290" i="3"/>
  <c r="GC291" i="3"/>
  <c r="GC292" i="3"/>
  <c r="GC293" i="3"/>
  <c r="GC294" i="3"/>
  <c r="GC295" i="3"/>
  <c r="GC296" i="3"/>
  <c r="GC297" i="3"/>
  <c r="GC298" i="3"/>
  <c r="GC299" i="3"/>
  <c r="GC300" i="3"/>
  <c r="GC301" i="3"/>
  <c r="GC302" i="3"/>
  <c r="GC303" i="3"/>
  <c r="GC304" i="3"/>
  <c r="GC305" i="3"/>
  <c r="GC306" i="3"/>
  <c r="GC307" i="3"/>
  <c r="GC308" i="3"/>
  <c r="GC309" i="3"/>
  <c r="GC310" i="3"/>
  <c r="GC311" i="3"/>
  <c r="GC312" i="3"/>
  <c r="GC313" i="3"/>
  <c r="GC314" i="3"/>
  <c r="GC315" i="3"/>
  <c r="GC316" i="3"/>
  <c r="GC317" i="3"/>
  <c r="GC318" i="3"/>
  <c r="GC319" i="3"/>
  <c r="GC320" i="3"/>
  <c r="GC321" i="3"/>
  <c r="GC322" i="3"/>
  <c r="GC323" i="3"/>
  <c r="GC324" i="3"/>
  <c r="GC325" i="3"/>
  <c r="GC326" i="3"/>
  <c r="GC327" i="3"/>
  <c r="GC328" i="3"/>
  <c r="GC329" i="3"/>
  <c r="GC330" i="3"/>
  <c r="GC331" i="3"/>
  <c r="GC332" i="3"/>
  <c r="GC333" i="3"/>
  <c r="GC334" i="3"/>
  <c r="GC335" i="3"/>
  <c r="GC336" i="3"/>
  <c r="GC337" i="3"/>
  <c r="GC338" i="3"/>
  <c r="GC339" i="3"/>
  <c r="GC340" i="3"/>
  <c r="GC341" i="3"/>
  <c r="GC342" i="3"/>
  <c r="GC343" i="3"/>
  <c r="GC344" i="3"/>
  <c r="GC345" i="3"/>
  <c r="GC346" i="3"/>
  <c r="GC347" i="3"/>
  <c r="GC348" i="3"/>
  <c r="GC349" i="3"/>
  <c r="GC350" i="3"/>
  <c r="GC351" i="3"/>
  <c r="GC352" i="3"/>
  <c r="GC353" i="3"/>
  <c r="GC354" i="3"/>
  <c r="GC355" i="3"/>
  <c r="GC356" i="3"/>
  <c r="GC357" i="3"/>
  <c r="GC358" i="3"/>
  <c r="GC359" i="3"/>
  <c r="GC360" i="3"/>
  <c r="GC361" i="3"/>
  <c r="GC362" i="3"/>
  <c r="GC363" i="3"/>
  <c r="GC364" i="3"/>
  <c r="GC365" i="3"/>
  <c r="GC366" i="3"/>
  <c r="GC367" i="3"/>
  <c r="GC368" i="3"/>
  <c r="GC369" i="3"/>
  <c r="GC370" i="3"/>
  <c r="GC371" i="3"/>
  <c r="GC372" i="3"/>
  <c r="GC373" i="3"/>
  <c r="GC374" i="3"/>
  <c r="GC375" i="3"/>
  <c r="GC376" i="3"/>
  <c r="GC377" i="3"/>
  <c r="GC378" i="3"/>
  <c r="GC379" i="3"/>
  <c r="GC380" i="3"/>
  <c r="GC381" i="3"/>
  <c r="GC382" i="3"/>
  <c r="GC383" i="3"/>
  <c r="GC384" i="3"/>
  <c r="GC385" i="3"/>
  <c r="GC386" i="3"/>
  <c r="GC387" i="3"/>
  <c r="GC388" i="3"/>
  <c r="GC389" i="3"/>
  <c r="GC390" i="3"/>
  <c r="GC391" i="3"/>
  <c r="GC392" i="3"/>
  <c r="GC393" i="3"/>
  <c r="GC394" i="3"/>
  <c r="GC395" i="3"/>
  <c r="GC396" i="3"/>
  <c r="GC397" i="3"/>
  <c r="GC398" i="3"/>
  <c r="GC399" i="3"/>
  <c r="GC400" i="3"/>
  <c r="GC401" i="3"/>
  <c r="GC402" i="3"/>
  <c r="GC403" i="3"/>
  <c r="GC404" i="3"/>
  <c r="GC405" i="3"/>
  <c r="GC406" i="3"/>
  <c r="GC407" i="3"/>
  <c r="GC408" i="3"/>
  <c r="GC409" i="3"/>
  <c r="GC410" i="3"/>
  <c r="GC411" i="3"/>
  <c r="GC412" i="3"/>
  <c r="GC413" i="3"/>
  <c r="GC414" i="3"/>
  <c r="GC415" i="3"/>
  <c r="GC416" i="3"/>
  <c r="GC417" i="3"/>
  <c r="GC418" i="3"/>
  <c r="GC419" i="3"/>
  <c r="GC420" i="3"/>
  <c r="GC421" i="3"/>
  <c r="GC422" i="3"/>
  <c r="GC423" i="3"/>
  <c r="GC424" i="3"/>
  <c r="GC425" i="3"/>
  <c r="GC426" i="3"/>
  <c r="GC427" i="3"/>
  <c r="GC428" i="3"/>
  <c r="GC429" i="3"/>
  <c r="GC430" i="3"/>
  <c r="GC431" i="3"/>
  <c r="GC432" i="3"/>
  <c r="GC433" i="3"/>
  <c r="GC434" i="3"/>
  <c r="GC435" i="3"/>
  <c r="GC436" i="3"/>
  <c r="GC437" i="3"/>
  <c r="GC438" i="3"/>
  <c r="GC439" i="3"/>
  <c r="GC440" i="3"/>
  <c r="GC441" i="3"/>
  <c r="GC442" i="3"/>
  <c r="GC443" i="3"/>
  <c r="GC444" i="3"/>
  <c r="GC445" i="3"/>
  <c r="GC446" i="3"/>
  <c r="GC447" i="3"/>
  <c r="GC448" i="3"/>
  <c r="GC449" i="3"/>
  <c r="GC450" i="3"/>
  <c r="GC451" i="3"/>
  <c r="GC452" i="3"/>
  <c r="GC453" i="3"/>
  <c r="GC454" i="3"/>
  <c r="GC455" i="3"/>
  <c r="GC456" i="3"/>
  <c r="GC457" i="3"/>
  <c r="GC458" i="3"/>
  <c r="GC459" i="3"/>
  <c r="GC460" i="3"/>
  <c r="GC461" i="3"/>
  <c r="GC462" i="3"/>
  <c r="GC463" i="3"/>
  <c r="GC464" i="3"/>
  <c r="GC465" i="3"/>
  <c r="GC466" i="3"/>
  <c r="GC467" i="3"/>
  <c r="GC468" i="3"/>
  <c r="GC469" i="3"/>
  <c r="GC470" i="3"/>
  <c r="GC471" i="3"/>
  <c r="GC472" i="3"/>
  <c r="GC473" i="3"/>
  <c r="GC474" i="3"/>
  <c r="GC475" i="3"/>
  <c r="GC476" i="3"/>
  <c r="GC477" i="3"/>
  <c r="GC478" i="3"/>
  <c r="GC479" i="3"/>
  <c r="GC480" i="3"/>
  <c r="GC481" i="3"/>
  <c r="GC482" i="3"/>
  <c r="GC483" i="3"/>
  <c r="GC484" i="3"/>
  <c r="GC485" i="3"/>
  <c r="GC486" i="3"/>
  <c r="GC487" i="3"/>
  <c r="GC488" i="3"/>
  <c r="GC489" i="3"/>
  <c r="GC490" i="3"/>
  <c r="GC491" i="3"/>
  <c r="GC492" i="3"/>
  <c r="GC493" i="3"/>
  <c r="GC494" i="3"/>
  <c r="GC495" i="3"/>
  <c r="GC496" i="3"/>
  <c r="GC497" i="3"/>
  <c r="GC498" i="3"/>
  <c r="GC499" i="3"/>
  <c r="GC500" i="3"/>
  <c r="GC501" i="3"/>
  <c r="GC502" i="3"/>
  <c r="GC503" i="3"/>
  <c r="GC504" i="3"/>
  <c r="GC505" i="3"/>
  <c r="GC506" i="3"/>
  <c r="GC507" i="3"/>
  <c r="GC508" i="3"/>
  <c r="GC509" i="3"/>
  <c r="GC510" i="3"/>
  <c r="GC511" i="3"/>
  <c r="GC512" i="3"/>
  <c r="GC513" i="3"/>
  <c r="GC514" i="3"/>
  <c r="GC515" i="3"/>
  <c r="GC516" i="3"/>
  <c r="GC517" i="3"/>
  <c r="GC518" i="3"/>
  <c r="GC519" i="3"/>
  <c r="GC520" i="3"/>
  <c r="GC521" i="3"/>
  <c r="GC522" i="3"/>
  <c r="GC523" i="3"/>
  <c r="GC524" i="3"/>
  <c r="GC525" i="3"/>
  <c r="GC526" i="3"/>
  <c r="GC527" i="3"/>
  <c r="GC528" i="3"/>
  <c r="GC529" i="3"/>
  <c r="GC530" i="3"/>
  <c r="GC531" i="3"/>
  <c r="GC532" i="3"/>
  <c r="GC533" i="3"/>
  <c r="GC534" i="3"/>
  <c r="GC535" i="3"/>
  <c r="GC536" i="3"/>
  <c r="GC537" i="3"/>
  <c r="GC538" i="3"/>
  <c r="GC539" i="3"/>
  <c r="GC540" i="3"/>
  <c r="GC541" i="3"/>
  <c r="GC542" i="3"/>
  <c r="GC543" i="3"/>
  <c r="GC544" i="3"/>
  <c r="GC545" i="3"/>
  <c r="GC546" i="3"/>
  <c r="GC547" i="3"/>
  <c r="GC548" i="3"/>
  <c r="GC549" i="3"/>
  <c r="GC550" i="3"/>
  <c r="GC551" i="3"/>
  <c r="GC552" i="3"/>
  <c r="GC553" i="3"/>
  <c r="GC554" i="3"/>
  <c r="GC555" i="3"/>
  <c r="GC556" i="3"/>
  <c r="GC557" i="3"/>
  <c r="GC558" i="3"/>
  <c r="GC559" i="3"/>
  <c r="GC560" i="3"/>
  <c r="GC561" i="3"/>
  <c r="GC562" i="3"/>
  <c r="GC563" i="3"/>
  <c r="GC564" i="3"/>
  <c r="GC565" i="3"/>
  <c r="GC566" i="3"/>
  <c r="GC567" i="3"/>
  <c r="GC568" i="3"/>
  <c r="GC569" i="3"/>
  <c r="GC570" i="3"/>
  <c r="GC571" i="3"/>
  <c r="GC572" i="3"/>
  <c r="GC573" i="3"/>
  <c r="GC574" i="3"/>
  <c r="GC575" i="3"/>
  <c r="GC576" i="3"/>
  <c r="GC577" i="3"/>
  <c r="GC578" i="3"/>
  <c r="GC579" i="3"/>
  <c r="GC580" i="3"/>
  <c r="GC581" i="3"/>
  <c r="GC582" i="3"/>
  <c r="GC583" i="3"/>
  <c r="GC584" i="3"/>
  <c r="GC585" i="3"/>
  <c r="GC586" i="3"/>
  <c r="GC587" i="3"/>
  <c r="GC588" i="3"/>
  <c r="GC589" i="3"/>
  <c r="GC590" i="3"/>
  <c r="GC591" i="3"/>
  <c r="GC592" i="3"/>
  <c r="GC593" i="3"/>
  <c r="GC594" i="3"/>
  <c r="GC595" i="3"/>
  <c r="GC596" i="3"/>
  <c r="GC597" i="3"/>
  <c r="GC598" i="3"/>
  <c r="GC599" i="3"/>
  <c r="GC600" i="3"/>
  <c r="GB3" i="3"/>
  <c r="GB4" i="3"/>
  <c r="GB5" i="3"/>
  <c r="GB6" i="3"/>
  <c r="GB7" i="3"/>
  <c r="GB8" i="3"/>
  <c r="GB9" i="3"/>
  <c r="GB10" i="3"/>
  <c r="GB11" i="3"/>
  <c r="GB12" i="3"/>
  <c r="GB13" i="3"/>
  <c r="GB14" i="3"/>
  <c r="GB15" i="3"/>
  <c r="GB16" i="3"/>
  <c r="GB17" i="3"/>
  <c r="GB18" i="3"/>
  <c r="GB19" i="3"/>
  <c r="GB20" i="3"/>
  <c r="GB21" i="3"/>
  <c r="GB22" i="3"/>
  <c r="GB23" i="3"/>
  <c r="GB24" i="3"/>
  <c r="GB25" i="3"/>
  <c r="GB26" i="3"/>
  <c r="GB27" i="3"/>
  <c r="GB28" i="3"/>
  <c r="GB29" i="3"/>
  <c r="GB30" i="3"/>
  <c r="GB31" i="3"/>
  <c r="GB32" i="3"/>
  <c r="GB33" i="3"/>
  <c r="GB34" i="3"/>
  <c r="GB35" i="3"/>
  <c r="GB36" i="3"/>
  <c r="GB37" i="3"/>
  <c r="GB38" i="3"/>
  <c r="GB39" i="3"/>
  <c r="GB40" i="3"/>
  <c r="GB41" i="3"/>
  <c r="GB42" i="3"/>
  <c r="GB43" i="3"/>
  <c r="GB44" i="3"/>
  <c r="GB45" i="3"/>
  <c r="GB46" i="3"/>
  <c r="GB47" i="3"/>
  <c r="GB48" i="3"/>
  <c r="GB49" i="3"/>
  <c r="GB50" i="3"/>
  <c r="GB51" i="3"/>
  <c r="GB52" i="3"/>
  <c r="GB53" i="3"/>
  <c r="GB54" i="3"/>
  <c r="GB55" i="3"/>
  <c r="GB56" i="3"/>
  <c r="GB57" i="3"/>
  <c r="GB58" i="3"/>
  <c r="GB59" i="3"/>
  <c r="GB60" i="3"/>
  <c r="GB61" i="3"/>
  <c r="GB62" i="3"/>
  <c r="GB63" i="3"/>
  <c r="GB64" i="3"/>
  <c r="GB65" i="3"/>
  <c r="GB66" i="3"/>
  <c r="GB67" i="3"/>
  <c r="GB68" i="3"/>
  <c r="GB69" i="3"/>
  <c r="GB70" i="3"/>
  <c r="GB71" i="3"/>
  <c r="GB72" i="3"/>
  <c r="GB73" i="3"/>
  <c r="GB74" i="3"/>
  <c r="GB75" i="3"/>
  <c r="GB76" i="3"/>
  <c r="GB77" i="3"/>
  <c r="GB78" i="3"/>
  <c r="GB79" i="3"/>
  <c r="GB80" i="3"/>
  <c r="GB81" i="3"/>
  <c r="GB82" i="3"/>
  <c r="GB83" i="3"/>
  <c r="GB84" i="3"/>
  <c r="GB85" i="3"/>
  <c r="GB86" i="3"/>
  <c r="GB87" i="3"/>
  <c r="GB88" i="3"/>
  <c r="GB89" i="3"/>
  <c r="GB90" i="3"/>
  <c r="GB91" i="3"/>
  <c r="GB92" i="3"/>
  <c r="GB93" i="3"/>
  <c r="GB94" i="3"/>
  <c r="GB95" i="3"/>
  <c r="GB96" i="3"/>
  <c r="GB97" i="3"/>
  <c r="GB98" i="3"/>
  <c r="GB99" i="3"/>
  <c r="GB100" i="3"/>
  <c r="GB101" i="3"/>
  <c r="GB102" i="3"/>
  <c r="GB103" i="3"/>
  <c r="GB104" i="3"/>
  <c r="GB105" i="3"/>
  <c r="GB106" i="3"/>
  <c r="GB107" i="3"/>
  <c r="GB108" i="3"/>
  <c r="GB109" i="3"/>
  <c r="GB110" i="3"/>
  <c r="GB111" i="3"/>
  <c r="GB112" i="3"/>
  <c r="GB113" i="3"/>
  <c r="GB114" i="3"/>
  <c r="GB115" i="3"/>
  <c r="GB116" i="3"/>
  <c r="GB117" i="3"/>
  <c r="GB118" i="3"/>
  <c r="GB119" i="3"/>
  <c r="GB120" i="3"/>
  <c r="GB121" i="3"/>
  <c r="GB122" i="3"/>
  <c r="GB123" i="3"/>
  <c r="GB124" i="3"/>
  <c r="GB125" i="3"/>
  <c r="GB126" i="3"/>
  <c r="GB127" i="3"/>
  <c r="GB128" i="3"/>
  <c r="GB129" i="3"/>
  <c r="GB130" i="3"/>
  <c r="GB131" i="3"/>
  <c r="GB132" i="3"/>
  <c r="GB133" i="3"/>
  <c r="GB134" i="3"/>
  <c r="GB135" i="3"/>
  <c r="GB136" i="3"/>
  <c r="GB137" i="3"/>
  <c r="GB138" i="3"/>
  <c r="GB139" i="3"/>
  <c r="GB140" i="3"/>
  <c r="GB141" i="3"/>
  <c r="GB142" i="3"/>
  <c r="GB143" i="3"/>
  <c r="GB144" i="3"/>
  <c r="GB145" i="3"/>
  <c r="GB146" i="3"/>
  <c r="GB147" i="3"/>
  <c r="GB148" i="3"/>
  <c r="GB149" i="3"/>
  <c r="GB150" i="3"/>
  <c r="GB151" i="3"/>
  <c r="GB152" i="3"/>
  <c r="GB153" i="3"/>
  <c r="GB154" i="3"/>
  <c r="GB155" i="3"/>
  <c r="GB156" i="3"/>
  <c r="GB157" i="3"/>
  <c r="GB158" i="3"/>
  <c r="GB159" i="3"/>
  <c r="GB160" i="3"/>
  <c r="GB161" i="3"/>
  <c r="GB162" i="3"/>
  <c r="GB163" i="3"/>
  <c r="GB164" i="3"/>
  <c r="GB165" i="3"/>
  <c r="GB166" i="3"/>
  <c r="GB167" i="3"/>
  <c r="GB168" i="3"/>
  <c r="GB169" i="3"/>
  <c r="GB170" i="3"/>
  <c r="GB171" i="3"/>
  <c r="GB172" i="3"/>
  <c r="GB173" i="3"/>
  <c r="GB174" i="3"/>
  <c r="GB175" i="3"/>
  <c r="GB176" i="3"/>
  <c r="GB177" i="3"/>
  <c r="GB178" i="3"/>
  <c r="GB179" i="3"/>
  <c r="GB180" i="3"/>
  <c r="GB181" i="3"/>
  <c r="GB182" i="3"/>
  <c r="GB183" i="3"/>
  <c r="GB184" i="3"/>
  <c r="GB185" i="3"/>
  <c r="GB186" i="3"/>
  <c r="GB187" i="3"/>
  <c r="GB188" i="3"/>
  <c r="GB189" i="3"/>
  <c r="GB190" i="3"/>
  <c r="GB191" i="3"/>
  <c r="GB192" i="3"/>
  <c r="GB193" i="3"/>
  <c r="GB194" i="3"/>
  <c r="GB195" i="3"/>
  <c r="GB196" i="3"/>
  <c r="GB197" i="3"/>
  <c r="GB198" i="3"/>
  <c r="GB199" i="3"/>
  <c r="GB200" i="3"/>
  <c r="GB201" i="3"/>
  <c r="GB202" i="3"/>
  <c r="GB203" i="3"/>
  <c r="GB204" i="3"/>
  <c r="GB205" i="3"/>
  <c r="GB206" i="3"/>
  <c r="GB207" i="3"/>
  <c r="GB208" i="3"/>
  <c r="GB209" i="3"/>
  <c r="GB210" i="3"/>
  <c r="GB211" i="3"/>
  <c r="GB212" i="3"/>
  <c r="GB213" i="3"/>
  <c r="GB214" i="3"/>
  <c r="GB215" i="3"/>
  <c r="GB216" i="3"/>
  <c r="GB217" i="3"/>
  <c r="GB218" i="3"/>
  <c r="GB219" i="3"/>
  <c r="GB220" i="3"/>
  <c r="GB221" i="3"/>
  <c r="GB222" i="3"/>
  <c r="GB223" i="3"/>
  <c r="GB224" i="3"/>
  <c r="GB225" i="3"/>
  <c r="GB226" i="3"/>
  <c r="GB227" i="3"/>
  <c r="GB228" i="3"/>
  <c r="GB229" i="3"/>
  <c r="GB230" i="3"/>
  <c r="GB231" i="3"/>
  <c r="GB232" i="3"/>
  <c r="GB233" i="3"/>
  <c r="GB234" i="3"/>
  <c r="GB235" i="3"/>
  <c r="GB236" i="3"/>
  <c r="GB237" i="3"/>
  <c r="GB238" i="3"/>
  <c r="GB239" i="3"/>
  <c r="GB240" i="3"/>
  <c r="GB241" i="3"/>
  <c r="GB242" i="3"/>
  <c r="GB243" i="3"/>
  <c r="GB244" i="3"/>
  <c r="GB245" i="3"/>
  <c r="GB246" i="3"/>
  <c r="GB247" i="3"/>
  <c r="GB248" i="3"/>
  <c r="GB249" i="3"/>
  <c r="GB250" i="3"/>
  <c r="GB251" i="3"/>
  <c r="GB252" i="3"/>
  <c r="GB253" i="3"/>
  <c r="GB254" i="3"/>
  <c r="GB255" i="3"/>
  <c r="GB256" i="3"/>
  <c r="GB257" i="3"/>
  <c r="GB258" i="3"/>
  <c r="GB259" i="3"/>
  <c r="GB260" i="3"/>
  <c r="GB261" i="3"/>
  <c r="GB262" i="3"/>
  <c r="GB263" i="3"/>
  <c r="GB264" i="3"/>
  <c r="GB265" i="3"/>
  <c r="GB266" i="3"/>
  <c r="GB267" i="3"/>
  <c r="GB268" i="3"/>
  <c r="GB269" i="3"/>
  <c r="GB270" i="3"/>
  <c r="GB271" i="3"/>
  <c r="GB272" i="3"/>
  <c r="GB273" i="3"/>
  <c r="GB274" i="3"/>
  <c r="GB275" i="3"/>
  <c r="GB276" i="3"/>
  <c r="GB277" i="3"/>
  <c r="GB278" i="3"/>
  <c r="GB279" i="3"/>
  <c r="GB280" i="3"/>
  <c r="GB281" i="3"/>
  <c r="GB282" i="3"/>
  <c r="GB283" i="3"/>
  <c r="GB284" i="3"/>
  <c r="GB285" i="3"/>
  <c r="GB286" i="3"/>
  <c r="GB287" i="3"/>
  <c r="GB288" i="3"/>
  <c r="GB289" i="3"/>
  <c r="GB290" i="3"/>
  <c r="GB291" i="3"/>
  <c r="GB292" i="3"/>
  <c r="GB293" i="3"/>
  <c r="GB294" i="3"/>
  <c r="GB295" i="3"/>
  <c r="GB296" i="3"/>
  <c r="GB297" i="3"/>
  <c r="GB298" i="3"/>
  <c r="GB299" i="3"/>
  <c r="GB300" i="3"/>
  <c r="GB301" i="3"/>
  <c r="GB302" i="3"/>
  <c r="GB303" i="3"/>
  <c r="GB304" i="3"/>
  <c r="GB305" i="3"/>
  <c r="GB306" i="3"/>
  <c r="GB307" i="3"/>
  <c r="GB308" i="3"/>
  <c r="GB309" i="3"/>
  <c r="GB310" i="3"/>
  <c r="GB311" i="3"/>
  <c r="GB312" i="3"/>
  <c r="GB313" i="3"/>
  <c r="GB314" i="3"/>
  <c r="GB315" i="3"/>
  <c r="GB316" i="3"/>
  <c r="GB317" i="3"/>
  <c r="GB318" i="3"/>
  <c r="GB319" i="3"/>
  <c r="GB320" i="3"/>
  <c r="GB321" i="3"/>
  <c r="GB322" i="3"/>
  <c r="GB323" i="3"/>
  <c r="GB324" i="3"/>
  <c r="GB325" i="3"/>
  <c r="GB326" i="3"/>
  <c r="GB327" i="3"/>
  <c r="GB328" i="3"/>
  <c r="GB329" i="3"/>
  <c r="GB330" i="3"/>
  <c r="GB331" i="3"/>
  <c r="GB332" i="3"/>
  <c r="GB333" i="3"/>
  <c r="GB334" i="3"/>
  <c r="GB335" i="3"/>
  <c r="GB336" i="3"/>
  <c r="GB337" i="3"/>
  <c r="GB338" i="3"/>
  <c r="GB339" i="3"/>
  <c r="GB340" i="3"/>
  <c r="GB341" i="3"/>
  <c r="GB342" i="3"/>
  <c r="GB343" i="3"/>
  <c r="GB344" i="3"/>
  <c r="GB345" i="3"/>
  <c r="GB346" i="3"/>
  <c r="GB347" i="3"/>
  <c r="GB348" i="3"/>
  <c r="GB349" i="3"/>
  <c r="GB350" i="3"/>
  <c r="GB351" i="3"/>
  <c r="GB352" i="3"/>
  <c r="GB353" i="3"/>
  <c r="GB354" i="3"/>
  <c r="GB355" i="3"/>
  <c r="GB356" i="3"/>
  <c r="GB357" i="3"/>
  <c r="GB358" i="3"/>
  <c r="GB359" i="3"/>
  <c r="GB360" i="3"/>
  <c r="GB361" i="3"/>
  <c r="GB362" i="3"/>
  <c r="GB363" i="3"/>
  <c r="GB364" i="3"/>
  <c r="GB365" i="3"/>
  <c r="GB366" i="3"/>
  <c r="GB367" i="3"/>
  <c r="GB368" i="3"/>
  <c r="GB369" i="3"/>
  <c r="GB370" i="3"/>
  <c r="GB371" i="3"/>
  <c r="GB372" i="3"/>
  <c r="GB373" i="3"/>
  <c r="GB374" i="3"/>
  <c r="GB375" i="3"/>
  <c r="GB376" i="3"/>
  <c r="GB377" i="3"/>
  <c r="GB378" i="3"/>
  <c r="GB379" i="3"/>
  <c r="GB380" i="3"/>
  <c r="GB381" i="3"/>
  <c r="GB382" i="3"/>
  <c r="GB383" i="3"/>
  <c r="GB384" i="3"/>
  <c r="GB385" i="3"/>
  <c r="GB386" i="3"/>
  <c r="GB387" i="3"/>
  <c r="GB388" i="3"/>
  <c r="GB389" i="3"/>
  <c r="GB390" i="3"/>
  <c r="GB391" i="3"/>
  <c r="GB392" i="3"/>
  <c r="GB393" i="3"/>
  <c r="GB394" i="3"/>
  <c r="GB395" i="3"/>
  <c r="GB396" i="3"/>
  <c r="GB397" i="3"/>
  <c r="GB398" i="3"/>
  <c r="GB399" i="3"/>
  <c r="GB400" i="3"/>
  <c r="GB401" i="3"/>
  <c r="GB402" i="3"/>
  <c r="GB403" i="3"/>
  <c r="GB404" i="3"/>
  <c r="GB405" i="3"/>
  <c r="GB406" i="3"/>
  <c r="GB407" i="3"/>
  <c r="GB408" i="3"/>
  <c r="GB409" i="3"/>
  <c r="GB410" i="3"/>
  <c r="GB411" i="3"/>
  <c r="GB412" i="3"/>
  <c r="GB413" i="3"/>
  <c r="GB414" i="3"/>
  <c r="GB415" i="3"/>
  <c r="GB416" i="3"/>
  <c r="GB417" i="3"/>
  <c r="GB418" i="3"/>
  <c r="GB419" i="3"/>
  <c r="GB420" i="3"/>
  <c r="GB421" i="3"/>
  <c r="GB422" i="3"/>
  <c r="GB423" i="3"/>
  <c r="GB424" i="3"/>
  <c r="GB425" i="3"/>
  <c r="GB426" i="3"/>
  <c r="GB427" i="3"/>
  <c r="GB428" i="3"/>
  <c r="GB429" i="3"/>
  <c r="GB430" i="3"/>
  <c r="GB431" i="3"/>
  <c r="GB432" i="3"/>
  <c r="GB433" i="3"/>
  <c r="GB434" i="3"/>
  <c r="GB435" i="3"/>
  <c r="GB436" i="3"/>
  <c r="GB437" i="3"/>
  <c r="GB438" i="3"/>
  <c r="GB439" i="3"/>
  <c r="GB440" i="3"/>
  <c r="GB441" i="3"/>
  <c r="GB442" i="3"/>
  <c r="GB443" i="3"/>
  <c r="GB444" i="3"/>
  <c r="GB445" i="3"/>
  <c r="GB446" i="3"/>
  <c r="GB447" i="3"/>
  <c r="GB448" i="3"/>
  <c r="GB449" i="3"/>
  <c r="GB450" i="3"/>
  <c r="GB451" i="3"/>
  <c r="GB452" i="3"/>
  <c r="GB453" i="3"/>
  <c r="GB454" i="3"/>
  <c r="GB455" i="3"/>
  <c r="GB456" i="3"/>
  <c r="GB457" i="3"/>
  <c r="GB458" i="3"/>
  <c r="GB459" i="3"/>
  <c r="GB460" i="3"/>
  <c r="GB461" i="3"/>
  <c r="GB462" i="3"/>
  <c r="GB463" i="3"/>
  <c r="GB464" i="3"/>
  <c r="GB465" i="3"/>
  <c r="GB466" i="3"/>
  <c r="GB467" i="3"/>
  <c r="GB468" i="3"/>
  <c r="GB469" i="3"/>
  <c r="GB470" i="3"/>
  <c r="GB471" i="3"/>
  <c r="GB472" i="3"/>
  <c r="GB473" i="3"/>
  <c r="GB474" i="3"/>
  <c r="GB475" i="3"/>
  <c r="GB476" i="3"/>
  <c r="GB477" i="3"/>
  <c r="GB478" i="3"/>
  <c r="GB479" i="3"/>
  <c r="GB480" i="3"/>
  <c r="GB481" i="3"/>
  <c r="GB482" i="3"/>
  <c r="GB483" i="3"/>
  <c r="GB484" i="3"/>
  <c r="GB485" i="3"/>
  <c r="GB486" i="3"/>
  <c r="GB487" i="3"/>
  <c r="GB488" i="3"/>
  <c r="GB489" i="3"/>
  <c r="GB490" i="3"/>
  <c r="GB491" i="3"/>
  <c r="GB492" i="3"/>
  <c r="GB493" i="3"/>
  <c r="GB494" i="3"/>
  <c r="GB495" i="3"/>
  <c r="GB496" i="3"/>
  <c r="GB497" i="3"/>
  <c r="GB498" i="3"/>
  <c r="GB499" i="3"/>
  <c r="GB500" i="3"/>
  <c r="GB501" i="3"/>
  <c r="GB502" i="3"/>
  <c r="GB503" i="3"/>
  <c r="GB504" i="3"/>
  <c r="GB505" i="3"/>
  <c r="GB506" i="3"/>
  <c r="GB507" i="3"/>
  <c r="GB508" i="3"/>
  <c r="GB509" i="3"/>
  <c r="GB510" i="3"/>
  <c r="GB511" i="3"/>
  <c r="GB512" i="3"/>
  <c r="GB513" i="3"/>
  <c r="GB514" i="3"/>
  <c r="GB515" i="3"/>
  <c r="GB516" i="3"/>
  <c r="GB517" i="3"/>
  <c r="GB518" i="3"/>
  <c r="GB519" i="3"/>
  <c r="GB520" i="3"/>
  <c r="GB521" i="3"/>
  <c r="GB522" i="3"/>
  <c r="GB523" i="3"/>
  <c r="GB524" i="3"/>
  <c r="GB525" i="3"/>
  <c r="GB526" i="3"/>
  <c r="GB527" i="3"/>
  <c r="GB528" i="3"/>
  <c r="GB529" i="3"/>
  <c r="GB530" i="3"/>
  <c r="GB531" i="3"/>
  <c r="GB532" i="3"/>
  <c r="GB533" i="3"/>
  <c r="GB534" i="3"/>
  <c r="GB535" i="3"/>
  <c r="GB536" i="3"/>
  <c r="GB537" i="3"/>
  <c r="GB538" i="3"/>
  <c r="GB539" i="3"/>
  <c r="GB540" i="3"/>
  <c r="GB541" i="3"/>
  <c r="GB542" i="3"/>
  <c r="GB543" i="3"/>
  <c r="GB544" i="3"/>
  <c r="GB545" i="3"/>
  <c r="GB546" i="3"/>
  <c r="GB547" i="3"/>
  <c r="GB548" i="3"/>
  <c r="GB549" i="3"/>
  <c r="GB550" i="3"/>
  <c r="GB551" i="3"/>
  <c r="GB552" i="3"/>
  <c r="GB553" i="3"/>
  <c r="GB554" i="3"/>
  <c r="GB555" i="3"/>
  <c r="GB556" i="3"/>
  <c r="GB557" i="3"/>
  <c r="GB558" i="3"/>
  <c r="GB559" i="3"/>
  <c r="GB560" i="3"/>
  <c r="GB561" i="3"/>
  <c r="GB562" i="3"/>
  <c r="GB563" i="3"/>
  <c r="GB564" i="3"/>
  <c r="GB565" i="3"/>
  <c r="GB566" i="3"/>
  <c r="GB567" i="3"/>
  <c r="GB568" i="3"/>
  <c r="GB569" i="3"/>
  <c r="GB570" i="3"/>
  <c r="GB571" i="3"/>
  <c r="GB572" i="3"/>
  <c r="GB573" i="3"/>
  <c r="GB574" i="3"/>
  <c r="GB575" i="3"/>
  <c r="GB576" i="3"/>
  <c r="GB577" i="3"/>
  <c r="GB578" i="3"/>
  <c r="GB579" i="3"/>
  <c r="GB580" i="3"/>
  <c r="GB581" i="3"/>
  <c r="GB582" i="3"/>
  <c r="GB583" i="3"/>
  <c r="GB584" i="3"/>
  <c r="GB585" i="3"/>
  <c r="GB586" i="3"/>
  <c r="GB587" i="3"/>
  <c r="GB588" i="3"/>
  <c r="GB589" i="3"/>
  <c r="GB590" i="3"/>
  <c r="GB591" i="3"/>
  <c r="GB592" i="3"/>
  <c r="GB593" i="3"/>
  <c r="GB594" i="3"/>
  <c r="GB595" i="3"/>
  <c r="GB596" i="3"/>
  <c r="GB597" i="3"/>
  <c r="GB598" i="3"/>
  <c r="GB599" i="3"/>
  <c r="GB600" i="3"/>
  <c r="GA3" i="3"/>
  <c r="GA4" i="3"/>
  <c r="GA5" i="3"/>
  <c r="GA6" i="3"/>
  <c r="GA7" i="3"/>
  <c r="GA8" i="3"/>
  <c r="GA9" i="3"/>
  <c r="GA10" i="3"/>
  <c r="GA11" i="3"/>
  <c r="GA12" i="3"/>
  <c r="GA13" i="3"/>
  <c r="GA14" i="3"/>
  <c r="GA15" i="3"/>
  <c r="GA16" i="3"/>
  <c r="GA17" i="3"/>
  <c r="GA18" i="3"/>
  <c r="GA19" i="3"/>
  <c r="GA20" i="3"/>
  <c r="GA21" i="3"/>
  <c r="GA22" i="3"/>
  <c r="GA23" i="3"/>
  <c r="GA24" i="3"/>
  <c r="GA25" i="3"/>
  <c r="GA26" i="3"/>
  <c r="GA27" i="3"/>
  <c r="GA28" i="3"/>
  <c r="GA29" i="3"/>
  <c r="GA30" i="3"/>
  <c r="GA31" i="3"/>
  <c r="GA32" i="3"/>
  <c r="GA33" i="3"/>
  <c r="GA34" i="3"/>
  <c r="GA35" i="3"/>
  <c r="GA36" i="3"/>
  <c r="GA37" i="3"/>
  <c r="GA38" i="3"/>
  <c r="GA39" i="3"/>
  <c r="GA40" i="3"/>
  <c r="GA41" i="3"/>
  <c r="GA42" i="3"/>
  <c r="GA43" i="3"/>
  <c r="GA44" i="3"/>
  <c r="GA45" i="3"/>
  <c r="GA46" i="3"/>
  <c r="GA47" i="3"/>
  <c r="GA48" i="3"/>
  <c r="GA49" i="3"/>
  <c r="GA50" i="3"/>
  <c r="GA51" i="3"/>
  <c r="GA52" i="3"/>
  <c r="GA53" i="3"/>
  <c r="GA54" i="3"/>
  <c r="GA55" i="3"/>
  <c r="GA56" i="3"/>
  <c r="GA57" i="3"/>
  <c r="GA58" i="3"/>
  <c r="GA59" i="3"/>
  <c r="GA60" i="3"/>
  <c r="GA61" i="3"/>
  <c r="GA62" i="3"/>
  <c r="GA63" i="3"/>
  <c r="GA64" i="3"/>
  <c r="GA65" i="3"/>
  <c r="GA66" i="3"/>
  <c r="GA67" i="3"/>
  <c r="GA68" i="3"/>
  <c r="GA69" i="3"/>
  <c r="GA70" i="3"/>
  <c r="GA71" i="3"/>
  <c r="GA72" i="3"/>
  <c r="GA73" i="3"/>
  <c r="GA74" i="3"/>
  <c r="GA75" i="3"/>
  <c r="GA76" i="3"/>
  <c r="GA77" i="3"/>
  <c r="GA78" i="3"/>
  <c r="GA79" i="3"/>
  <c r="GA80" i="3"/>
  <c r="GA81" i="3"/>
  <c r="GA82" i="3"/>
  <c r="GA83" i="3"/>
  <c r="GA84" i="3"/>
  <c r="GA85" i="3"/>
  <c r="GA86" i="3"/>
  <c r="GA87" i="3"/>
  <c r="GA88" i="3"/>
  <c r="GA89" i="3"/>
  <c r="GA90" i="3"/>
  <c r="GA91" i="3"/>
  <c r="GA92" i="3"/>
  <c r="GA93" i="3"/>
  <c r="GA94" i="3"/>
  <c r="GA95" i="3"/>
  <c r="GA96" i="3"/>
  <c r="GA97" i="3"/>
  <c r="GA98" i="3"/>
  <c r="GA99" i="3"/>
  <c r="GA100" i="3"/>
  <c r="GA101" i="3"/>
  <c r="GA102" i="3"/>
  <c r="GA103" i="3"/>
  <c r="GA104" i="3"/>
  <c r="GA105" i="3"/>
  <c r="GA106" i="3"/>
  <c r="GA107" i="3"/>
  <c r="GA108" i="3"/>
  <c r="GA109" i="3"/>
  <c r="GA110" i="3"/>
  <c r="GA111" i="3"/>
  <c r="GA112" i="3"/>
  <c r="GA113" i="3"/>
  <c r="GA114" i="3"/>
  <c r="GA115" i="3"/>
  <c r="GA116" i="3"/>
  <c r="GA117" i="3"/>
  <c r="GA118" i="3"/>
  <c r="GA119" i="3"/>
  <c r="GA120" i="3"/>
  <c r="GA121" i="3"/>
  <c r="GA122" i="3"/>
  <c r="GA123" i="3"/>
  <c r="GA124" i="3"/>
  <c r="GA125" i="3"/>
  <c r="GA126" i="3"/>
  <c r="GA127" i="3"/>
  <c r="GA128" i="3"/>
  <c r="GA129" i="3"/>
  <c r="GA130" i="3"/>
  <c r="GA131" i="3"/>
  <c r="GA132" i="3"/>
  <c r="GA133" i="3"/>
  <c r="GA134" i="3"/>
  <c r="GA135" i="3"/>
  <c r="GA136" i="3"/>
  <c r="GA137" i="3"/>
  <c r="GA138" i="3"/>
  <c r="GA139" i="3"/>
  <c r="GA140" i="3"/>
  <c r="GA141" i="3"/>
  <c r="GA142" i="3"/>
  <c r="GA143" i="3"/>
  <c r="GA144" i="3"/>
  <c r="GA145" i="3"/>
  <c r="GA146" i="3"/>
  <c r="GA147" i="3"/>
  <c r="GA148" i="3"/>
  <c r="GA149" i="3"/>
  <c r="GA150" i="3"/>
  <c r="GA151" i="3"/>
  <c r="GA152" i="3"/>
  <c r="GA153" i="3"/>
  <c r="GA154" i="3"/>
  <c r="GA155" i="3"/>
  <c r="GA156" i="3"/>
  <c r="GA157" i="3"/>
  <c r="GA158" i="3"/>
  <c r="GA159" i="3"/>
  <c r="GA160" i="3"/>
  <c r="GA161" i="3"/>
  <c r="GA162" i="3"/>
  <c r="GA163" i="3"/>
  <c r="GA164" i="3"/>
  <c r="GA165" i="3"/>
  <c r="GA166" i="3"/>
  <c r="GA167" i="3"/>
  <c r="GA168" i="3"/>
  <c r="GA169" i="3"/>
  <c r="GA170" i="3"/>
  <c r="GA171" i="3"/>
  <c r="GA172" i="3"/>
  <c r="GA173" i="3"/>
  <c r="GA174" i="3"/>
  <c r="GA175" i="3"/>
  <c r="GA176" i="3"/>
  <c r="GA177" i="3"/>
  <c r="GA178" i="3"/>
  <c r="GA179" i="3"/>
  <c r="GA180" i="3"/>
  <c r="GA181" i="3"/>
  <c r="GA182" i="3"/>
  <c r="GA183" i="3"/>
  <c r="GA184" i="3"/>
  <c r="GA185" i="3"/>
  <c r="GA186" i="3"/>
  <c r="GA187" i="3"/>
  <c r="GA188" i="3"/>
  <c r="GA189" i="3"/>
  <c r="GA190" i="3"/>
  <c r="GA191" i="3"/>
  <c r="GA192" i="3"/>
  <c r="GA193" i="3"/>
  <c r="GA194" i="3"/>
  <c r="GA195" i="3"/>
  <c r="GA196" i="3"/>
  <c r="GA197" i="3"/>
  <c r="GA198" i="3"/>
  <c r="GA199" i="3"/>
  <c r="GA200" i="3"/>
  <c r="GA201" i="3"/>
  <c r="GA202" i="3"/>
  <c r="GA203" i="3"/>
  <c r="GA204" i="3"/>
  <c r="GA205" i="3"/>
  <c r="GA206" i="3"/>
  <c r="GA207" i="3"/>
  <c r="GA208" i="3"/>
  <c r="GA209" i="3"/>
  <c r="GA210" i="3"/>
  <c r="GA211" i="3"/>
  <c r="GA212" i="3"/>
  <c r="GA213" i="3"/>
  <c r="GA214" i="3"/>
  <c r="GA215" i="3"/>
  <c r="GA216" i="3"/>
  <c r="GA217" i="3"/>
  <c r="GA218" i="3"/>
  <c r="GA219" i="3"/>
  <c r="GA220" i="3"/>
  <c r="GA221" i="3"/>
  <c r="GA222" i="3"/>
  <c r="GA223" i="3"/>
  <c r="GA224" i="3"/>
  <c r="GA225" i="3"/>
  <c r="GA226" i="3"/>
  <c r="GA227" i="3"/>
  <c r="GA228" i="3"/>
  <c r="GA229" i="3"/>
  <c r="GA230" i="3"/>
  <c r="GA231" i="3"/>
  <c r="GA232" i="3"/>
  <c r="GA233" i="3"/>
  <c r="GA234" i="3"/>
  <c r="GA235" i="3"/>
  <c r="GA236" i="3"/>
  <c r="GA237" i="3"/>
  <c r="GA238" i="3"/>
  <c r="GA239" i="3"/>
  <c r="GA240" i="3"/>
  <c r="GA241" i="3"/>
  <c r="GA242" i="3"/>
  <c r="GA243" i="3"/>
  <c r="GA244" i="3"/>
  <c r="GA245" i="3"/>
  <c r="GA246" i="3"/>
  <c r="GA247" i="3"/>
  <c r="GA248" i="3"/>
  <c r="GA249" i="3"/>
  <c r="GA250" i="3"/>
  <c r="GA251" i="3"/>
  <c r="GA252" i="3"/>
  <c r="GA253" i="3"/>
  <c r="GA254" i="3"/>
  <c r="GA255" i="3"/>
  <c r="GA256" i="3"/>
  <c r="GA257" i="3"/>
  <c r="GA258" i="3"/>
  <c r="GA259" i="3"/>
  <c r="GA260" i="3"/>
  <c r="GA261" i="3"/>
  <c r="GA262" i="3"/>
  <c r="GA263" i="3"/>
  <c r="GA264" i="3"/>
  <c r="GA265" i="3"/>
  <c r="GA266" i="3"/>
  <c r="GA267" i="3"/>
  <c r="GA268" i="3"/>
  <c r="GA269" i="3"/>
  <c r="GA270" i="3"/>
  <c r="GA271" i="3"/>
  <c r="GA272" i="3"/>
  <c r="GA273" i="3"/>
  <c r="GA274" i="3"/>
  <c r="GA275" i="3"/>
  <c r="GA276" i="3"/>
  <c r="GA277" i="3"/>
  <c r="GA278" i="3"/>
  <c r="GA279" i="3"/>
  <c r="GA280" i="3"/>
  <c r="GA281" i="3"/>
  <c r="GA282" i="3"/>
  <c r="GA283" i="3"/>
  <c r="GA284" i="3"/>
  <c r="GA285" i="3"/>
  <c r="GA286" i="3"/>
  <c r="GA287" i="3"/>
  <c r="GA288" i="3"/>
  <c r="GA289" i="3"/>
  <c r="GA290" i="3"/>
  <c r="GA291" i="3"/>
  <c r="GA292" i="3"/>
  <c r="GA293" i="3"/>
  <c r="GA294" i="3"/>
  <c r="GA295" i="3"/>
  <c r="GA296" i="3"/>
  <c r="GA297" i="3"/>
  <c r="GA298" i="3"/>
  <c r="GA299" i="3"/>
  <c r="GA300" i="3"/>
  <c r="GA301" i="3"/>
  <c r="GA302" i="3"/>
  <c r="GA303" i="3"/>
  <c r="GA304" i="3"/>
  <c r="GA305" i="3"/>
  <c r="GA306" i="3"/>
  <c r="GA307" i="3"/>
  <c r="GA308" i="3"/>
  <c r="GA309" i="3"/>
  <c r="GA310" i="3"/>
  <c r="GA311" i="3"/>
  <c r="GA312" i="3"/>
  <c r="GA313" i="3"/>
  <c r="GA314" i="3"/>
  <c r="GA315" i="3"/>
  <c r="GA316" i="3"/>
  <c r="GA317" i="3"/>
  <c r="GA318" i="3"/>
  <c r="GA319" i="3"/>
  <c r="GA320" i="3"/>
  <c r="GA321" i="3"/>
  <c r="GA322" i="3"/>
  <c r="GA323" i="3"/>
  <c r="GA324" i="3"/>
  <c r="GA325" i="3"/>
  <c r="GA326" i="3"/>
  <c r="GA327" i="3"/>
  <c r="GA328" i="3"/>
  <c r="GA329" i="3"/>
  <c r="GA330" i="3"/>
  <c r="GA331" i="3"/>
  <c r="GA332" i="3"/>
  <c r="GA333" i="3"/>
  <c r="GA334" i="3"/>
  <c r="GA335" i="3"/>
  <c r="GA336" i="3"/>
  <c r="GA337" i="3"/>
  <c r="GA338" i="3"/>
  <c r="GA339" i="3"/>
  <c r="GA340" i="3"/>
  <c r="GA341" i="3"/>
  <c r="GA342" i="3"/>
  <c r="GA343" i="3"/>
  <c r="GA344" i="3"/>
  <c r="GA345" i="3"/>
  <c r="GA346" i="3"/>
  <c r="GA347" i="3"/>
  <c r="GA348" i="3"/>
  <c r="GA349" i="3"/>
  <c r="GA350" i="3"/>
  <c r="GA351" i="3"/>
  <c r="GA352" i="3"/>
  <c r="GA353" i="3"/>
  <c r="GA354" i="3"/>
  <c r="GA355" i="3"/>
  <c r="GA356" i="3"/>
  <c r="GA357" i="3"/>
  <c r="GA358" i="3"/>
  <c r="GA359" i="3"/>
  <c r="GA360" i="3"/>
  <c r="GA361" i="3"/>
  <c r="GA362" i="3"/>
  <c r="GA363" i="3"/>
  <c r="GA364" i="3"/>
  <c r="GA365" i="3"/>
  <c r="GA366" i="3"/>
  <c r="GA367" i="3"/>
  <c r="GA368" i="3"/>
  <c r="GA369" i="3"/>
  <c r="GA370" i="3"/>
  <c r="GA371" i="3"/>
  <c r="GA372" i="3"/>
  <c r="GA373" i="3"/>
  <c r="GA374" i="3"/>
  <c r="GA375" i="3"/>
  <c r="GA376" i="3"/>
  <c r="GA377" i="3"/>
  <c r="GA378" i="3"/>
  <c r="GA379" i="3"/>
  <c r="GA380" i="3"/>
  <c r="GA381" i="3"/>
  <c r="GA382" i="3"/>
  <c r="GA383" i="3"/>
  <c r="GA384" i="3"/>
  <c r="GA385" i="3"/>
  <c r="GA386" i="3"/>
  <c r="GA387" i="3"/>
  <c r="GA388" i="3"/>
  <c r="GA389" i="3"/>
  <c r="GA390" i="3"/>
  <c r="GA391" i="3"/>
  <c r="GA392" i="3"/>
  <c r="GA393" i="3"/>
  <c r="GA394" i="3"/>
  <c r="GA395" i="3"/>
  <c r="GA396" i="3"/>
  <c r="GA397" i="3"/>
  <c r="GA398" i="3"/>
  <c r="GA399" i="3"/>
  <c r="GA400" i="3"/>
  <c r="GA401" i="3"/>
  <c r="GA402" i="3"/>
  <c r="GA403" i="3"/>
  <c r="GA404" i="3"/>
  <c r="GA405" i="3"/>
  <c r="GA406" i="3"/>
  <c r="GA407" i="3"/>
  <c r="GA408" i="3"/>
  <c r="GA409" i="3"/>
  <c r="GA410" i="3"/>
  <c r="GA411" i="3"/>
  <c r="GA412" i="3"/>
  <c r="GA413" i="3"/>
  <c r="GA414" i="3"/>
  <c r="GA415" i="3"/>
  <c r="GA416" i="3"/>
  <c r="GA417" i="3"/>
  <c r="GA418" i="3"/>
  <c r="GA419" i="3"/>
  <c r="GA420" i="3"/>
  <c r="GA421" i="3"/>
  <c r="GA422" i="3"/>
  <c r="GA423" i="3"/>
  <c r="GA424" i="3"/>
  <c r="GA425" i="3"/>
  <c r="GA426" i="3"/>
  <c r="GA427" i="3"/>
  <c r="GA428" i="3"/>
  <c r="GA429" i="3"/>
  <c r="GA430" i="3"/>
  <c r="GA431" i="3"/>
  <c r="GA432" i="3"/>
  <c r="GA433" i="3"/>
  <c r="GA434" i="3"/>
  <c r="GA435" i="3"/>
  <c r="GA436" i="3"/>
  <c r="GA437" i="3"/>
  <c r="GA438" i="3"/>
  <c r="GA439" i="3"/>
  <c r="GA440" i="3"/>
  <c r="GA441" i="3"/>
  <c r="GA442" i="3"/>
  <c r="GA443" i="3"/>
  <c r="GA444" i="3"/>
  <c r="GA445" i="3"/>
  <c r="GA446" i="3"/>
  <c r="GA447" i="3"/>
  <c r="GA448" i="3"/>
  <c r="GA449" i="3"/>
  <c r="GA450" i="3"/>
  <c r="GA451" i="3"/>
  <c r="GA452" i="3"/>
  <c r="GA453" i="3"/>
  <c r="GA454" i="3"/>
  <c r="GA455" i="3"/>
  <c r="GA456" i="3"/>
  <c r="GA457" i="3"/>
  <c r="GA458" i="3"/>
  <c r="GA459" i="3"/>
  <c r="GA460" i="3"/>
  <c r="GA461" i="3"/>
  <c r="GA462" i="3"/>
  <c r="GA463" i="3"/>
  <c r="GA464" i="3"/>
  <c r="GA465" i="3"/>
  <c r="GA466" i="3"/>
  <c r="GA467" i="3"/>
  <c r="GA468" i="3"/>
  <c r="GA469" i="3"/>
  <c r="GA470" i="3"/>
  <c r="GA471" i="3"/>
  <c r="GA472" i="3"/>
  <c r="GA473" i="3"/>
  <c r="GA474" i="3"/>
  <c r="GA475" i="3"/>
  <c r="GA476" i="3"/>
  <c r="GA477" i="3"/>
  <c r="GA478" i="3"/>
  <c r="GA479" i="3"/>
  <c r="GA480" i="3"/>
  <c r="GA481" i="3"/>
  <c r="GA482" i="3"/>
  <c r="GA483" i="3"/>
  <c r="GA484" i="3"/>
  <c r="GA485" i="3"/>
  <c r="GA486" i="3"/>
  <c r="GA487" i="3"/>
  <c r="GA488" i="3"/>
  <c r="GA489" i="3"/>
  <c r="GA490" i="3"/>
  <c r="GA491" i="3"/>
  <c r="GA492" i="3"/>
  <c r="GA493" i="3"/>
  <c r="GA494" i="3"/>
  <c r="GA495" i="3"/>
  <c r="GA496" i="3"/>
  <c r="GA497" i="3"/>
  <c r="GA498" i="3"/>
  <c r="GA499" i="3"/>
  <c r="GA500" i="3"/>
  <c r="GA501" i="3"/>
  <c r="GA502" i="3"/>
  <c r="GA503" i="3"/>
  <c r="GA504" i="3"/>
  <c r="GA505" i="3"/>
  <c r="GA506" i="3"/>
  <c r="GA507" i="3"/>
  <c r="GA508" i="3"/>
  <c r="GA509" i="3"/>
  <c r="GA510" i="3"/>
  <c r="GA511" i="3"/>
  <c r="GA512" i="3"/>
  <c r="GA513" i="3"/>
  <c r="GA514" i="3"/>
  <c r="GA515" i="3"/>
  <c r="GA516" i="3"/>
  <c r="GA517" i="3"/>
  <c r="GA518" i="3"/>
  <c r="GA519" i="3"/>
  <c r="GA520" i="3"/>
  <c r="GA521" i="3"/>
  <c r="GA522" i="3"/>
  <c r="GA523" i="3"/>
  <c r="GA524" i="3"/>
  <c r="GA525" i="3"/>
  <c r="GA526" i="3"/>
  <c r="GA527" i="3"/>
  <c r="GA528" i="3"/>
  <c r="GA529" i="3"/>
  <c r="GA530" i="3"/>
  <c r="GA531" i="3"/>
  <c r="GA532" i="3"/>
  <c r="GA533" i="3"/>
  <c r="GA534" i="3"/>
  <c r="GA535" i="3"/>
  <c r="GA536" i="3"/>
  <c r="GA537" i="3"/>
  <c r="GA538" i="3"/>
  <c r="GA539" i="3"/>
  <c r="GA540" i="3"/>
  <c r="GA541" i="3"/>
  <c r="GA542" i="3"/>
  <c r="GA543" i="3"/>
  <c r="GA544" i="3"/>
  <c r="GA545" i="3"/>
  <c r="GA546" i="3"/>
  <c r="GA547" i="3"/>
  <c r="GA548" i="3"/>
  <c r="GA549" i="3"/>
  <c r="GA550" i="3"/>
  <c r="GA551" i="3"/>
  <c r="GA552" i="3"/>
  <c r="GA553" i="3"/>
  <c r="GA554" i="3"/>
  <c r="GA555" i="3"/>
  <c r="GA556" i="3"/>
  <c r="GA557" i="3"/>
  <c r="GA558" i="3"/>
  <c r="GA559" i="3"/>
  <c r="GA560" i="3"/>
  <c r="GA561" i="3"/>
  <c r="GA562" i="3"/>
  <c r="GA563" i="3"/>
  <c r="GA564" i="3"/>
  <c r="GA565" i="3"/>
  <c r="GA566" i="3"/>
  <c r="GA567" i="3"/>
  <c r="GA568" i="3"/>
  <c r="GA569" i="3"/>
  <c r="GA570" i="3"/>
  <c r="GA571" i="3"/>
  <c r="GA572" i="3"/>
  <c r="GA573" i="3"/>
  <c r="GA574" i="3"/>
  <c r="GA575" i="3"/>
  <c r="GA576" i="3"/>
  <c r="GA577" i="3"/>
  <c r="GA578" i="3"/>
  <c r="GA579" i="3"/>
  <c r="GA580" i="3"/>
  <c r="GA581" i="3"/>
  <c r="GA582" i="3"/>
  <c r="GA583" i="3"/>
  <c r="GA584" i="3"/>
  <c r="GA585" i="3"/>
  <c r="GA586" i="3"/>
  <c r="GA587" i="3"/>
  <c r="GA588" i="3"/>
  <c r="GA589" i="3"/>
  <c r="GA590" i="3"/>
  <c r="GA591" i="3"/>
  <c r="GA592" i="3"/>
  <c r="GA593" i="3"/>
  <c r="GA594" i="3"/>
  <c r="GA595" i="3"/>
  <c r="GA596" i="3"/>
  <c r="GA597" i="3"/>
  <c r="GA598" i="3"/>
  <c r="GA599" i="3"/>
  <c r="GA600" i="3"/>
  <c r="FZ3" i="3"/>
  <c r="FZ4" i="3"/>
  <c r="FZ5" i="3"/>
  <c r="FZ6" i="3"/>
  <c r="FZ7" i="3"/>
  <c r="FZ8" i="3"/>
  <c r="FZ9" i="3"/>
  <c r="FZ10" i="3"/>
  <c r="FZ11" i="3"/>
  <c r="FZ12" i="3"/>
  <c r="FZ13" i="3"/>
  <c r="FZ14" i="3"/>
  <c r="FZ15" i="3"/>
  <c r="FZ16" i="3"/>
  <c r="FZ17" i="3"/>
  <c r="FZ18" i="3"/>
  <c r="FZ19" i="3"/>
  <c r="FZ20" i="3"/>
  <c r="FZ21" i="3"/>
  <c r="FZ22" i="3"/>
  <c r="FZ23" i="3"/>
  <c r="FZ24" i="3"/>
  <c r="FZ25" i="3"/>
  <c r="FZ26" i="3"/>
  <c r="FZ27" i="3"/>
  <c r="FZ28" i="3"/>
  <c r="FZ29" i="3"/>
  <c r="FZ30" i="3"/>
  <c r="FZ31" i="3"/>
  <c r="FZ32" i="3"/>
  <c r="FZ33" i="3"/>
  <c r="FZ34" i="3"/>
  <c r="FZ35" i="3"/>
  <c r="FZ36" i="3"/>
  <c r="FZ37" i="3"/>
  <c r="FZ38" i="3"/>
  <c r="FZ39" i="3"/>
  <c r="FZ40" i="3"/>
  <c r="FZ41" i="3"/>
  <c r="FZ42" i="3"/>
  <c r="FZ43" i="3"/>
  <c r="FZ44" i="3"/>
  <c r="FZ45" i="3"/>
  <c r="FZ46" i="3"/>
  <c r="FZ47" i="3"/>
  <c r="FZ48" i="3"/>
  <c r="FZ49" i="3"/>
  <c r="FZ50" i="3"/>
  <c r="FZ51" i="3"/>
  <c r="FZ52" i="3"/>
  <c r="FZ53" i="3"/>
  <c r="FZ54" i="3"/>
  <c r="FZ55" i="3"/>
  <c r="FZ56" i="3"/>
  <c r="FZ57" i="3"/>
  <c r="FZ58" i="3"/>
  <c r="FZ59" i="3"/>
  <c r="FZ60" i="3"/>
  <c r="FZ61" i="3"/>
  <c r="FZ62" i="3"/>
  <c r="FZ63" i="3"/>
  <c r="FZ64" i="3"/>
  <c r="FZ65" i="3"/>
  <c r="FZ66" i="3"/>
  <c r="FZ67" i="3"/>
  <c r="FZ68" i="3"/>
  <c r="FZ69" i="3"/>
  <c r="FZ70" i="3"/>
  <c r="FZ71" i="3"/>
  <c r="FZ72" i="3"/>
  <c r="FZ73" i="3"/>
  <c r="FZ74" i="3"/>
  <c r="FZ75" i="3"/>
  <c r="FZ76" i="3"/>
  <c r="FZ77" i="3"/>
  <c r="FZ78" i="3"/>
  <c r="FZ79" i="3"/>
  <c r="FZ80" i="3"/>
  <c r="FZ81" i="3"/>
  <c r="FZ82" i="3"/>
  <c r="FZ83" i="3"/>
  <c r="FZ84" i="3"/>
  <c r="FZ85" i="3"/>
  <c r="FZ86" i="3"/>
  <c r="FZ87" i="3"/>
  <c r="FZ88" i="3"/>
  <c r="FZ89" i="3"/>
  <c r="FZ90" i="3"/>
  <c r="FZ91" i="3"/>
  <c r="FZ92" i="3"/>
  <c r="FZ93" i="3"/>
  <c r="FZ94" i="3"/>
  <c r="FZ95" i="3"/>
  <c r="FZ96" i="3"/>
  <c r="FZ97" i="3"/>
  <c r="FZ98" i="3"/>
  <c r="FZ99" i="3"/>
  <c r="FZ100" i="3"/>
  <c r="FZ101" i="3"/>
  <c r="FZ102" i="3"/>
  <c r="FZ103" i="3"/>
  <c r="FZ104" i="3"/>
  <c r="FZ105" i="3"/>
  <c r="FZ106" i="3"/>
  <c r="FZ107" i="3"/>
  <c r="FZ108" i="3"/>
  <c r="FZ109" i="3"/>
  <c r="FZ110" i="3"/>
  <c r="FZ111" i="3"/>
  <c r="FZ112" i="3"/>
  <c r="FZ113" i="3"/>
  <c r="FZ114" i="3"/>
  <c r="FZ115" i="3"/>
  <c r="FZ116" i="3"/>
  <c r="FZ117" i="3"/>
  <c r="FZ118" i="3"/>
  <c r="FZ119" i="3"/>
  <c r="FZ120" i="3"/>
  <c r="FZ121" i="3"/>
  <c r="FZ122" i="3"/>
  <c r="FZ123" i="3"/>
  <c r="FZ124" i="3"/>
  <c r="FZ125" i="3"/>
  <c r="FZ126" i="3"/>
  <c r="FZ127" i="3"/>
  <c r="FZ128" i="3"/>
  <c r="FZ129" i="3"/>
  <c r="FZ130" i="3"/>
  <c r="FZ131" i="3"/>
  <c r="FZ132" i="3"/>
  <c r="FZ133" i="3"/>
  <c r="FZ134" i="3"/>
  <c r="FZ135" i="3"/>
  <c r="FZ136" i="3"/>
  <c r="FZ137" i="3"/>
  <c r="FZ138" i="3"/>
  <c r="FZ139" i="3"/>
  <c r="FZ140" i="3"/>
  <c r="FZ141" i="3"/>
  <c r="FZ142" i="3"/>
  <c r="FZ143" i="3"/>
  <c r="FZ144" i="3"/>
  <c r="FZ145" i="3"/>
  <c r="FZ146" i="3"/>
  <c r="FZ147" i="3"/>
  <c r="FZ148" i="3"/>
  <c r="FZ149" i="3"/>
  <c r="FZ150" i="3"/>
  <c r="FZ151" i="3"/>
  <c r="FZ152" i="3"/>
  <c r="FZ153" i="3"/>
  <c r="FZ154" i="3"/>
  <c r="FZ155" i="3"/>
  <c r="FZ156" i="3"/>
  <c r="FZ157" i="3"/>
  <c r="FZ158" i="3"/>
  <c r="FZ159" i="3"/>
  <c r="FZ160" i="3"/>
  <c r="FZ161" i="3"/>
  <c r="FZ162" i="3"/>
  <c r="FZ163" i="3"/>
  <c r="FZ164" i="3"/>
  <c r="FZ165" i="3"/>
  <c r="FZ166" i="3"/>
  <c r="FZ167" i="3"/>
  <c r="FZ168" i="3"/>
  <c r="FZ169" i="3"/>
  <c r="FZ170" i="3"/>
  <c r="FZ171" i="3"/>
  <c r="FZ172" i="3"/>
  <c r="FZ173" i="3"/>
  <c r="FZ174" i="3"/>
  <c r="FZ175" i="3"/>
  <c r="FZ176" i="3"/>
  <c r="FZ177" i="3"/>
  <c r="FZ178" i="3"/>
  <c r="FZ179" i="3"/>
  <c r="FZ180" i="3"/>
  <c r="FZ181" i="3"/>
  <c r="FZ182" i="3"/>
  <c r="FZ183" i="3"/>
  <c r="FZ184" i="3"/>
  <c r="FZ185" i="3"/>
  <c r="FZ186" i="3"/>
  <c r="FZ187" i="3"/>
  <c r="FZ188" i="3"/>
  <c r="FZ189" i="3"/>
  <c r="FZ190" i="3"/>
  <c r="FZ191" i="3"/>
  <c r="FZ192" i="3"/>
  <c r="FZ193" i="3"/>
  <c r="FZ194" i="3"/>
  <c r="FZ195" i="3"/>
  <c r="FZ196" i="3"/>
  <c r="FZ197" i="3"/>
  <c r="FZ198" i="3"/>
  <c r="FZ199" i="3"/>
  <c r="FZ200" i="3"/>
  <c r="FZ201" i="3"/>
  <c r="FZ202" i="3"/>
  <c r="FZ203" i="3"/>
  <c r="FZ204" i="3"/>
  <c r="FZ205" i="3"/>
  <c r="FZ206" i="3"/>
  <c r="FZ207" i="3"/>
  <c r="FZ208" i="3"/>
  <c r="FZ209" i="3"/>
  <c r="FZ210" i="3"/>
  <c r="FZ211" i="3"/>
  <c r="FZ212" i="3"/>
  <c r="FZ213" i="3"/>
  <c r="FZ214" i="3"/>
  <c r="FZ215" i="3"/>
  <c r="FZ216" i="3"/>
  <c r="FZ217" i="3"/>
  <c r="FZ218" i="3"/>
  <c r="FZ219" i="3"/>
  <c r="FZ220" i="3"/>
  <c r="FZ221" i="3"/>
  <c r="FZ222" i="3"/>
  <c r="FZ223" i="3"/>
  <c r="FZ224" i="3"/>
  <c r="FZ225" i="3"/>
  <c r="FZ226" i="3"/>
  <c r="FZ227" i="3"/>
  <c r="FZ228" i="3"/>
  <c r="FZ229" i="3"/>
  <c r="FZ230" i="3"/>
  <c r="FZ231" i="3"/>
  <c r="FZ232" i="3"/>
  <c r="FZ233" i="3"/>
  <c r="FZ234" i="3"/>
  <c r="FZ235" i="3"/>
  <c r="FZ236" i="3"/>
  <c r="FZ237" i="3"/>
  <c r="FZ238" i="3"/>
  <c r="FZ239" i="3"/>
  <c r="FZ240" i="3"/>
  <c r="FZ241" i="3"/>
  <c r="FZ242" i="3"/>
  <c r="FZ243" i="3"/>
  <c r="FZ244" i="3"/>
  <c r="FZ245" i="3"/>
  <c r="FZ246" i="3"/>
  <c r="FZ247" i="3"/>
  <c r="FZ248" i="3"/>
  <c r="FZ249" i="3"/>
  <c r="FZ250" i="3"/>
  <c r="FZ251" i="3"/>
  <c r="FZ252" i="3"/>
  <c r="FZ253" i="3"/>
  <c r="FZ254" i="3"/>
  <c r="FZ255" i="3"/>
  <c r="FZ256" i="3"/>
  <c r="FZ257" i="3"/>
  <c r="FZ258" i="3"/>
  <c r="FZ259" i="3"/>
  <c r="FZ260" i="3"/>
  <c r="FZ261" i="3"/>
  <c r="FZ262" i="3"/>
  <c r="FZ263" i="3"/>
  <c r="FZ264" i="3"/>
  <c r="FZ265" i="3"/>
  <c r="FZ266" i="3"/>
  <c r="FZ267" i="3"/>
  <c r="FZ268" i="3"/>
  <c r="FZ269" i="3"/>
  <c r="FZ270" i="3"/>
  <c r="FZ271" i="3"/>
  <c r="FZ272" i="3"/>
  <c r="FZ273" i="3"/>
  <c r="FZ274" i="3"/>
  <c r="FZ275" i="3"/>
  <c r="FZ276" i="3"/>
  <c r="FZ277" i="3"/>
  <c r="FZ278" i="3"/>
  <c r="FZ279" i="3"/>
  <c r="FZ280" i="3"/>
  <c r="FZ281" i="3"/>
  <c r="FZ282" i="3"/>
  <c r="FZ283" i="3"/>
  <c r="FZ284" i="3"/>
  <c r="FZ285" i="3"/>
  <c r="FZ286" i="3"/>
  <c r="FZ287" i="3"/>
  <c r="FZ288" i="3"/>
  <c r="FZ289" i="3"/>
  <c r="FZ290" i="3"/>
  <c r="FZ291" i="3"/>
  <c r="FZ292" i="3"/>
  <c r="FZ293" i="3"/>
  <c r="FZ294" i="3"/>
  <c r="FZ295" i="3"/>
  <c r="FZ296" i="3"/>
  <c r="FZ297" i="3"/>
  <c r="FZ298" i="3"/>
  <c r="FZ299" i="3"/>
  <c r="FZ300" i="3"/>
  <c r="FZ301" i="3"/>
  <c r="FZ302" i="3"/>
  <c r="FZ303" i="3"/>
  <c r="FZ304" i="3"/>
  <c r="FZ305" i="3"/>
  <c r="FZ306" i="3"/>
  <c r="FZ307" i="3"/>
  <c r="FZ308" i="3"/>
  <c r="FZ309" i="3"/>
  <c r="FZ310" i="3"/>
  <c r="FZ311" i="3"/>
  <c r="FZ312" i="3"/>
  <c r="FZ313" i="3"/>
  <c r="FZ314" i="3"/>
  <c r="FZ315" i="3"/>
  <c r="FZ316" i="3"/>
  <c r="FZ317" i="3"/>
  <c r="FZ318" i="3"/>
  <c r="FZ319" i="3"/>
  <c r="FZ320" i="3"/>
  <c r="FZ321" i="3"/>
  <c r="FZ322" i="3"/>
  <c r="FZ323" i="3"/>
  <c r="FZ324" i="3"/>
  <c r="FZ325" i="3"/>
  <c r="FZ326" i="3"/>
  <c r="FZ327" i="3"/>
  <c r="FZ328" i="3"/>
  <c r="FZ329" i="3"/>
  <c r="FZ330" i="3"/>
  <c r="FZ331" i="3"/>
  <c r="FZ332" i="3"/>
  <c r="FZ333" i="3"/>
  <c r="FZ334" i="3"/>
  <c r="FZ335" i="3"/>
  <c r="FZ336" i="3"/>
  <c r="FZ337" i="3"/>
  <c r="FZ338" i="3"/>
  <c r="FZ339" i="3"/>
  <c r="FZ340" i="3"/>
  <c r="FZ341" i="3"/>
  <c r="FZ342" i="3"/>
  <c r="FZ343" i="3"/>
  <c r="FZ344" i="3"/>
  <c r="FZ345" i="3"/>
  <c r="FZ346" i="3"/>
  <c r="FZ347" i="3"/>
  <c r="FZ348" i="3"/>
  <c r="FZ349" i="3"/>
  <c r="FZ350" i="3"/>
  <c r="FZ351" i="3"/>
  <c r="FZ352" i="3"/>
  <c r="FZ353" i="3"/>
  <c r="FZ354" i="3"/>
  <c r="FZ355" i="3"/>
  <c r="FZ356" i="3"/>
  <c r="FZ357" i="3"/>
  <c r="FZ358" i="3"/>
  <c r="FZ359" i="3"/>
  <c r="FZ360" i="3"/>
  <c r="FZ361" i="3"/>
  <c r="FZ362" i="3"/>
  <c r="FZ363" i="3"/>
  <c r="FZ364" i="3"/>
  <c r="FZ365" i="3"/>
  <c r="FZ366" i="3"/>
  <c r="FZ367" i="3"/>
  <c r="FZ368" i="3"/>
  <c r="FZ369" i="3"/>
  <c r="FZ370" i="3"/>
  <c r="FZ371" i="3"/>
  <c r="FZ372" i="3"/>
  <c r="FZ373" i="3"/>
  <c r="FZ374" i="3"/>
  <c r="FZ375" i="3"/>
  <c r="FZ376" i="3"/>
  <c r="FZ377" i="3"/>
  <c r="FZ378" i="3"/>
  <c r="FZ379" i="3"/>
  <c r="FZ380" i="3"/>
  <c r="FZ381" i="3"/>
  <c r="FZ382" i="3"/>
  <c r="FZ383" i="3"/>
  <c r="FZ384" i="3"/>
  <c r="FZ385" i="3"/>
  <c r="FZ386" i="3"/>
  <c r="FZ387" i="3"/>
  <c r="FZ388" i="3"/>
  <c r="FZ389" i="3"/>
  <c r="FZ390" i="3"/>
  <c r="FZ391" i="3"/>
  <c r="FZ392" i="3"/>
  <c r="FZ393" i="3"/>
  <c r="FZ394" i="3"/>
  <c r="FZ395" i="3"/>
  <c r="FZ396" i="3"/>
  <c r="FZ397" i="3"/>
  <c r="FZ398" i="3"/>
  <c r="FZ399" i="3"/>
  <c r="FZ400" i="3"/>
  <c r="FZ401" i="3"/>
  <c r="FZ402" i="3"/>
  <c r="FZ403" i="3"/>
  <c r="FZ404" i="3"/>
  <c r="FZ405" i="3"/>
  <c r="FZ406" i="3"/>
  <c r="FZ407" i="3"/>
  <c r="FZ408" i="3"/>
  <c r="FZ409" i="3"/>
  <c r="FZ410" i="3"/>
  <c r="FZ411" i="3"/>
  <c r="FZ412" i="3"/>
  <c r="FZ413" i="3"/>
  <c r="FZ414" i="3"/>
  <c r="FZ415" i="3"/>
  <c r="FZ416" i="3"/>
  <c r="FZ417" i="3"/>
  <c r="FZ418" i="3"/>
  <c r="FZ419" i="3"/>
  <c r="FZ420" i="3"/>
  <c r="FZ421" i="3"/>
  <c r="FZ422" i="3"/>
  <c r="FZ423" i="3"/>
  <c r="FZ424" i="3"/>
  <c r="FZ425" i="3"/>
  <c r="FZ426" i="3"/>
  <c r="FZ427" i="3"/>
  <c r="FZ428" i="3"/>
  <c r="FZ429" i="3"/>
  <c r="FZ430" i="3"/>
  <c r="FZ431" i="3"/>
  <c r="FZ432" i="3"/>
  <c r="FZ433" i="3"/>
  <c r="FZ434" i="3"/>
  <c r="FZ435" i="3"/>
  <c r="FZ436" i="3"/>
  <c r="FZ437" i="3"/>
  <c r="FZ438" i="3"/>
  <c r="FZ439" i="3"/>
  <c r="FZ440" i="3"/>
  <c r="FZ441" i="3"/>
  <c r="FZ442" i="3"/>
  <c r="FZ443" i="3"/>
  <c r="FZ444" i="3"/>
  <c r="FZ445" i="3"/>
  <c r="FZ446" i="3"/>
  <c r="FZ447" i="3"/>
  <c r="FZ448" i="3"/>
  <c r="FZ449" i="3"/>
  <c r="FZ450" i="3"/>
  <c r="FZ451" i="3"/>
  <c r="FZ452" i="3"/>
  <c r="FZ453" i="3"/>
  <c r="FZ454" i="3"/>
  <c r="FZ455" i="3"/>
  <c r="FZ456" i="3"/>
  <c r="FZ457" i="3"/>
  <c r="FZ458" i="3"/>
  <c r="FZ459" i="3"/>
  <c r="FZ460" i="3"/>
  <c r="FZ461" i="3"/>
  <c r="FZ462" i="3"/>
  <c r="FZ463" i="3"/>
  <c r="FZ464" i="3"/>
  <c r="FZ465" i="3"/>
  <c r="FZ466" i="3"/>
  <c r="FZ467" i="3"/>
  <c r="FZ468" i="3"/>
  <c r="FZ469" i="3"/>
  <c r="FZ470" i="3"/>
  <c r="FZ471" i="3"/>
  <c r="FZ472" i="3"/>
  <c r="FZ473" i="3"/>
  <c r="FZ474" i="3"/>
  <c r="FZ475" i="3"/>
  <c r="FZ476" i="3"/>
  <c r="FZ477" i="3"/>
  <c r="FZ478" i="3"/>
  <c r="FZ479" i="3"/>
  <c r="FZ480" i="3"/>
  <c r="FZ481" i="3"/>
  <c r="FZ482" i="3"/>
  <c r="FZ483" i="3"/>
  <c r="FZ484" i="3"/>
  <c r="FZ485" i="3"/>
  <c r="FZ486" i="3"/>
  <c r="FZ487" i="3"/>
  <c r="FZ488" i="3"/>
  <c r="FZ489" i="3"/>
  <c r="FZ490" i="3"/>
  <c r="FZ491" i="3"/>
  <c r="FZ492" i="3"/>
  <c r="FZ493" i="3"/>
  <c r="FZ494" i="3"/>
  <c r="FZ495" i="3"/>
  <c r="FZ496" i="3"/>
  <c r="FZ497" i="3"/>
  <c r="FZ498" i="3"/>
  <c r="FZ499" i="3"/>
  <c r="FZ500" i="3"/>
  <c r="FZ501" i="3"/>
  <c r="FZ502" i="3"/>
  <c r="FZ503" i="3"/>
  <c r="FZ504" i="3"/>
  <c r="FZ505" i="3"/>
  <c r="FZ506" i="3"/>
  <c r="FZ507" i="3"/>
  <c r="FZ508" i="3"/>
  <c r="FZ509" i="3"/>
  <c r="FZ510" i="3"/>
  <c r="FZ511" i="3"/>
  <c r="FZ512" i="3"/>
  <c r="FZ513" i="3"/>
  <c r="FZ514" i="3"/>
  <c r="FZ515" i="3"/>
  <c r="FZ516" i="3"/>
  <c r="FZ517" i="3"/>
  <c r="FZ518" i="3"/>
  <c r="FZ519" i="3"/>
  <c r="FZ520" i="3"/>
  <c r="FZ521" i="3"/>
  <c r="FZ522" i="3"/>
  <c r="FZ523" i="3"/>
  <c r="FZ524" i="3"/>
  <c r="FZ525" i="3"/>
  <c r="FZ526" i="3"/>
  <c r="FZ527" i="3"/>
  <c r="FZ528" i="3"/>
  <c r="FZ529" i="3"/>
  <c r="FZ530" i="3"/>
  <c r="FZ531" i="3"/>
  <c r="FZ532" i="3"/>
  <c r="FZ533" i="3"/>
  <c r="FZ534" i="3"/>
  <c r="FZ535" i="3"/>
  <c r="FZ536" i="3"/>
  <c r="FZ537" i="3"/>
  <c r="FZ538" i="3"/>
  <c r="FZ539" i="3"/>
  <c r="FZ540" i="3"/>
  <c r="FZ541" i="3"/>
  <c r="FZ542" i="3"/>
  <c r="FZ543" i="3"/>
  <c r="FZ544" i="3"/>
  <c r="FZ545" i="3"/>
  <c r="FZ546" i="3"/>
  <c r="FZ547" i="3"/>
  <c r="FZ548" i="3"/>
  <c r="FZ549" i="3"/>
  <c r="FZ550" i="3"/>
  <c r="FZ551" i="3"/>
  <c r="FZ552" i="3"/>
  <c r="FZ553" i="3"/>
  <c r="FZ554" i="3"/>
  <c r="FZ555" i="3"/>
  <c r="FZ556" i="3"/>
  <c r="FZ557" i="3"/>
  <c r="FZ558" i="3"/>
  <c r="FZ559" i="3"/>
  <c r="FZ560" i="3"/>
  <c r="FZ561" i="3"/>
  <c r="FZ562" i="3"/>
  <c r="FZ563" i="3"/>
  <c r="FZ564" i="3"/>
  <c r="FZ565" i="3"/>
  <c r="FZ566" i="3"/>
  <c r="FZ567" i="3"/>
  <c r="FZ568" i="3"/>
  <c r="FZ569" i="3"/>
  <c r="FZ570" i="3"/>
  <c r="FZ571" i="3"/>
  <c r="FZ572" i="3"/>
  <c r="FZ573" i="3"/>
  <c r="FZ574" i="3"/>
  <c r="FZ575" i="3"/>
  <c r="FZ576" i="3"/>
  <c r="FZ577" i="3"/>
  <c r="FZ578" i="3"/>
  <c r="FZ579" i="3"/>
  <c r="FZ580" i="3"/>
  <c r="FZ581" i="3"/>
  <c r="FZ582" i="3"/>
  <c r="FZ583" i="3"/>
  <c r="FZ584" i="3"/>
  <c r="FZ585" i="3"/>
  <c r="FZ586" i="3"/>
  <c r="FZ587" i="3"/>
  <c r="FZ588" i="3"/>
  <c r="FZ589" i="3"/>
  <c r="FZ590" i="3"/>
  <c r="FZ591" i="3"/>
  <c r="FZ592" i="3"/>
  <c r="FZ593" i="3"/>
  <c r="FZ594" i="3"/>
  <c r="FZ595" i="3"/>
  <c r="FZ596" i="3"/>
  <c r="FZ597" i="3"/>
  <c r="FZ598" i="3"/>
  <c r="FZ599" i="3"/>
  <c r="FZ600" i="3"/>
  <c r="FY3" i="3"/>
  <c r="FY4" i="3"/>
  <c r="FY5" i="3"/>
  <c r="FY6" i="3"/>
  <c r="FY7" i="3"/>
  <c r="FY8" i="3"/>
  <c r="FY9" i="3"/>
  <c r="FY10" i="3"/>
  <c r="FY11" i="3"/>
  <c r="FY12" i="3"/>
  <c r="FY13" i="3"/>
  <c r="FY14" i="3"/>
  <c r="FY15" i="3"/>
  <c r="FY16" i="3"/>
  <c r="FY17" i="3"/>
  <c r="FY18" i="3"/>
  <c r="FY19" i="3"/>
  <c r="FY20" i="3"/>
  <c r="FY21" i="3"/>
  <c r="FY22" i="3"/>
  <c r="FY23" i="3"/>
  <c r="FY24" i="3"/>
  <c r="FY25" i="3"/>
  <c r="FY26" i="3"/>
  <c r="FY27" i="3"/>
  <c r="FY28" i="3"/>
  <c r="FY29" i="3"/>
  <c r="FY30" i="3"/>
  <c r="FY31" i="3"/>
  <c r="FY32" i="3"/>
  <c r="FY33" i="3"/>
  <c r="FY34" i="3"/>
  <c r="FY35" i="3"/>
  <c r="FY36" i="3"/>
  <c r="FY37" i="3"/>
  <c r="FY38" i="3"/>
  <c r="FY39" i="3"/>
  <c r="FY40" i="3"/>
  <c r="FY41" i="3"/>
  <c r="FY42" i="3"/>
  <c r="FY43" i="3"/>
  <c r="FY44" i="3"/>
  <c r="FY45" i="3"/>
  <c r="FY46" i="3"/>
  <c r="FY47" i="3"/>
  <c r="FY48" i="3"/>
  <c r="FY49" i="3"/>
  <c r="FY50" i="3"/>
  <c r="FY51" i="3"/>
  <c r="FY52" i="3"/>
  <c r="FY53" i="3"/>
  <c r="FY54" i="3"/>
  <c r="FY55" i="3"/>
  <c r="FY56" i="3"/>
  <c r="FY57" i="3"/>
  <c r="FY58" i="3"/>
  <c r="FY59" i="3"/>
  <c r="FY60" i="3"/>
  <c r="FY61" i="3"/>
  <c r="FY62" i="3"/>
  <c r="FY63" i="3"/>
  <c r="FY64" i="3"/>
  <c r="FY65" i="3"/>
  <c r="FY66" i="3"/>
  <c r="FY67" i="3"/>
  <c r="FY68" i="3"/>
  <c r="FY69" i="3"/>
  <c r="FY70" i="3"/>
  <c r="FY71" i="3"/>
  <c r="FY72" i="3"/>
  <c r="FY73" i="3"/>
  <c r="FY74" i="3"/>
  <c r="FY75" i="3"/>
  <c r="FY76" i="3"/>
  <c r="FY77" i="3"/>
  <c r="FY78" i="3"/>
  <c r="FY79" i="3"/>
  <c r="FY80" i="3"/>
  <c r="FY81" i="3"/>
  <c r="FY82" i="3"/>
  <c r="FY83" i="3"/>
  <c r="FY84" i="3"/>
  <c r="FY85" i="3"/>
  <c r="FY86" i="3"/>
  <c r="FY87" i="3"/>
  <c r="FY88" i="3"/>
  <c r="FY89" i="3"/>
  <c r="FY90" i="3"/>
  <c r="FY91" i="3"/>
  <c r="FY92" i="3"/>
  <c r="FY93" i="3"/>
  <c r="FY94" i="3"/>
  <c r="FY95" i="3"/>
  <c r="FY96" i="3"/>
  <c r="FY97" i="3"/>
  <c r="FY98" i="3"/>
  <c r="FY99" i="3"/>
  <c r="FY100" i="3"/>
  <c r="FY101" i="3"/>
  <c r="FY102" i="3"/>
  <c r="FY103" i="3"/>
  <c r="FY104" i="3"/>
  <c r="FY105" i="3"/>
  <c r="FY106" i="3"/>
  <c r="FY107" i="3"/>
  <c r="FY108" i="3"/>
  <c r="FY109" i="3"/>
  <c r="FY110" i="3"/>
  <c r="FY111" i="3"/>
  <c r="FY112" i="3"/>
  <c r="FY113" i="3"/>
  <c r="FY114" i="3"/>
  <c r="FY115" i="3"/>
  <c r="FY116" i="3"/>
  <c r="FY117" i="3"/>
  <c r="FY118" i="3"/>
  <c r="FY119" i="3"/>
  <c r="FY120" i="3"/>
  <c r="FY121" i="3"/>
  <c r="FY122" i="3"/>
  <c r="FY123" i="3"/>
  <c r="FY124" i="3"/>
  <c r="FY125" i="3"/>
  <c r="FY126" i="3"/>
  <c r="FY127" i="3"/>
  <c r="FY128" i="3"/>
  <c r="FY129" i="3"/>
  <c r="FY130" i="3"/>
  <c r="FY131" i="3"/>
  <c r="FY132" i="3"/>
  <c r="FY133" i="3"/>
  <c r="FY134" i="3"/>
  <c r="FY135" i="3"/>
  <c r="FY136" i="3"/>
  <c r="FY137" i="3"/>
  <c r="FY138" i="3"/>
  <c r="FY139" i="3"/>
  <c r="FY140" i="3"/>
  <c r="FY141" i="3"/>
  <c r="FY142" i="3"/>
  <c r="FY143" i="3"/>
  <c r="FY144" i="3"/>
  <c r="FY145" i="3"/>
  <c r="FY146" i="3"/>
  <c r="FY147" i="3"/>
  <c r="FY148" i="3"/>
  <c r="FY149" i="3"/>
  <c r="FY150" i="3"/>
  <c r="FY151" i="3"/>
  <c r="FY152" i="3"/>
  <c r="FY153" i="3"/>
  <c r="FY154" i="3"/>
  <c r="FY155" i="3"/>
  <c r="FY156" i="3"/>
  <c r="FY157" i="3"/>
  <c r="FY158" i="3"/>
  <c r="FY159" i="3"/>
  <c r="FY160" i="3"/>
  <c r="FY161" i="3"/>
  <c r="FY162" i="3"/>
  <c r="FY163" i="3"/>
  <c r="FY164" i="3"/>
  <c r="FY165" i="3"/>
  <c r="FY166" i="3"/>
  <c r="FY167" i="3"/>
  <c r="FY168" i="3"/>
  <c r="FY169" i="3"/>
  <c r="FY170" i="3"/>
  <c r="FY171" i="3"/>
  <c r="FY172" i="3"/>
  <c r="FY173" i="3"/>
  <c r="FY174" i="3"/>
  <c r="FY175" i="3"/>
  <c r="FY176" i="3"/>
  <c r="FY177" i="3"/>
  <c r="FY178" i="3"/>
  <c r="FY179" i="3"/>
  <c r="FY180" i="3"/>
  <c r="FY181" i="3"/>
  <c r="FY182" i="3"/>
  <c r="FY183" i="3"/>
  <c r="FY184" i="3"/>
  <c r="FY185" i="3"/>
  <c r="FY186" i="3"/>
  <c r="FY187" i="3"/>
  <c r="FY188" i="3"/>
  <c r="FY189" i="3"/>
  <c r="FY190" i="3"/>
  <c r="FY191" i="3"/>
  <c r="FY192" i="3"/>
  <c r="FY193" i="3"/>
  <c r="FY194" i="3"/>
  <c r="FY195" i="3"/>
  <c r="FY196" i="3"/>
  <c r="FY197" i="3"/>
  <c r="FY198" i="3"/>
  <c r="FY199" i="3"/>
  <c r="FY200" i="3"/>
  <c r="FY201" i="3"/>
  <c r="FY202" i="3"/>
  <c r="FY203" i="3"/>
  <c r="FY204" i="3"/>
  <c r="FY205" i="3"/>
  <c r="FY206" i="3"/>
  <c r="FY207" i="3"/>
  <c r="FY208" i="3"/>
  <c r="FY209" i="3"/>
  <c r="FY210" i="3"/>
  <c r="FY211" i="3"/>
  <c r="FY212" i="3"/>
  <c r="FY213" i="3"/>
  <c r="FY214" i="3"/>
  <c r="FY215" i="3"/>
  <c r="FY216" i="3"/>
  <c r="FY217" i="3"/>
  <c r="FY218" i="3"/>
  <c r="FY219" i="3"/>
  <c r="FY220" i="3"/>
  <c r="FY221" i="3"/>
  <c r="FY222" i="3"/>
  <c r="FY223" i="3"/>
  <c r="FY224" i="3"/>
  <c r="FY225" i="3"/>
  <c r="FY226" i="3"/>
  <c r="FY227" i="3"/>
  <c r="FY228" i="3"/>
  <c r="FY229" i="3"/>
  <c r="FY230" i="3"/>
  <c r="FY231" i="3"/>
  <c r="FY232" i="3"/>
  <c r="FY233" i="3"/>
  <c r="FY234" i="3"/>
  <c r="FY235" i="3"/>
  <c r="FY236" i="3"/>
  <c r="FY237" i="3"/>
  <c r="FY238" i="3"/>
  <c r="FY239" i="3"/>
  <c r="FY240" i="3"/>
  <c r="FY241" i="3"/>
  <c r="FY242" i="3"/>
  <c r="FY243" i="3"/>
  <c r="FY244" i="3"/>
  <c r="FY245" i="3"/>
  <c r="FY246" i="3"/>
  <c r="FY247" i="3"/>
  <c r="FY248" i="3"/>
  <c r="FY249" i="3"/>
  <c r="FY250" i="3"/>
  <c r="FY251" i="3"/>
  <c r="FY252" i="3"/>
  <c r="FY253" i="3"/>
  <c r="FY254" i="3"/>
  <c r="FY255" i="3"/>
  <c r="FY256" i="3"/>
  <c r="FY257" i="3"/>
  <c r="FY258" i="3"/>
  <c r="FY259" i="3"/>
  <c r="FY260" i="3"/>
  <c r="FY261" i="3"/>
  <c r="FY262" i="3"/>
  <c r="FY263" i="3"/>
  <c r="FY264" i="3"/>
  <c r="FY265" i="3"/>
  <c r="FY266" i="3"/>
  <c r="FY267" i="3"/>
  <c r="FY268" i="3"/>
  <c r="FY269" i="3"/>
  <c r="FY270" i="3"/>
  <c r="FY271" i="3"/>
  <c r="FY272" i="3"/>
  <c r="FY273" i="3"/>
  <c r="FY274" i="3"/>
  <c r="FY275" i="3"/>
  <c r="FY276" i="3"/>
  <c r="FY277" i="3"/>
  <c r="FY278" i="3"/>
  <c r="FY279" i="3"/>
  <c r="FY280" i="3"/>
  <c r="FY281" i="3"/>
  <c r="FY282" i="3"/>
  <c r="FY283" i="3"/>
  <c r="FY284" i="3"/>
  <c r="FY285" i="3"/>
  <c r="FY286" i="3"/>
  <c r="FY287" i="3"/>
  <c r="FY288" i="3"/>
  <c r="FY289" i="3"/>
  <c r="FY290" i="3"/>
  <c r="FY291" i="3"/>
  <c r="FY292" i="3"/>
  <c r="FY293" i="3"/>
  <c r="FY294" i="3"/>
  <c r="FY295" i="3"/>
  <c r="FY296" i="3"/>
  <c r="FY297" i="3"/>
  <c r="FY298" i="3"/>
  <c r="FY299" i="3"/>
  <c r="FY300" i="3"/>
  <c r="FY301" i="3"/>
  <c r="FY302" i="3"/>
  <c r="FY303" i="3"/>
  <c r="FY304" i="3"/>
  <c r="FY305" i="3"/>
  <c r="FY306" i="3"/>
  <c r="FY307" i="3"/>
  <c r="FY308" i="3"/>
  <c r="FY309" i="3"/>
  <c r="FY310" i="3"/>
  <c r="FY311" i="3"/>
  <c r="FY312" i="3"/>
  <c r="FY313" i="3"/>
  <c r="FY314" i="3"/>
  <c r="FY315" i="3"/>
  <c r="FY316" i="3"/>
  <c r="FY317" i="3"/>
  <c r="FY318" i="3"/>
  <c r="FY319" i="3"/>
  <c r="FY320" i="3"/>
  <c r="FY321" i="3"/>
  <c r="FY322" i="3"/>
  <c r="FY323" i="3"/>
  <c r="FY324" i="3"/>
  <c r="FY325" i="3"/>
  <c r="FY326" i="3"/>
  <c r="FY327" i="3"/>
  <c r="FY328" i="3"/>
  <c r="FY329" i="3"/>
  <c r="FY330" i="3"/>
  <c r="FY331" i="3"/>
  <c r="FY332" i="3"/>
  <c r="FY333" i="3"/>
  <c r="FY334" i="3"/>
  <c r="FY335" i="3"/>
  <c r="FY336" i="3"/>
  <c r="FY337" i="3"/>
  <c r="FY338" i="3"/>
  <c r="FY339" i="3"/>
  <c r="FY340" i="3"/>
  <c r="FY341" i="3"/>
  <c r="FY342" i="3"/>
  <c r="FY343" i="3"/>
  <c r="FY344" i="3"/>
  <c r="FY345" i="3"/>
  <c r="FY346" i="3"/>
  <c r="FY347" i="3"/>
  <c r="FY348" i="3"/>
  <c r="FY349" i="3"/>
  <c r="FY350" i="3"/>
  <c r="FY351" i="3"/>
  <c r="FY352" i="3"/>
  <c r="FY353" i="3"/>
  <c r="FY354" i="3"/>
  <c r="FY355" i="3"/>
  <c r="FY356" i="3"/>
  <c r="FY357" i="3"/>
  <c r="FY358" i="3"/>
  <c r="FY359" i="3"/>
  <c r="FY360" i="3"/>
  <c r="FY361" i="3"/>
  <c r="FY362" i="3"/>
  <c r="FY363" i="3"/>
  <c r="FY364" i="3"/>
  <c r="FY365" i="3"/>
  <c r="FY366" i="3"/>
  <c r="FY367" i="3"/>
  <c r="FY368" i="3"/>
  <c r="FY369" i="3"/>
  <c r="FY370" i="3"/>
  <c r="FY371" i="3"/>
  <c r="FY372" i="3"/>
  <c r="FY373" i="3"/>
  <c r="FY374" i="3"/>
  <c r="FY375" i="3"/>
  <c r="FY376" i="3"/>
  <c r="FY377" i="3"/>
  <c r="FY378" i="3"/>
  <c r="FY379" i="3"/>
  <c r="FY380" i="3"/>
  <c r="FY381" i="3"/>
  <c r="FY382" i="3"/>
  <c r="FY383" i="3"/>
  <c r="FY384" i="3"/>
  <c r="FY385" i="3"/>
  <c r="FY386" i="3"/>
  <c r="FY387" i="3"/>
  <c r="FY388" i="3"/>
  <c r="FY389" i="3"/>
  <c r="FY390" i="3"/>
  <c r="FY391" i="3"/>
  <c r="FY392" i="3"/>
  <c r="FY393" i="3"/>
  <c r="FY394" i="3"/>
  <c r="FY395" i="3"/>
  <c r="FY396" i="3"/>
  <c r="FY397" i="3"/>
  <c r="FY398" i="3"/>
  <c r="FY399" i="3"/>
  <c r="FY400" i="3"/>
  <c r="FY401" i="3"/>
  <c r="FY402" i="3"/>
  <c r="FY403" i="3"/>
  <c r="FY404" i="3"/>
  <c r="FY405" i="3"/>
  <c r="FY406" i="3"/>
  <c r="FY407" i="3"/>
  <c r="FY408" i="3"/>
  <c r="FY409" i="3"/>
  <c r="FY410" i="3"/>
  <c r="FY411" i="3"/>
  <c r="FY412" i="3"/>
  <c r="FY413" i="3"/>
  <c r="FY414" i="3"/>
  <c r="FY415" i="3"/>
  <c r="FY416" i="3"/>
  <c r="FY417" i="3"/>
  <c r="FY418" i="3"/>
  <c r="FY419" i="3"/>
  <c r="FY420" i="3"/>
  <c r="FY421" i="3"/>
  <c r="FY422" i="3"/>
  <c r="FY423" i="3"/>
  <c r="FY424" i="3"/>
  <c r="FY425" i="3"/>
  <c r="FY426" i="3"/>
  <c r="FY427" i="3"/>
  <c r="FY428" i="3"/>
  <c r="FY429" i="3"/>
  <c r="FY430" i="3"/>
  <c r="FY431" i="3"/>
  <c r="FY432" i="3"/>
  <c r="FY433" i="3"/>
  <c r="FY434" i="3"/>
  <c r="FY435" i="3"/>
  <c r="FY436" i="3"/>
  <c r="FY437" i="3"/>
  <c r="FY438" i="3"/>
  <c r="FY439" i="3"/>
  <c r="FY440" i="3"/>
  <c r="FY441" i="3"/>
  <c r="FY442" i="3"/>
  <c r="FY443" i="3"/>
  <c r="FY444" i="3"/>
  <c r="FY445" i="3"/>
  <c r="FY446" i="3"/>
  <c r="FY447" i="3"/>
  <c r="FY448" i="3"/>
  <c r="FY449" i="3"/>
  <c r="FY450" i="3"/>
  <c r="FY451" i="3"/>
  <c r="FY452" i="3"/>
  <c r="FY453" i="3"/>
  <c r="FY454" i="3"/>
  <c r="FY455" i="3"/>
  <c r="FY456" i="3"/>
  <c r="FY457" i="3"/>
  <c r="FY458" i="3"/>
  <c r="FY459" i="3"/>
  <c r="FY460" i="3"/>
  <c r="FY461" i="3"/>
  <c r="FY462" i="3"/>
  <c r="FY463" i="3"/>
  <c r="FY464" i="3"/>
  <c r="FY465" i="3"/>
  <c r="FY466" i="3"/>
  <c r="FY467" i="3"/>
  <c r="FY468" i="3"/>
  <c r="FY469" i="3"/>
  <c r="FY470" i="3"/>
  <c r="FY471" i="3"/>
  <c r="FY472" i="3"/>
  <c r="FY473" i="3"/>
  <c r="FY474" i="3"/>
  <c r="FY475" i="3"/>
  <c r="FY476" i="3"/>
  <c r="FY477" i="3"/>
  <c r="FY478" i="3"/>
  <c r="FY479" i="3"/>
  <c r="FY480" i="3"/>
  <c r="FY481" i="3"/>
  <c r="FY482" i="3"/>
  <c r="FY483" i="3"/>
  <c r="FY484" i="3"/>
  <c r="FY485" i="3"/>
  <c r="FY486" i="3"/>
  <c r="FY487" i="3"/>
  <c r="FY488" i="3"/>
  <c r="FY489" i="3"/>
  <c r="FY490" i="3"/>
  <c r="FY491" i="3"/>
  <c r="FY492" i="3"/>
  <c r="FY493" i="3"/>
  <c r="FY494" i="3"/>
  <c r="FY495" i="3"/>
  <c r="FY496" i="3"/>
  <c r="FY497" i="3"/>
  <c r="FY498" i="3"/>
  <c r="FY499" i="3"/>
  <c r="FY500" i="3"/>
  <c r="FY501" i="3"/>
  <c r="FY502" i="3"/>
  <c r="FY503" i="3"/>
  <c r="FY504" i="3"/>
  <c r="FY505" i="3"/>
  <c r="FY506" i="3"/>
  <c r="FY507" i="3"/>
  <c r="FY508" i="3"/>
  <c r="FY509" i="3"/>
  <c r="FY510" i="3"/>
  <c r="FY511" i="3"/>
  <c r="FY512" i="3"/>
  <c r="FY513" i="3"/>
  <c r="FY514" i="3"/>
  <c r="FY515" i="3"/>
  <c r="FY516" i="3"/>
  <c r="FY517" i="3"/>
  <c r="FY518" i="3"/>
  <c r="FY519" i="3"/>
  <c r="FY520" i="3"/>
  <c r="FY521" i="3"/>
  <c r="FY522" i="3"/>
  <c r="FY523" i="3"/>
  <c r="FY524" i="3"/>
  <c r="FY525" i="3"/>
  <c r="FY526" i="3"/>
  <c r="FY527" i="3"/>
  <c r="FY528" i="3"/>
  <c r="FY529" i="3"/>
  <c r="FY530" i="3"/>
  <c r="FY531" i="3"/>
  <c r="FY532" i="3"/>
  <c r="FY533" i="3"/>
  <c r="FY534" i="3"/>
  <c r="FY535" i="3"/>
  <c r="FY536" i="3"/>
  <c r="FY537" i="3"/>
  <c r="FY538" i="3"/>
  <c r="FY539" i="3"/>
  <c r="FY540" i="3"/>
  <c r="FY541" i="3"/>
  <c r="FY542" i="3"/>
  <c r="FY543" i="3"/>
  <c r="FY544" i="3"/>
  <c r="FY545" i="3"/>
  <c r="FY546" i="3"/>
  <c r="FY547" i="3"/>
  <c r="FY548" i="3"/>
  <c r="FY549" i="3"/>
  <c r="FY550" i="3"/>
  <c r="FY551" i="3"/>
  <c r="FY552" i="3"/>
  <c r="FY553" i="3"/>
  <c r="FY554" i="3"/>
  <c r="FY555" i="3"/>
  <c r="FY556" i="3"/>
  <c r="FY557" i="3"/>
  <c r="FY558" i="3"/>
  <c r="FY559" i="3"/>
  <c r="FY560" i="3"/>
  <c r="FY561" i="3"/>
  <c r="FY562" i="3"/>
  <c r="FY563" i="3"/>
  <c r="FY564" i="3"/>
  <c r="FY565" i="3"/>
  <c r="FY566" i="3"/>
  <c r="FY567" i="3"/>
  <c r="FY568" i="3"/>
  <c r="FY569" i="3"/>
  <c r="FY570" i="3"/>
  <c r="FY571" i="3"/>
  <c r="FY572" i="3"/>
  <c r="FY573" i="3"/>
  <c r="FY574" i="3"/>
  <c r="FY575" i="3"/>
  <c r="FY576" i="3"/>
  <c r="FY577" i="3"/>
  <c r="FY578" i="3"/>
  <c r="FY579" i="3"/>
  <c r="FY580" i="3"/>
  <c r="FY581" i="3"/>
  <c r="FY582" i="3"/>
  <c r="FY583" i="3"/>
  <c r="FY584" i="3"/>
  <c r="FY585" i="3"/>
  <c r="FY586" i="3"/>
  <c r="FY587" i="3"/>
  <c r="FY588" i="3"/>
  <c r="FY589" i="3"/>
  <c r="FY590" i="3"/>
  <c r="FY591" i="3"/>
  <c r="FY592" i="3"/>
  <c r="FY593" i="3"/>
  <c r="FY594" i="3"/>
  <c r="FY595" i="3"/>
  <c r="FY596" i="3"/>
  <c r="FY597" i="3"/>
  <c r="FY598" i="3"/>
  <c r="FY599" i="3"/>
  <c r="FY600" i="3"/>
  <c r="FX3" i="3"/>
  <c r="FX4" i="3"/>
  <c r="FX5" i="3"/>
  <c r="FX6" i="3"/>
  <c r="FX7" i="3"/>
  <c r="FX8" i="3"/>
  <c r="FX9" i="3"/>
  <c r="FX10" i="3"/>
  <c r="FX11" i="3"/>
  <c r="FX12" i="3"/>
  <c r="FX13" i="3"/>
  <c r="FX14" i="3"/>
  <c r="FX15" i="3"/>
  <c r="FX16" i="3"/>
  <c r="FX17" i="3"/>
  <c r="FX18" i="3"/>
  <c r="FX19" i="3"/>
  <c r="FX20" i="3"/>
  <c r="FX21" i="3"/>
  <c r="FX22" i="3"/>
  <c r="FX23" i="3"/>
  <c r="FX24" i="3"/>
  <c r="FX25" i="3"/>
  <c r="FX26" i="3"/>
  <c r="FX27" i="3"/>
  <c r="FX28" i="3"/>
  <c r="FX29" i="3"/>
  <c r="FX30" i="3"/>
  <c r="FX31" i="3"/>
  <c r="FX32" i="3"/>
  <c r="FX33" i="3"/>
  <c r="FX34" i="3"/>
  <c r="FX35" i="3"/>
  <c r="FX36" i="3"/>
  <c r="FX37" i="3"/>
  <c r="FX38" i="3"/>
  <c r="FX39" i="3"/>
  <c r="FX40" i="3"/>
  <c r="FX41" i="3"/>
  <c r="FX42" i="3"/>
  <c r="FX43" i="3"/>
  <c r="FX44" i="3"/>
  <c r="FX45" i="3"/>
  <c r="FX46" i="3"/>
  <c r="FX47" i="3"/>
  <c r="FX48" i="3"/>
  <c r="FX49" i="3"/>
  <c r="FX50" i="3"/>
  <c r="FX51" i="3"/>
  <c r="FX52" i="3"/>
  <c r="FX53" i="3"/>
  <c r="FX54" i="3"/>
  <c r="FX55" i="3"/>
  <c r="FX56" i="3"/>
  <c r="FX57" i="3"/>
  <c r="FX58" i="3"/>
  <c r="FX59" i="3"/>
  <c r="FX60" i="3"/>
  <c r="FX61" i="3"/>
  <c r="FX62" i="3"/>
  <c r="FX63" i="3"/>
  <c r="FX64" i="3"/>
  <c r="FX65" i="3"/>
  <c r="FX66" i="3"/>
  <c r="FX67" i="3"/>
  <c r="FX68" i="3"/>
  <c r="FX69" i="3"/>
  <c r="FX70" i="3"/>
  <c r="FX71" i="3"/>
  <c r="FX72" i="3"/>
  <c r="FX73" i="3"/>
  <c r="FX74" i="3"/>
  <c r="FX75" i="3"/>
  <c r="FX76" i="3"/>
  <c r="FX77" i="3"/>
  <c r="FX78" i="3"/>
  <c r="FX79" i="3"/>
  <c r="FX80" i="3"/>
  <c r="FX81" i="3"/>
  <c r="FX82" i="3"/>
  <c r="FX83" i="3"/>
  <c r="FX84" i="3"/>
  <c r="FX85" i="3"/>
  <c r="FX86" i="3"/>
  <c r="FX87" i="3"/>
  <c r="FX88" i="3"/>
  <c r="FX89" i="3"/>
  <c r="FX90" i="3"/>
  <c r="FX91" i="3"/>
  <c r="FX92" i="3"/>
  <c r="FX93" i="3"/>
  <c r="FX94" i="3"/>
  <c r="FX95" i="3"/>
  <c r="FX96" i="3"/>
  <c r="FX97" i="3"/>
  <c r="FX98" i="3"/>
  <c r="FX99" i="3"/>
  <c r="FX100" i="3"/>
  <c r="FX101" i="3"/>
  <c r="FX102" i="3"/>
  <c r="FX103" i="3"/>
  <c r="FX104" i="3"/>
  <c r="FX105" i="3"/>
  <c r="FX106" i="3"/>
  <c r="FX107" i="3"/>
  <c r="FX108" i="3"/>
  <c r="FX109" i="3"/>
  <c r="FX110" i="3"/>
  <c r="FX111" i="3"/>
  <c r="FX112" i="3"/>
  <c r="FX113" i="3"/>
  <c r="FX114" i="3"/>
  <c r="FX115" i="3"/>
  <c r="FX116" i="3"/>
  <c r="FX117" i="3"/>
  <c r="FX118" i="3"/>
  <c r="FX119" i="3"/>
  <c r="FX120" i="3"/>
  <c r="FX121" i="3"/>
  <c r="FX122" i="3"/>
  <c r="FX123" i="3"/>
  <c r="FX124" i="3"/>
  <c r="FX125" i="3"/>
  <c r="FX126" i="3"/>
  <c r="FX127" i="3"/>
  <c r="FX128" i="3"/>
  <c r="FX129" i="3"/>
  <c r="FX130" i="3"/>
  <c r="FX131" i="3"/>
  <c r="FX132" i="3"/>
  <c r="FX133" i="3"/>
  <c r="FX134" i="3"/>
  <c r="FX135" i="3"/>
  <c r="FX136" i="3"/>
  <c r="FX137" i="3"/>
  <c r="FX138" i="3"/>
  <c r="FX139" i="3"/>
  <c r="FX140" i="3"/>
  <c r="FX141" i="3"/>
  <c r="FX142" i="3"/>
  <c r="FX143" i="3"/>
  <c r="FX144" i="3"/>
  <c r="FX145" i="3"/>
  <c r="FX146" i="3"/>
  <c r="FX147" i="3"/>
  <c r="FX148" i="3"/>
  <c r="FX149" i="3"/>
  <c r="FX150" i="3"/>
  <c r="FX151" i="3"/>
  <c r="FX152" i="3"/>
  <c r="FX153" i="3"/>
  <c r="FX154" i="3"/>
  <c r="FX155" i="3"/>
  <c r="FX156" i="3"/>
  <c r="FX157" i="3"/>
  <c r="FX158" i="3"/>
  <c r="FX159" i="3"/>
  <c r="FX160" i="3"/>
  <c r="FX161" i="3"/>
  <c r="FX162" i="3"/>
  <c r="FX163" i="3"/>
  <c r="FX164" i="3"/>
  <c r="FX165" i="3"/>
  <c r="FX166" i="3"/>
  <c r="FX167" i="3"/>
  <c r="FX168" i="3"/>
  <c r="FX169" i="3"/>
  <c r="FX170" i="3"/>
  <c r="FX171" i="3"/>
  <c r="FX172" i="3"/>
  <c r="FX173" i="3"/>
  <c r="FX174" i="3"/>
  <c r="FX175" i="3"/>
  <c r="FX176" i="3"/>
  <c r="FX177" i="3"/>
  <c r="FX178" i="3"/>
  <c r="FX179" i="3"/>
  <c r="FX180" i="3"/>
  <c r="FX181" i="3"/>
  <c r="FX182" i="3"/>
  <c r="FX183" i="3"/>
  <c r="FX184" i="3"/>
  <c r="FX185" i="3"/>
  <c r="FX186" i="3"/>
  <c r="FX187" i="3"/>
  <c r="FX188" i="3"/>
  <c r="FX189" i="3"/>
  <c r="FX190" i="3"/>
  <c r="FX191" i="3"/>
  <c r="FX192" i="3"/>
  <c r="FX193" i="3"/>
  <c r="FX194" i="3"/>
  <c r="FX195" i="3"/>
  <c r="FX196" i="3"/>
  <c r="FX197" i="3"/>
  <c r="FX198" i="3"/>
  <c r="FX199" i="3"/>
  <c r="FX200" i="3"/>
  <c r="FX201" i="3"/>
  <c r="FX202" i="3"/>
  <c r="FX203" i="3"/>
  <c r="FX204" i="3"/>
  <c r="FX205" i="3"/>
  <c r="FX206" i="3"/>
  <c r="FX207" i="3"/>
  <c r="FX208" i="3"/>
  <c r="FX209" i="3"/>
  <c r="FX210" i="3"/>
  <c r="FX211" i="3"/>
  <c r="FX212" i="3"/>
  <c r="FX213" i="3"/>
  <c r="FX214" i="3"/>
  <c r="FX215" i="3"/>
  <c r="FX216" i="3"/>
  <c r="FX217" i="3"/>
  <c r="FX218" i="3"/>
  <c r="FX219" i="3"/>
  <c r="FX220" i="3"/>
  <c r="FX221" i="3"/>
  <c r="FX222" i="3"/>
  <c r="FX223" i="3"/>
  <c r="FX224" i="3"/>
  <c r="FX225" i="3"/>
  <c r="FX226" i="3"/>
  <c r="FX227" i="3"/>
  <c r="FX228" i="3"/>
  <c r="FX229" i="3"/>
  <c r="FX230" i="3"/>
  <c r="FX231" i="3"/>
  <c r="FX232" i="3"/>
  <c r="FX233" i="3"/>
  <c r="FX234" i="3"/>
  <c r="FX235" i="3"/>
  <c r="FX236" i="3"/>
  <c r="FX237" i="3"/>
  <c r="FX238" i="3"/>
  <c r="FX239" i="3"/>
  <c r="FX240" i="3"/>
  <c r="FX241" i="3"/>
  <c r="FX242" i="3"/>
  <c r="FX243" i="3"/>
  <c r="FX244" i="3"/>
  <c r="FX245" i="3"/>
  <c r="FX246" i="3"/>
  <c r="FX247" i="3"/>
  <c r="FX248" i="3"/>
  <c r="FX249" i="3"/>
  <c r="FX250" i="3"/>
  <c r="FX251" i="3"/>
  <c r="FX252" i="3"/>
  <c r="FX253" i="3"/>
  <c r="FX254" i="3"/>
  <c r="FX255" i="3"/>
  <c r="FX256" i="3"/>
  <c r="FX257" i="3"/>
  <c r="FX258" i="3"/>
  <c r="FX259" i="3"/>
  <c r="FX260" i="3"/>
  <c r="FX261" i="3"/>
  <c r="FX262" i="3"/>
  <c r="FX263" i="3"/>
  <c r="FX264" i="3"/>
  <c r="FX265" i="3"/>
  <c r="FX266" i="3"/>
  <c r="FX267" i="3"/>
  <c r="FX268" i="3"/>
  <c r="FX269" i="3"/>
  <c r="FX270" i="3"/>
  <c r="FX271" i="3"/>
  <c r="FX272" i="3"/>
  <c r="FX273" i="3"/>
  <c r="FX274" i="3"/>
  <c r="FX275" i="3"/>
  <c r="FX276" i="3"/>
  <c r="FX277" i="3"/>
  <c r="FX278" i="3"/>
  <c r="FX279" i="3"/>
  <c r="FX280" i="3"/>
  <c r="FX281" i="3"/>
  <c r="FX282" i="3"/>
  <c r="FX283" i="3"/>
  <c r="FX284" i="3"/>
  <c r="FX285" i="3"/>
  <c r="FX286" i="3"/>
  <c r="FX287" i="3"/>
  <c r="FX288" i="3"/>
  <c r="FX289" i="3"/>
  <c r="FX290" i="3"/>
  <c r="FX291" i="3"/>
  <c r="FX292" i="3"/>
  <c r="FX293" i="3"/>
  <c r="FX294" i="3"/>
  <c r="FX295" i="3"/>
  <c r="FX296" i="3"/>
  <c r="FX297" i="3"/>
  <c r="FX298" i="3"/>
  <c r="FX299" i="3"/>
  <c r="FX300" i="3"/>
  <c r="FX301" i="3"/>
  <c r="FX302" i="3"/>
  <c r="FX303" i="3"/>
  <c r="FX304" i="3"/>
  <c r="FX305" i="3"/>
  <c r="FX306" i="3"/>
  <c r="FX307" i="3"/>
  <c r="FX308" i="3"/>
  <c r="FX309" i="3"/>
  <c r="FX310" i="3"/>
  <c r="FX311" i="3"/>
  <c r="FX312" i="3"/>
  <c r="FX313" i="3"/>
  <c r="FX314" i="3"/>
  <c r="FX315" i="3"/>
  <c r="FX316" i="3"/>
  <c r="FX317" i="3"/>
  <c r="FX318" i="3"/>
  <c r="FX319" i="3"/>
  <c r="FX320" i="3"/>
  <c r="FX321" i="3"/>
  <c r="FX322" i="3"/>
  <c r="FX323" i="3"/>
  <c r="FX324" i="3"/>
  <c r="FX325" i="3"/>
  <c r="FX326" i="3"/>
  <c r="FX327" i="3"/>
  <c r="FX328" i="3"/>
  <c r="FX329" i="3"/>
  <c r="FX330" i="3"/>
  <c r="FX331" i="3"/>
  <c r="FX332" i="3"/>
  <c r="FX333" i="3"/>
  <c r="FX334" i="3"/>
  <c r="FX335" i="3"/>
  <c r="FX336" i="3"/>
  <c r="FX337" i="3"/>
  <c r="FX338" i="3"/>
  <c r="FX339" i="3"/>
  <c r="FX340" i="3"/>
  <c r="FX341" i="3"/>
  <c r="FX342" i="3"/>
  <c r="FX343" i="3"/>
  <c r="FX344" i="3"/>
  <c r="FX345" i="3"/>
  <c r="FX346" i="3"/>
  <c r="FX347" i="3"/>
  <c r="FX348" i="3"/>
  <c r="FX349" i="3"/>
  <c r="FX350" i="3"/>
  <c r="FX351" i="3"/>
  <c r="FX352" i="3"/>
  <c r="FX353" i="3"/>
  <c r="FX354" i="3"/>
  <c r="FX355" i="3"/>
  <c r="FX356" i="3"/>
  <c r="FX357" i="3"/>
  <c r="FX358" i="3"/>
  <c r="FX359" i="3"/>
  <c r="FX360" i="3"/>
  <c r="FX361" i="3"/>
  <c r="FX362" i="3"/>
  <c r="FX363" i="3"/>
  <c r="FX364" i="3"/>
  <c r="FX365" i="3"/>
  <c r="FX366" i="3"/>
  <c r="FX367" i="3"/>
  <c r="FX368" i="3"/>
  <c r="FX369" i="3"/>
  <c r="FX370" i="3"/>
  <c r="FX371" i="3"/>
  <c r="FX372" i="3"/>
  <c r="FX373" i="3"/>
  <c r="FX374" i="3"/>
  <c r="FX375" i="3"/>
  <c r="FX376" i="3"/>
  <c r="FX377" i="3"/>
  <c r="FX378" i="3"/>
  <c r="FX379" i="3"/>
  <c r="FX380" i="3"/>
  <c r="FX381" i="3"/>
  <c r="FX382" i="3"/>
  <c r="FX383" i="3"/>
  <c r="FX384" i="3"/>
  <c r="FX385" i="3"/>
  <c r="FX386" i="3"/>
  <c r="FX387" i="3"/>
  <c r="FX388" i="3"/>
  <c r="FX389" i="3"/>
  <c r="FX390" i="3"/>
  <c r="FX391" i="3"/>
  <c r="FX392" i="3"/>
  <c r="FX393" i="3"/>
  <c r="FX394" i="3"/>
  <c r="FX395" i="3"/>
  <c r="FX396" i="3"/>
  <c r="FX397" i="3"/>
  <c r="FX398" i="3"/>
  <c r="FX399" i="3"/>
  <c r="FX400" i="3"/>
  <c r="FX401" i="3"/>
  <c r="FX402" i="3"/>
  <c r="FX403" i="3"/>
  <c r="FX404" i="3"/>
  <c r="FX405" i="3"/>
  <c r="FX406" i="3"/>
  <c r="FX407" i="3"/>
  <c r="FX408" i="3"/>
  <c r="FX409" i="3"/>
  <c r="FX410" i="3"/>
  <c r="FX411" i="3"/>
  <c r="FX412" i="3"/>
  <c r="FX413" i="3"/>
  <c r="FX414" i="3"/>
  <c r="FX415" i="3"/>
  <c r="FX416" i="3"/>
  <c r="FX417" i="3"/>
  <c r="FX418" i="3"/>
  <c r="FX419" i="3"/>
  <c r="FX420" i="3"/>
  <c r="FX421" i="3"/>
  <c r="FX422" i="3"/>
  <c r="FX423" i="3"/>
  <c r="FX424" i="3"/>
  <c r="FX425" i="3"/>
  <c r="FX426" i="3"/>
  <c r="FX427" i="3"/>
  <c r="FX428" i="3"/>
  <c r="FX429" i="3"/>
  <c r="FX430" i="3"/>
  <c r="FX431" i="3"/>
  <c r="FX432" i="3"/>
  <c r="FX433" i="3"/>
  <c r="FX434" i="3"/>
  <c r="FX435" i="3"/>
  <c r="FX436" i="3"/>
  <c r="FX437" i="3"/>
  <c r="FX438" i="3"/>
  <c r="FX439" i="3"/>
  <c r="FX440" i="3"/>
  <c r="FX441" i="3"/>
  <c r="FX442" i="3"/>
  <c r="FX443" i="3"/>
  <c r="FX444" i="3"/>
  <c r="FX445" i="3"/>
  <c r="FX446" i="3"/>
  <c r="FX447" i="3"/>
  <c r="FX448" i="3"/>
  <c r="FX449" i="3"/>
  <c r="FX450" i="3"/>
  <c r="FX451" i="3"/>
  <c r="FX452" i="3"/>
  <c r="FX453" i="3"/>
  <c r="FX454" i="3"/>
  <c r="FX455" i="3"/>
  <c r="FX456" i="3"/>
  <c r="FX457" i="3"/>
  <c r="FX458" i="3"/>
  <c r="FX459" i="3"/>
  <c r="FX460" i="3"/>
  <c r="FX461" i="3"/>
  <c r="FX462" i="3"/>
  <c r="FX463" i="3"/>
  <c r="FX464" i="3"/>
  <c r="FX465" i="3"/>
  <c r="FX466" i="3"/>
  <c r="FX467" i="3"/>
  <c r="FX468" i="3"/>
  <c r="FX469" i="3"/>
  <c r="FX470" i="3"/>
  <c r="FX471" i="3"/>
  <c r="FX472" i="3"/>
  <c r="FX473" i="3"/>
  <c r="FX474" i="3"/>
  <c r="FX475" i="3"/>
  <c r="FX476" i="3"/>
  <c r="FX477" i="3"/>
  <c r="FX478" i="3"/>
  <c r="FX479" i="3"/>
  <c r="FX480" i="3"/>
  <c r="FX481" i="3"/>
  <c r="FX482" i="3"/>
  <c r="FX483" i="3"/>
  <c r="FX484" i="3"/>
  <c r="FX485" i="3"/>
  <c r="FX486" i="3"/>
  <c r="FX487" i="3"/>
  <c r="FX488" i="3"/>
  <c r="FX489" i="3"/>
  <c r="FX490" i="3"/>
  <c r="FX491" i="3"/>
  <c r="FX492" i="3"/>
  <c r="FX493" i="3"/>
  <c r="FX494" i="3"/>
  <c r="FX495" i="3"/>
  <c r="FX496" i="3"/>
  <c r="FX497" i="3"/>
  <c r="FX498" i="3"/>
  <c r="FX499" i="3"/>
  <c r="FX500" i="3"/>
  <c r="FX501" i="3"/>
  <c r="FX502" i="3"/>
  <c r="FX503" i="3"/>
  <c r="FX504" i="3"/>
  <c r="FX505" i="3"/>
  <c r="FX506" i="3"/>
  <c r="FX507" i="3"/>
  <c r="FX508" i="3"/>
  <c r="FX509" i="3"/>
  <c r="FX510" i="3"/>
  <c r="FX511" i="3"/>
  <c r="FX512" i="3"/>
  <c r="FX513" i="3"/>
  <c r="FX514" i="3"/>
  <c r="FX515" i="3"/>
  <c r="FX516" i="3"/>
  <c r="FX517" i="3"/>
  <c r="FX518" i="3"/>
  <c r="FX519" i="3"/>
  <c r="FX520" i="3"/>
  <c r="FX521" i="3"/>
  <c r="FX522" i="3"/>
  <c r="FX523" i="3"/>
  <c r="FX524" i="3"/>
  <c r="FX525" i="3"/>
  <c r="FX526" i="3"/>
  <c r="FX527" i="3"/>
  <c r="FX528" i="3"/>
  <c r="FX529" i="3"/>
  <c r="FX530" i="3"/>
  <c r="FX531" i="3"/>
  <c r="FX532" i="3"/>
  <c r="FX533" i="3"/>
  <c r="FX534" i="3"/>
  <c r="FX535" i="3"/>
  <c r="FX536" i="3"/>
  <c r="FX537" i="3"/>
  <c r="FX538" i="3"/>
  <c r="FX539" i="3"/>
  <c r="FX540" i="3"/>
  <c r="FX541" i="3"/>
  <c r="FX542" i="3"/>
  <c r="FX543" i="3"/>
  <c r="FX544" i="3"/>
  <c r="FX545" i="3"/>
  <c r="FX546" i="3"/>
  <c r="FX547" i="3"/>
  <c r="FX548" i="3"/>
  <c r="FX549" i="3"/>
  <c r="FX550" i="3"/>
  <c r="FX551" i="3"/>
  <c r="FX552" i="3"/>
  <c r="FX553" i="3"/>
  <c r="FX554" i="3"/>
  <c r="FX555" i="3"/>
  <c r="FX556" i="3"/>
  <c r="FX557" i="3"/>
  <c r="FX558" i="3"/>
  <c r="FX559" i="3"/>
  <c r="FX560" i="3"/>
  <c r="FX561" i="3"/>
  <c r="FX562" i="3"/>
  <c r="FX563" i="3"/>
  <c r="FX564" i="3"/>
  <c r="FX565" i="3"/>
  <c r="FX566" i="3"/>
  <c r="FX567" i="3"/>
  <c r="FX568" i="3"/>
  <c r="FX569" i="3"/>
  <c r="FX570" i="3"/>
  <c r="FX571" i="3"/>
  <c r="FX572" i="3"/>
  <c r="FX573" i="3"/>
  <c r="FX574" i="3"/>
  <c r="FX575" i="3"/>
  <c r="FX576" i="3"/>
  <c r="FX577" i="3"/>
  <c r="FX578" i="3"/>
  <c r="FX579" i="3"/>
  <c r="FX580" i="3"/>
  <c r="FX581" i="3"/>
  <c r="FX582" i="3"/>
  <c r="FX583" i="3"/>
  <c r="FX584" i="3"/>
  <c r="FX585" i="3"/>
  <c r="FX586" i="3"/>
  <c r="FX587" i="3"/>
  <c r="FX588" i="3"/>
  <c r="FX589" i="3"/>
  <c r="FX590" i="3"/>
  <c r="FX591" i="3"/>
  <c r="FX592" i="3"/>
  <c r="FX593" i="3"/>
  <c r="FX594" i="3"/>
  <c r="FX595" i="3"/>
  <c r="FX596" i="3"/>
  <c r="FX597" i="3"/>
  <c r="FX598" i="3"/>
  <c r="FX599" i="3"/>
  <c r="FX600" i="3"/>
  <c r="FW3" i="3"/>
  <c r="FW4" i="3"/>
  <c r="FW5" i="3"/>
  <c r="FW6" i="3"/>
  <c r="FW7" i="3"/>
  <c r="FW8" i="3"/>
  <c r="FW9" i="3"/>
  <c r="FW10" i="3"/>
  <c r="FW11" i="3"/>
  <c r="FW12" i="3"/>
  <c r="FW13" i="3"/>
  <c r="FW14" i="3"/>
  <c r="FW15" i="3"/>
  <c r="FW16" i="3"/>
  <c r="FW17" i="3"/>
  <c r="FW18" i="3"/>
  <c r="FW19" i="3"/>
  <c r="FW20" i="3"/>
  <c r="FW21" i="3"/>
  <c r="FW22" i="3"/>
  <c r="FW23" i="3"/>
  <c r="FW24" i="3"/>
  <c r="FW25" i="3"/>
  <c r="FW26" i="3"/>
  <c r="FW27" i="3"/>
  <c r="FW28" i="3"/>
  <c r="FW29" i="3"/>
  <c r="FW30" i="3"/>
  <c r="FW31" i="3"/>
  <c r="FW32" i="3"/>
  <c r="FW33" i="3"/>
  <c r="FW34" i="3"/>
  <c r="FW35" i="3"/>
  <c r="FW36" i="3"/>
  <c r="FW37" i="3"/>
  <c r="FW38" i="3"/>
  <c r="FW39" i="3"/>
  <c r="FW40" i="3"/>
  <c r="FW41" i="3"/>
  <c r="FW42" i="3"/>
  <c r="FW43" i="3"/>
  <c r="FW44" i="3"/>
  <c r="FW45" i="3"/>
  <c r="FW46" i="3"/>
  <c r="FW47" i="3"/>
  <c r="FW48" i="3"/>
  <c r="FW49" i="3"/>
  <c r="FW50" i="3"/>
  <c r="FW51" i="3"/>
  <c r="FW52" i="3"/>
  <c r="FW53" i="3"/>
  <c r="FW54" i="3"/>
  <c r="FW55" i="3"/>
  <c r="FW56" i="3"/>
  <c r="FW57" i="3"/>
  <c r="FW58" i="3"/>
  <c r="FW59" i="3"/>
  <c r="FW60" i="3"/>
  <c r="FW61" i="3"/>
  <c r="FW62" i="3"/>
  <c r="FW63" i="3"/>
  <c r="FW64" i="3"/>
  <c r="FW65" i="3"/>
  <c r="FW66" i="3"/>
  <c r="FW67" i="3"/>
  <c r="FW68" i="3"/>
  <c r="FW69" i="3"/>
  <c r="FW70" i="3"/>
  <c r="FW71" i="3"/>
  <c r="FW72" i="3"/>
  <c r="FW73" i="3"/>
  <c r="FW74" i="3"/>
  <c r="FW75" i="3"/>
  <c r="FW76" i="3"/>
  <c r="FW77" i="3"/>
  <c r="FW78" i="3"/>
  <c r="FW79" i="3"/>
  <c r="FW80" i="3"/>
  <c r="FW81" i="3"/>
  <c r="FW82" i="3"/>
  <c r="FW83" i="3"/>
  <c r="FW84" i="3"/>
  <c r="FW85" i="3"/>
  <c r="FW86" i="3"/>
  <c r="FW87" i="3"/>
  <c r="FW88" i="3"/>
  <c r="FW89" i="3"/>
  <c r="FW90" i="3"/>
  <c r="FW91" i="3"/>
  <c r="FW92" i="3"/>
  <c r="FW93" i="3"/>
  <c r="FW94" i="3"/>
  <c r="FW95" i="3"/>
  <c r="FW96" i="3"/>
  <c r="FW97" i="3"/>
  <c r="FW98" i="3"/>
  <c r="FW99" i="3"/>
  <c r="FW100" i="3"/>
  <c r="FW101" i="3"/>
  <c r="FW102" i="3"/>
  <c r="FW103" i="3"/>
  <c r="FW104" i="3"/>
  <c r="FW105" i="3"/>
  <c r="FW106" i="3"/>
  <c r="FW107" i="3"/>
  <c r="FW108" i="3"/>
  <c r="FW109" i="3"/>
  <c r="FW110" i="3"/>
  <c r="FW111" i="3"/>
  <c r="FW112" i="3"/>
  <c r="FW113" i="3"/>
  <c r="FW114" i="3"/>
  <c r="FW115" i="3"/>
  <c r="FW116" i="3"/>
  <c r="FW117" i="3"/>
  <c r="FW118" i="3"/>
  <c r="FW119" i="3"/>
  <c r="FW120" i="3"/>
  <c r="FW121" i="3"/>
  <c r="FW122" i="3"/>
  <c r="FW123" i="3"/>
  <c r="FW124" i="3"/>
  <c r="FW125" i="3"/>
  <c r="FW126" i="3"/>
  <c r="FW127" i="3"/>
  <c r="FW128" i="3"/>
  <c r="FW129" i="3"/>
  <c r="FW130" i="3"/>
  <c r="FW131" i="3"/>
  <c r="FW132" i="3"/>
  <c r="FW133" i="3"/>
  <c r="FW134" i="3"/>
  <c r="FW135" i="3"/>
  <c r="FW136" i="3"/>
  <c r="FW137" i="3"/>
  <c r="FW138" i="3"/>
  <c r="FW139" i="3"/>
  <c r="FW140" i="3"/>
  <c r="FW141" i="3"/>
  <c r="FW142" i="3"/>
  <c r="FW143" i="3"/>
  <c r="FW144" i="3"/>
  <c r="FW145" i="3"/>
  <c r="FW146" i="3"/>
  <c r="FW147" i="3"/>
  <c r="FW148" i="3"/>
  <c r="FW149" i="3"/>
  <c r="FW150" i="3"/>
  <c r="FW151" i="3"/>
  <c r="FW152" i="3"/>
  <c r="FW153" i="3"/>
  <c r="FW154" i="3"/>
  <c r="FW155" i="3"/>
  <c r="FW156" i="3"/>
  <c r="FW157" i="3"/>
  <c r="FW158" i="3"/>
  <c r="FW159" i="3"/>
  <c r="FW160" i="3"/>
  <c r="FW161" i="3"/>
  <c r="FW162" i="3"/>
  <c r="FW163" i="3"/>
  <c r="FW164" i="3"/>
  <c r="FW165" i="3"/>
  <c r="FW166" i="3"/>
  <c r="FW167" i="3"/>
  <c r="FW168" i="3"/>
  <c r="FW169" i="3"/>
  <c r="FW170" i="3"/>
  <c r="FW171" i="3"/>
  <c r="FW172" i="3"/>
  <c r="FW173" i="3"/>
  <c r="FW174" i="3"/>
  <c r="FW175" i="3"/>
  <c r="FW176" i="3"/>
  <c r="FW177" i="3"/>
  <c r="FW178" i="3"/>
  <c r="FW179" i="3"/>
  <c r="FW180" i="3"/>
  <c r="FW181" i="3"/>
  <c r="FW182" i="3"/>
  <c r="FW183" i="3"/>
  <c r="FW184" i="3"/>
  <c r="FW185" i="3"/>
  <c r="FW186" i="3"/>
  <c r="FW187" i="3"/>
  <c r="FW188" i="3"/>
  <c r="FW189" i="3"/>
  <c r="FW190" i="3"/>
  <c r="FW191" i="3"/>
  <c r="FW192" i="3"/>
  <c r="FW193" i="3"/>
  <c r="FW194" i="3"/>
  <c r="FW195" i="3"/>
  <c r="FW196" i="3"/>
  <c r="FW197" i="3"/>
  <c r="FW198" i="3"/>
  <c r="FW199" i="3"/>
  <c r="FW200" i="3"/>
  <c r="FW201" i="3"/>
  <c r="FW202" i="3"/>
  <c r="FW203" i="3"/>
  <c r="FW204" i="3"/>
  <c r="FW205" i="3"/>
  <c r="FW206" i="3"/>
  <c r="FW207" i="3"/>
  <c r="FW208" i="3"/>
  <c r="FW209" i="3"/>
  <c r="FW210" i="3"/>
  <c r="FW211" i="3"/>
  <c r="FW212" i="3"/>
  <c r="FW213" i="3"/>
  <c r="FW214" i="3"/>
  <c r="FW215" i="3"/>
  <c r="FW216" i="3"/>
  <c r="FW217" i="3"/>
  <c r="FW218" i="3"/>
  <c r="FW219" i="3"/>
  <c r="FW220" i="3"/>
  <c r="FW221" i="3"/>
  <c r="FW222" i="3"/>
  <c r="FW223" i="3"/>
  <c r="FW224" i="3"/>
  <c r="FW225" i="3"/>
  <c r="FW226" i="3"/>
  <c r="FW227" i="3"/>
  <c r="FW228" i="3"/>
  <c r="FW229" i="3"/>
  <c r="FW230" i="3"/>
  <c r="FW231" i="3"/>
  <c r="FW232" i="3"/>
  <c r="FW233" i="3"/>
  <c r="FW234" i="3"/>
  <c r="FW235" i="3"/>
  <c r="FW236" i="3"/>
  <c r="FW237" i="3"/>
  <c r="FW238" i="3"/>
  <c r="FW239" i="3"/>
  <c r="FW240" i="3"/>
  <c r="FW241" i="3"/>
  <c r="FW242" i="3"/>
  <c r="FW243" i="3"/>
  <c r="FW244" i="3"/>
  <c r="FW245" i="3"/>
  <c r="FW246" i="3"/>
  <c r="FW247" i="3"/>
  <c r="FW248" i="3"/>
  <c r="FW249" i="3"/>
  <c r="FW250" i="3"/>
  <c r="FW251" i="3"/>
  <c r="FW252" i="3"/>
  <c r="FW253" i="3"/>
  <c r="FW254" i="3"/>
  <c r="FW255" i="3"/>
  <c r="FW256" i="3"/>
  <c r="FW257" i="3"/>
  <c r="FW258" i="3"/>
  <c r="FW259" i="3"/>
  <c r="FW260" i="3"/>
  <c r="FW261" i="3"/>
  <c r="FW262" i="3"/>
  <c r="FW263" i="3"/>
  <c r="FW264" i="3"/>
  <c r="FW265" i="3"/>
  <c r="FW266" i="3"/>
  <c r="FW267" i="3"/>
  <c r="FW268" i="3"/>
  <c r="FW269" i="3"/>
  <c r="FW270" i="3"/>
  <c r="FW271" i="3"/>
  <c r="FW272" i="3"/>
  <c r="FW273" i="3"/>
  <c r="FW274" i="3"/>
  <c r="FW275" i="3"/>
  <c r="FW276" i="3"/>
  <c r="FW277" i="3"/>
  <c r="FW278" i="3"/>
  <c r="FW279" i="3"/>
  <c r="FW280" i="3"/>
  <c r="FW281" i="3"/>
  <c r="FW282" i="3"/>
  <c r="FW283" i="3"/>
  <c r="FW284" i="3"/>
  <c r="FW285" i="3"/>
  <c r="FW286" i="3"/>
  <c r="FW287" i="3"/>
  <c r="FW288" i="3"/>
  <c r="FW289" i="3"/>
  <c r="FW290" i="3"/>
  <c r="FW291" i="3"/>
  <c r="FW292" i="3"/>
  <c r="FW293" i="3"/>
  <c r="FW294" i="3"/>
  <c r="FW295" i="3"/>
  <c r="FW296" i="3"/>
  <c r="FW297" i="3"/>
  <c r="FW298" i="3"/>
  <c r="FW299" i="3"/>
  <c r="FW300" i="3"/>
  <c r="FW301" i="3"/>
  <c r="FW302" i="3"/>
  <c r="FW303" i="3"/>
  <c r="FW304" i="3"/>
  <c r="FW305" i="3"/>
  <c r="FW306" i="3"/>
  <c r="FW307" i="3"/>
  <c r="FW308" i="3"/>
  <c r="FW309" i="3"/>
  <c r="FW310" i="3"/>
  <c r="FW311" i="3"/>
  <c r="FW312" i="3"/>
  <c r="FW313" i="3"/>
  <c r="FW314" i="3"/>
  <c r="FW315" i="3"/>
  <c r="FW316" i="3"/>
  <c r="FW317" i="3"/>
  <c r="FW318" i="3"/>
  <c r="FW319" i="3"/>
  <c r="FW320" i="3"/>
  <c r="FW321" i="3"/>
  <c r="FW322" i="3"/>
  <c r="FW323" i="3"/>
  <c r="FW324" i="3"/>
  <c r="FW325" i="3"/>
  <c r="FW326" i="3"/>
  <c r="FW327" i="3"/>
  <c r="FW328" i="3"/>
  <c r="FW329" i="3"/>
  <c r="FW330" i="3"/>
  <c r="FW331" i="3"/>
  <c r="FW332" i="3"/>
  <c r="FW333" i="3"/>
  <c r="FW334" i="3"/>
  <c r="FW335" i="3"/>
  <c r="FW336" i="3"/>
  <c r="FW337" i="3"/>
  <c r="FW338" i="3"/>
  <c r="FW339" i="3"/>
  <c r="FW340" i="3"/>
  <c r="FW341" i="3"/>
  <c r="FW342" i="3"/>
  <c r="FW343" i="3"/>
  <c r="FW344" i="3"/>
  <c r="FW345" i="3"/>
  <c r="FW346" i="3"/>
  <c r="FW347" i="3"/>
  <c r="FW348" i="3"/>
  <c r="FW349" i="3"/>
  <c r="FW350" i="3"/>
  <c r="FW351" i="3"/>
  <c r="FW352" i="3"/>
  <c r="FW353" i="3"/>
  <c r="FW354" i="3"/>
  <c r="FW355" i="3"/>
  <c r="FW356" i="3"/>
  <c r="FW357" i="3"/>
  <c r="FW358" i="3"/>
  <c r="FW359" i="3"/>
  <c r="FW360" i="3"/>
  <c r="FW361" i="3"/>
  <c r="FW362" i="3"/>
  <c r="FW363" i="3"/>
  <c r="FW364" i="3"/>
  <c r="FW365" i="3"/>
  <c r="FW366" i="3"/>
  <c r="FW367" i="3"/>
  <c r="FW368" i="3"/>
  <c r="FW369" i="3"/>
  <c r="FW370" i="3"/>
  <c r="FW371" i="3"/>
  <c r="FW372" i="3"/>
  <c r="FW373" i="3"/>
  <c r="FW374" i="3"/>
  <c r="FW375" i="3"/>
  <c r="FW376" i="3"/>
  <c r="FW377" i="3"/>
  <c r="FW378" i="3"/>
  <c r="FW379" i="3"/>
  <c r="FW380" i="3"/>
  <c r="FW381" i="3"/>
  <c r="FW382" i="3"/>
  <c r="FW383" i="3"/>
  <c r="FW384" i="3"/>
  <c r="FW385" i="3"/>
  <c r="FW386" i="3"/>
  <c r="FW387" i="3"/>
  <c r="FW388" i="3"/>
  <c r="FW389" i="3"/>
  <c r="FW390" i="3"/>
  <c r="FW391" i="3"/>
  <c r="FW392" i="3"/>
  <c r="FW393" i="3"/>
  <c r="FW394" i="3"/>
  <c r="FW395" i="3"/>
  <c r="FW396" i="3"/>
  <c r="FW397" i="3"/>
  <c r="FW398" i="3"/>
  <c r="FW399" i="3"/>
  <c r="FW400" i="3"/>
  <c r="FW401" i="3"/>
  <c r="FW402" i="3"/>
  <c r="FW403" i="3"/>
  <c r="FW404" i="3"/>
  <c r="FW405" i="3"/>
  <c r="FW406" i="3"/>
  <c r="FW407" i="3"/>
  <c r="FW408" i="3"/>
  <c r="FW409" i="3"/>
  <c r="FW410" i="3"/>
  <c r="FW411" i="3"/>
  <c r="FW412" i="3"/>
  <c r="FW413" i="3"/>
  <c r="FW414" i="3"/>
  <c r="FW415" i="3"/>
  <c r="FW416" i="3"/>
  <c r="FW417" i="3"/>
  <c r="FW418" i="3"/>
  <c r="FW419" i="3"/>
  <c r="FW420" i="3"/>
  <c r="FW421" i="3"/>
  <c r="FW422" i="3"/>
  <c r="FW423" i="3"/>
  <c r="FW424" i="3"/>
  <c r="FW425" i="3"/>
  <c r="FW426" i="3"/>
  <c r="FW427" i="3"/>
  <c r="FW428" i="3"/>
  <c r="FW429" i="3"/>
  <c r="FW430" i="3"/>
  <c r="FW431" i="3"/>
  <c r="FW432" i="3"/>
  <c r="FW433" i="3"/>
  <c r="FW434" i="3"/>
  <c r="FW435" i="3"/>
  <c r="FW436" i="3"/>
  <c r="FW437" i="3"/>
  <c r="FW438" i="3"/>
  <c r="FW439" i="3"/>
  <c r="FW440" i="3"/>
  <c r="FW441" i="3"/>
  <c r="FW442" i="3"/>
  <c r="FW443" i="3"/>
  <c r="FW444" i="3"/>
  <c r="FW445" i="3"/>
  <c r="FW446" i="3"/>
  <c r="FW447" i="3"/>
  <c r="FW448" i="3"/>
  <c r="FW449" i="3"/>
  <c r="FW450" i="3"/>
  <c r="FW451" i="3"/>
  <c r="FW452" i="3"/>
  <c r="FW453" i="3"/>
  <c r="FW454" i="3"/>
  <c r="FW455" i="3"/>
  <c r="FW456" i="3"/>
  <c r="FW457" i="3"/>
  <c r="FW458" i="3"/>
  <c r="FW459" i="3"/>
  <c r="FW460" i="3"/>
  <c r="FW461" i="3"/>
  <c r="FW462" i="3"/>
  <c r="FW463" i="3"/>
  <c r="FW464" i="3"/>
  <c r="FW465" i="3"/>
  <c r="FW466" i="3"/>
  <c r="FW467" i="3"/>
  <c r="FW468" i="3"/>
  <c r="FW469" i="3"/>
  <c r="FW470" i="3"/>
  <c r="FW471" i="3"/>
  <c r="FW472" i="3"/>
  <c r="FW473" i="3"/>
  <c r="FW474" i="3"/>
  <c r="FW475" i="3"/>
  <c r="FW476" i="3"/>
  <c r="FW477" i="3"/>
  <c r="FW478" i="3"/>
  <c r="FW479" i="3"/>
  <c r="FW480" i="3"/>
  <c r="FW481" i="3"/>
  <c r="FW482" i="3"/>
  <c r="FW483" i="3"/>
  <c r="FW484" i="3"/>
  <c r="FW485" i="3"/>
  <c r="FW486" i="3"/>
  <c r="FW487" i="3"/>
  <c r="FW488" i="3"/>
  <c r="FW489" i="3"/>
  <c r="FW490" i="3"/>
  <c r="FW491" i="3"/>
  <c r="FW492" i="3"/>
  <c r="FW493" i="3"/>
  <c r="FW494" i="3"/>
  <c r="FW495" i="3"/>
  <c r="FW496" i="3"/>
  <c r="FW497" i="3"/>
  <c r="FW498" i="3"/>
  <c r="FW499" i="3"/>
  <c r="FW500" i="3"/>
  <c r="FW501" i="3"/>
  <c r="FW502" i="3"/>
  <c r="FW503" i="3"/>
  <c r="FW504" i="3"/>
  <c r="FW505" i="3"/>
  <c r="FW506" i="3"/>
  <c r="FW507" i="3"/>
  <c r="FW508" i="3"/>
  <c r="FW509" i="3"/>
  <c r="FW510" i="3"/>
  <c r="FW511" i="3"/>
  <c r="FW512" i="3"/>
  <c r="FW513" i="3"/>
  <c r="FW514" i="3"/>
  <c r="FW515" i="3"/>
  <c r="FW516" i="3"/>
  <c r="FW517" i="3"/>
  <c r="FW518" i="3"/>
  <c r="FW519" i="3"/>
  <c r="FW520" i="3"/>
  <c r="FW521" i="3"/>
  <c r="FW522" i="3"/>
  <c r="FW523" i="3"/>
  <c r="FW524" i="3"/>
  <c r="FW525" i="3"/>
  <c r="FW526" i="3"/>
  <c r="FW527" i="3"/>
  <c r="FW528" i="3"/>
  <c r="FW529" i="3"/>
  <c r="FW530" i="3"/>
  <c r="FW531" i="3"/>
  <c r="FW532" i="3"/>
  <c r="FW533" i="3"/>
  <c r="FW534" i="3"/>
  <c r="FW535" i="3"/>
  <c r="FW536" i="3"/>
  <c r="FW537" i="3"/>
  <c r="FW538" i="3"/>
  <c r="FW539" i="3"/>
  <c r="FW540" i="3"/>
  <c r="FW541" i="3"/>
  <c r="FW542" i="3"/>
  <c r="FW543" i="3"/>
  <c r="FW544" i="3"/>
  <c r="FW545" i="3"/>
  <c r="FW546" i="3"/>
  <c r="FW547" i="3"/>
  <c r="FW548" i="3"/>
  <c r="FW549" i="3"/>
  <c r="FW550" i="3"/>
  <c r="FW551" i="3"/>
  <c r="FW552" i="3"/>
  <c r="FW553" i="3"/>
  <c r="FW554" i="3"/>
  <c r="FW555" i="3"/>
  <c r="FW556" i="3"/>
  <c r="FW557" i="3"/>
  <c r="FW558" i="3"/>
  <c r="FW559" i="3"/>
  <c r="FW560" i="3"/>
  <c r="FW561" i="3"/>
  <c r="FW562" i="3"/>
  <c r="FW563" i="3"/>
  <c r="FW564" i="3"/>
  <c r="FW565" i="3"/>
  <c r="FW566" i="3"/>
  <c r="FW567" i="3"/>
  <c r="FW568" i="3"/>
  <c r="FW569" i="3"/>
  <c r="FW570" i="3"/>
  <c r="FW571" i="3"/>
  <c r="FW572" i="3"/>
  <c r="FW573" i="3"/>
  <c r="FW574" i="3"/>
  <c r="FW575" i="3"/>
  <c r="FW576" i="3"/>
  <c r="FW577" i="3"/>
  <c r="FW578" i="3"/>
  <c r="FW579" i="3"/>
  <c r="FW580" i="3"/>
  <c r="FW581" i="3"/>
  <c r="FW582" i="3"/>
  <c r="FW583" i="3"/>
  <c r="FW584" i="3"/>
  <c r="FW585" i="3"/>
  <c r="FW586" i="3"/>
  <c r="FW587" i="3"/>
  <c r="FW588" i="3"/>
  <c r="FW589" i="3"/>
  <c r="FW590" i="3"/>
  <c r="FW591" i="3"/>
  <c r="FW592" i="3"/>
  <c r="FW593" i="3"/>
  <c r="FW594" i="3"/>
  <c r="FW595" i="3"/>
  <c r="FW596" i="3"/>
  <c r="FW597" i="3"/>
  <c r="FW598" i="3"/>
  <c r="FW599" i="3"/>
  <c r="FW600" i="3"/>
  <c r="FV3" i="3"/>
  <c r="FV4" i="3"/>
  <c r="FV5" i="3"/>
  <c r="FV6" i="3"/>
  <c r="FV7" i="3"/>
  <c r="FV8" i="3"/>
  <c r="FV9" i="3"/>
  <c r="FV10" i="3"/>
  <c r="FV11" i="3"/>
  <c r="FV12" i="3"/>
  <c r="FV13" i="3"/>
  <c r="FV14" i="3"/>
  <c r="FV15" i="3"/>
  <c r="FV16" i="3"/>
  <c r="FV17" i="3"/>
  <c r="FV18" i="3"/>
  <c r="FV19" i="3"/>
  <c r="FV20" i="3"/>
  <c r="FV21" i="3"/>
  <c r="FV22" i="3"/>
  <c r="FV23" i="3"/>
  <c r="FV24" i="3"/>
  <c r="FV25" i="3"/>
  <c r="FV26" i="3"/>
  <c r="FV27" i="3"/>
  <c r="FV28" i="3"/>
  <c r="FV29" i="3"/>
  <c r="FV30" i="3"/>
  <c r="FV31" i="3"/>
  <c r="FV32" i="3"/>
  <c r="FV33" i="3"/>
  <c r="FV34" i="3"/>
  <c r="FV35" i="3"/>
  <c r="FV36" i="3"/>
  <c r="FV37" i="3"/>
  <c r="FV38" i="3"/>
  <c r="FV39" i="3"/>
  <c r="FV40" i="3"/>
  <c r="FV41" i="3"/>
  <c r="FV42" i="3"/>
  <c r="FV43" i="3"/>
  <c r="FV44" i="3"/>
  <c r="FV45" i="3"/>
  <c r="FV46" i="3"/>
  <c r="FV47" i="3"/>
  <c r="FV48" i="3"/>
  <c r="FV49" i="3"/>
  <c r="FV50" i="3"/>
  <c r="FV51" i="3"/>
  <c r="FV52" i="3"/>
  <c r="FV53" i="3"/>
  <c r="FV54" i="3"/>
  <c r="FV55" i="3"/>
  <c r="FV56" i="3"/>
  <c r="FV57" i="3"/>
  <c r="FV58" i="3"/>
  <c r="FV59" i="3"/>
  <c r="FV60" i="3"/>
  <c r="FV61" i="3"/>
  <c r="FV62" i="3"/>
  <c r="FV63" i="3"/>
  <c r="FV64" i="3"/>
  <c r="FV65" i="3"/>
  <c r="FV66" i="3"/>
  <c r="FV67" i="3"/>
  <c r="FV68" i="3"/>
  <c r="FV69" i="3"/>
  <c r="FV70" i="3"/>
  <c r="FV71" i="3"/>
  <c r="FV72" i="3"/>
  <c r="FV73" i="3"/>
  <c r="FV74" i="3"/>
  <c r="FV75" i="3"/>
  <c r="FV76" i="3"/>
  <c r="FV77" i="3"/>
  <c r="FV78" i="3"/>
  <c r="FV79" i="3"/>
  <c r="FV80" i="3"/>
  <c r="FV81" i="3"/>
  <c r="FV82" i="3"/>
  <c r="FV83" i="3"/>
  <c r="FV84" i="3"/>
  <c r="FV85" i="3"/>
  <c r="FV86" i="3"/>
  <c r="FV87" i="3"/>
  <c r="FV88" i="3"/>
  <c r="FV89" i="3"/>
  <c r="FV90" i="3"/>
  <c r="FV91" i="3"/>
  <c r="FV92" i="3"/>
  <c r="FV93" i="3"/>
  <c r="FV94" i="3"/>
  <c r="FV95" i="3"/>
  <c r="FV96" i="3"/>
  <c r="FV97" i="3"/>
  <c r="FV98" i="3"/>
  <c r="FV99" i="3"/>
  <c r="FV100" i="3"/>
  <c r="FV101" i="3"/>
  <c r="FV102" i="3"/>
  <c r="FV103" i="3"/>
  <c r="FV104" i="3"/>
  <c r="FV105" i="3"/>
  <c r="FV106" i="3"/>
  <c r="FV107" i="3"/>
  <c r="FV108" i="3"/>
  <c r="FV109" i="3"/>
  <c r="FV110" i="3"/>
  <c r="FV111" i="3"/>
  <c r="FV112" i="3"/>
  <c r="FV113" i="3"/>
  <c r="FV114" i="3"/>
  <c r="FV115" i="3"/>
  <c r="FV116" i="3"/>
  <c r="FV117" i="3"/>
  <c r="FV118" i="3"/>
  <c r="FV119" i="3"/>
  <c r="FV120" i="3"/>
  <c r="FV121" i="3"/>
  <c r="FV122" i="3"/>
  <c r="FV123" i="3"/>
  <c r="FV124" i="3"/>
  <c r="FV125" i="3"/>
  <c r="FV126" i="3"/>
  <c r="FV127" i="3"/>
  <c r="FV128" i="3"/>
  <c r="FV129" i="3"/>
  <c r="FV130" i="3"/>
  <c r="FV131" i="3"/>
  <c r="FV132" i="3"/>
  <c r="FV133" i="3"/>
  <c r="FV134" i="3"/>
  <c r="FV135" i="3"/>
  <c r="FV136" i="3"/>
  <c r="FV137" i="3"/>
  <c r="FV138" i="3"/>
  <c r="FV139" i="3"/>
  <c r="FV140" i="3"/>
  <c r="FV141" i="3"/>
  <c r="FV142" i="3"/>
  <c r="FV143" i="3"/>
  <c r="FV144" i="3"/>
  <c r="FV145" i="3"/>
  <c r="FV146" i="3"/>
  <c r="FV147" i="3"/>
  <c r="FV148" i="3"/>
  <c r="FV149" i="3"/>
  <c r="FV150" i="3"/>
  <c r="FV151" i="3"/>
  <c r="FV152" i="3"/>
  <c r="FV153" i="3"/>
  <c r="FV154" i="3"/>
  <c r="FV155" i="3"/>
  <c r="FV156" i="3"/>
  <c r="FV157" i="3"/>
  <c r="FV158" i="3"/>
  <c r="FV159" i="3"/>
  <c r="FV160" i="3"/>
  <c r="FV161" i="3"/>
  <c r="FV162" i="3"/>
  <c r="FV163" i="3"/>
  <c r="FV164" i="3"/>
  <c r="FV165" i="3"/>
  <c r="FV166" i="3"/>
  <c r="FV167" i="3"/>
  <c r="FV168" i="3"/>
  <c r="FV169" i="3"/>
  <c r="FV170" i="3"/>
  <c r="FV171" i="3"/>
  <c r="FV172" i="3"/>
  <c r="FV173" i="3"/>
  <c r="FV174" i="3"/>
  <c r="FV175" i="3"/>
  <c r="FV176" i="3"/>
  <c r="FV177" i="3"/>
  <c r="FV178" i="3"/>
  <c r="FV179" i="3"/>
  <c r="FV180" i="3"/>
  <c r="FV181" i="3"/>
  <c r="FV182" i="3"/>
  <c r="FV183" i="3"/>
  <c r="FV184" i="3"/>
  <c r="FV185" i="3"/>
  <c r="FV186" i="3"/>
  <c r="FV187" i="3"/>
  <c r="FV188" i="3"/>
  <c r="FV189" i="3"/>
  <c r="FV190" i="3"/>
  <c r="FV191" i="3"/>
  <c r="FV192" i="3"/>
  <c r="FV193" i="3"/>
  <c r="FV194" i="3"/>
  <c r="FV195" i="3"/>
  <c r="FV196" i="3"/>
  <c r="FV197" i="3"/>
  <c r="FV198" i="3"/>
  <c r="FV199" i="3"/>
  <c r="FV200" i="3"/>
  <c r="FV201" i="3"/>
  <c r="FV202" i="3"/>
  <c r="FV203" i="3"/>
  <c r="FV204" i="3"/>
  <c r="FV205" i="3"/>
  <c r="FV206" i="3"/>
  <c r="FV207" i="3"/>
  <c r="FV208" i="3"/>
  <c r="FV209" i="3"/>
  <c r="FV210" i="3"/>
  <c r="FV211" i="3"/>
  <c r="FV212" i="3"/>
  <c r="FV213" i="3"/>
  <c r="FV214" i="3"/>
  <c r="FV215" i="3"/>
  <c r="FV216" i="3"/>
  <c r="FV217" i="3"/>
  <c r="FV218" i="3"/>
  <c r="FV219" i="3"/>
  <c r="FV220" i="3"/>
  <c r="FV221" i="3"/>
  <c r="FV222" i="3"/>
  <c r="FV223" i="3"/>
  <c r="FV224" i="3"/>
  <c r="FV225" i="3"/>
  <c r="FV226" i="3"/>
  <c r="FV227" i="3"/>
  <c r="FV228" i="3"/>
  <c r="FV229" i="3"/>
  <c r="FV230" i="3"/>
  <c r="FV231" i="3"/>
  <c r="FV232" i="3"/>
  <c r="FV233" i="3"/>
  <c r="FV234" i="3"/>
  <c r="FV235" i="3"/>
  <c r="FV236" i="3"/>
  <c r="FV237" i="3"/>
  <c r="FV238" i="3"/>
  <c r="FV239" i="3"/>
  <c r="FV240" i="3"/>
  <c r="FV241" i="3"/>
  <c r="FV242" i="3"/>
  <c r="FV243" i="3"/>
  <c r="FV244" i="3"/>
  <c r="FV245" i="3"/>
  <c r="FV246" i="3"/>
  <c r="FV247" i="3"/>
  <c r="FV248" i="3"/>
  <c r="FV249" i="3"/>
  <c r="FV250" i="3"/>
  <c r="FV251" i="3"/>
  <c r="FV252" i="3"/>
  <c r="FV253" i="3"/>
  <c r="FV254" i="3"/>
  <c r="FV255" i="3"/>
  <c r="FV256" i="3"/>
  <c r="FV257" i="3"/>
  <c r="FV258" i="3"/>
  <c r="FV259" i="3"/>
  <c r="FV260" i="3"/>
  <c r="FV261" i="3"/>
  <c r="FV262" i="3"/>
  <c r="FV263" i="3"/>
  <c r="FV264" i="3"/>
  <c r="FV265" i="3"/>
  <c r="FV266" i="3"/>
  <c r="FV267" i="3"/>
  <c r="FV268" i="3"/>
  <c r="FV269" i="3"/>
  <c r="FV270" i="3"/>
  <c r="FV271" i="3"/>
  <c r="FV272" i="3"/>
  <c r="FV273" i="3"/>
  <c r="FV274" i="3"/>
  <c r="FV275" i="3"/>
  <c r="FV276" i="3"/>
  <c r="FV277" i="3"/>
  <c r="FV278" i="3"/>
  <c r="FV279" i="3"/>
  <c r="FV280" i="3"/>
  <c r="FV281" i="3"/>
  <c r="FV282" i="3"/>
  <c r="FV283" i="3"/>
  <c r="FV284" i="3"/>
  <c r="FV285" i="3"/>
  <c r="FV286" i="3"/>
  <c r="FV287" i="3"/>
  <c r="FV288" i="3"/>
  <c r="FV289" i="3"/>
  <c r="FV290" i="3"/>
  <c r="FV291" i="3"/>
  <c r="FV292" i="3"/>
  <c r="FV293" i="3"/>
  <c r="FV294" i="3"/>
  <c r="FV295" i="3"/>
  <c r="FV296" i="3"/>
  <c r="FV297" i="3"/>
  <c r="FV298" i="3"/>
  <c r="FV299" i="3"/>
  <c r="FV300" i="3"/>
  <c r="FV301" i="3"/>
  <c r="FV302" i="3"/>
  <c r="FV303" i="3"/>
  <c r="FV304" i="3"/>
  <c r="FV305" i="3"/>
  <c r="FV306" i="3"/>
  <c r="FV307" i="3"/>
  <c r="FV308" i="3"/>
  <c r="FV309" i="3"/>
  <c r="FV310" i="3"/>
  <c r="FV311" i="3"/>
  <c r="FV312" i="3"/>
  <c r="FV313" i="3"/>
  <c r="FV314" i="3"/>
  <c r="FV315" i="3"/>
  <c r="FV316" i="3"/>
  <c r="FV317" i="3"/>
  <c r="FV318" i="3"/>
  <c r="FV319" i="3"/>
  <c r="FV320" i="3"/>
  <c r="FV321" i="3"/>
  <c r="FV322" i="3"/>
  <c r="FV323" i="3"/>
  <c r="FV324" i="3"/>
  <c r="FV325" i="3"/>
  <c r="FV326" i="3"/>
  <c r="FV327" i="3"/>
  <c r="FV328" i="3"/>
  <c r="FV329" i="3"/>
  <c r="FV330" i="3"/>
  <c r="FV331" i="3"/>
  <c r="FV332" i="3"/>
  <c r="FV333" i="3"/>
  <c r="FV334" i="3"/>
  <c r="FV335" i="3"/>
  <c r="FV336" i="3"/>
  <c r="FV337" i="3"/>
  <c r="FV338" i="3"/>
  <c r="FV339" i="3"/>
  <c r="FV340" i="3"/>
  <c r="FV341" i="3"/>
  <c r="FV342" i="3"/>
  <c r="FV343" i="3"/>
  <c r="FV344" i="3"/>
  <c r="FV345" i="3"/>
  <c r="FV346" i="3"/>
  <c r="FV347" i="3"/>
  <c r="FV348" i="3"/>
  <c r="FV349" i="3"/>
  <c r="FV350" i="3"/>
  <c r="FV351" i="3"/>
  <c r="FV352" i="3"/>
  <c r="FV353" i="3"/>
  <c r="FV354" i="3"/>
  <c r="FV355" i="3"/>
  <c r="FV356" i="3"/>
  <c r="FV357" i="3"/>
  <c r="FV358" i="3"/>
  <c r="FV359" i="3"/>
  <c r="FV360" i="3"/>
  <c r="FV361" i="3"/>
  <c r="FV362" i="3"/>
  <c r="FV363" i="3"/>
  <c r="FV364" i="3"/>
  <c r="FV365" i="3"/>
  <c r="FV366" i="3"/>
  <c r="FV367" i="3"/>
  <c r="FV368" i="3"/>
  <c r="FV369" i="3"/>
  <c r="FV370" i="3"/>
  <c r="FV371" i="3"/>
  <c r="FV372" i="3"/>
  <c r="FV373" i="3"/>
  <c r="FV374" i="3"/>
  <c r="FV375" i="3"/>
  <c r="FV376" i="3"/>
  <c r="FV377" i="3"/>
  <c r="FV378" i="3"/>
  <c r="FV379" i="3"/>
  <c r="FV380" i="3"/>
  <c r="FV381" i="3"/>
  <c r="FV382" i="3"/>
  <c r="FV383" i="3"/>
  <c r="FV384" i="3"/>
  <c r="FV385" i="3"/>
  <c r="FV386" i="3"/>
  <c r="FV387" i="3"/>
  <c r="FV388" i="3"/>
  <c r="FV389" i="3"/>
  <c r="FV390" i="3"/>
  <c r="FV391" i="3"/>
  <c r="FV392" i="3"/>
  <c r="FV393" i="3"/>
  <c r="FV394" i="3"/>
  <c r="FV395" i="3"/>
  <c r="FV396" i="3"/>
  <c r="FV397" i="3"/>
  <c r="FV398" i="3"/>
  <c r="FV399" i="3"/>
  <c r="FV400" i="3"/>
  <c r="FV401" i="3"/>
  <c r="FV402" i="3"/>
  <c r="FV403" i="3"/>
  <c r="FV404" i="3"/>
  <c r="FV405" i="3"/>
  <c r="FV406" i="3"/>
  <c r="FV407" i="3"/>
  <c r="FV408" i="3"/>
  <c r="FV409" i="3"/>
  <c r="FV410" i="3"/>
  <c r="FV411" i="3"/>
  <c r="FV412" i="3"/>
  <c r="FV413" i="3"/>
  <c r="FV414" i="3"/>
  <c r="FV415" i="3"/>
  <c r="FV416" i="3"/>
  <c r="FV417" i="3"/>
  <c r="FV418" i="3"/>
  <c r="FV419" i="3"/>
  <c r="FV420" i="3"/>
  <c r="FV421" i="3"/>
  <c r="FV422" i="3"/>
  <c r="FV423" i="3"/>
  <c r="FV424" i="3"/>
  <c r="FV425" i="3"/>
  <c r="FV426" i="3"/>
  <c r="FV427" i="3"/>
  <c r="FV428" i="3"/>
  <c r="FV429" i="3"/>
  <c r="FV430" i="3"/>
  <c r="FV431" i="3"/>
  <c r="FV432" i="3"/>
  <c r="FV433" i="3"/>
  <c r="FV434" i="3"/>
  <c r="FV435" i="3"/>
  <c r="FV436" i="3"/>
  <c r="FV437" i="3"/>
  <c r="FV438" i="3"/>
  <c r="FV439" i="3"/>
  <c r="FV440" i="3"/>
  <c r="FV441" i="3"/>
  <c r="FV442" i="3"/>
  <c r="FV443" i="3"/>
  <c r="FV444" i="3"/>
  <c r="FV445" i="3"/>
  <c r="FV446" i="3"/>
  <c r="FV447" i="3"/>
  <c r="FV448" i="3"/>
  <c r="FV449" i="3"/>
  <c r="FV450" i="3"/>
  <c r="FV451" i="3"/>
  <c r="FV452" i="3"/>
  <c r="FV453" i="3"/>
  <c r="FV454" i="3"/>
  <c r="FV455" i="3"/>
  <c r="FV456" i="3"/>
  <c r="FV457" i="3"/>
  <c r="FV458" i="3"/>
  <c r="FV459" i="3"/>
  <c r="FV460" i="3"/>
  <c r="FV461" i="3"/>
  <c r="FV462" i="3"/>
  <c r="FV463" i="3"/>
  <c r="FV464" i="3"/>
  <c r="FV465" i="3"/>
  <c r="FV466" i="3"/>
  <c r="FV467" i="3"/>
  <c r="FV468" i="3"/>
  <c r="FV469" i="3"/>
  <c r="FV470" i="3"/>
  <c r="FV471" i="3"/>
  <c r="FV472" i="3"/>
  <c r="FV473" i="3"/>
  <c r="FV474" i="3"/>
  <c r="FV475" i="3"/>
  <c r="FV476" i="3"/>
  <c r="FV477" i="3"/>
  <c r="FV478" i="3"/>
  <c r="FV479" i="3"/>
  <c r="FV480" i="3"/>
  <c r="FV481" i="3"/>
  <c r="FV482" i="3"/>
  <c r="FV483" i="3"/>
  <c r="FV484" i="3"/>
  <c r="FV485" i="3"/>
  <c r="FV486" i="3"/>
  <c r="FV487" i="3"/>
  <c r="FV488" i="3"/>
  <c r="FV489" i="3"/>
  <c r="FV490" i="3"/>
  <c r="FV491" i="3"/>
  <c r="FV492" i="3"/>
  <c r="FV493" i="3"/>
  <c r="FV494" i="3"/>
  <c r="FV495" i="3"/>
  <c r="FV496" i="3"/>
  <c r="FV497" i="3"/>
  <c r="FV498" i="3"/>
  <c r="FV499" i="3"/>
  <c r="FV500" i="3"/>
  <c r="FV501" i="3"/>
  <c r="FV502" i="3"/>
  <c r="FV503" i="3"/>
  <c r="FV504" i="3"/>
  <c r="FV505" i="3"/>
  <c r="FV506" i="3"/>
  <c r="FV507" i="3"/>
  <c r="FV508" i="3"/>
  <c r="FV509" i="3"/>
  <c r="FV510" i="3"/>
  <c r="FV511" i="3"/>
  <c r="FV512" i="3"/>
  <c r="FV513" i="3"/>
  <c r="FV514" i="3"/>
  <c r="FV515" i="3"/>
  <c r="FV516" i="3"/>
  <c r="FV517" i="3"/>
  <c r="FV518" i="3"/>
  <c r="FV519" i="3"/>
  <c r="FV520" i="3"/>
  <c r="FV521" i="3"/>
  <c r="FV522" i="3"/>
  <c r="FV523" i="3"/>
  <c r="FV524" i="3"/>
  <c r="FV525" i="3"/>
  <c r="FV526" i="3"/>
  <c r="FV527" i="3"/>
  <c r="FV528" i="3"/>
  <c r="FV529" i="3"/>
  <c r="FV530" i="3"/>
  <c r="FV531" i="3"/>
  <c r="FV532" i="3"/>
  <c r="FV533" i="3"/>
  <c r="FV534" i="3"/>
  <c r="FV535" i="3"/>
  <c r="FV536" i="3"/>
  <c r="FV537" i="3"/>
  <c r="FV538" i="3"/>
  <c r="FV539" i="3"/>
  <c r="FV540" i="3"/>
  <c r="FV541" i="3"/>
  <c r="FV542" i="3"/>
  <c r="FV543" i="3"/>
  <c r="FV544" i="3"/>
  <c r="FV545" i="3"/>
  <c r="FV546" i="3"/>
  <c r="FV547" i="3"/>
  <c r="FV548" i="3"/>
  <c r="FV549" i="3"/>
  <c r="FV550" i="3"/>
  <c r="FV551" i="3"/>
  <c r="FV552" i="3"/>
  <c r="FV553" i="3"/>
  <c r="FV554" i="3"/>
  <c r="FV555" i="3"/>
  <c r="FV556" i="3"/>
  <c r="FV557" i="3"/>
  <c r="FV558" i="3"/>
  <c r="FV559" i="3"/>
  <c r="FV560" i="3"/>
  <c r="FV561" i="3"/>
  <c r="FV562" i="3"/>
  <c r="FV563" i="3"/>
  <c r="FV564" i="3"/>
  <c r="FV565" i="3"/>
  <c r="FV566" i="3"/>
  <c r="FV567" i="3"/>
  <c r="FV568" i="3"/>
  <c r="FV569" i="3"/>
  <c r="FV570" i="3"/>
  <c r="FV571" i="3"/>
  <c r="FV572" i="3"/>
  <c r="FV573" i="3"/>
  <c r="FV574" i="3"/>
  <c r="FV575" i="3"/>
  <c r="FV576" i="3"/>
  <c r="FV577" i="3"/>
  <c r="FV578" i="3"/>
  <c r="FV579" i="3"/>
  <c r="FV580" i="3"/>
  <c r="FV581" i="3"/>
  <c r="FV582" i="3"/>
  <c r="FV583" i="3"/>
  <c r="FV584" i="3"/>
  <c r="FV585" i="3"/>
  <c r="FV586" i="3"/>
  <c r="FV587" i="3"/>
  <c r="FV588" i="3"/>
  <c r="FV589" i="3"/>
  <c r="FV590" i="3"/>
  <c r="FV591" i="3"/>
  <c r="FV592" i="3"/>
  <c r="FV593" i="3"/>
  <c r="FV594" i="3"/>
  <c r="FV595" i="3"/>
  <c r="FV596" i="3"/>
  <c r="FV597" i="3"/>
  <c r="FV598" i="3"/>
  <c r="FV599" i="3"/>
  <c r="FV600" i="3"/>
  <c r="FU3" i="3"/>
  <c r="FU4" i="3"/>
  <c r="FU5" i="3"/>
  <c r="FU6" i="3"/>
  <c r="FU7" i="3"/>
  <c r="FU8" i="3"/>
  <c r="FU9" i="3"/>
  <c r="FU10" i="3"/>
  <c r="FU11" i="3"/>
  <c r="FU12" i="3"/>
  <c r="FU13" i="3"/>
  <c r="FU14" i="3"/>
  <c r="FU15" i="3"/>
  <c r="FU16" i="3"/>
  <c r="FU17" i="3"/>
  <c r="FU18" i="3"/>
  <c r="FU19" i="3"/>
  <c r="FU20" i="3"/>
  <c r="FU21" i="3"/>
  <c r="FU22" i="3"/>
  <c r="FU23" i="3"/>
  <c r="FU24" i="3"/>
  <c r="FU25" i="3"/>
  <c r="FU26" i="3"/>
  <c r="FU27" i="3"/>
  <c r="FU28" i="3"/>
  <c r="FU29" i="3"/>
  <c r="FU30" i="3"/>
  <c r="FU31" i="3"/>
  <c r="FU32" i="3"/>
  <c r="FU33" i="3"/>
  <c r="FU34" i="3"/>
  <c r="FU35" i="3"/>
  <c r="FU36" i="3"/>
  <c r="FU37" i="3"/>
  <c r="FU38" i="3"/>
  <c r="FU39" i="3"/>
  <c r="FU40" i="3"/>
  <c r="FU41" i="3"/>
  <c r="FU42" i="3"/>
  <c r="FU43" i="3"/>
  <c r="FU44" i="3"/>
  <c r="FU45" i="3"/>
  <c r="FU46" i="3"/>
  <c r="FU47" i="3"/>
  <c r="FU48" i="3"/>
  <c r="FU49" i="3"/>
  <c r="FU50" i="3"/>
  <c r="FU51" i="3"/>
  <c r="FU52" i="3"/>
  <c r="FU53" i="3"/>
  <c r="FU54" i="3"/>
  <c r="FU55" i="3"/>
  <c r="FU56" i="3"/>
  <c r="FU57" i="3"/>
  <c r="FU58" i="3"/>
  <c r="FU59" i="3"/>
  <c r="FU60" i="3"/>
  <c r="FU61" i="3"/>
  <c r="FU62" i="3"/>
  <c r="FU63" i="3"/>
  <c r="FU64" i="3"/>
  <c r="FU65" i="3"/>
  <c r="FU66" i="3"/>
  <c r="FU67" i="3"/>
  <c r="FU68" i="3"/>
  <c r="FU69" i="3"/>
  <c r="FU70" i="3"/>
  <c r="FU71" i="3"/>
  <c r="FU72" i="3"/>
  <c r="FU73" i="3"/>
  <c r="FU74" i="3"/>
  <c r="FU75" i="3"/>
  <c r="FU76" i="3"/>
  <c r="FU77" i="3"/>
  <c r="FU78" i="3"/>
  <c r="FU79" i="3"/>
  <c r="FU80" i="3"/>
  <c r="FU81" i="3"/>
  <c r="FU82" i="3"/>
  <c r="FU83" i="3"/>
  <c r="FU84" i="3"/>
  <c r="FU85" i="3"/>
  <c r="FU86" i="3"/>
  <c r="FU87" i="3"/>
  <c r="FU88" i="3"/>
  <c r="FU89" i="3"/>
  <c r="FU90" i="3"/>
  <c r="FU91" i="3"/>
  <c r="FU92" i="3"/>
  <c r="FU93" i="3"/>
  <c r="FU94" i="3"/>
  <c r="FU95" i="3"/>
  <c r="FU96" i="3"/>
  <c r="FU97" i="3"/>
  <c r="FU98" i="3"/>
  <c r="FU99" i="3"/>
  <c r="FU100" i="3"/>
  <c r="FU101" i="3"/>
  <c r="FU102" i="3"/>
  <c r="FU103" i="3"/>
  <c r="FU104" i="3"/>
  <c r="FU105" i="3"/>
  <c r="FU106" i="3"/>
  <c r="FU107" i="3"/>
  <c r="FU108" i="3"/>
  <c r="FU109" i="3"/>
  <c r="FU110" i="3"/>
  <c r="FU111" i="3"/>
  <c r="FU112" i="3"/>
  <c r="FU113" i="3"/>
  <c r="FU114" i="3"/>
  <c r="FU115" i="3"/>
  <c r="FU116" i="3"/>
  <c r="FU117" i="3"/>
  <c r="FU118" i="3"/>
  <c r="FU119" i="3"/>
  <c r="FU120" i="3"/>
  <c r="FU121" i="3"/>
  <c r="FU122" i="3"/>
  <c r="FU123" i="3"/>
  <c r="FU124" i="3"/>
  <c r="FU125" i="3"/>
  <c r="FU126" i="3"/>
  <c r="FU127" i="3"/>
  <c r="FU128" i="3"/>
  <c r="FU129" i="3"/>
  <c r="FU130" i="3"/>
  <c r="FU131" i="3"/>
  <c r="FU132" i="3"/>
  <c r="FU133" i="3"/>
  <c r="FU134" i="3"/>
  <c r="FU135" i="3"/>
  <c r="FU136" i="3"/>
  <c r="FU137" i="3"/>
  <c r="FU138" i="3"/>
  <c r="FU139" i="3"/>
  <c r="FU140" i="3"/>
  <c r="FU141" i="3"/>
  <c r="FU142" i="3"/>
  <c r="FU143" i="3"/>
  <c r="FU144" i="3"/>
  <c r="FU145" i="3"/>
  <c r="FU146" i="3"/>
  <c r="FU147" i="3"/>
  <c r="FU148" i="3"/>
  <c r="FU149" i="3"/>
  <c r="FU150" i="3"/>
  <c r="FU151" i="3"/>
  <c r="FU152" i="3"/>
  <c r="FU153" i="3"/>
  <c r="FU154" i="3"/>
  <c r="FU155" i="3"/>
  <c r="FU156" i="3"/>
  <c r="FU157" i="3"/>
  <c r="FU158" i="3"/>
  <c r="FU159" i="3"/>
  <c r="FU160" i="3"/>
  <c r="FU161" i="3"/>
  <c r="FU162" i="3"/>
  <c r="FU163" i="3"/>
  <c r="FU164" i="3"/>
  <c r="FU165" i="3"/>
  <c r="FU166" i="3"/>
  <c r="FU167" i="3"/>
  <c r="FU168" i="3"/>
  <c r="FU169" i="3"/>
  <c r="FU170" i="3"/>
  <c r="FU171" i="3"/>
  <c r="FU172" i="3"/>
  <c r="FU173" i="3"/>
  <c r="FU174" i="3"/>
  <c r="FU175" i="3"/>
  <c r="FU176" i="3"/>
  <c r="FU177" i="3"/>
  <c r="FU178" i="3"/>
  <c r="FU179" i="3"/>
  <c r="FU180" i="3"/>
  <c r="FU181" i="3"/>
  <c r="FU182" i="3"/>
  <c r="FU183" i="3"/>
  <c r="FU184" i="3"/>
  <c r="FU185" i="3"/>
  <c r="FU186" i="3"/>
  <c r="FU187" i="3"/>
  <c r="FU188" i="3"/>
  <c r="FU189" i="3"/>
  <c r="FU190" i="3"/>
  <c r="FU191" i="3"/>
  <c r="FU192" i="3"/>
  <c r="FU193" i="3"/>
  <c r="FU194" i="3"/>
  <c r="FU195" i="3"/>
  <c r="FU196" i="3"/>
  <c r="FU197" i="3"/>
  <c r="FU198" i="3"/>
  <c r="FU199" i="3"/>
  <c r="FU200" i="3"/>
  <c r="FU201" i="3"/>
  <c r="FU202" i="3"/>
  <c r="FU203" i="3"/>
  <c r="FU204" i="3"/>
  <c r="FU205" i="3"/>
  <c r="FU206" i="3"/>
  <c r="FU207" i="3"/>
  <c r="FU208" i="3"/>
  <c r="FU209" i="3"/>
  <c r="FU210" i="3"/>
  <c r="FU211" i="3"/>
  <c r="FU212" i="3"/>
  <c r="FU213" i="3"/>
  <c r="FU214" i="3"/>
  <c r="FU215" i="3"/>
  <c r="FU216" i="3"/>
  <c r="FU217" i="3"/>
  <c r="FU218" i="3"/>
  <c r="FU219" i="3"/>
  <c r="FU220" i="3"/>
  <c r="FU221" i="3"/>
  <c r="FU222" i="3"/>
  <c r="FU223" i="3"/>
  <c r="FU224" i="3"/>
  <c r="FU225" i="3"/>
  <c r="FU226" i="3"/>
  <c r="FU227" i="3"/>
  <c r="FU228" i="3"/>
  <c r="FU229" i="3"/>
  <c r="FU230" i="3"/>
  <c r="FU231" i="3"/>
  <c r="FU232" i="3"/>
  <c r="FU233" i="3"/>
  <c r="FU234" i="3"/>
  <c r="FU235" i="3"/>
  <c r="FU236" i="3"/>
  <c r="FU237" i="3"/>
  <c r="FU238" i="3"/>
  <c r="FU239" i="3"/>
  <c r="FU240" i="3"/>
  <c r="FU241" i="3"/>
  <c r="FU242" i="3"/>
  <c r="FU243" i="3"/>
  <c r="FU244" i="3"/>
  <c r="FU245" i="3"/>
  <c r="FU246" i="3"/>
  <c r="FU247" i="3"/>
  <c r="FU248" i="3"/>
  <c r="FU249" i="3"/>
  <c r="FU250" i="3"/>
  <c r="FU251" i="3"/>
  <c r="FU252" i="3"/>
  <c r="FU253" i="3"/>
  <c r="FU254" i="3"/>
  <c r="FU255" i="3"/>
  <c r="FU256" i="3"/>
  <c r="FU257" i="3"/>
  <c r="FU258" i="3"/>
  <c r="FU259" i="3"/>
  <c r="FU260" i="3"/>
  <c r="FU261" i="3"/>
  <c r="FU262" i="3"/>
  <c r="FU263" i="3"/>
  <c r="FU264" i="3"/>
  <c r="FU265" i="3"/>
  <c r="FU266" i="3"/>
  <c r="FU267" i="3"/>
  <c r="FU268" i="3"/>
  <c r="FU269" i="3"/>
  <c r="FU270" i="3"/>
  <c r="FU271" i="3"/>
  <c r="FU272" i="3"/>
  <c r="FU273" i="3"/>
  <c r="FU274" i="3"/>
  <c r="FU275" i="3"/>
  <c r="FU276" i="3"/>
  <c r="FU277" i="3"/>
  <c r="FU278" i="3"/>
  <c r="FU279" i="3"/>
  <c r="FU280" i="3"/>
  <c r="FU281" i="3"/>
  <c r="FU282" i="3"/>
  <c r="FU283" i="3"/>
  <c r="FU284" i="3"/>
  <c r="FU285" i="3"/>
  <c r="FU286" i="3"/>
  <c r="FU287" i="3"/>
  <c r="FU288" i="3"/>
  <c r="FU289" i="3"/>
  <c r="FU290" i="3"/>
  <c r="FU291" i="3"/>
  <c r="FU292" i="3"/>
  <c r="FU293" i="3"/>
  <c r="FU294" i="3"/>
  <c r="FU295" i="3"/>
  <c r="FU296" i="3"/>
  <c r="FU297" i="3"/>
  <c r="FU298" i="3"/>
  <c r="FU299" i="3"/>
  <c r="FU300" i="3"/>
  <c r="FU301" i="3"/>
  <c r="FU302" i="3"/>
  <c r="FU303" i="3"/>
  <c r="FU304" i="3"/>
  <c r="FU305" i="3"/>
  <c r="FU306" i="3"/>
  <c r="FU307" i="3"/>
  <c r="FU308" i="3"/>
  <c r="FU309" i="3"/>
  <c r="FU310" i="3"/>
  <c r="FU311" i="3"/>
  <c r="FU312" i="3"/>
  <c r="FU313" i="3"/>
  <c r="FU314" i="3"/>
  <c r="FU315" i="3"/>
  <c r="FU316" i="3"/>
  <c r="FU317" i="3"/>
  <c r="FU318" i="3"/>
  <c r="FU319" i="3"/>
  <c r="FU320" i="3"/>
  <c r="FU321" i="3"/>
  <c r="FU322" i="3"/>
  <c r="FU323" i="3"/>
  <c r="FU324" i="3"/>
  <c r="FU325" i="3"/>
  <c r="FU326" i="3"/>
  <c r="FU327" i="3"/>
  <c r="FU328" i="3"/>
  <c r="FU329" i="3"/>
  <c r="FU330" i="3"/>
  <c r="FU331" i="3"/>
  <c r="FU332" i="3"/>
  <c r="FU333" i="3"/>
  <c r="FU334" i="3"/>
  <c r="FU335" i="3"/>
  <c r="FU336" i="3"/>
  <c r="FU337" i="3"/>
  <c r="FU338" i="3"/>
  <c r="FU339" i="3"/>
  <c r="FU340" i="3"/>
  <c r="FU341" i="3"/>
  <c r="FU342" i="3"/>
  <c r="FU343" i="3"/>
  <c r="FU344" i="3"/>
  <c r="FU345" i="3"/>
  <c r="FU346" i="3"/>
  <c r="FU347" i="3"/>
  <c r="FU348" i="3"/>
  <c r="FU349" i="3"/>
  <c r="FU350" i="3"/>
  <c r="FU351" i="3"/>
  <c r="FU352" i="3"/>
  <c r="FU353" i="3"/>
  <c r="FU354" i="3"/>
  <c r="FU355" i="3"/>
  <c r="FU356" i="3"/>
  <c r="FU357" i="3"/>
  <c r="FU358" i="3"/>
  <c r="FU359" i="3"/>
  <c r="FU360" i="3"/>
  <c r="FU361" i="3"/>
  <c r="FU362" i="3"/>
  <c r="FU363" i="3"/>
  <c r="FU364" i="3"/>
  <c r="FU365" i="3"/>
  <c r="FU366" i="3"/>
  <c r="FU367" i="3"/>
  <c r="FU368" i="3"/>
  <c r="FU369" i="3"/>
  <c r="FU370" i="3"/>
  <c r="FU371" i="3"/>
  <c r="FU372" i="3"/>
  <c r="FU373" i="3"/>
  <c r="FU374" i="3"/>
  <c r="FU375" i="3"/>
  <c r="FU376" i="3"/>
  <c r="FU377" i="3"/>
  <c r="FU378" i="3"/>
  <c r="FU379" i="3"/>
  <c r="FU380" i="3"/>
  <c r="FU381" i="3"/>
  <c r="FU382" i="3"/>
  <c r="FU383" i="3"/>
  <c r="FU384" i="3"/>
  <c r="FU385" i="3"/>
  <c r="FU386" i="3"/>
  <c r="FU387" i="3"/>
  <c r="FU388" i="3"/>
  <c r="FU389" i="3"/>
  <c r="FU390" i="3"/>
  <c r="FU391" i="3"/>
  <c r="FU392" i="3"/>
  <c r="FU393" i="3"/>
  <c r="FU394" i="3"/>
  <c r="FU395" i="3"/>
  <c r="FU396" i="3"/>
  <c r="FU397" i="3"/>
  <c r="FU398" i="3"/>
  <c r="FU399" i="3"/>
  <c r="FU400" i="3"/>
  <c r="FU401" i="3"/>
  <c r="FU402" i="3"/>
  <c r="FU403" i="3"/>
  <c r="FU404" i="3"/>
  <c r="FU405" i="3"/>
  <c r="FU406" i="3"/>
  <c r="FU407" i="3"/>
  <c r="FU408" i="3"/>
  <c r="FU409" i="3"/>
  <c r="FU410" i="3"/>
  <c r="FU411" i="3"/>
  <c r="FU412" i="3"/>
  <c r="FU413" i="3"/>
  <c r="FU414" i="3"/>
  <c r="FU415" i="3"/>
  <c r="FU416" i="3"/>
  <c r="FU417" i="3"/>
  <c r="FU418" i="3"/>
  <c r="FU419" i="3"/>
  <c r="FU420" i="3"/>
  <c r="FU421" i="3"/>
  <c r="FU422" i="3"/>
  <c r="FU423" i="3"/>
  <c r="FU424" i="3"/>
  <c r="FU425" i="3"/>
  <c r="FU426" i="3"/>
  <c r="FU427" i="3"/>
  <c r="FU428" i="3"/>
  <c r="FU429" i="3"/>
  <c r="FU430" i="3"/>
  <c r="FU431" i="3"/>
  <c r="FU432" i="3"/>
  <c r="FU433" i="3"/>
  <c r="FU434" i="3"/>
  <c r="FU435" i="3"/>
  <c r="FU436" i="3"/>
  <c r="FU437" i="3"/>
  <c r="FU438" i="3"/>
  <c r="FU439" i="3"/>
  <c r="FU440" i="3"/>
  <c r="FU441" i="3"/>
  <c r="FU442" i="3"/>
  <c r="FU443" i="3"/>
  <c r="FU444" i="3"/>
  <c r="FU445" i="3"/>
  <c r="FU446" i="3"/>
  <c r="FU447" i="3"/>
  <c r="FU448" i="3"/>
  <c r="FU449" i="3"/>
  <c r="FU450" i="3"/>
  <c r="FU451" i="3"/>
  <c r="FU452" i="3"/>
  <c r="FU453" i="3"/>
  <c r="FU454" i="3"/>
  <c r="FU455" i="3"/>
  <c r="FU456" i="3"/>
  <c r="FU457" i="3"/>
  <c r="FU458" i="3"/>
  <c r="FU459" i="3"/>
  <c r="FU460" i="3"/>
  <c r="FU461" i="3"/>
  <c r="FU462" i="3"/>
  <c r="FU463" i="3"/>
  <c r="FU464" i="3"/>
  <c r="FU465" i="3"/>
  <c r="FU466" i="3"/>
  <c r="FU467" i="3"/>
  <c r="FU468" i="3"/>
  <c r="FU469" i="3"/>
  <c r="FU470" i="3"/>
  <c r="FU471" i="3"/>
  <c r="FU472" i="3"/>
  <c r="FU473" i="3"/>
  <c r="FU474" i="3"/>
  <c r="FU475" i="3"/>
  <c r="FU476" i="3"/>
  <c r="FU477" i="3"/>
  <c r="FU478" i="3"/>
  <c r="FU479" i="3"/>
  <c r="FU480" i="3"/>
  <c r="FU481" i="3"/>
  <c r="FU482" i="3"/>
  <c r="FU483" i="3"/>
  <c r="FU484" i="3"/>
  <c r="FU485" i="3"/>
  <c r="FU486" i="3"/>
  <c r="FU487" i="3"/>
  <c r="FU488" i="3"/>
  <c r="FU489" i="3"/>
  <c r="FU490" i="3"/>
  <c r="FU491" i="3"/>
  <c r="FU492" i="3"/>
  <c r="FU493" i="3"/>
  <c r="FU494" i="3"/>
  <c r="FU495" i="3"/>
  <c r="FU496" i="3"/>
  <c r="FU497" i="3"/>
  <c r="FU498" i="3"/>
  <c r="FU499" i="3"/>
  <c r="FU500" i="3"/>
  <c r="FU501" i="3"/>
  <c r="FU502" i="3"/>
  <c r="FU503" i="3"/>
  <c r="FU504" i="3"/>
  <c r="FU505" i="3"/>
  <c r="FU506" i="3"/>
  <c r="FU507" i="3"/>
  <c r="FU508" i="3"/>
  <c r="FU509" i="3"/>
  <c r="FU510" i="3"/>
  <c r="FU511" i="3"/>
  <c r="FU512" i="3"/>
  <c r="FU513" i="3"/>
  <c r="FU514" i="3"/>
  <c r="FU515" i="3"/>
  <c r="FU516" i="3"/>
  <c r="FU517" i="3"/>
  <c r="FU518" i="3"/>
  <c r="FU519" i="3"/>
  <c r="FU520" i="3"/>
  <c r="FU521" i="3"/>
  <c r="FU522" i="3"/>
  <c r="FU523" i="3"/>
  <c r="FU524" i="3"/>
  <c r="FU525" i="3"/>
  <c r="FU526" i="3"/>
  <c r="FU527" i="3"/>
  <c r="FU528" i="3"/>
  <c r="FU529" i="3"/>
  <c r="FU530" i="3"/>
  <c r="FU531" i="3"/>
  <c r="FU532" i="3"/>
  <c r="FU533" i="3"/>
  <c r="FU534" i="3"/>
  <c r="FU535" i="3"/>
  <c r="FU536" i="3"/>
  <c r="FU537" i="3"/>
  <c r="FU538" i="3"/>
  <c r="FU539" i="3"/>
  <c r="FU540" i="3"/>
  <c r="FU541" i="3"/>
  <c r="FU542" i="3"/>
  <c r="FU543" i="3"/>
  <c r="FU544" i="3"/>
  <c r="FU545" i="3"/>
  <c r="FU546" i="3"/>
  <c r="FU547" i="3"/>
  <c r="FU548" i="3"/>
  <c r="FU549" i="3"/>
  <c r="FU550" i="3"/>
  <c r="FU551" i="3"/>
  <c r="FU552" i="3"/>
  <c r="FU553" i="3"/>
  <c r="FU554" i="3"/>
  <c r="FU555" i="3"/>
  <c r="FU556" i="3"/>
  <c r="FU557" i="3"/>
  <c r="FU558" i="3"/>
  <c r="FU559" i="3"/>
  <c r="FU560" i="3"/>
  <c r="FU561" i="3"/>
  <c r="FU562" i="3"/>
  <c r="FU563" i="3"/>
  <c r="FU564" i="3"/>
  <c r="FU565" i="3"/>
  <c r="FU566" i="3"/>
  <c r="FU567" i="3"/>
  <c r="FU568" i="3"/>
  <c r="FU569" i="3"/>
  <c r="FU570" i="3"/>
  <c r="FU571" i="3"/>
  <c r="FU572" i="3"/>
  <c r="FU573" i="3"/>
  <c r="FU574" i="3"/>
  <c r="FU575" i="3"/>
  <c r="FU576" i="3"/>
  <c r="FU577" i="3"/>
  <c r="FU578" i="3"/>
  <c r="FU579" i="3"/>
  <c r="FU580" i="3"/>
  <c r="FU581" i="3"/>
  <c r="FU582" i="3"/>
  <c r="FU583" i="3"/>
  <c r="FU584" i="3"/>
  <c r="FU585" i="3"/>
  <c r="FU586" i="3"/>
  <c r="FU587" i="3"/>
  <c r="FU588" i="3"/>
  <c r="FU589" i="3"/>
  <c r="FU590" i="3"/>
  <c r="FU591" i="3"/>
  <c r="FU592" i="3"/>
  <c r="FU593" i="3"/>
  <c r="FU594" i="3"/>
  <c r="FU595" i="3"/>
  <c r="FU596" i="3"/>
  <c r="FU597" i="3"/>
  <c r="FU598" i="3"/>
  <c r="FU599" i="3"/>
  <c r="FU600" i="3"/>
  <c r="EC3" i="3"/>
  <c r="EC4" i="3"/>
  <c r="EC5" i="3"/>
  <c r="EC6" i="3"/>
  <c r="EC7" i="3"/>
  <c r="EC8" i="3"/>
  <c r="EC9" i="3"/>
  <c r="EC10" i="3"/>
  <c r="EC11" i="3"/>
  <c r="EC12" i="3"/>
  <c r="EC13" i="3"/>
  <c r="EC14" i="3"/>
  <c r="EC15" i="3"/>
  <c r="EC16" i="3"/>
  <c r="EC17" i="3"/>
  <c r="EC18" i="3"/>
  <c r="EC19" i="3"/>
  <c r="EC20" i="3"/>
  <c r="EC21" i="3"/>
  <c r="EC22" i="3"/>
  <c r="EC23" i="3"/>
  <c r="EC24" i="3"/>
  <c r="EC25" i="3"/>
  <c r="EC26" i="3"/>
  <c r="EC27" i="3"/>
  <c r="EC28" i="3"/>
  <c r="EC29" i="3"/>
  <c r="EC30" i="3"/>
  <c r="EC31" i="3"/>
  <c r="EC32" i="3"/>
  <c r="EC33" i="3"/>
  <c r="EC34" i="3"/>
  <c r="EC35" i="3"/>
  <c r="EC36" i="3"/>
  <c r="EC37" i="3"/>
  <c r="EC38" i="3"/>
  <c r="EC39" i="3"/>
  <c r="EC40" i="3"/>
  <c r="EC41" i="3"/>
  <c r="EC42" i="3"/>
  <c r="EC43" i="3"/>
  <c r="EC44" i="3"/>
  <c r="EC45" i="3"/>
  <c r="EC46" i="3"/>
  <c r="EC47" i="3"/>
  <c r="EC48" i="3"/>
  <c r="EC49" i="3"/>
  <c r="EC50" i="3"/>
  <c r="EC51" i="3"/>
  <c r="EC52" i="3"/>
  <c r="EC53" i="3"/>
  <c r="EC54" i="3"/>
  <c r="EC55" i="3"/>
  <c r="EC56" i="3"/>
  <c r="EC57" i="3"/>
  <c r="EC58" i="3"/>
  <c r="EC59" i="3"/>
  <c r="EC60" i="3"/>
  <c r="EC61" i="3"/>
  <c r="EC62" i="3"/>
  <c r="EC63" i="3"/>
  <c r="EC64" i="3"/>
  <c r="EC65" i="3"/>
  <c r="EC66" i="3"/>
  <c r="EC67" i="3"/>
  <c r="EC68" i="3"/>
  <c r="EC69" i="3"/>
  <c r="EC70" i="3"/>
  <c r="EC71" i="3"/>
  <c r="EC72" i="3"/>
  <c r="EC73" i="3"/>
  <c r="EC74" i="3"/>
  <c r="EC75" i="3"/>
  <c r="EC76" i="3"/>
  <c r="EC77" i="3"/>
  <c r="EC78" i="3"/>
  <c r="EC79" i="3"/>
  <c r="EC80" i="3"/>
  <c r="EC81" i="3"/>
  <c r="EC82" i="3"/>
  <c r="EC83" i="3"/>
  <c r="EC84" i="3"/>
  <c r="EC85" i="3"/>
  <c r="EC86" i="3"/>
  <c r="EC87" i="3"/>
  <c r="EC88" i="3"/>
  <c r="EC89" i="3"/>
  <c r="EC90" i="3"/>
  <c r="EC91" i="3"/>
  <c r="EC92" i="3"/>
  <c r="EC93" i="3"/>
  <c r="EC94" i="3"/>
  <c r="EC95" i="3"/>
  <c r="EC96" i="3"/>
  <c r="EC97" i="3"/>
  <c r="EC98" i="3"/>
  <c r="EC99" i="3"/>
  <c r="EC100" i="3"/>
  <c r="EC101" i="3"/>
  <c r="EC102" i="3"/>
  <c r="EC103" i="3"/>
  <c r="EC104" i="3"/>
  <c r="EC105" i="3"/>
  <c r="EC106" i="3"/>
  <c r="EC107" i="3"/>
  <c r="EC108" i="3"/>
  <c r="EC109" i="3"/>
  <c r="EC110" i="3"/>
  <c r="EC111" i="3"/>
  <c r="EC112" i="3"/>
  <c r="EC113" i="3"/>
  <c r="EC114" i="3"/>
  <c r="EC115" i="3"/>
  <c r="EC116" i="3"/>
  <c r="EC117" i="3"/>
  <c r="EC118" i="3"/>
  <c r="EC119" i="3"/>
  <c r="EC120" i="3"/>
  <c r="EC121" i="3"/>
  <c r="EC122" i="3"/>
  <c r="EC123" i="3"/>
  <c r="EC124" i="3"/>
  <c r="EC125" i="3"/>
  <c r="EC126" i="3"/>
  <c r="EC127" i="3"/>
  <c r="EC128" i="3"/>
  <c r="EC129" i="3"/>
  <c r="EC130" i="3"/>
  <c r="EC131" i="3"/>
  <c r="EC132" i="3"/>
  <c r="EC133" i="3"/>
  <c r="EC134" i="3"/>
  <c r="EC135" i="3"/>
  <c r="EC136" i="3"/>
  <c r="EC137" i="3"/>
  <c r="EC138" i="3"/>
  <c r="EC139" i="3"/>
  <c r="EC140" i="3"/>
  <c r="EC141" i="3"/>
  <c r="EC142" i="3"/>
  <c r="EC143" i="3"/>
  <c r="EC144" i="3"/>
  <c r="EC145" i="3"/>
  <c r="EC146" i="3"/>
  <c r="EC147" i="3"/>
  <c r="EC148" i="3"/>
  <c r="EC149" i="3"/>
  <c r="EC150" i="3"/>
  <c r="EC151" i="3"/>
  <c r="EC152" i="3"/>
  <c r="EC153" i="3"/>
  <c r="EC154" i="3"/>
  <c r="EC155" i="3"/>
  <c r="EC156" i="3"/>
  <c r="EC157" i="3"/>
  <c r="EC158" i="3"/>
  <c r="EC159" i="3"/>
  <c r="EC160" i="3"/>
  <c r="EC161" i="3"/>
  <c r="EC162" i="3"/>
  <c r="EC163" i="3"/>
  <c r="EC164" i="3"/>
  <c r="EC165" i="3"/>
  <c r="EC166" i="3"/>
  <c r="EC167" i="3"/>
  <c r="EC168" i="3"/>
  <c r="EC169" i="3"/>
  <c r="EC170" i="3"/>
  <c r="EC171" i="3"/>
  <c r="EC172" i="3"/>
  <c r="EC173" i="3"/>
  <c r="EC174" i="3"/>
  <c r="EC175" i="3"/>
  <c r="EC176" i="3"/>
  <c r="EC177" i="3"/>
  <c r="EC178" i="3"/>
  <c r="EC179" i="3"/>
  <c r="EC180" i="3"/>
  <c r="EC181" i="3"/>
  <c r="EC182" i="3"/>
  <c r="EC183" i="3"/>
  <c r="EC184" i="3"/>
  <c r="EC185" i="3"/>
  <c r="EC186" i="3"/>
  <c r="EC187" i="3"/>
  <c r="EC188" i="3"/>
  <c r="EC189" i="3"/>
  <c r="EC190" i="3"/>
  <c r="EC191" i="3"/>
  <c r="EC192" i="3"/>
  <c r="EC193" i="3"/>
  <c r="EC194" i="3"/>
  <c r="EC195" i="3"/>
  <c r="EC196" i="3"/>
  <c r="EC197" i="3"/>
  <c r="EC198" i="3"/>
  <c r="EC199" i="3"/>
  <c r="EC200" i="3"/>
  <c r="EC201" i="3"/>
  <c r="EC202" i="3"/>
  <c r="EC203" i="3"/>
  <c r="EC204" i="3"/>
  <c r="EC205" i="3"/>
  <c r="EC206" i="3"/>
  <c r="EC207" i="3"/>
  <c r="EC208" i="3"/>
  <c r="EC209" i="3"/>
  <c r="EC210" i="3"/>
  <c r="EC211" i="3"/>
  <c r="EC212" i="3"/>
  <c r="EC213" i="3"/>
  <c r="EC214" i="3"/>
  <c r="EC215" i="3"/>
  <c r="EC216" i="3"/>
  <c r="EC217" i="3"/>
  <c r="EC218" i="3"/>
  <c r="EC219" i="3"/>
  <c r="EC220" i="3"/>
  <c r="EC221" i="3"/>
  <c r="EC222" i="3"/>
  <c r="EC223" i="3"/>
  <c r="EC224" i="3"/>
  <c r="EC225" i="3"/>
  <c r="EC226" i="3"/>
  <c r="EC227" i="3"/>
  <c r="EC228" i="3"/>
  <c r="EC229" i="3"/>
  <c r="EC230" i="3"/>
  <c r="EC231" i="3"/>
  <c r="EC232" i="3"/>
  <c r="EC233" i="3"/>
  <c r="EC234" i="3"/>
  <c r="EC235" i="3"/>
  <c r="EC236" i="3"/>
  <c r="EC237" i="3"/>
  <c r="EC238" i="3"/>
  <c r="EC239" i="3"/>
  <c r="EC240" i="3"/>
  <c r="EC241" i="3"/>
  <c r="EC242" i="3"/>
  <c r="EC243" i="3"/>
  <c r="EC244" i="3"/>
  <c r="EC245" i="3"/>
  <c r="EC246" i="3"/>
  <c r="EC247" i="3"/>
  <c r="EC248" i="3"/>
  <c r="EC249" i="3"/>
  <c r="EC250" i="3"/>
  <c r="EC251" i="3"/>
  <c r="EC252" i="3"/>
  <c r="EC253" i="3"/>
  <c r="EC254" i="3"/>
  <c r="EC255" i="3"/>
  <c r="EC256" i="3"/>
  <c r="EC257" i="3"/>
  <c r="EC258" i="3"/>
  <c r="EC259" i="3"/>
  <c r="EC260" i="3"/>
  <c r="EC261" i="3"/>
  <c r="EC262" i="3"/>
  <c r="EC263" i="3"/>
  <c r="EC264" i="3"/>
  <c r="EC265" i="3"/>
  <c r="EC266" i="3"/>
  <c r="EC267" i="3"/>
  <c r="EC268" i="3"/>
  <c r="EC269" i="3"/>
  <c r="EC270" i="3"/>
  <c r="EC271" i="3"/>
  <c r="EC272" i="3"/>
  <c r="EC273" i="3"/>
  <c r="EC274" i="3"/>
  <c r="EC275" i="3"/>
  <c r="EC276" i="3"/>
  <c r="EC277" i="3"/>
  <c r="EC278" i="3"/>
  <c r="EC279" i="3"/>
  <c r="EC280" i="3"/>
  <c r="EC281" i="3"/>
  <c r="EC282" i="3"/>
  <c r="EC283" i="3"/>
  <c r="EC284" i="3"/>
  <c r="EC285" i="3"/>
  <c r="EC286" i="3"/>
  <c r="EC287" i="3"/>
  <c r="EC288" i="3"/>
  <c r="EC289" i="3"/>
  <c r="EC290" i="3"/>
  <c r="EC291" i="3"/>
  <c r="EC292" i="3"/>
  <c r="EC293" i="3"/>
  <c r="EC294" i="3"/>
  <c r="EC295" i="3"/>
  <c r="EC296" i="3"/>
  <c r="EC297" i="3"/>
  <c r="EC298" i="3"/>
  <c r="EC299" i="3"/>
  <c r="EC300" i="3"/>
  <c r="EC301" i="3"/>
  <c r="EC302" i="3"/>
  <c r="EC303" i="3"/>
  <c r="EC304" i="3"/>
  <c r="EC305" i="3"/>
  <c r="EC306" i="3"/>
  <c r="EC307" i="3"/>
  <c r="EC308" i="3"/>
  <c r="EC309" i="3"/>
  <c r="EC310" i="3"/>
  <c r="EC311" i="3"/>
  <c r="EC312" i="3"/>
  <c r="EC313" i="3"/>
  <c r="EC314" i="3"/>
  <c r="EC315" i="3"/>
  <c r="EC316" i="3"/>
  <c r="EC317" i="3"/>
  <c r="EC318" i="3"/>
  <c r="EC319" i="3"/>
  <c r="EC320" i="3"/>
  <c r="EC321" i="3"/>
  <c r="EC322" i="3"/>
  <c r="EC323" i="3"/>
  <c r="EC324" i="3"/>
  <c r="EC325" i="3"/>
  <c r="EC326" i="3"/>
  <c r="EC327" i="3"/>
  <c r="EC328" i="3"/>
  <c r="EC329" i="3"/>
  <c r="EC330" i="3"/>
  <c r="EC331" i="3"/>
  <c r="EC332" i="3"/>
  <c r="EC333" i="3"/>
  <c r="EC334" i="3"/>
  <c r="EC335" i="3"/>
  <c r="EC336" i="3"/>
  <c r="EC337" i="3"/>
  <c r="EC338" i="3"/>
  <c r="EC339" i="3"/>
  <c r="EC340" i="3"/>
  <c r="EC341" i="3"/>
  <c r="EC342" i="3"/>
  <c r="EC343" i="3"/>
  <c r="EC344" i="3"/>
  <c r="EC345" i="3"/>
  <c r="EC346" i="3"/>
  <c r="EC347" i="3"/>
  <c r="EC348" i="3"/>
  <c r="EC349" i="3"/>
  <c r="EC350" i="3"/>
  <c r="EC351" i="3"/>
  <c r="EC352" i="3"/>
  <c r="EC353" i="3"/>
  <c r="EC354" i="3"/>
  <c r="EC355" i="3"/>
  <c r="EC356" i="3"/>
  <c r="EC357" i="3"/>
  <c r="EC358" i="3"/>
  <c r="EC359" i="3"/>
  <c r="EC360" i="3"/>
  <c r="EC361" i="3"/>
  <c r="EC362" i="3"/>
  <c r="EC363" i="3"/>
  <c r="EC364" i="3"/>
  <c r="EC365" i="3"/>
  <c r="EC366" i="3"/>
  <c r="EC367" i="3"/>
  <c r="EC368" i="3"/>
  <c r="EC369" i="3"/>
  <c r="EC370" i="3"/>
  <c r="EC371" i="3"/>
  <c r="EC372" i="3"/>
  <c r="EC373" i="3"/>
  <c r="EC374" i="3"/>
  <c r="EC375" i="3"/>
  <c r="EC376" i="3"/>
  <c r="EC377" i="3"/>
  <c r="EC378" i="3"/>
  <c r="EC379" i="3"/>
  <c r="EC380" i="3"/>
  <c r="EC381" i="3"/>
  <c r="EC382" i="3"/>
  <c r="EC383" i="3"/>
  <c r="EC384" i="3"/>
  <c r="EC385" i="3"/>
  <c r="EC386" i="3"/>
  <c r="EC387" i="3"/>
  <c r="EC388" i="3"/>
  <c r="EC389" i="3"/>
  <c r="EC390" i="3"/>
  <c r="EC391" i="3"/>
  <c r="EC392" i="3"/>
  <c r="EC393" i="3"/>
  <c r="EC394" i="3"/>
  <c r="EC395" i="3"/>
  <c r="EC396" i="3"/>
  <c r="EC397" i="3"/>
  <c r="EC398" i="3"/>
  <c r="EC399" i="3"/>
  <c r="EC400" i="3"/>
  <c r="EC401" i="3"/>
  <c r="EC402" i="3"/>
  <c r="EC403" i="3"/>
  <c r="EC404" i="3"/>
  <c r="EC405" i="3"/>
  <c r="EC406" i="3"/>
  <c r="EC407" i="3"/>
  <c r="EC408" i="3"/>
  <c r="EC409" i="3"/>
  <c r="EC410" i="3"/>
  <c r="EC411" i="3"/>
  <c r="EC412" i="3"/>
  <c r="EC413" i="3"/>
  <c r="EC414" i="3"/>
  <c r="EC415" i="3"/>
  <c r="EC416" i="3"/>
  <c r="EC417" i="3"/>
  <c r="EC418" i="3"/>
  <c r="EC419" i="3"/>
  <c r="EC420" i="3"/>
  <c r="EC421" i="3"/>
  <c r="EC422" i="3"/>
  <c r="EC423" i="3"/>
  <c r="EC424" i="3"/>
  <c r="EC425" i="3"/>
  <c r="EC426" i="3"/>
  <c r="EC427" i="3"/>
  <c r="EC428" i="3"/>
  <c r="EC429" i="3"/>
  <c r="EC430" i="3"/>
  <c r="EC431" i="3"/>
  <c r="EC432" i="3"/>
  <c r="EC433" i="3"/>
  <c r="EC434" i="3"/>
  <c r="EC435" i="3"/>
  <c r="EC436" i="3"/>
  <c r="EC437" i="3"/>
  <c r="EC438" i="3"/>
  <c r="EC439" i="3"/>
  <c r="EC440" i="3"/>
  <c r="EC441" i="3"/>
  <c r="EC442" i="3"/>
  <c r="EC443" i="3"/>
  <c r="EC444" i="3"/>
  <c r="EC445" i="3"/>
  <c r="EC446" i="3"/>
  <c r="EC447" i="3"/>
  <c r="EC448" i="3"/>
  <c r="EC449" i="3"/>
  <c r="EC450" i="3"/>
  <c r="EC451" i="3"/>
  <c r="EC452" i="3"/>
  <c r="EC453" i="3"/>
  <c r="EC454" i="3"/>
  <c r="EC455" i="3"/>
  <c r="EC456" i="3"/>
  <c r="EC457" i="3"/>
  <c r="EC458" i="3"/>
  <c r="EC459" i="3"/>
  <c r="EC460" i="3"/>
  <c r="EC461" i="3"/>
  <c r="EC462" i="3"/>
  <c r="EC463" i="3"/>
  <c r="EC464" i="3"/>
  <c r="EC465" i="3"/>
  <c r="EC466" i="3"/>
  <c r="EC467" i="3"/>
  <c r="EC468" i="3"/>
  <c r="EC469" i="3"/>
  <c r="EC470" i="3"/>
  <c r="EC471" i="3"/>
  <c r="EC472" i="3"/>
  <c r="EC473" i="3"/>
  <c r="EC474" i="3"/>
  <c r="EC475" i="3"/>
  <c r="EC476" i="3"/>
  <c r="EC477" i="3"/>
  <c r="EC478" i="3"/>
  <c r="EC479" i="3"/>
  <c r="EC480" i="3"/>
  <c r="EC481" i="3"/>
  <c r="EC482" i="3"/>
  <c r="EC483" i="3"/>
  <c r="EC484" i="3"/>
  <c r="EC485" i="3"/>
  <c r="EC486" i="3"/>
  <c r="EC487" i="3"/>
  <c r="EC488" i="3"/>
  <c r="EC489" i="3"/>
  <c r="EC490" i="3"/>
  <c r="EC491" i="3"/>
  <c r="EC492" i="3"/>
  <c r="EC493" i="3"/>
  <c r="EC494" i="3"/>
  <c r="EC495" i="3"/>
  <c r="EC496" i="3"/>
  <c r="EC497" i="3"/>
  <c r="EC498" i="3"/>
  <c r="EC499" i="3"/>
  <c r="EC500" i="3"/>
  <c r="EC501" i="3"/>
  <c r="EC502" i="3"/>
  <c r="EC503" i="3"/>
  <c r="EC504" i="3"/>
  <c r="EC505" i="3"/>
  <c r="EC506" i="3"/>
  <c r="EC507" i="3"/>
  <c r="EC508" i="3"/>
  <c r="EC509" i="3"/>
  <c r="EC510" i="3"/>
  <c r="EC511" i="3"/>
  <c r="EC512" i="3"/>
  <c r="EC513" i="3"/>
  <c r="EC514" i="3"/>
  <c r="EC515" i="3"/>
  <c r="EC516" i="3"/>
  <c r="EC517" i="3"/>
  <c r="EC518" i="3"/>
  <c r="EC519" i="3"/>
  <c r="EC520" i="3"/>
  <c r="EC521" i="3"/>
  <c r="EC522" i="3"/>
  <c r="EC523" i="3"/>
  <c r="EC524" i="3"/>
  <c r="EC525" i="3"/>
  <c r="EC526" i="3"/>
  <c r="EC527" i="3"/>
  <c r="EC528" i="3"/>
  <c r="EC529" i="3"/>
  <c r="EC530" i="3"/>
  <c r="EC531" i="3"/>
  <c r="EC532" i="3"/>
  <c r="EC533" i="3"/>
  <c r="EC534" i="3"/>
  <c r="EC535" i="3"/>
  <c r="EC536" i="3"/>
  <c r="EC537" i="3"/>
  <c r="EC538" i="3"/>
  <c r="EC539" i="3"/>
  <c r="EC540" i="3"/>
  <c r="EC541" i="3"/>
  <c r="EC542" i="3"/>
  <c r="EC543" i="3"/>
  <c r="EC544" i="3"/>
  <c r="EC545" i="3"/>
  <c r="EC546" i="3"/>
  <c r="EC547" i="3"/>
  <c r="EC548" i="3"/>
  <c r="EC549" i="3"/>
  <c r="EC550" i="3"/>
  <c r="EC551" i="3"/>
  <c r="EC552" i="3"/>
  <c r="EC553" i="3"/>
  <c r="EC554" i="3"/>
  <c r="EC555" i="3"/>
  <c r="EC556" i="3"/>
  <c r="EC557" i="3"/>
  <c r="EC558" i="3"/>
  <c r="EC559" i="3"/>
  <c r="EC560" i="3"/>
  <c r="EC561" i="3"/>
  <c r="EC562" i="3"/>
  <c r="EC563" i="3"/>
  <c r="EC564" i="3"/>
  <c r="EC565" i="3"/>
  <c r="EC566" i="3"/>
  <c r="EC567" i="3"/>
  <c r="EC568" i="3"/>
  <c r="EC569" i="3"/>
  <c r="EC570" i="3"/>
  <c r="EC571" i="3"/>
  <c r="EC572" i="3"/>
  <c r="EC573" i="3"/>
  <c r="EC574" i="3"/>
  <c r="EC575" i="3"/>
  <c r="EC576" i="3"/>
  <c r="EC577" i="3"/>
  <c r="EC578" i="3"/>
  <c r="EC579" i="3"/>
  <c r="EC580" i="3"/>
  <c r="EC581" i="3"/>
  <c r="EC582" i="3"/>
  <c r="EC583" i="3"/>
  <c r="EC584" i="3"/>
  <c r="EC585" i="3"/>
  <c r="EC586" i="3"/>
  <c r="EC587" i="3"/>
  <c r="EC588" i="3"/>
  <c r="EC589" i="3"/>
  <c r="EC590" i="3"/>
  <c r="EC591" i="3"/>
  <c r="EC592" i="3"/>
  <c r="EC593" i="3"/>
  <c r="EC594" i="3"/>
  <c r="EC595" i="3"/>
  <c r="EC596" i="3"/>
  <c r="EC597" i="3"/>
  <c r="EC598" i="3"/>
  <c r="EC599" i="3"/>
  <c r="EC600" i="3"/>
  <c r="DX3" i="3"/>
  <c r="DX4" i="3"/>
  <c r="DX5" i="3"/>
  <c r="DX6" i="3"/>
  <c r="DX7" i="3"/>
  <c r="DX8" i="3"/>
  <c r="DX9" i="3"/>
  <c r="DX10" i="3"/>
  <c r="DX11" i="3"/>
  <c r="DX12" i="3"/>
  <c r="DX13" i="3"/>
  <c r="DX14" i="3"/>
  <c r="DX15" i="3"/>
  <c r="DX16" i="3"/>
  <c r="DX17" i="3"/>
  <c r="DX18" i="3"/>
  <c r="DX19" i="3"/>
  <c r="DX20" i="3"/>
  <c r="DX21" i="3"/>
  <c r="DX22" i="3"/>
  <c r="DX23" i="3"/>
  <c r="DX24" i="3"/>
  <c r="DX25" i="3"/>
  <c r="DX26" i="3"/>
  <c r="DX27" i="3"/>
  <c r="DX28" i="3"/>
  <c r="DX29" i="3"/>
  <c r="DX30" i="3"/>
  <c r="DX31" i="3"/>
  <c r="DX32" i="3"/>
  <c r="DX33" i="3"/>
  <c r="DX34" i="3"/>
  <c r="DX35" i="3"/>
  <c r="DX36" i="3"/>
  <c r="DX37" i="3"/>
  <c r="DX38" i="3"/>
  <c r="DX39" i="3"/>
  <c r="DX40" i="3"/>
  <c r="DX41" i="3"/>
  <c r="DX42" i="3"/>
  <c r="DX43" i="3"/>
  <c r="DX44" i="3"/>
  <c r="DX45" i="3"/>
  <c r="DX46" i="3"/>
  <c r="DX47" i="3"/>
  <c r="DX48" i="3"/>
  <c r="DX49" i="3"/>
  <c r="DX50" i="3"/>
  <c r="DX51" i="3"/>
  <c r="DX52" i="3"/>
  <c r="DX53" i="3"/>
  <c r="DX54" i="3"/>
  <c r="DX55" i="3"/>
  <c r="DX56" i="3"/>
  <c r="DX57" i="3"/>
  <c r="DX58" i="3"/>
  <c r="DX59" i="3"/>
  <c r="DX60" i="3"/>
  <c r="DX61" i="3"/>
  <c r="DX62" i="3"/>
  <c r="DX63" i="3"/>
  <c r="DX64" i="3"/>
  <c r="DX65" i="3"/>
  <c r="DX66" i="3"/>
  <c r="DX67" i="3"/>
  <c r="DX68" i="3"/>
  <c r="DX69" i="3"/>
  <c r="DX70" i="3"/>
  <c r="DX71" i="3"/>
  <c r="DX72" i="3"/>
  <c r="DX73" i="3"/>
  <c r="DX74" i="3"/>
  <c r="DX75" i="3"/>
  <c r="DX76" i="3"/>
  <c r="DX77" i="3"/>
  <c r="DX78" i="3"/>
  <c r="DX79" i="3"/>
  <c r="DX80" i="3"/>
  <c r="DX81" i="3"/>
  <c r="DX82" i="3"/>
  <c r="DX83" i="3"/>
  <c r="DX84" i="3"/>
  <c r="DX85" i="3"/>
  <c r="DX86" i="3"/>
  <c r="DX87" i="3"/>
  <c r="DX88" i="3"/>
  <c r="DX89" i="3"/>
  <c r="DX90" i="3"/>
  <c r="DX91" i="3"/>
  <c r="DX92" i="3"/>
  <c r="DX93" i="3"/>
  <c r="DX94" i="3"/>
  <c r="DX95" i="3"/>
  <c r="DX96" i="3"/>
  <c r="DX97" i="3"/>
  <c r="DX98" i="3"/>
  <c r="DX99" i="3"/>
  <c r="DX100" i="3"/>
  <c r="DX101" i="3"/>
  <c r="DX102" i="3"/>
  <c r="DX103" i="3"/>
  <c r="DX104" i="3"/>
  <c r="DX105" i="3"/>
  <c r="DX106" i="3"/>
  <c r="DX107" i="3"/>
  <c r="DX108" i="3"/>
  <c r="DX109" i="3"/>
  <c r="DX110" i="3"/>
  <c r="DX111" i="3"/>
  <c r="DX112" i="3"/>
  <c r="DX113" i="3"/>
  <c r="DX114" i="3"/>
  <c r="DX115" i="3"/>
  <c r="DX116" i="3"/>
  <c r="DX117" i="3"/>
  <c r="DX118" i="3"/>
  <c r="DX119" i="3"/>
  <c r="DX120" i="3"/>
  <c r="DX121" i="3"/>
  <c r="DX122" i="3"/>
  <c r="DX123" i="3"/>
  <c r="DX124" i="3"/>
  <c r="DX125" i="3"/>
  <c r="DX126" i="3"/>
  <c r="DX127" i="3"/>
  <c r="DX128" i="3"/>
  <c r="DX129" i="3"/>
  <c r="DX130" i="3"/>
  <c r="DX131" i="3"/>
  <c r="DX132" i="3"/>
  <c r="DX133" i="3"/>
  <c r="DX134" i="3"/>
  <c r="DX135" i="3"/>
  <c r="DX136" i="3"/>
  <c r="DX137" i="3"/>
  <c r="DX138" i="3"/>
  <c r="DX139" i="3"/>
  <c r="DX140" i="3"/>
  <c r="DX141" i="3"/>
  <c r="DX142" i="3"/>
  <c r="DX143" i="3"/>
  <c r="DX144" i="3"/>
  <c r="DX145" i="3"/>
  <c r="DX146" i="3"/>
  <c r="DX147" i="3"/>
  <c r="DX148" i="3"/>
  <c r="DX149" i="3"/>
  <c r="DX150" i="3"/>
  <c r="DX151" i="3"/>
  <c r="DX152" i="3"/>
  <c r="DX153" i="3"/>
  <c r="DX154" i="3"/>
  <c r="DX155" i="3"/>
  <c r="DX156" i="3"/>
  <c r="DX157" i="3"/>
  <c r="DX158" i="3"/>
  <c r="DX159" i="3"/>
  <c r="DX160" i="3"/>
  <c r="DX161" i="3"/>
  <c r="DX162" i="3"/>
  <c r="DX163" i="3"/>
  <c r="DX164" i="3"/>
  <c r="DX165" i="3"/>
  <c r="DX166" i="3"/>
  <c r="DX167" i="3"/>
  <c r="DX168" i="3"/>
  <c r="DX169" i="3"/>
  <c r="DX170" i="3"/>
  <c r="DX171" i="3"/>
  <c r="DX172" i="3"/>
  <c r="DX173" i="3"/>
  <c r="DX174" i="3"/>
  <c r="DX175" i="3"/>
  <c r="DX176" i="3"/>
  <c r="DX177" i="3"/>
  <c r="DX178" i="3"/>
  <c r="DX179" i="3"/>
  <c r="DX180" i="3"/>
  <c r="DX181" i="3"/>
  <c r="DX182" i="3"/>
  <c r="DX183" i="3"/>
  <c r="DX184" i="3"/>
  <c r="DX185" i="3"/>
  <c r="DX186" i="3"/>
  <c r="DX187" i="3"/>
  <c r="DX188" i="3"/>
  <c r="DX189" i="3"/>
  <c r="DX190" i="3"/>
  <c r="DX191" i="3"/>
  <c r="DX192" i="3"/>
  <c r="DX193" i="3"/>
  <c r="DX194" i="3"/>
  <c r="DX195" i="3"/>
  <c r="DX196" i="3"/>
  <c r="DX197" i="3"/>
  <c r="DX198" i="3"/>
  <c r="DX199" i="3"/>
  <c r="DX200" i="3"/>
  <c r="DX201" i="3"/>
  <c r="DX202" i="3"/>
  <c r="DX203" i="3"/>
  <c r="DX204" i="3"/>
  <c r="DX205" i="3"/>
  <c r="DX206" i="3"/>
  <c r="DX207" i="3"/>
  <c r="DX208" i="3"/>
  <c r="DX209" i="3"/>
  <c r="DX210" i="3"/>
  <c r="DX211" i="3"/>
  <c r="DX212" i="3"/>
  <c r="DX213" i="3"/>
  <c r="DX214" i="3"/>
  <c r="DX215" i="3"/>
  <c r="DX216" i="3"/>
  <c r="DX217" i="3"/>
  <c r="DX218" i="3"/>
  <c r="DX219" i="3"/>
  <c r="DX220" i="3"/>
  <c r="DX221" i="3"/>
  <c r="DX222" i="3"/>
  <c r="DX223" i="3"/>
  <c r="DX224" i="3"/>
  <c r="DX225" i="3"/>
  <c r="DX226" i="3"/>
  <c r="DX227" i="3"/>
  <c r="DX228" i="3"/>
  <c r="DX229" i="3"/>
  <c r="DX230" i="3"/>
  <c r="DX231" i="3"/>
  <c r="DX232" i="3"/>
  <c r="DX233" i="3"/>
  <c r="DX234" i="3"/>
  <c r="DX235" i="3"/>
  <c r="DX236" i="3"/>
  <c r="DX237" i="3"/>
  <c r="DX238" i="3"/>
  <c r="DX239" i="3"/>
  <c r="DX240" i="3"/>
  <c r="DX241" i="3"/>
  <c r="DX242" i="3"/>
  <c r="DX243" i="3"/>
  <c r="DX244" i="3"/>
  <c r="DX245" i="3"/>
  <c r="DX246" i="3"/>
  <c r="DX247" i="3"/>
  <c r="DX248" i="3"/>
  <c r="DX249" i="3"/>
  <c r="DX250" i="3"/>
  <c r="DX251" i="3"/>
  <c r="DX252" i="3"/>
  <c r="DX253" i="3"/>
  <c r="DX254" i="3"/>
  <c r="DX255" i="3"/>
  <c r="DX256" i="3"/>
  <c r="DX257" i="3"/>
  <c r="DX258" i="3"/>
  <c r="DX259" i="3"/>
  <c r="DX260" i="3"/>
  <c r="DX261" i="3"/>
  <c r="DX262" i="3"/>
  <c r="DX263" i="3"/>
  <c r="DX264" i="3"/>
  <c r="DX265" i="3"/>
  <c r="DX266" i="3"/>
  <c r="DX267" i="3"/>
  <c r="DX268" i="3"/>
  <c r="DX269" i="3"/>
  <c r="DX270" i="3"/>
  <c r="DX271" i="3"/>
  <c r="DX272" i="3"/>
  <c r="DX273" i="3"/>
  <c r="DX274" i="3"/>
  <c r="DX275" i="3"/>
  <c r="DX276" i="3"/>
  <c r="DX277" i="3"/>
  <c r="DX278" i="3"/>
  <c r="DX279" i="3"/>
  <c r="DX280" i="3"/>
  <c r="DX281" i="3"/>
  <c r="DX282" i="3"/>
  <c r="DX283" i="3"/>
  <c r="DX284" i="3"/>
  <c r="DX285" i="3"/>
  <c r="DX286" i="3"/>
  <c r="DX287" i="3"/>
  <c r="DX288" i="3"/>
  <c r="DX289" i="3"/>
  <c r="DX290" i="3"/>
  <c r="DX291" i="3"/>
  <c r="DX292" i="3"/>
  <c r="DX293" i="3"/>
  <c r="DX294" i="3"/>
  <c r="DX295" i="3"/>
  <c r="DX296" i="3"/>
  <c r="DX297" i="3"/>
  <c r="DX298" i="3"/>
  <c r="DX299" i="3"/>
  <c r="DX300" i="3"/>
  <c r="DX301" i="3"/>
  <c r="DX302" i="3"/>
  <c r="DX303" i="3"/>
  <c r="DX304" i="3"/>
  <c r="DX305" i="3"/>
  <c r="DX306" i="3"/>
  <c r="DX307" i="3"/>
  <c r="DX308" i="3"/>
  <c r="DX309" i="3"/>
  <c r="DX310" i="3"/>
  <c r="DX311" i="3"/>
  <c r="DX312" i="3"/>
  <c r="DX313" i="3"/>
  <c r="DX314" i="3"/>
  <c r="DX315" i="3"/>
  <c r="DX316" i="3"/>
  <c r="DX317" i="3"/>
  <c r="DX318" i="3"/>
  <c r="DX319" i="3"/>
  <c r="DX320" i="3"/>
  <c r="DX321" i="3"/>
  <c r="DX322" i="3"/>
  <c r="DX323" i="3"/>
  <c r="DX324" i="3"/>
  <c r="DX325" i="3"/>
  <c r="DX326" i="3"/>
  <c r="DX327" i="3"/>
  <c r="DX328" i="3"/>
  <c r="DX329" i="3"/>
  <c r="DX330" i="3"/>
  <c r="DX331" i="3"/>
  <c r="DX332" i="3"/>
  <c r="DX333" i="3"/>
  <c r="DX334" i="3"/>
  <c r="DX335" i="3"/>
  <c r="DX336" i="3"/>
  <c r="DX337" i="3"/>
  <c r="DX338" i="3"/>
  <c r="DX339" i="3"/>
  <c r="DX340" i="3"/>
  <c r="DX341" i="3"/>
  <c r="DX342" i="3"/>
  <c r="DX343" i="3"/>
  <c r="DX344" i="3"/>
  <c r="DX345" i="3"/>
  <c r="DX346" i="3"/>
  <c r="DX347" i="3"/>
  <c r="DX348" i="3"/>
  <c r="DX349" i="3"/>
  <c r="DX350" i="3"/>
  <c r="DX351" i="3"/>
  <c r="DX352" i="3"/>
  <c r="DX353" i="3"/>
  <c r="DX354" i="3"/>
  <c r="DX355" i="3"/>
  <c r="DX356" i="3"/>
  <c r="DX357" i="3"/>
  <c r="DX358" i="3"/>
  <c r="DX359" i="3"/>
  <c r="DX360" i="3"/>
  <c r="DX361" i="3"/>
  <c r="DX362" i="3"/>
  <c r="DX363" i="3"/>
  <c r="DX364" i="3"/>
  <c r="DX365" i="3"/>
  <c r="DX366" i="3"/>
  <c r="DX367" i="3"/>
  <c r="DX368" i="3"/>
  <c r="DX369" i="3"/>
  <c r="DX370" i="3"/>
  <c r="DX371" i="3"/>
  <c r="DX372" i="3"/>
  <c r="DX373" i="3"/>
  <c r="DX374" i="3"/>
  <c r="DX375" i="3"/>
  <c r="DX376" i="3"/>
  <c r="DX377" i="3"/>
  <c r="DX378" i="3"/>
  <c r="DX379" i="3"/>
  <c r="DX380" i="3"/>
  <c r="DX381" i="3"/>
  <c r="DX382" i="3"/>
  <c r="DX383" i="3"/>
  <c r="DX384" i="3"/>
  <c r="DX385" i="3"/>
  <c r="DX386" i="3"/>
  <c r="DX387" i="3"/>
  <c r="DX388" i="3"/>
  <c r="DX389" i="3"/>
  <c r="DX390" i="3"/>
  <c r="DX391" i="3"/>
  <c r="DX392" i="3"/>
  <c r="DX393" i="3"/>
  <c r="DX394" i="3"/>
  <c r="DX395" i="3"/>
  <c r="DX396" i="3"/>
  <c r="DX397" i="3"/>
  <c r="DX398" i="3"/>
  <c r="DX399" i="3"/>
  <c r="DX400" i="3"/>
  <c r="DX401" i="3"/>
  <c r="DX402" i="3"/>
  <c r="DX403" i="3"/>
  <c r="DX404" i="3"/>
  <c r="DX405" i="3"/>
  <c r="DX406" i="3"/>
  <c r="DX407" i="3"/>
  <c r="DX408" i="3"/>
  <c r="DX409" i="3"/>
  <c r="DX410" i="3"/>
  <c r="DX411" i="3"/>
  <c r="DX412" i="3"/>
  <c r="DX413" i="3"/>
  <c r="DX414" i="3"/>
  <c r="DX415" i="3"/>
  <c r="DX416" i="3"/>
  <c r="DX417" i="3"/>
  <c r="DX418" i="3"/>
  <c r="DX419" i="3"/>
  <c r="DX420" i="3"/>
  <c r="DX421" i="3"/>
  <c r="DX422" i="3"/>
  <c r="DX423" i="3"/>
  <c r="DX424" i="3"/>
  <c r="DX425" i="3"/>
  <c r="DX426" i="3"/>
  <c r="DX427" i="3"/>
  <c r="DX428" i="3"/>
  <c r="DX429" i="3"/>
  <c r="DX430" i="3"/>
  <c r="DX431" i="3"/>
  <c r="DX432" i="3"/>
  <c r="DX433" i="3"/>
  <c r="DX434" i="3"/>
  <c r="DX435" i="3"/>
  <c r="DX436" i="3"/>
  <c r="DX437" i="3"/>
  <c r="DX438" i="3"/>
  <c r="DX439" i="3"/>
  <c r="DX440" i="3"/>
  <c r="DX441" i="3"/>
  <c r="DX442" i="3"/>
  <c r="DX443" i="3"/>
  <c r="DX444" i="3"/>
  <c r="DX445" i="3"/>
  <c r="DX446" i="3"/>
  <c r="DX447" i="3"/>
  <c r="DX448" i="3"/>
  <c r="DX449" i="3"/>
  <c r="DX450" i="3"/>
  <c r="DX451" i="3"/>
  <c r="DX452" i="3"/>
  <c r="DX453" i="3"/>
  <c r="DX454" i="3"/>
  <c r="DX455" i="3"/>
  <c r="DX456" i="3"/>
  <c r="DX457" i="3"/>
  <c r="DX458" i="3"/>
  <c r="DX459" i="3"/>
  <c r="DX460" i="3"/>
  <c r="DX461" i="3"/>
  <c r="DX462" i="3"/>
  <c r="DX463" i="3"/>
  <c r="DX464" i="3"/>
  <c r="DX465" i="3"/>
  <c r="DX466" i="3"/>
  <c r="DX467" i="3"/>
  <c r="DX468" i="3"/>
  <c r="DX469" i="3"/>
  <c r="DX470" i="3"/>
  <c r="DX471" i="3"/>
  <c r="DX472" i="3"/>
  <c r="DX473" i="3"/>
  <c r="DX474" i="3"/>
  <c r="DX475" i="3"/>
  <c r="DX476" i="3"/>
  <c r="DX477" i="3"/>
  <c r="DX478" i="3"/>
  <c r="DX479" i="3"/>
  <c r="DX480" i="3"/>
  <c r="DX481" i="3"/>
  <c r="DX482" i="3"/>
  <c r="DX483" i="3"/>
  <c r="DX484" i="3"/>
  <c r="DX485" i="3"/>
  <c r="DX486" i="3"/>
  <c r="DX487" i="3"/>
  <c r="DX488" i="3"/>
  <c r="DX489" i="3"/>
  <c r="DX490" i="3"/>
  <c r="DX491" i="3"/>
  <c r="DX492" i="3"/>
  <c r="DX493" i="3"/>
  <c r="DX494" i="3"/>
  <c r="DX495" i="3"/>
  <c r="DX496" i="3"/>
  <c r="DX497" i="3"/>
  <c r="DX498" i="3"/>
  <c r="DX499" i="3"/>
  <c r="DX500" i="3"/>
  <c r="DX501" i="3"/>
  <c r="DX502" i="3"/>
  <c r="DX503" i="3"/>
  <c r="DX504" i="3"/>
  <c r="DX505" i="3"/>
  <c r="DX506" i="3"/>
  <c r="DX507" i="3"/>
  <c r="DX508" i="3"/>
  <c r="DX509" i="3"/>
  <c r="DX510" i="3"/>
  <c r="DX511" i="3"/>
  <c r="DX512" i="3"/>
  <c r="DX513" i="3"/>
  <c r="DX514" i="3"/>
  <c r="DX515" i="3"/>
  <c r="DX516" i="3"/>
  <c r="DX517" i="3"/>
  <c r="DX518" i="3"/>
  <c r="DX519" i="3"/>
  <c r="DX520" i="3"/>
  <c r="DX521" i="3"/>
  <c r="DX522" i="3"/>
  <c r="DX523" i="3"/>
  <c r="DX524" i="3"/>
  <c r="DX525" i="3"/>
  <c r="DX526" i="3"/>
  <c r="DX527" i="3"/>
  <c r="DX528" i="3"/>
  <c r="DX529" i="3"/>
  <c r="DX530" i="3"/>
  <c r="DX531" i="3"/>
  <c r="DX532" i="3"/>
  <c r="DX533" i="3"/>
  <c r="DX534" i="3"/>
  <c r="DX535" i="3"/>
  <c r="DX536" i="3"/>
  <c r="DX537" i="3"/>
  <c r="DX538" i="3"/>
  <c r="DX539" i="3"/>
  <c r="DX540" i="3"/>
  <c r="DX541" i="3"/>
  <c r="DX542" i="3"/>
  <c r="DX543" i="3"/>
  <c r="DX544" i="3"/>
  <c r="DX545" i="3"/>
  <c r="DX546" i="3"/>
  <c r="DX547" i="3"/>
  <c r="DX548" i="3"/>
  <c r="DX549" i="3"/>
  <c r="DX550" i="3"/>
  <c r="DX551" i="3"/>
  <c r="DX552" i="3"/>
  <c r="DX553" i="3"/>
  <c r="DX554" i="3"/>
  <c r="DX555" i="3"/>
  <c r="DX556" i="3"/>
  <c r="DX557" i="3"/>
  <c r="DX558" i="3"/>
  <c r="DX559" i="3"/>
  <c r="DX560" i="3"/>
  <c r="DX561" i="3"/>
  <c r="DX562" i="3"/>
  <c r="DX563" i="3"/>
  <c r="DX564" i="3"/>
  <c r="DX565" i="3"/>
  <c r="DX566" i="3"/>
  <c r="DX567" i="3"/>
  <c r="DX568" i="3"/>
  <c r="DX569" i="3"/>
  <c r="DX570" i="3"/>
  <c r="DX571" i="3"/>
  <c r="DX572" i="3"/>
  <c r="DX573" i="3"/>
  <c r="DX574" i="3"/>
  <c r="DX575" i="3"/>
  <c r="DX576" i="3"/>
  <c r="DX577" i="3"/>
  <c r="DX578" i="3"/>
  <c r="DX579" i="3"/>
  <c r="DX580" i="3"/>
  <c r="DX581" i="3"/>
  <c r="DX582" i="3"/>
  <c r="DX583" i="3"/>
  <c r="DX584" i="3"/>
  <c r="DX585" i="3"/>
  <c r="DX586" i="3"/>
  <c r="DX587" i="3"/>
  <c r="DX588" i="3"/>
  <c r="DX589" i="3"/>
  <c r="DX590" i="3"/>
  <c r="DX591" i="3"/>
  <c r="DX592" i="3"/>
  <c r="DX593" i="3"/>
  <c r="DX594" i="3"/>
  <c r="DX595" i="3"/>
  <c r="DX596" i="3"/>
  <c r="DX597" i="3"/>
  <c r="DX598" i="3"/>
  <c r="DX599" i="3"/>
  <c r="DX600" i="3"/>
  <c r="DY3" i="3"/>
  <c r="DY4" i="3"/>
  <c r="DY5" i="3"/>
  <c r="DY6" i="3"/>
  <c r="DY7" i="3"/>
  <c r="DY8" i="3"/>
  <c r="DY9" i="3"/>
  <c r="DY10" i="3"/>
  <c r="DY11" i="3"/>
  <c r="DY12" i="3"/>
  <c r="DY13" i="3"/>
  <c r="DY14" i="3"/>
  <c r="DY15" i="3"/>
  <c r="DY16" i="3"/>
  <c r="DY17" i="3"/>
  <c r="DY18" i="3"/>
  <c r="DY19" i="3"/>
  <c r="DY20" i="3"/>
  <c r="DY21" i="3"/>
  <c r="DY22" i="3"/>
  <c r="DY23" i="3"/>
  <c r="DY24" i="3"/>
  <c r="DY25" i="3"/>
  <c r="DY26" i="3"/>
  <c r="DY27" i="3"/>
  <c r="DY28" i="3"/>
  <c r="DY29" i="3"/>
  <c r="DY30" i="3"/>
  <c r="DY31" i="3"/>
  <c r="DY32" i="3"/>
  <c r="DY33" i="3"/>
  <c r="DY34" i="3"/>
  <c r="DY35" i="3"/>
  <c r="DY36" i="3"/>
  <c r="DY37" i="3"/>
  <c r="DY38" i="3"/>
  <c r="DY39" i="3"/>
  <c r="DY40" i="3"/>
  <c r="DY41" i="3"/>
  <c r="DY42" i="3"/>
  <c r="DY43" i="3"/>
  <c r="DY44" i="3"/>
  <c r="DY45" i="3"/>
  <c r="DY46" i="3"/>
  <c r="DY47" i="3"/>
  <c r="DY48" i="3"/>
  <c r="DY49" i="3"/>
  <c r="DY50" i="3"/>
  <c r="DY51" i="3"/>
  <c r="DY52" i="3"/>
  <c r="DY53" i="3"/>
  <c r="DY54" i="3"/>
  <c r="DY55" i="3"/>
  <c r="DY56" i="3"/>
  <c r="DY57" i="3"/>
  <c r="DY58" i="3"/>
  <c r="DY59" i="3"/>
  <c r="DY60" i="3"/>
  <c r="DY61" i="3"/>
  <c r="DY62" i="3"/>
  <c r="DY63" i="3"/>
  <c r="DY64" i="3"/>
  <c r="DY65" i="3"/>
  <c r="DY66" i="3"/>
  <c r="DY67" i="3"/>
  <c r="DY68" i="3"/>
  <c r="DY69" i="3"/>
  <c r="DY70" i="3"/>
  <c r="DY71" i="3"/>
  <c r="DY72" i="3"/>
  <c r="DY73" i="3"/>
  <c r="DY74" i="3"/>
  <c r="DY75" i="3"/>
  <c r="DY76" i="3"/>
  <c r="DY77" i="3"/>
  <c r="DY78" i="3"/>
  <c r="DY79" i="3"/>
  <c r="DY80" i="3"/>
  <c r="DY81" i="3"/>
  <c r="DY82" i="3"/>
  <c r="DY83" i="3"/>
  <c r="DY84" i="3"/>
  <c r="DY85" i="3"/>
  <c r="DY86" i="3"/>
  <c r="DY87" i="3"/>
  <c r="DY88" i="3"/>
  <c r="DY89" i="3"/>
  <c r="DY90" i="3"/>
  <c r="DY91" i="3"/>
  <c r="DY92" i="3"/>
  <c r="DY93" i="3"/>
  <c r="DY94" i="3"/>
  <c r="DY95" i="3"/>
  <c r="DY96" i="3"/>
  <c r="DY97" i="3"/>
  <c r="DY98" i="3"/>
  <c r="DY99" i="3"/>
  <c r="DY100" i="3"/>
  <c r="DY101" i="3"/>
  <c r="DY102" i="3"/>
  <c r="DY103" i="3"/>
  <c r="DY104" i="3"/>
  <c r="DY105" i="3"/>
  <c r="DY106" i="3"/>
  <c r="DY107" i="3"/>
  <c r="DY108" i="3"/>
  <c r="DY109" i="3"/>
  <c r="DY110" i="3"/>
  <c r="DY111" i="3"/>
  <c r="DY112" i="3"/>
  <c r="DY113" i="3"/>
  <c r="DY114" i="3"/>
  <c r="DY115" i="3"/>
  <c r="DY116" i="3"/>
  <c r="DY117" i="3"/>
  <c r="DY118" i="3"/>
  <c r="DY119" i="3"/>
  <c r="DY120" i="3"/>
  <c r="DY121" i="3"/>
  <c r="DY122" i="3"/>
  <c r="DY123" i="3"/>
  <c r="DY124" i="3"/>
  <c r="DY125" i="3"/>
  <c r="DY126" i="3"/>
  <c r="DY127" i="3"/>
  <c r="DY128" i="3"/>
  <c r="DY129" i="3"/>
  <c r="DY130" i="3"/>
  <c r="DY131" i="3"/>
  <c r="DY132" i="3"/>
  <c r="DY133" i="3"/>
  <c r="DY134" i="3"/>
  <c r="DY135" i="3"/>
  <c r="DY136" i="3"/>
  <c r="DY137" i="3"/>
  <c r="DY138" i="3"/>
  <c r="DY139" i="3"/>
  <c r="DY140" i="3"/>
  <c r="DY141" i="3"/>
  <c r="DY142" i="3"/>
  <c r="DY143" i="3"/>
  <c r="DY144" i="3"/>
  <c r="DY145" i="3"/>
  <c r="DY146" i="3"/>
  <c r="DY147" i="3"/>
  <c r="DY148" i="3"/>
  <c r="DY149" i="3"/>
  <c r="DY150" i="3"/>
  <c r="DY151" i="3"/>
  <c r="DY152" i="3"/>
  <c r="DY153" i="3"/>
  <c r="DY154" i="3"/>
  <c r="DY155" i="3"/>
  <c r="DY156" i="3"/>
  <c r="DY157" i="3"/>
  <c r="DY158" i="3"/>
  <c r="DY159" i="3"/>
  <c r="DY160" i="3"/>
  <c r="DY161" i="3"/>
  <c r="DY162" i="3"/>
  <c r="DY163" i="3"/>
  <c r="DY164" i="3"/>
  <c r="DY165" i="3"/>
  <c r="DY166" i="3"/>
  <c r="DY167" i="3"/>
  <c r="DY168" i="3"/>
  <c r="DY169" i="3"/>
  <c r="DY170" i="3"/>
  <c r="DY171" i="3"/>
  <c r="DY172" i="3"/>
  <c r="DY173" i="3"/>
  <c r="DY174" i="3"/>
  <c r="DY175" i="3"/>
  <c r="DY176" i="3"/>
  <c r="DY177" i="3"/>
  <c r="DY178" i="3"/>
  <c r="DY179" i="3"/>
  <c r="DY180" i="3"/>
  <c r="DY181" i="3"/>
  <c r="DY182" i="3"/>
  <c r="DY183" i="3"/>
  <c r="DY184" i="3"/>
  <c r="DY185" i="3"/>
  <c r="DY186" i="3"/>
  <c r="DY187" i="3"/>
  <c r="DY188" i="3"/>
  <c r="DY189" i="3"/>
  <c r="DY190" i="3"/>
  <c r="DY191" i="3"/>
  <c r="DY192" i="3"/>
  <c r="DY193" i="3"/>
  <c r="DY194" i="3"/>
  <c r="DY195" i="3"/>
  <c r="DY196" i="3"/>
  <c r="DY197" i="3"/>
  <c r="DY198" i="3"/>
  <c r="DY199" i="3"/>
  <c r="DY200" i="3"/>
  <c r="DY201" i="3"/>
  <c r="DY202" i="3"/>
  <c r="DY203" i="3"/>
  <c r="DY204" i="3"/>
  <c r="DY205" i="3"/>
  <c r="DY206" i="3"/>
  <c r="DY207" i="3"/>
  <c r="DY208" i="3"/>
  <c r="DY209" i="3"/>
  <c r="DY210" i="3"/>
  <c r="DY211" i="3"/>
  <c r="DY212" i="3"/>
  <c r="DY213" i="3"/>
  <c r="DY214" i="3"/>
  <c r="DY215" i="3"/>
  <c r="DY216" i="3"/>
  <c r="DY217" i="3"/>
  <c r="DY218" i="3"/>
  <c r="DY219" i="3"/>
  <c r="DY220" i="3"/>
  <c r="DY221" i="3"/>
  <c r="DY222" i="3"/>
  <c r="DY223" i="3"/>
  <c r="DY224" i="3"/>
  <c r="DY225" i="3"/>
  <c r="DY226" i="3"/>
  <c r="DY227" i="3"/>
  <c r="DY228" i="3"/>
  <c r="DY229" i="3"/>
  <c r="DY230" i="3"/>
  <c r="DY231" i="3"/>
  <c r="DY232" i="3"/>
  <c r="DY233" i="3"/>
  <c r="DY234" i="3"/>
  <c r="DY235" i="3"/>
  <c r="DY236" i="3"/>
  <c r="DY237" i="3"/>
  <c r="DY238" i="3"/>
  <c r="DY239" i="3"/>
  <c r="DY240" i="3"/>
  <c r="DY241" i="3"/>
  <c r="DY242" i="3"/>
  <c r="DY243" i="3"/>
  <c r="DY244" i="3"/>
  <c r="DY245" i="3"/>
  <c r="DY246" i="3"/>
  <c r="DY247" i="3"/>
  <c r="DY248" i="3"/>
  <c r="DY249" i="3"/>
  <c r="DY250" i="3"/>
  <c r="DY251" i="3"/>
  <c r="DY252" i="3"/>
  <c r="DY253" i="3"/>
  <c r="DY254" i="3"/>
  <c r="DY255" i="3"/>
  <c r="DY256" i="3"/>
  <c r="DY257" i="3"/>
  <c r="DY258" i="3"/>
  <c r="DY259" i="3"/>
  <c r="DY260" i="3"/>
  <c r="DY261" i="3"/>
  <c r="DY262" i="3"/>
  <c r="DY263" i="3"/>
  <c r="DY264" i="3"/>
  <c r="DY265" i="3"/>
  <c r="DY266" i="3"/>
  <c r="DY267" i="3"/>
  <c r="DY268" i="3"/>
  <c r="DY269" i="3"/>
  <c r="DY270" i="3"/>
  <c r="DY271" i="3"/>
  <c r="DY272" i="3"/>
  <c r="DY273" i="3"/>
  <c r="DY274" i="3"/>
  <c r="DY275" i="3"/>
  <c r="DY276" i="3"/>
  <c r="DY277" i="3"/>
  <c r="DY278" i="3"/>
  <c r="DY279" i="3"/>
  <c r="DY280" i="3"/>
  <c r="DY281" i="3"/>
  <c r="DY282" i="3"/>
  <c r="DY283" i="3"/>
  <c r="DY284" i="3"/>
  <c r="DY285" i="3"/>
  <c r="DY286" i="3"/>
  <c r="DY287" i="3"/>
  <c r="DY288" i="3"/>
  <c r="DY289" i="3"/>
  <c r="DY290" i="3"/>
  <c r="DY291" i="3"/>
  <c r="DY292" i="3"/>
  <c r="DY293" i="3"/>
  <c r="DY294" i="3"/>
  <c r="DY295" i="3"/>
  <c r="DY296" i="3"/>
  <c r="DY297" i="3"/>
  <c r="DY298" i="3"/>
  <c r="DY299" i="3"/>
  <c r="DY300" i="3"/>
  <c r="DY301" i="3"/>
  <c r="DY302" i="3"/>
  <c r="DY303" i="3"/>
  <c r="DY304" i="3"/>
  <c r="DY305" i="3"/>
  <c r="DY306" i="3"/>
  <c r="DY307" i="3"/>
  <c r="DY308" i="3"/>
  <c r="DY309" i="3"/>
  <c r="DY310" i="3"/>
  <c r="DY311" i="3"/>
  <c r="DY312" i="3"/>
  <c r="DY313" i="3"/>
  <c r="DY314" i="3"/>
  <c r="DY315" i="3"/>
  <c r="DY316" i="3"/>
  <c r="DY317" i="3"/>
  <c r="DY318" i="3"/>
  <c r="DY319" i="3"/>
  <c r="DY320" i="3"/>
  <c r="DY321" i="3"/>
  <c r="DY322" i="3"/>
  <c r="DY323" i="3"/>
  <c r="DY324" i="3"/>
  <c r="DY325" i="3"/>
  <c r="DY326" i="3"/>
  <c r="DY327" i="3"/>
  <c r="DY328" i="3"/>
  <c r="DY329" i="3"/>
  <c r="DY330" i="3"/>
  <c r="DY331" i="3"/>
  <c r="DY332" i="3"/>
  <c r="DY333" i="3"/>
  <c r="DY334" i="3"/>
  <c r="DY335" i="3"/>
  <c r="DY336" i="3"/>
  <c r="DY337" i="3"/>
  <c r="DY338" i="3"/>
  <c r="DY339" i="3"/>
  <c r="DY340" i="3"/>
  <c r="DY341" i="3"/>
  <c r="DY342" i="3"/>
  <c r="DY343" i="3"/>
  <c r="DY344" i="3"/>
  <c r="DY345" i="3"/>
  <c r="DY346" i="3"/>
  <c r="DY347" i="3"/>
  <c r="DY348" i="3"/>
  <c r="DY349" i="3"/>
  <c r="DY350" i="3"/>
  <c r="DY351" i="3"/>
  <c r="DY352" i="3"/>
  <c r="DY353" i="3"/>
  <c r="DY354" i="3"/>
  <c r="DY355" i="3"/>
  <c r="DY356" i="3"/>
  <c r="DY357" i="3"/>
  <c r="DY358" i="3"/>
  <c r="DY359" i="3"/>
  <c r="DY360" i="3"/>
  <c r="DY361" i="3"/>
  <c r="DY362" i="3"/>
  <c r="DY363" i="3"/>
  <c r="DY364" i="3"/>
  <c r="DY365" i="3"/>
  <c r="DY366" i="3"/>
  <c r="DY367" i="3"/>
  <c r="DY368" i="3"/>
  <c r="DY369" i="3"/>
  <c r="DY370" i="3"/>
  <c r="DY371" i="3"/>
  <c r="DY372" i="3"/>
  <c r="DY373" i="3"/>
  <c r="DY374" i="3"/>
  <c r="DY375" i="3"/>
  <c r="DY376" i="3"/>
  <c r="DY377" i="3"/>
  <c r="DY378" i="3"/>
  <c r="DY379" i="3"/>
  <c r="DY380" i="3"/>
  <c r="DY381" i="3"/>
  <c r="DY382" i="3"/>
  <c r="DY383" i="3"/>
  <c r="DY384" i="3"/>
  <c r="DY385" i="3"/>
  <c r="DY386" i="3"/>
  <c r="DY387" i="3"/>
  <c r="DY388" i="3"/>
  <c r="DY389" i="3"/>
  <c r="DY390" i="3"/>
  <c r="DY391" i="3"/>
  <c r="DY392" i="3"/>
  <c r="DY393" i="3"/>
  <c r="DY394" i="3"/>
  <c r="DY395" i="3"/>
  <c r="DY396" i="3"/>
  <c r="DY397" i="3"/>
  <c r="DY398" i="3"/>
  <c r="DY399" i="3"/>
  <c r="DY400" i="3"/>
  <c r="DY401" i="3"/>
  <c r="DY402" i="3"/>
  <c r="DY403" i="3"/>
  <c r="DY404" i="3"/>
  <c r="DY405" i="3"/>
  <c r="DY406" i="3"/>
  <c r="DY407" i="3"/>
  <c r="DY408" i="3"/>
  <c r="DY409" i="3"/>
  <c r="DY410" i="3"/>
  <c r="DY411" i="3"/>
  <c r="DY412" i="3"/>
  <c r="DY413" i="3"/>
  <c r="DY414" i="3"/>
  <c r="DY415" i="3"/>
  <c r="DY416" i="3"/>
  <c r="DY417" i="3"/>
  <c r="DY418" i="3"/>
  <c r="DY419" i="3"/>
  <c r="DY420" i="3"/>
  <c r="DY421" i="3"/>
  <c r="DY422" i="3"/>
  <c r="DY423" i="3"/>
  <c r="DY424" i="3"/>
  <c r="DY425" i="3"/>
  <c r="DY426" i="3"/>
  <c r="DY427" i="3"/>
  <c r="DY428" i="3"/>
  <c r="DY429" i="3"/>
  <c r="DY430" i="3"/>
  <c r="DY431" i="3"/>
  <c r="DY432" i="3"/>
  <c r="DY433" i="3"/>
  <c r="DY434" i="3"/>
  <c r="DY435" i="3"/>
  <c r="DY436" i="3"/>
  <c r="DY437" i="3"/>
  <c r="DY438" i="3"/>
  <c r="DY439" i="3"/>
  <c r="DY440" i="3"/>
  <c r="DY441" i="3"/>
  <c r="DY442" i="3"/>
  <c r="DY443" i="3"/>
  <c r="DY444" i="3"/>
  <c r="DY445" i="3"/>
  <c r="DY446" i="3"/>
  <c r="DY447" i="3"/>
  <c r="DY448" i="3"/>
  <c r="DY449" i="3"/>
  <c r="DY450" i="3"/>
  <c r="DY451" i="3"/>
  <c r="DY452" i="3"/>
  <c r="DY453" i="3"/>
  <c r="DY454" i="3"/>
  <c r="DY455" i="3"/>
  <c r="DY456" i="3"/>
  <c r="DY457" i="3"/>
  <c r="DY458" i="3"/>
  <c r="DY459" i="3"/>
  <c r="DY460" i="3"/>
  <c r="DY461" i="3"/>
  <c r="DY462" i="3"/>
  <c r="DY463" i="3"/>
  <c r="DY464" i="3"/>
  <c r="DY465" i="3"/>
  <c r="DY466" i="3"/>
  <c r="DY467" i="3"/>
  <c r="DY468" i="3"/>
  <c r="DY469" i="3"/>
  <c r="DY470" i="3"/>
  <c r="DY471" i="3"/>
  <c r="DY472" i="3"/>
  <c r="DY473" i="3"/>
  <c r="DY474" i="3"/>
  <c r="DY475" i="3"/>
  <c r="DY476" i="3"/>
  <c r="DY477" i="3"/>
  <c r="DY478" i="3"/>
  <c r="DY479" i="3"/>
  <c r="DY480" i="3"/>
  <c r="DY481" i="3"/>
  <c r="DY482" i="3"/>
  <c r="DY483" i="3"/>
  <c r="DY484" i="3"/>
  <c r="DY485" i="3"/>
  <c r="DY486" i="3"/>
  <c r="DY487" i="3"/>
  <c r="DY488" i="3"/>
  <c r="DY489" i="3"/>
  <c r="DY490" i="3"/>
  <c r="DY491" i="3"/>
  <c r="DY492" i="3"/>
  <c r="DY493" i="3"/>
  <c r="DY494" i="3"/>
  <c r="DY495" i="3"/>
  <c r="DY496" i="3"/>
  <c r="DY497" i="3"/>
  <c r="DY498" i="3"/>
  <c r="DY499" i="3"/>
  <c r="DY500" i="3"/>
  <c r="DY501" i="3"/>
  <c r="DY502" i="3"/>
  <c r="DY503" i="3"/>
  <c r="DY504" i="3"/>
  <c r="DY505" i="3"/>
  <c r="DY506" i="3"/>
  <c r="DY507" i="3"/>
  <c r="DY508" i="3"/>
  <c r="DY509" i="3"/>
  <c r="DY510" i="3"/>
  <c r="DY511" i="3"/>
  <c r="DY512" i="3"/>
  <c r="DY513" i="3"/>
  <c r="DY514" i="3"/>
  <c r="DY515" i="3"/>
  <c r="DY516" i="3"/>
  <c r="DY517" i="3"/>
  <c r="DY518" i="3"/>
  <c r="DY519" i="3"/>
  <c r="DY520" i="3"/>
  <c r="DY521" i="3"/>
  <c r="DY522" i="3"/>
  <c r="DY523" i="3"/>
  <c r="DY524" i="3"/>
  <c r="DY525" i="3"/>
  <c r="DY526" i="3"/>
  <c r="DY527" i="3"/>
  <c r="DY528" i="3"/>
  <c r="DY529" i="3"/>
  <c r="DY530" i="3"/>
  <c r="DY531" i="3"/>
  <c r="DY532" i="3"/>
  <c r="DY533" i="3"/>
  <c r="DY534" i="3"/>
  <c r="DY535" i="3"/>
  <c r="DY536" i="3"/>
  <c r="DY537" i="3"/>
  <c r="DY538" i="3"/>
  <c r="DY539" i="3"/>
  <c r="DY540" i="3"/>
  <c r="DY541" i="3"/>
  <c r="DY542" i="3"/>
  <c r="DY543" i="3"/>
  <c r="DY544" i="3"/>
  <c r="DY545" i="3"/>
  <c r="DY546" i="3"/>
  <c r="DY547" i="3"/>
  <c r="DY548" i="3"/>
  <c r="DY549" i="3"/>
  <c r="DY550" i="3"/>
  <c r="DY551" i="3"/>
  <c r="DY552" i="3"/>
  <c r="DY553" i="3"/>
  <c r="DY554" i="3"/>
  <c r="DY555" i="3"/>
  <c r="DY556" i="3"/>
  <c r="DY557" i="3"/>
  <c r="DY558" i="3"/>
  <c r="DY559" i="3"/>
  <c r="DY560" i="3"/>
  <c r="DY561" i="3"/>
  <c r="DY562" i="3"/>
  <c r="DY563" i="3"/>
  <c r="DY564" i="3"/>
  <c r="DY565" i="3"/>
  <c r="DY566" i="3"/>
  <c r="DY567" i="3"/>
  <c r="DY568" i="3"/>
  <c r="DY569" i="3"/>
  <c r="DY570" i="3"/>
  <c r="DY571" i="3"/>
  <c r="DY572" i="3"/>
  <c r="DY573" i="3"/>
  <c r="DY574" i="3"/>
  <c r="DY575" i="3"/>
  <c r="DY576" i="3"/>
  <c r="DY577" i="3"/>
  <c r="DY578" i="3"/>
  <c r="DY579" i="3"/>
  <c r="DY580" i="3"/>
  <c r="DY581" i="3"/>
  <c r="DY582" i="3"/>
  <c r="DY583" i="3"/>
  <c r="DY584" i="3"/>
  <c r="DY585" i="3"/>
  <c r="DY586" i="3"/>
  <c r="DY587" i="3"/>
  <c r="DY588" i="3"/>
  <c r="DY589" i="3"/>
  <c r="DY590" i="3"/>
  <c r="DY591" i="3"/>
  <c r="DY592" i="3"/>
  <c r="DY593" i="3"/>
  <c r="DY594" i="3"/>
  <c r="DY595" i="3"/>
  <c r="DY596" i="3"/>
  <c r="DY597" i="3"/>
  <c r="DY598" i="3"/>
  <c r="DY599" i="3"/>
  <c r="DY600" i="3"/>
  <c r="G28" i="1" l="1"/>
  <c r="C28" i="1"/>
  <c r="J28" i="1"/>
  <c r="F28" i="1"/>
  <c r="I28" i="1"/>
  <c r="E28" i="1"/>
  <c r="H28" i="1"/>
  <c r="D28" i="1"/>
  <c r="J35" i="1"/>
  <c r="F35" i="1"/>
  <c r="E35" i="1"/>
  <c r="H35" i="1"/>
  <c r="G35" i="1"/>
  <c r="I35" i="1"/>
  <c r="C35" i="1"/>
  <c r="D35" i="1"/>
  <c r="FT3" i="3"/>
  <c r="FT4" i="3"/>
  <c r="FT5" i="3"/>
  <c r="FT6" i="3"/>
  <c r="FT7" i="3"/>
  <c r="FT8" i="3"/>
  <c r="FT9" i="3"/>
  <c r="FT10" i="3"/>
  <c r="FT11" i="3"/>
  <c r="FT12" i="3"/>
  <c r="FT13" i="3"/>
  <c r="FT14" i="3"/>
  <c r="FT15" i="3"/>
  <c r="FT16" i="3"/>
  <c r="FT17" i="3"/>
  <c r="FT18" i="3"/>
  <c r="FT19" i="3"/>
  <c r="FT20" i="3"/>
  <c r="FT21" i="3"/>
  <c r="FT22" i="3"/>
  <c r="FT23" i="3"/>
  <c r="FT24" i="3"/>
  <c r="FT25" i="3"/>
  <c r="FT26" i="3"/>
  <c r="FT27" i="3"/>
  <c r="FT28" i="3"/>
  <c r="FT29" i="3"/>
  <c r="FT30" i="3"/>
  <c r="FT31" i="3"/>
  <c r="FT32" i="3"/>
  <c r="FT33" i="3"/>
  <c r="FT34" i="3"/>
  <c r="FT35" i="3"/>
  <c r="FT36" i="3"/>
  <c r="FT37" i="3"/>
  <c r="FT38" i="3"/>
  <c r="FT39" i="3"/>
  <c r="FT40" i="3"/>
  <c r="FT41" i="3"/>
  <c r="FT42" i="3"/>
  <c r="FT43" i="3"/>
  <c r="FT44" i="3"/>
  <c r="FT45" i="3"/>
  <c r="FT46" i="3"/>
  <c r="FT47" i="3"/>
  <c r="FT48" i="3"/>
  <c r="FT49" i="3"/>
  <c r="FT50" i="3"/>
  <c r="FT51" i="3"/>
  <c r="FT52" i="3"/>
  <c r="FT53" i="3"/>
  <c r="FT54" i="3"/>
  <c r="FT55" i="3"/>
  <c r="FT56" i="3"/>
  <c r="FT57" i="3"/>
  <c r="FT58" i="3"/>
  <c r="FT59" i="3"/>
  <c r="FT60" i="3"/>
  <c r="FT61" i="3"/>
  <c r="FT62" i="3"/>
  <c r="FT63" i="3"/>
  <c r="FT64" i="3"/>
  <c r="FT65" i="3"/>
  <c r="FT66" i="3"/>
  <c r="FT67" i="3"/>
  <c r="FT68" i="3"/>
  <c r="FT69" i="3"/>
  <c r="FT70" i="3"/>
  <c r="FT71" i="3"/>
  <c r="FT72" i="3"/>
  <c r="FT73" i="3"/>
  <c r="FT74" i="3"/>
  <c r="FT75" i="3"/>
  <c r="FT76" i="3"/>
  <c r="FT77" i="3"/>
  <c r="FT78" i="3"/>
  <c r="FT79" i="3"/>
  <c r="FT80" i="3"/>
  <c r="FT81" i="3"/>
  <c r="FT82" i="3"/>
  <c r="FT83" i="3"/>
  <c r="FT84" i="3"/>
  <c r="FT85" i="3"/>
  <c r="FT86" i="3"/>
  <c r="FT87" i="3"/>
  <c r="FT88" i="3"/>
  <c r="FT89" i="3"/>
  <c r="FT90" i="3"/>
  <c r="FT91" i="3"/>
  <c r="FT92" i="3"/>
  <c r="FT93" i="3"/>
  <c r="FT94" i="3"/>
  <c r="FT95" i="3"/>
  <c r="FT96" i="3"/>
  <c r="FT97" i="3"/>
  <c r="FT98" i="3"/>
  <c r="FT99" i="3"/>
  <c r="FT100" i="3"/>
  <c r="FT101" i="3"/>
  <c r="FT102" i="3"/>
  <c r="FT103" i="3"/>
  <c r="FT104" i="3"/>
  <c r="FT105" i="3"/>
  <c r="FT106" i="3"/>
  <c r="FT107" i="3"/>
  <c r="FT108" i="3"/>
  <c r="FT109" i="3"/>
  <c r="FT110" i="3"/>
  <c r="FT111" i="3"/>
  <c r="FT112" i="3"/>
  <c r="FT113" i="3"/>
  <c r="FT114" i="3"/>
  <c r="FT115" i="3"/>
  <c r="FT116" i="3"/>
  <c r="FT117" i="3"/>
  <c r="FT118" i="3"/>
  <c r="FT119" i="3"/>
  <c r="FT120" i="3"/>
  <c r="FT121" i="3"/>
  <c r="FT122" i="3"/>
  <c r="FT123" i="3"/>
  <c r="FT124" i="3"/>
  <c r="FT125" i="3"/>
  <c r="FT126" i="3"/>
  <c r="FT127" i="3"/>
  <c r="FT128" i="3"/>
  <c r="FT129" i="3"/>
  <c r="FT130" i="3"/>
  <c r="FT131" i="3"/>
  <c r="FT132" i="3"/>
  <c r="FT133" i="3"/>
  <c r="FT134" i="3"/>
  <c r="FT135" i="3"/>
  <c r="FT136" i="3"/>
  <c r="FT137" i="3"/>
  <c r="FT138" i="3"/>
  <c r="FT139" i="3"/>
  <c r="FT140" i="3"/>
  <c r="FT141" i="3"/>
  <c r="FT142" i="3"/>
  <c r="FT143" i="3"/>
  <c r="FT144" i="3"/>
  <c r="FT145" i="3"/>
  <c r="FT146" i="3"/>
  <c r="FT147" i="3"/>
  <c r="FT148" i="3"/>
  <c r="FT149" i="3"/>
  <c r="FT150" i="3"/>
  <c r="FT151" i="3"/>
  <c r="FT152" i="3"/>
  <c r="FT153" i="3"/>
  <c r="FT154" i="3"/>
  <c r="FT155" i="3"/>
  <c r="FT156" i="3"/>
  <c r="FT157" i="3"/>
  <c r="FT158" i="3"/>
  <c r="FT159" i="3"/>
  <c r="FT160" i="3"/>
  <c r="FT161" i="3"/>
  <c r="FT162" i="3"/>
  <c r="FT163" i="3"/>
  <c r="FT164" i="3"/>
  <c r="FT165" i="3"/>
  <c r="FT166" i="3"/>
  <c r="FT167" i="3"/>
  <c r="FT168" i="3"/>
  <c r="FT169" i="3"/>
  <c r="FT170" i="3"/>
  <c r="FT171" i="3"/>
  <c r="FT172" i="3"/>
  <c r="FT173" i="3"/>
  <c r="FT174" i="3"/>
  <c r="FT175" i="3"/>
  <c r="FT176" i="3"/>
  <c r="FT177" i="3"/>
  <c r="FT178" i="3"/>
  <c r="FT179" i="3"/>
  <c r="FT180" i="3"/>
  <c r="FT181" i="3"/>
  <c r="FT182" i="3"/>
  <c r="FT183" i="3"/>
  <c r="FT184" i="3"/>
  <c r="FT185" i="3"/>
  <c r="FT186" i="3"/>
  <c r="FT187" i="3"/>
  <c r="FT188" i="3"/>
  <c r="FT189" i="3"/>
  <c r="FT190" i="3"/>
  <c r="FT191" i="3"/>
  <c r="FT192" i="3"/>
  <c r="FT193" i="3"/>
  <c r="FT194" i="3"/>
  <c r="FT195" i="3"/>
  <c r="FT196" i="3"/>
  <c r="FT197" i="3"/>
  <c r="FT198" i="3"/>
  <c r="FT199" i="3"/>
  <c r="FT200" i="3"/>
  <c r="FT201" i="3"/>
  <c r="FT202" i="3"/>
  <c r="FT203" i="3"/>
  <c r="FT204" i="3"/>
  <c r="FT205" i="3"/>
  <c r="FT206" i="3"/>
  <c r="FT207" i="3"/>
  <c r="FT208" i="3"/>
  <c r="FT209" i="3"/>
  <c r="FT210" i="3"/>
  <c r="FT211" i="3"/>
  <c r="FT212" i="3"/>
  <c r="FT213" i="3"/>
  <c r="FT214" i="3"/>
  <c r="FT215" i="3"/>
  <c r="FT216" i="3"/>
  <c r="FT217" i="3"/>
  <c r="FT218" i="3"/>
  <c r="FT219" i="3"/>
  <c r="FT220" i="3"/>
  <c r="FT221" i="3"/>
  <c r="FT222" i="3"/>
  <c r="FT223" i="3"/>
  <c r="FT224" i="3"/>
  <c r="FT225" i="3"/>
  <c r="FT226" i="3"/>
  <c r="FT227" i="3"/>
  <c r="FT228" i="3"/>
  <c r="FT229" i="3"/>
  <c r="FT230" i="3"/>
  <c r="FT231" i="3"/>
  <c r="FT232" i="3"/>
  <c r="FT233" i="3"/>
  <c r="FT234" i="3"/>
  <c r="FT235" i="3"/>
  <c r="FT236" i="3"/>
  <c r="FT237" i="3"/>
  <c r="FT238" i="3"/>
  <c r="FT239" i="3"/>
  <c r="FT240" i="3"/>
  <c r="FT241" i="3"/>
  <c r="FT242" i="3"/>
  <c r="FT243" i="3"/>
  <c r="FT244" i="3"/>
  <c r="FT245" i="3"/>
  <c r="FT246" i="3"/>
  <c r="FT247" i="3"/>
  <c r="FT248" i="3"/>
  <c r="FT249" i="3"/>
  <c r="FT250" i="3"/>
  <c r="FT251" i="3"/>
  <c r="FT252" i="3"/>
  <c r="FT253" i="3"/>
  <c r="FT254" i="3"/>
  <c r="FT255" i="3"/>
  <c r="FT256" i="3"/>
  <c r="FT257" i="3"/>
  <c r="FT258" i="3"/>
  <c r="FT259" i="3"/>
  <c r="FT260" i="3"/>
  <c r="FT261" i="3"/>
  <c r="FT262" i="3"/>
  <c r="FT263" i="3"/>
  <c r="FT264" i="3"/>
  <c r="FT265" i="3"/>
  <c r="FT266" i="3"/>
  <c r="FT267" i="3"/>
  <c r="FT268" i="3"/>
  <c r="FT269" i="3"/>
  <c r="FT270" i="3"/>
  <c r="FT271" i="3"/>
  <c r="FT272" i="3"/>
  <c r="FT273" i="3"/>
  <c r="FT274" i="3"/>
  <c r="FT275" i="3"/>
  <c r="FT276" i="3"/>
  <c r="FT277" i="3"/>
  <c r="FT278" i="3"/>
  <c r="FT279" i="3"/>
  <c r="FT280" i="3"/>
  <c r="FT281" i="3"/>
  <c r="FT282" i="3"/>
  <c r="FT283" i="3"/>
  <c r="FT284" i="3"/>
  <c r="FT285" i="3"/>
  <c r="FT286" i="3"/>
  <c r="FT287" i="3"/>
  <c r="FT288" i="3"/>
  <c r="FT289" i="3"/>
  <c r="FT290" i="3"/>
  <c r="FT291" i="3"/>
  <c r="FT292" i="3"/>
  <c r="FT293" i="3"/>
  <c r="FT294" i="3"/>
  <c r="FT295" i="3"/>
  <c r="FT296" i="3"/>
  <c r="FT297" i="3"/>
  <c r="FT298" i="3"/>
  <c r="FT299" i="3"/>
  <c r="FT300" i="3"/>
  <c r="FT301" i="3"/>
  <c r="FT302" i="3"/>
  <c r="FT303" i="3"/>
  <c r="FT304" i="3"/>
  <c r="FT305" i="3"/>
  <c r="FT306" i="3"/>
  <c r="FT307" i="3"/>
  <c r="FT308" i="3"/>
  <c r="FT309" i="3"/>
  <c r="FT310" i="3"/>
  <c r="FT311" i="3"/>
  <c r="FT312" i="3"/>
  <c r="FT313" i="3"/>
  <c r="FT314" i="3"/>
  <c r="FT315" i="3"/>
  <c r="FT316" i="3"/>
  <c r="FT317" i="3"/>
  <c r="FT318" i="3"/>
  <c r="FT319" i="3"/>
  <c r="FT320" i="3"/>
  <c r="FT321" i="3"/>
  <c r="FT322" i="3"/>
  <c r="FT323" i="3"/>
  <c r="FT324" i="3"/>
  <c r="FT325" i="3"/>
  <c r="FT326" i="3"/>
  <c r="FT327" i="3"/>
  <c r="FT328" i="3"/>
  <c r="FT329" i="3"/>
  <c r="FT330" i="3"/>
  <c r="FT331" i="3"/>
  <c r="FT332" i="3"/>
  <c r="FT333" i="3"/>
  <c r="FT334" i="3"/>
  <c r="FT335" i="3"/>
  <c r="FT336" i="3"/>
  <c r="FT337" i="3"/>
  <c r="FT338" i="3"/>
  <c r="FT339" i="3"/>
  <c r="FT340" i="3"/>
  <c r="FT341" i="3"/>
  <c r="FT342" i="3"/>
  <c r="FT343" i="3"/>
  <c r="FT344" i="3"/>
  <c r="FT345" i="3"/>
  <c r="FT346" i="3"/>
  <c r="FT347" i="3"/>
  <c r="FT348" i="3"/>
  <c r="FT349" i="3"/>
  <c r="FT350" i="3"/>
  <c r="FT351" i="3"/>
  <c r="FT352" i="3"/>
  <c r="FT353" i="3"/>
  <c r="FT354" i="3"/>
  <c r="FT355" i="3"/>
  <c r="FT356" i="3"/>
  <c r="FT357" i="3"/>
  <c r="FT358" i="3"/>
  <c r="FT359" i="3"/>
  <c r="FT360" i="3"/>
  <c r="FT361" i="3"/>
  <c r="FT362" i="3"/>
  <c r="FT363" i="3"/>
  <c r="FT364" i="3"/>
  <c r="FT365" i="3"/>
  <c r="FT366" i="3"/>
  <c r="FT367" i="3"/>
  <c r="FT368" i="3"/>
  <c r="FT369" i="3"/>
  <c r="FT370" i="3"/>
  <c r="FT371" i="3"/>
  <c r="FT372" i="3"/>
  <c r="FT373" i="3"/>
  <c r="FT374" i="3"/>
  <c r="FT375" i="3"/>
  <c r="FT376" i="3"/>
  <c r="FT377" i="3"/>
  <c r="FT378" i="3"/>
  <c r="FT379" i="3"/>
  <c r="FT380" i="3"/>
  <c r="FT381" i="3"/>
  <c r="FT382" i="3"/>
  <c r="FT383" i="3"/>
  <c r="FT384" i="3"/>
  <c r="FT385" i="3"/>
  <c r="FT386" i="3"/>
  <c r="FT387" i="3"/>
  <c r="FT388" i="3"/>
  <c r="FT389" i="3"/>
  <c r="FT390" i="3"/>
  <c r="FT391" i="3"/>
  <c r="FT392" i="3"/>
  <c r="FT393" i="3"/>
  <c r="FT394" i="3"/>
  <c r="FT395" i="3"/>
  <c r="FT396" i="3"/>
  <c r="FT397" i="3"/>
  <c r="FT398" i="3"/>
  <c r="FT399" i="3"/>
  <c r="FT400" i="3"/>
  <c r="FT401" i="3"/>
  <c r="FT402" i="3"/>
  <c r="FT403" i="3"/>
  <c r="FT404" i="3"/>
  <c r="FT405" i="3"/>
  <c r="FT406" i="3"/>
  <c r="FT407" i="3"/>
  <c r="FT408" i="3"/>
  <c r="FT409" i="3"/>
  <c r="FT410" i="3"/>
  <c r="FT411" i="3"/>
  <c r="FT412" i="3"/>
  <c r="FT413" i="3"/>
  <c r="FT414" i="3"/>
  <c r="FT415" i="3"/>
  <c r="FT416" i="3"/>
  <c r="FT417" i="3"/>
  <c r="FT418" i="3"/>
  <c r="FT419" i="3"/>
  <c r="FT420" i="3"/>
  <c r="FT421" i="3"/>
  <c r="FT422" i="3"/>
  <c r="FT423" i="3"/>
  <c r="FT424" i="3"/>
  <c r="FT425" i="3"/>
  <c r="FT426" i="3"/>
  <c r="FT427" i="3"/>
  <c r="FT428" i="3"/>
  <c r="FT429" i="3"/>
  <c r="FT430" i="3"/>
  <c r="FT431" i="3"/>
  <c r="FT432" i="3"/>
  <c r="FT433" i="3"/>
  <c r="FT434" i="3"/>
  <c r="FT435" i="3"/>
  <c r="FT436" i="3"/>
  <c r="FT437" i="3"/>
  <c r="FT438" i="3"/>
  <c r="FT439" i="3"/>
  <c r="FT440" i="3"/>
  <c r="FT441" i="3"/>
  <c r="FT442" i="3"/>
  <c r="FT443" i="3"/>
  <c r="FT444" i="3"/>
  <c r="FT445" i="3"/>
  <c r="FT446" i="3"/>
  <c r="FT447" i="3"/>
  <c r="FT448" i="3"/>
  <c r="FT449" i="3"/>
  <c r="FT450" i="3"/>
  <c r="FT451" i="3"/>
  <c r="FT452" i="3"/>
  <c r="FT453" i="3"/>
  <c r="FT454" i="3"/>
  <c r="FT455" i="3"/>
  <c r="FT456" i="3"/>
  <c r="FT457" i="3"/>
  <c r="FT458" i="3"/>
  <c r="FT459" i="3"/>
  <c r="FT460" i="3"/>
  <c r="FT461" i="3"/>
  <c r="FT462" i="3"/>
  <c r="FT463" i="3"/>
  <c r="FT464" i="3"/>
  <c r="FT465" i="3"/>
  <c r="FT466" i="3"/>
  <c r="FT467" i="3"/>
  <c r="FT468" i="3"/>
  <c r="FT469" i="3"/>
  <c r="FT470" i="3"/>
  <c r="FT471" i="3"/>
  <c r="FT472" i="3"/>
  <c r="FT473" i="3"/>
  <c r="FT474" i="3"/>
  <c r="FT475" i="3"/>
  <c r="FT476" i="3"/>
  <c r="FT477" i="3"/>
  <c r="FT478" i="3"/>
  <c r="FT479" i="3"/>
  <c r="FT480" i="3"/>
  <c r="FT481" i="3"/>
  <c r="FT482" i="3"/>
  <c r="FT483" i="3"/>
  <c r="FT484" i="3"/>
  <c r="FT485" i="3"/>
  <c r="FT486" i="3"/>
  <c r="FT487" i="3"/>
  <c r="FT488" i="3"/>
  <c r="FT489" i="3"/>
  <c r="FT490" i="3"/>
  <c r="FT491" i="3"/>
  <c r="FT492" i="3"/>
  <c r="FT493" i="3"/>
  <c r="FT494" i="3"/>
  <c r="FT495" i="3"/>
  <c r="FT496" i="3"/>
  <c r="FT497" i="3"/>
  <c r="FT498" i="3"/>
  <c r="FT499" i="3"/>
  <c r="FT500" i="3"/>
  <c r="FT501" i="3"/>
  <c r="FT502" i="3"/>
  <c r="FT503" i="3"/>
  <c r="FT504" i="3"/>
  <c r="FT505" i="3"/>
  <c r="FT506" i="3"/>
  <c r="FT507" i="3"/>
  <c r="FT508" i="3"/>
  <c r="FT509" i="3"/>
  <c r="FT510" i="3"/>
  <c r="FT511" i="3"/>
  <c r="FT512" i="3"/>
  <c r="FT513" i="3"/>
  <c r="FT514" i="3"/>
  <c r="FT515" i="3"/>
  <c r="FT516" i="3"/>
  <c r="FT517" i="3"/>
  <c r="FT518" i="3"/>
  <c r="FT519" i="3"/>
  <c r="FT520" i="3"/>
  <c r="FT521" i="3"/>
  <c r="FT522" i="3"/>
  <c r="FT523" i="3"/>
  <c r="FT524" i="3"/>
  <c r="FT525" i="3"/>
  <c r="FT526" i="3"/>
  <c r="FT527" i="3"/>
  <c r="FT528" i="3"/>
  <c r="FT529" i="3"/>
  <c r="FT530" i="3"/>
  <c r="FT531" i="3"/>
  <c r="FT532" i="3"/>
  <c r="FT533" i="3"/>
  <c r="FT534" i="3"/>
  <c r="FT535" i="3"/>
  <c r="FT536" i="3"/>
  <c r="FT537" i="3"/>
  <c r="FT538" i="3"/>
  <c r="FT539" i="3"/>
  <c r="FT540" i="3"/>
  <c r="FT541" i="3"/>
  <c r="FT542" i="3"/>
  <c r="FT543" i="3"/>
  <c r="FT544" i="3"/>
  <c r="FT545" i="3"/>
  <c r="FT546" i="3"/>
  <c r="FT547" i="3"/>
  <c r="FT548" i="3"/>
  <c r="FT549" i="3"/>
  <c r="FT550" i="3"/>
  <c r="FT551" i="3"/>
  <c r="FT552" i="3"/>
  <c r="FT553" i="3"/>
  <c r="FT554" i="3"/>
  <c r="FT555" i="3"/>
  <c r="FT556" i="3"/>
  <c r="FT557" i="3"/>
  <c r="FT558" i="3"/>
  <c r="FT559" i="3"/>
  <c r="FT560" i="3"/>
  <c r="FT561" i="3"/>
  <c r="FT562" i="3"/>
  <c r="FT563" i="3"/>
  <c r="FT564" i="3"/>
  <c r="FT565" i="3"/>
  <c r="FT566" i="3"/>
  <c r="FT567" i="3"/>
  <c r="FT568" i="3"/>
  <c r="FT569" i="3"/>
  <c r="FT570" i="3"/>
  <c r="FT571" i="3"/>
  <c r="FT572" i="3"/>
  <c r="FT573" i="3"/>
  <c r="FT574" i="3"/>
  <c r="FT575" i="3"/>
  <c r="FT576" i="3"/>
  <c r="FT577" i="3"/>
  <c r="FT578" i="3"/>
  <c r="FT579" i="3"/>
  <c r="FT580" i="3"/>
  <c r="FT581" i="3"/>
  <c r="FT582" i="3"/>
  <c r="FT583" i="3"/>
  <c r="FT584" i="3"/>
  <c r="FT585" i="3"/>
  <c r="FT586" i="3"/>
  <c r="FT587" i="3"/>
  <c r="FT588" i="3"/>
  <c r="FT589" i="3"/>
  <c r="FT590" i="3"/>
  <c r="FT591" i="3"/>
  <c r="FT592" i="3"/>
  <c r="FT593" i="3"/>
  <c r="FT594" i="3"/>
  <c r="FT595" i="3"/>
  <c r="FT596" i="3"/>
  <c r="FT597" i="3"/>
  <c r="FT598" i="3"/>
  <c r="FT599" i="3"/>
  <c r="FT600" i="3"/>
  <c r="FS3" i="3"/>
  <c r="FS4" i="3"/>
  <c r="FS5" i="3"/>
  <c r="FS6" i="3"/>
  <c r="FS7" i="3"/>
  <c r="FS8" i="3"/>
  <c r="FS9" i="3"/>
  <c r="FS10" i="3"/>
  <c r="FS11" i="3"/>
  <c r="FS12" i="3"/>
  <c r="FS13" i="3"/>
  <c r="FS14" i="3"/>
  <c r="FS15" i="3"/>
  <c r="FS16" i="3"/>
  <c r="FS17" i="3"/>
  <c r="FS18" i="3"/>
  <c r="FS19" i="3"/>
  <c r="FS20" i="3"/>
  <c r="FS21" i="3"/>
  <c r="FS22" i="3"/>
  <c r="FS23" i="3"/>
  <c r="FS24" i="3"/>
  <c r="FS25" i="3"/>
  <c r="FS26" i="3"/>
  <c r="FS27" i="3"/>
  <c r="FS28" i="3"/>
  <c r="FS29" i="3"/>
  <c r="FS30" i="3"/>
  <c r="FS31" i="3"/>
  <c r="FS32" i="3"/>
  <c r="FS33" i="3"/>
  <c r="FS34" i="3"/>
  <c r="FS35" i="3"/>
  <c r="FS36" i="3"/>
  <c r="FS37" i="3"/>
  <c r="FS38" i="3"/>
  <c r="FS39" i="3"/>
  <c r="FS40" i="3"/>
  <c r="FS41" i="3"/>
  <c r="FS42" i="3"/>
  <c r="FS43" i="3"/>
  <c r="FS44" i="3"/>
  <c r="FS45" i="3"/>
  <c r="FS46" i="3"/>
  <c r="FS47" i="3"/>
  <c r="FS48" i="3"/>
  <c r="FS49" i="3"/>
  <c r="FS50" i="3"/>
  <c r="FS51" i="3"/>
  <c r="FS52" i="3"/>
  <c r="FS53" i="3"/>
  <c r="FS54" i="3"/>
  <c r="FS55" i="3"/>
  <c r="FS56" i="3"/>
  <c r="FS57" i="3"/>
  <c r="FS58" i="3"/>
  <c r="FS59" i="3"/>
  <c r="FS60" i="3"/>
  <c r="FS61" i="3"/>
  <c r="FS62" i="3"/>
  <c r="FS63" i="3"/>
  <c r="FS64" i="3"/>
  <c r="FS65" i="3"/>
  <c r="FS66" i="3"/>
  <c r="FS67" i="3"/>
  <c r="FS68" i="3"/>
  <c r="FS69" i="3"/>
  <c r="FS70" i="3"/>
  <c r="FS71" i="3"/>
  <c r="FS72" i="3"/>
  <c r="FS73" i="3"/>
  <c r="FS74" i="3"/>
  <c r="FS75" i="3"/>
  <c r="FS76" i="3"/>
  <c r="FS77" i="3"/>
  <c r="FS78" i="3"/>
  <c r="FS79" i="3"/>
  <c r="FS80" i="3"/>
  <c r="FS81" i="3"/>
  <c r="FS82" i="3"/>
  <c r="FS83" i="3"/>
  <c r="FS84" i="3"/>
  <c r="FS85" i="3"/>
  <c r="FS86" i="3"/>
  <c r="FS87" i="3"/>
  <c r="FS88" i="3"/>
  <c r="FS89" i="3"/>
  <c r="FS90" i="3"/>
  <c r="FS91" i="3"/>
  <c r="FS92" i="3"/>
  <c r="FS93" i="3"/>
  <c r="FS94" i="3"/>
  <c r="FS95" i="3"/>
  <c r="FS96" i="3"/>
  <c r="FS97" i="3"/>
  <c r="FS98" i="3"/>
  <c r="FS99" i="3"/>
  <c r="FS100" i="3"/>
  <c r="FS101" i="3"/>
  <c r="FS102" i="3"/>
  <c r="FS103" i="3"/>
  <c r="FS104" i="3"/>
  <c r="FS105" i="3"/>
  <c r="FS106" i="3"/>
  <c r="FS107" i="3"/>
  <c r="FS108" i="3"/>
  <c r="FS109" i="3"/>
  <c r="FS110" i="3"/>
  <c r="FS111" i="3"/>
  <c r="FS112" i="3"/>
  <c r="FS113" i="3"/>
  <c r="FS114" i="3"/>
  <c r="FS115" i="3"/>
  <c r="FS116" i="3"/>
  <c r="FS117" i="3"/>
  <c r="FS118" i="3"/>
  <c r="FS119" i="3"/>
  <c r="FS120" i="3"/>
  <c r="FS121" i="3"/>
  <c r="FS122" i="3"/>
  <c r="FS123" i="3"/>
  <c r="FS124" i="3"/>
  <c r="FS125" i="3"/>
  <c r="FS126" i="3"/>
  <c r="FS127" i="3"/>
  <c r="FS128" i="3"/>
  <c r="FS129" i="3"/>
  <c r="FS130" i="3"/>
  <c r="FS131" i="3"/>
  <c r="FS132" i="3"/>
  <c r="FS133" i="3"/>
  <c r="FS134" i="3"/>
  <c r="FS135" i="3"/>
  <c r="FS136" i="3"/>
  <c r="FS137" i="3"/>
  <c r="FS138" i="3"/>
  <c r="FS139" i="3"/>
  <c r="FS140" i="3"/>
  <c r="FS141" i="3"/>
  <c r="FS142" i="3"/>
  <c r="FS143" i="3"/>
  <c r="FS144" i="3"/>
  <c r="FS145" i="3"/>
  <c r="FS146" i="3"/>
  <c r="FS147" i="3"/>
  <c r="FS148" i="3"/>
  <c r="FS149" i="3"/>
  <c r="FS150" i="3"/>
  <c r="FS151" i="3"/>
  <c r="FS152" i="3"/>
  <c r="FS153" i="3"/>
  <c r="FS154" i="3"/>
  <c r="FS155" i="3"/>
  <c r="FS156" i="3"/>
  <c r="FS157" i="3"/>
  <c r="FS158" i="3"/>
  <c r="FS159" i="3"/>
  <c r="FS160" i="3"/>
  <c r="FS161" i="3"/>
  <c r="FS162" i="3"/>
  <c r="FS163" i="3"/>
  <c r="FS164" i="3"/>
  <c r="FS165" i="3"/>
  <c r="FS166" i="3"/>
  <c r="FS167" i="3"/>
  <c r="FS168" i="3"/>
  <c r="FS169" i="3"/>
  <c r="FS170" i="3"/>
  <c r="FS171" i="3"/>
  <c r="FS172" i="3"/>
  <c r="FS173" i="3"/>
  <c r="FS174" i="3"/>
  <c r="FS175" i="3"/>
  <c r="FS176" i="3"/>
  <c r="FS177" i="3"/>
  <c r="FS178" i="3"/>
  <c r="FS179" i="3"/>
  <c r="FS180" i="3"/>
  <c r="FS181" i="3"/>
  <c r="FS182" i="3"/>
  <c r="FS183" i="3"/>
  <c r="FS184" i="3"/>
  <c r="FS185" i="3"/>
  <c r="FS186" i="3"/>
  <c r="FS187" i="3"/>
  <c r="FS188" i="3"/>
  <c r="FS189" i="3"/>
  <c r="FS190" i="3"/>
  <c r="FS191" i="3"/>
  <c r="FS192" i="3"/>
  <c r="FS193" i="3"/>
  <c r="FS194" i="3"/>
  <c r="FS195" i="3"/>
  <c r="FS196" i="3"/>
  <c r="FS197" i="3"/>
  <c r="FS198" i="3"/>
  <c r="FS199" i="3"/>
  <c r="FS200" i="3"/>
  <c r="FS201" i="3"/>
  <c r="FS202" i="3"/>
  <c r="FS203" i="3"/>
  <c r="FS204" i="3"/>
  <c r="FS205" i="3"/>
  <c r="FS206" i="3"/>
  <c r="FS207" i="3"/>
  <c r="FS208" i="3"/>
  <c r="FS209" i="3"/>
  <c r="FS210" i="3"/>
  <c r="FS211" i="3"/>
  <c r="FS212" i="3"/>
  <c r="FS213" i="3"/>
  <c r="FS214" i="3"/>
  <c r="FS215" i="3"/>
  <c r="FS216" i="3"/>
  <c r="FS217" i="3"/>
  <c r="FS218" i="3"/>
  <c r="FS219" i="3"/>
  <c r="FS220" i="3"/>
  <c r="FS221" i="3"/>
  <c r="FS222" i="3"/>
  <c r="FS223" i="3"/>
  <c r="FS224" i="3"/>
  <c r="FS225" i="3"/>
  <c r="FS226" i="3"/>
  <c r="FS227" i="3"/>
  <c r="FS228" i="3"/>
  <c r="FS229" i="3"/>
  <c r="FS230" i="3"/>
  <c r="FS231" i="3"/>
  <c r="FS232" i="3"/>
  <c r="FS233" i="3"/>
  <c r="FS234" i="3"/>
  <c r="FS235" i="3"/>
  <c r="FS236" i="3"/>
  <c r="FS237" i="3"/>
  <c r="FS238" i="3"/>
  <c r="FS239" i="3"/>
  <c r="FS240" i="3"/>
  <c r="FS241" i="3"/>
  <c r="FS242" i="3"/>
  <c r="FS243" i="3"/>
  <c r="FS244" i="3"/>
  <c r="FS245" i="3"/>
  <c r="FS246" i="3"/>
  <c r="FS247" i="3"/>
  <c r="FS248" i="3"/>
  <c r="FS249" i="3"/>
  <c r="FS250" i="3"/>
  <c r="FS251" i="3"/>
  <c r="FS252" i="3"/>
  <c r="FS253" i="3"/>
  <c r="FS254" i="3"/>
  <c r="FS255" i="3"/>
  <c r="FS256" i="3"/>
  <c r="FS257" i="3"/>
  <c r="FS258" i="3"/>
  <c r="FS259" i="3"/>
  <c r="FS260" i="3"/>
  <c r="FS261" i="3"/>
  <c r="FS262" i="3"/>
  <c r="FS263" i="3"/>
  <c r="FS264" i="3"/>
  <c r="FS265" i="3"/>
  <c r="FS266" i="3"/>
  <c r="FS267" i="3"/>
  <c r="FS268" i="3"/>
  <c r="FS269" i="3"/>
  <c r="FS270" i="3"/>
  <c r="FS271" i="3"/>
  <c r="FS272" i="3"/>
  <c r="FS273" i="3"/>
  <c r="FS274" i="3"/>
  <c r="FS275" i="3"/>
  <c r="FS276" i="3"/>
  <c r="FS277" i="3"/>
  <c r="FS278" i="3"/>
  <c r="FS279" i="3"/>
  <c r="FS280" i="3"/>
  <c r="FS281" i="3"/>
  <c r="FS282" i="3"/>
  <c r="FS283" i="3"/>
  <c r="FS284" i="3"/>
  <c r="FS285" i="3"/>
  <c r="FS286" i="3"/>
  <c r="FS287" i="3"/>
  <c r="FS288" i="3"/>
  <c r="FS289" i="3"/>
  <c r="FS290" i="3"/>
  <c r="FS291" i="3"/>
  <c r="FS292" i="3"/>
  <c r="FS293" i="3"/>
  <c r="FS294" i="3"/>
  <c r="FS295" i="3"/>
  <c r="FS296" i="3"/>
  <c r="FS297" i="3"/>
  <c r="FS298" i="3"/>
  <c r="FS299" i="3"/>
  <c r="FS300" i="3"/>
  <c r="FS301" i="3"/>
  <c r="FS302" i="3"/>
  <c r="FS303" i="3"/>
  <c r="FS304" i="3"/>
  <c r="FS305" i="3"/>
  <c r="FS306" i="3"/>
  <c r="FS307" i="3"/>
  <c r="FS308" i="3"/>
  <c r="FS309" i="3"/>
  <c r="FS310" i="3"/>
  <c r="FS311" i="3"/>
  <c r="FS312" i="3"/>
  <c r="FS313" i="3"/>
  <c r="FS314" i="3"/>
  <c r="FS315" i="3"/>
  <c r="FS316" i="3"/>
  <c r="FS317" i="3"/>
  <c r="FS318" i="3"/>
  <c r="FS319" i="3"/>
  <c r="FS320" i="3"/>
  <c r="FS321" i="3"/>
  <c r="FS322" i="3"/>
  <c r="FS323" i="3"/>
  <c r="FS324" i="3"/>
  <c r="FS325" i="3"/>
  <c r="FS326" i="3"/>
  <c r="FS327" i="3"/>
  <c r="FS328" i="3"/>
  <c r="FS329" i="3"/>
  <c r="FS330" i="3"/>
  <c r="FS331" i="3"/>
  <c r="FS332" i="3"/>
  <c r="FS333" i="3"/>
  <c r="FS334" i="3"/>
  <c r="FS335" i="3"/>
  <c r="FS336" i="3"/>
  <c r="FS337" i="3"/>
  <c r="FS338" i="3"/>
  <c r="FS339" i="3"/>
  <c r="FS340" i="3"/>
  <c r="FS341" i="3"/>
  <c r="FS342" i="3"/>
  <c r="FS343" i="3"/>
  <c r="FS344" i="3"/>
  <c r="FS345" i="3"/>
  <c r="FS346" i="3"/>
  <c r="FS347" i="3"/>
  <c r="FS348" i="3"/>
  <c r="FS349" i="3"/>
  <c r="FS350" i="3"/>
  <c r="FS351" i="3"/>
  <c r="FS352" i="3"/>
  <c r="FS353" i="3"/>
  <c r="FS354" i="3"/>
  <c r="FS355" i="3"/>
  <c r="FS356" i="3"/>
  <c r="FS357" i="3"/>
  <c r="FS358" i="3"/>
  <c r="FS359" i="3"/>
  <c r="FS360" i="3"/>
  <c r="FS361" i="3"/>
  <c r="FS362" i="3"/>
  <c r="FS363" i="3"/>
  <c r="FS364" i="3"/>
  <c r="FS365" i="3"/>
  <c r="FS366" i="3"/>
  <c r="FS367" i="3"/>
  <c r="FS368" i="3"/>
  <c r="FS369" i="3"/>
  <c r="FS370" i="3"/>
  <c r="FS371" i="3"/>
  <c r="FS372" i="3"/>
  <c r="FS373" i="3"/>
  <c r="FS374" i="3"/>
  <c r="FS375" i="3"/>
  <c r="FS376" i="3"/>
  <c r="FS377" i="3"/>
  <c r="FS378" i="3"/>
  <c r="FS379" i="3"/>
  <c r="FS380" i="3"/>
  <c r="FS381" i="3"/>
  <c r="FS382" i="3"/>
  <c r="FS383" i="3"/>
  <c r="FS384" i="3"/>
  <c r="FS385" i="3"/>
  <c r="FS386" i="3"/>
  <c r="FS387" i="3"/>
  <c r="FS388" i="3"/>
  <c r="FS389" i="3"/>
  <c r="FS390" i="3"/>
  <c r="FS391" i="3"/>
  <c r="FS392" i="3"/>
  <c r="FS393" i="3"/>
  <c r="FS394" i="3"/>
  <c r="FS395" i="3"/>
  <c r="FS396" i="3"/>
  <c r="FS397" i="3"/>
  <c r="FS398" i="3"/>
  <c r="FS399" i="3"/>
  <c r="FS400" i="3"/>
  <c r="FS401" i="3"/>
  <c r="FS402" i="3"/>
  <c r="FS403" i="3"/>
  <c r="FS404" i="3"/>
  <c r="FS405" i="3"/>
  <c r="FS406" i="3"/>
  <c r="FS407" i="3"/>
  <c r="FS408" i="3"/>
  <c r="FS409" i="3"/>
  <c r="FS410" i="3"/>
  <c r="FS411" i="3"/>
  <c r="FS412" i="3"/>
  <c r="FS413" i="3"/>
  <c r="FS414" i="3"/>
  <c r="FS415" i="3"/>
  <c r="FS416" i="3"/>
  <c r="FS417" i="3"/>
  <c r="FS418" i="3"/>
  <c r="FS419" i="3"/>
  <c r="FS420" i="3"/>
  <c r="FS421" i="3"/>
  <c r="FS422" i="3"/>
  <c r="FS423" i="3"/>
  <c r="FS424" i="3"/>
  <c r="FS425" i="3"/>
  <c r="FS426" i="3"/>
  <c r="FS427" i="3"/>
  <c r="FS428" i="3"/>
  <c r="FS429" i="3"/>
  <c r="FS430" i="3"/>
  <c r="FS431" i="3"/>
  <c r="FS432" i="3"/>
  <c r="FS433" i="3"/>
  <c r="FS434" i="3"/>
  <c r="FS435" i="3"/>
  <c r="FS436" i="3"/>
  <c r="FS437" i="3"/>
  <c r="FS438" i="3"/>
  <c r="FS439" i="3"/>
  <c r="FS440" i="3"/>
  <c r="FS441" i="3"/>
  <c r="FS442" i="3"/>
  <c r="FS443" i="3"/>
  <c r="FS444" i="3"/>
  <c r="FS445" i="3"/>
  <c r="FS446" i="3"/>
  <c r="FS447" i="3"/>
  <c r="FS448" i="3"/>
  <c r="FS449" i="3"/>
  <c r="FS450" i="3"/>
  <c r="FS451" i="3"/>
  <c r="FS452" i="3"/>
  <c r="FS453" i="3"/>
  <c r="FS454" i="3"/>
  <c r="FS455" i="3"/>
  <c r="FS456" i="3"/>
  <c r="FS457" i="3"/>
  <c r="FS458" i="3"/>
  <c r="FS459" i="3"/>
  <c r="FS460" i="3"/>
  <c r="FS461" i="3"/>
  <c r="FS462" i="3"/>
  <c r="FS463" i="3"/>
  <c r="FS464" i="3"/>
  <c r="FS465" i="3"/>
  <c r="FS466" i="3"/>
  <c r="FS467" i="3"/>
  <c r="FS468" i="3"/>
  <c r="FS469" i="3"/>
  <c r="FS470" i="3"/>
  <c r="FS471" i="3"/>
  <c r="FS472" i="3"/>
  <c r="FS473" i="3"/>
  <c r="FS474" i="3"/>
  <c r="FS475" i="3"/>
  <c r="FS476" i="3"/>
  <c r="FS477" i="3"/>
  <c r="FS478" i="3"/>
  <c r="FS479" i="3"/>
  <c r="FS480" i="3"/>
  <c r="FS481" i="3"/>
  <c r="FS482" i="3"/>
  <c r="FS483" i="3"/>
  <c r="FS484" i="3"/>
  <c r="FS485" i="3"/>
  <c r="FS486" i="3"/>
  <c r="FS487" i="3"/>
  <c r="FS488" i="3"/>
  <c r="FS489" i="3"/>
  <c r="FS490" i="3"/>
  <c r="FS491" i="3"/>
  <c r="FS492" i="3"/>
  <c r="FS493" i="3"/>
  <c r="FS494" i="3"/>
  <c r="FS495" i="3"/>
  <c r="FS496" i="3"/>
  <c r="FS497" i="3"/>
  <c r="FS498" i="3"/>
  <c r="FS499" i="3"/>
  <c r="FS500" i="3"/>
  <c r="FS501" i="3"/>
  <c r="FS502" i="3"/>
  <c r="FS503" i="3"/>
  <c r="FS504" i="3"/>
  <c r="FS505" i="3"/>
  <c r="FS506" i="3"/>
  <c r="FS507" i="3"/>
  <c r="FS508" i="3"/>
  <c r="FS509" i="3"/>
  <c r="FS510" i="3"/>
  <c r="FS511" i="3"/>
  <c r="FS512" i="3"/>
  <c r="FS513" i="3"/>
  <c r="FS514" i="3"/>
  <c r="FS515" i="3"/>
  <c r="FS516" i="3"/>
  <c r="FS517" i="3"/>
  <c r="FS518" i="3"/>
  <c r="FS519" i="3"/>
  <c r="FS520" i="3"/>
  <c r="FS521" i="3"/>
  <c r="FS522" i="3"/>
  <c r="FS523" i="3"/>
  <c r="FS524" i="3"/>
  <c r="FS525" i="3"/>
  <c r="FS526" i="3"/>
  <c r="FS527" i="3"/>
  <c r="FS528" i="3"/>
  <c r="FS529" i="3"/>
  <c r="FS530" i="3"/>
  <c r="FS531" i="3"/>
  <c r="FS532" i="3"/>
  <c r="FS533" i="3"/>
  <c r="FS534" i="3"/>
  <c r="FS535" i="3"/>
  <c r="FS536" i="3"/>
  <c r="FS537" i="3"/>
  <c r="FS538" i="3"/>
  <c r="FS539" i="3"/>
  <c r="FS540" i="3"/>
  <c r="FS541" i="3"/>
  <c r="FS542" i="3"/>
  <c r="FS543" i="3"/>
  <c r="FS544" i="3"/>
  <c r="FS545" i="3"/>
  <c r="FS546" i="3"/>
  <c r="FS547" i="3"/>
  <c r="FS548" i="3"/>
  <c r="FS549" i="3"/>
  <c r="FS550" i="3"/>
  <c r="FS551" i="3"/>
  <c r="FS552" i="3"/>
  <c r="FS553" i="3"/>
  <c r="FS554" i="3"/>
  <c r="FS555" i="3"/>
  <c r="FS556" i="3"/>
  <c r="FS557" i="3"/>
  <c r="FS558" i="3"/>
  <c r="FS559" i="3"/>
  <c r="FS560" i="3"/>
  <c r="FS561" i="3"/>
  <c r="FS562" i="3"/>
  <c r="FS563" i="3"/>
  <c r="FS564" i="3"/>
  <c r="FS565" i="3"/>
  <c r="FS566" i="3"/>
  <c r="FS567" i="3"/>
  <c r="FS568" i="3"/>
  <c r="FS569" i="3"/>
  <c r="FS570" i="3"/>
  <c r="FS571" i="3"/>
  <c r="FS572" i="3"/>
  <c r="FS573" i="3"/>
  <c r="FS574" i="3"/>
  <c r="FS575" i="3"/>
  <c r="FS576" i="3"/>
  <c r="FS577" i="3"/>
  <c r="FS578" i="3"/>
  <c r="FS579" i="3"/>
  <c r="FS580" i="3"/>
  <c r="FS581" i="3"/>
  <c r="FS582" i="3"/>
  <c r="FS583" i="3"/>
  <c r="FS584" i="3"/>
  <c r="FS585" i="3"/>
  <c r="FS586" i="3"/>
  <c r="FS587" i="3"/>
  <c r="FS588" i="3"/>
  <c r="FS589" i="3"/>
  <c r="FS590" i="3"/>
  <c r="FS591" i="3"/>
  <c r="FS592" i="3"/>
  <c r="FS593" i="3"/>
  <c r="FS594" i="3"/>
  <c r="FS595" i="3"/>
  <c r="FS596" i="3"/>
  <c r="FS597" i="3"/>
  <c r="FS598" i="3"/>
  <c r="FS599" i="3"/>
  <c r="FS600" i="3"/>
  <c r="FR3" i="3"/>
  <c r="FR4" i="3"/>
  <c r="FR5" i="3"/>
  <c r="FR6" i="3"/>
  <c r="FR7" i="3"/>
  <c r="FR8" i="3"/>
  <c r="FR9" i="3"/>
  <c r="FR10" i="3"/>
  <c r="FR11" i="3"/>
  <c r="FR12" i="3"/>
  <c r="FR13" i="3"/>
  <c r="FR14" i="3"/>
  <c r="FR15" i="3"/>
  <c r="FR16" i="3"/>
  <c r="FR17" i="3"/>
  <c r="FR18" i="3"/>
  <c r="FR19" i="3"/>
  <c r="FR20" i="3"/>
  <c r="FR21" i="3"/>
  <c r="FR22" i="3"/>
  <c r="FR23" i="3"/>
  <c r="FR24" i="3"/>
  <c r="FR25" i="3"/>
  <c r="FR26" i="3"/>
  <c r="FR27" i="3"/>
  <c r="FR28" i="3"/>
  <c r="FR29" i="3"/>
  <c r="FR30" i="3"/>
  <c r="FR31" i="3"/>
  <c r="FR32" i="3"/>
  <c r="FR33" i="3"/>
  <c r="FR34" i="3"/>
  <c r="FR35" i="3"/>
  <c r="FR36" i="3"/>
  <c r="FR37" i="3"/>
  <c r="FR38" i="3"/>
  <c r="FR39" i="3"/>
  <c r="FR40" i="3"/>
  <c r="FR41" i="3"/>
  <c r="FR42" i="3"/>
  <c r="FR43" i="3"/>
  <c r="FR44" i="3"/>
  <c r="FR45" i="3"/>
  <c r="FR46" i="3"/>
  <c r="FR47" i="3"/>
  <c r="FR48" i="3"/>
  <c r="FR49" i="3"/>
  <c r="FR50" i="3"/>
  <c r="FR51" i="3"/>
  <c r="FR52" i="3"/>
  <c r="FR53" i="3"/>
  <c r="FR54" i="3"/>
  <c r="FR55" i="3"/>
  <c r="FR56" i="3"/>
  <c r="FR57" i="3"/>
  <c r="FR58" i="3"/>
  <c r="FR59" i="3"/>
  <c r="FR60" i="3"/>
  <c r="FR61" i="3"/>
  <c r="FR62" i="3"/>
  <c r="FR63" i="3"/>
  <c r="FR64" i="3"/>
  <c r="FR65" i="3"/>
  <c r="FR66" i="3"/>
  <c r="FR67" i="3"/>
  <c r="FR68" i="3"/>
  <c r="FR69" i="3"/>
  <c r="FR70" i="3"/>
  <c r="FR71" i="3"/>
  <c r="FR72" i="3"/>
  <c r="FR73" i="3"/>
  <c r="FR74" i="3"/>
  <c r="FR75" i="3"/>
  <c r="FR76" i="3"/>
  <c r="FR77" i="3"/>
  <c r="FR78" i="3"/>
  <c r="FR79" i="3"/>
  <c r="FR80" i="3"/>
  <c r="FR81" i="3"/>
  <c r="FR82" i="3"/>
  <c r="FR83" i="3"/>
  <c r="FR84" i="3"/>
  <c r="FR85" i="3"/>
  <c r="FR86" i="3"/>
  <c r="FR87" i="3"/>
  <c r="FR88" i="3"/>
  <c r="FR89" i="3"/>
  <c r="FR90" i="3"/>
  <c r="FR91" i="3"/>
  <c r="FR92" i="3"/>
  <c r="FR93" i="3"/>
  <c r="FR94" i="3"/>
  <c r="FR95" i="3"/>
  <c r="FR96" i="3"/>
  <c r="FR97" i="3"/>
  <c r="FR98" i="3"/>
  <c r="FR99" i="3"/>
  <c r="FR100" i="3"/>
  <c r="FR101" i="3"/>
  <c r="FR102" i="3"/>
  <c r="FR103" i="3"/>
  <c r="FR104" i="3"/>
  <c r="FR105" i="3"/>
  <c r="FR106" i="3"/>
  <c r="FR107" i="3"/>
  <c r="FR108" i="3"/>
  <c r="FR109" i="3"/>
  <c r="FR110" i="3"/>
  <c r="FR111" i="3"/>
  <c r="FR112" i="3"/>
  <c r="FR113" i="3"/>
  <c r="FR114" i="3"/>
  <c r="FR115" i="3"/>
  <c r="FR116" i="3"/>
  <c r="FR117" i="3"/>
  <c r="FR118" i="3"/>
  <c r="FR119" i="3"/>
  <c r="FR120" i="3"/>
  <c r="FR121" i="3"/>
  <c r="FR122" i="3"/>
  <c r="FR123" i="3"/>
  <c r="FR124" i="3"/>
  <c r="FR125" i="3"/>
  <c r="FR126" i="3"/>
  <c r="FR127" i="3"/>
  <c r="FR128" i="3"/>
  <c r="FR129" i="3"/>
  <c r="FR130" i="3"/>
  <c r="FR131" i="3"/>
  <c r="FR132" i="3"/>
  <c r="FR133" i="3"/>
  <c r="FR134" i="3"/>
  <c r="FR135" i="3"/>
  <c r="FR136" i="3"/>
  <c r="FR137" i="3"/>
  <c r="FR138" i="3"/>
  <c r="FR139" i="3"/>
  <c r="FR140" i="3"/>
  <c r="FR141" i="3"/>
  <c r="FR142" i="3"/>
  <c r="FR143" i="3"/>
  <c r="FR144" i="3"/>
  <c r="FR145" i="3"/>
  <c r="FR146" i="3"/>
  <c r="FR147" i="3"/>
  <c r="FR148" i="3"/>
  <c r="FR149" i="3"/>
  <c r="FR150" i="3"/>
  <c r="FR151" i="3"/>
  <c r="FR152" i="3"/>
  <c r="FR153" i="3"/>
  <c r="FR154" i="3"/>
  <c r="FR155" i="3"/>
  <c r="FR156" i="3"/>
  <c r="FR157" i="3"/>
  <c r="FR158" i="3"/>
  <c r="FR159" i="3"/>
  <c r="FR160" i="3"/>
  <c r="FR161" i="3"/>
  <c r="FR162" i="3"/>
  <c r="FR163" i="3"/>
  <c r="FR164" i="3"/>
  <c r="FR165" i="3"/>
  <c r="FR166" i="3"/>
  <c r="FR167" i="3"/>
  <c r="FR168" i="3"/>
  <c r="FR169" i="3"/>
  <c r="FR170" i="3"/>
  <c r="FR171" i="3"/>
  <c r="FR172" i="3"/>
  <c r="FR173" i="3"/>
  <c r="FR174" i="3"/>
  <c r="FR175" i="3"/>
  <c r="FR176" i="3"/>
  <c r="FR177" i="3"/>
  <c r="FR178" i="3"/>
  <c r="FR179" i="3"/>
  <c r="FR180" i="3"/>
  <c r="FR181" i="3"/>
  <c r="FR182" i="3"/>
  <c r="FR183" i="3"/>
  <c r="FR184" i="3"/>
  <c r="FR185" i="3"/>
  <c r="FR186" i="3"/>
  <c r="FR187" i="3"/>
  <c r="FR188" i="3"/>
  <c r="FR189" i="3"/>
  <c r="FR190" i="3"/>
  <c r="FR191" i="3"/>
  <c r="FR192" i="3"/>
  <c r="FR193" i="3"/>
  <c r="FR194" i="3"/>
  <c r="FR195" i="3"/>
  <c r="FR196" i="3"/>
  <c r="FR197" i="3"/>
  <c r="FR198" i="3"/>
  <c r="FR199" i="3"/>
  <c r="FR200" i="3"/>
  <c r="FR201" i="3"/>
  <c r="FR202" i="3"/>
  <c r="FR203" i="3"/>
  <c r="FR204" i="3"/>
  <c r="FR205" i="3"/>
  <c r="FR206" i="3"/>
  <c r="FR207" i="3"/>
  <c r="FR208" i="3"/>
  <c r="FR209" i="3"/>
  <c r="FR210" i="3"/>
  <c r="FR211" i="3"/>
  <c r="FR212" i="3"/>
  <c r="FR213" i="3"/>
  <c r="FR214" i="3"/>
  <c r="FR215" i="3"/>
  <c r="FR216" i="3"/>
  <c r="FR217" i="3"/>
  <c r="FR218" i="3"/>
  <c r="FR219" i="3"/>
  <c r="FR220" i="3"/>
  <c r="FR221" i="3"/>
  <c r="FR222" i="3"/>
  <c r="FR223" i="3"/>
  <c r="FR224" i="3"/>
  <c r="FR225" i="3"/>
  <c r="FR226" i="3"/>
  <c r="FR227" i="3"/>
  <c r="FR228" i="3"/>
  <c r="FR229" i="3"/>
  <c r="FR230" i="3"/>
  <c r="FR231" i="3"/>
  <c r="FR232" i="3"/>
  <c r="FR233" i="3"/>
  <c r="FR234" i="3"/>
  <c r="FR235" i="3"/>
  <c r="FR236" i="3"/>
  <c r="FR237" i="3"/>
  <c r="FR238" i="3"/>
  <c r="FR239" i="3"/>
  <c r="FR240" i="3"/>
  <c r="FR241" i="3"/>
  <c r="FR242" i="3"/>
  <c r="FR243" i="3"/>
  <c r="FR244" i="3"/>
  <c r="FR245" i="3"/>
  <c r="FR246" i="3"/>
  <c r="FR247" i="3"/>
  <c r="FR248" i="3"/>
  <c r="FR249" i="3"/>
  <c r="FR250" i="3"/>
  <c r="FR251" i="3"/>
  <c r="FR252" i="3"/>
  <c r="FR253" i="3"/>
  <c r="FR254" i="3"/>
  <c r="FR255" i="3"/>
  <c r="FR256" i="3"/>
  <c r="FR257" i="3"/>
  <c r="FR258" i="3"/>
  <c r="FR259" i="3"/>
  <c r="FR260" i="3"/>
  <c r="FR261" i="3"/>
  <c r="FR262" i="3"/>
  <c r="FR263" i="3"/>
  <c r="FR264" i="3"/>
  <c r="FR265" i="3"/>
  <c r="FR266" i="3"/>
  <c r="FR267" i="3"/>
  <c r="FR268" i="3"/>
  <c r="FR269" i="3"/>
  <c r="FR270" i="3"/>
  <c r="FR271" i="3"/>
  <c r="FR272" i="3"/>
  <c r="FR273" i="3"/>
  <c r="FR274" i="3"/>
  <c r="FR275" i="3"/>
  <c r="FR276" i="3"/>
  <c r="FR277" i="3"/>
  <c r="FR278" i="3"/>
  <c r="FR279" i="3"/>
  <c r="FR280" i="3"/>
  <c r="FR281" i="3"/>
  <c r="FR282" i="3"/>
  <c r="FR283" i="3"/>
  <c r="FR284" i="3"/>
  <c r="FR285" i="3"/>
  <c r="FR286" i="3"/>
  <c r="FR287" i="3"/>
  <c r="FR288" i="3"/>
  <c r="FR289" i="3"/>
  <c r="FR290" i="3"/>
  <c r="FR291" i="3"/>
  <c r="FR292" i="3"/>
  <c r="FR293" i="3"/>
  <c r="FR294" i="3"/>
  <c r="FR295" i="3"/>
  <c r="FR296" i="3"/>
  <c r="FR297" i="3"/>
  <c r="FR298" i="3"/>
  <c r="FR299" i="3"/>
  <c r="FR300" i="3"/>
  <c r="FR301" i="3"/>
  <c r="FR302" i="3"/>
  <c r="FR303" i="3"/>
  <c r="FR304" i="3"/>
  <c r="FR305" i="3"/>
  <c r="FR306" i="3"/>
  <c r="FR307" i="3"/>
  <c r="FR308" i="3"/>
  <c r="FR309" i="3"/>
  <c r="FR310" i="3"/>
  <c r="FR311" i="3"/>
  <c r="FR312" i="3"/>
  <c r="FR313" i="3"/>
  <c r="FR314" i="3"/>
  <c r="FR315" i="3"/>
  <c r="FR316" i="3"/>
  <c r="FR317" i="3"/>
  <c r="FR318" i="3"/>
  <c r="FR319" i="3"/>
  <c r="FR320" i="3"/>
  <c r="FR321" i="3"/>
  <c r="FR322" i="3"/>
  <c r="FR323" i="3"/>
  <c r="FR324" i="3"/>
  <c r="FR325" i="3"/>
  <c r="FR326" i="3"/>
  <c r="FR327" i="3"/>
  <c r="FR328" i="3"/>
  <c r="FR329" i="3"/>
  <c r="FR330" i="3"/>
  <c r="FR331" i="3"/>
  <c r="FR332" i="3"/>
  <c r="FR333" i="3"/>
  <c r="FR334" i="3"/>
  <c r="FR335" i="3"/>
  <c r="FR336" i="3"/>
  <c r="FR337" i="3"/>
  <c r="FR338" i="3"/>
  <c r="FR339" i="3"/>
  <c r="FR340" i="3"/>
  <c r="FR341" i="3"/>
  <c r="FR342" i="3"/>
  <c r="FR343" i="3"/>
  <c r="FR344" i="3"/>
  <c r="FR345" i="3"/>
  <c r="FR346" i="3"/>
  <c r="FR347" i="3"/>
  <c r="FR348" i="3"/>
  <c r="FR349" i="3"/>
  <c r="FR350" i="3"/>
  <c r="FR351" i="3"/>
  <c r="FR352" i="3"/>
  <c r="FR353" i="3"/>
  <c r="FR354" i="3"/>
  <c r="FR355" i="3"/>
  <c r="FR356" i="3"/>
  <c r="FR357" i="3"/>
  <c r="FR358" i="3"/>
  <c r="FR359" i="3"/>
  <c r="FR360" i="3"/>
  <c r="FR361" i="3"/>
  <c r="FR362" i="3"/>
  <c r="FR363" i="3"/>
  <c r="FR364" i="3"/>
  <c r="FR365" i="3"/>
  <c r="FR366" i="3"/>
  <c r="FR367" i="3"/>
  <c r="FR368" i="3"/>
  <c r="FR369" i="3"/>
  <c r="FR370" i="3"/>
  <c r="FR371" i="3"/>
  <c r="FR372" i="3"/>
  <c r="FR373" i="3"/>
  <c r="FR374" i="3"/>
  <c r="FR375" i="3"/>
  <c r="FR376" i="3"/>
  <c r="FR377" i="3"/>
  <c r="FR378" i="3"/>
  <c r="FR379" i="3"/>
  <c r="FR380" i="3"/>
  <c r="FR381" i="3"/>
  <c r="FR382" i="3"/>
  <c r="FR383" i="3"/>
  <c r="FR384" i="3"/>
  <c r="FR385" i="3"/>
  <c r="FR386" i="3"/>
  <c r="FR387" i="3"/>
  <c r="FR388" i="3"/>
  <c r="FR389" i="3"/>
  <c r="FR390" i="3"/>
  <c r="FR391" i="3"/>
  <c r="FR392" i="3"/>
  <c r="FR393" i="3"/>
  <c r="FR394" i="3"/>
  <c r="FR395" i="3"/>
  <c r="FR396" i="3"/>
  <c r="FR397" i="3"/>
  <c r="FR398" i="3"/>
  <c r="FR399" i="3"/>
  <c r="FR400" i="3"/>
  <c r="FR401" i="3"/>
  <c r="FR402" i="3"/>
  <c r="FR403" i="3"/>
  <c r="FR404" i="3"/>
  <c r="FR405" i="3"/>
  <c r="FR406" i="3"/>
  <c r="FR407" i="3"/>
  <c r="FR408" i="3"/>
  <c r="FR409" i="3"/>
  <c r="FR410" i="3"/>
  <c r="FR411" i="3"/>
  <c r="FR412" i="3"/>
  <c r="FR413" i="3"/>
  <c r="FR414" i="3"/>
  <c r="FR415" i="3"/>
  <c r="FR416" i="3"/>
  <c r="FR417" i="3"/>
  <c r="FR418" i="3"/>
  <c r="FR419" i="3"/>
  <c r="FR420" i="3"/>
  <c r="FR421" i="3"/>
  <c r="FR422" i="3"/>
  <c r="FR423" i="3"/>
  <c r="FR424" i="3"/>
  <c r="FR425" i="3"/>
  <c r="FR426" i="3"/>
  <c r="FR427" i="3"/>
  <c r="FR428" i="3"/>
  <c r="FR429" i="3"/>
  <c r="FR430" i="3"/>
  <c r="FR431" i="3"/>
  <c r="FR432" i="3"/>
  <c r="FR433" i="3"/>
  <c r="FR434" i="3"/>
  <c r="FR435" i="3"/>
  <c r="FR436" i="3"/>
  <c r="FR437" i="3"/>
  <c r="FR438" i="3"/>
  <c r="FR439" i="3"/>
  <c r="FR440" i="3"/>
  <c r="FR441" i="3"/>
  <c r="FR442" i="3"/>
  <c r="FR443" i="3"/>
  <c r="FR444" i="3"/>
  <c r="FR445" i="3"/>
  <c r="FR446" i="3"/>
  <c r="FR447" i="3"/>
  <c r="FR448" i="3"/>
  <c r="FR449" i="3"/>
  <c r="FR450" i="3"/>
  <c r="FR451" i="3"/>
  <c r="FR452" i="3"/>
  <c r="FR453" i="3"/>
  <c r="FR454" i="3"/>
  <c r="FR455" i="3"/>
  <c r="FR456" i="3"/>
  <c r="FR457" i="3"/>
  <c r="FR458" i="3"/>
  <c r="FR459" i="3"/>
  <c r="FR460" i="3"/>
  <c r="FR461" i="3"/>
  <c r="FR462" i="3"/>
  <c r="FR463" i="3"/>
  <c r="FR464" i="3"/>
  <c r="FR465" i="3"/>
  <c r="FR466" i="3"/>
  <c r="FR467" i="3"/>
  <c r="FR468" i="3"/>
  <c r="FR469" i="3"/>
  <c r="FR470" i="3"/>
  <c r="FR471" i="3"/>
  <c r="FR472" i="3"/>
  <c r="FR473" i="3"/>
  <c r="FR474" i="3"/>
  <c r="FR475" i="3"/>
  <c r="FR476" i="3"/>
  <c r="FR477" i="3"/>
  <c r="FR478" i="3"/>
  <c r="FR479" i="3"/>
  <c r="FR480" i="3"/>
  <c r="FR481" i="3"/>
  <c r="FR482" i="3"/>
  <c r="FR483" i="3"/>
  <c r="FR484" i="3"/>
  <c r="FR485" i="3"/>
  <c r="FR486" i="3"/>
  <c r="FR487" i="3"/>
  <c r="FR488" i="3"/>
  <c r="FR489" i="3"/>
  <c r="FR490" i="3"/>
  <c r="FR491" i="3"/>
  <c r="FR492" i="3"/>
  <c r="FR493" i="3"/>
  <c r="FR494" i="3"/>
  <c r="FR495" i="3"/>
  <c r="FR496" i="3"/>
  <c r="FR497" i="3"/>
  <c r="FR498" i="3"/>
  <c r="FR499" i="3"/>
  <c r="FR500" i="3"/>
  <c r="FR501" i="3"/>
  <c r="FR502" i="3"/>
  <c r="FR503" i="3"/>
  <c r="FR504" i="3"/>
  <c r="FR505" i="3"/>
  <c r="FR506" i="3"/>
  <c r="FR507" i="3"/>
  <c r="FR508" i="3"/>
  <c r="FR509" i="3"/>
  <c r="FR510" i="3"/>
  <c r="FR511" i="3"/>
  <c r="FR512" i="3"/>
  <c r="FR513" i="3"/>
  <c r="FR514" i="3"/>
  <c r="FR515" i="3"/>
  <c r="FR516" i="3"/>
  <c r="FR517" i="3"/>
  <c r="FR518" i="3"/>
  <c r="FR519" i="3"/>
  <c r="FR520" i="3"/>
  <c r="FR521" i="3"/>
  <c r="FR522" i="3"/>
  <c r="FR523" i="3"/>
  <c r="FR524" i="3"/>
  <c r="FR525" i="3"/>
  <c r="FR526" i="3"/>
  <c r="FR527" i="3"/>
  <c r="FR528" i="3"/>
  <c r="FR529" i="3"/>
  <c r="FR530" i="3"/>
  <c r="FR531" i="3"/>
  <c r="FR532" i="3"/>
  <c r="FR533" i="3"/>
  <c r="FR534" i="3"/>
  <c r="FR535" i="3"/>
  <c r="FR536" i="3"/>
  <c r="FR537" i="3"/>
  <c r="FR538" i="3"/>
  <c r="FR539" i="3"/>
  <c r="FR540" i="3"/>
  <c r="FR541" i="3"/>
  <c r="FR542" i="3"/>
  <c r="FR543" i="3"/>
  <c r="FR544" i="3"/>
  <c r="FR545" i="3"/>
  <c r="FR546" i="3"/>
  <c r="FR547" i="3"/>
  <c r="FR548" i="3"/>
  <c r="FR549" i="3"/>
  <c r="FR550" i="3"/>
  <c r="FR551" i="3"/>
  <c r="FR552" i="3"/>
  <c r="FR553" i="3"/>
  <c r="FR554" i="3"/>
  <c r="FR555" i="3"/>
  <c r="FR556" i="3"/>
  <c r="FR557" i="3"/>
  <c r="FR558" i="3"/>
  <c r="FR559" i="3"/>
  <c r="FR560" i="3"/>
  <c r="FR561" i="3"/>
  <c r="FR562" i="3"/>
  <c r="FR563" i="3"/>
  <c r="FR564" i="3"/>
  <c r="FR565" i="3"/>
  <c r="FR566" i="3"/>
  <c r="FR567" i="3"/>
  <c r="FR568" i="3"/>
  <c r="FR569" i="3"/>
  <c r="FR570" i="3"/>
  <c r="FR571" i="3"/>
  <c r="FR572" i="3"/>
  <c r="FR573" i="3"/>
  <c r="FR574" i="3"/>
  <c r="FR575" i="3"/>
  <c r="FR576" i="3"/>
  <c r="FR577" i="3"/>
  <c r="FR578" i="3"/>
  <c r="FR579" i="3"/>
  <c r="FR580" i="3"/>
  <c r="FR581" i="3"/>
  <c r="FR582" i="3"/>
  <c r="FR583" i="3"/>
  <c r="FR584" i="3"/>
  <c r="FR585" i="3"/>
  <c r="FR586" i="3"/>
  <c r="FR587" i="3"/>
  <c r="FR588" i="3"/>
  <c r="FR589" i="3"/>
  <c r="FR590" i="3"/>
  <c r="FR591" i="3"/>
  <c r="FR592" i="3"/>
  <c r="FR593" i="3"/>
  <c r="FR594" i="3"/>
  <c r="FR595" i="3"/>
  <c r="FR596" i="3"/>
  <c r="FR597" i="3"/>
  <c r="FR598" i="3"/>
  <c r="FR599" i="3"/>
  <c r="FR600" i="3"/>
  <c r="FQ3" i="3"/>
  <c r="FQ4" i="3"/>
  <c r="FQ5" i="3"/>
  <c r="FQ6" i="3"/>
  <c r="FQ7" i="3"/>
  <c r="FQ8" i="3"/>
  <c r="FQ9" i="3"/>
  <c r="FQ10" i="3"/>
  <c r="FQ11" i="3"/>
  <c r="FQ12" i="3"/>
  <c r="FQ13" i="3"/>
  <c r="FQ14" i="3"/>
  <c r="FQ15" i="3"/>
  <c r="FQ16" i="3"/>
  <c r="FQ17" i="3"/>
  <c r="FQ18" i="3"/>
  <c r="FQ19" i="3"/>
  <c r="FQ20" i="3"/>
  <c r="FQ21" i="3"/>
  <c r="FQ22" i="3"/>
  <c r="FQ23" i="3"/>
  <c r="FQ24" i="3"/>
  <c r="FQ25" i="3"/>
  <c r="FQ26" i="3"/>
  <c r="FQ27" i="3"/>
  <c r="FQ28" i="3"/>
  <c r="FQ29" i="3"/>
  <c r="FQ30" i="3"/>
  <c r="FQ31" i="3"/>
  <c r="FQ32" i="3"/>
  <c r="FQ33" i="3"/>
  <c r="FQ34" i="3"/>
  <c r="FQ35" i="3"/>
  <c r="FQ36" i="3"/>
  <c r="FQ37" i="3"/>
  <c r="FQ38" i="3"/>
  <c r="FQ39" i="3"/>
  <c r="FQ40" i="3"/>
  <c r="FQ41" i="3"/>
  <c r="FQ42" i="3"/>
  <c r="FQ43" i="3"/>
  <c r="FQ44" i="3"/>
  <c r="FQ45" i="3"/>
  <c r="FQ46" i="3"/>
  <c r="FQ47" i="3"/>
  <c r="FQ48" i="3"/>
  <c r="FQ49" i="3"/>
  <c r="FQ50" i="3"/>
  <c r="FQ51" i="3"/>
  <c r="FQ52" i="3"/>
  <c r="FQ53" i="3"/>
  <c r="FQ54" i="3"/>
  <c r="FQ55" i="3"/>
  <c r="FQ56" i="3"/>
  <c r="FQ57" i="3"/>
  <c r="FQ58" i="3"/>
  <c r="FQ59" i="3"/>
  <c r="FQ60" i="3"/>
  <c r="FQ61" i="3"/>
  <c r="FQ62" i="3"/>
  <c r="FQ63" i="3"/>
  <c r="FQ64" i="3"/>
  <c r="FQ65" i="3"/>
  <c r="FQ66" i="3"/>
  <c r="FQ67" i="3"/>
  <c r="FQ68" i="3"/>
  <c r="FQ69" i="3"/>
  <c r="FQ70" i="3"/>
  <c r="FQ71" i="3"/>
  <c r="FQ72" i="3"/>
  <c r="FQ73" i="3"/>
  <c r="FQ74" i="3"/>
  <c r="FQ75" i="3"/>
  <c r="FQ76" i="3"/>
  <c r="FQ77" i="3"/>
  <c r="FQ78" i="3"/>
  <c r="FQ79" i="3"/>
  <c r="FQ80" i="3"/>
  <c r="FQ81" i="3"/>
  <c r="FQ82" i="3"/>
  <c r="FQ83" i="3"/>
  <c r="FQ84" i="3"/>
  <c r="FQ85" i="3"/>
  <c r="FQ86" i="3"/>
  <c r="FQ87" i="3"/>
  <c r="FQ88" i="3"/>
  <c r="FQ89" i="3"/>
  <c r="FQ90" i="3"/>
  <c r="FQ91" i="3"/>
  <c r="FQ92" i="3"/>
  <c r="FQ93" i="3"/>
  <c r="FQ94" i="3"/>
  <c r="FQ95" i="3"/>
  <c r="FQ96" i="3"/>
  <c r="FQ97" i="3"/>
  <c r="FQ98" i="3"/>
  <c r="FQ99" i="3"/>
  <c r="FQ100" i="3"/>
  <c r="FQ101" i="3"/>
  <c r="FQ102" i="3"/>
  <c r="FQ103" i="3"/>
  <c r="FQ104" i="3"/>
  <c r="FQ105" i="3"/>
  <c r="FQ106" i="3"/>
  <c r="FQ107" i="3"/>
  <c r="FQ108" i="3"/>
  <c r="FQ109" i="3"/>
  <c r="FQ110" i="3"/>
  <c r="FQ111" i="3"/>
  <c r="FQ112" i="3"/>
  <c r="FQ113" i="3"/>
  <c r="FQ114" i="3"/>
  <c r="FQ115" i="3"/>
  <c r="FQ116" i="3"/>
  <c r="FQ117" i="3"/>
  <c r="FQ118" i="3"/>
  <c r="FQ119" i="3"/>
  <c r="FQ120" i="3"/>
  <c r="FQ121" i="3"/>
  <c r="FQ122" i="3"/>
  <c r="FQ123" i="3"/>
  <c r="FQ124" i="3"/>
  <c r="FQ125" i="3"/>
  <c r="FQ126" i="3"/>
  <c r="FQ127" i="3"/>
  <c r="FQ128" i="3"/>
  <c r="FQ129" i="3"/>
  <c r="FQ130" i="3"/>
  <c r="FQ131" i="3"/>
  <c r="FQ132" i="3"/>
  <c r="FQ133" i="3"/>
  <c r="FQ134" i="3"/>
  <c r="FQ135" i="3"/>
  <c r="FQ136" i="3"/>
  <c r="FQ137" i="3"/>
  <c r="FQ138" i="3"/>
  <c r="FQ139" i="3"/>
  <c r="FQ140" i="3"/>
  <c r="FQ141" i="3"/>
  <c r="FQ142" i="3"/>
  <c r="FQ143" i="3"/>
  <c r="FQ144" i="3"/>
  <c r="FQ145" i="3"/>
  <c r="FQ146" i="3"/>
  <c r="FQ147" i="3"/>
  <c r="FQ148" i="3"/>
  <c r="FQ149" i="3"/>
  <c r="FQ150" i="3"/>
  <c r="FQ151" i="3"/>
  <c r="FQ152" i="3"/>
  <c r="FQ153" i="3"/>
  <c r="FQ154" i="3"/>
  <c r="FQ155" i="3"/>
  <c r="FQ156" i="3"/>
  <c r="FQ157" i="3"/>
  <c r="FQ158" i="3"/>
  <c r="FQ159" i="3"/>
  <c r="FQ160" i="3"/>
  <c r="FQ161" i="3"/>
  <c r="FQ162" i="3"/>
  <c r="FQ163" i="3"/>
  <c r="FQ164" i="3"/>
  <c r="FQ165" i="3"/>
  <c r="FQ166" i="3"/>
  <c r="FQ167" i="3"/>
  <c r="FQ168" i="3"/>
  <c r="FQ169" i="3"/>
  <c r="FQ170" i="3"/>
  <c r="FQ171" i="3"/>
  <c r="FQ172" i="3"/>
  <c r="FQ173" i="3"/>
  <c r="FQ174" i="3"/>
  <c r="FQ175" i="3"/>
  <c r="FQ176" i="3"/>
  <c r="FQ177" i="3"/>
  <c r="FQ178" i="3"/>
  <c r="FQ179" i="3"/>
  <c r="FQ180" i="3"/>
  <c r="FQ181" i="3"/>
  <c r="FQ182" i="3"/>
  <c r="FQ183" i="3"/>
  <c r="FQ184" i="3"/>
  <c r="FQ185" i="3"/>
  <c r="FQ186" i="3"/>
  <c r="FQ187" i="3"/>
  <c r="FQ188" i="3"/>
  <c r="FQ189" i="3"/>
  <c r="FQ190" i="3"/>
  <c r="FQ191" i="3"/>
  <c r="FQ192" i="3"/>
  <c r="FQ193" i="3"/>
  <c r="FQ194" i="3"/>
  <c r="FQ195" i="3"/>
  <c r="FQ196" i="3"/>
  <c r="FQ197" i="3"/>
  <c r="FQ198" i="3"/>
  <c r="FQ199" i="3"/>
  <c r="FQ200" i="3"/>
  <c r="FQ201" i="3"/>
  <c r="FQ202" i="3"/>
  <c r="FQ203" i="3"/>
  <c r="FQ204" i="3"/>
  <c r="FQ205" i="3"/>
  <c r="FQ206" i="3"/>
  <c r="FQ207" i="3"/>
  <c r="FQ208" i="3"/>
  <c r="FQ209" i="3"/>
  <c r="FQ210" i="3"/>
  <c r="FQ211" i="3"/>
  <c r="FQ212" i="3"/>
  <c r="FQ213" i="3"/>
  <c r="FQ214" i="3"/>
  <c r="FQ215" i="3"/>
  <c r="FQ216" i="3"/>
  <c r="FQ217" i="3"/>
  <c r="FQ218" i="3"/>
  <c r="FQ219" i="3"/>
  <c r="FQ220" i="3"/>
  <c r="FQ221" i="3"/>
  <c r="FQ222" i="3"/>
  <c r="FQ223" i="3"/>
  <c r="FQ224" i="3"/>
  <c r="FQ225" i="3"/>
  <c r="FQ226" i="3"/>
  <c r="FQ227" i="3"/>
  <c r="FQ228" i="3"/>
  <c r="FQ229" i="3"/>
  <c r="FQ230" i="3"/>
  <c r="FQ231" i="3"/>
  <c r="FQ232" i="3"/>
  <c r="FQ233" i="3"/>
  <c r="FQ234" i="3"/>
  <c r="FQ235" i="3"/>
  <c r="FQ236" i="3"/>
  <c r="FQ237" i="3"/>
  <c r="FQ238" i="3"/>
  <c r="FQ239" i="3"/>
  <c r="FQ240" i="3"/>
  <c r="FQ241" i="3"/>
  <c r="FQ242" i="3"/>
  <c r="FQ243" i="3"/>
  <c r="FQ244" i="3"/>
  <c r="FQ245" i="3"/>
  <c r="FQ246" i="3"/>
  <c r="FQ247" i="3"/>
  <c r="FQ248" i="3"/>
  <c r="FQ249" i="3"/>
  <c r="FQ250" i="3"/>
  <c r="FQ251" i="3"/>
  <c r="FQ252" i="3"/>
  <c r="FQ253" i="3"/>
  <c r="FQ254" i="3"/>
  <c r="FQ255" i="3"/>
  <c r="FQ256" i="3"/>
  <c r="FQ257" i="3"/>
  <c r="FQ258" i="3"/>
  <c r="FQ259" i="3"/>
  <c r="FQ260" i="3"/>
  <c r="FQ261" i="3"/>
  <c r="FQ262" i="3"/>
  <c r="FQ263" i="3"/>
  <c r="FQ264" i="3"/>
  <c r="FQ265" i="3"/>
  <c r="FQ266" i="3"/>
  <c r="FQ267" i="3"/>
  <c r="FQ268" i="3"/>
  <c r="FQ269" i="3"/>
  <c r="FQ270" i="3"/>
  <c r="FQ271" i="3"/>
  <c r="FQ272" i="3"/>
  <c r="FQ273" i="3"/>
  <c r="FQ274" i="3"/>
  <c r="FQ275" i="3"/>
  <c r="FQ276" i="3"/>
  <c r="FQ277" i="3"/>
  <c r="FQ278" i="3"/>
  <c r="FQ279" i="3"/>
  <c r="FQ280" i="3"/>
  <c r="FQ281" i="3"/>
  <c r="FQ282" i="3"/>
  <c r="FQ283" i="3"/>
  <c r="FQ284" i="3"/>
  <c r="FQ285" i="3"/>
  <c r="FQ286" i="3"/>
  <c r="FQ287" i="3"/>
  <c r="FQ288" i="3"/>
  <c r="FQ289" i="3"/>
  <c r="FQ290" i="3"/>
  <c r="FQ291" i="3"/>
  <c r="FQ292" i="3"/>
  <c r="FQ293" i="3"/>
  <c r="FQ294" i="3"/>
  <c r="FQ295" i="3"/>
  <c r="FQ296" i="3"/>
  <c r="FQ297" i="3"/>
  <c r="FQ298" i="3"/>
  <c r="FQ299" i="3"/>
  <c r="FQ300" i="3"/>
  <c r="FQ301" i="3"/>
  <c r="FQ302" i="3"/>
  <c r="FQ303" i="3"/>
  <c r="FQ304" i="3"/>
  <c r="FQ305" i="3"/>
  <c r="FQ306" i="3"/>
  <c r="FQ307" i="3"/>
  <c r="FQ308" i="3"/>
  <c r="FQ309" i="3"/>
  <c r="FQ310" i="3"/>
  <c r="FQ311" i="3"/>
  <c r="FQ312" i="3"/>
  <c r="FQ313" i="3"/>
  <c r="FQ314" i="3"/>
  <c r="FQ315" i="3"/>
  <c r="FQ316" i="3"/>
  <c r="FQ317" i="3"/>
  <c r="FQ318" i="3"/>
  <c r="FQ319" i="3"/>
  <c r="FQ320" i="3"/>
  <c r="FQ321" i="3"/>
  <c r="FQ322" i="3"/>
  <c r="FQ323" i="3"/>
  <c r="FQ324" i="3"/>
  <c r="FQ325" i="3"/>
  <c r="FQ326" i="3"/>
  <c r="FQ327" i="3"/>
  <c r="FQ328" i="3"/>
  <c r="FQ329" i="3"/>
  <c r="FQ330" i="3"/>
  <c r="FQ331" i="3"/>
  <c r="FQ332" i="3"/>
  <c r="FQ333" i="3"/>
  <c r="FQ334" i="3"/>
  <c r="FQ335" i="3"/>
  <c r="FQ336" i="3"/>
  <c r="FQ337" i="3"/>
  <c r="FQ338" i="3"/>
  <c r="FQ339" i="3"/>
  <c r="FQ340" i="3"/>
  <c r="FQ341" i="3"/>
  <c r="FQ342" i="3"/>
  <c r="FQ343" i="3"/>
  <c r="FQ344" i="3"/>
  <c r="FQ345" i="3"/>
  <c r="FQ346" i="3"/>
  <c r="FQ347" i="3"/>
  <c r="FQ348" i="3"/>
  <c r="FQ349" i="3"/>
  <c r="FQ350" i="3"/>
  <c r="FQ351" i="3"/>
  <c r="FQ352" i="3"/>
  <c r="FQ353" i="3"/>
  <c r="FQ354" i="3"/>
  <c r="FQ355" i="3"/>
  <c r="FQ356" i="3"/>
  <c r="FQ357" i="3"/>
  <c r="FQ358" i="3"/>
  <c r="FQ359" i="3"/>
  <c r="FQ360" i="3"/>
  <c r="FQ361" i="3"/>
  <c r="FQ362" i="3"/>
  <c r="FQ363" i="3"/>
  <c r="FQ364" i="3"/>
  <c r="FQ365" i="3"/>
  <c r="FQ366" i="3"/>
  <c r="FQ367" i="3"/>
  <c r="FQ368" i="3"/>
  <c r="FQ369" i="3"/>
  <c r="FQ370" i="3"/>
  <c r="FQ371" i="3"/>
  <c r="FQ372" i="3"/>
  <c r="FQ373" i="3"/>
  <c r="FQ374" i="3"/>
  <c r="FQ375" i="3"/>
  <c r="FQ376" i="3"/>
  <c r="FQ377" i="3"/>
  <c r="FQ378" i="3"/>
  <c r="FQ379" i="3"/>
  <c r="FQ380" i="3"/>
  <c r="FQ381" i="3"/>
  <c r="FQ382" i="3"/>
  <c r="FQ383" i="3"/>
  <c r="FQ384" i="3"/>
  <c r="FQ385" i="3"/>
  <c r="FQ386" i="3"/>
  <c r="FQ387" i="3"/>
  <c r="FQ388" i="3"/>
  <c r="FQ389" i="3"/>
  <c r="FQ390" i="3"/>
  <c r="FQ391" i="3"/>
  <c r="FQ392" i="3"/>
  <c r="FQ393" i="3"/>
  <c r="FQ394" i="3"/>
  <c r="FQ395" i="3"/>
  <c r="FQ396" i="3"/>
  <c r="FQ397" i="3"/>
  <c r="FQ398" i="3"/>
  <c r="FQ399" i="3"/>
  <c r="FQ400" i="3"/>
  <c r="FQ401" i="3"/>
  <c r="FQ402" i="3"/>
  <c r="FQ403" i="3"/>
  <c r="FQ404" i="3"/>
  <c r="FQ405" i="3"/>
  <c r="FQ406" i="3"/>
  <c r="FQ407" i="3"/>
  <c r="FQ408" i="3"/>
  <c r="FQ409" i="3"/>
  <c r="FQ410" i="3"/>
  <c r="FQ411" i="3"/>
  <c r="FQ412" i="3"/>
  <c r="FQ413" i="3"/>
  <c r="FQ414" i="3"/>
  <c r="FQ415" i="3"/>
  <c r="FQ416" i="3"/>
  <c r="FQ417" i="3"/>
  <c r="FQ418" i="3"/>
  <c r="FQ419" i="3"/>
  <c r="FQ420" i="3"/>
  <c r="FQ421" i="3"/>
  <c r="FQ422" i="3"/>
  <c r="FQ423" i="3"/>
  <c r="FQ424" i="3"/>
  <c r="FQ425" i="3"/>
  <c r="FQ426" i="3"/>
  <c r="FQ427" i="3"/>
  <c r="FQ428" i="3"/>
  <c r="FQ429" i="3"/>
  <c r="FQ430" i="3"/>
  <c r="FQ431" i="3"/>
  <c r="FQ432" i="3"/>
  <c r="FQ433" i="3"/>
  <c r="FQ434" i="3"/>
  <c r="FQ435" i="3"/>
  <c r="FQ436" i="3"/>
  <c r="FQ437" i="3"/>
  <c r="FQ438" i="3"/>
  <c r="FQ439" i="3"/>
  <c r="FQ440" i="3"/>
  <c r="FQ441" i="3"/>
  <c r="FQ442" i="3"/>
  <c r="FQ443" i="3"/>
  <c r="FQ444" i="3"/>
  <c r="FQ445" i="3"/>
  <c r="FQ446" i="3"/>
  <c r="FQ447" i="3"/>
  <c r="FQ448" i="3"/>
  <c r="FQ449" i="3"/>
  <c r="FQ450" i="3"/>
  <c r="FQ451" i="3"/>
  <c r="FQ452" i="3"/>
  <c r="FQ453" i="3"/>
  <c r="FQ454" i="3"/>
  <c r="FQ455" i="3"/>
  <c r="FQ456" i="3"/>
  <c r="FQ457" i="3"/>
  <c r="FQ458" i="3"/>
  <c r="FQ459" i="3"/>
  <c r="FQ460" i="3"/>
  <c r="FQ461" i="3"/>
  <c r="FQ462" i="3"/>
  <c r="FQ463" i="3"/>
  <c r="FQ464" i="3"/>
  <c r="FQ465" i="3"/>
  <c r="FQ466" i="3"/>
  <c r="FQ467" i="3"/>
  <c r="FQ468" i="3"/>
  <c r="FQ469" i="3"/>
  <c r="FQ470" i="3"/>
  <c r="FQ471" i="3"/>
  <c r="FQ472" i="3"/>
  <c r="FQ473" i="3"/>
  <c r="FQ474" i="3"/>
  <c r="FQ475" i="3"/>
  <c r="FQ476" i="3"/>
  <c r="FQ477" i="3"/>
  <c r="FQ478" i="3"/>
  <c r="FQ479" i="3"/>
  <c r="FQ480" i="3"/>
  <c r="FQ481" i="3"/>
  <c r="FQ482" i="3"/>
  <c r="FQ483" i="3"/>
  <c r="FQ484" i="3"/>
  <c r="FQ485" i="3"/>
  <c r="FQ486" i="3"/>
  <c r="FQ487" i="3"/>
  <c r="FQ488" i="3"/>
  <c r="FQ489" i="3"/>
  <c r="FQ490" i="3"/>
  <c r="FQ491" i="3"/>
  <c r="FQ492" i="3"/>
  <c r="FQ493" i="3"/>
  <c r="FQ494" i="3"/>
  <c r="FQ495" i="3"/>
  <c r="FQ496" i="3"/>
  <c r="FQ497" i="3"/>
  <c r="FQ498" i="3"/>
  <c r="FQ499" i="3"/>
  <c r="FQ500" i="3"/>
  <c r="FQ501" i="3"/>
  <c r="FQ502" i="3"/>
  <c r="FQ503" i="3"/>
  <c r="FQ504" i="3"/>
  <c r="FQ505" i="3"/>
  <c r="FQ506" i="3"/>
  <c r="FQ507" i="3"/>
  <c r="FQ508" i="3"/>
  <c r="FQ509" i="3"/>
  <c r="FQ510" i="3"/>
  <c r="FQ511" i="3"/>
  <c r="FQ512" i="3"/>
  <c r="FQ513" i="3"/>
  <c r="FQ514" i="3"/>
  <c r="FQ515" i="3"/>
  <c r="FQ516" i="3"/>
  <c r="FQ517" i="3"/>
  <c r="FQ518" i="3"/>
  <c r="FQ519" i="3"/>
  <c r="FQ520" i="3"/>
  <c r="FQ521" i="3"/>
  <c r="FQ522" i="3"/>
  <c r="FQ523" i="3"/>
  <c r="FQ524" i="3"/>
  <c r="FQ525" i="3"/>
  <c r="FQ526" i="3"/>
  <c r="FQ527" i="3"/>
  <c r="FQ528" i="3"/>
  <c r="FQ529" i="3"/>
  <c r="FQ530" i="3"/>
  <c r="FQ531" i="3"/>
  <c r="FQ532" i="3"/>
  <c r="FQ533" i="3"/>
  <c r="FQ534" i="3"/>
  <c r="FQ535" i="3"/>
  <c r="FQ536" i="3"/>
  <c r="FQ537" i="3"/>
  <c r="FQ538" i="3"/>
  <c r="FQ539" i="3"/>
  <c r="FQ540" i="3"/>
  <c r="FQ541" i="3"/>
  <c r="FQ542" i="3"/>
  <c r="FQ543" i="3"/>
  <c r="FQ544" i="3"/>
  <c r="FQ545" i="3"/>
  <c r="FQ546" i="3"/>
  <c r="FQ547" i="3"/>
  <c r="FQ548" i="3"/>
  <c r="FQ549" i="3"/>
  <c r="FQ550" i="3"/>
  <c r="FQ551" i="3"/>
  <c r="FQ552" i="3"/>
  <c r="FQ553" i="3"/>
  <c r="FQ554" i="3"/>
  <c r="FQ555" i="3"/>
  <c r="FQ556" i="3"/>
  <c r="FQ557" i="3"/>
  <c r="FQ558" i="3"/>
  <c r="FQ559" i="3"/>
  <c r="FQ560" i="3"/>
  <c r="FQ561" i="3"/>
  <c r="FQ562" i="3"/>
  <c r="FQ563" i="3"/>
  <c r="FQ564" i="3"/>
  <c r="FQ565" i="3"/>
  <c r="FQ566" i="3"/>
  <c r="FQ567" i="3"/>
  <c r="FQ568" i="3"/>
  <c r="FQ569" i="3"/>
  <c r="FQ570" i="3"/>
  <c r="FQ571" i="3"/>
  <c r="FQ572" i="3"/>
  <c r="FQ573" i="3"/>
  <c r="FQ574" i="3"/>
  <c r="FQ575" i="3"/>
  <c r="FQ576" i="3"/>
  <c r="FQ577" i="3"/>
  <c r="FQ578" i="3"/>
  <c r="FQ579" i="3"/>
  <c r="FQ580" i="3"/>
  <c r="FQ581" i="3"/>
  <c r="FQ582" i="3"/>
  <c r="FQ583" i="3"/>
  <c r="FQ584" i="3"/>
  <c r="FQ585" i="3"/>
  <c r="FQ586" i="3"/>
  <c r="FQ587" i="3"/>
  <c r="FQ588" i="3"/>
  <c r="FQ589" i="3"/>
  <c r="FQ590" i="3"/>
  <c r="FQ591" i="3"/>
  <c r="FQ592" i="3"/>
  <c r="FQ593" i="3"/>
  <c r="FQ594" i="3"/>
  <c r="FQ595" i="3"/>
  <c r="FQ596" i="3"/>
  <c r="FQ597" i="3"/>
  <c r="FQ598" i="3"/>
  <c r="FQ599" i="3"/>
  <c r="FQ600" i="3"/>
  <c r="FP3" i="3"/>
  <c r="FP4" i="3"/>
  <c r="FP5" i="3"/>
  <c r="FP6" i="3"/>
  <c r="FP7" i="3"/>
  <c r="FP8" i="3"/>
  <c r="FP9" i="3"/>
  <c r="FP10" i="3"/>
  <c r="FP11" i="3"/>
  <c r="FP12" i="3"/>
  <c r="FP13" i="3"/>
  <c r="FP14" i="3"/>
  <c r="FP15" i="3"/>
  <c r="FP16" i="3"/>
  <c r="FP17" i="3"/>
  <c r="FP18" i="3"/>
  <c r="FP19" i="3"/>
  <c r="FP20" i="3"/>
  <c r="FP21" i="3"/>
  <c r="FP22" i="3"/>
  <c r="FP23" i="3"/>
  <c r="FP24" i="3"/>
  <c r="FP25" i="3"/>
  <c r="FP26" i="3"/>
  <c r="FP27" i="3"/>
  <c r="FP28" i="3"/>
  <c r="FP29" i="3"/>
  <c r="FP30" i="3"/>
  <c r="FP31" i="3"/>
  <c r="FP32" i="3"/>
  <c r="FP33" i="3"/>
  <c r="FP34" i="3"/>
  <c r="FP35" i="3"/>
  <c r="FP36" i="3"/>
  <c r="FP37" i="3"/>
  <c r="FP38" i="3"/>
  <c r="FP39" i="3"/>
  <c r="FP40" i="3"/>
  <c r="FP41" i="3"/>
  <c r="FP42" i="3"/>
  <c r="FP43" i="3"/>
  <c r="FP44" i="3"/>
  <c r="FP45" i="3"/>
  <c r="FP46" i="3"/>
  <c r="FP47" i="3"/>
  <c r="FP48" i="3"/>
  <c r="FP49" i="3"/>
  <c r="FP50" i="3"/>
  <c r="FP51" i="3"/>
  <c r="FP52" i="3"/>
  <c r="FP53" i="3"/>
  <c r="FP54" i="3"/>
  <c r="FP55" i="3"/>
  <c r="FP56" i="3"/>
  <c r="FP57" i="3"/>
  <c r="FP58" i="3"/>
  <c r="FP59" i="3"/>
  <c r="FP60" i="3"/>
  <c r="FP61" i="3"/>
  <c r="FP62" i="3"/>
  <c r="FP63" i="3"/>
  <c r="FP64" i="3"/>
  <c r="FP65" i="3"/>
  <c r="FP66" i="3"/>
  <c r="FP67" i="3"/>
  <c r="FP68" i="3"/>
  <c r="FP69" i="3"/>
  <c r="FP70" i="3"/>
  <c r="FP71" i="3"/>
  <c r="FP72" i="3"/>
  <c r="FP73" i="3"/>
  <c r="FP74" i="3"/>
  <c r="FP75" i="3"/>
  <c r="FP76" i="3"/>
  <c r="FP77" i="3"/>
  <c r="FP78" i="3"/>
  <c r="FP79" i="3"/>
  <c r="FP80" i="3"/>
  <c r="FP81" i="3"/>
  <c r="FP82" i="3"/>
  <c r="FP83" i="3"/>
  <c r="FP84" i="3"/>
  <c r="FP85" i="3"/>
  <c r="FP86" i="3"/>
  <c r="FP87" i="3"/>
  <c r="FP88" i="3"/>
  <c r="FP89" i="3"/>
  <c r="FP90" i="3"/>
  <c r="FP91" i="3"/>
  <c r="FP92" i="3"/>
  <c r="FP93" i="3"/>
  <c r="FP94" i="3"/>
  <c r="FP95" i="3"/>
  <c r="FP96" i="3"/>
  <c r="FP97" i="3"/>
  <c r="FP98" i="3"/>
  <c r="FP99" i="3"/>
  <c r="FP100" i="3"/>
  <c r="FP101" i="3"/>
  <c r="FP102" i="3"/>
  <c r="FP103" i="3"/>
  <c r="FP104" i="3"/>
  <c r="FP105" i="3"/>
  <c r="FP106" i="3"/>
  <c r="FP107" i="3"/>
  <c r="FP108" i="3"/>
  <c r="FP109" i="3"/>
  <c r="FP110" i="3"/>
  <c r="FP111" i="3"/>
  <c r="FP112" i="3"/>
  <c r="FP113" i="3"/>
  <c r="FP114" i="3"/>
  <c r="FP115" i="3"/>
  <c r="FP116" i="3"/>
  <c r="FP117" i="3"/>
  <c r="FP118" i="3"/>
  <c r="FP119" i="3"/>
  <c r="FP120" i="3"/>
  <c r="FP121" i="3"/>
  <c r="FP122" i="3"/>
  <c r="FP123" i="3"/>
  <c r="FP124" i="3"/>
  <c r="FP125" i="3"/>
  <c r="FP126" i="3"/>
  <c r="FP127" i="3"/>
  <c r="FP128" i="3"/>
  <c r="FP129" i="3"/>
  <c r="FP130" i="3"/>
  <c r="FP131" i="3"/>
  <c r="FP132" i="3"/>
  <c r="FP133" i="3"/>
  <c r="FP134" i="3"/>
  <c r="FP135" i="3"/>
  <c r="FP136" i="3"/>
  <c r="FP137" i="3"/>
  <c r="FP138" i="3"/>
  <c r="FP139" i="3"/>
  <c r="FP140" i="3"/>
  <c r="FP141" i="3"/>
  <c r="FP142" i="3"/>
  <c r="FP143" i="3"/>
  <c r="FP144" i="3"/>
  <c r="FP145" i="3"/>
  <c r="FP146" i="3"/>
  <c r="FP147" i="3"/>
  <c r="FP148" i="3"/>
  <c r="FP149" i="3"/>
  <c r="FP150" i="3"/>
  <c r="FP151" i="3"/>
  <c r="FP152" i="3"/>
  <c r="FP153" i="3"/>
  <c r="FP154" i="3"/>
  <c r="FP155" i="3"/>
  <c r="FP156" i="3"/>
  <c r="FP157" i="3"/>
  <c r="FP158" i="3"/>
  <c r="FP159" i="3"/>
  <c r="FP160" i="3"/>
  <c r="FP161" i="3"/>
  <c r="FP162" i="3"/>
  <c r="FP163" i="3"/>
  <c r="FP164" i="3"/>
  <c r="FP165" i="3"/>
  <c r="FP166" i="3"/>
  <c r="FP167" i="3"/>
  <c r="FP168" i="3"/>
  <c r="FP169" i="3"/>
  <c r="FP170" i="3"/>
  <c r="FP171" i="3"/>
  <c r="FP172" i="3"/>
  <c r="FP173" i="3"/>
  <c r="FP174" i="3"/>
  <c r="FP175" i="3"/>
  <c r="FP176" i="3"/>
  <c r="FP177" i="3"/>
  <c r="FP178" i="3"/>
  <c r="FP179" i="3"/>
  <c r="FP180" i="3"/>
  <c r="FP181" i="3"/>
  <c r="FP182" i="3"/>
  <c r="FP183" i="3"/>
  <c r="FP184" i="3"/>
  <c r="FP185" i="3"/>
  <c r="FP186" i="3"/>
  <c r="FP187" i="3"/>
  <c r="FP188" i="3"/>
  <c r="FP189" i="3"/>
  <c r="FP190" i="3"/>
  <c r="FP191" i="3"/>
  <c r="FP192" i="3"/>
  <c r="FP193" i="3"/>
  <c r="FP194" i="3"/>
  <c r="FP195" i="3"/>
  <c r="FP196" i="3"/>
  <c r="FP197" i="3"/>
  <c r="FP198" i="3"/>
  <c r="FP199" i="3"/>
  <c r="FP200" i="3"/>
  <c r="FP201" i="3"/>
  <c r="FP202" i="3"/>
  <c r="FP203" i="3"/>
  <c r="FP204" i="3"/>
  <c r="FP205" i="3"/>
  <c r="FP206" i="3"/>
  <c r="FP207" i="3"/>
  <c r="FP208" i="3"/>
  <c r="FP209" i="3"/>
  <c r="FP210" i="3"/>
  <c r="FP211" i="3"/>
  <c r="FP212" i="3"/>
  <c r="FP213" i="3"/>
  <c r="FP214" i="3"/>
  <c r="FP215" i="3"/>
  <c r="FP216" i="3"/>
  <c r="FP217" i="3"/>
  <c r="FP218" i="3"/>
  <c r="FP219" i="3"/>
  <c r="FP220" i="3"/>
  <c r="FP221" i="3"/>
  <c r="FP222" i="3"/>
  <c r="FP223" i="3"/>
  <c r="FP224" i="3"/>
  <c r="FP225" i="3"/>
  <c r="FP226" i="3"/>
  <c r="FP227" i="3"/>
  <c r="FP228" i="3"/>
  <c r="FP229" i="3"/>
  <c r="FP230" i="3"/>
  <c r="FP231" i="3"/>
  <c r="FP232" i="3"/>
  <c r="FP233" i="3"/>
  <c r="FP234" i="3"/>
  <c r="FP235" i="3"/>
  <c r="FP236" i="3"/>
  <c r="FP237" i="3"/>
  <c r="FP238" i="3"/>
  <c r="FP239" i="3"/>
  <c r="FP240" i="3"/>
  <c r="FP241" i="3"/>
  <c r="FP242" i="3"/>
  <c r="FP243" i="3"/>
  <c r="FP244" i="3"/>
  <c r="FP245" i="3"/>
  <c r="FP246" i="3"/>
  <c r="FP247" i="3"/>
  <c r="FP248" i="3"/>
  <c r="FP249" i="3"/>
  <c r="FP250" i="3"/>
  <c r="FP251" i="3"/>
  <c r="FP252" i="3"/>
  <c r="FP253" i="3"/>
  <c r="FP254" i="3"/>
  <c r="FP255" i="3"/>
  <c r="FP256" i="3"/>
  <c r="FP257" i="3"/>
  <c r="FP258" i="3"/>
  <c r="FP259" i="3"/>
  <c r="FP260" i="3"/>
  <c r="FP261" i="3"/>
  <c r="FP262" i="3"/>
  <c r="FP263" i="3"/>
  <c r="FP264" i="3"/>
  <c r="FP265" i="3"/>
  <c r="FP266" i="3"/>
  <c r="FP267" i="3"/>
  <c r="FP268" i="3"/>
  <c r="FP269" i="3"/>
  <c r="FP270" i="3"/>
  <c r="FP271" i="3"/>
  <c r="FP272" i="3"/>
  <c r="FP273" i="3"/>
  <c r="FP274" i="3"/>
  <c r="FP275" i="3"/>
  <c r="FP276" i="3"/>
  <c r="FP277" i="3"/>
  <c r="FP278" i="3"/>
  <c r="FP279" i="3"/>
  <c r="FP280" i="3"/>
  <c r="FP281" i="3"/>
  <c r="FP282" i="3"/>
  <c r="FP283" i="3"/>
  <c r="FP284" i="3"/>
  <c r="FP285" i="3"/>
  <c r="FP286" i="3"/>
  <c r="FP287" i="3"/>
  <c r="FP288" i="3"/>
  <c r="FP289" i="3"/>
  <c r="FP290" i="3"/>
  <c r="FP291" i="3"/>
  <c r="FP292" i="3"/>
  <c r="FP293" i="3"/>
  <c r="FP294" i="3"/>
  <c r="FP295" i="3"/>
  <c r="FP296" i="3"/>
  <c r="FP297" i="3"/>
  <c r="FP298" i="3"/>
  <c r="FP299" i="3"/>
  <c r="FP300" i="3"/>
  <c r="FP301" i="3"/>
  <c r="FP302" i="3"/>
  <c r="FP303" i="3"/>
  <c r="FP304" i="3"/>
  <c r="FP305" i="3"/>
  <c r="FP306" i="3"/>
  <c r="FP307" i="3"/>
  <c r="FP308" i="3"/>
  <c r="FP309" i="3"/>
  <c r="FP310" i="3"/>
  <c r="FP311" i="3"/>
  <c r="FP312" i="3"/>
  <c r="FP313" i="3"/>
  <c r="FP314" i="3"/>
  <c r="FP315" i="3"/>
  <c r="FP316" i="3"/>
  <c r="FP317" i="3"/>
  <c r="FP318" i="3"/>
  <c r="FP319" i="3"/>
  <c r="FP320" i="3"/>
  <c r="FP321" i="3"/>
  <c r="FP322" i="3"/>
  <c r="FP323" i="3"/>
  <c r="FP324" i="3"/>
  <c r="FP325" i="3"/>
  <c r="FP326" i="3"/>
  <c r="FP327" i="3"/>
  <c r="FP328" i="3"/>
  <c r="FP329" i="3"/>
  <c r="FP330" i="3"/>
  <c r="FP331" i="3"/>
  <c r="FP332" i="3"/>
  <c r="FP333" i="3"/>
  <c r="FP334" i="3"/>
  <c r="FP335" i="3"/>
  <c r="FP336" i="3"/>
  <c r="FP337" i="3"/>
  <c r="FP338" i="3"/>
  <c r="FP339" i="3"/>
  <c r="FP340" i="3"/>
  <c r="FP341" i="3"/>
  <c r="FP342" i="3"/>
  <c r="FP343" i="3"/>
  <c r="FP344" i="3"/>
  <c r="FP345" i="3"/>
  <c r="FP346" i="3"/>
  <c r="FP347" i="3"/>
  <c r="FP348" i="3"/>
  <c r="FP349" i="3"/>
  <c r="FP350" i="3"/>
  <c r="FP351" i="3"/>
  <c r="FP352" i="3"/>
  <c r="FP353" i="3"/>
  <c r="FP354" i="3"/>
  <c r="FP355" i="3"/>
  <c r="FP356" i="3"/>
  <c r="FP357" i="3"/>
  <c r="FP358" i="3"/>
  <c r="FP359" i="3"/>
  <c r="FP360" i="3"/>
  <c r="FP361" i="3"/>
  <c r="FP362" i="3"/>
  <c r="FP363" i="3"/>
  <c r="FP364" i="3"/>
  <c r="FP365" i="3"/>
  <c r="FP366" i="3"/>
  <c r="FP367" i="3"/>
  <c r="FP368" i="3"/>
  <c r="FP369" i="3"/>
  <c r="FP370" i="3"/>
  <c r="FP371" i="3"/>
  <c r="FP372" i="3"/>
  <c r="FP373" i="3"/>
  <c r="FP374" i="3"/>
  <c r="FP375" i="3"/>
  <c r="FP376" i="3"/>
  <c r="FP377" i="3"/>
  <c r="FP378" i="3"/>
  <c r="FP379" i="3"/>
  <c r="FP380" i="3"/>
  <c r="FP381" i="3"/>
  <c r="FP382" i="3"/>
  <c r="FP383" i="3"/>
  <c r="FP384" i="3"/>
  <c r="FP385" i="3"/>
  <c r="FP386" i="3"/>
  <c r="FP387" i="3"/>
  <c r="FP388" i="3"/>
  <c r="FP389" i="3"/>
  <c r="FP390" i="3"/>
  <c r="FP391" i="3"/>
  <c r="FP392" i="3"/>
  <c r="FP393" i="3"/>
  <c r="FP394" i="3"/>
  <c r="FP395" i="3"/>
  <c r="FP396" i="3"/>
  <c r="FP397" i="3"/>
  <c r="FP398" i="3"/>
  <c r="FP399" i="3"/>
  <c r="FP400" i="3"/>
  <c r="FP401" i="3"/>
  <c r="FP402" i="3"/>
  <c r="FP403" i="3"/>
  <c r="FP404" i="3"/>
  <c r="FP405" i="3"/>
  <c r="FP406" i="3"/>
  <c r="FP407" i="3"/>
  <c r="FP408" i="3"/>
  <c r="FP409" i="3"/>
  <c r="FP410" i="3"/>
  <c r="FP411" i="3"/>
  <c r="FP412" i="3"/>
  <c r="FP413" i="3"/>
  <c r="FP414" i="3"/>
  <c r="FP415" i="3"/>
  <c r="FP416" i="3"/>
  <c r="FP417" i="3"/>
  <c r="FP418" i="3"/>
  <c r="FP419" i="3"/>
  <c r="FP420" i="3"/>
  <c r="FP421" i="3"/>
  <c r="FP422" i="3"/>
  <c r="FP423" i="3"/>
  <c r="FP424" i="3"/>
  <c r="FP425" i="3"/>
  <c r="FP426" i="3"/>
  <c r="FP427" i="3"/>
  <c r="FP428" i="3"/>
  <c r="FP429" i="3"/>
  <c r="FP430" i="3"/>
  <c r="FP431" i="3"/>
  <c r="FP432" i="3"/>
  <c r="FP433" i="3"/>
  <c r="FP434" i="3"/>
  <c r="FP435" i="3"/>
  <c r="FP436" i="3"/>
  <c r="FP437" i="3"/>
  <c r="FP438" i="3"/>
  <c r="FP439" i="3"/>
  <c r="FP440" i="3"/>
  <c r="FP441" i="3"/>
  <c r="FP442" i="3"/>
  <c r="FP443" i="3"/>
  <c r="FP444" i="3"/>
  <c r="FP445" i="3"/>
  <c r="FP446" i="3"/>
  <c r="FP447" i="3"/>
  <c r="FP448" i="3"/>
  <c r="FP449" i="3"/>
  <c r="FP450" i="3"/>
  <c r="FP451" i="3"/>
  <c r="FP452" i="3"/>
  <c r="FP453" i="3"/>
  <c r="FP454" i="3"/>
  <c r="FP455" i="3"/>
  <c r="FP456" i="3"/>
  <c r="FP457" i="3"/>
  <c r="FP458" i="3"/>
  <c r="FP459" i="3"/>
  <c r="FP460" i="3"/>
  <c r="FP461" i="3"/>
  <c r="FP462" i="3"/>
  <c r="FP463" i="3"/>
  <c r="FP464" i="3"/>
  <c r="FP465" i="3"/>
  <c r="FP466" i="3"/>
  <c r="FP467" i="3"/>
  <c r="FP468" i="3"/>
  <c r="FP469" i="3"/>
  <c r="FP470" i="3"/>
  <c r="FP471" i="3"/>
  <c r="FP472" i="3"/>
  <c r="FP473" i="3"/>
  <c r="FP474" i="3"/>
  <c r="FP475" i="3"/>
  <c r="FP476" i="3"/>
  <c r="FP477" i="3"/>
  <c r="FP478" i="3"/>
  <c r="FP479" i="3"/>
  <c r="FP480" i="3"/>
  <c r="FP481" i="3"/>
  <c r="FP482" i="3"/>
  <c r="FP483" i="3"/>
  <c r="FP484" i="3"/>
  <c r="FP485" i="3"/>
  <c r="FP486" i="3"/>
  <c r="FP487" i="3"/>
  <c r="FP488" i="3"/>
  <c r="FP489" i="3"/>
  <c r="FP490" i="3"/>
  <c r="FP491" i="3"/>
  <c r="FP492" i="3"/>
  <c r="FP493" i="3"/>
  <c r="FP494" i="3"/>
  <c r="FP495" i="3"/>
  <c r="FP496" i="3"/>
  <c r="FP497" i="3"/>
  <c r="FP498" i="3"/>
  <c r="FP499" i="3"/>
  <c r="FP500" i="3"/>
  <c r="FP501" i="3"/>
  <c r="FP502" i="3"/>
  <c r="FP503" i="3"/>
  <c r="FP504" i="3"/>
  <c r="FP505" i="3"/>
  <c r="FP506" i="3"/>
  <c r="FP507" i="3"/>
  <c r="FP508" i="3"/>
  <c r="FP509" i="3"/>
  <c r="FP510" i="3"/>
  <c r="FP511" i="3"/>
  <c r="FP512" i="3"/>
  <c r="FP513" i="3"/>
  <c r="FP514" i="3"/>
  <c r="FP515" i="3"/>
  <c r="FP516" i="3"/>
  <c r="FP517" i="3"/>
  <c r="FP518" i="3"/>
  <c r="FP519" i="3"/>
  <c r="FP520" i="3"/>
  <c r="FP521" i="3"/>
  <c r="FP522" i="3"/>
  <c r="FP523" i="3"/>
  <c r="FP524" i="3"/>
  <c r="FP525" i="3"/>
  <c r="FP526" i="3"/>
  <c r="FP527" i="3"/>
  <c r="FP528" i="3"/>
  <c r="FP529" i="3"/>
  <c r="FP530" i="3"/>
  <c r="FP531" i="3"/>
  <c r="FP532" i="3"/>
  <c r="FP533" i="3"/>
  <c r="FP534" i="3"/>
  <c r="FP535" i="3"/>
  <c r="FP536" i="3"/>
  <c r="FP537" i="3"/>
  <c r="FP538" i="3"/>
  <c r="FP539" i="3"/>
  <c r="FP540" i="3"/>
  <c r="FP541" i="3"/>
  <c r="FP542" i="3"/>
  <c r="FP543" i="3"/>
  <c r="FP544" i="3"/>
  <c r="FP545" i="3"/>
  <c r="FP546" i="3"/>
  <c r="FP547" i="3"/>
  <c r="FP548" i="3"/>
  <c r="FP549" i="3"/>
  <c r="FP550" i="3"/>
  <c r="FP551" i="3"/>
  <c r="FP552" i="3"/>
  <c r="FP553" i="3"/>
  <c r="FP554" i="3"/>
  <c r="FP555" i="3"/>
  <c r="FP556" i="3"/>
  <c r="FP557" i="3"/>
  <c r="FP558" i="3"/>
  <c r="FP559" i="3"/>
  <c r="FP560" i="3"/>
  <c r="FP561" i="3"/>
  <c r="FP562" i="3"/>
  <c r="FP563" i="3"/>
  <c r="FP564" i="3"/>
  <c r="FP565" i="3"/>
  <c r="FP566" i="3"/>
  <c r="FP567" i="3"/>
  <c r="FP568" i="3"/>
  <c r="FP569" i="3"/>
  <c r="FP570" i="3"/>
  <c r="FP571" i="3"/>
  <c r="FP572" i="3"/>
  <c r="FP573" i="3"/>
  <c r="FP574" i="3"/>
  <c r="FP575" i="3"/>
  <c r="FP576" i="3"/>
  <c r="FP577" i="3"/>
  <c r="FP578" i="3"/>
  <c r="FP579" i="3"/>
  <c r="FP580" i="3"/>
  <c r="FP581" i="3"/>
  <c r="FP582" i="3"/>
  <c r="FP583" i="3"/>
  <c r="FP584" i="3"/>
  <c r="FP585" i="3"/>
  <c r="FP586" i="3"/>
  <c r="FP587" i="3"/>
  <c r="FP588" i="3"/>
  <c r="FP589" i="3"/>
  <c r="FP590" i="3"/>
  <c r="FP591" i="3"/>
  <c r="FP592" i="3"/>
  <c r="FP593" i="3"/>
  <c r="FP594" i="3"/>
  <c r="FP595" i="3"/>
  <c r="FP596" i="3"/>
  <c r="FP597" i="3"/>
  <c r="FP598" i="3"/>
  <c r="FP599" i="3"/>
  <c r="FP600" i="3"/>
  <c r="FO3" i="3"/>
  <c r="FO4" i="3"/>
  <c r="FO5" i="3"/>
  <c r="FO6" i="3"/>
  <c r="FO7" i="3"/>
  <c r="FO8" i="3"/>
  <c r="FO9" i="3"/>
  <c r="FO10" i="3"/>
  <c r="FO11" i="3"/>
  <c r="FO12" i="3"/>
  <c r="FO13" i="3"/>
  <c r="FO14" i="3"/>
  <c r="FO15" i="3"/>
  <c r="FO16" i="3"/>
  <c r="FO17" i="3"/>
  <c r="FO18" i="3"/>
  <c r="FO19" i="3"/>
  <c r="FO20" i="3"/>
  <c r="FO21" i="3"/>
  <c r="FO22" i="3"/>
  <c r="FO23" i="3"/>
  <c r="FO24" i="3"/>
  <c r="FO25" i="3"/>
  <c r="FO26" i="3"/>
  <c r="FO27" i="3"/>
  <c r="FO28" i="3"/>
  <c r="FO29" i="3"/>
  <c r="FO30" i="3"/>
  <c r="FO31" i="3"/>
  <c r="FO32" i="3"/>
  <c r="FO33" i="3"/>
  <c r="FO34" i="3"/>
  <c r="FO35" i="3"/>
  <c r="FO36" i="3"/>
  <c r="FO37" i="3"/>
  <c r="FO38" i="3"/>
  <c r="FO39" i="3"/>
  <c r="FO40" i="3"/>
  <c r="FO41" i="3"/>
  <c r="FO42" i="3"/>
  <c r="FO43" i="3"/>
  <c r="FO44" i="3"/>
  <c r="FO45" i="3"/>
  <c r="FO46" i="3"/>
  <c r="FO47" i="3"/>
  <c r="FO48" i="3"/>
  <c r="FO49" i="3"/>
  <c r="FO50" i="3"/>
  <c r="FO51" i="3"/>
  <c r="FO52" i="3"/>
  <c r="FO53" i="3"/>
  <c r="FO54" i="3"/>
  <c r="FO55" i="3"/>
  <c r="FO56" i="3"/>
  <c r="FO57" i="3"/>
  <c r="FO58" i="3"/>
  <c r="FO59" i="3"/>
  <c r="FO60" i="3"/>
  <c r="FO61" i="3"/>
  <c r="FO62" i="3"/>
  <c r="FO63" i="3"/>
  <c r="FO64" i="3"/>
  <c r="FO65" i="3"/>
  <c r="FO66" i="3"/>
  <c r="FO67" i="3"/>
  <c r="FO68" i="3"/>
  <c r="FO69" i="3"/>
  <c r="FO70" i="3"/>
  <c r="FO71" i="3"/>
  <c r="FO72" i="3"/>
  <c r="FO73" i="3"/>
  <c r="FO74" i="3"/>
  <c r="FO75" i="3"/>
  <c r="FO76" i="3"/>
  <c r="FO77" i="3"/>
  <c r="FO78" i="3"/>
  <c r="FO79" i="3"/>
  <c r="FO80" i="3"/>
  <c r="FO81" i="3"/>
  <c r="FO82" i="3"/>
  <c r="FO83" i="3"/>
  <c r="FO84" i="3"/>
  <c r="FO85" i="3"/>
  <c r="FO86" i="3"/>
  <c r="FO87" i="3"/>
  <c r="FO88" i="3"/>
  <c r="FO89" i="3"/>
  <c r="FO90" i="3"/>
  <c r="FO91" i="3"/>
  <c r="FO92" i="3"/>
  <c r="FO93" i="3"/>
  <c r="FO94" i="3"/>
  <c r="FO95" i="3"/>
  <c r="FO96" i="3"/>
  <c r="FO97" i="3"/>
  <c r="FO98" i="3"/>
  <c r="FO99" i="3"/>
  <c r="FO100" i="3"/>
  <c r="FO101" i="3"/>
  <c r="FO102" i="3"/>
  <c r="FO103" i="3"/>
  <c r="FO104" i="3"/>
  <c r="FO105" i="3"/>
  <c r="FO106" i="3"/>
  <c r="FO107" i="3"/>
  <c r="FO108" i="3"/>
  <c r="FO109" i="3"/>
  <c r="FO110" i="3"/>
  <c r="FO111" i="3"/>
  <c r="FO112" i="3"/>
  <c r="FO113" i="3"/>
  <c r="FO114" i="3"/>
  <c r="FO115" i="3"/>
  <c r="FO116" i="3"/>
  <c r="FO117" i="3"/>
  <c r="FO118" i="3"/>
  <c r="FO119" i="3"/>
  <c r="FO120" i="3"/>
  <c r="FO121" i="3"/>
  <c r="FO122" i="3"/>
  <c r="FO123" i="3"/>
  <c r="FO124" i="3"/>
  <c r="FO125" i="3"/>
  <c r="FO126" i="3"/>
  <c r="FO127" i="3"/>
  <c r="FO128" i="3"/>
  <c r="FO129" i="3"/>
  <c r="FO130" i="3"/>
  <c r="FO131" i="3"/>
  <c r="FO132" i="3"/>
  <c r="FO133" i="3"/>
  <c r="FO134" i="3"/>
  <c r="FO135" i="3"/>
  <c r="FO136" i="3"/>
  <c r="FO137" i="3"/>
  <c r="FO138" i="3"/>
  <c r="FO139" i="3"/>
  <c r="FO140" i="3"/>
  <c r="FO141" i="3"/>
  <c r="FO142" i="3"/>
  <c r="FO143" i="3"/>
  <c r="FO144" i="3"/>
  <c r="FO145" i="3"/>
  <c r="FO146" i="3"/>
  <c r="FO147" i="3"/>
  <c r="FO148" i="3"/>
  <c r="FO149" i="3"/>
  <c r="FO150" i="3"/>
  <c r="FO151" i="3"/>
  <c r="FO152" i="3"/>
  <c r="FO153" i="3"/>
  <c r="FO154" i="3"/>
  <c r="FO155" i="3"/>
  <c r="FO156" i="3"/>
  <c r="FO157" i="3"/>
  <c r="FO158" i="3"/>
  <c r="FO159" i="3"/>
  <c r="FO160" i="3"/>
  <c r="FO161" i="3"/>
  <c r="FO162" i="3"/>
  <c r="FO163" i="3"/>
  <c r="FO164" i="3"/>
  <c r="FO165" i="3"/>
  <c r="FO166" i="3"/>
  <c r="FO167" i="3"/>
  <c r="FO168" i="3"/>
  <c r="FO169" i="3"/>
  <c r="FO170" i="3"/>
  <c r="FO171" i="3"/>
  <c r="FO172" i="3"/>
  <c r="FO173" i="3"/>
  <c r="FO174" i="3"/>
  <c r="FO175" i="3"/>
  <c r="FO176" i="3"/>
  <c r="FO177" i="3"/>
  <c r="FO178" i="3"/>
  <c r="FO179" i="3"/>
  <c r="FO180" i="3"/>
  <c r="FO181" i="3"/>
  <c r="FO182" i="3"/>
  <c r="FO183" i="3"/>
  <c r="FO184" i="3"/>
  <c r="FO185" i="3"/>
  <c r="FO186" i="3"/>
  <c r="FO187" i="3"/>
  <c r="FO188" i="3"/>
  <c r="FO189" i="3"/>
  <c r="FO190" i="3"/>
  <c r="FO191" i="3"/>
  <c r="FO192" i="3"/>
  <c r="FO193" i="3"/>
  <c r="FO194" i="3"/>
  <c r="FO195" i="3"/>
  <c r="FO196" i="3"/>
  <c r="FO197" i="3"/>
  <c r="FO198" i="3"/>
  <c r="FO199" i="3"/>
  <c r="FO200" i="3"/>
  <c r="FO201" i="3"/>
  <c r="FO202" i="3"/>
  <c r="FO203" i="3"/>
  <c r="FO204" i="3"/>
  <c r="FO205" i="3"/>
  <c r="FO206" i="3"/>
  <c r="FO207" i="3"/>
  <c r="FO208" i="3"/>
  <c r="FO209" i="3"/>
  <c r="FO210" i="3"/>
  <c r="FO211" i="3"/>
  <c r="FO212" i="3"/>
  <c r="FO213" i="3"/>
  <c r="FO214" i="3"/>
  <c r="FO215" i="3"/>
  <c r="FO216" i="3"/>
  <c r="FO217" i="3"/>
  <c r="FO218" i="3"/>
  <c r="FO219" i="3"/>
  <c r="FO220" i="3"/>
  <c r="FO221" i="3"/>
  <c r="FO222" i="3"/>
  <c r="FO223" i="3"/>
  <c r="FO224" i="3"/>
  <c r="FO225" i="3"/>
  <c r="FO226" i="3"/>
  <c r="FO227" i="3"/>
  <c r="FO228" i="3"/>
  <c r="FO229" i="3"/>
  <c r="FO230" i="3"/>
  <c r="FO231" i="3"/>
  <c r="FO232" i="3"/>
  <c r="FO233" i="3"/>
  <c r="FO234" i="3"/>
  <c r="FO235" i="3"/>
  <c r="FO236" i="3"/>
  <c r="FO237" i="3"/>
  <c r="FO238" i="3"/>
  <c r="FO239" i="3"/>
  <c r="FO240" i="3"/>
  <c r="FO241" i="3"/>
  <c r="FO242" i="3"/>
  <c r="FO243" i="3"/>
  <c r="FO244" i="3"/>
  <c r="FO245" i="3"/>
  <c r="FO246" i="3"/>
  <c r="FO247" i="3"/>
  <c r="FO248" i="3"/>
  <c r="FO249" i="3"/>
  <c r="FO250" i="3"/>
  <c r="FO251" i="3"/>
  <c r="FO252" i="3"/>
  <c r="FO253" i="3"/>
  <c r="FO254" i="3"/>
  <c r="FO255" i="3"/>
  <c r="FO256" i="3"/>
  <c r="FO257" i="3"/>
  <c r="FO258" i="3"/>
  <c r="FO259" i="3"/>
  <c r="FO260" i="3"/>
  <c r="FO261" i="3"/>
  <c r="FO262" i="3"/>
  <c r="FO263" i="3"/>
  <c r="FO264" i="3"/>
  <c r="FO265" i="3"/>
  <c r="FO266" i="3"/>
  <c r="FO267" i="3"/>
  <c r="FO268" i="3"/>
  <c r="FO269" i="3"/>
  <c r="FO270" i="3"/>
  <c r="FO271" i="3"/>
  <c r="FO272" i="3"/>
  <c r="FO273" i="3"/>
  <c r="FO274" i="3"/>
  <c r="FO275" i="3"/>
  <c r="FO276" i="3"/>
  <c r="FO277" i="3"/>
  <c r="FO278" i="3"/>
  <c r="FO279" i="3"/>
  <c r="FO280" i="3"/>
  <c r="FO281" i="3"/>
  <c r="FO282" i="3"/>
  <c r="FO283" i="3"/>
  <c r="FO284" i="3"/>
  <c r="FO285" i="3"/>
  <c r="FO286" i="3"/>
  <c r="FO287" i="3"/>
  <c r="FO288" i="3"/>
  <c r="FO289" i="3"/>
  <c r="FO290" i="3"/>
  <c r="FO291" i="3"/>
  <c r="FO292" i="3"/>
  <c r="FO293" i="3"/>
  <c r="FO294" i="3"/>
  <c r="FO295" i="3"/>
  <c r="FO296" i="3"/>
  <c r="FO297" i="3"/>
  <c r="FO298" i="3"/>
  <c r="FO299" i="3"/>
  <c r="FO300" i="3"/>
  <c r="FO301" i="3"/>
  <c r="FO302" i="3"/>
  <c r="FO303" i="3"/>
  <c r="FO304" i="3"/>
  <c r="FO305" i="3"/>
  <c r="FO306" i="3"/>
  <c r="FO307" i="3"/>
  <c r="FO308" i="3"/>
  <c r="FO309" i="3"/>
  <c r="FO310" i="3"/>
  <c r="FO311" i="3"/>
  <c r="FO312" i="3"/>
  <c r="FO313" i="3"/>
  <c r="FO314" i="3"/>
  <c r="FO315" i="3"/>
  <c r="FO316" i="3"/>
  <c r="FO317" i="3"/>
  <c r="FO318" i="3"/>
  <c r="FO319" i="3"/>
  <c r="FO320" i="3"/>
  <c r="FO321" i="3"/>
  <c r="FO322" i="3"/>
  <c r="FO323" i="3"/>
  <c r="FO324" i="3"/>
  <c r="FO325" i="3"/>
  <c r="FO326" i="3"/>
  <c r="FO327" i="3"/>
  <c r="FO328" i="3"/>
  <c r="FO329" i="3"/>
  <c r="FO330" i="3"/>
  <c r="FO331" i="3"/>
  <c r="FO332" i="3"/>
  <c r="FO333" i="3"/>
  <c r="FO334" i="3"/>
  <c r="FO335" i="3"/>
  <c r="FO336" i="3"/>
  <c r="FO337" i="3"/>
  <c r="FO338" i="3"/>
  <c r="FO339" i="3"/>
  <c r="FO340" i="3"/>
  <c r="FO341" i="3"/>
  <c r="FO342" i="3"/>
  <c r="FO343" i="3"/>
  <c r="FO344" i="3"/>
  <c r="FO345" i="3"/>
  <c r="FO346" i="3"/>
  <c r="FO347" i="3"/>
  <c r="FO348" i="3"/>
  <c r="FO349" i="3"/>
  <c r="FO350" i="3"/>
  <c r="FO351" i="3"/>
  <c r="FO352" i="3"/>
  <c r="FO353" i="3"/>
  <c r="FO354" i="3"/>
  <c r="FO355" i="3"/>
  <c r="FO356" i="3"/>
  <c r="FO357" i="3"/>
  <c r="FO358" i="3"/>
  <c r="FO359" i="3"/>
  <c r="FO360" i="3"/>
  <c r="FO361" i="3"/>
  <c r="FO362" i="3"/>
  <c r="FO363" i="3"/>
  <c r="FO364" i="3"/>
  <c r="FO365" i="3"/>
  <c r="FO366" i="3"/>
  <c r="FO367" i="3"/>
  <c r="FO368" i="3"/>
  <c r="FO369" i="3"/>
  <c r="FO370" i="3"/>
  <c r="FO371" i="3"/>
  <c r="FO372" i="3"/>
  <c r="FO373" i="3"/>
  <c r="FO374" i="3"/>
  <c r="FO375" i="3"/>
  <c r="FO376" i="3"/>
  <c r="FO377" i="3"/>
  <c r="FO378" i="3"/>
  <c r="FO379" i="3"/>
  <c r="FO380" i="3"/>
  <c r="FO381" i="3"/>
  <c r="FO382" i="3"/>
  <c r="FO383" i="3"/>
  <c r="FO384" i="3"/>
  <c r="FO385" i="3"/>
  <c r="FO386" i="3"/>
  <c r="FO387" i="3"/>
  <c r="FO388" i="3"/>
  <c r="FO389" i="3"/>
  <c r="FO390" i="3"/>
  <c r="FO391" i="3"/>
  <c r="FO392" i="3"/>
  <c r="FO393" i="3"/>
  <c r="FO394" i="3"/>
  <c r="FO395" i="3"/>
  <c r="FO396" i="3"/>
  <c r="FO397" i="3"/>
  <c r="FO398" i="3"/>
  <c r="FO399" i="3"/>
  <c r="FO400" i="3"/>
  <c r="FO401" i="3"/>
  <c r="FO402" i="3"/>
  <c r="FO403" i="3"/>
  <c r="FO404" i="3"/>
  <c r="FO405" i="3"/>
  <c r="FO406" i="3"/>
  <c r="FO407" i="3"/>
  <c r="FO408" i="3"/>
  <c r="FO409" i="3"/>
  <c r="FO410" i="3"/>
  <c r="FO411" i="3"/>
  <c r="FO412" i="3"/>
  <c r="FO413" i="3"/>
  <c r="FO414" i="3"/>
  <c r="FO415" i="3"/>
  <c r="FO416" i="3"/>
  <c r="FO417" i="3"/>
  <c r="FO418" i="3"/>
  <c r="FO419" i="3"/>
  <c r="FO420" i="3"/>
  <c r="FO421" i="3"/>
  <c r="FO422" i="3"/>
  <c r="FO423" i="3"/>
  <c r="FO424" i="3"/>
  <c r="FO425" i="3"/>
  <c r="FO426" i="3"/>
  <c r="FO427" i="3"/>
  <c r="FO428" i="3"/>
  <c r="FO429" i="3"/>
  <c r="FO430" i="3"/>
  <c r="FO431" i="3"/>
  <c r="FO432" i="3"/>
  <c r="FO433" i="3"/>
  <c r="FO434" i="3"/>
  <c r="FO435" i="3"/>
  <c r="FO436" i="3"/>
  <c r="FO437" i="3"/>
  <c r="FO438" i="3"/>
  <c r="FO439" i="3"/>
  <c r="FO440" i="3"/>
  <c r="FO441" i="3"/>
  <c r="FO442" i="3"/>
  <c r="FO443" i="3"/>
  <c r="FO444" i="3"/>
  <c r="FO445" i="3"/>
  <c r="FO446" i="3"/>
  <c r="FO447" i="3"/>
  <c r="FO448" i="3"/>
  <c r="FO449" i="3"/>
  <c r="FO450" i="3"/>
  <c r="FO451" i="3"/>
  <c r="FO452" i="3"/>
  <c r="FO453" i="3"/>
  <c r="FO454" i="3"/>
  <c r="FO455" i="3"/>
  <c r="FO456" i="3"/>
  <c r="FO457" i="3"/>
  <c r="FO458" i="3"/>
  <c r="FO459" i="3"/>
  <c r="FO460" i="3"/>
  <c r="FO461" i="3"/>
  <c r="FO462" i="3"/>
  <c r="FO463" i="3"/>
  <c r="FO464" i="3"/>
  <c r="FO465" i="3"/>
  <c r="FO466" i="3"/>
  <c r="FO467" i="3"/>
  <c r="FO468" i="3"/>
  <c r="FO469" i="3"/>
  <c r="FO470" i="3"/>
  <c r="FO471" i="3"/>
  <c r="FO472" i="3"/>
  <c r="FO473" i="3"/>
  <c r="FO474" i="3"/>
  <c r="FO475" i="3"/>
  <c r="FO476" i="3"/>
  <c r="FO477" i="3"/>
  <c r="FO478" i="3"/>
  <c r="FO479" i="3"/>
  <c r="FO480" i="3"/>
  <c r="FO481" i="3"/>
  <c r="FO482" i="3"/>
  <c r="FO483" i="3"/>
  <c r="FO484" i="3"/>
  <c r="FO485" i="3"/>
  <c r="FO486" i="3"/>
  <c r="FO487" i="3"/>
  <c r="FO488" i="3"/>
  <c r="FO489" i="3"/>
  <c r="FO490" i="3"/>
  <c r="FO491" i="3"/>
  <c r="FO492" i="3"/>
  <c r="FO493" i="3"/>
  <c r="FO494" i="3"/>
  <c r="FO495" i="3"/>
  <c r="FO496" i="3"/>
  <c r="FO497" i="3"/>
  <c r="FO498" i="3"/>
  <c r="FO499" i="3"/>
  <c r="FO500" i="3"/>
  <c r="FO501" i="3"/>
  <c r="FO502" i="3"/>
  <c r="FO503" i="3"/>
  <c r="FO504" i="3"/>
  <c r="FO505" i="3"/>
  <c r="FO506" i="3"/>
  <c r="FO507" i="3"/>
  <c r="FO508" i="3"/>
  <c r="FO509" i="3"/>
  <c r="FO510" i="3"/>
  <c r="FO511" i="3"/>
  <c r="FO512" i="3"/>
  <c r="FO513" i="3"/>
  <c r="FO514" i="3"/>
  <c r="FO515" i="3"/>
  <c r="FO516" i="3"/>
  <c r="FO517" i="3"/>
  <c r="FO518" i="3"/>
  <c r="FO519" i="3"/>
  <c r="FO520" i="3"/>
  <c r="FO521" i="3"/>
  <c r="FO522" i="3"/>
  <c r="FO523" i="3"/>
  <c r="FO524" i="3"/>
  <c r="FO525" i="3"/>
  <c r="FO526" i="3"/>
  <c r="FO527" i="3"/>
  <c r="FO528" i="3"/>
  <c r="FO529" i="3"/>
  <c r="FO530" i="3"/>
  <c r="FO531" i="3"/>
  <c r="FO532" i="3"/>
  <c r="FO533" i="3"/>
  <c r="FO534" i="3"/>
  <c r="FO535" i="3"/>
  <c r="FO536" i="3"/>
  <c r="FO537" i="3"/>
  <c r="FO538" i="3"/>
  <c r="FO539" i="3"/>
  <c r="FO540" i="3"/>
  <c r="FO541" i="3"/>
  <c r="FO542" i="3"/>
  <c r="FO543" i="3"/>
  <c r="FO544" i="3"/>
  <c r="FO545" i="3"/>
  <c r="FO546" i="3"/>
  <c r="FO547" i="3"/>
  <c r="FO548" i="3"/>
  <c r="FO549" i="3"/>
  <c r="FO550" i="3"/>
  <c r="FO551" i="3"/>
  <c r="FO552" i="3"/>
  <c r="FO553" i="3"/>
  <c r="FO554" i="3"/>
  <c r="FO555" i="3"/>
  <c r="FO556" i="3"/>
  <c r="FO557" i="3"/>
  <c r="FO558" i="3"/>
  <c r="FO559" i="3"/>
  <c r="FO560" i="3"/>
  <c r="FO561" i="3"/>
  <c r="FO562" i="3"/>
  <c r="FO563" i="3"/>
  <c r="FO564" i="3"/>
  <c r="FO565" i="3"/>
  <c r="FO566" i="3"/>
  <c r="FO567" i="3"/>
  <c r="FO568" i="3"/>
  <c r="FO569" i="3"/>
  <c r="FO570" i="3"/>
  <c r="FO571" i="3"/>
  <c r="FO572" i="3"/>
  <c r="FO573" i="3"/>
  <c r="FO574" i="3"/>
  <c r="FO575" i="3"/>
  <c r="FO576" i="3"/>
  <c r="FO577" i="3"/>
  <c r="FO578" i="3"/>
  <c r="FO579" i="3"/>
  <c r="FO580" i="3"/>
  <c r="FO581" i="3"/>
  <c r="FO582" i="3"/>
  <c r="FO583" i="3"/>
  <c r="FO584" i="3"/>
  <c r="FO585" i="3"/>
  <c r="FO586" i="3"/>
  <c r="FO587" i="3"/>
  <c r="FO588" i="3"/>
  <c r="FO589" i="3"/>
  <c r="FO590" i="3"/>
  <c r="FO591" i="3"/>
  <c r="FO592" i="3"/>
  <c r="FO593" i="3"/>
  <c r="FO594" i="3"/>
  <c r="FO595" i="3"/>
  <c r="FO596" i="3"/>
  <c r="FO597" i="3"/>
  <c r="FO598" i="3"/>
  <c r="FO599" i="3"/>
  <c r="FO600" i="3"/>
  <c r="FN3" i="3"/>
  <c r="FN4" i="3"/>
  <c r="FN5" i="3"/>
  <c r="FN6" i="3"/>
  <c r="FN7" i="3"/>
  <c r="FN8" i="3"/>
  <c r="FN9" i="3"/>
  <c r="FN10" i="3"/>
  <c r="FN11" i="3"/>
  <c r="FN12" i="3"/>
  <c r="FN13" i="3"/>
  <c r="FN14" i="3"/>
  <c r="FN15" i="3"/>
  <c r="FN16" i="3"/>
  <c r="FN17" i="3"/>
  <c r="FN18" i="3"/>
  <c r="FN19" i="3"/>
  <c r="FN20" i="3"/>
  <c r="FN21" i="3"/>
  <c r="FN22" i="3"/>
  <c r="FN23" i="3"/>
  <c r="FN24" i="3"/>
  <c r="FN25" i="3"/>
  <c r="FN26" i="3"/>
  <c r="FN27" i="3"/>
  <c r="FN28" i="3"/>
  <c r="FN29" i="3"/>
  <c r="FN30" i="3"/>
  <c r="FN31" i="3"/>
  <c r="FN32" i="3"/>
  <c r="FN33" i="3"/>
  <c r="FN34" i="3"/>
  <c r="FN35" i="3"/>
  <c r="FN36" i="3"/>
  <c r="FN37" i="3"/>
  <c r="FN38" i="3"/>
  <c r="FN39" i="3"/>
  <c r="FN40" i="3"/>
  <c r="FN41" i="3"/>
  <c r="FN42" i="3"/>
  <c r="FN43" i="3"/>
  <c r="FN44" i="3"/>
  <c r="FN45" i="3"/>
  <c r="FN46" i="3"/>
  <c r="FN47" i="3"/>
  <c r="FN48" i="3"/>
  <c r="FN49" i="3"/>
  <c r="FN50" i="3"/>
  <c r="FN51" i="3"/>
  <c r="FN52" i="3"/>
  <c r="FN53" i="3"/>
  <c r="FN54" i="3"/>
  <c r="FN55" i="3"/>
  <c r="FN56" i="3"/>
  <c r="FN57" i="3"/>
  <c r="FN58" i="3"/>
  <c r="FN59" i="3"/>
  <c r="FN60" i="3"/>
  <c r="FN61" i="3"/>
  <c r="FN62" i="3"/>
  <c r="FN63" i="3"/>
  <c r="FN64" i="3"/>
  <c r="FN65" i="3"/>
  <c r="FN66" i="3"/>
  <c r="FN67" i="3"/>
  <c r="FN68" i="3"/>
  <c r="FN69" i="3"/>
  <c r="FN70" i="3"/>
  <c r="FN71" i="3"/>
  <c r="FN72" i="3"/>
  <c r="FN73" i="3"/>
  <c r="FN74" i="3"/>
  <c r="FN75" i="3"/>
  <c r="FN76" i="3"/>
  <c r="FN77" i="3"/>
  <c r="FN78" i="3"/>
  <c r="FN79" i="3"/>
  <c r="FN80" i="3"/>
  <c r="FN81" i="3"/>
  <c r="FN82" i="3"/>
  <c r="FN83" i="3"/>
  <c r="FN84" i="3"/>
  <c r="FN85" i="3"/>
  <c r="FN86" i="3"/>
  <c r="FN87" i="3"/>
  <c r="FN88" i="3"/>
  <c r="FN89" i="3"/>
  <c r="FN90" i="3"/>
  <c r="FN91" i="3"/>
  <c r="FN92" i="3"/>
  <c r="FN93" i="3"/>
  <c r="FN94" i="3"/>
  <c r="FN95" i="3"/>
  <c r="FN96" i="3"/>
  <c r="FN97" i="3"/>
  <c r="FN98" i="3"/>
  <c r="FN99" i="3"/>
  <c r="FN100" i="3"/>
  <c r="FN101" i="3"/>
  <c r="FN102" i="3"/>
  <c r="FN103" i="3"/>
  <c r="FN104" i="3"/>
  <c r="FN105" i="3"/>
  <c r="FN106" i="3"/>
  <c r="FN107" i="3"/>
  <c r="FN108" i="3"/>
  <c r="FN109" i="3"/>
  <c r="FN110" i="3"/>
  <c r="FN111" i="3"/>
  <c r="FN112" i="3"/>
  <c r="FN113" i="3"/>
  <c r="FN114" i="3"/>
  <c r="FN115" i="3"/>
  <c r="FN116" i="3"/>
  <c r="FN117" i="3"/>
  <c r="FN118" i="3"/>
  <c r="FN119" i="3"/>
  <c r="FN120" i="3"/>
  <c r="FN121" i="3"/>
  <c r="FN122" i="3"/>
  <c r="FN123" i="3"/>
  <c r="FN124" i="3"/>
  <c r="FN125" i="3"/>
  <c r="FN126" i="3"/>
  <c r="FN127" i="3"/>
  <c r="FN128" i="3"/>
  <c r="FN129" i="3"/>
  <c r="FN130" i="3"/>
  <c r="FN131" i="3"/>
  <c r="FN132" i="3"/>
  <c r="FN133" i="3"/>
  <c r="FN134" i="3"/>
  <c r="FN135" i="3"/>
  <c r="FN136" i="3"/>
  <c r="FN137" i="3"/>
  <c r="FN138" i="3"/>
  <c r="FN139" i="3"/>
  <c r="FN140" i="3"/>
  <c r="FN141" i="3"/>
  <c r="FN142" i="3"/>
  <c r="FN143" i="3"/>
  <c r="FN144" i="3"/>
  <c r="FN145" i="3"/>
  <c r="FN146" i="3"/>
  <c r="FN147" i="3"/>
  <c r="FN148" i="3"/>
  <c r="FN149" i="3"/>
  <c r="FN150" i="3"/>
  <c r="FN151" i="3"/>
  <c r="FN152" i="3"/>
  <c r="FN153" i="3"/>
  <c r="FN154" i="3"/>
  <c r="FN155" i="3"/>
  <c r="FN156" i="3"/>
  <c r="FN157" i="3"/>
  <c r="FN158" i="3"/>
  <c r="FN159" i="3"/>
  <c r="FN160" i="3"/>
  <c r="FN161" i="3"/>
  <c r="FN162" i="3"/>
  <c r="FN163" i="3"/>
  <c r="FN164" i="3"/>
  <c r="FN165" i="3"/>
  <c r="FN166" i="3"/>
  <c r="FN167" i="3"/>
  <c r="FN168" i="3"/>
  <c r="FN169" i="3"/>
  <c r="FN170" i="3"/>
  <c r="FN171" i="3"/>
  <c r="FN172" i="3"/>
  <c r="FN173" i="3"/>
  <c r="FN174" i="3"/>
  <c r="FN175" i="3"/>
  <c r="FN176" i="3"/>
  <c r="FN177" i="3"/>
  <c r="FN178" i="3"/>
  <c r="FN179" i="3"/>
  <c r="FN180" i="3"/>
  <c r="FN181" i="3"/>
  <c r="FN182" i="3"/>
  <c r="FN183" i="3"/>
  <c r="FN184" i="3"/>
  <c r="FN185" i="3"/>
  <c r="FN186" i="3"/>
  <c r="FN187" i="3"/>
  <c r="FN188" i="3"/>
  <c r="FN189" i="3"/>
  <c r="FN190" i="3"/>
  <c r="FN191" i="3"/>
  <c r="FN192" i="3"/>
  <c r="FN193" i="3"/>
  <c r="FN194" i="3"/>
  <c r="FN195" i="3"/>
  <c r="FN196" i="3"/>
  <c r="FN197" i="3"/>
  <c r="FN198" i="3"/>
  <c r="FN199" i="3"/>
  <c r="FN200" i="3"/>
  <c r="FN201" i="3"/>
  <c r="FN202" i="3"/>
  <c r="FN203" i="3"/>
  <c r="FN204" i="3"/>
  <c r="FN205" i="3"/>
  <c r="FN206" i="3"/>
  <c r="FN207" i="3"/>
  <c r="FN208" i="3"/>
  <c r="FN209" i="3"/>
  <c r="FN210" i="3"/>
  <c r="FN211" i="3"/>
  <c r="FN212" i="3"/>
  <c r="FN213" i="3"/>
  <c r="FN214" i="3"/>
  <c r="FN215" i="3"/>
  <c r="FN216" i="3"/>
  <c r="FN217" i="3"/>
  <c r="FN218" i="3"/>
  <c r="FN219" i="3"/>
  <c r="FN220" i="3"/>
  <c r="FN221" i="3"/>
  <c r="FN222" i="3"/>
  <c r="FN223" i="3"/>
  <c r="FN224" i="3"/>
  <c r="FN225" i="3"/>
  <c r="FN226" i="3"/>
  <c r="FN227" i="3"/>
  <c r="FN228" i="3"/>
  <c r="FN229" i="3"/>
  <c r="FN230" i="3"/>
  <c r="FN231" i="3"/>
  <c r="FN232" i="3"/>
  <c r="FN233" i="3"/>
  <c r="FN234" i="3"/>
  <c r="FN235" i="3"/>
  <c r="FN236" i="3"/>
  <c r="FN237" i="3"/>
  <c r="FN238" i="3"/>
  <c r="FN239" i="3"/>
  <c r="FN240" i="3"/>
  <c r="FN241" i="3"/>
  <c r="FN242" i="3"/>
  <c r="FN243" i="3"/>
  <c r="FN244" i="3"/>
  <c r="FN245" i="3"/>
  <c r="FN246" i="3"/>
  <c r="FN247" i="3"/>
  <c r="FN248" i="3"/>
  <c r="FN249" i="3"/>
  <c r="FN250" i="3"/>
  <c r="FN251" i="3"/>
  <c r="FN252" i="3"/>
  <c r="FN253" i="3"/>
  <c r="FN254" i="3"/>
  <c r="FN255" i="3"/>
  <c r="FN256" i="3"/>
  <c r="FN257" i="3"/>
  <c r="FN258" i="3"/>
  <c r="FN259" i="3"/>
  <c r="FN260" i="3"/>
  <c r="FN261" i="3"/>
  <c r="FN262" i="3"/>
  <c r="FN263" i="3"/>
  <c r="FN264" i="3"/>
  <c r="FN265" i="3"/>
  <c r="FN266" i="3"/>
  <c r="FN267" i="3"/>
  <c r="FN268" i="3"/>
  <c r="FN269" i="3"/>
  <c r="FN270" i="3"/>
  <c r="FN271" i="3"/>
  <c r="FN272" i="3"/>
  <c r="FN273" i="3"/>
  <c r="FN274" i="3"/>
  <c r="FN275" i="3"/>
  <c r="FN276" i="3"/>
  <c r="FN277" i="3"/>
  <c r="FN278" i="3"/>
  <c r="FN279" i="3"/>
  <c r="FN280" i="3"/>
  <c r="FN281" i="3"/>
  <c r="FN282" i="3"/>
  <c r="FN283" i="3"/>
  <c r="FN284" i="3"/>
  <c r="FN285" i="3"/>
  <c r="FN286" i="3"/>
  <c r="FN287" i="3"/>
  <c r="FN288" i="3"/>
  <c r="FN289" i="3"/>
  <c r="FN290" i="3"/>
  <c r="FN291" i="3"/>
  <c r="FN292" i="3"/>
  <c r="FN293" i="3"/>
  <c r="FN294" i="3"/>
  <c r="FN295" i="3"/>
  <c r="FN296" i="3"/>
  <c r="FN297" i="3"/>
  <c r="FN298" i="3"/>
  <c r="FN299" i="3"/>
  <c r="FN300" i="3"/>
  <c r="FN301" i="3"/>
  <c r="FN302" i="3"/>
  <c r="FN303" i="3"/>
  <c r="FN304" i="3"/>
  <c r="FN305" i="3"/>
  <c r="FN306" i="3"/>
  <c r="FN307" i="3"/>
  <c r="FN308" i="3"/>
  <c r="FN309" i="3"/>
  <c r="FN310" i="3"/>
  <c r="FN311" i="3"/>
  <c r="FN312" i="3"/>
  <c r="FN313" i="3"/>
  <c r="FN314" i="3"/>
  <c r="FN315" i="3"/>
  <c r="FN316" i="3"/>
  <c r="FN317" i="3"/>
  <c r="FN318" i="3"/>
  <c r="FN319" i="3"/>
  <c r="FN320" i="3"/>
  <c r="FN321" i="3"/>
  <c r="FN322" i="3"/>
  <c r="FN323" i="3"/>
  <c r="FN324" i="3"/>
  <c r="FN325" i="3"/>
  <c r="FN326" i="3"/>
  <c r="FN327" i="3"/>
  <c r="FN328" i="3"/>
  <c r="FN329" i="3"/>
  <c r="FN330" i="3"/>
  <c r="FN331" i="3"/>
  <c r="FN332" i="3"/>
  <c r="FN333" i="3"/>
  <c r="FN334" i="3"/>
  <c r="FN335" i="3"/>
  <c r="FN336" i="3"/>
  <c r="FN337" i="3"/>
  <c r="FN338" i="3"/>
  <c r="FN339" i="3"/>
  <c r="FN340" i="3"/>
  <c r="FN341" i="3"/>
  <c r="FN342" i="3"/>
  <c r="FN343" i="3"/>
  <c r="FN344" i="3"/>
  <c r="FN345" i="3"/>
  <c r="FN346" i="3"/>
  <c r="FN347" i="3"/>
  <c r="FN348" i="3"/>
  <c r="FN349" i="3"/>
  <c r="FN350" i="3"/>
  <c r="FN351" i="3"/>
  <c r="FN352" i="3"/>
  <c r="FN353" i="3"/>
  <c r="FN354" i="3"/>
  <c r="FN355" i="3"/>
  <c r="FN356" i="3"/>
  <c r="FN357" i="3"/>
  <c r="FN358" i="3"/>
  <c r="FN359" i="3"/>
  <c r="FN360" i="3"/>
  <c r="FN361" i="3"/>
  <c r="FN362" i="3"/>
  <c r="FN363" i="3"/>
  <c r="FN364" i="3"/>
  <c r="FN365" i="3"/>
  <c r="FN366" i="3"/>
  <c r="FN367" i="3"/>
  <c r="FN368" i="3"/>
  <c r="FN369" i="3"/>
  <c r="FN370" i="3"/>
  <c r="FN371" i="3"/>
  <c r="FN372" i="3"/>
  <c r="FN373" i="3"/>
  <c r="FN374" i="3"/>
  <c r="FN375" i="3"/>
  <c r="FN376" i="3"/>
  <c r="FN377" i="3"/>
  <c r="FN378" i="3"/>
  <c r="FN379" i="3"/>
  <c r="FN380" i="3"/>
  <c r="FN381" i="3"/>
  <c r="FN382" i="3"/>
  <c r="FN383" i="3"/>
  <c r="FN384" i="3"/>
  <c r="FN385" i="3"/>
  <c r="FN386" i="3"/>
  <c r="FN387" i="3"/>
  <c r="FN388" i="3"/>
  <c r="FN389" i="3"/>
  <c r="FN390" i="3"/>
  <c r="FN391" i="3"/>
  <c r="FN392" i="3"/>
  <c r="FN393" i="3"/>
  <c r="FN394" i="3"/>
  <c r="FN395" i="3"/>
  <c r="FN396" i="3"/>
  <c r="FN397" i="3"/>
  <c r="FN398" i="3"/>
  <c r="FN399" i="3"/>
  <c r="FN400" i="3"/>
  <c r="FN401" i="3"/>
  <c r="FN402" i="3"/>
  <c r="FN403" i="3"/>
  <c r="FN404" i="3"/>
  <c r="FN405" i="3"/>
  <c r="FN406" i="3"/>
  <c r="FN407" i="3"/>
  <c r="FN408" i="3"/>
  <c r="FN409" i="3"/>
  <c r="FN410" i="3"/>
  <c r="FN411" i="3"/>
  <c r="FN412" i="3"/>
  <c r="FN413" i="3"/>
  <c r="FN414" i="3"/>
  <c r="FN415" i="3"/>
  <c r="FN416" i="3"/>
  <c r="FN417" i="3"/>
  <c r="FN418" i="3"/>
  <c r="FN419" i="3"/>
  <c r="FN420" i="3"/>
  <c r="FN421" i="3"/>
  <c r="FN422" i="3"/>
  <c r="FN423" i="3"/>
  <c r="FN424" i="3"/>
  <c r="FN425" i="3"/>
  <c r="FN426" i="3"/>
  <c r="FN427" i="3"/>
  <c r="FN428" i="3"/>
  <c r="FN429" i="3"/>
  <c r="FN430" i="3"/>
  <c r="FN431" i="3"/>
  <c r="FN432" i="3"/>
  <c r="FN433" i="3"/>
  <c r="FN434" i="3"/>
  <c r="FN435" i="3"/>
  <c r="FN436" i="3"/>
  <c r="FN437" i="3"/>
  <c r="FN438" i="3"/>
  <c r="FN439" i="3"/>
  <c r="FN440" i="3"/>
  <c r="FN441" i="3"/>
  <c r="FN442" i="3"/>
  <c r="FN443" i="3"/>
  <c r="FN444" i="3"/>
  <c r="FN445" i="3"/>
  <c r="FN446" i="3"/>
  <c r="FN447" i="3"/>
  <c r="FN448" i="3"/>
  <c r="FN449" i="3"/>
  <c r="FN450" i="3"/>
  <c r="FN451" i="3"/>
  <c r="FN452" i="3"/>
  <c r="FN453" i="3"/>
  <c r="FN454" i="3"/>
  <c r="FN455" i="3"/>
  <c r="FN456" i="3"/>
  <c r="FN457" i="3"/>
  <c r="FN458" i="3"/>
  <c r="FN459" i="3"/>
  <c r="FN460" i="3"/>
  <c r="FN461" i="3"/>
  <c r="FN462" i="3"/>
  <c r="FN463" i="3"/>
  <c r="FN464" i="3"/>
  <c r="FN465" i="3"/>
  <c r="FN466" i="3"/>
  <c r="FN467" i="3"/>
  <c r="FN468" i="3"/>
  <c r="FN469" i="3"/>
  <c r="FN470" i="3"/>
  <c r="FN471" i="3"/>
  <c r="FN472" i="3"/>
  <c r="FN473" i="3"/>
  <c r="FN474" i="3"/>
  <c r="FN475" i="3"/>
  <c r="FN476" i="3"/>
  <c r="FN477" i="3"/>
  <c r="FN478" i="3"/>
  <c r="FN479" i="3"/>
  <c r="FN480" i="3"/>
  <c r="FN481" i="3"/>
  <c r="FN482" i="3"/>
  <c r="FN483" i="3"/>
  <c r="FN484" i="3"/>
  <c r="FN485" i="3"/>
  <c r="FN486" i="3"/>
  <c r="FN487" i="3"/>
  <c r="FN488" i="3"/>
  <c r="FN489" i="3"/>
  <c r="FN490" i="3"/>
  <c r="FN491" i="3"/>
  <c r="FN492" i="3"/>
  <c r="FN493" i="3"/>
  <c r="FN494" i="3"/>
  <c r="FN495" i="3"/>
  <c r="FN496" i="3"/>
  <c r="FN497" i="3"/>
  <c r="FN498" i="3"/>
  <c r="FN499" i="3"/>
  <c r="FN500" i="3"/>
  <c r="FN501" i="3"/>
  <c r="FN502" i="3"/>
  <c r="FN503" i="3"/>
  <c r="FN504" i="3"/>
  <c r="FN505" i="3"/>
  <c r="FN506" i="3"/>
  <c r="FN507" i="3"/>
  <c r="FN508" i="3"/>
  <c r="FN509" i="3"/>
  <c r="FN510" i="3"/>
  <c r="FN511" i="3"/>
  <c r="FN512" i="3"/>
  <c r="FN513" i="3"/>
  <c r="FN514" i="3"/>
  <c r="FN515" i="3"/>
  <c r="FN516" i="3"/>
  <c r="FN517" i="3"/>
  <c r="FN518" i="3"/>
  <c r="FN519" i="3"/>
  <c r="FN520" i="3"/>
  <c r="FN521" i="3"/>
  <c r="FN522" i="3"/>
  <c r="FN523" i="3"/>
  <c r="FN524" i="3"/>
  <c r="FN525" i="3"/>
  <c r="FN526" i="3"/>
  <c r="FN527" i="3"/>
  <c r="FN528" i="3"/>
  <c r="FN529" i="3"/>
  <c r="FN530" i="3"/>
  <c r="FN531" i="3"/>
  <c r="FN532" i="3"/>
  <c r="FN533" i="3"/>
  <c r="FN534" i="3"/>
  <c r="FN535" i="3"/>
  <c r="FN536" i="3"/>
  <c r="FN537" i="3"/>
  <c r="FN538" i="3"/>
  <c r="FN539" i="3"/>
  <c r="FN540" i="3"/>
  <c r="FN541" i="3"/>
  <c r="FN542" i="3"/>
  <c r="FN543" i="3"/>
  <c r="FN544" i="3"/>
  <c r="FN545" i="3"/>
  <c r="FN546" i="3"/>
  <c r="FN547" i="3"/>
  <c r="FN548" i="3"/>
  <c r="FN549" i="3"/>
  <c r="FN550" i="3"/>
  <c r="FN551" i="3"/>
  <c r="FN552" i="3"/>
  <c r="FN553" i="3"/>
  <c r="FN554" i="3"/>
  <c r="FN555" i="3"/>
  <c r="FN556" i="3"/>
  <c r="FN557" i="3"/>
  <c r="FN558" i="3"/>
  <c r="FN559" i="3"/>
  <c r="FN560" i="3"/>
  <c r="FN561" i="3"/>
  <c r="FN562" i="3"/>
  <c r="FN563" i="3"/>
  <c r="FN564" i="3"/>
  <c r="FN565" i="3"/>
  <c r="FN566" i="3"/>
  <c r="FN567" i="3"/>
  <c r="FN568" i="3"/>
  <c r="FN569" i="3"/>
  <c r="FN570" i="3"/>
  <c r="FN571" i="3"/>
  <c r="FN572" i="3"/>
  <c r="FN573" i="3"/>
  <c r="FN574" i="3"/>
  <c r="FN575" i="3"/>
  <c r="FN576" i="3"/>
  <c r="FN577" i="3"/>
  <c r="FN578" i="3"/>
  <c r="FN579" i="3"/>
  <c r="FN580" i="3"/>
  <c r="FN581" i="3"/>
  <c r="FN582" i="3"/>
  <c r="FN583" i="3"/>
  <c r="FN584" i="3"/>
  <c r="FN585" i="3"/>
  <c r="FN586" i="3"/>
  <c r="FN587" i="3"/>
  <c r="FN588" i="3"/>
  <c r="FN589" i="3"/>
  <c r="FN590" i="3"/>
  <c r="FN591" i="3"/>
  <c r="FN592" i="3"/>
  <c r="FN593" i="3"/>
  <c r="FN594" i="3"/>
  <c r="FN595" i="3"/>
  <c r="FN596" i="3"/>
  <c r="FN597" i="3"/>
  <c r="FN598" i="3"/>
  <c r="FN599" i="3"/>
  <c r="FN600" i="3"/>
  <c r="FM3" i="3"/>
  <c r="FM4" i="3"/>
  <c r="FM5" i="3"/>
  <c r="FM6" i="3"/>
  <c r="FM7" i="3"/>
  <c r="FM8" i="3"/>
  <c r="FM9" i="3"/>
  <c r="FM10" i="3"/>
  <c r="FM11" i="3"/>
  <c r="FM12" i="3"/>
  <c r="FM13" i="3"/>
  <c r="FM14" i="3"/>
  <c r="FM15" i="3"/>
  <c r="FM16" i="3"/>
  <c r="FM17" i="3"/>
  <c r="FM18" i="3"/>
  <c r="FM19" i="3"/>
  <c r="FM20" i="3"/>
  <c r="FM21" i="3"/>
  <c r="FM22" i="3"/>
  <c r="FM23" i="3"/>
  <c r="FM24" i="3"/>
  <c r="FM25" i="3"/>
  <c r="FM26" i="3"/>
  <c r="FM27" i="3"/>
  <c r="FM28" i="3"/>
  <c r="FM29" i="3"/>
  <c r="FM30" i="3"/>
  <c r="FM31" i="3"/>
  <c r="FM32" i="3"/>
  <c r="FM33" i="3"/>
  <c r="FM34" i="3"/>
  <c r="FM35" i="3"/>
  <c r="FM36" i="3"/>
  <c r="FM37" i="3"/>
  <c r="FM38" i="3"/>
  <c r="FM39" i="3"/>
  <c r="FM40" i="3"/>
  <c r="FM41" i="3"/>
  <c r="FM42" i="3"/>
  <c r="FM43" i="3"/>
  <c r="FM44" i="3"/>
  <c r="FM45" i="3"/>
  <c r="FM46" i="3"/>
  <c r="FM47" i="3"/>
  <c r="FM48" i="3"/>
  <c r="FM49" i="3"/>
  <c r="FM50" i="3"/>
  <c r="FM51" i="3"/>
  <c r="FM52" i="3"/>
  <c r="FM53" i="3"/>
  <c r="FM54" i="3"/>
  <c r="FM55" i="3"/>
  <c r="FM56" i="3"/>
  <c r="FM57" i="3"/>
  <c r="FM58" i="3"/>
  <c r="FM59" i="3"/>
  <c r="FM60" i="3"/>
  <c r="FM61" i="3"/>
  <c r="FM62" i="3"/>
  <c r="FM63" i="3"/>
  <c r="FM64" i="3"/>
  <c r="FM65" i="3"/>
  <c r="FM66" i="3"/>
  <c r="FM67" i="3"/>
  <c r="FM68" i="3"/>
  <c r="FM69" i="3"/>
  <c r="FM70" i="3"/>
  <c r="FM71" i="3"/>
  <c r="FM72" i="3"/>
  <c r="FM73" i="3"/>
  <c r="FM74" i="3"/>
  <c r="FM75" i="3"/>
  <c r="FM76" i="3"/>
  <c r="FM77" i="3"/>
  <c r="FM78" i="3"/>
  <c r="FM79" i="3"/>
  <c r="FM80" i="3"/>
  <c r="FM81" i="3"/>
  <c r="FM82" i="3"/>
  <c r="FM83" i="3"/>
  <c r="FM84" i="3"/>
  <c r="FM85" i="3"/>
  <c r="FM86" i="3"/>
  <c r="FM87" i="3"/>
  <c r="FM88" i="3"/>
  <c r="FM89" i="3"/>
  <c r="FM90" i="3"/>
  <c r="FM91" i="3"/>
  <c r="FM92" i="3"/>
  <c r="FM93" i="3"/>
  <c r="FM94" i="3"/>
  <c r="FM95" i="3"/>
  <c r="FM96" i="3"/>
  <c r="FM97" i="3"/>
  <c r="FM98" i="3"/>
  <c r="FM99" i="3"/>
  <c r="FM100" i="3"/>
  <c r="FM101" i="3"/>
  <c r="FM102" i="3"/>
  <c r="FM103" i="3"/>
  <c r="FM104" i="3"/>
  <c r="FM105" i="3"/>
  <c r="FM106" i="3"/>
  <c r="FM107" i="3"/>
  <c r="FM108" i="3"/>
  <c r="FM109" i="3"/>
  <c r="FM110" i="3"/>
  <c r="FM111" i="3"/>
  <c r="FM112" i="3"/>
  <c r="FM113" i="3"/>
  <c r="FM114" i="3"/>
  <c r="FM115" i="3"/>
  <c r="FM116" i="3"/>
  <c r="FM117" i="3"/>
  <c r="FM118" i="3"/>
  <c r="FM119" i="3"/>
  <c r="FM120" i="3"/>
  <c r="FM121" i="3"/>
  <c r="FM122" i="3"/>
  <c r="FM123" i="3"/>
  <c r="FM124" i="3"/>
  <c r="FM125" i="3"/>
  <c r="FM126" i="3"/>
  <c r="FM127" i="3"/>
  <c r="FM128" i="3"/>
  <c r="FM129" i="3"/>
  <c r="FM130" i="3"/>
  <c r="FM131" i="3"/>
  <c r="FM132" i="3"/>
  <c r="FM133" i="3"/>
  <c r="FM134" i="3"/>
  <c r="FM135" i="3"/>
  <c r="FM136" i="3"/>
  <c r="FM137" i="3"/>
  <c r="FM138" i="3"/>
  <c r="FM139" i="3"/>
  <c r="FM140" i="3"/>
  <c r="FM141" i="3"/>
  <c r="FM142" i="3"/>
  <c r="FM143" i="3"/>
  <c r="FM144" i="3"/>
  <c r="FM145" i="3"/>
  <c r="FM146" i="3"/>
  <c r="FM147" i="3"/>
  <c r="FM148" i="3"/>
  <c r="FM149" i="3"/>
  <c r="FM150" i="3"/>
  <c r="FM151" i="3"/>
  <c r="FM152" i="3"/>
  <c r="FM153" i="3"/>
  <c r="FM154" i="3"/>
  <c r="FM155" i="3"/>
  <c r="FM156" i="3"/>
  <c r="FM157" i="3"/>
  <c r="FM158" i="3"/>
  <c r="FM159" i="3"/>
  <c r="FM160" i="3"/>
  <c r="FM161" i="3"/>
  <c r="FM162" i="3"/>
  <c r="FM163" i="3"/>
  <c r="FM164" i="3"/>
  <c r="FM165" i="3"/>
  <c r="FM166" i="3"/>
  <c r="FM167" i="3"/>
  <c r="FM168" i="3"/>
  <c r="FM169" i="3"/>
  <c r="FM170" i="3"/>
  <c r="FM171" i="3"/>
  <c r="FM172" i="3"/>
  <c r="FM173" i="3"/>
  <c r="FM174" i="3"/>
  <c r="FM175" i="3"/>
  <c r="FM176" i="3"/>
  <c r="FM177" i="3"/>
  <c r="FM178" i="3"/>
  <c r="FM179" i="3"/>
  <c r="FM180" i="3"/>
  <c r="FM181" i="3"/>
  <c r="FM182" i="3"/>
  <c r="FM183" i="3"/>
  <c r="FM184" i="3"/>
  <c r="FM185" i="3"/>
  <c r="FM186" i="3"/>
  <c r="FM187" i="3"/>
  <c r="FM188" i="3"/>
  <c r="FM189" i="3"/>
  <c r="FM190" i="3"/>
  <c r="FM191" i="3"/>
  <c r="FM192" i="3"/>
  <c r="FM193" i="3"/>
  <c r="FM194" i="3"/>
  <c r="FM195" i="3"/>
  <c r="FM196" i="3"/>
  <c r="FM197" i="3"/>
  <c r="FM198" i="3"/>
  <c r="FM199" i="3"/>
  <c r="FM200" i="3"/>
  <c r="FM201" i="3"/>
  <c r="FM202" i="3"/>
  <c r="FM203" i="3"/>
  <c r="FM204" i="3"/>
  <c r="FM205" i="3"/>
  <c r="FM206" i="3"/>
  <c r="FM207" i="3"/>
  <c r="FM208" i="3"/>
  <c r="FM209" i="3"/>
  <c r="FM210" i="3"/>
  <c r="FM211" i="3"/>
  <c r="FM212" i="3"/>
  <c r="FM213" i="3"/>
  <c r="FM214" i="3"/>
  <c r="FM215" i="3"/>
  <c r="FM216" i="3"/>
  <c r="FM217" i="3"/>
  <c r="FM218" i="3"/>
  <c r="FM219" i="3"/>
  <c r="FM220" i="3"/>
  <c r="FM221" i="3"/>
  <c r="FM222" i="3"/>
  <c r="FM223" i="3"/>
  <c r="FM224" i="3"/>
  <c r="FM225" i="3"/>
  <c r="FM226" i="3"/>
  <c r="FM227" i="3"/>
  <c r="FM228" i="3"/>
  <c r="FM229" i="3"/>
  <c r="FM230" i="3"/>
  <c r="FM231" i="3"/>
  <c r="FM232" i="3"/>
  <c r="FM233" i="3"/>
  <c r="FM234" i="3"/>
  <c r="FM235" i="3"/>
  <c r="FM236" i="3"/>
  <c r="FM237" i="3"/>
  <c r="FM238" i="3"/>
  <c r="FM239" i="3"/>
  <c r="FM240" i="3"/>
  <c r="FM241" i="3"/>
  <c r="FM242" i="3"/>
  <c r="FM243" i="3"/>
  <c r="FM244" i="3"/>
  <c r="FM245" i="3"/>
  <c r="FM246" i="3"/>
  <c r="FM247" i="3"/>
  <c r="FM248" i="3"/>
  <c r="FM249" i="3"/>
  <c r="FM250" i="3"/>
  <c r="FM251" i="3"/>
  <c r="FM252" i="3"/>
  <c r="FM253" i="3"/>
  <c r="FM254" i="3"/>
  <c r="FM255" i="3"/>
  <c r="FM256" i="3"/>
  <c r="FM257" i="3"/>
  <c r="FM258" i="3"/>
  <c r="FM259" i="3"/>
  <c r="FM260" i="3"/>
  <c r="FM261" i="3"/>
  <c r="FM262" i="3"/>
  <c r="FM263" i="3"/>
  <c r="FM264" i="3"/>
  <c r="FM265" i="3"/>
  <c r="FM266" i="3"/>
  <c r="FM267" i="3"/>
  <c r="FM268" i="3"/>
  <c r="FM269" i="3"/>
  <c r="FM270" i="3"/>
  <c r="FM271" i="3"/>
  <c r="FM272" i="3"/>
  <c r="FM273" i="3"/>
  <c r="FM274" i="3"/>
  <c r="FM275" i="3"/>
  <c r="FM276" i="3"/>
  <c r="FM277" i="3"/>
  <c r="FM278" i="3"/>
  <c r="FM279" i="3"/>
  <c r="FM280" i="3"/>
  <c r="FM281" i="3"/>
  <c r="FM282" i="3"/>
  <c r="FM283" i="3"/>
  <c r="FM284" i="3"/>
  <c r="FM285" i="3"/>
  <c r="FM286" i="3"/>
  <c r="FM287" i="3"/>
  <c r="FM288" i="3"/>
  <c r="FM289" i="3"/>
  <c r="FM290" i="3"/>
  <c r="FM291" i="3"/>
  <c r="FM292" i="3"/>
  <c r="FM293" i="3"/>
  <c r="FM294" i="3"/>
  <c r="FM295" i="3"/>
  <c r="FM296" i="3"/>
  <c r="FM297" i="3"/>
  <c r="FM298" i="3"/>
  <c r="FM299" i="3"/>
  <c r="FM300" i="3"/>
  <c r="FM301" i="3"/>
  <c r="FM302" i="3"/>
  <c r="FM303" i="3"/>
  <c r="FM304" i="3"/>
  <c r="FM305" i="3"/>
  <c r="FM306" i="3"/>
  <c r="FM307" i="3"/>
  <c r="FM308" i="3"/>
  <c r="FM309" i="3"/>
  <c r="FM310" i="3"/>
  <c r="FM311" i="3"/>
  <c r="FM312" i="3"/>
  <c r="FM313" i="3"/>
  <c r="FM314" i="3"/>
  <c r="FM315" i="3"/>
  <c r="FM316" i="3"/>
  <c r="FM317" i="3"/>
  <c r="FM318" i="3"/>
  <c r="FM319" i="3"/>
  <c r="FM320" i="3"/>
  <c r="FM321" i="3"/>
  <c r="FM322" i="3"/>
  <c r="FM323" i="3"/>
  <c r="FM324" i="3"/>
  <c r="FM325" i="3"/>
  <c r="FM326" i="3"/>
  <c r="FM327" i="3"/>
  <c r="FM328" i="3"/>
  <c r="FM329" i="3"/>
  <c r="FM330" i="3"/>
  <c r="FM331" i="3"/>
  <c r="FM332" i="3"/>
  <c r="FM333" i="3"/>
  <c r="FM334" i="3"/>
  <c r="FM335" i="3"/>
  <c r="FM336" i="3"/>
  <c r="FM337" i="3"/>
  <c r="FM338" i="3"/>
  <c r="FM339" i="3"/>
  <c r="FM340" i="3"/>
  <c r="FM341" i="3"/>
  <c r="FM342" i="3"/>
  <c r="FM343" i="3"/>
  <c r="FM344" i="3"/>
  <c r="FM345" i="3"/>
  <c r="FM346" i="3"/>
  <c r="FM347" i="3"/>
  <c r="FM348" i="3"/>
  <c r="FM349" i="3"/>
  <c r="FM350" i="3"/>
  <c r="FM351" i="3"/>
  <c r="FM352" i="3"/>
  <c r="FM353" i="3"/>
  <c r="FM354" i="3"/>
  <c r="FM355" i="3"/>
  <c r="FM356" i="3"/>
  <c r="FM357" i="3"/>
  <c r="FM358" i="3"/>
  <c r="FM359" i="3"/>
  <c r="FM360" i="3"/>
  <c r="FM361" i="3"/>
  <c r="FM362" i="3"/>
  <c r="FM363" i="3"/>
  <c r="FM364" i="3"/>
  <c r="FM365" i="3"/>
  <c r="FM366" i="3"/>
  <c r="FM367" i="3"/>
  <c r="FM368" i="3"/>
  <c r="FM369" i="3"/>
  <c r="FM370" i="3"/>
  <c r="FM371" i="3"/>
  <c r="FM372" i="3"/>
  <c r="FM373" i="3"/>
  <c r="FM374" i="3"/>
  <c r="FM375" i="3"/>
  <c r="FM376" i="3"/>
  <c r="FM377" i="3"/>
  <c r="FM378" i="3"/>
  <c r="FM379" i="3"/>
  <c r="FM380" i="3"/>
  <c r="FM381" i="3"/>
  <c r="FM382" i="3"/>
  <c r="FM383" i="3"/>
  <c r="FM384" i="3"/>
  <c r="FM385" i="3"/>
  <c r="FM386" i="3"/>
  <c r="FM387" i="3"/>
  <c r="FM388" i="3"/>
  <c r="FM389" i="3"/>
  <c r="FM390" i="3"/>
  <c r="FM391" i="3"/>
  <c r="FM392" i="3"/>
  <c r="FM393" i="3"/>
  <c r="FM394" i="3"/>
  <c r="FM395" i="3"/>
  <c r="FM396" i="3"/>
  <c r="FM397" i="3"/>
  <c r="FM398" i="3"/>
  <c r="FM399" i="3"/>
  <c r="FM400" i="3"/>
  <c r="FM401" i="3"/>
  <c r="FM402" i="3"/>
  <c r="FM403" i="3"/>
  <c r="FM404" i="3"/>
  <c r="FM405" i="3"/>
  <c r="FM406" i="3"/>
  <c r="FM407" i="3"/>
  <c r="FM408" i="3"/>
  <c r="FM409" i="3"/>
  <c r="FM410" i="3"/>
  <c r="FM411" i="3"/>
  <c r="FM412" i="3"/>
  <c r="FM413" i="3"/>
  <c r="FM414" i="3"/>
  <c r="FM415" i="3"/>
  <c r="FM416" i="3"/>
  <c r="FM417" i="3"/>
  <c r="FM418" i="3"/>
  <c r="FM419" i="3"/>
  <c r="FM420" i="3"/>
  <c r="FM421" i="3"/>
  <c r="FM422" i="3"/>
  <c r="FM423" i="3"/>
  <c r="FM424" i="3"/>
  <c r="FM425" i="3"/>
  <c r="FM426" i="3"/>
  <c r="FM427" i="3"/>
  <c r="FM428" i="3"/>
  <c r="FM429" i="3"/>
  <c r="FM430" i="3"/>
  <c r="FM431" i="3"/>
  <c r="FM432" i="3"/>
  <c r="FM433" i="3"/>
  <c r="FM434" i="3"/>
  <c r="FM435" i="3"/>
  <c r="FM436" i="3"/>
  <c r="FM437" i="3"/>
  <c r="FM438" i="3"/>
  <c r="FM439" i="3"/>
  <c r="FM440" i="3"/>
  <c r="FM441" i="3"/>
  <c r="FM442" i="3"/>
  <c r="FM443" i="3"/>
  <c r="FM444" i="3"/>
  <c r="FM445" i="3"/>
  <c r="FM446" i="3"/>
  <c r="FM447" i="3"/>
  <c r="FM448" i="3"/>
  <c r="FM449" i="3"/>
  <c r="FM450" i="3"/>
  <c r="FM451" i="3"/>
  <c r="FM452" i="3"/>
  <c r="FM453" i="3"/>
  <c r="FM454" i="3"/>
  <c r="FM455" i="3"/>
  <c r="FM456" i="3"/>
  <c r="FM457" i="3"/>
  <c r="FM458" i="3"/>
  <c r="FM459" i="3"/>
  <c r="FM460" i="3"/>
  <c r="FM461" i="3"/>
  <c r="FM462" i="3"/>
  <c r="FM463" i="3"/>
  <c r="FM464" i="3"/>
  <c r="FM465" i="3"/>
  <c r="FM466" i="3"/>
  <c r="FM467" i="3"/>
  <c r="FM468" i="3"/>
  <c r="FM469" i="3"/>
  <c r="FM470" i="3"/>
  <c r="FM471" i="3"/>
  <c r="FM472" i="3"/>
  <c r="FM473" i="3"/>
  <c r="FM474" i="3"/>
  <c r="FM475" i="3"/>
  <c r="FM476" i="3"/>
  <c r="FM477" i="3"/>
  <c r="FM478" i="3"/>
  <c r="FM479" i="3"/>
  <c r="FM480" i="3"/>
  <c r="FM481" i="3"/>
  <c r="FM482" i="3"/>
  <c r="FM483" i="3"/>
  <c r="FM484" i="3"/>
  <c r="FM485" i="3"/>
  <c r="FM486" i="3"/>
  <c r="FM487" i="3"/>
  <c r="FM488" i="3"/>
  <c r="FM489" i="3"/>
  <c r="FM490" i="3"/>
  <c r="FM491" i="3"/>
  <c r="FM492" i="3"/>
  <c r="FM493" i="3"/>
  <c r="FM494" i="3"/>
  <c r="FM495" i="3"/>
  <c r="FM496" i="3"/>
  <c r="FM497" i="3"/>
  <c r="FM498" i="3"/>
  <c r="FM499" i="3"/>
  <c r="FM500" i="3"/>
  <c r="FM501" i="3"/>
  <c r="FM502" i="3"/>
  <c r="FM503" i="3"/>
  <c r="FM504" i="3"/>
  <c r="FM505" i="3"/>
  <c r="FM506" i="3"/>
  <c r="FM507" i="3"/>
  <c r="FM508" i="3"/>
  <c r="FM509" i="3"/>
  <c r="FM510" i="3"/>
  <c r="FM511" i="3"/>
  <c r="FM512" i="3"/>
  <c r="FM513" i="3"/>
  <c r="FM514" i="3"/>
  <c r="FM515" i="3"/>
  <c r="FM516" i="3"/>
  <c r="FM517" i="3"/>
  <c r="FM518" i="3"/>
  <c r="FM519" i="3"/>
  <c r="FM520" i="3"/>
  <c r="FM521" i="3"/>
  <c r="FM522" i="3"/>
  <c r="FM523" i="3"/>
  <c r="FM524" i="3"/>
  <c r="FM525" i="3"/>
  <c r="FM526" i="3"/>
  <c r="FM527" i="3"/>
  <c r="FM528" i="3"/>
  <c r="FM529" i="3"/>
  <c r="FM530" i="3"/>
  <c r="FM531" i="3"/>
  <c r="FM532" i="3"/>
  <c r="FM533" i="3"/>
  <c r="FM534" i="3"/>
  <c r="FM535" i="3"/>
  <c r="FM536" i="3"/>
  <c r="FM537" i="3"/>
  <c r="FM538" i="3"/>
  <c r="FM539" i="3"/>
  <c r="FM540" i="3"/>
  <c r="FM541" i="3"/>
  <c r="FM542" i="3"/>
  <c r="FM543" i="3"/>
  <c r="FM544" i="3"/>
  <c r="FM545" i="3"/>
  <c r="FM546" i="3"/>
  <c r="FM547" i="3"/>
  <c r="FM548" i="3"/>
  <c r="FM549" i="3"/>
  <c r="FM550" i="3"/>
  <c r="FM551" i="3"/>
  <c r="FM552" i="3"/>
  <c r="FM553" i="3"/>
  <c r="FM554" i="3"/>
  <c r="FM555" i="3"/>
  <c r="FM556" i="3"/>
  <c r="FM557" i="3"/>
  <c r="FM558" i="3"/>
  <c r="FM559" i="3"/>
  <c r="FM560" i="3"/>
  <c r="FM561" i="3"/>
  <c r="FM562" i="3"/>
  <c r="FM563" i="3"/>
  <c r="FM564" i="3"/>
  <c r="FM565" i="3"/>
  <c r="FM566" i="3"/>
  <c r="FM567" i="3"/>
  <c r="FM568" i="3"/>
  <c r="FM569" i="3"/>
  <c r="FM570" i="3"/>
  <c r="FM571" i="3"/>
  <c r="FM572" i="3"/>
  <c r="FM573" i="3"/>
  <c r="FM574" i="3"/>
  <c r="FM575" i="3"/>
  <c r="FM576" i="3"/>
  <c r="FM577" i="3"/>
  <c r="FM578" i="3"/>
  <c r="FM579" i="3"/>
  <c r="FM580" i="3"/>
  <c r="FM581" i="3"/>
  <c r="FM582" i="3"/>
  <c r="FM583" i="3"/>
  <c r="FM584" i="3"/>
  <c r="FM585" i="3"/>
  <c r="FM586" i="3"/>
  <c r="FM587" i="3"/>
  <c r="FM588" i="3"/>
  <c r="FM589" i="3"/>
  <c r="FM590" i="3"/>
  <c r="FM591" i="3"/>
  <c r="FM592" i="3"/>
  <c r="FM593" i="3"/>
  <c r="FM594" i="3"/>
  <c r="FM595" i="3"/>
  <c r="FM596" i="3"/>
  <c r="FM597" i="3"/>
  <c r="FM598" i="3"/>
  <c r="FM599" i="3"/>
  <c r="FM600" i="3"/>
  <c r="FL3" i="3"/>
  <c r="FL4" i="3"/>
  <c r="FL5" i="3"/>
  <c r="FL6" i="3"/>
  <c r="FL7" i="3"/>
  <c r="FL8" i="3"/>
  <c r="FL9" i="3"/>
  <c r="FL10" i="3"/>
  <c r="FL11" i="3"/>
  <c r="FL12" i="3"/>
  <c r="FL13" i="3"/>
  <c r="FL14" i="3"/>
  <c r="FL15" i="3"/>
  <c r="FL16" i="3"/>
  <c r="FL17" i="3"/>
  <c r="FL18" i="3"/>
  <c r="FL19" i="3"/>
  <c r="FL20" i="3"/>
  <c r="FL21" i="3"/>
  <c r="FL22" i="3"/>
  <c r="FL23" i="3"/>
  <c r="FL24" i="3"/>
  <c r="FL25" i="3"/>
  <c r="FL26" i="3"/>
  <c r="FL27" i="3"/>
  <c r="FL28" i="3"/>
  <c r="FL29" i="3"/>
  <c r="FL30" i="3"/>
  <c r="FL31" i="3"/>
  <c r="FL32" i="3"/>
  <c r="FL33" i="3"/>
  <c r="FL34" i="3"/>
  <c r="FL35" i="3"/>
  <c r="FL36" i="3"/>
  <c r="FL37" i="3"/>
  <c r="FL38" i="3"/>
  <c r="FL39" i="3"/>
  <c r="FL40" i="3"/>
  <c r="FL41" i="3"/>
  <c r="FL42" i="3"/>
  <c r="FL43" i="3"/>
  <c r="FL44" i="3"/>
  <c r="FL45" i="3"/>
  <c r="FL46" i="3"/>
  <c r="FL47" i="3"/>
  <c r="FL48" i="3"/>
  <c r="FL49" i="3"/>
  <c r="FL50" i="3"/>
  <c r="FL51" i="3"/>
  <c r="FL52" i="3"/>
  <c r="FL53" i="3"/>
  <c r="FL54" i="3"/>
  <c r="FL55" i="3"/>
  <c r="FL56" i="3"/>
  <c r="FL57" i="3"/>
  <c r="FL58" i="3"/>
  <c r="FL59" i="3"/>
  <c r="FL60" i="3"/>
  <c r="FL61" i="3"/>
  <c r="FL62" i="3"/>
  <c r="FL63" i="3"/>
  <c r="FL64" i="3"/>
  <c r="FL65" i="3"/>
  <c r="FL66" i="3"/>
  <c r="FL67" i="3"/>
  <c r="FL68" i="3"/>
  <c r="FL69" i="3"/>
  <c r="FL70" i="3"/>
  <c r="FL71" i="3"/>
  <c r="FL72" i="3"/>
  <c r="FL73" i="3"/>
  <c r="FL74" i="3"/>
  <c r="FL75" i="3"/>
  <c r="FL76" i="3"/>
  <c r="FL77" i="3"/>
  <c r="FL78" i="3"/>
  <c r="FL79" i="3"/>
  <c r="FL80" i="3"/>
  <c r="FL81" i="3"/>
  <c r="FL82" i="3"/>
  <c r="FL83" i="3"/>
  <c r="FL84" i="3"/>
  <c r="FL85" i="3"/>
  <c r="FL86" i="3"/>
  <c r="FL87" i="3"/>
  <c r="FL88" i="3"/>
  <c r="FL89" i="3"/>
  <c r="FL90" i="3"/>
  <c r="FL91" i="3"/>
  <c r="FL92" i="3"/>
  <c r="FL93" i="3"/>
  <c r="FL94" i="3"/>
  <c r="FL95" i="3"/>
  <c r="FL96" i="3"/>
  <c r="FL97" i="3"/>
  <c r="FL98" i="3"/>
  <c r="FL99" i="3"/>
  <c r="FL100" i="3"/>
  <c r="FL101" i="3"/>
  <c r="FL102" i="3"/>
  <c r="FL103" i="3"/>
  <c r="FL104" i="3"/>
  <c r="FL105" i="3"/>
  <c r="FL106" i="3"/>
  <c r="FL107" i="3"/>
  <c r="FL108" i="3"/>
  <c r="FL109" i="3"/>
  <c r="FL110" i="3"/>
  <c r="FL111" i="3"/>
  <c r="FL112" i="3"/>
  <c r="FL113" i="3"/>
  <c r="FL114" i="3"/>
  <c r="FL115" i="3"/>
  <c r="FL116" i="3"/>
  <c r="FL117" i="3"/>
  <c r="FL118" i="3"/>
  <c r="FL119" i="3"/>
  <c r="FL120" i="3"/>
  <c r="FL121" i="3"/>
  <c r="FL122" i="3"/>
  <c r="FL123" i="3"/>
  <c r="FL124" i="3"/>
  <c r="FL125" i="3"/>
  <c r="FL126" i="3"/>
  <c r="FL127" i="3"/>
  <c r="FL128" i="3"/>
  <c r="FL129" i="3"/>
  <c r="FL130" i="3"/>
  <c r="FL131" i="3"/>
  <c r="FL132" i="3"/>
  <c r="FL133" i="3"/>
  <c r="FL134" i="3"/>
  <c r="FL135" i="3"/>
  <c r="FL136" i="3"/>
  <c r="FL137" i="3"/>
  <c r="FL138" i="3"/>
  <c r="FL139" i="3"/>
  <c r="FL140" i="3"/>
  <c r="FL141" i="3"/>
  <c r="FL142" i="3"/>
  <c r="FL143" i="3"/>
  <c r="FL144" i="3"/>
  <c r="FL145" i="3"/>
  <c r="FL146" i="3"/>
  <c r="FL147" i="3"/>
  <c r="FL148" i="3"/>
  <c r="FL149" i="3"/>
  <c r="FL150" i="3"/>
  <c r="FL151" i="3"/>
  <c r="FL152" i="3"/>
  <c r="FL153" i="3"/>
  <c r="FL154" i="3"/>
  <c r="FL155" i="3"/>
  <c r="FL156" i="3"/>
  <c r="FL157" i="3"/>
  <c r="FL158" i="3"/>
  <c r="FL159" i="3"/>
  <c r="FL160" i="3"/>
  <c r="FL161" i="3"/>
  <c r="FL162" i="3"/>
  <c r="FL163" i="3"/>
  <c r="FL164" i="3"/>
  <c r="FL165" i="3"/>
  <c r="FL166" i="3"/>
  <c r="FL167" i="3"/>
  <c r="FL168" i="3"/>
  <c r="FL169" i="3"/>
  <c r="FL170" i="3"/>
  <c r="FL171" i="3"/>
  <c r="FL172" i="3"/>
  <c r="FL173" i="3"/>
  <c r="FL174" i="3"/>
  <c r="FL175" i="3"/>
  <c r="FL176" i="3"/>
  <c r="FL177" i="3"/>
  <c r="FL178" i="3"/>
  <c r="FL179" i="3"/>
  <c r="FL180" i="3"/>
  <c r="FL181" i="3"/>
  <c r="FL182" i="3"/>
  <c r="FL183" i="3"/>
  <c r="FL184" i="3"/>
  <c r="FL185" i="3"/>
  <c r="FL186" i="3"/>
  <c r="FL187" i="3"/>
  <c r="FL188" i="3"/>
  <c r="FL189" i="3"/>
  <c r="FL190" i="3"/>
  <c r="FL191" i="3"/>
  <c r="FL192" i="3"/>
  <c r="FL193" i="3"/>
  <c r="FL194" i="3"/>
  <c r="FL195" i="3"/>
  <c r="FL196" i="3"/>
  <c r="FL197" i="3"/>
  <c r="FL198" i="3"/>
  <c r="FL199" i="3"/>
  <c r="FL200" i="3"/>
  <c r="FL201" i="3"/>
  <c r="FL202" i="3"/>
  <c r="FL203" i="3"/>
  <c r="FL204" i="3"/>
  <c r="FL205" i="3"/>
  <c r="FL206" i="3"/>
  <c r="FL207" i="3"/>
  <c r="FL208" i="3"/>
  <c r="FL209" i="3"/>
  <c r="FL210" i="3"/>
  <c r="FL211" i="3"/>
  <c r="FL212" i="3"/>
  <c r="FL213" i="3"/>
  <c r="FL214" i="3"/>
  <c r="FL215" i="3"/>
  <c r="FL216" i="3"/>
  <c r="FL217" i="3"/>
  <c r="FL218" i="3"/>
  <c r="FL219" i="3"/>
  <c r="FL220" i="3"/>
  <c r="FL221" i="3"/>
  <c r="FL222" i="3"/>
  <c r="FL223" i="3"/>
  <c r="FL224" i="3"/>
  <c r="FL225" i="3"/>
  <c r="FL226" i="3"/>
  <c r="FL227" i="3"/>
  <c r="FL228" i="3"/>
  <c r="FL229" i="3"/>
  <c r="FL230" i="3"/>
  <c r="FL231" i="3"/>
  <c r="FL232" i="3"/>
  <c r="FL233" i="3"/>
  <c r="FL234" i="3"/>
  <c r="FL235" i="3"/>
  <c r="FL236" i="3"/>
  <c r="FL237" i="3"/>
  <c r="FL238" i="3"/>
  <c r="FL239" i="3"/>
  <c r="FL240" i="3"/>
  <c r="FL241" i="3"/>
  <c r="FL242" i="3"/>
  <c r="FL243" i="3"/>
  <c r="FL244" i="3"/>
  <c r="FL245" i="3"/>
  <c r="FL246" i="3"/>
  <c r="FL247" i="3"/>
  <c r="FL248" i="3"/>
  <c r="FL249" i="3"/>
  <c r="FL250" i="3"/>
  <c r="FL251" i="3"/>
  <c r="FL252" i="3"/>
  <c r="FL253" i="3"/>
  <c r="FL254" i="3"/>
  <c r="FL255" i="3"/>
  <c r="FL256" i="3"/>
  <c r="FL257" i="3"/>
  <c r="FL258" i="3"/>
  <c r="FL259" i="3"/>
  <c r="FL260" i="3"/>
  <c r="FL261" i="3"/>
  <c r="FL262" i="3"/>
  <c r="FL263" i="3"/>
  <c r="FL264" i="3"/>
  <c r="FL265" i="3"/>
  <c r="FL266" i="3"/>
  <c r="FL267" i="3"/>
  <c r="FL268" i="3"/>
  <c r="FL269" i="3"/>
  <c r="FL270" i="3"/>
  <c r="FL271" i="3"/>
  <c r="FL272" i="3"/>
  <c r="FL273" i="3"/>
  <c r="FL274" i="3"/>
  <c r="FL275" i="3"/>
  <c r="FL276" i="3"/>
  <c r="FL277" i="3"/>
  <c r="FL278" i="3"/>
  <c r="FL279" i="3"/>
  <c r="FL280" i="3"/>
  <c r="FL281" i="3"/>
  <c r="FL282" i="3"/>
  <c r="FL283" i="3"/>
  <c r="FL284" i="3"/>
  <c r="FL285" i="3"/>
  <c r="FL286" i="3"/>
  <c r="FL287" i="3"/>
  <c r="FL288" i="3"/>
  <c r="FL289" i="3"/>
  <c r="FL290" i="3"/>
  <c r="FL291" i="3"/>
  <c r="FL292" i="3"/>
  <c r="FL293" i="3"/>
  <c r="FL294" i="3"/>
  <c r="FL295" i="3"/>
  <c r="FL296" i="3"/>
  <c r="FL297" i="3"/>
  <c r="FL298" i="3"/>
  <c r="FL299" i="3"/>
  <c r="FL300" i="3"/>
  <c r="FL301" i="3"/>
  <c r="FL302" i="3"/>
  <c r="FL303" i="3"/>
  <c r="FL304" i="3"/>
  <c r="FL305" i="3"/>
  <c r="FL306" i="3"/>
  <c r="FL307" i="3"/>
  <c r="FL308" i="3"/>
  <c r="FL309" i="3"/>
  <c r="FL310" i="3"/>
  <c r="FL311" i="3"/>
  <c r="FL312" i="3"/>
  <c r="FL313" i="3"/>
  <c r="FL314" i="3"/>
  <c r="FL315" i="3"/>
  <c r="FL316" i="3"/>
  <c r="FL317" i="3"/>
  <c r="FL318" i="3"/>
  <c r="FL319" i="3"/>
  <c r="FL320" i="3"/>
  <c r="FL321" i="3"/>
  <c r="FL322" i="3"/>
  <c r="FL323" i="3"/>
  <c r="FL324" i="3"/>
  <c r="FL325" i="3"/>
  <c r="FL326" i="3"/>
  <c r="FL327" i="3"/>
  <c r="FL328" i="3"/>
  <c r="FL329" i="3"/>
  <c r="FL330" i="3"/>
  <c r="FL331" i="3"/>
  <c r="FL332" i="3"/>
  <c r="FL333" i="3"/>
  <c r="FL334" i="3"/>
  <c r="FL335" i="3"/>
  <c r="FL336" i="3"/>
  <c r="FL337" i="3"/>
  <c r="FL338" i="3"/>
  <c r="FL339" i="3"/>
  <c r="FL340" i="3"/>
  <c r="FL341" i="3"/>
  <c r="FL342" i="3"/>
  <c r="FL343" i="3"/>
  <c r="FL344" i="3"/>
  <c r="FL345" i="3"/>
  <c r="FL346" i="3"/>
  <c r="FL347" i="3"/>
  <c r="FL348" i="3"/>
  <c r="FL349" i="3"/>
  <c r="FL350" i="3"/>
  <c r="FL351" i="3"/>
  <c r="FL352" i="3"/>
  <c r="FL353" i="3"/>
  <c r="FL354" i="3"/>
  <c r="FL355" i="3"/>
  <c r="FL356" i="3"/>
  <c r="FL357" i="3"/>
  <c r="FL358" i="3"/>
  <c r="FL359" i="3"/>
  <c r="FL360" i="3"/>
  <c r="FL361" i="3"/>
  <c r="FL362" i="3"/>
  <c r="FL363" i="3"/>
  <c r="FL364" i="3"/>
  <c r="FL365" i="3"/>
  <c r="FL366" i="3"/>
  <c r="FL367" i="3"/>
  <c r="FL368" i="3"/>
  <c r="FL369" i="3"/>
  <c r="FL370" i="3"/>
  <c r="FL371" i="3"/>
  <c r="FL372" i="3"/>
  <c r="FL373" i="3"/>
  <c r="FL374" i="3"/>
  <c r="FL375" i="3"/>
  <c r="FL376" i="3"/>
  <c r="FL377" i="3"/>
  <c r="FL378" i="3"/>
  <c r="FL379" i="3"/>
  <c r="FL380" i="3"/>
  <c r="FL381" i="3"/>
  <c r="FL382" i="3"/>
  <c r="FL383" i="3"/>
  <c r="FL384" i="3"/>
  <c r="FL385" i="3"/>
  <c r="FL386" i="3"/>
  <c r="FL387" i="3"/>
  <c r="FL388" i="3"/>
  <c r="FL389" i="3"/>
  <c r="FL390" i="3"/>
  <c r="FL391" i="3"/>
  <c r="FL392" i="3"/>
  <c r="FL393" i="3"/>
  <c r="FL394" i="3"/>
  <c r="FL395" i="3"/>
  <c r="FL396" i="3"/>
  <c r="FL397" i="3"/>
  <c r="FL398" i="3"/>
  <c r="FL399" i="3"/>
  <c r="FL400" i="3"/>
  <c r="FL401" i="3"/>
  <c r="FL402" i="3"/>
  <c r="FL403" i="3"/>
  <c r="FL404" i="3"/>
  <c r="FL405" i="3"/>
  <c r="FL406" i="3"/>
  <c r="FL407" i="3"/>
  <c r="FL408" i="3"/>
  <c r="FL409" i="3"/>
  <c r="FL410" i="3"/>
  <c r="FL411" i="3"/>
  <c r="FL412" i="3"/>
  <c r="FL413" i="3"/>
  <c r="FL414" i="3"/>
  <c r="FL415" i="3"/>
  <c r="FL416" i="3"/>
  <c r="FL417" i="3"/>
  <c r="FL418" i="3"/>
  <c r="FL419" i="3"/>
  <c r="FL420" i="3"/>
  <c r="FL421" i="3"/>
  <c r="FL422" i="3"/>
  <c r="FL423" i="3"/>
  <c r="FL424" i="3"/>
  <c r="FL425" i="3"/>
  <c r="FL426" i="3"/>
  <c r="FL427" i="3"/>
  <c r="FL428" i="3"/>
  <c r="FL429" i="3"/>
  <c r="FL430" i="3"/>
  <c r="FL431" i="3"/>
  <c r="FL432" i="3"/>
  <c r="FL433" i="3"/>
  <c r="FL434" i="3"/>
  <c r="FL435" i="3"/>
  <c r="FL436" i="3"/>
  <c r="FL437" i="3"/>
  <c r="FL438" i="3"/>
  <c r="FL439" i="3"/>
  <c r="FL440" i="3"/>
  <c r="FL441" i="3"/>
  <c r="FL442" i="3"/>
  <c r="FL443" i="3"/>
  <c r="FL444" i="3"/>
  <c r="FL445" i="3"/>
  <c r="FL446" i="3"/>
  <c r="FL447" i="3"/>
  <c r="FL448" i="3"/>
  <c r="FL449" i="3"/>
  <c r="FL450" i="3"/>
  <c r="FL451" i="3"/>
  <c r="FL452" i="3"/>
  <c r="FL453" i="3"/>
  <c r="FL454" i="3"/>
  <c r="FL455" i="3"/>
  <c r="FL456" i="3"/>
  <c r="FL457" i="3"/>
  <c r="FL458" i="3"/>
  <c r="FL459" i="3"/>
  <c r="FL460" i="3"/>
  <c r="FL461" i="3"/>
  <c r="FL462" i="3"/>
  <c r="FL463" i="3"/>
  <c r="FL464" i="3"/>
  <c r="FL465" i="3"/>
  <c r="FL466" i="3"/>
  <c r="FL467" i="3"/>
  <c r="FL468" i="3"/>
  <c r="FL469" i="3"/>
  <c r="FL470" i="3"/>
  <c r="FL471" i="3"/>
  <c r="FL472" i="3"/>
  <c r="FL473" i="3"/>
  <c r="FL474" i="3"/>
  <c r="FL475" i="3"/>
  <c r="FL476" i="3"/>
  <c r="FL477" i="3"/>
  <c r="FL478" i="3"/>
  <c r="FL479" i="3"/>
  <c r="FL480" i="3"/>
  <c r="FL481" i="3"/>
  <c r="FL482" i="3"/>
  <c r="FL483" i="3"/>
  <c r="FL484" i="3"/>
  <c r="FL485" i="3"/>
  <c r="FL486" i="3"/>
  <c r="FL487" i="3"/>
  <c r="FL488" i="3"/>
  <c r="FL489" i="3"/>
  <c r="FL490" i="3"/>
  <c r="FL491" i="3"/>
  <c r="FL492" i="3"/>
  <c r="FL493" i="3"/>
  <c r="FL494" i="3"/>
  <c r="FL495" i="3"/>
  <c r="FL496" i="3"/>
  <c r="FL497" i="3"/>
  <c r="FL498" i="3"/>
  <c r="FL499" i="3"/>
  <c r="FL500" i="3"/>
  <c r="FL501" i="3"/>
  <c r="FL502" i="3"/>
  <c r="FL503" i="3"/>
  <c r="FL504" i="3"/>
  <c r="FL505" i="3"/>
  <c r="FL506" i="3"/>
  <c r="FL507" i="3"/>
  <c r="FL508" i="3"/>
  <c r="FL509" i="3"/>
  <c r="FL510" i="3"/>
  <c r="FL511" i="3"/>
  <c r="FL512" i="3"/>
  <c r="FL513" i="3"/>
  <c r="FL514" i="3"/>
  <c r="FL515" i="3"/>
  <c r="FL516" i="3"/>
  <c r="FL517" i="3"/>
  <c r="FL518" i="3"/>
  <c r="FL519" i="3"/>
  <c r="FL520" i="3"/>
  <c r="FL521" i="3"/>
  <c r="FL522" i="3"/>
  <c r="FL523" i="3"/>
  <c r="FL524" i="3"/>
  <c r="FL525" i="3"/>
  <c r="FL526" i="3"/>
  <c r="FL527" i="3"/>
  <c r="FL528" i="3"/>
  <c r="FL529" i="3"/>
  <c r="FL530" i="3"/>
  <c r="FL531" i="3"/>
  <c r="FL532" i="3"/>
  <c r="FL533" i="3"/>
  <c r="FL534" i="3"/>
  <c r="FL535" i="3"/>
  <c r="FL536" i="3"/>
  <c r="FL537" i="3"/>
  <c r="FL538" i="3"/>
  <c r="FL539" i="3"/>
  <c r="FL540" i="3"/>
  <c r="FL541" i="3"/>
  <c r="FL542" i="3"/>
  <c r="FL543" i="3"/>
  <c r="FL544" i="3"/>
  <c r="FL545" i="3"/>
  <c r="FL546" i="3"/>
  <c r="FL547" i="3"/>
  <c r="FL548" i="3"/>
  <c r="FL549" i="3"/>
  <c r="FL550" i="3"/>
  <c r="FL551" i="3"/>
  <c r="FL552" i="3"/>
  <c r="FL553" i="3"/>
  <c r="FL554" i="3"/>
  <c r="FL555" i="3"/>
  <c r="FL556" i="3"/>
  <c r="FL557" i="3"/>
  <c r="FL558" i="3"/>
  <c r="FL559" i="3"/>
  <c r="FL560" i="3"/>
  <c r="FL561" i="3"/>
  <c r="FL562" i="3"/>
  <c r="FL563" i="3"/>
  <c r="FL564" i="3"/>
  <c r="FL565" i="3"/>
  <c r="FL566" i="3"/>
  <c r="FL567" i="3"/>
  <c r="FL568" i="3"/>
  <c r="FL569" i="3"/>
  <c r="FL570" i="3"/>
  <c r="FL571" i="3"/>
  <c r="FL572" i="3"/>
  <c r="FL573" i="3"/>
  <c r="FL574" i="3"/>
  <c r="FL575" i="3"/>
  <c r="FL576" i="3"/>
  <c r="FL577" i="3"/>
  <c r="FL578" i="3"/>
  <c r="FL579" i="3"/>
  <c r="FL580" i="3"/>
  <c r="FL581" i="3"/>
  <c r="FL582" i="3"/>
  <c r="FL583" i="3"/>
  <c r="FL584" i="3"/>
  <c r="FL585" i="3"/>
  <c r="FL586" i="3"/>
  <c r="FL587" i="3"/>
  <c r="FL588" i="3"/>
  <c r="FL589" i="3"/>
  <c r="FL590" i="3"/>
  <c r="FL591" i="3"/>
  <c r="FL592" i="3"/>
  <c r="FL593" i="3"/>
  <c r="FL594" i="3"/>
  <c r="FL595" i="3"/>
  <c r="FL596" i="3"/>
  <c r="FL597" i="3"/>
  <c r="FL598" i="3"/>
  <c r="FL599" i="3"/>
  <c r="FL600" i="3"/>
  <c r="FK3" i="3"/>
  <c r="FK4" i="3"/>
  <c r="FK5" i="3"/>
  <c r="FK6" i="3"/>
  <c r="FK7" i="3"/>
  <c r="FK8" i="3"/>
  <c r="FK9" i="3"/>
  <c r="FK10" i="3"/>
  <c r="FK11" i="3"/>
  <c r="FK12" i="3"/>
  <c r="FK13" i="3"/>
  <c r="FK14" i="3"/>
  <c r="FK15" i="3"/>
  <c r="FK16" i="3"/>
  <c r="FK17" i="3"/>
  <c r="FK18" i="3"/>
  <c r="FK19" i="3"/>
  <c r="FK20" i="3"/>
  <c r="FK21" i="3"/>
  <c r="FK22" i="3"/>
  <c r="FK23" i="3"/>
  <c r="FK24" i="3"/>
  <c r="FK25" i="3"/>
  <c r="FK26" i="3"/>
  <c r="FK27" i="3"/>
  <c r="FK28" i="3"/>
  <c r="FK29" i="3"/>
  <c r="FK30" i="3"/>
  <c r="FK31" i="3"/>
  <c r="FK32" i="3"/>
  <c r="FK33" i="3"/>
  <c r="FK34" i="3"/>
  <c r="FK35" i="3"/>
  <c r="FK36" i="3"/>
  <c r="FK37" i="3"/>
  <c r="FK38" i="3"/>
  <c r="FK39" i="3"/>
  <c r="FK40" i="3"/>
  <c r="FK41" i="3"/>
  <c r="FK42" i="3"/>
  <c r="FK43" i="3"/>
  <c r="FK44" i="3"/>
  <c r="FK45" i="3"/>
  <c r="FK46" i="3"/>
  <c r="FK47" i="3"/>
  <c r="FK48" i="3"/>
  <c r="FK49" i="3"/>
  <c r="FK50" i="3"/>
  <c r="FK51" i="3"/>
  <c r="FK52" i="3"/>
  <c r="FK53" i="3"/>
  <c r="FK54" i="3"/>
  <c r="FK55" i="3"/>
  <c r="FK56" i="3"/>
  <c r="FK57" i="3"/>
  <c r="FK58" i="3"/>
  <c r="FK59" i="3"/>
  <c r="FK60" i="3"/>
  <c r="FK61" i="3"/>
  <c r="FK62" i="3"/>
  <c r="FK63" i="3"/>
  <c r="FK64" i="3"/>
  <c r="FK65" i="3"/>
  <c r="FK66" i="3"/>
  <c r="FK67" i="3"/>
  <c r="FK68" i="3"/>
  <c r="FK69" i="3"/>
  <c r="FK70" i="3"/>
  <c r="FK71" i="3"/>
  <c r="FK72" i="3"/>
  <c r="FK73" i="3"/>
  <c r="FK74" i="3"/>
  <c r="FK75" i="3"/>
  <c r="FK76" i="3"/>
  <c r="FK77" i="3"/>
  <c r="FK78" i="3"/>
  <c r="FK79" i="3"/>
  <c r="FK80" i="3"/>
  <c r="FK81" i="3"/>
  <c r="FK82" i="3"/>
  <c r="FK83" i="3"/>
  <c r="FK84" i="3"/>
  <c r="FK85" i="3"/>
  <c r="FK86" i="3"/>
  <c r="FK87" i="3"/>
  <c r="FK88" i="3"/>
  <c r="FK89" i="3"/>
  <c r="FK90" i="3"/>
  <c r="FK91" i="3"/>
  <c r="FK92" i="3"/>
  <c r="FK93" i="3"/>
  <c r="FK94" i="3"/>
  <c r="FK95" i="3"/>
  <c r="FK96" i="3"/>
  <c r="FK97" i="3"/>
  <c r="FK98" i="3"/>
  <c r="FK99" i="3"/>
  <c r="FK100" i="3"/>
  <c r="FK101" i="3"/>
  <c r="FK102" i="3"/>
  <c r="FK103" i="3"/>
  <c r="FK104" i="3"/>
  <c r="FK105" i="3"/>
  <c r="FK106" i="3"/>
  <c r="FK107" i="3"/>
  <c r="FK108" i="3"/>
  <c r="FK109" i="3"/>
  <c r="FK110" i="3"/>
  <c r="FK111" i="3"/>
  <c r="FK112" i="3"/>
  <c r="FK113" i="3"/>
  <c r="FK114" i="3"/>
  <c r="FK115" i="3"/>
  <c r="FK116" i="3"/>
  <c r="FK117" i="3"/>
  <c r="FK118" i="3"/>
  <c r="FK119" i="3"/>
  <c r="FK120" i="3"/>
  <c r="FK121" i="3"/>
  <c r="FK122" i="3"/>
  <c r="FK123" i="3"/>
  <c r="FK124" i="3"/>
  <c r="FK125" i="3"/>
  <c r="FK126" i="3"/>
  <c r="FK127" i="3"/>
  <c r="FK128" i="3"/>
  <c r="FK129" i="3"/>
  <c r="FK130" i="3"/>
  <c r="FK131" i="3"/>
  <c r="FK132" i="3"/>
  <c r="FK133" i="3"/>
  <c r="FK134" i="3"/>
  <c r="FK135" i="3"/>
  <c r="FK136" i="3"/>
  <c r="FK137" i="3"/>
  <c r="FK138" i="3"/>
  <c r="FK139" i="3"/>
  <c r="FK140" i="3"/>
  <c r="FK141" i="3"/>
  <c r="FK142" i="3"/>
  <c r="FK143" i="3"/>
  <c r="FK144" i="3"/>
  <c r="FK145" i="3"/>
  <c r="FK146" i="3"/>
  <c r="FK147" i="3"/>
  <c r="FK148" i="3"/>
  <c r="FK149" i="3"/>
  <c r="FK150" i="3"/>
  <c r="FK151" i="3"/>
  <c r="FK152" i="3"/>
  <c r="FK153" i="3"/>
  <c r="FK154" i="3"/>
  <c r="FK155" i="3"/>
  <c r="FK156" i="3"/>
  <c r="FK157" i="3"/>
  <c r="FK158" i="3"/>
  <c r="FK159" i="3"/>
  <c r="FK160" i="3"/>
  <c r="FK161" i="3"/>
  <c r="FK162" i="3"/>
  <c r="FK163" i="3"/>
  <c r="FK164" i="3"/>
  <c r="FK165" i="3"/>
  <c r="FK166" i="3"/>
  <c r="FK167" i="3"/>
  <c r="FK168" i="3"/>
  <c r="FK169" i="3"/>
  <c r="FK170" i="3"/>
  <c r="FK171" i="3"/>
  <c r="FK172" i="3"/>
  <c r="FK173" i="3"/>
  <c r="FK174" i="3"/>
  <c r="FK175" i="3"/>
  <c r="FK176" i="3"/>
  <c r="FK177" i="3"/>
  <c r="FK178" i="3"/>
  <c r="FK179" i="3"/>
  <c r="FK180" i="3"/>
  <c r="FK181" i="3"/>
  <c r="FK182" i="3"/>
  <c r="FK183" i="3"/>
  <c r="FK184" i="3"/>
  <c r="FK185" i="3"/>
  <c r="FK186" i="3"/>
  <c r="FK187" i="3"/>
  <c r="FK188" i="3"/>
  <c r="FK189" i="3"/>
  <c r="FK190" i="3"/>
  <c r="FK191" i="3"/>
  <c r="FK192" i="3"/>
  <c r="FK193" i="3"/>
  <c r="FK194" i="3"/>
  <c r="FK195" i="3"/>
  <c r="FK196" i="3"/>
  <c r="FK197" i="3"/>
  <c r="FK198" i="3"/>
  <c r="FK199" i="3"/>
  <c r="FK200" i="3"/>
  <c r="FK201" i="3"/>
  <c r="FK202" i="3"/>
  <c r="FK203" i="3"/>
  <c r="FK204" i="3"/>
  <c r="FK205" i="3"/>
  <c r="FK206" i="3"/>
  <c r="FK207" i="3"/>
  <c r="FK208" i="3"/>
  <c r="FK209" i="3"/>
  <c r="FK210" i="3"/>
  <c r="FK211" i="3"/>
  <c r="FK212" i="3"/>
  <c r="FK213" i="3"/>
  <c r="FK214" i="3"/>
  <c r="FK215" i="3"/>
  <c r="FK216" i="3"/>
  <c r="FK217" i="3"/>
  <c r="FK218" i="3"/>
  <c r="FK219" i="3"/>
  <c r="FK220" i="3"/>
  <c r="FK221" i="3"/>
  <c r="FK222" i="3"/>
  <c r="FK223" i="3"/>
  <c r="FK224" i="3"/>
  <c r="FK225" i="3"/>
  <c r="FK226" i="3"/>
  <c r="FK227" i="3"/>
  <c r="FK228" i="3"/>
  <c r="FK229" i="3"/>
  <c r="FK230" i="3"/>
  <c r="FK231" i="3"/>
  <c r="FK232" i="3"/>
  <c r="FK233" i="3"/>
  <c r="FK234" i="3"/>
  <c r="FK235" i="3"/>
  <c r="FK236" i="3"/>
  <c r="FK237" i="3"/>
  <c r="FK238" i="3"/>
  <c r="FK239" i="3"/>
  <c r="FK240" i="3"/>
  <c r="FK241" i="3"/>
  <c r="FK242" i="3"/>
  <c r="FK243" i="3"/>
  <c r="FK244" i="3"/>
  <c r="FK245" i="3"/>
  <c r="FK246" i="3"/>
  <c r="FK247" i="3"/>
  <c r="FK248" i="3"/>
  <c r="FK249" i="3"/>
  <c r="FK250" i="3"/>
  <c r="FK251" i="3"/>
  <c r="FK252" i="3"/>
  <c r="FK253" i="3"/>
  <c r="FK254" i="3"/>
  <c r="FK255" i="3"/>
  <c r="FK256" i="3"/>
  <c r="FK257" i="3"/>
  <c r="FK258" i="3"/>
  <c r="FK259" i="3"/>
  <c r="FK260" i="3"/>
  <c r="FK261" i="3"/>
  <c r="FK262" i="3"/>
  <c r="FK263" i="3"/>
  <c r="FK264" i="3"/>
  <c r="FK265" i="3"/>
  <c r="FK266" i="3"/>
  <c r="FK267" i="3"/>
  <c r="FK268" i="3"/>
  <c r="FK269" i="3"/>
  <c r="FK270" i="3"/>
  <c r="FK271" i="3"/>
  <c r="FK272" i="3"/>
  <c r="FK273" i="3"/>
  <c r="FK274" i="3"/>
  <c r="FK275" i="3"/>
  <c r="FK276" i="3"/>
  <c r="FK277" i="3"/>
  <c r="FK278" i="3"/>
  <c r="FK279" i="3"/>
  <c r="FK280" i="3"/>
  <c r="FK281" i="3"/>
  <c r="FK282" i="3"/>
  <c r="FK283" i="3"/>
  <c r="FK284" i="3"/>
  <c r="FK285" i="3"/>
  <c r="FK286" i="3"/>
  <c r="FK287" i="3"/>
  <c r="FK288" i="3"/>
  <c r="FK289" i="3"/>
  <c r="FK290" i="3"/>
  <c r="FK291" i="3"/>
  <c r="FK292" i="3"/>
  <c r="FK293" i="3"/>
  <c r="FK294" i="3"/>
  <c r="FK295" i="3"/>
  <c r="FK296" i="3"/>
  <c r="FK297" i="3"/>
  <c r="FK298" i="3"/>
  <c r="FK299" i="3"/>
  <c r="FK300" i="3"/>
  <c r="FK301" i="3"/>
  <c r="FK302" i="3"/>
  <c r="FK303" i="3"/>
  <c r="FK304" i="3"/>
  <c r="FK305" i="3"/>
  <c r="FK306" i="3"/>
  <c r="FK307" i="3"/>
  <c r="FK308" i="3"/>
  <c r="FK309" i="3"/>
  <c r="FK310" i="3"/>
  <c r="FK311" i="3"/>
  <c r="FK312" i="3"/>
  <c r="FK313" i="3"/>
  <c r="FK314" i="3"/>
  <c r="FK315" i="3"/>
  <c r="FK316" i="3"/>
  <c r="FK317" i="3"/>
  <c r="FK318" i="3"/>
  <c r="FK319" i="3"/>
  <c r="FK320" i="3"/>
  <c r="FK321" i="3"/>
  <c r="FK322" i="3"/>
  <c r="FK323" i="3"/>
  <c r="FK324" i="3"/>
  <c r="FK325" i="3"/>
  <c r="FK326" i="3"/>
  <c r="FK327" i="3"/>
  <c r="FK328" i="3"/>
  <c r="FK329" i="3"/>
  <c r="FK330" i="3"/>
  <c r="FK331" i="3"/>
  <c r="FK332" i="3"/>
  <c r="FK333" i="3"/>
  <c r="FK334" i="3"/>
  <c r="FK335" i="3"/>
  <c r="FK336" i="3"/>
  <c r="FK337" i="3"/>
  <c r="FK338" i="3"/>
  <c r="FK339" i="3"/>
  <c r="FK340" i="3"/>
  <c r="FK341" i="3"/>
  <c r="FK342" i="3"/>
  <c r="FK343" i="3"/>
  <c r="FK344" i="3"/>
  <c r="FK345" i="3"/>
  <c r="FK346" i="3"/>
  <c r="FK347" i="3"/>
  <c r="FK348" i="3"/>
  <c r="FK349" i="3"/>
  <c r="FK350" i="3"/>
  <c r="FK351" i="3"/>
  <c r="FK352" i="3"/>
  <c r="FK353" i="3"/>
  <c r="FK354" i="3"/>
  <c r="FK355" i="3"/>
  <c r="FK356" i="3"/>
  <c r="FK357" i="3"/>
  <c r="FK358" i="3"/>
  <c r="FK359" i="3"/>
  <c r="FK360" i="3"/>
  <c r="FK361" i="3"/>
  <c r="FK362" i="3"/>
  <c r="FK363" i="3"/>
  <c r="FK364" i="3"/>
  <c r="FK365" i="3"/>
  <c r="FK366" i="3"/>
  <c r="FK367" i="3"/>
  <c r="FK368" i="3"/>
  <c r="FK369" i="3"/>
  <c r="FK370" i="3"/>
  <c r="FK371" i="3"/>
  <c r="FK372" i="3"/>
  <c r="FK373" i="3"/>
  <c r="FK374" i="3"/>
  <c r="FK375" i="3"/>
  <c r="FK376" i="3"/>
  <c r="FK377" i="3"/>
  <c r="FK378" i="3"/>
  <c r="FK379" i="3"/>
  <c r="FK380" i="3"/>
  <c r="FK381" i="3"/>
  <c r="FK382" i="3"/>
  <c r="FK383" i="3"/>
  <c r="FK384" i="3"/>
  <c r="FK385" i="3"/>
  <c r="FK386" i="3"/>
  <c r="FK387" i="3"/>
  <c r="FK388" i="3"/>
  <c r="FK389" i="3"/>
  <c r="FK390" i="3"/>
  <c r="FK391" i="3"/>
  <c r="FK392" i="3"/>
  <c r="FK393" i="3"/>
  <c r="FK394" i="3"/>
  <c r="FK395" i="3"/>
  <c r="FK396" i="3"/>
  <c r="FK397" i="3"/>
  <c r="FK398" i="3"/>
  <c r="FK399" i="3"/>
  <c r="FK400" i="3"/>
  <c r="FK401" i="3"/>
  <c r="FK402" i="3"/>
  <c r="FK403" i="3"/>
  <c r="FK404" i="3"/>
  <c r="FK405" i="3"/>
  <c r="FK406" i="3"/>
  <c r="FK407" i="3"/>
  <c r="FK408" i="3"/>
  <c r="FK409" i="3"/>
  <c r="FK410" i="3"/>
  <c r="FK411" i="3"/>
  <c r="FK412" i="3"/>
  <c r="FK413" i="3"/>
  <c r="FK414" i="3"/>
  <c r="FK415" i="3"/>
  <c r="FK416" i="3"/>
  <c r="FK417" i="3"/>
  <c r="FK418" i="3"/>
  <c r="FK419" i="3"/>
  <c r="FK420" i="3"/>
  <c r="FK421" i="3"/>
  <c r="FK422" i="3"/>
  <c r="FK423" i="3"/>
  <c r="FK424" i="3"/>
  <c r="FK425" i="3"/>
  <c r="FK426" i="3"/>
  <c r="FK427" i="3"/>
  <c r="FK428" i="3"/>
  <c r="FK429" i="3"/>
  <c r="FK430" i="3"/>
  <c r="FK431" i="3"/>
  <c r="FK432" i="3"/>
  <c r="FK433" i="3"/>
  <c r="FK434" i="3"/>
  <c r="FK435" i="3"/>
  <c r="FK436" i="3"/>
  <c r="FK437" i="3"/>
  <c r="FK438" i="3"/>
  <c r="FK439" i="3"/>
  <c r="FK440" i="3"/>
  <c r="FK441" i="3"/>
  <c r="FK442" i="3"/>
  <c r="FK443" i="3"/>
  <c r="FK444" i="3"/>
  <c r="FK445" i="3"/>
  <c r="FK446" i="3"/>
  <c r="FK447" i="3"/>
  <c r="FK448" i="3"/>
  <c r="FK449" i="3"/>
  <c r="FK450" i="3"/>
  <c r="FK451" i="3"/>
  <c r="FK452" i="3"/>
  <c r="FK453" i="3"/>
  <c r="FK454" i="3"/>
  <c r="FK455" i="3"/>
  <c r="FK456" i="3"/>
  <c r="FK457" i="3"/>
  <c r="FK458" i="3"/>
  <c r="FK459" i="3"/>
  <c r="FK460" i="3"/>
  <c r="FK461" i="3"/>
  <c r="FK462" i="3"/>
  <c r="FK463" i="3"/>
  <c r="FK464" i="3"/>
  <c r="FK465" i="3"/>
  <c r="FK466" i="3"/>
  <c r="FK467" i="3"/>
  <c r="FK468" i="3"/>
  <c r="FK469" i="3"/>
  <c r="FK470" i="3"/>
  <c r="FK471" i="3"/>
  <c r="FK472" i="3"/>
  <c r="FK473" i="3"/>
  <c r="FK474" i="3"/>
  <c r="FK475" i="3"/>
  <c r="FK476" i="3"/>
  <c r="FK477" i="3"/>
  <c r="FK478" i="3"/>
  <c r="FK479" i="3"/>
  <c r="FK480" i="3"/>
  <c r="FK481" i="3"/>
  <c r="FK482" i="3"/>
  <c r="FK483" i="3"/>
  <c r="FK484" i="3"/>
  <c r="FK485" i="3"/>
  <c r="FK486" i="3"/>
  <c r="FK487" i="3"/>
  <c r="FK488" i="3"/>
  <c r="FK489" i="3"/>
  <c r="FK490" i="3"/>
  <c r="FK491" i="3"/>
  <c r="FK492" i="3"/>
  <c r="FK493" i="3"/>
  <c r="FK494" i="3"/>
  <c r="FK495" i="3"/>
  <c r="FK496" i="3"/>
  <c r="FK497" i="3"/>
  <c r="FK498" i="3"/>
  <c r="FK499" i="3"/>
  <c r="FK500" i="3"/>
  <c r="FK501" i="3"/>
  <c r="FK502" i="3"/>
  <c r="FK503" i="3"/>
  <c r="FK504" i="3"/>
  <c r="FK505" i="3"/>
  <c r="FK506" i="3"/>
  <c r="FK507" i="3"/>
  <c r="FK508" i="3"/>
  <c r="FK509" i="3"/>
  <c r="FK510" i="3"/>
  <c r="FK511" i="3"/>
  <c r="FK512" i="3"/>
  <c r="FK513" i="3"/>
  <c r="FK514" i="3"/>
  <c r="FK515" i="3"/>
  <c r="FK516" i="3"/>
  <c r="FK517" i="3"/>
  <c r="FK518" i="3"/>
  <c r="FK519" i="3"/>
  <c r="FK520" i="3"/>
  <c r="FK521" i="3"/>
  <c r="FK522" i="3"/>
  <c r="FK523" i="3"/>
  <c r="FK524" i="3"/>
  <c r="FK525" i="3"/>
  <c r="FK526" i="3"/>
  <c r="FK527" i="3"/>
  <c r="FK528" i="3"/>
  <c r="FK529" i="3"/>
  <c r="FK530" i="3"/>
  <c r="FK531" i="3"/>
  <c r="FK532" i="3"/>
  <c r="FK533" i="3"/>
  <c r="FK534" i="3"/>
  <c r="FK535" i="3"/>
  <c r="FK536" i="3"/>
  <c r="FK537" i="3"/>
  <c r="FK538" i="3"/>
  <c r="FK539" i="3"/>
  <c r="FK540" i="3"/>
  <c r="FK541" i="3"/>
  <c r="FK542" i="3"/>
  <c r="FK543" i="3"/>
  <c r="FK544" i="3"/>
  <c r="FK545" i="3"/>
  <c r="FK546" i="3"/>
  <c r="FK547" i="3"/>
  <c r="FK548" i="3"/>
  <c r="FK549" i="3"/>
  <c r="FK550" i="3"/>
  <c r="FK551" i="3"/>
  <c r="FK552" i="3"/>
  <c r="FK553" i="3"/>
  <c r="FK554" i="3"/>
  <c r="FK555" i="3"/>
  <c r="FK556" i="3"/>
  <c r="FK557" i="3"/>
  <c r="FK558" i="3"/>
  <c r="FK559" i="3"/>
  <c r="FK560" i="3"/>
  <c r="FK561" i="3"/>
  <c r="FK562" i="3"/>
  <c r="FK563" i="3"/>
  <c r="FK564" i="3"/>
  <c r="FK565" i="3"/>
  <c r="FK566" i="3"/>
  <c r="FK567" i="3"/>
  <c r="FK568" i="3"/>
  <c r="FK569" i="3"/>
  <c r="FK570" i="3"/>
  <c r="FK571" i="3"/>
  <c r="FK572" i="3"/>
  <c r="FK573" i="3"/>
  <c r="FK574" i="3"/>
  <c r="FK575" i="3"/>
  <c r="FK576" i="3"/>
  <c r="FK577" i="3"/>
  <c r="FK578" i="3"/>
  <c r="FK579" i="3"/>
  <c r="FK580" i="3"/>
  <c r="FK581" i="3"/>
  <c r="FK582" i="3"/>
  <c r="FK583" i="3"/>
  <c r="FK584" i="3"/>
  <c r="FK585" i="3"/>
  <c r="FK586" i="3"/>
  <c r="FK587" i="3"/>
  <c r="FK588" i="3"/>
  <c r="FK589" i="3"/>
  <c r="FK590" i="3"/>
  <c r="FK591" i="3"/>
  <c r="FK592" i="3"/>
  <c r="FK593" i="3"/>
  <c r="FK594" i="3"/>
  <c r="FK595" i="3"/>
  <c r="FK596" i="3"/>
  <c r="FK597" i="3"/>
  <c r="FK598" i="3"/>
  <c r="FK599" i="3"/>
  <c r="FK600" i="3"/>
  <c r="DP9" i="3" l="1"/>
  <c r="DP10" i="3"/>
  <c r="DP11" i="3"/>
  <c r="DP12" i="3"/>
  <c r="DP13" i="3"/>
  <c r="DP14" i="3"/>
  <c r="DP15" i="3"/>
  <c r="DP16" i="3"/>
  <c r="DP17" i="3"/>
  <c r="DP18" i="3"/>
  <c r="DP19" i="3"/>
  <c r="DP20" i="3"/>
  <c r="DP21" i="3"/>
  <c r="DP22" i="3"/>
  <c r="DP23" i="3"/>
  <c r="DP24" i="3"/>
  <c r="DP25" i="3"/>
  <c r="DP26" i="3"/>
  <c r="DP27" i="3"/>
  <c r="DP28" i="3"/>
  <c r="DP29" i="3"/>
  <c r="DP30" i="3"/>
  <c r="DP31" i="3"/>
  <c r="DP32" i="3"/>
  <c r="DP33" i="3"/>
  <c r="DP34" i="3"/>
  <c r="DP35" i="3"/>
  <c r="DP36" i="3"/>
  <c r="DP37" i="3"/>
  <c r="DP38" i="3"/>
  <c r="DP39" i="3"/>
  <c r="DP40" i="3"/>
  <c r="DP41" i="3"/>
  <c r="DP42" i="3"/>
  <c r="DP43" i="3"/>
  <c r="DP44" i="3"/>
  <c r="DP45" i="3"/>
  <c r="DP46" i="3"/>
  <c r="DP47" i="3"/>
  <c r="DP48" i="3"/>
  <c r="DP49" i="3"/>
  <c r="DP50" i="3"/>
  <c r="DP51" i="3"/>
  <c r="DP52" i="3"/>
  <c r="DP53" i="3"/>
  <c r="DP54" i="3"/>
  <c r="DP55" i="3"/>
  <c r="DP56" i="3"/>
  <c r="DP57" i="3"/>
  <c r="DP58" i="3"/>
  <c r="DP59" i="3"/>
  <c r="DP60" i="3"/>
  <c r="DP61" i="3"/>
  <c r="DP62" i="3"/>
  <c r="DP63" i="3"/>
  <c r="DP64" i="3"/>
  <c r="DP65" i="3"/>
  <c r="DP66" i="3"/>
  <c r="DP67" i="3"/>
  <c r="DP68" i="3"/>
  <c r="DP69" i="3"/>
  <c r="DP70" i="3"/>
  <c r="DP71" i="3"/>
  <c r="DP72" i="3"/>
  <c r="DP73" i="3"/>
  <c r="DP74" i="3"/>
  <c r="DP75" i="3"/>
  <c r="DP76" i="3"/>
  <c r="DP77" i="3"/>
  <c r="DP78" i="3"/>
  <c r="DP79" i="3"/>
  <c r="DP80" i="3"/>
  <c r="DP81" i="3"/>
  <c r="DP82" i="3"/>
  <c r="DP83" i="3"/>
  <c r="DP84" i="3"/>
  <c r="DP85" i="3"/>
  <c r="DP86" i="3"/>
  <c r="DP87" i="3"/>
  <c r="DP88" i="3"/>
  <c r="DP89" i="3"/>
  <c r="DP90" i="3"/>
  <c r="DP91" i="3"/>
  <c r="DP92" i="3"/>
  <c r="DP93" i="3"/>
  <c r="DP94" i="3"/>
  <c r="DP95" i="3"/>
  <c r="DP96" i="3"/>
  <c r="DP97" i="3"/>
  <c r="DP98" i="3"/>
  <c r="DP99" i="3"/>
  <c r="DP100" i="3"/>
  <c r="DP101" i="3"/>
  <c r="DP102" i="3"/>
  <c r="DP103" i="3"/>
  <c r="DP104" i="3"/>
  <c r="DP105" i="3"/>
  <c r="DP106" i="3"/>
  <c r="DP107" i="3"/>
  <c r="DP108" i="3"/>
  <c r="DP109" i="3"/>
  <c r="DP110" i="3"/>
  <c r="DP111" i="3"/>
  <c r="DP112" i="3"/>
  <c r="DP113" i="3"/>
  <c r="DP114" i="3"/>
  <c r="DP115" i="3"/>
  <c r="DP116" i="3"/>
  <c r="DP117" i="3"/>
  <c r="DP118" i="3"/>
  <c r="DP119" i="3"/>
  <c r="DP120" i="3"/>
  <c r="DP121" i="3"/>
  <c r="DP122" i="3"/>
  <c r="DP123" i="3"/>
  <c r="DP124" i="3"/>
  <c r="DP125" i="3"/>
  <c r="DP126" i="3"/>
  <c r="DP127" i="3"/>
  <c r="DP128" i="3"/>
  <c r="DP129" i="3"/>
  <c r="DP130" i="3"/>
  <c r="DP131" i="3"/>
  <c r="DP132" i="3"/>
  <c r="DP133" i="3"/>
  <c r="DP134" i="3"/>
  <c r="DP135" i="3"/>
  <c r="DP136" i="3"/>
  <c r="DP137" i="3"/>
  <c r="DP138" i="3"/>
  <c r="DP139" i="3"/>
  <c r="DP140" i="3"/>
  <c r="DP141" i="3"/>
  <c r="DP142" i="3"/>
  <c r="DP143" i="3"/>
  <c r="DP144" i="3"/>
  <c r="DP145" i="3"/>
  <c r="DP146" i="3"/>
  <c r="DP147" i="3"/>
  <c r="DP148" i="3"/>
  <c r="DP149" i="3"/>
  <c r="DP150" i="3"/>
  <c r="DP151" i="3"/>
  <c r="DP152" i="3"/>
  <c r="DP153" i="3"/>
  <c r="DP154" i="3"/>
  <c r="DP155" i="3"/>
  <c r="DP156" i="3"/>
  <c r="DP157" i="3"/>
  <c r="DP158" i="3"/>
  <c r="DP159" i="3"/>
  <c r="DP160" i="3"/>
  <c r="DP161" i="3"/>
  <c r="DP162" i="3"/>
  <c r="DP163" i="3"/>
  <c r="DP164" i="3"/>
  <c r="DP165" i="3"/>
  <c r="DP166" i="3"/>
  <c r="DP167" i="3"/>
  <c r="DP168" i="3"/>
  <c r="DP169" i="3"/>
  <c r="DP170" i="3"/>
  <c r="DP171" i="3"/>
  <c r="DP172" i="3"/>
  <c r="DP173" i="3"/>
  <c r="DP174" i="3"/>
  <c r="DP175" i="3"/>
  <c r="DP176" i="3"/>
  <c r="DP177" i="3"/>
  <c r="DP178" i="3"/>
  <c r="DP179" i="3"/>
  <c r="DP180" i="3"/>
  <c r="DP181" i="3"/>
  <c r="DP182" i="3"/>
  <c r="DP183" i="3"/>
  <c r="DP184" i="3"/>
  <c r="DP185" i="3"/>
  <c r="DP186" i="3"/>
  <c r="DP187" i="3"/>
  <c r="DP188" i="3"/>
  <c r="DP189" i="3"/>
  <c r="DP190" i="3"/>
  <c r="DP191" i="3"/>
  <c r="DP192" i="3"/>
  <c r="DP193" i="3"/>
  <c r="DP194" i="3"/>
  <c r="DP195" i="3"/>
  <c r="DP196" i="3"/>
  <c r="DP197" i="3"/>
  <c r="DP198" i="3"/>
  <c r="DP199" i="3"/>
  <c r="DP200" i="3"/>
  <c r="DP201" i="3"/>
  <c r="DP202" i="3"/>
  <c r="DP203" i="3"/>
  <c r="DP204" i="3"/>
  <c r="DP205" i="3"/>
  <c r="DP206" i="3"/>
  <c r="DP207" i="3"/>
  <c r="DP208" i="3"/>
  <c r="DP209" i="3"/>
  <c r="DP210" i="3"/>
  <c r="DP211" i="3"/>
  <c r="DP212" i="3"/>
  <c r="DP213" i="3"/>
  <c r="DP214" i="3"/>
  <c r="DP215" i="3"/>
  <c r="DP216" i="3"/>
  <c r="DP217" i="3"/>
  <c r="DP218" i="3"/>
  <c r="DP219" i="3"/>
  <c r="DP220" i="3"/>
  <c r="DP221" i="3"/>
  <c r="DP222" i="3"/>
  <c r="DP223" i="3"/>
  <c r="DP224" i="3"/>
  <c r="DP225" i="3"/>
  <c r="DP226" i="3"/>
  <c r="DP227" i="3"/>
  <c r="DP228" i="3"/>
  <c r="DP229" i="3"/>
  <c r="DP230" i="3"/>
  <c r="DP231" i="3"/>
  <c r="DP232" i="3"/>
  <c r="DP233" i="3"/>
  <c r="DP234" i="3"/>
  <c r="DP235" i="3"/>
  <c r="DP236" i="3"/>
  <c r="DP237" i="3"/>
  <c r="DP238" i="3"/>
  <c r="DP239" i="3"/>
  <c r="DP240" i="3"/>
  <c r="DP241" i="3"/>
  <c r="DP242" i="3"/>
  <c r="DP243" i="3"/>
  <c r="DP244" i="3"/>
  <c r="DP245" i="3"/>
  <c r="DP246" i="3"/>
  <c r="DP247" i="3"/>
  <c r="DP248" i="3"/>
  <c r="DP249" i="3"/>
  <c r="DP250" i="3"/>
  <c r="DP251" i="3"/>
  <c r="DP252" i="3"/>
  <c r="DP253" i="3"/>
  <c r="DP254" i="3"/>
  <c r="DP255" i="3"/>
  <c r="DP256" i="3"/>
  <c r="DP257" i="3"/>
  <c r="DP258" i="3"/>
  <c r="DP259" i="3"/>
  <c r="DP260" i="3"/>
  <c r="DP261" i="3"/>
  <c r="DP262" i="3"/>
  <c r="DP263" i="3"/>
  <c r="DP264" i="3"/>
  <c r="DP265" i="3"/>
  <c r="DP266" i="3"/>
  <c r="DP267" i="3"/>
  <c r="DP268" i="3"/>
  <c r="DP269" i="3"/>
  <c r="DP270" i="3"/>
  <c r="DP271" i="3"/>
  <c r="DP272" i="3"/>
  <c r="DP273" i="3"/>
  <c r="DP274" i="3"/>
  <c r="DP275" i="3"/>
  <c r="DP276" i="3"/>
  <c r="DP277" i="3"/>
  <c r="DP278" i="3"/>
  <c r="DP279" i="3"/>
  <c r="DP280" i="3"/>
  <c r="DP281" i="3"/>
  <c r="DP282" i="3"/>
  <c r="DP283" i="3"/>
  <c r="DP284" i="3"/>
  <c r="DP285" i="3"/>
  <c r="DP286" i="3"/>
  <c r="DP287" i="3"/>
  <c r="DP288" i="3"/>
  <c r="DP289" i="3"/>
  <c r="DP290" i="3"/>
  <c r="DP291" i="3"/>
  <c r="DP292" i="3"/>
  <c r="DP293" i="3"/>
  <c r="DP294" i="3"/>
  <c r="DP295" i="3"/>
  <c r="DP296" i="3"/>
  <c r="DP297" i="3"/>
  <c r="DP298" i="3"/>
  <c r="DP299" i="3"/>
  <c r="DP300" i="3"/>
  <c r="DP301" i="3"/>
  <c r="DP302" i="3"/>
  <c r="DP303" i="3"/>
  <c r="DP304" i="3"/>
  <c r="DP305" i="3"/>
  <c r="DP306" i="3"/>
  <c r="DP307" i="3"/>
  <c r="DP308" i="3"/>
  <c r="DP309" i="3"/>
  <c r="DP310" i="3"/>
  <c r="DP311" i="3"/>
  <c r="DP312" i="3"/>
  <c r="DP313" i="3"/>
  <c r="DP314" i="3"/>
  <c r="DP315" i="3"/>
  <c r="DP316" i="3"/>
  <c r="DP317" i="3"/>
  <c r="DP318" i="3"/>
  <c r="DP319" i="3"/>
  <c r="DP320" i="3"/>
  <c r="DP321" i="3"/>
  <c r="DP322" i="3"/>
  <c r="DP323" i="3"/>
  <c r="DP324" i="3"/>
  <c r="DP325" i="3"/>
  <c r="DP326" i="3"/>
  <c r="DP327" i="3"/>
  <c r="DP328" i="3"/>
  <c r="DP329" i="3"/>
  <c r="DP330" i="3"/>
  <c r="DP331" i="3"/>
  <c r="DP332" i="3"/>
  <c r="DP333" i="3"/>
  <c r="DP334" i="3"/>
  <c r="DP335" i="3"/>
  <c r="DP336" i="3"/>
  <c r="DP337" i="3"/>
  <c r="DP338" i="3"/>
  <c r="DP339" i="3"/>
  <c r="DP340" i="3"/>
  <c r="DP341" i="3"/>
  <c r="DP342" i="3"/>
  <c r="DP343" i="3"/>
  <c r="DP344" i="3"/>
  <c r="DP345" i="3"/>
  <c r="DP346" i="3"/>
  <c r="DP347" i="3"/>
  <c r="DP348" i="3"/>
  <c r="DP349" i="3"/>
  <c r="DP350" i="3"/>
  <c r="DP351" i="3"/>
  <c r="DP352" i="3"/>
  <c r="DP353" i="3"/>
  <c r="DP354" i="3"/>
  <c r="DP355" i="3"/>
  <c r="DP356" i="3"/>
  <c r="DP357" i="3"/>
  <c r="DP358" i="3"/>
  <c r="DP359" i="3"/>
  <c r="DP360" i="3"/>
  <c r="DP361" i="3"/>
  <c r="DP362" i="3"/>
  <c r="DP363" i="3"/>
  <c r="DP364" i="3"/>
  <c r="DP365" i="3"/>
  <c r="DP366" i="3"/>
  <c r="DP367" i="3"/>
  <c r="DP368" i="3"/>
  <c r="DP369" i="3"/>
  <c r="DP370" i="3"/>
  <c r="DP371" i="3"/>
  <c r="DP372" i="3"/>
  <c r="DP373" i="3"/>
  <c r="DP374" i="3"/>
  <c r="DP375" i="3"/>
  <c r="DP376" i="3"/>
  <c r="DP377" i="3"/>
  <c r="DP378" i="3"/>
  <c r="DP379" i="3"/>
  <c r="DP380" i="3"/>
  <c r="DP381" i="3"/>
  <c r="DP382" i="3"/>
  <c r="DP383" i="3"/>
  <c r="DP384" i="3"/>
  <c r="DP385" i="3"/>
  <c r="DP386" i="3"/>
  <c r="DP387" i="3"/>
  <c r="DP388" i="3"/>
  <c r="DP389" i="3"/>
  <c r="DP390" i="3"/>
  <c r="DP391" i="3"/>
  <c r="DP392" i="3"/>
  <c r="DP393" i="3"/>
  <c r="DP394" i="3"/>
  <c r="DP395" i="3"/>
  <c r="DP396" i="3"/>
  <c r="DP397" i="3"/>
  <c r="DP398" i="3"/>
  <c r="DP399" i="3"/>
  <c r="DP400" i="3"/>
  <c r="DP401" i="3"/>
  <c r="DP402" i="3"/>
  <c r="DP403" i="3"/>
  <c r="DP404" i="3"/>
  <c r="DP405" i="3"/>
  <c r="DP406" i="3"/>
  <c r="DP407" i="3"/>
  <c r="DP408" i="3"/>
  <c r="DP409" i="3"/>
  <c r="DP410" i="3"/>
  <c r="DP411" i="3"/>
  <c r="DP412" i="3"/>
  <c r="DP413" i="3"/>
  <c r="DP414" i="3"/>
  <c r="DP415" i="3"/>
  <c r="DP416" i="3"/>
  <c r="DP417" i="3"/>
  <c r="DP418" i="3"/>
  <c r="DP419" i="3"/>
  <c r="DP420" i="3"/>
  <c r="DP421" i="3"/>
  <c r="DP422" i="3"/>
  <c r="DP423" i="3"/>
  <c r="DP424" i="3"/>
  <c r="DP425" i="3"/>
  <c r="DP426" i="3"/>
  <c r="DP427" i="3"/>
  <c r="DP428" i="3"/>
  <c r="DP429" i="3"/>
  <c r="DP430" i="3"/>
  <c r="DP431" i="3"/>
  <c r="DP432" i="3"/>
  <c r="DP433" i="3"/>
  <c r="DP434" i="3"/>
  <c r="DP435" i="3"/>
  <c r="DP436" i="3"/>
  <c r="DP437" i="3"/>
  <c r="DP438" i="3"/>
  <c r="DP439" i="3"/>
  <c r="DP440" i="3"/>
  <c r="DP441" i="3"/>
  <c r="DP442" i="3"/>
  <c r="DP443" i="3"/>
  <c r="DP444" i="3"/>
  <c r="DP445" i="3"/>
  <c r="DP446" i="3"/>
  <c r="DP447" i="3"/>
  <c r="DP448" i="3"/>
  <c r="DP449" i="3"/>
  <c r="DP450" i="3"/>
  <c r="DP451" i="3"/>
  <c r="DP452" i="3"/>
  <c r="DP453" i="3"/>
  <c r="DP454" i="3"/>
  <c r="DP455" i="3"/>
  <c r="DP456" i="3"/>
  <c r="DP457" i="3"/>
  <c r="DP458" i="3"/>
  <c r="DP459" i="3"/>
  <c r="DP460" i="3"/>
  <c r="DP461" i="3"/>
  <c r="DP462" i="3"/>
  <c r="DP463" i="3"/>
  <c r="DP464" i="3"/>
  <c r="DP465" i="3"/>
  <c r="DP466" i="3"/>
  <c r="DP467" i="3"/>
  <c r="DP468" i="3"/>
  <c r="DP469" i="3"/>
  <c r="DP470" i="3"/>
  <c r="DP471" i="3"/>
  <c r="DP472" i="3"/>
  <c r="DP473" i="3"/>
  <c r="DP474" i="3"/>
  <c r="DP475" i="3"/>
  <c r="DP476" i="3"/>
  <c r="DP477" i="3"/>
  <c r="DP478" i="3"/>
  <c r="DP479" i="3"/>
  <c r="DP480" i="3"/>
  <c r="DP481" i="3"/>
  <c r="DP482" i="3"/>
  <c r="DP483" i="3"/>
  <c r="DP484" i="3"/>
  <c r="DP485" i="3"/>
  <c r="DP486" i="3"/>
  <c r="DP487" i="3"/>
  <c r="DP488" i="3"/>
  <c r="DP489" i="3"/>
  <c r="DP490" i="3"/>
  <c r="DP491" i="3"/>
  <c r="DP492" i="3"/>
  <c r="DP493" i="3"/>
  <c r="DP494" i="3"/>
  <c r="DP495" i="3"/>
  <c r="DP496" i="3"/>
  <c r="DP497" i="3"/>
  <c r="DP498" i="3"/>
  <c r="DP499" i="3"/>
  <c r="DP500" i="3"/>
  <c r="DP501" i="3"/>
  <c r="DP502" i="3"/>
  <c r="DP503" i="3"/>
  <c r="DP504" i="3"/>
  <c r="DP505" i="3"/>
  <c r="DP506" i="3"/>
  <c r="DP507" i="3"/>
  <c r="DP508" i="3"/>
  <c r="DP509" i="3"/>
  <c r="DP510" i="3"/>
  <c r="DP511" i="3"/>
  <c r="DP512" i="3"/>
  <c r="DP513" i="3"/>
  <c r="DP514" i="3"/>
  <c r="DP515" i="3"/>
  <c r="DP516" i="3"/>
  <c r="DP517" i="3"/>
  <c r="DP518" i="3"/>
  <c r="DP519" i="3"/>
  <c r="DP520" i="3"/>
  <c r="DP521" i="3"/>
  <c r="DP522" i="3"/>
  <c r="DP523" i="3"/>
  <c r="DP524" i="3"/>
  <c r="DP525" i="3"/>
  <c r="DP526" i="3"/>
  <c r="DP527" i="3"/>
  <c r="DP528" i="3"/>
  <c r="DP529" i="3"/>
  <c r="DP530" i="3"/>
  <c r="DP531" i="3"/>
  <c r="DP532" i="3"/>
  <c r="DP533" i="3"/>
  <c r="DP534" i="3"/>
  <c r="DP535" i="3"/>
  <c r="DP536" i="3"/>
  <c r="DP537" i="3"/>
  <c r="DP538" i="3"/>
  <c r="DP539" i="3"/>
  <c r="DP540" i="3"/>
  <c r="DP541" i="3"/>
  <c r="DP542" i="3"/>
  <c r="DP543" i="3"/>
  <c r="DP544" i="3"/>
  <c r="DP545" i="3"/>
  <c r="DP546" i="3"/>
  <c r="DP547" i="3"/>
  <c r="DP548" i="3"/>
  <c r="DP549" i="3"/>
  <c r="DP550" i="3"/>
  <c r="DP551" i="3"/>
  <c r="DP552" i="3"/>
  <c r="DP553" i="3"/>
  <c r="DP554" i="3"/>
  <c r="DP555" i="3"/>
  <c r="DP556" i="3"/>
  <c r="DP557" i="3"/>
  <c r="DP558" i="3"/>
  <c r="DP559" i="3"/>
  <c r="DP560" i="3"/>
  <c r="DP561" i="3"/>
  <c r="DP562" i="3"/>
  <c r="DP563" i="3"/>
  <c r="DP564" i="3"/>
  <c r="DP565" i="3"/>
  <c r="DP566" i="3"/>
  <c r="DP567" i="3"/>
  <c r="DP568" i="3"/>
  <c r="DP569" i="3"/>
  <c r="DP570" i="3"/>
  <c r="DP571" i="3"/>
  <c r="DP572" i="3"/>
  <c r="DP573" i="3"/>
  <c r="DP574" i="3"/>
  <c r="DP575" i="3"/>
  <c r="DP576" i="3"/>
  <c r="DP577" i="3"/>
  <c r="DP578" i="3"/>
  <c r="DP579" i="3"/>
  <c r="DP580" i="3"/>
  <c r="DP581" i="3"/>
  <c r="DP582" i="3"/>
  <c r="DP583" i="3"/>
  <c r="DP584" i="3"/>
  <c r="DP585" i="3"/>
  <c r="DP586" i="3"/>
  <c r="DP587" i="3"/>
  <c r="DP588" i="3"/>
  <c r="DP589" i="3"/>
  <c r="DP590" i="3"/>
  <c r="DP591" i="3"/>
  <c r="DP592" i="3"/>
  <c r="DP593" i="3"/>
  <c r="DP594" i="3"/>
  <c r="DP595" i="3"/>
  <c r="DP596" i="3"/>
  <c r="DP597" i="3"/>
  <c r="DP598" i="3"/>
  <c r="DP599" i="3"/>
  <c r="DP600" i="3"/>
  <c r="DQ9" i="3"/>
  <c r="DQ10" i="3"/>
  <c r="DQ11" i="3"/>
  <c r="DQ12" i="3"/>
  <c r="DQ13" i="3"/>
  <c r="DQ14" i="3"/>
  <c r="DQ15" i="3"/>
  <c r="DQ16" i="3"/>
  <c r="DQ17" i="3"/>
  <c r="DQ18" i="3"/>
  <c r="DQ19" i="3"/>
  <c r="DQ20" i="3"/>
  <c r="DQ21" i="3"/>
  <c r="DQ22" i="3"/>
  <c r="DQ23" i="3"/>
  <c r="DQ24" i="3"/>
  <c r="DQ25" i="3"/>
  <c r="DQ26" i="3"/>
  <c r="DQ27" i="3"/>
  <c r="DQ28" i="3"/>
  <c r="DQ29" i="3"/>
  <c r="DQ30" i="3"/>
  <c r="DQ31" i="3"/>
  <c r="DQ32" i="3"/>
  <c r="DQ33" i="3"/>
  <c r="DQ34" i="3"/>
  <c r="DQ35" i="3"/>
  <c r="DQ36" i="3"/>
  <c r="DQ37" i="3"/>
  <c r="DQ38" i="3"/>
  <c r="DQ39" i="3"/>
  <c r="DQ40" i="3"/>
  <c r="DQ41" i="3"/>
  <c r="DQ42" i="3"/>
  <c r="DQ43" i="3"/>
  <c r="DQ44" i="3"/>
  <c r="DQ45" i="3"/>
  <c r="DQ46" i="3"/>
  <c r="DQ47" i="3"/>
  <c r="DQ48" i="3"/>
  <c r="DQ49" i="3"/>
  <c r="DQ50" i="3"/>
  <c r="DQ51" i="3"/>
  <c r="DQ52" i="3"/>
  <c r="DQ53" i="3"/>
  <c r="DQ54" i="3"/>
  <c r="DQ55" i="3"/>
  <c r="DQ56" i="3"/>
  <c r="DQ57" i="3"/>
  <c r="DQ58" i="3"/>
  <c r="DQ59" i="3"/>
  <c r="DQ60" i="3"/>
  <c r="DQ61" i="3"/>
  <c r="DQ62" i="3"/>
  <c r="DQ63" i="3"/>
  <c r="DQ64" i="3"/>
  <c r="DQ65" i="3"/>
  <c r="DQ66" i="3"/>
  <c r="DQ67" i="3"/>
  <c r="DQ68" i="3"/>
  <c r="DQ69" i="3"/>
  <c r="DQ70" i="3"/>
  <c r="DQ71" i="3"/>
  <c r="DQ72" i="3"/>
  <c r="DQ73" i="3"/>
  <c r="DQ74" i="3"/>
  <c r="DQ75" i="3"/>
  <c r="DQ76" i="3"/>
  <c r="DQ77" i="3"/>
  <c r="DQ78" i="3"/>
  <c r="DQ79" i="3"/>
  <c r="DQ80" i="3"/>
  <c r="DQ81" i="3"/>
  <c r="DQ82" i="3"/>
  <c r="DQ83" i="3"/>
  <c r="DQ84" i="3"/>
  <c r="DQ85" i="3"/>
  <c r="DQ86" i="3"/>
  <c r="DQ87" i="3"/>
  <c r="DQ88" i="3"/>
  <c r="DQ89" i="3"/>
  <c r="DQ90" i="3"/>
  <c r="DQ91" i="3"/>
  <c r="DQ92" i="3"/>
  <c r="DQ93" i="3"/>
  <c r="DQ94" i="3"/>
  <c r="DQ95" i="3"/>
  <c r="DQ96" i="3"/>
  <c r="DQ97" i="3"/>
  <c r="DQ98" i="3"/>
  <c r="DQ99" i="3"/>
  <c r="DQ100" i="3"/>
  <c r="DQ101" i="3"/>
  <c r="DQ102" i="3"/>
  <c r="DQ103" i="3"/>
  <c r="DQ104" i="3"/>
  <c r="DQ105" i="3"/>
  <c r="DQ106" i="3"/>
  <c r="DQ107" i="3"/>
  <c r="DQ108" i="3"/>
  <c r="DQ109" i="3"/>
  <c r="DQ110" i="3"/>
  <c r="DQ111" i="3"/>
  <c r="DQ112" i="3"/>
  <c r="DQ113" i="3"/>
  <c r="DQ114" i="3"/>
  <c r="DQ115" i="3"/>
  <c r="DQ116" i="3"/>
  <c r="DQ117" i="3"/>
  <c r="DQ118" i="3"/>
  <c r="DQ119" i="3"/>
  <c r="DQ120" i="3"/>
  <c r="DQ121" i="3"/>
  <c r="DQ122" i="3"/>
  <c r="DQ123" i="3"/>
  <c r="DQ124" i="3"/>
  <c r="DQ125" i="3"/>
  <c r="DQ126" i="3"/>
  <c r="DQ127" i="3"/>
  <c r="DQ128" i="3"/>
  <c r="DQ129" i="3"/>
  <c r="DQ130" i="3"/>
  <c r="DQ131" i="3"/>
  <c r="DQ132" i="3"/>
  <c r="DQ133" i="3"/>
  <c r="DQ134" i="3"/>
  <c r="DQ135" i="3"/>
  <c r="DQ136" i="3"/>
  <c r="DQ137" i="3"/>
  <c r="DQ138" i="3"/>
  <c r="DQ139" i="3"/>
  <c r="DQ140" i="3"/>
  <c r="DQ141" i="3"/>
  <c r="DQ142" i="3"/>
  <c r="DQ143" i="3"/>
  <c r="DQ144" i="3"/>
  <c r="DQ145" i="3"/>
  <c r="DQ146" i="3"/>
  <c r="DQ147" i="3"/>
  <c r="DQ148" i="3"/>
  <c r="DQ149" i="3"/>
  <c r="DQ150" i="3"/>
  <c r="DQ151" i="3"/>
  <c r="DQ152" i="3"/>
  <c r="DQ153" i="3"/>
  <c r="DQ154" i="3"/>
  <c r="DQ155" i="3"/>
  <c r="DQ156" i="3"/>
  <c r="DQ157" i="3"/>
  <c r="DQ158" i="3"/>
  <c r="DQ159" i="3"/>
  <c r="DQ160" i="3"/>
  <c r="DQ161" i="3"/>
  <c r="DQ162" i="3"/>
  <c r="DQ163" i="3"/>
  <c r="DQ164" i="3"/>
  <c r="DQ165" i="3"/>
  <c r="DQ166" i="3"/>
  <c r="DQ167" i="3"/>
  <c r="DQ168" i="3"/>
  <c r="DQ169" i="3"/>
  <c r="DQ170" i="3"/>
  <c r="DQ171" i="3"/>
  <c r="DQ172" i="3"/>
  <c r="DQ173" i="3"/>
  <c r="DQ174" i="3"/>
  <c r="DQ175" i="3"/>
  <c r="DQ176" i="3"/>
  <c r="DQ177" i="3"/>
  <c r="DQ178" i="3"/>
  <c r="DQ179" i="3"/>
  <c r="DQ180" i="3"/>
  <c r="DQ181" i="3"/>
  <c r="DQ182" i="3"/>
  <c r="DQ183" i="3"/>
  <c r="DQ184" i="3"/>
  <c r="DQ185" i="3"/>
  <c r="DQ186" i="3"/>
  <c r="DQ187" i="3"/>
  <c r="DQ188" i="3"/>
  <c r="DQ189" i="3"/>
  <c r="DQ190" i="3"/>
  <c r="DQ191" i="3"/>
  <c r="DQ192" i="3"/>
  <c r="DQ193" i="3"/>
  <c r="DQ194" i="3"/>
  <c r="DQ195" i="3"/>
  <c r="DQ196" i="3"/>
  <c r="DQ197" i="3"/>
  <c r="DQ198" i="3"/>
  <c r="DQ199" i="3"/>
  <c r="DQ200" i="3"/>
  <c r="DQ201" i="3"/>
  <c r="DQ202" i="3"/>
  <c r="DQ203" i="3"/>
  <c r="DQ204" i="3"/>
  <c r="DQ205" i="3"/>
  <c r="DQ206" i="3"/>
  <c r="DQ207" i="3"/>
  <c r="DQ208" i="3"/>
  <c r="DQ209" i="3"/>
  <c r="DQ210" i="3"/>
  <c r="DQ211" i="3"/>
  <c r="DQ212" i="3"/>
  <c r="DQ213" i="3"/>
  <c r="DQ214" i="3"/>
  <c r="DQ215" i="3"/>
  <c r="DQ216" i="3"/>
  <c r="DQ217" i="3"/>
  <c r="DQ218" i="3"/>
  <c r="DQ219" i="3"/>
  <c r="DQ220" i="3"/>
  <c r="DQ221" i="3"/>
  <c r="DQ222" i="3"/>
  <c r="DQ223" i="3"/>
  <c r="DQ224" i="3"/>
  <c r="DQ225" i="3"/>
  <c r="DQ226" i="3"/>
  <c r="DQ227" i="3"/>
  <c r="DQ228" i="3"/>
  <c r="DQ229" i="3"/>
  <c r="DQ230" i="3"/>
  <c r="DQ231" i="3"/>
  <c r="DQ232" i="3"/>
  <c r="DQ233" i="3"/>
  <c r="DQ234" i="3"/>
  <c r="DQ235" i="3"/>
  <c r="DQ236" i="3"/>
  <c r="DQ237" i="3"/>
  <c r="DQ238" i="3"/>
  <c r="DQ239" i="3"/>
  <c r="DQ240" i="3"/>
  <c r="DQ241" i="3"/>
  <c r="DQ242" i="3"/>
  <c r="DQ243" i="3"/>
  <c r="DQ244" i="3"/>
  <c r="DQ245" i="3"/>
  <c r="DQ246" i="3"/>
  <c r="DQ247" i="3"/>
  <c r="DQ248" i="3"/>
  <c r="DQ249" i="3"/>
  <c r="DQ250" i="3"/>
  <c r="DQ251" i="3"/>
  <c r="DQ252" i="3"/>
  <c r="DQ253" i="3"/>
  <c r="DQ254" i="3"/>
  <c r="DQ255" i="3"/>
  <c r="DQ256" i="3"/>
  <c r="DQ257" i="3"/>
  <c r="DQ258" i="3"/>
  <c r="DQ259" i="3"/>
  <c r="DQ260" i="3"/>
  <c r="DQ261" i="3"/>
  <c r="DQ262" i="3"/>
  <c r="DQ263" i="3"/>
  <c r="DQ264" i="3"/>
  <c r="DQ265" i="3"/>
  <c r="DQ266" i="3"/>
  <c r="DQ267" i="3"/>
  <c r="DQ268" i="3"/>
  <c r="DQ269" i="3"/>
  <c r="DQ270" i="3"/>
  <c r="DQ271" i="3"/>
  <c r="DQ272" i="3"/>
  <c r="DQ273" i="3"/>
  <c r="DQ274" i="3"/>
  <c r="DQ275" i="3"/>
  <c r="DQ276" i="3"/>
  <c r="DQ277" i="3"/>
  <c r="DQ278" i="3"/>
  <c r="DQ279" i="3"/>
  <c r="DQ280" i="3"/>
  <c r="DQ281" i="3"/>
  <c r="DQ282" i="3"/>
  <c r="DQ283" i="3"/>
  <c r="DQ284" i="3"/>
  <c r="DQ285" i="3"/>
  <c r="DQ286" i="3"/>
  <c r="DQ287" i="3"/>
  <c r="DQ288" i="3"/>
  <c r="DQ289" i="3"/>
  <c r="DQ290" i="3"/>
  <c r="DQ291" i="3"/>
  <c r="DQ292" i="3"/>
  <c r="DQ293" i="3"/>
  <c r="DQ294" i="3"/>
  <c r="DQ295" i="3"/>
  <c r="DQ296" i="3"/>
  <c r="DQ297" i="3"/>
  <c r="DQ298" i="3"/>
  <c r="DQ299" i="3"/>
  <c r="DQ300" i="3"/>
  <c r="DQ301" i="3"/>
  <c r="DQ302" i="3"/>
  <c r="DQ303" i="3"/>
  <c r="DQ304" i="3"/>
  <c r="DQ305" i="3"/>
  <c r="DQ306" i="3"/>
  <c r="DQ307" i="3"/>
  <c r="DQ308" i="3"/>
  <c r="DQ309" i="3"/>
  <c r="DQ310" i="3"/>
  <c r="DQ311" i="3"/>
  <c r="DQ312" i="3"/>
  <c r="DQ313" i="3"/>
  <c r="DQ314" i="3"/>
  <c r="DQ315" i="3"/>
  <c r="DQ316" i="3"/>
  <c r="DQ317" i="3"/>
  <c r="DQ318" i="3"/>
  <c r="DQ319" i="3"/>
  <c r="DQ320" i="3"/>
  <c r="DQ321" i="3"/>
  <c r="DQ322" i="3"/>
  <c r="DQ323" i="3"/>
  <c r="DQ324" i="3"/>
  <c r="DQ325" i="3"/>
  <c r="DQ326" i="3"/>
  <c r="DQ327" i="3"/>
  <c r="DQ328" i="3"/>
  <c r="DQ329" i="3"/>
  <c r="DQ330" i="3"/>
  <c r="DQ331" i="3"/>
  <c r="DQ332" i="3"/>
  <c r="DQ333" i="3"/>
  <c r="DQ334" i="3"/>
  <c r="DQ335" i="3"/>
  <c r="DQ336" i="3"/>
  <c r="DQ337" i="3"/>
  <c r="DQ338" i="3"/>
  <c r="DQ339" i="3"/>
  <c r="DQ340" i="3"/>
  <c r="DQ341" i="3"/>
  <c r="DQ342" i="3"/>
  <c r="DQ343" i="3"/>
  <c r="DQ344" i="3"/>
  <c r="DQ345" i="3"/>
  <c r="DQ346" i="3"/>
  <c r="DQ347" i="3"/>
  <c r="DQ348" i="3"/>
  <c r="DQ349" i="3"/>
  <c r="DQ350" i="3"/>
  <c r="DQ351" i="3"/>
  <c r="DQ352" i="3"/>
  <c r="DQ353" i="3"/>
  <c r="DQ354" i="3"/>
  <c r="DQ355" i="3"/>
  <c r="DQ356" i="3"/>
  <c r="DQ357" i="3"/>
  <c r="DQ358" i="3"/>
  <c r="DQ359" i="3"/>
  <c r="DQ360" i="3"/>
  <c r="DQ361" i="3"/>
  <c r="DQ362" i="3"/>
  <c r="DQ363" i="3"/>
  <c r="DQ364" i="3"/>
  <c r="DQ365" i="3"/>
  <c r="DQ366" i="3"/>
  <c r="DQ367" i="3"/>
  <c r="DQ368" i="3"/>
  <c r="DQ369" i="3"/>
  <c r="DQ370" i="3"/>
  <c r="DQ371" i="3"/>
  <c r="DQ372" i="3"/>
  <c r="DQ373" i="3"/>
  <c r="DQ374" i="3"/>
  <c r="DQ375" i="3"/>
  <c r="DQ376" i="3"/>
  <c r="DQ377" i="3"/>
  <c r="DQ378" i="3"/>
  <c r="DQ379" i="3"/>
  <c r="DQ380" i="3"/>
  <c r="DQ381" i="3"/>
  <c r="DQ382" i="3"/>
  <c r="DQ383" i="3"/>
  <c r="DQ384" i="3"/>
  <c r="DQ385" i="3"/>
  <c r="DQ386" i="3"/>
  <c r="DQ387" i="3"/>
  <c r="DQ388" i="3"/>
  <c r="DQ389" i="3"/>
  <c r="DQ390" i="3"/>
  <c r="DQ391" i="3"/>
  <c r="DQ392" i="3"/>
  <c r="DQ393" i="3"/>
  <c r="DQ394" i="3"/>
  <c r="DQ395" i="3"/>
  <c r="DQ396" i="3"/>
  <c r="DQ397" i="3"/>
  <c r="DQ398" i="3"/>
  <c r="DQ399" i="3"/>
  <c r="DQ400" i="3"/>
  <c r="DQ401" i="3"/>
  <c r="DQ402" i="3"/>
  <c r="DQ403" i="3"/>
  <c r="DQ404" i="3"/>
  <c r="DQ405" i="3"/>
  <c r="DQ406" i="3"/>
  <c r="DQ407" i="3"/>
  <c r="DQ408" i="3"/>
  <c r="DQ409" i="3"/>
  <c r="DQ410" i="3"/>
  <c r="DQ411" i="3"/>
  <c r="DQ412" i="3"/>
  <c r="DQ413" i="3"/>
  <c r="DQ414" i="3"/>
  <c r="DQ415" i="3"/>
  <c r="DQ416" i="3"/>
  <c r="DQ417" i="3"/>
  <c r="DQ418" i="3"/>
  <c r="DQ419" i="3"/>
  <c r="DQ420" i="3"/>
  <c r="DQ421" i="3"/>
  <c r="DQ422" i="3"/>
  <c r="DQ423" i="3"/>
  <c r="DQ424" i="3"/>
  <c r="DQ425" i="3"/>
  <c r="DQ426" i="3"/>
  <c r="DQ427" i="3"/>
  <c r="DQ428" i="3"/>
  <c r="DQ429" i="3"/>
  <c r="DQ430" i="3"/>
  <c r="DQ431" i="3"/>
  <c r="DQ432" i="3"/>
  <c r="DQ433" i="3"/>
  <c r="DQ434" i="3"/>
  <c r="DQ435" i="3"/>
  <c r="DQ436" i="3"/>
  <c r="DQ437" i="3"/>
  <c r="DQ438" i="3"/>
  <c r="DQ439" i="3"/>
  <c r="DQ440" i="3"/>
  <c r="DQ441" i="3"/>
  <c r="DQ442" i="3"/>
  <c r="DQ443" i="3"/>
  <c r="DQ444" i="3"/>
  <c r="DQ445" i="3"/>
  <c r="DQ446" i="3"/>
  <c r="DQ447" i="3"/>
  <c r="DQ448" i="3"/>
  <c r="DQ449" i="3"/>
  <c r="DQ450" i="3"/>
  <c r="DQ451" i="3"/>
  <c r="DQ452" i="3"/>
  <c r="DQ453" i="3"/>
  <c r="DQ454" i="3"/>
  <c r="DQ455" i="3"/>
  <c r="DQ456" i="3"/>
  <c r="DQ457" i="3"/>
  <c r="DQ458" i="3"/>
  <c r="DQ459" i="3"/>
  <c r="DQ460" i="3"/>
  <c r="DQ461" i="3"/>
  <c r="DQ462" i="3"/>
  <c r="DQ463" i="3"/>
  <c r="DQ464" i="3"/>
  <c r="DQ465" i="3"/>
  <c r="DQ466" i="3"/>
  <c r="DQ467" i="3"/>
  <c r="DQ468" i="3"/>
  <c r="DQ469" i="3"/>
  <c r="DQ470" i="3"/>
  <c r="DQ471" i="3"/>
  <c r="DQ472" i="3"/>
  <c r="DQ473" i="3"/>
  <c r="DQ474" i="3"/>
  <c r="DQ475" i="3"/>
  <c r="DQ476" i="3"/>
  <c r="DQ477" i="3"/>
  <c r="DQ478" i="3"/>
  <c r="DQ479" i="3"/>
  <c r="DQ480" i="3"/>
  <c r="DQ481" i="3"/>
  <c r="DQ482" i="3"/>
  <c r="DQ483" i="3"/>
  <c r="DQ484" i="3"/>
  <c r="DQ485" i="3"/>
  <c r="DQ486" i="3"/>
  <c r="DQ487" i="3"/>
  <c r="DQ488" i="3"/>
  <c r="DQ489" i="3"/>
  <c r="DQ490" i="3"/>
  <c r="DQ491" i="3"/>
  <c r="DQ492" i="3"/>
  <c r="DQ493" i="3"/>
  <c r="DQ494" i="3"/>
  <c r="DQ495" i="3"/>
  <c r="DQ496" i="3"/>
  <c r="DQ497" i="3"/>
  <c r="DQ498" i="3"/>
  <c r="DQ499" i="3"/>
  <c r="DQ500" i="3"/>
  <c r="DQ501" i="3"/>
  <c r="DQ502" i="3"/>
  <c r="DQ503" i="3"/>
  <c r="DQ504" i="3"/>
  <c r="DQ505" i="3"/>
  <c r="DQ506" i="3"/>
  <c r="DQ507" i="3"/>
  <c r="DQ508" i="3"/>
  <c r="DQ509" i="3"/>
  <c r="DQ510" i="3"/>
  <c r="DQ511" i="3"/>
  <c r="DQ512" i="3"/>
  <c r="DQ513" i="3"/>
  <c r="DQ514" i="3"/>
  <c r="DQ515" i="3"/>
  <c r="DQ516" i="3"/>
  <c r="DQ517" i="3"/>
  <c r="DQ518" i="3"/>
  <c r="DQ519" i="3"/>
  <c r="DQ520" i="3"/>
  <c r="DQ521" i="3"/>
  <c r="DQ522" i="3"/>
  <c r="DQ523" i="3"/>
  <c r="DQ524" i="3"/>
  <c r="DQ525" i="3"/>
  <c r="DQ526" i="3"/>
  <c r="DQ527" i="3"/>
  <c r="DQ528" i="3"/>
  <c r="DQ529" i="3"/>
  <c r="DQ530" i="3"/>
  <c r="DQ531" i="3"/>
  <c r="DQ532" i="3"/>
  <c r="DQ533" i="3"/>
  <c r="DQ534" i="3"/>
  <c r="DQ535" i="3"/>
  <c r="DQ536" i="3"/>
  <c r="DQ537" i="3"/>
  <c r="DQ538" i="3"/>
  <c r="DQ539" i="3"/>
  <c r="DQ540" i="3"/>
  <c r="DQ541" i="3"/>
  <c r="DQ542" i="3"/>
  <c r="DQ543" i="3"/>
  <c r="DQ544" i="3"/>
  <c r="DQ545" i="3"/>
  <c r="DQ546" i="3"/>
  <c r="DQ547" i="3"/>
  <c r="DQ548" i="3"/>
  <c r="DQ549" i="3"/>
  <c r="DQ550" i="3"/>
  <c r="DQ551" i="3"/>
  <c r="DQ552" i="3"/>
  <c r="DQ553" i="3"/>
  <c r="DQ554" i="3"/>
  <c r="DQ555" i="3"/>
  <c r="DQ556" i="3"/>
  <c r="DQ557" i="3"/>
  <c r="DQ558" i="3"/>
  <c r="DQ559" i="3"/>
  <c r="DQ560" i="3"/>
  <c r="DQ561" i="3"/>
  <c r="DQ562" i="3"/>
  <c r="DQ563" i="3"/>
  <c r="DQ564" i="3"/>
  <c r="DQ565" i="3"/>
  <c r="DQ566" i="3"/>
  <c r="DQ567" i="3"/>
  <c r="DQ568" i="3"/>
  <c r="DQ569" i="3"/>
  <c r="DQ570" i="3"/>
  <c r="DQ571" i="3"/>
  <c r="DQ572" i="3"/>
  <c r="DQ573" i="3"/>
  <c r="DQ574" i="3"/>
  <c r="DQ575" i="3"/>
  <c r="DQ576" i="3"/>
  <c r="DQ577" i="3"/>
  <c r="DQ578" i="3"/>
  <c r="DQ579" i="3"/>
  <c r="DQ580" i="3"/>
  <c r="DQ581" i="3"/>
  <c r="DQ582" i="3"/>
  <c r="DQ583" i="3"/>
  <c r="DQ584" i="3"/>
  <c r="DQ585" i="3"/>
  <c r="DQ586" i="3"/>
  <c r="DQ587" i="3"/>
  <c r="DQ588" i="3"/>
  <c r="DQ589" i="3"/>
  <c r="DQ590" i="3"/>
  <c r="DQ591" i="3"/>
  <c r="DQ592" i="3"/>
  <c r="DQ593" i="3"/>
  <c r="DQ594" i="3"/>
  <c r="DQ595" i="3"/>
  <c r="DQ596" i="3"/>
  <c r="DQ597" i="3"/>
  <c r="DQ598" i="3"/>
  <c r="DQ599" i="3"/>
  <c r="DQ600" i="3"/>
  <c r="DR9" i="3"/>
  <c r="DR10" i="3"/>
  <c r="DR11" i="3"/>
  <c r="DR12" i="3"/>
  <c r="DR13" i="3"/>
  <c r="DR14" i="3"/>
  <c r="DR15" i="3"/>
  <c r="DR16" i="3"/>
  <c r="DR17" i="3"/>
  <c r="DR18" i="3"/>
  <c r="DR19" i="3"/>
  <c r="DR20" i="3"/>
  <c r="DR21" i="3"/>
  <c r="DR22" i="3"/>
  <c r="DR23" i="3"/>
  <c r="DR24" i="3"/>
  <c r="DR25" i="3"/>
  <c r="DR26" i="3"/>
  <c r="DR27" i="3"/>
  <c r="DR28" i="3"/>
  <c r="DR29" i="3"/>
  <c r="DR30" i="3"/>
  <c r="DR31" i="3"/>
  <c r="DR32" i="3"/>
  <c r="DR33" i="3"/>
  <c r="DR34" i="3"/>
  <c r="DR35" i="3"/>
  <c r="DR36" i="3"/>
  <c r="DR37" i="3"/>
  <c r="DR38" i="3"/>
  <c r="DR39" i="3"/>
  <c r="DR40" i="3"/>
  <c r="DR41" i="3"/>
  <c r="DR42" i="3"/>
  <c r="DR43" i="3"/>
  <c r="DR44" i="3"/>
  <c r="DR45" i="3"/>
  <c r="DR46" i="3"/>
  <c r="DR47" i="3"/>
  <c r="DR48" i="3"/>
  <c r="DR49" i="3"/>
  <c r="DR50" i="3"/>
  <c r="DR51" i="3"/>
  <c r="DR52" i="3"/>
  <c r="DR53" i="3"/>
  <c r="DR54" i="3"/>
  <c r="DR55" i="3"/>
  <c r="DR56" i="3"/>
  <c r="DR57" i="3"/>
  <c r="DR58" i="3"/>
  <c r="DR59" i="3"/>
  <c r="DR60" i="3"/>
  <c r="DR61" i="3"/>
  <c r="DR62" i="3"/>
  <c r="DR63" i="3"/>
  <c r="DR64" i="3"/>
  <c r="DR65" i="3"/>
  <c r="DR66" i="3"/>
  <c r="DR67" i="3"/>
  <c r="DR68" i="3"/>
  <c r="DR69" i="3"/>
  <c r="DR70" i="3"/>
  <c r="DR71" i="3"/>
  <c r="DR72" i="3"/>
  <c r="DR73" i="3"/>
  <c r="DR74" i="3"/>
  <c r="DR75" i="3"/>
  <c r="DR76" i="3"/>
  <c r="DR77" i="3"/>
  <c r="DR78" i="3"/>
  <c r="DR79" i="3"/>
  <c r="DR80" i="3"/>
  <c r="DR81" i="3"/>
  <c r="DR82" i="3"/>
  <c r="DR83" i="3"/>
  <c r="DR84" i="3"/>
  <c r="DR85" i="3"/>
  <c r="DR86" i="3"/>
  <c r="DR87" i="3"/>
  <c r="DR88" i="3"/>
  <c r="DR89" i="3"/>
  <c r="DR90" i="3"/>
  <c r="DR91" i="3"/>
  <c r="DR92" i="3"/>
  <c r="DR93" i="3"/>
  <c r="DR94" i="3"/>
  <c r="DR95" i="3"/>
  <c r="DR96" i="3"/>
  <c r="DR97" i="3"/>
  <c r="DR98" i="3"/>
  <c r="DR99" i="3"/>
  <c r="DR100" i="3"/>
  <c r="DR101" i="3"/>
  <c r="DR102" i="3"/>
  <c r="DR103" i="3"/>
  <c r="DR104" i="3"/>
  <c r="DR105" i="3"/>
  <c r="DR106" i="3"/>
  <c r="DR107" i="3"/>
  <c r="DR108" i="3"/>
  <c r="DR109" i="3"/>
  <c r="DR110" i="3"/>
  <c r="DR111" i="3"/>
  <c r="DR112" i="3"/>
  <c r="DR113" i="3"/>
  <c r="DR114" i="3"/>
  <c r="DR115" i="3"/>
  <c r="DR116" i="3"/>
  <c r="DR117" i="3"/>
  <c r="DR118" i="3"/>
  <c r="DR119" i="3"/>
  <c r="DR120" i="3"/>
  <c r="DR121" i="3"/>
  <c r="DR122" i="3"/>
  <c r="DR123" i="3"/>
  <c r="DR124" i="3"/>
  <c r="DR125" i="3"/>
  <c r="DR126" i="3"/>
  <c r="DR127" i="3"/>
  <c r="DR128" i="3"/>
  <c r="DR129" i="3"/>
  <c r="DR130" i="3"/>
  <c r="DR131" i="3"/>
  <c r="DR132" i="3"/>
  <c r="DR133" i="3"/>
  <c r="DR134" i="3"/>
  <c r="DR135" i="3"/>
  <c r="DR136" i="3"/>
  <c r="DR137" i="3"/>
  <c r="DR138" i="3"/>
  <c r="DR139" i="3"/>
  <c r="DR140" i="3"/>
  <c r="DR141" i="3"/>
  <c r="DR142" i="3"/>
  <c r="DR143" i="3"/>
  <c r="DR144" i="3"/>
  <c r="DR145" i="3"/>
  <c r="DR146" i="3"/>
  <c r="DR147" i="3"/>
  <c r="DR148" i="3"/>
  <c r="DR149" i="3"/>
  <c r="DR150" i="3"/>
  <c r="DR151" i="3"/>
  <c r="DR152" i="3"/>
  <c r="DR153" i="3"/>
  <c r="DR154" i="3"/>
  <c r="DR155" i="3"/>
  <c r="DR156" i="3"/>
  <c r="DR157" i="3"/>
  <c r="DR158" i="3"/>
  <c r="DR159" i="3"/>
  <c r="DR160" i="3"/>
  <c r="DR161" i="3"/>
  <c r="DR162" i="3"/>
  <c r="DR163" i="3"/>
  <c r="DR164" i="3"/>
  <c r="DR165" i="3"/>
  <c r="DR166" i="3"/>
  <c r="DR167" i="3"/>
  <c r="DR168" i="3"/>
  <c r="DR169" i="3"/>
  <c r="DR170" i="3"/>
  <c r="DR171" i="3"/>
  <c r="DR172" i="3"/>
  <c r="DR173" i="3"/>
  <c r="DR174" i="3"/>
  <c r="DR175" i="3"/>
  <c r="DR176" i="3"/>
  <c r="DR177" i="3"/>
  <c r="DR178" i="3"/>
  <c r="DR179" i="3"/>
  <c r="DR180" i="3"/>
  <c r="DR181" i="3"/>
  <c r="DR182" i="3"/>
  <c r="DR183" i="3"/>
  <c r="DR184" i="3"/>
  <c r="DR185" i="3"/>
  <c r="DR186" i="3"/>
  <c r="DR187" i="3"/>
  <c r="DR188" i="3"/>
  <c r="DR189" i="3"/>
  <c r="DR190" i="3"/>
  <c r="DR191" i="3"/>
  <c r="DR192" i="3"/>
  <c r="DR193" i="3"/>
  <c r="DR194" i="3"/>
  <c r="DR195" i="3"/>
  <c r="DR196" i="3"/>
  <c r="DR197" i="3"/>
  <c r="DR198" i="3"/>
  <c r="DR199" i="3"/>
  <c r="DR200" i="3"/>
  <c r="DR201" i="3"/>
  <c r="DR202" i="3"/>
  <c r="DR203" i="3"/>
  <c r="DR204" i="3"/>
  <c r="DR205" i="3"/>
  <c r="DR206" i="3"/>
  <c r="DR207" i="3"/>
  <c r="DR208" i="3"/>
  <c r="DR209" i="3"/>
  <c r="DR210" i="3"/>
  <c r="DR211" i="3"/>
  <c r="DR212" i="3"/>
  <c r="DR213" i="3"/>
  <c r="DR214" i="3"/>
  <c r="DR215" i="3"/>
  <c r="DR216" i="3"/>
  <c r="DR217" i="3"/>
  <c r="DR218" i="3"/>
  <c r="DR219" i="3"/>
  <c r="DR220" i="3"/>
  <c r="DR221" i="3"/>
  <c r="DR222" i="3"/>
  <c r="DR223" i="3"/>
  <c r="DR224" i="3"/>
  <c r="DR225" i="3"/>
  <c r="DR226" i="3"/>
  <c r="DR227" i="3"/>
  <c r="DR228" i="3"/>
  <c r="DR229" i="3"/>
  <c r="DR230" i="3"/>
  <c r="DR231" i="3"/>
  <c r="DR232" i="3"/>
  <c r="DR233" i="3"/>
  <c r="DR234" i="3"/>
  <c r="DR235" i="3"/>
  <c r="DR236" i="3"/>
  <c r="DR237" i="3"/>
  <c r="DR238" i="3"/>
  <c r="DR239" i="3"/>
  <c r="DR240" i="3"/>
  <c r="DR241" i="3"/>
  <c r="DR242" i="3"/>
  <c r="DR243" i="3"/>
  <c r="DR244" i="3"/>
  <c r="DR245" i="3"/>
  <c r="DR246" i="3"/>
  <c r="DR247" i="3"/>
  <c r="DR248" i="3"/>
  <c r="DR249" i="3"/>
  <c r="DR250" i="3"/>
  <c r="DR251" i="3"/>
  <c r="DR252" i="3"/>
  <c r="DR253" i="3"/>
  <c r="DR254" i="3"/>
  <c r="DR255" i="3"/>
  <c r="DR256" i="3"/>
  <c r="DR257" i="3"/>
  <c r="DR258" i="3"/>
  <c r="DR259" i="3"/>
  <c r="DR260" i="3"/>
  <c r="DR261" i="3"/>
  <c r="DR262" i="3"/>
  <c r="DR263" i="3"/>
  <c r="DR264" i="3"/>
  <c r="DR265" i="3"/>
  <c r="DR266" i="3"/>
  <c r="DR267" i="3"/>
  <c r="DR268" i="3"/>
  <c r="DR269" i="3"/>
  <c r="DR270" i="3"/>
  <c r="DR271" i="3"/>
  <c r="DR272" i="3"/>
  <c r="DR273" i="3"/>
  <c r="DR274" i="3"/>
  <c r="DR275" i="3"/>
  <c r="DR276" i="3"/>
  <c r="DR277" i="3"/>
  <c r="DR278" i="3"/>
  <c r="DR279" i="3"/>
  <c r="DR280" i="3"/>
  <c r="DR281" i="3"/>
  <c r="DR282" i="3"/>
  <c r="DR283" i="3"/>
  <c r="DR284" i="3"/>
  <c r="DR285" i="3"/>
  <c r="DR286" i="3"/>
  <c r="DR287" i="3"/>
  <c r="DR288" i="3"/>
  <c r="DR289" i="3"/>
  <c r="DR290" i="3"/>
  <c r="DR291" i="3"/>
  <c r="DR292" i="3"/>
  <c r="DR293" i="3"/>
  <c r="DR294" i="3"/>
  <c r="DR295" i="3"/>
  <c r="DR296" i="3"/>
  <c r="DR297" i="3"/>
  <c r="DR298" i="3"/>
  <c r="DR299" i="3"/>
  <c r="DR300" i="3"/>
  <c r="DR301" i="3"/>
  <c r="DR302" i="3"/>
  <c r="DR303" i="3"/>
  <c r="DR304" i="3"/>
  <c r="DR305" i="3"/>
  <c r="DR306" i="3"/>
  <c r="DR307" i="3"/>
  <c r="DR308" i="3"/>
  <c r="DR309" i="3"/>
  <c r="DR310" i="3"/>
  <c r="DR311" i="3"/>
  <c r="DR312" i="3"/>
  <c r="DR313" i="3"/>
  <c r="DR314" i="3"/>
  <c r="DR315" i="3"/>
  <c r="DR316" i="3"/>
  <c r="DR317" i="3"/>
  <c r="DR318" i="3"/>
  <c r="DR319" i="3"/>
  <c r="DR320" i="3"/>
  <c r="DR321" i="3"/>
  <c r="DR322" i="3"/>
  <c r="DR323" i="3"/>
  <c r="DR324" i="3"/>
  <c r="DR325" i="3"/>
  <c r="DR326" i="3"/>
  <c r="DR327" i="3"/>
  <c r="DR328" i="3"/>
  <c r="DR329" i="3"/>
  <c r="DR330" i="3"/>
  <c r="DR331" i="3"/>
  <c r="DR332" i="3"/>
  <c r="DR333" i="3"/>
  <c r="DR334" i="3"/>
  <c r="DR335" i="3"/>
  <c r="DR336" i="3"/>
  <c r="DR337" i="3"/>
  <c r="DR338" i="3"/>
  <c r="DR339" i="3"/>
  <c r="DR340" i="3"/>
  <c r="DR341" i="3"/>
  <c r="DR342" i="3"/>
  <c r="DR343" i="3"/>
  <c r="DR344" i="3"/>
  <c r="DR345" i="3"/>
  <c r="DR346" i="3"/>
  <c r="DR347" i="3"/>
  <c r="DR348" i="3"/>
  <c r="DR349" i="3"/>
  <c r="DR350" i="3"/>
  <c r="DR351" i="3"/>
  <c r="DR352" i="3"/>
  <c r="DR353" i="3"/>
  <c r="DR354" i="3"/>
  <c r="DR355" i="3"/>
  <c r="DR356" i="3"/>
  <c r="DR357" i="3"/>
  <c r="DR358" i="3"/>
  <c r="DR359" i="3"/>
  <c r="DR360" i="3"/>
  <c r="DR361" i="3"/>
  <c r="DR362" i="3"/>
  <c r="DR363" i="3"/>
  <c r="DR364" i="3"/>
  <c r="DR365" i="3"/>
  <c r="DR366" i="3"/>
  <c r="DR367" i="3"/>
  <c r="DR368" i="3"/>
  <c r="DR369" i="3"/>
  <c r="DR370" i="3"/>
  <c r="DR371" i="3"/>
  <c r="DR372" i="3"/>
  <c r="DR373" i="3"/>
  <c r="DR374" i="3"/>
  <c r="DR375" i="3"/>
  <c r="DR376" i="3"/>
  <c r="DR377" i="3"/>
  <c r="DR378" i="3"/>
  <c r="DR379" i="3"/>
  <c r="DR380" i="3"/>
  <c r="DR381" i="3"/>
  <c r="DR382" i="3"/>
  <c r="DR383" i="3"/>
  <c r="DR384" i="3"/>
  <c r="DR385" i="3"/>
  <c r="DR386" i="3"/>
  <c r="DR387" i="3"/>
  <c r="DR388" i="3"/>
  <c r="DR389" i="3"/>
  <c r="DR390" i="3"/>
  <c r="DR391" i="3"/>
  <c r="DR392" i="3"/>
  <c r="DR393" i="3"/>
  <c r="DR394" i="3"/>
  <c r="DR395" i="3"/>
  <c r="DR396" i="3"/>
  <c r="DR397" i="3"/>
  <c r="DR398" i="3"/>
  <c r="DR399" i="3"/>
  <c r="DR400" i="3"/>
  <c r="DR401" i="3"/>
  <c r="DR402" i="3"/>
  <c r="DR403" i="3"/>
  <c r="DR404" i="3"/>
  <c r="DR405" i="3"/>
  <c r="DR406" i="3"/>
  <c r="DR407" i="3"/>
  <c r="DR408" i="3"/>
  <c r="DR409" i="3"/>
  <c r="DR410" i="3"/>
  <c r="DR411" i="3"/>
  <c r="DR412" i="3"/>
  <c r="DR413" i="3"/>
  <c r="DR414" i="3"/>
  <c r="DR415" i="3"/>
  <c r="DR416" i="3"/>
  <c r="DR417" i="3"/>
  <c r="DR418" i="3"/>
  <c r="DR419" i="3"/>
  <c r="DR420" i="3"/>
  <c r="DR421" i="3"/>
  <c r="DR422" i="3"/>
  <c r="DR423" i="3"/>
  <c r="DR424" i="3"/>
  <c r="DR425" i="3"/>
  <c r="DR426" i="3"/>
  <c r="DR427" i="3"/>
  <c r="DR428" i="3"/>
  <c r="DR429" i="3"/>
  <c r="DR430" i="3"/>
  <c r="DR431" i="3"/>
  <c r="DR432" i="3"/>
  <c r="DR433" i="3"/>
  <c r="DR434" i="3"/>
  <c r="DR435" i="3"/>
  <c r="DR436" i="3"/>
  <c r="DR437" i="3"/>
  <c r="DR438" i="3"/>
  <c r="DR439" i="3"/>
  <c r="DR440" i="3"/>
  <c r="DR441" i="3"/>
  <c r="DR442" i="3"/>
  <c r="DR443" i="3"/>
  <c r="DR444" i="3"/>
  <c r="DR445" i="3"/>
  <c r="DR446" i="3"/>
  <c r="DR447" i="3"/>
  <c r="DR448" i="3"/>
  <c r="DR449" i="3"/>
  <c r="DR450" i="3"/>
  <c r="DR451" i="3"/>
  <c r="DR452" i="3"/>
  <c r="DR453" i="3"/>
  <c r="DR454" i="3"/>
  <c r="DR455" i="3"/>
  <c r="DR456" i="3"/>
  <c r="DR457" i="3"/>
  <c r="DR458" i="3"/>
  <c r="DR459" i="3"/>
  <c r="DR460" i="3"/>
  <c r="DR461" i="3"/>
  <c r="DR462" i="3"/>
  <c r="DR463" i="3"/>
  <c r="DR464" i="3"/>
  <c r="DR465" i="3"/>
  <c r="DR466" i="3"/>
  <c r="DR467" i="3"/>
  <c r="DR468" i="3"/>
  <c r="DR469" i="3"/>
  <c r="DR470" i="3"/>
  <c r="DR471" i="3"/>
  <c r="DR472" i="3"/>
  <c r="DR473" i="3"/>
  <c r="DR474" i="3"/>
  <c r="DR475" i="3"/>
  <c r="DR476" i="3"/>
  <c r="DR477" i="3"/>
  <c r="DR478" i="3"/>
  <c r="DR479" i="3"/>
  <c r="DR480" i="3"/>
  <c r="DR481" i="3"/>
  <c r="DR482" i="3"/>
  <c r="DR483" i="3"/>
  <c r="DR484" i="3"/>
  <c r="DR485" i="3"/>
  <c r="DR486" i="3"/>
  <c r="DR487" i="3"/>
  <c r="DR488" i="3"/>
  <c r="DR489" i="3"/>
  <c r="DR490" i="3"/>
  <c r="DR491" i="3"/>
  <c r="DR492" i="3"/>
  <c r="DR493" i="3"/>
  <c r="DR494" i="3"/>
  <c r="DR495" i="3"/>
  <c r="DR496" i="3"/>
  <c r="DR497" i="3"/>
  <c r="DR498" i="3"/>
  <c r="DR499" i="3"/>
  <c r="DR500" i="3"/>
  <c r="DR501" i="3"/>
  <c r="DR502" i="3"/>
  <c r="DR503" i="3"/>
  <c r="DR504" i="3"/>
  <c r="DR505" i="3"/>
  <c r="DR506" i="3"/>
  <c r="DR507" i="3"/>
  <c r="DR508" i="3"/>
  <c r="DR509" i="3"/>
  <c r="DR510" i="3"/>
  <c r="DR511" i="3"/>
  <c r="DR512" i="3"/>
  <c r="DR513" i="3"/>
  <c r="DR514" i="3"/>
  <c r="DR515" i="3"/>
  <c r="DR516" i="3"/>
  <c r="DR517" i="3"/>
  <c r="DR518" i="3"/>
  <c r="DR519" i="3"/>
  <c r="DR520" i="3"/>
  <c r="DR521" i="3"/>
  <c r="DR522" i="3"/>
  <c r="DR523" i="3"/>
  <c r="DR524" i="3"/>
  <c r="DR525" i="3"/>
  <c r="DR526" i="3"/>
  <c r="DR527" i="3"/>
  <c r="DR528" i="3"/>
  <c r="DR529" i="3"/>
  <c r="DR530" i="3"/>
  <c r="DR531" i="3"/>
  <c r="DR532" i="3"/>
  <c r="DR533" i="3"/>
  <c r="DR534" i="3"/>
  <c r="DR535" i="3"/>
  <c r="DR536" i="3"/>
  <c r="DR537" i="3"/>
  <c r="DR538" i="3"/>
  <c r="DR539" i="3"/>
  <c r="DR540" i="3"/>
  <c r="DR541" i="3"/>
  <c r="DR542" i="3"/>
  <c r="DR543" i="3"/>
  <c r="DR544" i="3"/>
  <c r="DR545" i="3"/>
  <c r="DR546" i="3"/>
  <c r="DR547" i="3"/>
  <c r="DR548" i="3"/>
  <c r="DR549" i="3"/>
  <c r="DR550" i="3"/>
  <c r="DR551" i="3"/>
  <c r="DR552" i="3"/>
  <c r="DR553" i="3"/>
  <c r="DR554" i="3"/>
  <c r="DR555" i="3"/>
  <c r="DR556" i="3"/>
  <c r="DR557" i="3"/>
  <c r="DR558" i="3"/>
  <c r="DR559" i="3"/>
  <c r="DR560" i="3"/>
  <c r="DR561" i="3"/>
  <c r="DR562" i="3"/>
  <c r="DR563" i="3"/>
  <c r="DR564" i="3"/>
  <c r="DR565" i="3"/>
  <c r="DR566" i="3"/>
  <c r="DR567" i="3"/>
  <c r="DR568" i="3"/>
  <c r="DR569" i="3"/>
  <c r="DR570" i="3"/>
  <c r="DR571" i="3"/>
  <c r="DR572" i="3"/>
  <c r="DR573" i="3"/>
  <c r="DR574" i="3"/>
  <c r="DR575" i="3"/>
  <c r="DR576" i="3"/>
  <c r="DR577" i="3"/>
  <c r="DR578" i="3"/>
  <c r="DR579" i="3"/>
  <c r="DR580" i="3"/>
  <c r="DR581" i="3"/>
  <c r="DR582" i="3"/>
  <c r="DR583" i="3"/>
  <c r="DR584" i="3"/>
  <c r="DR585" i="3"/>
  <c r="DR586" i="3"/>
  <c r="DR587" i="3"/>
  <c r="DR588" i="3"/>
  <c r="DR589" i="3"/>
  <c r="DR590" i="3"/>
  <c r="DR591" i="3"/>
  <c r="DR592" i="3"/>
  <c r="DR593" i="3"/>
  <c r="DR594" i="3"/>
  <c r="DR595" i="3"/>
  <c r="DR596" i="3"/>
  <c r="DR597" i="3"/>
  <c r="DR598" i="3"/>
  <c r="DR599" i="3"/>
  <c r="DR600" i="3"/>
  <c r="DS9" i="3"/>
  <c r="DS10" i="3"/>
  <c r="DS11" i="3"/>
  <c r="DS12" i="3"/>
  <c r="DS13" i="3"/>
  <c r="DS14" i="3"/>
  <c r="DS15" i="3"/>
  <c r="DS16" i="3"/>
  <c r="DS17" i="3"/>
  <c r="DS18" i="3"/>
  <c r="DS19" i="3"/>
  <c r="DS20" i="3"/>
  <c r="DS21" i="3"/>
  <c r="DS22" i="3"/>
  <c r="DS23" i="3"/>
  <c r="DS24" i="3"/>
  <c r="DS25" i="3"/>
  <c r="DS26" i="3"/>
  <c r="DS27" i="3"/>
  <c r="DS28" i="3"/>
  <c r="DS29" i="3"/>
  <c r="DS30" i="3"/>
  <c r="DS31" i="3"/>
  <c r="DS32" i="3"/>
  <c r="DS33" i="3"/>
  <c r="DS34" i="3"/>
  <c r="DS35" i="3"/>
  <c r="DS36" i="3"/>
  <c r="DS37" i="3"/>
  <c r="DS38" i="3"/>
  <c r="DS39" i="3"/>
  <c r="DS40" i="3"/>
  <c r="DS41" i="3"/>
  <c r="DS42" i="3"/>
  <c r="DS43" i="3"/>
  <c r="DS44" i="3"/>
  <c r="DS45" i="3"/>
  <c r="DS46" i="3"/>
  <c r="DS47" i="3"/>
  <c r="DS48" i="3"/>
  <c r="DS49" i="3"/>
  <c r="DS50" i="3"/>
  <c r="DS51" i="3"/>
  <c r="DS52" i="3"/>
  <c r="DS53" i="3"/>
  <c r="DS54" i="3"/>
  <c r="DS55" i="3"/>
  <c r="DS56" i="3"/>
  <c r="DS57" i="3"/>
  <c r="DS58" i="3"/>
  <c r="DS59" i="3"/>
  <c r="DS60" i="3"/>
  <c r="DS61" i="3"/>
  <c r="DS62" i="3"/>
  <c r="DS63" i="3"/>
  <c r="DS64" i="3"/>
  <c r="DS65" i="3"/>
  <c r="DS66" i="3"/>
  <c r="DS67" i="3"/>
  <c r="DS68" i="3"/>
  <c r="DS69" i="3"/>
  <c r="DS70" i="3"/>
  <c r="DS71" i="3"/>
  <c r="DS72" i="3"/>
  <c r="DS73" i="3"/>
  <c r="DS74" i="3"/>
  <c r="DS75" i="3"/>
  <c r="DS76" i="3"/>
  <c r="DS77" i="3"/>
  <c r="DS78" i="3"/>
  <c r="DS79" i="3"/>
  <c r="DS80" i="3"/>
  <c r="DS81" i="3"/>
  <c r="DS82" i="3"/>
  <c r="DS83" i="3"/>
  <c r="DS84" i="3"/>
  <c r="DS85" i="3"/>
  <c r="DS86" i="3"/>
  <c r="DS87" i="3"/>
  <c r="DS88" i="3"/>
  <c r="DS89" i="3"/>
  <c r="DS90" i="3"/>
  <c r="DS91" i="3"/>
  <c r="DS92" i="3"/>
  <c r="DS93" i="3"/>
  <c r="DS94" i="3"/>
  <c r="DS95" i="3"/>
  <c r="DS96" i="3"/>
  <c r="DS97" i="3"/>
  <c r="DS98" i="3"/>
  <c r="DS99" i="3"/>
  <c r="DS100" i="3"/>
  <c r="DS101" i="3"/>
  <c r="DS102" i="3"/>
  <c r="DS103" i="3"/>
  <c r="DS104" i="3"/>
  <c r="DS105" i="3"/>
  <c r="DS106" i="3"/>
  <c r="DS107" i="3"/>
  <c r="DS108" i="3"/>
  <c r="DS109" i="3"/>
  <c r="DS110" i="3"/>
  <c r="DS111" i="3"/>
  <c r="DS112" i="3"/>
  <c r="DS113" i="3"/>
  <c r="DS114" i="3"/>
  <c r="DS115" i="3"/>
  <c r="DS116" i="3"/>
  <c r="DS117" i="3"/>
  <c r="DS118" i="3"/>
  <c r="DS119" i="3"/>
  <c r="DS120" i="3"/>
  <c r="DS121" i="3"/>
  <c r="DS122" i="3"/>
  <c r="DS123" i="3"/>
  <c r="DS124" i="3"/>
  <c r="DS125" i="3"/>
  <c r="DS126" i="3"/>
  <c r="DS127" i="3"/>
  <c r="DS128" i="3"/>
  <c r="DS129" i="3"/>
  <c r="DS130" i="3"/>
  <c r="DS131" i="3"/>
  <c r="DS132" i="3"/>
  <c r="DS133" i="3"/>
  <c r="DS134" i="3"/>
  <c r="DS135" i="3"/>
  <c r="DS136" i="3"/>
  <c r="DS137" i="3"/>
  <c r="DS138" i="3"/>
  <c r="DS139" i="3"/>
  <c r="DS140" i="3"/>
  <c r="DS141" i="3"/>
  <c r="DS142" i="3"/>
  <c r="DS143" i="3"/>
  <c r="DS144" i="3"/>
  <c r="DS145" i="3"/>
  <c r="DS146" i="3"/>
  <c r="DS147" i="3"/>
  <c r="DS148" i="3"/>
  <c r="DS149" i="3"/>
  <c r="DS150" i="3"/>
  <c r="DS151" i="3"/>
  <c r="DS152" i="3"/>
  <c r="DS153" i="3"/>
  <c r="DS154" i="3"/>
  <c r="DS155" i="3"/>
  <c r="DS156" i="3"/>
  <c r="DS157" i="3"/>
  <c r="DS158" i="3"/>
  <c r="DS159" i="3"/>
  <c r="DS160" i="3"/>
  <c r="DS161" i="3"/>
  <c r="DS162" i="3"/>
  <c r="DS163" i="3"/>
  <c r="DS164" i="3"/>
  <c r="DS165" i="3"/>
  <c r="DS166" i="3"/>
  <c r="DS167" i="3"/>
  <c r="DS168" i="3"/>
  <c r="DS169" i="3"/>
  <c r="DS170" i="3"/>
  <c r="DS171" i="3"/>
  <c r="DS172" i="3"/>
  <c r="DS173" i="3"/>
  <c r="DS174" i="3"/>
  <c r="DS175" i="3"/>
  <c r="DS176" i="3"/>
  <c r="DS177" i="3"/>
  <c r="DS178" i="3"/>
  <c r="DS179" i="3"/>
  <c r="DS180" i="3"/>
  <c r="DS181" i="3"/>
  <c r="DS182" i="3"/>
  <c r="DS183" i="3"/>
  <c r="DS184" i="3"/>
  <c r="DS185" i="3"/>
  <c r="DS186" i="3"/>
  <c r="DS187" i="3"/>
  <c r="DS188" i="3"/>
  <c r="DS189" i="3"/>
  <c r="DS190" i="3"/>
  <c r="DS191" i="3"/>
  <c r="DS192" i="3"/>
  <c r="DS193" i="3"/>
  <c r="DS194" i="3"/>
  <c r="DS195" i="3"/>
  <c r="DS196" i="3"/>
  <c r="DS197" i="3"/>
  <c r="DS198" i="3"/>
  <c r="DS199" i="3"/>
  <c r="DS200" i="3"/>
  <c r="DS201" i="3"/>
  <c r="DS202" i="3"/>
  <c r="DS203" i="3"/>
  <c r="DS204" i="3"/>
  <c r="DS205" i="3"/>
  <c r="DS206" i="3"/>
  <c r="DS207" i="3"/>
  <c r="DS208" i="3"/>
  <c r="DS209" i="3"/>
  <c r="DS210" i="3"/>
  <c r="DS211" i="3"/>
  <c r="DS212" i="3"/>
  <c r="DS213" i="3"/>
  <c r="DS214" i="3"/>
  <c r="DS215" i="3"/>
  <c r="DS216" i="3"/>
  <c r="DS217" i="3"/>
  <c r="DS218" i="3"/>
  <c r="DS219" i="3"/>
  <c r="DS220" i="3"/>
  <c r="DS221" i="3"/>
  <c r="DS222" i="3"/>
  <c r="DS223" i="3"/>
  <c r="DS224" i="3"/>
  <c r="DS225" i="3"/>
  <c r="DS226" i="3"/>
  <c r="DS227" i="3"/>
  <c r="DS228" i="3"/>
  <c r="DS229" i="3"/>
  <c r="DS230" i="3"/>
  <c r="DS231" i="3"/>
  <c r="DS232" i="3"/>
  <c r="DS233" i="3"/>
  <c r="DS234" i="3"/>
  <c r="DS235" i="3"/>
  <c r="DS236" i="3"/>
  <c r="DS237" i="3"/>
  <c r="DS238" i="3"/>
  <c r="DS239" i="3"/>
  <c r="DS240" i="3"/>
  <c r="DS241" i="3"/>
  <c r="DS242" i="3"/>
  <c r="DS243" i="3"/>
  <c r="DS244" i="3"/>
  <c r="DS245" i="3"/>
  <c r="DS246" i="3"/>
  <c r="DS247" i="3"/>
  <c r="DS248" i="3"/>
  <c r="DS249" i="3"/>
  <c r="DS250" i="3"/>
  <c r="DS251" i="3"/>
  <c r="DS252" i="3"/>
  <c r="DS253" i="3"/>
  <c r="DS254" i="3"/>
  <c r="DS255" i="3"/>
  <c r="DS256" i="3"/>
  <c r="DS257" i="3"/>
  <c r="DS258" i="3"/>
  <c r="DS259" i="3"/>
  <c r="DS260" i="3"/>
  <c r="DS261" i="3"/>
  <c r="DS262" i="3"/>
  <c r="DS263" i="3"/>
  <c r="DS264" i="3"/>
  <c r="DS265" i="3"/>
  <c r="DS266" i="3"/>
  <c r="DS267" i="3"/>
  <c r="DS268" i="3"/>
  <c r="DS269" i="3"/>
  <c r="DS270" i="3"/>
  <c r="DS271" i="3"/>
  <c r="DS272" i="3"/>
  <c r="DS273" i="3"/>
  <c r="DS274" i="3"/>
  <c r="DS275" i="3"/>
  <c r="DS276" i="3"/>
  <c r="DS277" i="3"/>
  <c r="DS278" i="3"/>
  <c r="DS279" i="3"/>
  <c r="DS280" i="3"/>
  <c r="DS281" i="3"/>
  <c r="DS282" i="3"/>
  <c r="DS283" i="3"/>
  <c r="DS284" i="3"/>
  <c r="DS285" i="3"/>
  <c r="DS286" i="3"/>
  <c r="DS287" i="3"/>
  <c r="DS288" i="3"/>
  <c r="DS289" i="3"/>
  <c r="DS290" i="3"/>
  <c r="DS291" i="3"/>
  <c r="DS292" i="3"/>
  <c r="DS293" i="3"/>
  <c r="DS294" i="3"/>
  <c r="DS295" i="3"/>
  <c r="DS296" i="3"/>
  <c r="DS297" i="3"/>
  <c r="DS298" i="3"/>
  <c r="DS299" i="3"/>
  <c r="DS300" i="3"/>
  <c r="DS301" i="3"/>
  <c r="DS302" i="3"/>
  <c r="DS303" i="3"/>
  <c r="DS304" i="3"/>
  <c r="DS305" i="3"/>
  <c r="DS306" i="3"/>
  <c r="DS307" i="3"/>
  <c r="DS308" i="3"/>
  <c r="DS309" i="3"/>
  <c r="DS310" i="3"/>
  <c r="DS311" i="3"/>
  <c r="DS312" i="3"/>
  <c r="DS313" i="3"/>
  <c r="DS314" i="3"/>
  <c r="DS315" i="3"/>
  <c r="DS316" i="3"/>
  <c r="DS317" i="3"/>
  <c r="DS318" i="3"/>
  <c r="DS319" i="3"/>
  <c r="DS320" i="3"/>
  <c r="DS321" i="3"/>
  <c r="DS322" i="3"/>
  <c r="DS323" i="3"/>
  <c r="DS324" i="3"/>
  <c r="DS325" i="3"/>
  <c r="DS326" i="3"/>
  <c r="DS327" i="3"/>
  <c r="DS328" i="3"/>
  <c r="DS329" i="3"/>
  <c r="DS330" i="3"/>
  <c r="DS331" i="3"/>
  <c r="DS332" i="3"/>
  <c r="DS333" i="3"/>
  <c r="DS334" i="3"/>
  <c r="DS335" i="3"/>
  <c r="DS336" i="3"/>
  <c r="DS337" i="3"/>
  <c r="DS338" i="3"/>
  <c r="DS339" i="3"/>
  <c r="DS340" i="3"/>
  <c r="DS341" i="3"/>
  <c r="DS342" i="3"/>
  <c r="DS343" i="3"/>
  <c r="DS344" i="3"/>
  <c r="DS345" i="3"/>
  <c r="DS346" i="3"/>
  <c r="DS347" i="3"/>
  <c r="DS348" i="3"/>
  <c r="DS349" i="3"/>
  <c r="DS350" i="3"/>
  <c r="DS351" i="3"/>
  <c r="DS352" i="3"/>
  <c r="DS353" i="3"/>
  <c r="DS354" i="3"/>
  <c r="DS355" i="3"/>
  <c r="DS356" i="3"/>
  <c r="DS357" i="3"/>
  <c r="DS358" i="3"/>
  <c r="DS359" i="3"/>
  <c r="DS360" i="3"/>
  <c r="DS361" i="3"/>
  <c r="DS362" i="3"/>
  <c r="DS363" i="3"/>
  <c r="DS364" i="3"/>
  <c r="DS365" i="3"/>
  <c r="DS366" i="3"/>
  <c r="DS367" i="3"/>
  <c r="DS368" i="3"/>
  <c r="DS369" i="3"/>
  <c r="DS370" i="3"/>
  <c r="DS371" i="3"/>
  <c r="DS372" i="3"/>
  <c r="DS373" i="3"/>
  <c r="DS374" i="3"/>
  <c r="DS375" i="3"/>
  <c r="DS376" i="3"/>
  <c r="DS377" i="3"/>
  <c r="DS378" i="3"/>
  <c r="DS379" i="3"/>
  <c r="DS380" i="3"/>
  <c r="DS381" i="3"/>
  <c r="DS382" i="3"/>
  <c r="DS383" i="3"/>
  <c r="DS384" i="3"/>
  <c r="DS385" i="3"/>
  <c r="DS386" i="3"/>
  <c r="DS387" i="3"/>
  <c r="DS388" i="3"/>
  <c r="DS389" i="3"/>
  <c r="DS390" i="3"/>
  <c r="DS391" i="3"/>
  <c r="DS392" i="3"/>
  <c r="DS393" i="3"/>
  <c r="DS394" i="3"/>
  <c r="DS395" i="3"/>
  <c r="DS396" i="3"/>
  <c r="DS397" i="3"/>
  <c r="DS398" i="3"/>
  <c r="DS399" i="3"/>
  <c r="DS400" i="3"/>
  <c r="DS401" i="3"/>
  <c r="DS402" i="3"/>
  <c r="DS403" i="3"/>
  <c r="DS404" i="3"/>
  <c r="DS405" i="3"/>
  <c r="DS406" i="3"/>
  <c r="DS407" i="3"/>
  <c r="DS408" i="3"/>
  <c r="DS409" i="3"/>
  <c r="DS410" i="3"/>
  <c r="DS411" i="3"/>
  <c r="DS412" i="3"/>
  <c r="DS413" i="3"/>
  <c r="DS414" i="3"/>
  <c r="DS415" i="3"/>
  <c r="DS416" i="3"/>
  <c r="DS417" i="3"/>
  <c r="DS418" i="3"/>
  <c r="DS419" i="3"/>
  <c r="DS420" i="3"/>
  <c r="DS421" i="3"/>
  <c r="DS422" i="3"/>
  <c r="DS423" i="3"/>
  <c r="DS424" i="3"/>
  <c r="DS425" i="3"/>
  <c r="DS426" i="3"/>
  <c r="DS427" i="3"/>
  <c r="DS428" i="3"/>
  <c r="DS429" i="3"/>
  <c r="DS430" i="3"/>
  <c r="DS431" i="3"/>
  <c r="DS432" i="3"/>
  <c r="DS433" i="3"/>
  <c r="DS434" i="3"/>
  <c r="DS435" i="3"/>
  <c r="DS436" i="3"/>
  <c r="DS437" i="3"/>
  <c r="DS438" i="3"/>
  <c r="DS439" i="3"/>
  <c r="DS440" i="3"/>
  <c r="DS441" i="3"/>
  <c r="DS442" i="3"/>
  <c r="DS443" i="3"/>
  <c r="DS444" i="3"/>
  <c r="DS445" i="3"/>
  <c r="DS446" i="3"/>
  <c r="DS447" i="3"/>
  <c r="DS448" i="3"/>
  <c r="DS449" i="3"/>
  <c r="DS450" i="3"/>
  <c r="DS451" i="3"/>
  <c r="DS452" i="3"/>
  <c r="DS453" i="3"/>
  <c r="DS454" i="3"/>
  <c r="DS455" i="3"/>
  <c r="DS456" i="3"/>
  <c r="DS457" i="3"/>
  <c r="DS458" i="3"/>
  <c r="DS459" i="3"/>
  <c r="DS460" i="3"/>
  <c r="DS461" i="3"/>
  <c r="DS462" i="3"/>
  <c r="DS463" i="3"/>
  <c r="DS464" i="3"/>
  <c r="DS465" i="3"/>
  <c r="DS466" i="3"/>
  <c r="DS467" i="3"/>
  <c r="DS468" i="3"/>
  <c r="DS469" i="3"/>
  <c r="DS470" i="3"/>
  <c r="DS471" i="3"/>
  <c r="DS472" i="3"/>
  <c r="DS473" i="3"/>
  <c r="DS474" i="3"/>
  <c r="DS475" i="3"/>
  <c r="DS476" i="3"/>
  <c r="DS477" i="3"/>
  <c r="DS478" i="3"/>
  <c r="DS479" i="3"/>
  <c r="DS480" i="3"/>
  <c r="DS481" i="3"/>
  <c r="DS482" i="3"/>
  <c r="DS483" i="3"/>
  <c r="DS484" i="3"/>
  <c r="DS485" i="3"/>
  <c r="DS486" i="3"/>
  <c r="DS487" i="3"/>
  <c r="DS488" i="3"/>
  <c r="DS489" i="3"/>
  <c r="DS490" i="3"/>
  <c r="DS491" i="3"/>
  <c r="DS492" i="3"/>
  <c r="DS493" i="3"/>
  <c r="DS494" i="3"/>
  <c r="DS495" i="3"/>
  <c r="DS496" i="3"/>
  <c r="DS497" i="3"/>
  <c r="DS498" i="3"/>
  <c r="DS499" i="3"/>
  <c r="DS500" i="3"/>
  <c r="DS501" i="3"/>
  <c r="DS502" i="3"/>
  <c r="DS503" i="3"/>
  <c r="DS504" i="3"/>
  <c r="DS505" i="3"/>
  <c r="DS506" i="3"/>
  <c r="DS507" i="3"/>
  <c r="DS508" i="3"/>
  <c r="DS509" i="3"/>
  <c r="DS510" i="3"/>
  <c r="DS511" i="3"/>
  <c r="DS512" i="3"/>
  <c r="DS513" i="3"/>
  <c r="DS514" i="3"/>
  <c r="DS515" i="3"/>
  <c r="DS516" i="3"/>
  <c r="DS517" i="3"/>
  <c r="DS518" i="3"/>
  <c r="DS519" i="3"/>
  <c r="DS520" i="3"/>
  <c r="DS521" i="3"/>
  <c r="DS522" i="3"/>
  <c r="DS523" i="3"/>
  <c r="DS524" i="3"/>
  <c r="DS525" i="3"/>
  <c r="DS526" i="3"/>
  <c r="DS527" i="3"/>
  <c r="DS528" i="3"/>
  <c r="DS529" i="3"/>
  <c r="DS530" i="3"/>
  <c r="DS531" i="3"/>
  <c r="DS532" i="3"/>
  <c r="DS533" i="3"/>
  <c r="DS534" i="3"/>
  <c r="DS535" i="3"/>
  <c r="DS536" i="3"/>
  <c r="DS537" i="3"/>
  <c r="DS538" i="3"/>
  <c r="DS539" i="3"/>
  <c r="DS540" i="3"/>
  <c r="DS541" i="3"/>
  <c r="DS542" i="3"/>
  <c r="DS543" i="3"/>
  <c r="DS544" i="3"/>
  <c r="DS545" i="3"/>
  <c r="DS546" i="3"/>
  <c r="DS547" i="3"/>
  <c r="DS548" i="3"/>
  <c r="DS549" i="3"/>
  <c r="DS550" i="3"/>
  <c r="DS551" i="3"/>
  <c r="DS552" i="3"/>
  <c r="DS553" i="3"/>
  <c r="DS554" i="3"/>
  <c r="DS555" i="3"/>
  <c r="DS556" i="3"/>
  <c r="DS557" i="3"/>
  <c r="DS558" i="3"/>
  <c r="DS559" i="3"/>
  <c r="DS560" i="3"/>
  <c r="DS561" i="3"/>
  <c r="DS562" i="3"/>
  <c r="DS563" i="3"/>
  <c r="DS564" i="3"/>
  <c r="DS565" i="3"/>
  <c r="DS566" i="3"/>
  <c r="DS567" i="3"/>
  <c r="DS568" i="3"/>
  <c r="DS569" i="3"/>
  <c r="DS570" i="3"/>
  <c r="DS571" i="3"/>
  <c r="DS572" i="3"/>
  <c r="DS573" i="3"/>
  <c r="DS574" i="3"/>
  <c r="DS575" i="3"/>
  <c r="DS576" i="3"/>
  <c r="DS577" i="3"/>
  <c r="DS578" i="3"/>
  <c r="DS579" i="3"/>
  <c r="DS580" i="3"/>
  <c r="DS581" i="3"/>
  <c r="DS582" i="3"/>
  <c r="DS583" i="3"/>
  <c r="DS584" i="3"/>
  <c r="DS585" i="3"/>
  <c r="DS586" i="3"/>
  <c r="DS587" i="3"/>
  <c r="DS588" i="3"/>
  <c r="DS589" i="3"/>
  <c r="DS590" i="3"/>
  <c r="DS591" i="3"/>
  <c r="DS592" i="3"/>
  <c r="DS593" i="3"/>
  <c r="DS594" i="3"/>
  <c r="DS595" i="3"/>
  <c r="DS596" i="3"/>
  <c r="DS597" i="3"/>
  <c r="DS598" i="3"/>
  <c r="DS599" i="3"/>
  <c r="DS600" i="3"/>
  <c r="DT9" i="3"/>
  <c r="DT10" i="3"/>
  <c r="DT11" i="3"/>
  <c r="DT12" i="3"/>
  <c r="DT13" i="3"/>
  <c r="DT14" i="3"/>
  <c r="DT15" i="3"/>
  <c r="DT16" i="3"/>
  <c r="DT17" i="3"/>
  <c r="DT18" i="3"/>
  <c r="DT19" i="3"/>
  <c r="DT20" i="3"/>
  <c r="DT21" i="3"/>
  <c r="DT22" i="3"/>
  <c r="DT23" i="3"/>
  <c r="DT24" i="3"/>
  <c r="DT25" i="3"/>
  <c r="DT26" i="3"/>
  <c r="DT27" i="3"/>
  <c r="DT28" i="3"/>
  <c r="DT29" i="3"/>
  <c r="DT30" i="3"/>
  <c r="DT31" i="3"/>
  <c r="DT32" i="3"/>
  <c r="DT33" i="3"/>
  <c r="DT34" i="3"/>
  <c r="DT35" i="3"/>
  <c r="DT36" i="3"/>
  <c r="DT37" i="3"/>
  <c r="DT38" i="3"/>
  <c r="DT39" i="3"/>
  <c r="DT40" i="3"/>
  <c r="DT41" i="3"/>
  <c r="DT42" i="3"/>
  <c r="DT43" i="3"/>
  <c r="DT44" i="3"/>
  <c r="DT45" i="3"/>
  <c r="DT46" i="3"/>
  <c r="DT47" i="3"/>
  <c r="DT48" i="3"/>
  <c r="DT49" i="3"/>
  <c r="DT50" i="3"/>
  <c r="DT51" i="3"/>
  <c r="DT52" i="3"/>
  <c r="DT53" i="3"/>
  <c r="DT54" i="3"/>
  <c r="DT55" i="3"/>
  <c r="DT56" i="3"/>
  <c r="DT57" i="3"/>
  <c r="DT58" i="3"/>
  <c r="DT59" i="3"/>
  <c r="DT60" i="3"/>
  <c r="DT61" i="3"/>
  <c r="DT62" i="3"/>
  <c r="DT63" i="3"/>
  <c r="DT64" i="3"/>
  <c r="DT65" i="3"/>
  <c r="DT66" i="3"/>
  <c r="DT67" i="3"/>
  <c r="DT68" i="3"/>
  <c r="DT69" i="3"/>
  <c r="DT70" i="3"/>
  <c r="DT71" i="3"/>
  <c r="DT72" i="3"/>
  <c r="DT73" i="3"/>
  <c r="DT74" i="3"/>
  <c r="DT75" i="3"/>
  <c r="DT76" i="3"/>
  <c r="DT77" i="3"/>
  <c r="DT78" i="3"/>
  <c r="DT79" i="3"/>
  <c r="DT80" i="3"/>
  <c r="DT81" i="3"/>
  <c r="DT82" i="3"/>
  <c r="DT83" i="3"/>
  <c r="DT84" i="3"/>
  <c r="DT85" i="3"/>
  <c r="DT86" i="3"/>
  <c r="DT87" i="3"/>
  <c r="DT88" i="3"/>
  <c r="DT89" i="3"/>
  <c r="DT90" i="3"/>
  <c r="DT91" i="3"/>
  <c r="DT92" i="3"/>
  <c r="DT93" i="3"/>
  <c r="DT94" i="3"/>
  <c r="DT95" i="3"/>
  <c r="DT96" i="3"/>
  <c r="DT97" i="3"/>
  <c r="DT98" i="3"/>
  <c r="DT99" i="3"/>
  <c r="DT100" i="3"/>
  <c r="DT101" i="3"/>
  <c r="DT102" i="3"/>
  <c r="DT103" i="3"/>
  <c r="DT104" i="3"/>
  <c r="DT105" i="3"/>
  <c r="DT106" i="3"/>
  <c r="DT107" i="3"/>
  <c r="DT108" i="3"/>
  <c r="DT109" i="3"/>
  <c r="DT110" i="3"/>
  <c r="DT111" i="3"/>
  <c r="DT112" i="3"/>
  <c r="DT113" i="3"/>
  <c r="DT114" i="3"/>
  <c r="DT115" i="3"/>
  <c r="DT116" i="3"/>
  <c r="DT117" i="3"/>
  <c r="DT118" i="3"/>
  <c r="DT119" i="3"/>
  <c r="DT120" i="3"/>
  <c r="DT121" i="3"/>
  <c r="DT122" i="3"/>
  <c r="DT123" i="3"/>
  <c r="DT124" i="3"/>
  <c r="DT125" i="3"/>
  <c r="DT126" i="3"/>
  <c r="DT127" i="3"/>
  <c r="DT128" i="3"/>
  <c r="DT129" i="3"/>
  <c r="DT130" i="3"/>
  <c r="DT131" i="3"/>
  <c r="DT132" i="3"/>
  <c r="DT133" i="3"/>
  <c r="DT134" i="3"/>
  <c r="DT135" i="3"/>
  <c r="DT136" i="3"/>
  <c r="DT137" i="3"/>
  <c r="DT138" i="3"/>
  <c r="DT139" i="3"/>
  <c r="DT140" i="3"/>
  <c r="DT141" i="3"/>
  <c r="DT142" i="3"/>
  <c r="DT143" i="3"/>
  <c r="DT144" i="3"/>
  <c r="DT145" i="3"/>
  <c r="DT146" i="3"/>
  <c r="DT147" i="3"/>
  <c r="DT148" i="3"/>
  <c r="DT149" i="3"/>
  <c r="DT150" i="3"/>
  <c r="DT151" i="3"/>
  <c r="DT152" i="3"/>
  <c r="DT153" i="3"/>
  <c r="DT154" i="3"/>
  <c r="DT155" i="3"/>
  <c r="DT156" i="3"/>
  <c r="DT157" i="3"/>
  <c r="DT158" i="3"/>
  <c r="DT159" i="3"/>
  <c r="DT160" i="3"/>
  <c r="DT161" i="3"/>
  <c r="DT162" i="3"/>
  <c r="DT163" i="3"/>
  <c r="DT164" i="3"/>
  <c r="DT165" i="3"/>
  <c r="DT166" i="3"/>
  <c r="DT167" i="3"/>
  <c r="DT168" i="3"/>
  <c r="DT169" i="3"/>
  <c r="DT170" i="3"/>
  <c r="DT171" i="3"/>
  <c r="DT172" i="3"/>
  <c r="DT173" i="3"/>
  <c r="DT174" i="3"/>
  <c r="DT175" i="3"/>
  <c r="DT176" i="3"/>
  <c r="DT177" i="3"/>
  <c r="DT178" i="3"/>
  <c r="DT179" i="3"/>
  <c r="DT180" i="3"/>
  <c r="DT181" i="3"/>
  <c r="DT182" i="3"/>
  <c r="DT183" i="3"/>
  <c r="DT184" i="3"/>
  <c r="DT185" i="3"/>
  <c r="DT186" i="3"/>
  <c r="DT187" i="3"/>
  <c r="DT188" i="3"/>
  <c r="DT189" i="3"/>
  <c r="DT190" i="3"/>
  <c r="DT191" i="3"/>
  <c r="DT192" i="3"/>
  <c r="DT193" i="3"/>
  <c r="DT194" i="3"/>
  <c r="DT195" i="3"/>
  <c r="DT196" i="3"/>
  <c r="DT197" i="3"/>
  <c r="DT198" i="3"/>
  <c r="DT199" i="3"/>
  <c r="DT200" i="3"/>
  <c r="DT201" i="3"/>
  <c r="DT202" i="3"/>
  <c r="DT203" i="3"/>
  <c r="DT204" i="3"/>
  <c r="DT205" i="3"/>
  <c r="DT206" i="3"/>
  <c r="DT207" i="3"/>
  <c r="DT208" i="3"/>
  <c r="DT209" i="3"/>
  <c r="DT210" i="3"/>
  <c r="DT211" i="3"/>
  <c r="DT212" i="3"/>
  <c r="DT213" i="3"/>
  <c r="DT214" i="3"/>
  <c r="DT215" i="3"/>
  <c r="DT216" i="3"/>
  <c r="DT217" i="3"/>
  <c r="DT218" i="3"/>
  <c r="DT219" i="3"/>
  <c r="DT220" i="3"/>
  <c r="DT221" i="3"/>
  <c r="DT222" i="3"/>
  <c r="DT223" i="3"/>
  <c r="DT224" i="3"/>
  <c r="DT225" i="3"/>
  <c r="DT226" i="3"/>
  <c r="DT227" i="3"/>
  <c r="DT228" i="3"/>
  <c r="DT229" i="3"/>
  <c r="DT230" i="3"/>
  <c r="DT231" i="3"/>
  <c r="DT232" i="3"/>
  <c r="DT233" i="3"/>
  <c r="DT234" i="3"/>
  <c r="DT235" i="3"/>
  <c r="DT236" i="3"/>
  <c r="DT237" i="3"/>
  <c r="DT238" i="3"/>
  <c r="DT239" i="3"/>
  <c r="DT240" i="3"/>
  <c r="DT241" i="3"/>
  <c r="DT242" i="3"/>
  <c r="DT243" i="3"/>
  <c r="DT244" i="3"/>
  <c r="DT245" i="3"/>
  <c r="DT246" i="3"/>
  <c r="DT247" i="3"/>
  <c r="DT248" i="3"/>
  <c r="DT249" i="3"/>
  <c r="DT250" i="3"/>
  <c r="DT251" i="3"/>
  <c r="DT252" i="3"/>
  <c r="DT253" i="3"/>
  <c r="DT254" i="3"/>
  <c r="DT255" i="3"/>
  <c r="DT256" i="3"/>
  <c r="DT257" i="3"/>
  <c r="DT258" i="3"/>
  <c r="DT259" i="3"/>
  <c r="DT260" i="3"/>
  <c r="DT261" i="3"/>
  <c r="DT262" i="3"/>
  <c r="DT263" i="3"/>
  <c r="DT264" i="3"/>
  <c r="DT265" i="3"/>
  <c r="DT266" i="3"/>
  <c r="DT267" i="3"/>
  <c r="DT268" i="3"/>
  <c r="DT269" i="3"/>
  <c r="DT270" i="3"/>
  <c r="DT271" i="3"/>
  <c r="DT272" i="3"/>
  <c r="DT273" i="3"/>
  <c r="DT274" i="3"/>
  <c r="DT275" i="3"/>
  <c r="DT276" i="3"/>
  <c r="DT277" i="3"/>
  <c r="DT278" i="3"/>
  <c r="DT279" i="3"/>
  <c r="DT280" i="3"/>
  <c r="DT281" i="3"/>
  <c r="DT282" i="3"/>
  <c r="DT283" i="3"/>
  <c r="DT284" i="3"/>
  <c r="DT285" i="3"/>
  <c r="DT286" i="3"/>
  <c r="DT287" i="3"/>
  <c r="DT288" i="3"/>
  <c r="DT289" i="3"/>
  <c r="DT290" i="3"/>
  <c r="DT291" i="3"/>
  <c r="DT292" i="3"/>
  <c r="DT293" i="3"/>
  <c r="DT294" i="3"/>
  <c r="DT295" i="3"/>
  <c r="DT296" i="3"/>
  <c r="DT297" i="3"/>
  <c r="DT298" i="3"/>
  <c r="DT299" i="3"/>
  <c r="DT300" i="3"/>
  <c r="DT301" i="3"/>
  <c r="DT302" i="3"/>
  <c r="DT303" i="3"/>
  <c r="DT304" i="3"/>
  <c r="DT305" i="3"/>
  <c r="DT306" i="3"/>
  <c r="DT307" i="3"/>
  <c r="DT308" i="3"/>
  <c r="DT309" i="3"/>
  <c r="DT310" i="3"/>
  <c r="DT311" i="3"/>
  <c r="DT312" i="3"/>
  <c r="DT313" i="3"/>
  <c r="DT314" i="3"/>
  <c r="DT315" i="3"/>
  <c r="DT316" i="3"/>
  <c r="DT317" i="3"/>
  <c r="DT318" i="3"/>
  <c r="DT319" i="3"/>
  <c r="DT320" i="3"/>
  <c r="DT321" i="3"/>
  <c r="DT322" i="3"/>
  <c r="DT323" i="3"/>
  <c r="DT324" i="3"/>
  <c r="DT325" i="3"/>
  <c r="DT326" i="3"/>
  <c r="DT327" i="3"/>
  <c r="DT328" i="3"/>
  <c r="DT329" i="3"/>
  <c r="DT330" i="3"/>
  <c r="DT331" i="3"/>
  <c r="DT332" i="3"/>
  <c r="DT333" i="3"/>
  <c r="DT334" i="3"/>
  <c r="DT335" i="3"/>
  <c r="DT336" i="3"/>
  <c r="DT337" i="3"/>
  <c r="DT338" i="3"/>
  <c r="DT339" i="3"/>
  <c r="DT340" i="3"/>
  <c r="DT341" i="3"/>
  <c r="DT342" i="3"/>
  <c r="DT343" i="3"/>
  <c r="DT344" i="3"/>
  <c r="DT345" i="3"/>
  <c r="DT346" i="3"/>
  <c r="DT347" i="3"/>
  <c r="DT348" i="3"/>
  <c r="DT349" i="3"/>
  <c r="DT350" i="3"/>
  <c r="DT351" i="3"/>
  <c r="DT352" i="3"/>
  <c r="DT353" i="3"/>
  <c r="DT354" i="3"/>
  <c r="DT355" i="3"/>
  <c r="DT356" i="3"/>
  <c r="DT357" i="3"/>
  <c r="DT358" i="3"/>
  <c r="DT359" i="3"/>
  <c r="DT360" i="3"/>
  <c r="DT361" i="3"/>
  <c r="DT362" i="3"/>
  <c r="DT363" i="3"/>
  <c r="DT364" i="3"/>
  <c r="DT365" i="3"/>
  <c r="DT366" i="3"/>
  <c r="DT367" i="3"/>
  <c r="DT368" i="3"/>
  <c r="DT369" i="3"/>
  <c r="DT370" i="3"/>
  <c r="DT371" i="3"/>
  <c r="DT372" i="3"/>
  <c r="DT373" i="3"/>
  <c r="DT374" i="3"/>
  <c r="DT375" i="3"/>
  <c r="DT376" i="3"/>
  <c r="DT377" i="3"/>
  <c r="DT378" i="3"/>
  <c r="DT379" i="3"/>
  <c r="DT380" i="3"/>
  <c r="DT381" i="3"/>
  <c r="DT382" i="3"/>
  <c r="DT383" i="3"/>
  <c r="DT384" i="3"/>
  <c r="DT385" i="3"/>
  <c r="DT386" i="3"/>
  <c r="DT387" i="3"/>
  <c r="DT388" i="3"/>
  <c r="DT389" i="3"/>
  <c r="DT390" i="3"/>
  <c r="DT391" i="3"/>
  <c r="DT392" i="3"/>
  <c r="DT393" i="3"/>
  <c r="DT394" i="3"/>
  <c r="DT395" i="3"/>
  <c r="DT396" i="3"/>
  <c r="DT397" i="3"/>
  <c r="DT398" i="3"/>
  <c r="DT399" i="3"/>
  <c r="DT400" i="3"/>
  <c r="DT401" i="3"/>
  <c r="DT402" i="3"/>
  <c r="DT403" i="3"/>
  <c r="DT404" i="3"/>
  <c r="DT405" i="3"/>
  <c r="DT406" i="3"/>
  <c r="DT407" i="3"/>
  <c r="DT408" i="3"/>
  <c r="DT409" i="3"/>
  <c r="DT410" i="3"/>
  <c r="DT411" i="3"/>
  <c r="DT412" i="3"/>
  <c r="DT413" i="3"/>
  <c r="DT414" i="3"/>
  <c r="DT415" i="3"/>
  <c r="DT416" i="3"/>
  <c r="DT417" i="3"/>
  <c r="DT418" i="3"/>
  <c r="DT419" i="3"/>
  <c r="DT420" i="3"/>
  <c r="DT421" i="3"/>
  <c r="DT422" i="3"/>
  <c r="DT423" i="3"/>
  <c r="DT424" i="3"/>
  <c r="DT425" i="3"/>
  <c r="DT426" i="3"/>
  <c r="DT427" i="3"/>
  <c r="DT428" i="3"/>
  <c r="DT429" i="3"/>
  <c r="DT430" i="3"/>
  <c r="DT431" i="3"/>
  <c r="DT432" i="3"/>
  <c r="DT433" i="3"/>
  <c r="DT434" i="3"/>
  <c r="DT435" i="3"/>
  <c r="DT436" i="3"/>
  <c r="DT437" i="3"/>
  <c r="DT438" i="3"/>
  <c r="DT439" i="3"/>
  <c r="DT440" i="3"/>
  <c r="DT441" i="3"/>
  <c r="DT442" i="3"/>
  <c r="DT443" i="3"/>
  <c r="DT444" i="3"/>
  <c r="DT445" i="3"/>
  <c r="DT446" i="3"/>
  <c r="DT447" i="3"/>
  <c r="DT448" i="3"/>
  <c r="DT449" i="3"/>
  <c r="DT450" i="3"/>
  <c r="DT451" i="3"/>
  <c r="DT452" i="3"/>
  <c r="DT453" i="3"/>
  <c r="DT454" i="3"/>
  <c r="DT455" i="3"/>
  <c r="DT456" i="3"/>
  <c r="DT457" i="3"/>
  <c r="DT458" i="3"/>
  <c r="DT459" i="3"/>
  <c r="DT460" i="3"/>
  <c r="DT461" i="3"/>
  <c r="DT462" i="3"/>
  <c r="DT463" i="3"/>
  <c r="DT464" i="3"/>
  <c r="DT465" i="3"/>
  <c r="DT466" i="3"/>
  <c r="DT467" i="3"/>
  <c r="DT468" i="3"/>
  <c r="DT469" i="3"/>
  <c r="DT470" i="3"/>
  <c r="DT471" i="3"/>
  <c r="DT472" i="3"/>
  <c r="DT473" i="3"/>
  <c r="DT474" i="3"/>
  <c r="DT475" i="3"/>
  <c r="DT476" i="3"/>
  <c r="DT477" i="3"/>
  <c r="DT478" i="3"/>
  <c r="DT479" i="3"/>
  <c r="DT480" i="3"/>
  <c r="DT481" i="3"/>
  <c r="DT482" i="3"/>
  <c r="DT483" i="3"/>
  <c r="DT484" i="3"/>
  <c r="DT485" i="3"/>
  <c r="DT486" i="3"/>
  <c r="DT487" i="3"/>
  <c r="DT488" i="3"/>
  <c r="DT489" i="3"/>
  <c r="DT490" i="3"/>
  <c r="DT491" i="3"/>
  <c r="DT492" i="3"/>
  <c r="DT493" i="3"/>
  <c r="DT494" i="3"/>
  <c r="DT495" i="3"/>
  <c r="DT496" i="3"/>
  <c r="DT497" i="3"/>
  <c r="DT498" i="3"/>
  <c r="DT499" i="3"/>
  <c r="DT500" i="3"/>
  <c r="DT501" i="3"/>
  <c r="DT502" i="3"/>
  <c r="DT503" i="3"/>
  <c r="DT504" i="3"/>
  <c r="DT505" i="3"/>
  <c r="DT506" i="3"/>
  <c r="DT507" i="3"/>
  <c r="DT508" i="3"/>
  <c r="DT509" i="3"/>
  <c r="DT510" i="3"/>
  <c r="DT511" i="3"/>
  <c r="DT512" i="3"/>
  <c r="DT513" i="3"/>
  <c r="DT514" i="3"/>
  <c r="DT515" i="3"/>
  <c r="DT516" i="3"/>
  <c r="DT517" i="3"/>
  <c r="DT518" i="3"/>
  <c r="DT519" i="3"/>
  <c r="DT520" i="3"/>
  <c r="DT521" i="3"/>
  <c r="DT522" i="3"/>
  <c r="DT523" i="3"/>
  <c r="DT524" i="3"/>
  <c r="DT525" i="3"/>
  <c r="DT526" i="3"/>
  <c r="DT527" i="3"/>
  <c r="DT528" i="3"/>
  <c r="DT529" i="3"/>
  <c r="DT530" i="3"/>
  <c r="DT531" i="3"/>
  <c r="DT532" i="3"/>
  <c r="DT533" i="3"/>
  <c r="DT534" i="3"/>
  <c r="DT535" i="3"/>
  <c r="DT536" i="3"/>
  <c r="DT537" i="3"/>
  <c r="DT538" i="3"/>
  <c r="DT539" i="3"/>
  <c r="DT540" i="3"/>
  <c r="DT541" i="3"/>
  <c r="DT542" i="3"/>
  <c r="DT543" i="3"/>
  <c r="DT544" i="3"/>
  <c r="DT545" i="3"/>
  <c r="DT546" i="3"/>
  <c r="DT547" i="3"/>
  <c r="DT548" i="3"/>
  <c r="DT549" i="3"/>
  <c r="DT550" i="3"/>
  <c r="DT551" i="3"/>
  <c r="DT552" i="3"/>
  <c r="DT553" i="3"/>
  <c r="DT554" i="3"/>
  <c r="DT555" i="3"/>
  <c r="DT556" i="3"/>
  <c r="DT557" i="3"/>
  <c r="DT558" i="3"/>
  <c r="DT559" i="3"/>
  <c r="DT560" i="3"/>
  <c r="DT561" i="3"/>
  <c r="DT562" i="3"/>
  <c r="DT563" i="3"/>
  <c r="DT564" i="3"/>
  <c r="DT565" i="3"/>
  <c r="DT566" i="3"/>
  <c r="DT567" i="3"/>
  <c r="DT568" i="3"/>
  <c r="DT569" i="3"/>
  <c r="DT570" i="3"/>
  <c r="DT571" i="3"/>
  <c r="DT572" i="3"/>
  <c r="DT573" i="3"/>
  <c r="DT574" i="3"/>
  <c r="DT575" i="3"/>
  <c r="DT576" i="3"/>
  <c r="DT577" i="3"/>
  <c r="DT578" i="3"/>
  <c r="DT579" i="3"/>
  <c r="DT580" i="3"/>
  <c r="DT581" i="3"/>
  <c r="DT582" i="3"/>
  <c r="DT583" i="3"/>
  <c r="DT584" i="3"/>
  <c r="DT585" i="3"/>
  <c r="DT586" i="3"/>
  <c r="DT587" i="3"/>
  <c r="DT588" i="3"/>
  <c r="DT589" i="3"/>
  <c r="DT590" i="3"/>
  <c r="DT591" i="3"/>
  <c r="DT592" i="3"/>
  <c r="DT593" i="3"/>
  <c r="DT594" i="3"/>
  <c r="DT595" i="3"/>
  <c r="DT596" i="3"/>
  <c r="DT597" i="3"/>
  <c r="DT598" i="3"/>
  <c r="DT599" i="3"/>
  <c r="DT600" i="3"/>
  <c r="DU9" i="3"/>
  <c r="DU10" i="3"/>
  <c r="DU11" i="3"/>
  <c r="DU12" i="3"/>
  <c r="DU13" i="3"/>
  <c r="DU14" i="3"/>
  <c r="DU15" i="3"/>
  <c r="DU16" i="3"/>
  <c r="DU17" i="3"/>
  <c r="DU18" i="3"/>
  <c r="DU19" i="3"/>
  <c r="DU20" i="3"/>
  <c r="DU21" i="3"/>
  <c r="DU22" i="3"/>
  <c r="DU23" i="3"/>
  <c r="DU24" i="3"/>
  <c r="DU25" i="3"/>
  <c r="DU26" i="3"/>
  <c r="DU27" i="3"/>
  <c r="DU28" i="3"/>
  <c r="DU29" i="3"/>
  <c r="DU30" i="3"/>
  <c r="DU31" i="3"/>
  <c r="DU32" i="3"/>
  <c r="DU33" i="3"/>
  <c r="DU34" i="3"/>
  <c r="DU35" i="3"/>
  <c r="DU36" i="3"/>
  <c r="DU37" i="3"/>
  <c r="DU38" i="3"/>
  <c r="DU39" i="3"/>
  <c r="DU40" i="3"/>
  <c r="DU41" i="3"/>
  <c r="DU42" i="3"/>
  <c r="DU43" i="3"/>
  <c r="DU44" i="3"/>
  <c r="DU45" i="3"/>
  <c r="DU46" i="3"/>
  <c r="DU47" i="3"/>
  <c r="DU48" i="3"/>
  <c r="DU49" i="3"/>
  <c r="DU50" i="3"/>
  <c r="DU51" i="3"/>
  <c r="DU52" i="3"/>
  <c r="DU53" i="3"/>
  <c r="DU54" i="3"/>
  <c r="DU55" i="3"/>
  <c r="DU56" i="3"/>
  <c r="DU57" i="3"/>
  <c r="DU58" i="3"/>
  <c r="DU59" i="3"/>
  <c r="DU60" i="3"/>
  <c r="DU61" i="3"/>
  <c r="DU62" i="3"/>
  <c r="DU63" i="3"/>
  <c r="DU64" i="3"/>
  <c r="DU65" i="3"/>
  <c r="DU66" i="3"/>
  <c r="DU67" i="3"/>
  <c r="DU68" i="3"/>
  <c r="DU69" i="3"/>
  <c r="DU70" i="3"/>
  <c r="DU71" i="3"/>
  <c r="DU72" i="3"/>
  <c r="DU73" i="3"/>
  <c r="DU74" i="3"/>
  <c r="DU75" i="3"/>
  <c r="DU76" i="3"/>
  <c r="DU77" i="3"/>
  <c r="DU78" i="3"/>
  <c r="DU79" i="3"/>
  <c r="DU80" i="3"/>
  <c r="DU81" i="3"/>
  <c r="DU82" i="3"/>
  <c r="DU83" i="3"/>
  <c r="DU84" i="3"/>
  <c r="DU85" i="3"/>
  <c r="DU86" i="3"/>
  <c r="DU87" i="3"/>
  <c r="DU88" i="3"/>
  <c r="DU89" i="3"/>
  <c r="DU90" i="3"/>
  <c r="DU91" i="3"/>
  <c r="DU92" i="3"/>
  <c r="DU93" i="3"/>
  <c r="DU94" i="3"/>
  <c r="DU95" i="3"/>
  <c r="DU96" i="3"/>
  <c r="DU97" i="3"/>
  <c r="DU98" i="3"/>
  <c r="DU99" i="3"/>
  <c r="DU100" i="3"/>
  <c r="DU101" i="3"/>
  <c r="DU102" i="3"/>
  <c r="DU103" i="3"/>
  <c r="DU104" i="3"/>
  <c r="DU105" i="3"/>
  <c r="DU106" i="3"/>
  <c r="DU107" i="3"/>
  <c r="DU108" i="3"/>
  <c r="DU109" i="3"/>
  <c r="DU110" i="3"/>
  <c r="DU111" i="3"/>
  <c r="DU112" i="3"/>
  <c r="DU113" i="3"/>
  <c r="DU114" i="3"/>
  <c r="DU115" i="3"/>
  <c r="DU116" i="3"/>
  <c r="DU117" i="3"/>
  <c r="DU118" i="3"/>
  <c r="DU119" i="3"/>
  <c r="DU120" i="3"/>
  <c r="DU121" i="3"/>
  <c r="DU122" i="3"/>
  <c r="DU123" i="3"/>
  <c r="DU124" i="3"/>
  <c r="DU125" i="3"/>
  <c r="DU126" i="3"/>
  <c r="DU127" i="3"/>
  <c r="DU128" i="3"/>
  <c r="DU129" i="3"/>
  <c r="DU130" i="3"/>
  <c r="DU131" i="3"/>
  <c r="DU132" i="3"/>
  <c r="DU133" i="3"/>
  <c r="DU134" i="3"/>
  <c r="DU135" i="3"/>
  <c r="DU136" i="3"/>
  <c r="DU137" i="3"/>
  <c r="DU138" i="3"/>
  <c r="DU139" i="3"/>
  <c r="DU140" i="3"/>
  <c r="DU141" i="3"/>
  <c r="DU142" i="3"/>
  <c r="DU143" i="3"/>
  <c r="DU144" i="3"/>
  <c r="DU145" i="3"/>
  <c r="DU146" i="3"/>
  <c r="DU147" i="3"/>
  <c r="DU148" i="3"/>
  <c r="DU149" i="3"/>
  <c r="DU150" i="3"/>
  <c r="DU151" i="3"/>
  <c r="DU152" i="3"/>
  <c r="DU153" i="3"/>
  <c r="DU154" i="3"/>
  <c r="DU155" i="3"/>
  <c r="DU156" i="3"/>
  <c r="DU157" i="3"/>
  <c r="DU158" i="3"/>
  <c r="DU159" i="3"/>
  <c r="DU160" i="3"/>
  <c r="DU161" i="3"/>
  <c r="DU162" i="3"/>
  <c r="DU163" i="3"/>
  <c r="DU164" i="3"/>
  <c r="DU165" i="3"/>
  <c r="DU166" i="3"/>
  <c r="DU167" i="3"/>
  <c r="DU168" i="3"/>
  <c r="DU169" i="3"/>
  <c r="DU170" i="3"/>
  <c r="DU171" i="3"/>
  <c r="DU172" i="3"/>
  <c r="DU173" i="3"/>
  <c r="DU174" i="3"/>
  <c r="DU175" i="3"/>
  <c r="DU176" i="3"/>
  <c r="DU177" i="3"/>
  <c r="DU178" i="3"/>
  <c r="DU179" i="3"/>
  <c r="DU180" i="3"/>
  <c r="DU181" i="3"/>
  <c r="DU182" i="3"/>
  <c r="DU183" i="3"/>
  <c r="DU184" i="3"/>
  <c r="DU185" i="3"/>
  <c r="DU186" i="3"/>
  <c r="DU187" i="3"/>
  <c r="DU188" i="3"/>
  <c r="DU189" i="3"/>
  <c r="DU190" i="3"/>
  <c r="DU191" i="3"/>
  <c r="DU192" i="3"/>
  <c r="DU193" i="3"/>
  <c r="DU194" i="3"/>
  <c r="DU195" i="3"/>
  <c r="DU196" i="3"/>
  <c r="DU197" i="3"/>
  <c r="DU198" i="3"/>
  <c r="DU199" i="3"/>
  <c r="DU200" i="3"/>
  <c r="DU201" i="3"/>
  <c r="DU202" i="3"/>
  <c r="DU203" i="3"/>
  <c r="DU204" i="3"/>
  <c r="DU205" i="3"/>
  <c r="DU206" i="3"/>
  <c r="DU207" i="3"/>
  <c r="DU208" i="3"/>
  <c r="DU209" i="3"/>
  <c r="DU210" i="3"/>
  <c r="DU211" i="3"/>
  <c r="DU212" i="3"/>
  <c r="DU213" i="3"/>
  <c r="DU214" i="3"/>
  <c r="DU215" i="3"/>
  <c r="DU216" i="3"/>
  <c r="DU217" i="3"/>
  <c r="DU218" i="3"/>
  <c r="DU219" i="3"/>
  <c r="DU220" i="3"/>
  <c r="DU221" i="3"/>
  <c r="DU222" i="3"/>
  <c r="DU223" i="3"/>
  <c r="DU224" i="3"/>
  <c r="DU225" i="3"/>
  <c r="DU226" i="3"/>
  <c r="DU227" i="3"/>
  <c r="DU228" i="3"/>
  <c r="DU229" i="3"/>
  <c r="DU230" i="3"/>
  <c r="DU231" i="3"/>
  <c r="DU232" i="3"/>
  <c r="DU233" i="3"/>
  <c r="DU234" i="3"/>
  <c r="DU235" i="3"/>
  <c r="DU236" i="3"/>
  <c r="DU237" i="3"/>
  <c r="DU238" i="3"/>
  <c r="DU239" i="3"/>
  <c r="DU240" i="3"/>
  <c r="DU241" i="3"/>
  <c r="DU242" i="3"/>
  <c r="DU243" i="3"/>
  <c r="DU244" i="3"/>
  <c r="DU245" i="3"/>
  <c r="DU246" i="3"/>
  <c r="DU247" i="3"/>
  <c r="DU248" i="3"/>
  <c r="DU249" i="3"/>
  <c r="DU250" i="3"/>
  <c r="DU251" i="3"/>
  <c r="DU252" i="3"/>
  <c r="DU253" i="3"/>
  <c r="DU254" i="3"/>
  <c r="DU255" i="3"/>
  <c r="DU256" i="3"/>
  <c r="DU257" i="3"/>
  <c r="DU258" i="3"/>
  <c r="DU259" i="3"/>
  <c r="DU260" i="3"/>
  <c r="DU261" i="3"/>
  <c r="DU262" i="3"/>
  <c r="DU263" i="3"/>
  <c r="DU264" i="3"/>
  <c r="DU265" i="3"/>
  <c r="DU266" i="3"/>
  <c r="DU267" i="3"/>
  <c r="DU268" i="3"/>
  <c r="DU269" i="3"/>
  <c r="DU270" i="3"/>
  <c r="DU271" i="3"/>
  <c r="DU272" i="3"/>
  <c r="DU273" i="3"/>
  <c r="DU274" i="3"/>
  <c r="DU275" i="3"/>
  <c r="DU276" i="3"/>
  <c r="DU277" i="3"/>
  <c r="DU278" i="3"/>
  <c r="DU279" i="3"/>
  <c r="DU280" i="3"/>
  <c r="DU281" i="3"/>
  <c r="DU282" i="3"/>
  <c r="DU283" i="3"/>
  <c r="DU284" i="3"/>
  <c r="DU285" i="3"/>
  <c r="DU286" i="3"/>
  <c r="DU287" i="3"/>
  <c r="DU288" i="3"/>
  <c r="DU289" i="3"/>
  <c r="DU290" i="3"/>
  <c r="DU291" i="3"/>
  <c r="DU292" i="3"/>
  <c r="DU293" i="3"/>
  <c r="DU294" i="3"/>
  <c r="DU295" i="3"/>
  <c r="DU296" i="3"/>
  <c r="DU297" i="3"/>
  <c r="DU298" i="3"/>
  <c r="DU299" i="3"/>
  <c r="DU300" i="3"/>
  <c r="DU301" i="3"/>
  <c r="DU302" i="3"/>
  <c r="DU303" i="3"/>
  <c r="DU304" i="3"/>
  <c r="DU305" i="3"/>
  <c r="DU306" i="3"/>
  <c r="DU307" i="3"/>
  <c r="DU308" i="3"/>
  <c r="DU309" i="3"/>
  <c r="DU310" i="3"/>
  <c r="DU311" i="3"/>
  <c r="DU312" i="3"/>
  <c r="DU313" i="3"/>
  <c r="DU314" i="3"/>
  <c r="DU315" i="3"/>
  <c r="DU316" i="3"/>
  <c r="DU317" i="3"/>
  <c r="DU318" i="3"/>
  <c r="DU319" i="3"/>
  <c r="DU320" i="3"/>
  <c r="DU321" i="3"/>
  <c r="DU322" i="3"/>
  <c r="DU323" i="3"/>
  <c r="DU324" i="3"/>
  <c r="DU325" i="3"/>
  <c r="DU326" i="3"/>
  <c r="DU327" i="3"/>
  <c r="DU328" i="3"/>
  <c r="DU329" i="3"/>
  <c r="DU330" i="3"/>
  <c r="DU331" i="3"/>
  <c r="DU332" i="3"/>
  <c r="DU333" i="3"/>
  <c r="DU334" i="3"/>
  <c r="DU335" i="3"/>
  <c r="DU336" i="3"/>
  <c r="DU337" i="3"/>
  <c r="DU338" i="3"/>
  <c r="DU339" i="3"/>
  <c r="DU340" i="3"/>
  <c r="DU341" i="3"/>
  <c r="DU342" i="3"/>
  <c r="DU343" i="3"/>
  <c r="DU344" i="3"/>
  <c r="DU345" i="3"/>
  <c r="DU346" i="3"/>
  <c r="DU347" i="3"/>
  <c r="DU348" i="3"/>
  <c r="DU349" i="3"/>
  <c r="DU350" i="3"/>
  <c r="DU351" i="3"/>
  <c r="DU352" i="3"/>
  <c r="DU353" i="3"/>
  <c r="DU354" i="3"/>
  <c r="DU355" i="3"/>
  <c r="DU356" i="3"/>
  <c r="DU357" i="3"/>
  <c r="DU358" i="3"/>
  <c r="DU359" i="3"/>
  <c r="DU360" i="3"/>
  <c r="DU361" i="3"/>
  <c r="DU362" i="3"/>
  <c r="DU363" i="3"/>
  <c r="DU364" i="3"/>
  <c r="DU365" i="3"/>
  <c r="DU366" i="3"/>
  <c r="DU367" i="3"/>
  <c r="DU368" i="3"/>
  <c r="DU369" i="3"/>
  <c r="DU370" i="3"/>
  <c r="DU371" i="3"/>
  <c r="DU372" i="3"/>
  <c r="DU373" i="3"/>
  <c r="DU374" i="3"/>
  <c r="DU375" i="3"/>
  <c r="DU376" i="3"/>
  <c r="DU377" i="3"/>
  <c r="DU378" i="3"/>
  <c r="DU379" i="3"/>
  <c r="DU380" i="3"/>
  <c r="DU381" i="3"/>
  <c r="DU382" i="3"/>
  <c r="DU383" i="3"/>
  <c r="DU384" i="3"/>
  <c r="DU385" i="3"/>
  <c r="DU386" i="3"/>
  <c r="DU387" i="3"/>
  <c r="DU388" i="3"/>
  <c r="DU389" i="3"/>
  <c r="DU390" i="3"/>
  <c r="DU391" i="3"/>
  <c r="DU392" i="3"/>
  <c r="DU393" i="3"/>
  <c r="DU394" i="3"/>
  <c r="DU395" i="3"/>
  <c r="DU396" i="3"/>
  <c r="DU397" i="3"/>
  <c r="DU398" i="3"/>
  <c r="DU399" i="3"/>
  <c r="DU400" i="3"/>
  <c r="DU401" i="3"/>
  <c r="DU402" i="3"/>
  <c r="DU403" i="3"/>
  <c r="DU404" i="3"/>
  <c r="DU405" i="3"/>
  <c r="DU406" i="3"/>
  <c r="DU407" i="3"/>
  <c r="DU408" i="3"/>
  <c r="DU409" i="3"/>
  <c r="DU410" i="3"/>
  <c r="DU411" i="3"/>
  <c r="DU412" i="3"/>
  <c r="DU413" i="3"/>
  <c r="DU414" i="3"/>
  <c r="DU415" i="3"/>
  <c r="DU416" i="3"/>
  <c r="DU417" i="3"/>
  <c r="DU418" i="3"/>
  <c r="DU419" i="3"/>
  <c r="DU420" i="3"/>
  <c r="DU421" i="3"/>
  <c r="DU422" i="3"/>
  <c r="DU423" i="3"/>
  <c r="DU424" i="3"/>
  <c r="DU425" i="3"/>
  <c r="DU426" i="3"/>
  <c r="DU427" i="3"/>
  <c r="DU428" i="3"/>
  <c r="DU429" i="3"/>
  <c r="DU430" i="3"/>
  <c r="DU431" i="3"/>
  <c r="DU432" i="3"/>
  <c r="DU433" i="3"/>
  <c r="DU434" i="3"/>
  <c r="DU435" i="3"/>
  <c r="DU436" i="3"/>
  <c r="DU437" i="3"/>
  <c r="DU438" i="3"/>
  <c r="DU439" i="3"/>
  <c r="DU440" i="3"/>
  <c r="DU441" i="3"/>
  <c r="DU442" i="3"/>
  <c r="DU443" i="3"/>
  <c r="DU444" i="3"/>
  <c r="DU445" i="3"/>
  <c r="DU446" i="3"/>
  <c r="DU447" i="3"/>
  <c r="DU448" i="3"/>
  <c r="DU449" i="3"/>
  <c r="DU450" i="3"/>
  <c r="DU451" i="3"/>
  <c r="DU452" i="3"/>
  <c r="DU453" i="3"/>
  <c r="DU454" i="3"/>
  <c r="DU455" i="3"/>
  <c r="DU456" i="3"/>
  <c r="DU457" i="3"/>
  <c r="DU458" i="3"/>
  <c r="DU459" i="3"/>
  <c r="DU460" i="3"/>
  <c r="DU461" i="3"/>
  <c r="DU462" i="3"/>
  <c r="DU463" i="3"/>
  <c r="DU464" i="3"/>
  <c r="DU465" i="3"/>
  <c r="DU466" i="3"/>
  <c r="DU467" i="3"/>
  <c r="DU468" i="3"/>
  <c r="DU469" i="3"/>
  <c r="DU470" i="3"/>
  <c r="DU471" i="3"/>
  <c r="DU472" i="3"/>
  <c r="DU473" i="3"/>
  <c r="DU474" i="3"/>
  <c r="DU475" i="3"/>
  <c r="DU476" i="3"/>
  <c r="DU477" i="3"/>
  <c r="DU478" i="3"/>
  <c r="DU479" i="3"/>
  <c r="DU480" i="3"/>
  <c r="DU481" i="3"/>
  <c r="DU482" i="3"/>
  <c r="DU483" i="3"/>
  <c r="DU484" i="3"/>
  <c r="DU485" i="3"/>
  <c r="DU486" i="3"/>
  <c r="DU487" i="3"/>
  <c r="DU488" i="3"/>
  <c r="DU489" i="3"/>
  <c r="DU490" i="3"/>
  <c r="DU491" i="3"/>
  <c r="DU492" i="3"/>
  <c r="DU493" i="3"/>
  <c r="DU494" i="3"/>
  <c r="DU495" i="3"/>
  <c r="DU496" i="3"/>
  <c r="DU497" i="3"/>
  <c r="DU498" i="3"/>
  <c r="DU499" i="3"/>
  <c r="DU500" i="3"/>
  <c r="DU501" i="3"/>
  <c r="DU502" i="3"/>
  <c r="DU503" i="3"/>
  <c r="DU504" i="3"/>
  <c r="DU505" i="3"/>
  <c r="DU506" i="3"/>
  <c r="DU507" i="3"/>
  <c r="DU508" i="3"/>
  <c r="DU509" i="3"/>
  <c r="DU510" i="3"/>
  <c r="DU511" i="3"/>
  <c r="DU512" i="3"/>
  <c r="DU513" i="3"/>
  <c r="DU514" i="3"/>
  <c r="DU515" i="3"/>
  <c r="DU516" i="3"/>
  <c r="DU517" i="3"/>
  <c r="DU518" i="3"/>
  <c r="DU519" i="3"/>
  <c r="DU520" i="3"/>
  <c r="DU521" i="3"/>
  <c r="DU522" i="3"/>
  <c r="DU523" i="3"/>
  <c r="DU524" i="3"/>
  <c r="DU525" i="3"/>
  <c r="DU526" i="3"/>
  <c r="DU527" i="3"/>
  <c r="DU528" i="3"/>
  <c r="DU529" i="3"/>
  <c r="DU530" i="3"/>
  <c r="DU531" i="3"/>
  <c r="DU532" i="3"/>
  <c r="DU533" i="3"/>
  <c r="DU534" i="3"/>
  <c r="DU535" i="3"/>
  <c r="DU536" i="3"/>
  <c r="DU537" i="3"/>
  <c r="DU538" i="3"/>
  <c r="DU539" i="3"/>
  <c r="DU540" i="3"/>
  <c r="DU541" i="3"/>
  <c r="DU542" i="3"/>
  <c r="DU543" i="3"/>
  <c r="DU544" i="3"/>
  <c r="DU545" i="3"/>
  <c r="DU546" i="3"/>
  <c r="DU547" i="3"/>
  <c r="DU548" i="3"/>
  <c r="DU549" i="3"/>
  <c r="DU550" i="3"/>
  <c r="DU551" i="3"/>
  <c r="DU552" i="3"/>
  <c r="DU553" i="3"/>
  <c r="DU554" i="3"/>
  <c r="DU555" i="3"/>
  <c r="DU556" i="3"/>
  <c r="DU557" i="3"/>
  <c r="DU558" i="3"/>
  <c r="DU559" i="3"/>
  <c r="DU560" i="3"/>
  <c r="DU561" i="3"/>
  <c r="DU562" i="3"/>
  <c r="DU563" i="3"/>
  <c r="DU564" i="3"/>
  <c r="DU565" i="3"/>
  <c r="DU566" i="3"/>
  <c r="DU567" i="3"/>
  <c r="DU568" i="3"/>
  <c r="DU569" i="3"/>
  <c r="DU570" i="3"/>
  <c r="DU571" i="3"/>
  <c r="DU572" i="3"/>
  <c r="DU573" i="3"/>
  <c r="DU574" i="3"/>
  <c r="DU575" i="3"/>
  <c r="DU576" i="3"/>
  <c r="DU577" i="3"/>
  <c r="DU578" i="3"/>
  <c r="DU579" i="3"/>
  <c r="DU580" i="3"/>
  <c r="DU581" i="3"/>
  <c r="DU582" i="3"/>
  <c r="DU583" i="3"/>
  <c r="DU584" i="3"/>
  <c r="DU585" i="3"/>
  <c r="DU586" i="3"/>
  <c r="DU587" i="3"/>
  <c r="DU588" i="3"/>
  <c r="DU589" i="3"/>
  <c r="DU590" i="3"/>
  <c r="DU591" i="3"/>
  <c r="DU592" i="3"/>
  <c r="DU593" i="3"/>
  <c r="DU594" i="3"/>
  <c r="DU595" i="3"/>
  <c r="DU596" i="3"/>
  <c r="DU597" i="3"/>
  <c r="DU598" i="3"/>
  <c r="DU599" i="3"/>
  <c r="DU600" i="3"/>
  <c r="DV9" i="3"/>
  <c r="DV10" i="3"/>
  <c r="DV11" i="3"/>
  <c r="DV12" i="3"/>
  <c r="DV13" i="3"/>
  <c r="DV14" i="3"/>
  <c r="DV15" i="3"/>
  <c r="DV16" i="3"/>
  <c r="DV17" i="3"/>
  <c r="DV18" i="3"/>
  <c r="DV19" i="3"/>
  <c r="DV20" i="3"/>
  <c r="DV21" i="3"/>
  <c r="DV22" i="3"/>
  <c r="DV23" i="3"/>
  <c r="DV24" i="3"/>
  <c r="DV25" i="3"/>
  <c r="DV26" i="3"/>
  <c r="DV27" i="3"/>
  <c r="DV28" i="3"/>
  <c r="DV29" i="3"/>
  <c r="DV30" i="3"/>
  <c r="DV31" i="3"/>
  <c r="DV32" i="3"/>
  <c r="DV33" i="3"/>
  <c r="DV34" i="3"/>
  <c r="DV35" i="3"/>
  <c r="DV36" i="3"/>
  <c r="DV37" i="3"/>
  <c r="DV38" i="3"/>
  <c r="DV39" i="3"/>
  <c r="DV40" i="3"/>
  <c r="DV41" i="3"/>
  <c r="DV42" i="3"/>
  <c r="DV43" i="3"/>
  <c r="DV44" i="3"/>
  <c r="DV45" i="3"/>
  <c r="DV46" i="3"/>
  <c r="DV47" i="3"/>
  <c r="DV48" i="3"/>
  <c r="DV49" i="3"/>
  <c r="DV50" i="3"/>
  <c r="DV51" i="3"/>
  <c r="DV52" i="3"/>
  <c r="DV53" i="3"/>
  <c r="DV54" i="3"/>
  <c r="DV55" i="3"/>
  <c r="DV56" i="3"/>
  <c r="DV57" i="3"/>
  <c r="DV58" i="3"/>
  <c r="DV59" i="3"/>
  <c r="DV60" i="3"/>
  <c r="DV61" i="3"/>
  <c r="DV62" i="3"/>
  <c r="DV63" i="3"/>
  <c r="DV64" i="3"/>
  <c r="DV65" i="3"/>
  <c r="DV66" i="3"/>
  <c r="DV67" i="3"/>
  <c r="DV68" i="3"/>
  <c r="DV69" i="3"/>
  <c r="DV70" i="3"/>
  <c r="DV71" i="3"/>
  <c r="DV72" i="3"/>
  <c r="DV73" i="3"/>
  <c r="DV74" i="3"/>
  <c r="DV75" i="3"/>
  <c r="DV76" i="3"/>
  <c r="DV77" i="3"/>
  <c r="DV78" i="3"/>
  <c r="DV79" i="3"/>
  <c r="DV80" i="3"/>
  <c r="DV81" i="3"/>
  <c r="DV82" i="3"/>
  <c r="DV83" i="3"/>
  <c r="DV84" i="3"/>
  <c r="DV85" i="3"/>
  <c r="DV86" i="3"/>
  <c r="DV87" i="3"/>
  <c r="DV88" i="3"/>
  <c r="DV89" i="3"/>
  <c r="DV90" i="3"/>
  <c r="DV91" i="3"/>
  <c r="DV92" i="3"/>
  <c r="DV93" i="3"/>
  <c r="DV94" i="3"/>
  <c r="DV95" i="3"/>
  <c r="DV96" i="3"/>
  <c r="DV97" i="3"/>
  <c r="DV98" i="3"/>
  <c r="DV99" i="3"/>
  <c r="DV100" i="3"/>
  <c r="DV101" i="3"/>
  <c r="DV102" i="3"/>
  <c r="DV103" i="3"/>
  <c r="DV104" i="3"/>
  <c r="DV105" i="3"/>
  <c r="DV106" i="3"/>
  <c r="DV107" i="3"/>
  <c r="DV108" i="3"/>
  <c r="DV109" i="3"/>
  <c r="DV110" i="3"/>
  <c r="DV111" i="3"/>
  <c r="DV112" i="3"/>
  <c r="DV113" i="3"/>
  <c r="DV114" i="3"/>
  <c r="DV115" i="3"/>
  <c r="DV116" i="3"/>
  <c r="DV117" i="3"/>
  <c r="DV118" i="3"/>
  <c r="DV119" i="3"/>
  <c r="DV120" i="3"/>
  <c r="DV121" i="3"/>
  <c r="DV122" i="3"/>
  <c r="DV123" i="3"/>
  <c r="DV124" i="3"/>
  <c r="DV125" i="3"/>
  <c r="DV126" i="3"/>
  <c r="DV127" i="3"/>
  <c r="DV128" i="3"/>
  <c r="DV129" i="3"/>
  <c r="DV130" i="3"/>
  <c r="DV131" i="3"/>
  <c r="DV132" i="3"/>
  <c r="DV133" i="3"/>
  <c r="DV134" i="3"/>
  <c r="DV135" i="3"/>
  <c r="DV136" i="3"/>
  <c r="DV137" i="3"/>
  <c r="DV138" i="3"/>
  <c r="DV139" i="3"/>
  <c r="DV140" i="3"/>
  <c r="DV141" i="3"/>
  <c r="DV142" i="3"/>
  <c r="DV143" i="3"/>
  <c r="DV144" i="3"/>
  <c r="DV145" i="3"/>
  <c r="DV146" i="3"/>
  <c r="DV147" i="3"/>
  <c r="DV148" i="3"/>
  <c r="DV149" i="3"/>
  <c r="DV150" i="3"/>
  <c r="DV151" i="3"/>
  <c r="DV152" i="3"/>
  <c r="DV153" i="3"/>
  <c r="DV154" i="3"/>
  <c r="DV155" i="3"/>
  <c r="DV156" i="3"/>
  <c r="DV157" i="3"/>
  <c r="DV158" i="3"/>
  <c r="DV159" i="3"/>
  <c r="DV160" i="3"/>
  <c r="DV161" i="3"/>
  <c r="DV162" i="3"/>
  <c r="DV163" i="3"/>
  <c r="DV164" i="3"/>
  <c r="DV165" i="3"/>
  <c r="DV166" i="3"/>
  <c r="DV167" i="3"/>
  <c r="DV168" i="3"/>
  <c r="DV169" i="3"/>
  <c r="DV170" i="3"/>
  <c r="DV171" i="3"/>
  <c r="DV172" i="3"/>
  <c r="DV173" i="3"/>
  <c r="DV174" i="3"/>
  <c r="DV175" i="3"/>
  <c r="DV176" i="3"/>
  <c r="DV177" i="3"/>
  <c r="DV178" i="3"/>
  <c r="DV179" i="3"/>
  <c r="DV180" i="3"/>
  <c r="DV181" i="3"/>
  <c r="DV182" i="3"/>
  <c r="DV183" i="3"/>
  <c r="DV184" i="3"/>
  <c r="DV185" i="3"/>
  <c r="DV186" i="3"/>
  <c r="DV187" i="3"/>
  <c r="DV188" i="3"/>
  <c r="DV189" i="3"/>
  <c r="DV190" i="3"/>
  <c r="DV191" i="3"/>
  <c r="DV192" i="3"/>
  <c r="DV193" i="3"/>
  <c r="DV194" i="3"/>
  <c r="DV195" i="3"/>
  <c r="DV196" i="3"/>
  <c r="DV197" i="3"/>
  <c r="DV198" i="3"/>
  <c r="DV199" i="3"/>
  <c r="DV200" i="3"/>
  <c r="DV201" i="3"/>
  <c r="DV202" i="3"/>
  <c r="DV203" i="3"/>
  <c r="DV204" i="3"/>
  <c r="DV205" i="3"/>
  <c r="DV206" i="3"/>
  <c r="DV207" i="3"/>
  <c r="DV208" i="3"/>
  <c r="DV209" i="3"/>
  <c r="DV210" i="3"/>
  <c r="DV211" i="3"/>
  <c r="DV212" i="3"/>
  <c r="DV213" i="3"/>
  <c r="DV214" i="3"/>
  <c r="DV215" i="3"/>
  <c r="DV216" i="3"/>
  <c r="DV217" i="3"/>
  <c r="DV218" i="3"/>
  <c r="DV219" i="3"/>
  <c r="DV220" i="3"/>
  <c r="DV221" i="3"/>
  <c r="DV222" i="3"/>
  <c r="DV223" i="3"/>
  <c r="DV224" i="3"/>
  <c r="DV225" i="3"/>
  <c r="DV226" i="3"/>
  <c r="DV227" i="3"/>
  <c r="DV228" i="3"/>
  <c r="DV229" i="3"/>
  <c r="DV230" i="3"/>
  <c r="DV231" i="3"/>
  <c r="DV232" i="3"/>
  <c r="DV233" i="3"/>
  <c r="DV234" i="3"/>
  <c r="DV235" i="3"/>
  <c r="DV236" i="3"/>
  <c r="DV237" i="3"/>
  <c r="DV238" i="3"/>
  <c r="DV239" i="3"/>
  <c r="DV240" i="3"/>
  <c r="DV241" i="3"/>
  <c r="DV242" i="3"/>
  <c r="DV243" i="3"/>
  <c r="DV244" i="3"/>
  <c r="DV245" i="3"/>
  <c r="DV246" i="3"/>
  <c r="DV247" i="3"/>
  <c r="DV248" i="3"/>
  <c r="DV249" i="3"/>
  <c r="DV250" i="3"/>
  <c r="DV251" i="3"/>
  <c r="DV252" i="3"/>
  <c r="DV253" i="3"/>
  <c r="DV254" i="3"/>
  <c r="DV255" i="3"/>
  <c r="DV256" i="3"/>
  <c r="DV257" i="3"/>
  <c r="DV258" i="3"/>
  <c r="DV259" i="3"/>
  <c r="DV260" i="3"/>
  <c r="DV261" i="3"/>
  <c r="DV262" i="3"/>
  <c r="DV263" i="3"/>
  <c r="DV264" i="3"/>
  <c r="DV265" i="3"/>
  <c r="DV266" i="3"/>
  <c r="DV267" i="3"/>
  <c r="DV268" i="3"/>
  <c r="DV269" i="3"/>
  <c r="DV270" i="3"/>
  <c r="DV271" i="3"/>
  <c r="DV272" i="3"/>
  <c r="DV273" i="3"/>
  <c r="DV274" i="3"/>
  <c r="DV275" i="3"/>
  <c r="DV276" i="3"/>
  <c r="DV277" i="3"/>
  <c r="DV278" i="3"/>
  <c r="DV279" i="3"/>
  <c r="DV280" i="3"/>
  <c r="DV281" i="3"/>
  <c r="DV282" i="3"/>
  <c r="DV283" i="3"/>
  <c r="DV284" i="3"/>
  <c r="DV285" i="3"/>
  <c r="DV286" i="3"/>
  <c r="DV287" i="3"/>
  <c r="DV288" i="3"/>
  <c r="DV289" i="3"/>
  <c r="DV290" i="3"/>
  <c r="DV291" i="3"/>
  <c r="DV292" i="3"/>
  <c r="DV293" i="3"/>
  <c r="DV294" i="3"/>
  <c r="DV295" i="3"/>
  <c r="DV296" i="3"/>
  <c r="DV297" i="3"/>
  <c r="DV298" i="3"/>
  <c r="DV299" i="3"/>
  <c r="DV300" i="3"/>
  <c r="DV301" i="3"/>
  <c r="DV302" i="3"/>
  <c r="DV303" i="3"/>
  <c r="DV304" i="3"/>
  <c r="DV305" i="3"/>
  <c r="DV306" i="3"/>
  <c r="DV307" i="3"/>
  <c r="DV308" i="3"/>
  <c r="DV309" i="3"/>
  <c r="DV310" i="3"/>
  <c r="DV311" i="3"/>
  <c r="DV312" i="3"/>
  <c r="DV313" i="3"/>
  <c r="DV314" i="3"/>
  <c r="DV315" i="3"/>
  <c r="DV316" i="3"/>
  <c r="DV317" i="3"/>
  <c r="DV318" i="3"/>
  <c r="DV319" i="3"/>
  <c r="DV320" i="3"/>
  <c r="DV321" i="3"/>
  <c r="DV322" i="3"/>
  <c r="DV323" i="3"/>
  <c r="DV324" i="3"/>
  <c r="DV325" i="3"/>
  <c r="DV326" i="3"/>
  <c r="DV327" i="3"/>
  <c r="DV328" i="3"/>
  <c r="DV329" i="3"/>
  <c r="DV330" i="3"/>
  <c r="DV331" i="3"/>
  <c r="DV332" i="3"/>
  <c r="DV333" i="3"/>
  <c r="DV334" i="3"/>
  <c r="DV335" i="3"/>
  <c r="DV336" i="3"/>
  <c r="DV337" i="3"/>
  <c r="DV338" i="3"/>
  <c r="DV339" i="3"/>
  <c r="DV340" i="3"/>
  <c r="DV341" i="3"/>
  <c r="DV342" i="3"/>
  <c r="DV343" i="3"/>
  <c r="DV344" i="3"/>
  <c r="DV345" i="3"/>
  <c r="DV346" i="3"/>
  <c r="DV347" i="3"/>
  <c r="DV348" i="3"/>
  <c r="DV349" i="3"/>
  <c r="DV350" i="3"/>
  <c r="DV351" i="3"/>
  <c r="DV352" i="3"/>
  <c r="DV353" i="3"/>
  <c r="DV354" i="3"/>
  <c r="DV355" i="3"/>
  <c r="DV356" i="3"/>
  <c r="DV357" i="3"/>
  <c r="DV358" i="3"/>
  <c r="DV359" i="3"/>
  <c r="DV360" i="3"/>
  <c r="DV361" i="3"/>
  <c r="DV362" i="3"/>
  <c r="DV363" i="3"/>
  <c r="DV364" i="3"/>
  <c r="DV365" i="3"/>
  <c r="DV366" i="3"/>
  <c r="DV367" i="3"/>
  <c r="DV368" i="3"/>
  <c r="DV369" i="3"/>
  <c r="DV370" i="3"/>
  <c r="DV371" i="3"/>
  <c r="DV372" i="3"/>
  <c r="DV373" i="3"/>
  <c r="DV374" i="3"/>
  <c r="DV375" i="3"/>
  <c r="DV376" i="3"/>
  <c r="DV377" i="3"/>
  <c r="DV378" i="3"/>
  <c r="DV379" i="3"/>
  <c r="DV380" i="3"/>
  <c r="DV381" i="3"/>
  <c r="DV382" i="3"/>
  <c r="DV383" i="3"/>
  <c r="DV384" i="3"/>
  <c r="DV385" i="3"/>
  <c r="DV386" i="3"/>
  <c r="DV387" i="3"/>
  <c r="DV388" i="3"/>
  <c r="DV389" i="3"/>
  <c r="DV390" i="3"/>
  <c r="DV391" i="3"/>
  <c r="DV392" i="3"/>
  <c r="DV393" i="3"/>
  <c r="DV394" i="3"/>
  <c r="DV395" i="3"/>
  <c r="DV396" i="3"/>
  <c r="DV397" i="3"/>
  <c r="DV398" i="3"/>
  <c r="DV399" i="3"/>
  <c r="DV400" i="3"/>
  <c r="DV401" i="3"/>
  <c r="DV402" i="3"/>
  <c r="DV403" i="3"/>
  <c r="DV404" i="3"/>
  <c r="DV405" i="3"/>
  <c r="DV406" i="3"/>
  <c r="DV407" i="3"/>
  <c r="DV408" i="3"/>
  <c r="DV409" i="3"/>
  <c r="DV410" i="3"/>
  <c r="DV411" i="3"/>
  <c r="DV412" i="3"/>
  <c r="DV413" i="3"/>
  <c r="DV414" i="3"/>
  <c r="DV415" i="3"/>
  <c r="DV416" i="3"/>
  <c r="DV417" i="3"/>
  <c r="DV418" i="3"/>
  <c r="DV419" i="3"/>
  <c r="DV420" i="3"/>
  <c r="DV421" i="3"/>
  <c r="DV422" i="3"/>
  <c r="DV423" i="3"/>
  <c r="DV424" i="3"/>
  <c r="DV425" i="3"/>
  <c r="DV426" i="3"/>
  <c r="DV427" i="3"/>
  <c r="DV428" i="3"/>
  <c r="DV429" i="3"/>
  <c r="DV430" i="3"/>
  <c r="DV431" i="3"/>
  <c r="DV432" i="3"/>
  <c r="DV433" i="3"/>
  <c r="DV434" i="3"/>
  <c r="DV435" i="3"/>
  <c r="DV436" i="3"/>
  <c r="DV437" i="3"/>
  <c r="DV438" i="3"/>
  <c r="DV439" i="3"/>
  <c r="DV440" i="3"/>
  <c r="DV441" i="3"/>
  <c r="DV442" i="3"/>
  <c r="DV443" i="3"/>
  <c r="DV444" i="3"/>
  <c r="DV445" i="3"/>
  <c r="DV446" i="3"/>
  <c r="DV447" i="3"/>
  <c r="DV448" i="3"/>
  <c r="DV449" i="3"/>
  <c r="DV450" i="3"/>
  <c r="DV451" i="3"/>
  <c r="DV452" i="3"/>
  <c r="DV453" i="3"/>
  <c r="DV454" i="3"/>
  <c r="DV455" i="3"/>
  <c r="DV456" i="3"/>
  <c r="DV457" i="3"/>
  <c r="DV458" i="3"/>
  <c r="DV459" i="3"/>
  <c r="DV460" i="3"/>
  <c r="DV461" i="3"/>
  <c r="DV462" i="3"/>
  <c r="DV463" i="3"/>
  <c r="DV464" i="3"/>
  <c r="DV465" i="3"/>
  <c r="DV466" i="3"/>
  <c r="DV467" i="3"/>
  <c r="DV468" i="3"/>
  <c r="DV469" i="3"/>
  <c r="DV470" i="3"/>
  <c r="DV471" i="3"/>
  <c r="DV472" i="3"/>
  <c r="DV473" i="3"/>
  <c r="DV474" i="3"/>
  <c r="DV475" i="3"/>
  <c r="DV476" i="3"/>
  <c r="DV477" i="3"/>
  <c r="DV478" i="3"/>
  <c r="DV479" i="3"/>
  <c r="DV480" i="3"/>
  <c r="DV481" i="3"/>
  <c r="DV482" i="3"/>
  <c r="DV483" i="3"/>
  <c r="DV484" i="3"/>
  <c r="DV485" i="3"/>
  <c r="DV486" i="3"/>
  <c r="DV487" i="3"/>
  <c r="DV488" i="3"/>
  <c r="DV489" i="3"/>
  <c r="DV490" i="3"/>
  <c r="DV491" i="3"/>
  <c r="DV492" i="3"/>
  <c r="DV493" i="3"/>
  <c r="DV494" i="3"/>
  <c r="DV495" i="3"/>
  <c r="DV496" i="3"/>
  <c r="DV497" i="3"/>
  <c r="DV498" i="3"/>
  <c r="DV499" i="3"/>
  <c r="DV500" i="3"/>
  <c r="DV501" i="3"/>
  <c r="DV502" i="3"/>
  <c r="DV503" i="3"/>
  <c r="DV504" i="3"/>
  <c r="DV505" i="3"/>
  <c r="DV506" i="3"/>
  <c r="DV507" i="3"/>
  <c r="DV508" i="3"/>
  <c r="DV509" i="3"/>
  <c r="DV510" i="3"/>
  <c r="DV511" i="3"/>
  <c r="DV512" i="3"/>
  <c r="DV513" i="3"/>
  <c r="DV514" i="3"/>
  <c r="DV515" i="3"/>
  <c r="DV516" i="3"/>
  <c r="DV517" i="3"/>
  <c r="DV518" i="3"/>
  <c r="DV519" i="3"/>
  <c r="DV520" i="3"/>
  <c r="DV521" i="3"/>
  <c r="DV522" i="3"/>
  <c r="DV523" i="3"/>
  <c r="DV524" i="3"/>
  <c r="DV525" i="3"/>
  <c r="DV526" i="3"/>
  <c r="DV527" i="3"/>
  <c r="DV528" i="3"/>
  <c r="DV529" i="3"/>
  <c r="DV530" i="3"/>
  <c r="DV531" i="3"/>
  <c r="DV532" i="3"/>
  <c r="DV533" i="3"/>
  <c r="DV534" i="3"/>
  <c r="DV535" i="3"/>
  <c r="DV536" i="3"/>
  <c r="DV537" i="3"/>
  <c r="DV538" i="3"/>
  <c r="DV539" i="3"/>
  <c r="DV540" i="3"/>
  <c r="DV541" i="3"/>
  <c r="DV542" i="3"/>
  <c r="DV543" i="3"/>
  <c r="DV544" i="3"/>
  <c r="DV545" i="3"/>
  <c r="DV546" i="3"/>
  <c r="DV547" i="3"/>
  <c r="DV548" i="3"/>
  <c r="DV549" i="3"/>
  <c r="DV550" i="3"/>
  <c r="DV551" i="3"/>
  <c r="DV552" i="3"/>
  <c r="DV553" i="3"/>
  <c r="DV554" i="3"/>
  <c r="DV555" i="3"/>
  <c r="DV556" i="3"/>
  <c r="DV557" i="3"/>
  <c r="DV558" i="3"/>
  <c r="DV559" i="3"/>
  <c r="DV560" i="3"/>
  <c r="DV561" i="3"/>
  <c r="DV562" i="3"/>
  <c r="DV563" i="3"/>
  <c r="DV564" i="3"/>
  <c r="DV565" i="3"/>
  <c r="DV566" i="3"/>
  <c r="DV567" i="3"/>
  <c r="DV568" i="3"/>
  <c r="DV569" i="3"/>
  <c r="DV570" i="3"/>
  <c r="DV571" i="3"/>
  <c r="DV572" i="3"/>
  <c r="DV573" i="3"/>
  <c r="DV574" i="3"/>
  <c r="DV575" i="3"/>
  <c r="DV576" i="3"/>
  <c r="DV577" i="3"/>
  <c r="DV578" i="3"/>
  <c r="DV579" i="3"/>
  <c r="DV580" i="3"/>
  <c r="DV581" i="3"/>
  <c r="DV582" i="3"/>
  <c r="DV583" i="3"/>
  <c r="DV584" i="3"/>
  <c r="DV585" i="3"/>
  <c r="DV586" i="3"/>
  <c r="DV587" i="3"/>
  <c r="DV588" i="3"/>
  <c r="DV589" i="3"/>
  <c r="DV590" i="3"/>
  <c r="DV591" i="3"/>
  <c r="DV592" i="3"/>
  <c r="DV593" i="3"/>
  <c r="DV594" i="3"/>
  <c r="DV595" i="3"/>
  <c r="DV596" i="3"/>
  <c r="DV597" i="3"/>
  <c r="DV598" i="3"/>
  <c r="DV599" i="3"/>
  <c r="DV600" i="3"/>
  <c r="DW9" i="3"/>
  <c r="DW10" i="3"/>
  <c r="DW11" i="3"/>
  <c r="DW12" i="3"/>
  <c r="DW13" i="3"/>
  <c r="DW14" i="3"/>
  <c r="DW15" i="3"/>
  <c r="DW16" i="3"/>
  <c r="DW17" i="3"/>
  <c r="DW18" i="3"/>
  <c r="DW19" i="3"/>
  <c r="DW20" i="3"/>
  <c r="DW21" i="3"/>
  <c r="DW22" i="3"/>
  <c r="DW23" i="3"/>
  <c r="DW24" i="3"/>
  <c r="DW25" i="3"/>
  <c r="DW26" i="3"/>
  <c r="DW27" i="3"/>
  <c r="DW28" i="3"/>
  <c r="DW29" i="3"/>
  <c r="DW30" i="3"/>
  <c r="DW31" i="3"/>
  <c r="DW32" i="3"/>
  <c r="DW33" i="3"/>
  <c r="DW34" i="3"/>
  <c r="DW35" i="3"/>
  <c r="DW36" i="3"/>
  <c r="DW37" i="3"/>
  <c r="DW38" i="3"/>
  <c r="DW39" i="3"/>
  <c r="DW40" i="3"/>
  <c r="DW41" i="3"/>
  <c r="DW42" i="3"/>
  <c r="DW43" i="3"/>
  <c r="DW44" i="3"/>
  <c r="DW45" i="3"/>
  <c r="DW46" i="3"/>
  <c r="DW47" i="3"/>
  <c r="DW48" i="3"/>
  <c r="DW49" i="3"/>
  <c r="DW50" i="3"/>
  <c r="DW51" i="3"/>
  <c r="DW52" i="3"/>
  <c r="DW53" i="3"/>
  <c r="DW54" i="3"/>
  <c r="DW55" i="3"/>
  <c r="DW56" i="3"/>
  <c r="DW57" i="3"/>
  <c r="DW58" i="3"/>
  <c r="DW59" i="3"/>
  <c r="DW60" i="3"/>
  <c r="DW61" i="3"/>
  <c r="DW62" i="3"/>
  <c r="DW63" i="3"/>
  <c r="DW64" i="3"/>
  <c r="DW65" i="3"/>
  <c r="DW66" i="3"/>
  <c r="DW67" i="3"/>
  <c r="DW68" i="3"/>
  <c r="DW69" i="3"/>
  <c r="DW70" i="3"/>
  <c r="DW71" i="3"/>
  <c r="DW72" i="3"/>
  <c r="DW73" i="3"/>
  <c r="DW74" i="3"/>
  <c r="DW75" i="3"/>
  <c r="DW76" i="3"/>
  <c r="DW77" i="3"/>
  <c r="DW78" i="3"/>
  <c r="DW79" i="3"/>
  <c r="DW80" i="3"/>
  <c r="DW81" i="3"/>
  <c r="DW82" i="3"/>
  <c r="DW83" i="3"/>
  <c r="DW84" i="3"/>
  <c r="DW85" i="3"/>
  <c r="DW86" i="3"/>
  <c r="DW87" i="3"/>
  <c r="DW88" i="3"/>
  <c r="DW89" i="3"/>
  <c r="DW90" i="3"/>
  <c r="DW91" i="3"/>
  <c r="DW92" i="3"/>
  <c r="DW93" i="3"/>
  <c r="DW94" i="3"/>
  <c r="DW95" i="3"/>
  <c r="DW96" i="3"/>
  <c r="DW97" i="3"/>
  <c r="DW98" i="3"/>
  <c r="DW99" i="3"/>
  <c r="DW100" i="3"/>
  <c r="DW101" i="3"/>
  <c r="DW102" i="3"/>
  <c r="DW103" i="3"/>
  <c r="DW104" i="3"/>
  <c r="DW105" i="3"/>
  <c r="DW106" i="3"/>
  <c r="DW107" i="3"/>
  <c r="DW108" i="3"/>
  <c r="DW109" i="3"/>
  <c r="DW110" i="3"/>
  <c r="DW111" i="3"/>
  <c r="DW112" i="3"/>
  <c r="DW113" i="3"/>
  <c r="DW114" i="3"/>
  <c r="DW115" i="3"/>
  <c r="DW116" i="3"/>
  <c r="DW117" i="3"/>
  <c r="DW118" i="3"/>
  <c r="DW119" i="3"/>
  <c r="DW120" i="3"/>
  <c r="DW121" i="3"/>
  <c r="DW122" i="3"/>
  <c r="DW123" i="3"/>
  <c r="DW124" i="3"/>
  <c r="DW125" i="3"/>
  <c r="DW126" i="3"/>
  <c r="DW127" i="3"/>
  <c r="DW128" i="3"/>
  <c r="DW129" i="3"/>
  <c r="DW130" i="3"/>
  <c r="DW131" i="3"/>
  <c r="DW132" i="3"/>
  <c r="DW133" i="3"/>
  <c r="DW134" i="3"/>
  <c r="DW135" i="3"/>
  <c r="DW136" i="3"/>
  <c r="DW137" i="3"/>
  <c r="DW138" i="3"/>
  <c r="DW139" i="3"/>
  <c r="DW140" i="3"/>
  <c r="DW141" i="3"/>
  <c r="DW142" i="3"/>
  <c r="DW143" i="3"/>
  <c r="DW144" i="3"/>
  <c r="DW145" i="3"/>
  <c r="DW146" i="3"/>
  <c r="DW147" i="3"/>
  <c r="DW148" i="3"/>
  <c r="DW149" i="3"/>
  <c r="DW150" i="3"/>
  <c r="DW151" i="3"/>
  <c r="DW152" i="3"/>
  <c r="DW153" i="3"/>
  <c r="DW154" i="3"/>
  <c r="DW155" i="3"/>
  <c r="DW156" i="3"/>
  <c r="DW157" i="3"/>
  <c r="DW158" i="3"/>
  <c r="DW159" i="3"/>
  <c r="DW160" i="3"/>
  <c r="DW161" i="3"/>
  <c r="DW162" i="3"/>
  <c r="DW163" i="3"/>
  <c r="DW164" i="3"/>
  <c r="DW165" i="3"/>
  <c r="DW166" i="3"/>
  <c r="DW167" i="3"/>
  <c r="DW168" i="3"/>
  <c r="DW169" i="3"/>
  <c r="DW170" i="3"/>
  <c r="DW171" i="3"/>
  <c r="DW172" i="3"/>
  <c r="DW173" i="3"/>
  <c r="DW174" i="3"/>
  <c r="DW175" i="3"/>
  <c r="DW176" i="3"/>
  <c r="DW177" i="3"/>
  <c r="DW178" i="3"/>
  <c r="DW179" i="3"/>
  <c r="DW180" i="3"/>
  <c r="DW181" i="3"/>
  <c r="DW182" i="3"/>
  <c r="DW183" i="3"/>
  <c r="DW184" i="3"/>
  <c r="DW185" i="3"/>
  <c r="DW186" i="3"/>
  <c r="DW187" i="3"/>
  <c r="DW188" i="3"/>
  <c r="DW189" i="3"/>
  <c r="DW190" i="3"/>
  <c r="DW191" i="3"/>
  <c r="DW192" i="3"/>
  <c r="DW193" i="3"/>
  <c r="DW194" i="3"/>
  <c r="DW195" i="3"/>
  <c r="DW196" i="3"/>
  <c r="DW197" i="3"/>
  <c r="DW198" i="3"/>
  <c r="DW199" i="3"/>
  <c r="DW200" i="3"/>
  <c r="DW201" i="3"/>
  <c r="DW202" i="3"/>
  <c r="DW203" i="3"/>
  <c r="DW204" i="3"/>
  <c r="DW205" i="3"/>
  <c r="DW206" i="3"/>
  <c r="DW207" i="3"/>
  <c r="DW208" i="3"/>
  <c r="DW209" i="3"/>
  <c r="DW210" i="3"/>
  <c r="DW211" i="3"/>
  <c r="DW212" i="3"/>
  <c r="DW213" i="3"/>
  <c r="DW214" i="3"/>
  <c r="DW215" i="3"/>
  <c r="DW216" i="3"/>
  <c r="DW217" i="3"/>
  <c r="DW218" i="3"/>
  <c r="DW219" i="3"/>
  <c r="DW220" i="3"/>
  <c r="DW221" i="3"/>
  <c r="DW222" i="3"/>
  <c r="DW223" i="3"/>
  <c r="DW224" i="3"/>
  <c r="DW225" i="3"/>
  <c r="DW226" i="3"/>
  <c r="DW227" i="3"/>
  <c r="DW228" i="3"/>
  <c r="DW229" i="3"/>
  <c r="DW230" i="3"/>
  <c r="DW231" i="3"/>
  <c r="DW232" i="3"/>
  <c r="DW233" i="3"/>
  <c r="DW234" i="3"/>
  <c r="DW235" i="3"/>
  <c r="DW236" i="3"/>
  <c r="DW237" i="3"/>
  <c r="DW238" i="3"/>
  <c r="DW239" i="3"/>
  <c r="DW240" i="3"/>
  <c r="DW241" i="3"/>
  <c r="DW242" i="3"/>
  <c r="DW243" i="3"/>
  <c r="DW244" i="3"/>
  <c r="DW245" i="3"/>
  <c r="DW246" i="3"/>
  <c r="DW247" i="3"/>
  <c r="DW248" i="3"/>
  <c r="DW249" i="3"/>
  <c r="DW250" i="3"/>
  <c r="DW251" i="3"/>
  <c r="DW252" i="3"/>
  <c r="DW253" i="3"/>
  <c r="DW254" i="3"/>
  <c r="DW255" i="3"/>
  <c r="DW256" i="3"/>
  <c r="DW257" i="3"/>
  <c r="DW258" i="3"/>
  <c r="DW259" i="3"/>
  <c r="DW260" i="3"/>
  <c r="DW261" i="3"/>
  <c r="DW262" i="3"/>
  <c r="DW263" i="3"/>
  <c r="DW264" i="3"/>
  <c r="DW265" i="3"/>
  <c r="DW266" i="3"/>
  <c r="DW267" i="3"/>
  <c r="DW268" i="3"/>
  <c r="DW269" i="3"/>
  <c r="DW270" i="3"/>
  <c r="DW271" i="3"/>
  <c r="DW272" i="3"/>
  <c r="DW273" i="3"/>
  <c r="DW274" i="3"/>
  <c r="DW275" i="3"/>
  <c r="DW276" i="3"/>
  <c r="DW277" i="3"/>
  <c r="DW278" i="3"/>
  <c r="DW279" i="3"/>
  <c r="DW280" i="3"/>
  <c r="DW281" i="3"/>
  <c r="DW282" i="3"/>
  <c r="DW283" i="3"/>
  <c r="DW284" i="3"/>
  <c r="DW285" i="3"/>
  <c r="DW286" i="3"/>
  <c r="DW287" i="3"/>
  <c r="DW288" i="3"/>
  <c r="DW289" i="3"/>
  <c r="DW290" i="3"/>
  <c r="DW291" i="3"/>
  <c r="DW292" i="3"/>
  <c r="DW293" i="3"/>
  <c r="DW294" i="3"/>
  <c r="DW295" i="3"/>
  <c r="DW296" i="3"/>
  <c r="DW297" i="3"/>
  <c r="DW298" i="3"/>
  <c r="DW299" i="3"/>
  <c r="DW300" i="3"/>
  <c r="DW301" i="3"/>
  <c r="DW302" i="3"/>
  <c r="DW303" i="3"/>
  <c r="DW304" i="3"/>
  <c r="DW305" i="3"/>
  <c r="DW306" i="3"/>
  <c r="DW307" i="3"/>
  <c r="DW308" i="3"/>
  <c r="DW309" i="3"/>
  <c r="DW310" i="3"/>
  <c r="DW311" i="3"/>
  <c r="DW312" i="3"/>
  <c r="DW313" i="3"/>
  <c r="DW314" i="3"/>
  <c r="DW315" i="3"/>
  <c r="DW316" i="3"/>
  <c r="DW317" i="3"/>
  <c r="DW318" i="3"/>
  <c r="DW319" i="3"/>
  <c r="DW320" i="3"/>
  <c r="DW321" i="3"/>
  <c r="DW322" i="3"/>
  <c r="DW323" i="3"/>
  <c r="DW324" i="3"/>
  <c r="DW325" i="3"/>
  <c r="DW326" i="3"/>
  <c r="DW327" i="3"/>
  <c r="DW328" i="3"/>
  <c r="DW329" i="3"/>
  <c r="DW330" i="3"/>
  <c r="DW331" i="3"/>
  <c r="DW332" i="3"/>
  <c r="DW333" i="3"/>
  <c r="DW334" i="3"/>
  <c r="DW335" i="3"/>
  <c r="DW336" i="3"/>
  <c r="DW337" i="3"/>
  <c r="DW338" i="3"/>
  <c r="DW339" i="3"/>
  <c r="DW340" i="3"/>
  <c r="DW341" i="3"/>
  <c r="DW342" i="3"/>
  <c r="DW343" i="3"/>
  <c r="DW344" i="3"/>
  <c r="DW345" i="3"/>
  <c r="DW346" i="3"/>
  <c r="DW347" i="3"/>
  <c r="DW348" i="3"/>
  <c r="DW349" i="3"/>
  <c r="DW350" i="3"/>
  <c r="DW351" i="3"/>
  <c r="DW352" i="3"/>
  <c r="DW353" i="3"/>
  <c r="DW354" i="3"/>
  <c r="DW355" i="3"/>
  <c r="DW356" i="3"/>
  <c r="DW357" i="3"/>
  <c r="DW358" i="3"/>
  <c r="DW359" i="3"/>
  <c r="DW360" i="3"/>
  <c r="DW361" i="3"/>
  <c r="DW362" i="3"/>
  <c r="DW363" i="3"/>
  <c r="DW364" i="3"/>
  <c r="DW365" i="3"/>
  <c r="DW366" i="3"/>
  <c r="DW367" i="3"/>
  <c r="DW368" i="3"/>
  <c r="DW369" i="3"/>
  <c r="DW370" i="3"/>
  <c r="DW371" i="3"/>
  <c r="DW372" i="3"/>
  <c r="DW373" i="3"/>
  <c r="DW374" i="3"/>
  <c r="DW375" i="3"/>
  <c r="DW376" i="3"/>
  <c r="DW377" i="3"/>
  <c r="DW378" i="3"/>
  <c r="DW379" i="3"/>
  <c r="DW380" i="3"/>
  <c r="DW381" i="3"/>
  <c r="DW382" i="3"/>
  <c r="DW383" i="3"/>
  <c r="DW384" i="3"/>
  <c r="DW385" i="3"/>
  <c r="DW386" i="3"/>
  <c r="DW387" i="3"/>
  <c r="DW388" i="3"/>
  <c r="DW389" i="3"/>
  <c r="DW390" i="3"/>
  <c r="DW391" i="3"/>
  <c r="DW392" i="3"/>
  <c r="DW393" i="3"/>
  <c r="DW394" i="3"/>
  <c r="DW395" i="3"/>
  <c r="DW396" i="3"/>
  <c r="DW397" i="3"/>
  <c r="DW398" i="3"/>
  <c r="DW399" i="3"/>
  <c r="DW400" i="3"/>
  <c r="DW401" i="3"/>
  <c r="DW402" i="3"/>
  <c r="DW403" i="3"/>
  <c r="DW404" i="3"/>
  <c r="DW405" i="3"/>
  <c r="DW406" i="3"/>
  <c r="DW407" i="3"/>
  <c r="DW408" i="3"/>
  <c r="DW409" i="3"/>
  <c r="DW410" i="3"/>
  <c r="DW411" i="3"/>
  <c r="DW412" i="3"/>
  <c r="DW413" i="3"/>
  <c r="DW414" i="3"/>
  <c r="DW415" i="3"/>
  <c r="DW416" i="3"/>
  <c r="DW417" i="3"/>
  <c r="DW418" i="3"/>
  <c r="DW419" i="3"/>
  <c r="DW420" i="3"/>
  <c r="DW421" i="3"/>
  <c r="DW422" i="3"/>
  <c r="DW423" i="3"/>
  <c r="DW424" i="3"/>
  <c r="DW425" i="3"/>
  <c r="DW426" i="3"/>
  <c r="DW427" i="3"/>
  <c r="DW428" i="3"/>
  <c r="DW429" i="3"/>
  <c r="DW430" i="3"/>
  <c r="DW431" i="3"/>
  <c r="DW432" i="3"/>
  <c r="DW433" i="3"/>
  <c r="DW434" i="3"/>
  <c r="DW435" i="3"/>
  <c r="DW436" i="3"/>
  <c r="DW437" i="3"/>
  <c r="DW438" i="3"/>
  <c r="DW439" i="3"/>
  <c r="DW440" i="3"/>
  <c r="DW441" i="3"/>
  <c r="DW442" i="3"/>
  <c r="DW443" i="3"/>
  <c r="DW444" i="3"/>
  <c r="DW445" i="3"/>
  <c r="DW446" i="3"/>
  <c r="DW447" i="3"/>
  <c r="DW448" i="3"/>
  <c r="DW449" i="3"/>
  <c r="DW450" i="3"/>
  <c r="DW451" i="3"/>
  <c r="DW452" i="3"/>
  <c r="DW453" i="3"/>
  <c r="DW454" i="3"/>
  <c r="DW455" i="3"/>
  <c r="DW456" i="3"/>
  <c r="DW457" i="3"/>
  <c r="DW458" i="3"/>
  <c r="DW459" i="3"/>
  <c r="DW460" i="3"/>
  <c r="DW461" i="3"/>
  <c r="DW462" i="3"/>
  <c r="DW463" i="3"/>
  <c r="DW464" i="3"/>
  <c r="DW465" i="3"/>
  <c r="DW466" i="3"/>
  <c r="DW467" i="3"/>
  <c r="DW468" i="3"/>
  <c r="DW469" i="3"/>
  <c r="DW470" i="3"/>
  <c r="DW471" i="3"/>
  <c r="DW472" i="3"/>
  <c r="DW473" i="3"/>
  <c r="DW474" i="3"/>
  <c r="DW475" i="3"/>
  <c r="DW476" i="3"/>
  <c r="DW477" i="3"/>
  <c r="DW478" i="3"/>
  <c r="DW479" i="3"/>
  <c r="DW480" i="3"/>
  <c r="DW481" i="3"/>
  <c r="DW482" i="3"/>
  <c r="DW483" i="3"/>
  <c r="DW484" i="3"/>
  <c r="DW485" i="3"/>
  <c r="DW486" i="3"/>
  <c r="DW487" i="3"/>
  <c r="DW488" i="3"/>
  <c r="DW489" i="3"/>
  <c r="DW490" i="3"/>
  <c r="DW491" i="3"/>
  <c r="DW492" i="3"/>
  <c r="DW493" i="3"/>
  <c r="DW494" i="3"/>
  <c r="DW495" i="3"/>
  <c r="DW496" i="3"/>
  <c r="DW497" i="3"/>
  <c r="DW498" i="3"/>
  <c r="DW499" i="3"/>
  <c r="DW500" i="3"/>
  <c r="DW501" i="3"/>
  <c r="DW502" i="3"/>
  <c r="DW503" i="3"/>
  <c r="DW504" i="3"/>
  <c r="DW505" i="3"/>
  <c r="DW506" i="3"/>
  <c r="DW507" i="3"/>
  <c r="DW508" i="3"/>
  <c r="DW509" i="3"/>
  <c r="DW510" i="3"/>
  <c r="DW511" i="3"/>
  <c r="DW512" i="3"/>
  <c r="DW513" i="3"/>
  <c r="DW514" i="3"/>
  <c r="DW515" i="3"/>
  <c r="DW516" i="3"/>
  <c r="DW517" i="3"/>
  <c r="DW518" i="3"/>
  <c r="DW519" i="3"/>
  <c r="DW520" i="3"/>
  <c r="DW521" i="3"/>
  <c r="DW522" i="3"/>
  <c r="DW523" i="3"/>
  <c r="DW524" i="3"/>
  <c r="DW525" i="3"/>
  <c r="DW526" i="3"/>
  <c r="DW527" i="3"/>
  <c r="DW528" i="3"/>
  <c r="DW529" i="3"/>
  <c r="DW530" i="3"/>
  <c r="DW531" i="3"/>
  <c r="DW532" i="3"/>
  <c r="DW533" i="3"/>
  <c r="DW534" i="3"/>
  <c r="DW535" i="3"/>
  <c r="DW536" i="3"/>
  <c r="DW537" i="3"/>
  <c r="DW538" i="3"/>
  <c r="DW539" i="3"/>
  <c r="DW540" i="3"/>
  <c r="DW541" i="3"/>
  <c r="DW542" i="3"/>
  <c r="DW543" i="3"/>
  <c r="DW544" i="3"/>
  <c r="DW545" i="3"/>
  <c r="DW546" i="3"/>
  <c r="DW547" i="3"/>
  <c r="DW548" i="3"/>
  <c r="DW549" i="3"/>
  <c r="DW550" i="3"/>
  <c r="DW551" i="3"/>
  <c r="DW552" i="3"/>
  <c r="DW553" i="3"/>
  <c r="DW554" i="3"/>
  <c r="DW555" i="3"/>
  <c r="DW556" i="3"/>
  <c r="DW557" i="3"/>
  <c r="DW558" i="3"/>
  <c r="DW559" i="3"/>
  <c r="DW560" i="3"/>
  <c r="DW561" i="3"/>
  <c r="DW562" i="3"/>
  <c r="DW563" i="3"/>
  <c r="DW564" i="3"/>
  <c r="DW565" i="3"/>
  <c r="DW566" i="3"/>
  <c r="DW567" i="3"/>
  <c r="DW568" i="3"/>
  <c r="DW569" i="3"/>
  <c r="DW570" i="3"/>
  <c r="DW571" i="3"/>
  <c r="DW572" i="3"/>
  <c r="DW573" i="3"/>
  <c r="DW574" i="3"/>
  <c r="DW575" i="3"/>
  <c r="DW576" i="3"/>
  <c r="DW577" i="3"/>
  <c r="DW578" i="3"/>
  <c r="DW579" i="3"/>
  <c r="DW580" i="3"/>
  <c r="DW581" i="3"/>
  <c r="DW582" i="3"/>
  <c r="DW583" i="3"/>
  <c r="DW584" i="3"/>
  <c r="DW585" i="3"/>
  <c r="DW586" i="3"/>
  <c r="DW587" i="3"/>
  <c r="DW588" i="3"/>
  <c r="DW589" i="3"/>
  <c r="DW590" i="3"/>
  <c r="DW591" i="3"/>
  <c r="DW592" i="3"/>
  <c r="DW593" i="3"/>
  <c r="DW594" i="3"/>
  <c r="DW595" i="3"/>
  <c r="DW596" i="3"/>
  <c r="DW597" i="3"/>
  <c r="DW598" i="3"/>
  <c r="DW599" i="3"/>
  <c r="DW600" i="3"/>
  <c r="DZ9" i="3"/>
  <c r="DZ10" i="3"/>
  <c r="DZ11" i="3"/>
  <c r="DZ12" i="3"/>
  <c r="DZ13" i="3"/>
  <c r="DZ14" i="3"/>
  <c r="DZ15" i="3"/>
  <c r="DZ16" i="3"/>
  <c r="DZ17" i="3"/>
  <c r="DZ18" i="3"/>
  <c r="DZ19" i="3"/>
  <c r="DZ20" i="3"/>
  <c r="DZ21" i="3"/>
  <c r="DZ22" i="3"/>
  <c r="DZ23" i="3"/>
  <c r="DZ24" i="3"/>
  <c r="DZ25" i="3"/>
  <c r="DZ26" i="3"/>
  <c r="DZ27" i="3"/>
  <c r="DZ28" i="3"/>
  <c r="DZ29" i="3"/>
  <c r="DZ30" i="3"/>
  <c r="DZ31" i="3"/>
  <c r="DZ32" i="3"/>
  <c r="DZ33" i="3"/>
  <c r="DZ34" i="3"/>
  <c r="DZ35" i="3"/>
  <c r="DZ36" i="3"/>
  <c r="DZ37" i="3"/>
  <c r="DZ38" i="3"/>
  <c r="DZ39" i="3"/>
  <c r="DZ40" i="3"/>
  <c r="DZ41" i="3"/>
  <c r="DZ42" i="3"/>
  <c r="DZ43" i="3"/>
  <c r="DZ44" i="3"/>
  <c r="DZ45" i="3"/>
  <c r="DZ46" i="3"/>
  <c r="DZ47" i="3"/>
  <c r="DZ48" i="3"/>
  <c r="DZ49" i="3"/>
  <c r="DZ50" i="3"/>
  <c r="DZ51" i="3"/>
  <c r="DZ52" i="3"/>
  <c r="DZ53" i="3"/>
  <c r="DZ54" i="3"/>
  <c r="DZ55" i="3"/>
  <c r="DZ56" i="3"/>
  <c r="DZ57" i="3"/>
  <c r="DZ58" i="3"/>
  <c r="DZ59" i="3"/>
  <c r="DZ60" i="3"/>
  <c r="DZ61" i="3"/>
  <c r="DZ62" i="3"/>
  <c r="DZ63" i="3"/>
  <c r="DZ64" i="3"/>
  <c r="DZ65" i="3"/>
  <c r="DZ66" i="3"/>
  <c r="DZ67" i="3"/>
  <c r="DZ68" i="3"/>
  <c r="DZ69" i="3"/>
  <c r="DZ70" i="3"/>
  <c r="DZ71" i="3"/>
  <c r="DZ72" i="3"/>
  <c r="DZ73" i="3"/>
  <c r="DZ74" i="3"/>
  <c r="DZ75" i="3"/>
  <c r="DZ76" i="3"/>
  <c r="DZ77" i="3"/>
  <c r="DZ78" i="3"/>
  <c r="DZ79" i="3"/>
  <c r="DZ80" i="3"/>
  <c r="DZ81" i="3"/>
  <c r="DZ82" i="3"/>
  <c r="DZ83" i="3"/>
  <c r="DZ84" i="3"/>
  <c r="DZ85" i="3"/>
  <c r="DZ86" i="3"/>
  <c r="DZ87" i="3"/>
  <c r="DZ88" i="3"/>
  <c r="DZ89" i="3"/>
  <c r="DZ90" i="3"/>
  <c r="DZ91" i="3"/>
  <c r="DZ92" i="3"/>
  <c r="DZ93" i="3"/>
  <c r="DZ94" i="3"/>
  <c r="DZ95" i="3"/>
  <c r="DZ96" i="3"/>
  <c r="DZ97" i="3"/>
  <c r="DZ98" i="3"/>
  <c r="DZ99" i="3"/>
  <c r="DZ100" i="3"/>
  <c r="DZ101" i="3"/>
  <c r="DZ102" i="3"/>
  <c r="DZ103" i="3"/>
  <c r="DZ104" i="3"/>
  <c r="DZ105" i="3"/>
  <c r="DZ106" i="3"/>
  <c r="DZ107" i="3"/>
  <c r="DZ108" i="3"/>
  <c r="DZ109" i="3"/>
  <c r="DZ110" i="3"/>
  <c r="DZ111" i="3"/>
  <c r="DZ112" i="3"/>
  <c r="DZ113" i="3"/>
  <c r="DZ114" i="3"/>
  <c r="DZ115" i="3"/>
  <c r="DZ116" i="3"/>
  <c r="DZ117" i="3"/>
  <c r="DZ118" i="3"/>
  <c r="DZ119" i="3"/>
  <c r="DZ120" i="3"/>
  <c r="DZ121" i="3"/>
  <c r="DZ122" i="3"/>
  <c r="DZ123" i="3"/>
  <c r="DZ124" i="3"/>
  <c r="DZ125" i="3"/>
  <c r="DZ126" i="3"/>
  <c r="DZ127" i="3"/>
  <c r="DZ128" i="3"/>
  <c r="DZ129" i="3"/>
  <c r="DZ130" i="3"/>
  <c r="DZ131" i="3"/>
  <c r="DZ132" i="3"/>
  <c r="DZ133" i="3"/>
  <c r="DZ134" i="3"/>
  <c r="DZ135" i="3"/>
  <c r="DZ136" i="3"/>
  <c r="DZ137" i="3"/>
  <c r="DZ138" i="3"/>
  <c r="DZ139" i="3"/>
  <c r="DZ140" i="3"/>
  <c r="DZ141" i="3"/>
  <c r="DZ142" i="3"/>
  <c r="DZ143" i="3"/>
  <c r="DZ144" i="3"/>
  <c r="DZ145" i="3"/>
  <c r="DZ146" i="3"/>
  <c r="DZ147" i="3"/>
  <c r="DZ148" i="3"/>
  <c r="DZ149" i="3"/>
  <c r="DZ150" i="3"/>
  <c r="DZ151" i="3"/>
  <c r="DZ152" i="3"/>
  <c r="DZ153" i="3"/>
  <c r="DZ154" i="3"/>
  <c r="DZ155" i="3"/>
  <c r="DZ156" i="3"/>
  <c r="DZ157" i="3"/>
  <c r="DZ158" i="3"/>
  <c r="DZ159" i="3"/>
  <c r="DZ160" i="3"/>
  <c r="DZ161" i="3"/>
  <c r="DZ162" i="3"/>
  <c r="DZ163" i="3"/>
  <c r="DZ164" i="3"/>
  <c r="DZ165" i="3"/>
  <c r="DZ166" i="3"/>
  <c r="DZ167" i="3"/>
  <c r="DZ168" i="3"/>
  <c r="DZ169" i="3"/>
  <c r="DZ170" i="3"/>
  <c r="DZ171" i="3"/>
  <c r="DZ172" i="3"/>
  <c r="DZ173" i="3"/>
  <c r="DZ174" i="3"/>
  <c r="DZ175" i="3"/>
  <c r="DZ176" i="3"/>
  <c r="DZ177" i="3"/>
  <c r="DZ178" i="3"/>
  <c r="DZ179" i="3"/>
  <c r="DZ180" i="3"/>
  <c r="DZ181" i="3"/>
  <c r="DZ182" i="3"/>
  <c r="DZ183" i="3"/>
  <c r="DZ184" i="3"/>
  <c r="DZ185" i="3"/>
  <c r="DZ186" i="3"/>
  <c r="DZ187" i="3"/>
  <c r="DZ188" i="3"/>
  <c r="DZ189" i="3"/>
  <c r="DZ190" i="3"/>
  <c r="DZ191" i="3"/>
  <c r="DZ192" i="3"/>
  <c r="DZ193" i="3"/>
  <c r="DZ194" i="3"/>
  <c r="DZ195" i="3"/>
  <c r="DZ196" i="3"/>
  <c r="DZ197" i="3"/>
  <c r="DZ198" i="3"/>
  <c r="DZ199" i="3"/>
  <c r="DZ200" i="3"/>
  <c r="DZ201" i="3"/>
  <c r="DZ202" i="3"/>
  <c r="DZ203" i="3"/>
  <c r="DZ204" i="3"/>
  <c r="DZ205" i="3"/>
  <c r="DZ206" i="3"/>
  <c r="DZ207" i="3"/>
  <c r="DZ208" i="3"/>
  <c r="DZ209" i="3"/>
  <c r="DZ210" i="3"/>
  <c r="DZ211" i="3"/>
  <c r="DZ212" i="3"/>
  <c r="DZ213" i="3"/>
  <c r="DZ214" i="3"/>
  <c r="DZ215" i="3"/>
  <c r="DZ216" i="3"/>
  <c r="DZ217" i="3"/>
  <c r="DZ218" i="3"/>
  <c r="DZ219" i="3"/>
  <c r="DZ220" i="3"/>
  <c r="DZ221" i="3"/>
  <c r="DZ222" i="3"/>
  <c r="DZ223" i="3"/>
  <c r="DZ224" i="3"/>
  <c r="DZ225" i="3"/>
  <c r="DZ226" i="3"/>
  <c r="DZ227" i="3"/>
  <c r="DZ228" i="3"/>
  <c r="DZ229" i="3"/>
  <c r="DZ230" i="3"/>
  <c r="DZ231" i="3"/>
  <c r="DZ232" i="3"/>
  <c r="DZ233" i="3"/>
  <c r="DZ234" i="3"/>
  <c r="DZ235" i="3"/>
  <c r="DZ236" i="3"/>
  <c r="DZ237" i="3"/>
  <c r="DZ238" i="3"/>
  <c r="DZ239" i="3"/>
  <c r="DZ240" i="3"/>
  <c r="DZ241" i="3"/>
  <c r="DZ242" i="3"/>
  <c r="DZ243" i="3"/>
  <c r="DZ244" i="3"/>
  <c r="DZ245" i="3"/>
  <c r="DZ246" i="3"/>
  <c r="DZ247" i="3"/>
  <c r="DZ248" i="3"/>
  <c r="DZ249" i="3"/>
  <c r="DZ250" i="3"/>
  <c r="DZ251" i="3"/>
  <c r="DZ252" i="3"/>
  <c r="DZ253" i="3"/>
  <c r="DZ254" i="3"/>
  <c r="DZ255" i="3"/>
  <c r="DZ256" i="3"/>
  <c r="DZ257" i="3"/>
  <c r="DZ258" i="3"/>
  <c r="DZ259" i="3"/>
  <c r="DZ260" i="3"/>
  <c r="DZ261" i="3"/>
  <c r="DZ262" i="3"/>
  <c r="DZ263" i="3"/>
  <c r="DZ264" i="3"/>
  <c r="DZ265" i="3"/>
  <c r="DZ266" i="3"/>
  <c r="DZ267" i="3"/>
  <c r="DZ268" i="3"/>
  <c r="DZ269" i="3"/>
  <c r="DZ270" i="3"/>
  <c r="DZ271" i="3"/>
  <c r="DZ272" i="3"/>
  <c r="DZ273" i="3"/>
  <c r="DZ274" i="3"/>
  <c r="DZ275" i="3"/>
  <c r="DZ276" i="3"/>
  <c r="DZ277" i="3"/>
  <c r="DZ278" i="3"/>
  <c r="DZ279" i="3"/>
  <c r="DZ280" i="3"/>
  <c r="DZ281" i="3"/>
  <c r="DZ282" i="3"/>
  <c r="DZ283" i="3"/>
  <c r="DZ284" i="3"/>
  <c r="DZ285" i="3"/>
  <c r="DZ286" i="3"/>
  <c r="DZ287" i="3"/>
  <c r="DZ288" i="3"/>
  <c r="DZ289" i="3"/>
  <c r="DZ290" i="3"/>
  <c r="DZ291" i="3"/>
  <c r="DZ292" i="3"/>
  <c r="DZ293" i="3"/>
  <c r="DZ294" i="3"/>
  <c r="DZ295" i="3"/>
  <c r="DZ296" i="3"/>
  <c r="DZ297" i="3"/>
  <c r="DZ298" i="3"/>
  <c r="DZ299" i="3"/>
  <c r="DZ300" i="3"/>
  <c r="DZ301" i="3"/>
  <c r="DZ302" i="3"/>
  <c r="DZ303" i="3"/>
  <c r="DZ304" i="3"/>
  <c r="DZ305" i="3"/>
  <c r="DZ306" i="3"/>
  <c r="DZ307" i="3"/>
  <c r="DZ308" i="3"/>
  <c r="DZ309" i="3"/>
  <c r="DZ310" i="3"/>
  <c r="DZ311" i="3"/>
  <c r="DZ312" i="3"/>
  <c r="DZ313" i="3"/>
  <c r="DZ314" i="3"/>
  <c r="DZ315" i="3"/>
  <c r="DZ316" i="3"/>
  <c r="DZ317" i="3"/>
  <c r="DZ318" i="3"/>
  <c r="DZ319" i="3"/>
  <c r="DZ320" i="3"/>
  <c r="DZ321" i="3"/>
  <c r="DZ322" i="3"/>
  <c r="DZ323" i="3"/>
  <c r="DZ324" i="3"/>
  <c r="DZ325" i="3"/>
  <c r="DZ326" i="3"/>
  <c r="DZ327" i="3"/>
  <c r="DZ328" i="3"/>
  <c r="DZ329" i="3"/>
  <c r="DZ330" i="3"/>
  <c r="DZ331" i="3"/>
  <c r="DZ332" i="3"/>
  <c r="DZ333" i="3"/>
  <c r="DZ334" i="3"/>
  <c r="DZ335" i="3"/>
  <c r="DZ336" i="3"/>
  <c r="DZ337" i="3"/>
  <c r="DZ338" i="3"/>
  <c r="DZ339" i="3"/>
  <c r="DZ340" i="3"/>
  <c r="DZ341" i="3"/>
  <c r="DZ342" i="3"/>
  <c r="DZ343" i="3"/>
  <c r="DZ344" i="3"/>
  <c r="DZ345" i="3"/>
  <c r="DZ346" i="3"/>
  <c r="DZ347" i="3"/>
  <c r="DZ348" i="3"/>
  <c r="DZ349" i="3"/>
  <c r="DZ350" i="3"/>
  <c r="DZ351" i="3"/>
  <c r="DZ352" i="3"/>
  <c r="DZ353" i="3"/>
  <c r="DZ354" i="3"/>
  <c r="DZ355" i="3"/>
  <c r="DZ356" i="3"/>
  <c r="DZ357" i="3"/>
  <c r="DZ358" i="3"/>
  <c r="DZ359" i="3"/>
  <c r="DZ360" i="3"/>
  <c r="DZ361" i="3"/>
  <c r="DZ362" i="3"/>
  <c r="DZ363" i="3"/>
  <c r="DZ364" i="3"/>
  <c r="DZ365" i="3"/>
  <c r="DZ366" i="3"/>
  <c r="DZ367" i="3"/>
  <c r="DZ368" i="3"/>
  <c r="DZ369" i="3"/>
  <c r="DZ370" i="3"/>
  <c r="DZ371" i="3"/>
  <c r="DZ372" i="3"/>
  <c r="DZ373" i="3"/>
  <c r="DZ374" i="3"/>
  <c r="DZ375" i="3"/>
  <c r="DZ376" i="3"/>
  <c r="DZ377" i="3"/>
  <c r="DZ378" i="3"/>
  <c r="DZ379" i="3"/>
  <c r="DZ380" i="3"/>
  <c r="DZ381" i="3"/>
  <c r="DZ382" i="3"/>
  <c r="DZ383" i="3"/>
  <c r="DZ384" i="3"/>
  <c r="DZ385" i="3"/>
  <c r="DZ386" i="3"/>
  <c r="DZ387" i="3"/>
  <c r="DZ388" i="3"/>
  <c r="DZ389" i="3"/>
  <c r="DZ390" i="3"/>
  <c r="DZ391" i="3"/>
  <c r="DZ392" i="3"/>
  <c r="DZ393" i="3"/>
  <c r="DZ394" i="3"/>
  <c r="DZ395" i="3"/>
  <c r="DZ396" i="3"/>
  <c r="DZ397" i="3"/>
  <c r="DZ398" i="3"/>
  <c r="DZ399" i="3"/>
  <c r="DZ400" i="3"/>
  <c r="DZ401" i="3"/>
  <c r="DZ402" i="3"/>
  <c r="DZ403" i="3"/>
  <c r="DZ404" i="3"/>
  <c r="DZ405" i="3"/>
  <c r="DZ406" i="3"/>
  <c r="DZ407" i="3"/>
  <c r="DZ408" i="3"/>
  <c r="DZ409" i="3"/>
  <c r="DZ410" i="3"/>
  <c r="DZ411" i="3"/>
  <c r="DZ412" i="3"/>
  <c r="DZ413" i="3"/>
  <c r="DZ414" i="3"/>
  <c r="DZ415" i="3"/>
  <c r="DZ416" i="3"/>
  <c r="DZ417" i="3"/>
  <c r="DZ418" i="3"/>
  <c r="DZ419" i="3"/>
  <c r="DZ420" i="3"/>
  <c r="DZ421" i="3"/>
  <c r="DZ422" i="3"/>
  <c r="DZ423" i="3"/>
  <c r="DZ424" i="3"/>
  <c r="DZ425" i="3"/>
  <c r="DZ426" i="3"/>
  <c r="DZ427" i="3"/>
  <c r="DZ428" i="3"/>
  <c r="DZ429" i="3"/>
  <c r="DZ430" i="3"/>
  <c r="DZ431" i="3"/>
  <c r="DZ432" i="3"/>
  <c r="DZ433" i="3"/>
  <c r="DZ434" i="3"/>
  <c r="DZ435" i="3"/>
  <c r="DZ436" i="3"/>
  <c r="DZ437" i="3"/>
  <c r="DZ438" i="3"/>
  <c r="DZ439" i="3"/>
  <c r="DZ440" i="3"/>
  <c r="DZ441" i="3"/>
  <c r="DZ442" i="3"/>
  <c r="DZ443" i="3"/>
  <c r="DZ444" i="3"/>
  <c r="DZ445" i="3"/>
  <c r="DZ446" i="3"/>
  <c r="DZ447" i="3"/>
  <c r="DZ448" i="3"/>
  <c r="DZ449" i="3"/>
  <c r="DZ450" i="3"/>
  <c r="DZ451" i="3"/>
  <c r="DZ452" i="3"/>
  <c r="DZ453" i="3"/>
  <c r="DZ454" i="3"/>
  <c r="DZ455" i="3"/>
  <c r="DZ456" i="3"/>
  <c r="DZ457" i="3"/>
  <c r="DZ458" i="3"/>
  <c r="DZ459" i="3"/>
  <c r="DZ460" i="3"/>
  <c r="DZ461" i="3"/>
  <c r="DZ462" i="3"/>
  <c r="DZ463" i="3"/>
  <c r="DZ464" i="3"/>
  <c r="DZ465" i="3"/>
  <c r="DZ466" i="3"/>
  <c r="DZ467" i="3"/>
  <c r="DZ468" i="3"/>
  <c r="DZ469" i="3"/>
  <c r="DZ470" i="3"/>
  <c r="DZ471" i="3"/>
  <c r="DZ472" i="3"/>
  <c r="DZ473" i="3"/>
  <c r="DZ474" i="3"/>
  <c r="DZ475" i="3"/>
  <c r="DZ476" i="3"/>
  <c r="DZ477" i="3"/>
  <c r="DZ478" i="3"/>
  <c r="DZ479" i="3"/>
  <c r="DZ480" i="3"/>
  <c r="DZ481" i="3"/>
  <c r="DZ482" i="3"/>
  <c r="DZ483" i="3"/>
  <c r="DZ484" i="3"/>
  <c r="DZ485" i="3"/>
  <c r="DZ486" i="3"/>
  <c r="DZ487" i="3"/>
  <c r="DZ488" i="3"/>
  <c r="DZ489" i="3"/>
  <c r="DZ490" i="3"/>
  <c r="DZ491" i="3"/>
  <c r="DZ492" i="3"/>
  <c r="DZ493" i="3"/>
  <c r="DZ494" i="3"/>
  <c r="DZ495" i="3"/>
  <c r="DZ496" i="3"/>
  <c r="DZ497" i="3"/>
  <c r="DZ498" i="3"/>
  <c r="DZ499" i="3"/>
  <c r="DZ500" i="3"/>
  <c r="DZ501" i="3"/>
  <c r="DZ502" i="3"/>
  <c r="DZ503" i="3"/>
  <c r="DZ504" i="3"/>
  <c r="DZ505" i="3"/>
  <c r="DZ506" i="3"/>
  <c r="DZ507" i="3"/>
  <c r="DZ508" i="3"/>
  <c r="DZ509" i="3"/>
  <c r="DZ510" i="3"/>
  <c r="DZ511" i="3"/>
  <c r="DZ512" i="3"/>
  <c r="DZ513" i="3"/>
  <c r="DZ514" i="3"/>
  <c r="DZ515" i="3"/>
  <c r="DZ516" i="3"/>
  <c r="DZ517" i="3"/>
  <c r="DZ518" i="3"/>
  <c r="DZ519" i="3"/>
  <c r="DZ520" i="3"/>
  <c r="DZ521" i="3"/>
  <c r="DZ522" i="3"/>
  <c r="DZ523" i="3"/>
  <c r="DZ524" i="3"/>
  <c r="DZ525" i="3"/>
  <c r="DZ526" i="3"/>
  <c r="DZ527" i="3"/>
  <c r="DZ528" i="3"/>
  <c r="DZ529" i="3"/>
  <c r="DZ530" i="3"/>
  <c r="DZ531" i="3"/>
  <c r="DZ532" i="3"/>
  <c r="DZ533" i="3"/>
  <c r="DZ534" i="3"/>
  <c r="DZ535" i="3"/>
  <c r="DZ536" i="3"/>
  <c r="DZ537" i="3"/>
  <c r="DZ538" i="3"/>
  <c r="DZ539" i="3"/>
  <c r="DZ540" i="3"/>
  <c r="DZ541" i="3"/>
  <c r="DZ542" i="3"/>
  <c r="DZ543" i="3"/>
  <c r="DZ544" i="3"/>
  <c r="DZ545" i="3"/>
  <c r="DZ546" i="3"/>
  <c r="DZ547" i="3"/>
  <c r="DZ548" i="3"/>
  <c r="DZ549" i="3"/>
  <c r="DZ550" i="3"/>
  <c r="DZ551" i="3"/>
  <c r="DZ552" i="3"/>
  <c r="DZ553" i="3"/>
  <c r="DZ554" i="3"/>
  <c r="DZ555" i="3"/>
  <c r="DZ556" i="3"/>
  <c r="DZ557" i="3"/>
  <c r="DZ558" i="3"/>
  <c r="DZ559" i="3"/>
  <c r="DZ560" i="3"/>
  <c r="DZ561" i="3"/>
  <c r="DZ562" i="3"/>
  <c r="DZ563" i="3"/>
  <c r="DZ564" i="3"/>
  <c r="DZ565" i="3"/>
  <c r="DZ566" i="3"/>
  <c r="DZ567" i="3"/>
  <c r="DZ568" i="3"/>
  <c r="DZ569" i="3"/>
  <c r="DZ570" i="3"/>
  <c r="DZ571" i="3"/>
  <c r="DZ572" i="3"/>
  <c r="DZ573" i="3"/>
  <c r="DZ574" i="3"/>
  <c r="DZ575" i="3"/>
  <c r="DZ576" i="3"/>
  <c r="DZ577" i="3"/>
  <c r="DZ578" i="3"/>
  <c r="DZ579" i="3"/>
  <c r="DZ580" i="3"/>
  <c r="DZ581" i="3"/>
  <c r="DZ582" i="3"/>
  <c r="DZ583" i="3"/>
  <c r="DZ584" i="3"/>
  <c r="DZ585" i="3"/>
  <c r="DZ586" i="3"/>
  <c r="DZ587" i="3"/>
  <c r="DZ588" i="3"/>
  <c r="DZ589" i="3"/>
  <c r="DZ590" i="3"/>
  <c r="DZ591" i="3"/>
  <c r="DZ592" i="3"/>
  <c r="DZ593" i="3"/>
  <c r="DZ594" i="3"/>
  <c r="DZ595" i="3"/>
  <c r="DZ596" i="3"/>
  <c r="DZ597" i="3"/>
  <c r="DZ598" i="3"/>
  <c r="DZ599" i="3"/>
  <c r="DZ600" i="3"/>
  <c r="EA9" i="3"/>
  <c r="EA10" i="3"/>
  <c r="EA11" i="3"/>
  <c r="EA12" i="3"/>
  <c r="EA13" i="3"/>
  <c r="EA14" i="3"/>
  <c r="EA15" i="3"/>
  <c r="EA16" i="3"/>
  <c r="EA17" i="3"/>
  <c r="EA18" i="3"/>
  <c r="EA19" i="3"/>
  <c r="EA20" i="3"/>
  <c r="EA21" i="3"/>
  <c r="EA22" i="3"/>
  <c r="EA23" i="3"/>
  <c r="EA24" i="3"/>
  <c r="EA25" i="3"/>
  <c r="EA26" i="3"/>
  <c r="EA27" i="3"/>
  <c r="EA28" i="3"/>
  <c r="EA29" i="3"/>
  <c r="EA30" i="3"/>
  <c r="EA31" i="3"/>
  <c r="EA32" i="3"/>
  <c r="EA33" i="3"/>
  <c r="EA34" i="3"/>
  <c r="EA35" i="3"/>
  <c r="EA36" i="3"/>
  <c r="EA37" i="3"/>
  <c r="EA38" i="3"/>
  <c r="EA39" i="3"/>
  <c r="EA40" i="3"/>
  <c r="EA41" i="3"/>
  <c r="EA42" i="3"/>
  <c r="EA43" i="3"/>
  <c r="EA44" i="3"/>
  <c r="EA45" i="3"/>
  <c r="EA46" i="3"/>
  <c r="EA47" i="3"/>
  <c r="EA48" i="3"/>
  <c r="EB48" i="3" s="1"/>
  <c r="EA49" i="3"/>
  <c r="EA50" i="3"/>
  <c r="EB50" i="3" s="1"/>
  <c r="EA51" i="3"/>
  <c r="EB51" i="3" s="1"/>
  <c r="EA52" i="3"/>
  <c r="EB52" i="3" s="1"/>
  <c r="EA53" i="3"/>
  <c r="EA54" i="3"/>
  <c r="EB54" i="3" s="1"/>
  <c r="EA55" i="3"/>
  <c r="EB55" i="3" s="1"/>
  <c r="EA56" i="3"/>
  <c r="EB56" i="3" s="1"/>
  <c r="EA57" i="3"/>
  <c r="EA58" i="3"/>
  <c r="EB58" i="3" s="1"/>
  <c r="EA59" i="3"/>
  <c r="EA60" i="3"/>
  <c r="EB60" i="3" s="1"/>
  <c r="EA61" i="3"/>
  <c r="EA62" i="3"/>
  <c r="EB62" i="3" s="1"/>
  <c r="EA63" i="3"/>
  <c r="EB63" i="3" s="1"/>
  <c r="EA64" i="3"/>
  <c r="EB64" i="3" s="1"/>
  <c r="EA65" i="3"/>
  <c r="EA66" i="3"/>
  <c r="EB66" i="3" s="1"/>
  <c r="EA67" i="3"/>
  <c r="EB67" i="3" s="1"/>
  <c r="EA68" i="3"/>
  <c r="EB68" i="3" s="1"/>
  <c r="EA69" i="3"/>
  <c r="EA70" i="3"/>
  <c r="EB70" i="3" s="1"/>
  <c r="EA71" i="3"/>
  <c r="EB71" i="3" s="1"/>
  <c r="EA72" i="3"/>
  <c r="EB72" i="3" s="1"/>
  <c r="EA73" i="3"/>
  <c r="EA74" i="3"/>
  <c r="EB74" i="3" s="1"/>
  <c r="EA75" i="3"/>
  <c r="EA76" i="3"/>
  <c r="EB76" i="3" s="1"/>
  <c r="EA77" i="3"/>
  <c r="EA78" i="3"/>
  <c r="EB78" i="3" s="1"/>
  <c r="EA79" i="3"/>
  <c r="EB79" i="3" s="1"/>
  <c r="EA80" i="3"/>
  <c r="EB80" i="3" s="1"/>
  <c r="EA81" i="3"/>
  <c r="EA82" i="3"/>
  <c r="EB82" i="3" s="1"/>
  <c r="EA83" i="3"/>
  <c r="EB83" i="3" s="1"/>
  <c r="EA84" i="3"/>
  <c r="EB84" i="3" s="1"/>
  <c r="EA85" i="3"/>
  <c r="EA86" i="3"/>
  <c r="EB86" i="3" s="1"/>
  <c r="EA87" i="3"/>
  <c r="EA88" i="3"/>
  <c r="EB88" i="3" s="1"/>
  <c r="EA89" i="3"/>
  <c r="EA90" i="3"/>
  <c r="EB90" i="3" s="1"/>
  <c r="EA91" i="3"/>
  <c r="EB91" i="3" s="1"/>
  <c r="EA92" i="3"/>
  <c r="EB92" i="3" s="1"/>
  <c r="EA93" i="3"/>
  <c r="EA94" i="3"/>
  <c r="EB94" i="3" s="1"/>
  <c r="EA95" i="3"/>
  <c r="EA96" i="3"/>
  <c r="EB96" i="3" s="1"/>
  <c r="EA97" i="3"/>
  <c r="EA98" i="3"/>
  <c r="EB98" i="3" s="1"/>
  <c r="EA99" i="3"/>
  <c r="EB99" i="3" s="1"/>
  <c r="EA100" i="3"/>
  <c r="EB100" i="3" s="1"/>
  <c r="EA101" i="3"/>
  <c r="EA102" i="3"/>
  <c r="EB102" i="3" s="1"/>
  <c r="EA103" i="3"/>
  <c r="EB103" i="3" s="1"/>
  <c r="EA104" i="3"/>
  <c r="EB104" i="3" s="1"/>
  <c r="EA105" i="3"/>
  <c r="EA106" i="3"/>
  <c r="EB106" i="3" s="1"/>
  <c r="EA107" i="3"/>
  <c r="EB107" i="3" s="1"/>
  <c r="EA108" i="3"/>
  <c r="EB108" i="3" s="1"/>
  <c r="EA109" i="3"/>
  <c r="EA110" i="3"/>
  <c r="EB110" i="3" s="1"/>
  <c r="EA111" i="3"/>
  <c r="EB111" i="3" s="1"/>
  <c r="EA112" i="3"/>
  <c r="EB112" i="3" s="1"/>
  <c r="EA113" i="3"/>
  <c r="EA114" i="3"/>
  <c r="EB114" i="3" s="1"/>
  <c r="EA115" i="3"/>
  <c r="EB115" i="3" s="1"/>
  <c r="EA116" i="3"/>
  <c r="EB116" i="3" s="1"/>
  <c r="EA117" i="3"/>
  <c r="EA118" i="3"/>
  <c r="EB118" i="3" s="1"/>
  <c r="EA119" i="3"/>
  <c r="EB119" i="3" s="1"/>
  <c r="EA120" i="3"/>
  <c r="EB120" i="3" s="1"/>
  <c r="EA121" i="3"/>
  <c r="EA122" i="3"/>
  <c r="EB122" i="3" s="1"/>
  <c r="EA123" i="3"/>
  <c r="EB123" i="3" s="1"/>
  <c r="EA124" i="3"/>
  <c r="EB124" i="3" s="1"/>
  <c r="EA125" i="3"/>
  <c r="EA126" i="3"/>
  <c r="EB126" i="3" s="1"/>
  <c r="EA127" i="3"/>
  <c r="EB127" i="3" s="1"/>
  <c r="EA128" i="3"/>
  <c r="EB128" i="3" s="1"/>
  <c r="EA129" i="3"/>
  <c r="EA130" i="3"/>
  <c r="EB130" i="3" s="1"/>
  <c r="EA131" i="3"/>
  <c r="EB131" i="3" s="1"/>
  <c r="EA132" i="3"/>
  <c r="EB132" i="3" s="1"/>
  <c r="EA133" i="3"/>
  <c r="EA134" i="3"/>
  <c r="EB134" i="3" s="1"/>
  <c r="EA135" i="3"/>
  <c r="EB135" i="3" s="1"/>
  <c r="EA136" i="3"/>
  <c r="EB136" i="3" s="1"/>
  <c r="EA137" i="3"/>
  <c r="EA138" i="3"/>
  <c r="EB138" i="3" s="1"/>
  <c r="EA139" i="3"/>
  <c r="EB139" i="3" s="1"/>
  <c r="EA140" i="3"/>
  <c r="EB140" i="3" s="1"/>
  <c r="EA141" i="3"/>
  <c r="EA142" i="3"/>
  <c r="EB142" i="3" s="1"/>
  <c r="EA143" i="3"/>
  <c r="EB143" i="3" s="1"/>
  <c r="EA144" i="3"/>
  <c r="EB144" i="3" s="1"/>
  <c r="EA145" i="3"/>
  <c r="EA146" i="3"/>
  <c r="EB146" i="3" s="1"/>
  <c r="EA147" i="3"/>
  <c r="EB147" i="3" s="1"/>
  <c r="EA148" i="3"/>
  <c r="EB148" i="3" s="1"/>
  <c r="EA149" i="3"/>
  <c r="EA150" i="3"/>
  <c r="EB150" i="3" s="1"/>
  <c r="EA151" i="3"/>
  <c r="EB151" i="3" s="1"/>
  <c r="EA152" i="3"/>
  <c r="EB152" i="3" s="1"/>
  <c r="EA153" i="3"/>
  <c r="EA154" i="3"/>
  <c r="EB154" i="3" s="1"/>
  <c r="EA155" i="3"/>
  <c r="EB155" i="3" s="1"/>
  <c r="EA156" i="3"/>
  <c r="EB156" i="3" s="1"/>
  <c r="EA157" i="3"/>
  <c r="EA158" i="3"/>
  <c r="EB158" i="3" s="1"/>
  <c r="EA159" i="3"/>
  <c r="EB159" i="3" s="1"/>
  <c r="EA160" i="3"/>
  <c r="EB160" i="3" s="1"/>
  <c r="EA161" i="3"/>
  <c r="EA162" i="3"/>
  <c r="EB162" i="3" s="1"/>
  <c r="EA163" i="3"/>
  <c r="EB163" i="3" s="1"/>
  <c r="EA164" i="3"/>
  <c r="EB164" i="3" s="1"/>
  <c r="EA165" i="3"/>
  <c r="EA166" i="3"/>
  <c r="EB166" i="3" s="1"/>
  <c r="EA167" i="3"/>
  <c r="EB167" i="3" s="1"/>
  <c r="EA168" i="3"/>
  <c r="EB168" i="3" s="1"/>
  <c r="EA169" i="3"/>
  <c r="EA170" i="3"/>
  <c r="EB170" i="3" s="1"/>
  <c r="EA171" i="3"/>
  <c r="EB171" i="3" s="1"/>
  <c r="EA172" i="3"/>
  <c r="EB172" i="3" s="1"/>
  <c r="EA173" i="3"/>
  <c r="EA174" i="3"/>
  <c r="EB174" i="3" s="1"/>
  <c r="EA175" i="3"/>
  <c r="EB175" i="3" s="1"/>
  <c r="EA176" i="3"/>
  <c r="EB176" i="3" s="1"/>
  <c r="EA177" i="3"/>
  <c r="EA178" i="3"/>
  <c r="EB178" i="3" s="1"/>
  <c r="EA179" i="3"/>
  <c r="EB179" i="3" s="1"/>
  <c r="EA180" i="3"/>
  <c r="EB180" i="3" s="1"/>
  <c r="EA181" i="3"/>
  <c r="EA182" i="3"/>
  <c r="EB182" i="3" s="1"/>
  <c r="EA183" i="3"/>
  <c r="EB183" i="3" s="1"/>
  <c r="EA184" i="3"/>
  <c r="EB184" i="3" s="1"/>
  <c r="EA185" i="3"/>
  <c r="EA186" i="3"/>
  <c r="EB186" i="3" s="1"/>
  <c r="EA187" i="3"/>
  <c r="EB187" i="3" s="1"/>
  <c r="EA188" i="3"/>
  <c r="EB188" i="3" s="1"/>
  <c r="EA189" i="3"/>
  <c r="EA190" i="3"/>
  <c r="EB190" i="3" s="1"/>
  <c r="EA191" i="3"/>
  <c r="EB191" i="3" s="1"/>
  <c r="EA192" i="3"/>
  <c r="EB192" i="3" s="1"/>
  <c r="EA193" i="3"/>
  <c r="EA194" i="3"/>
  <c r="EB194" i="3" s="1"/>
  <c r="EA195" i="3"/>
  <c r="EB195" i="3" s="1"/>
  <c r="EA196" i="3"/>
  <c r="EB196" i="3" s="1"/>
  <c r="EA197" i="3"/>
  <c r="EA198" i="3"/>
  <c r="EB198" i="3" s="1"/>
  <c r="EA199" i="3"/>
  <c r="EB199" i="3" s="1"/>
  <c r="EA200" i="3"/>
  <c r="EB200" i="3" s="1"/>
  <c r="EA201" i="3"/>
  <c r="EA202" i="3"/>
  <c r="EB202" i="3" s="1"/>
  <c r="EA203" i="3"/>
  <c r="EB203" i="3" s="1"/>
  <c r="EA204" i="3"/>
  <c r="EB204" i="3" s="1"/>
  <c r="EA205" i="3"/>
  <c r="EA206" i="3"/>
  <c r="EB206" i="3" s="1"/>
  <c r="EA207" i="3"/>
  <c r="EB207" i="3" s="1"/>
  <c r="EA208" i="3"/>
  <c r="EB208" i="3" s="1"/>
  <c r="EA209" i="3"/>
  <c r="EA210" i="3"/>
  <c r="EB210" i="3" s="1"/>
  <c r="EA211" i="3"/>
  <c r="EB211" i="3" s="1"/>
  <c r="EA212" i="3"/>
  <c r="EB212" i="3" s="1"/>
  <c r="EA213" i="3"/>
  <c r="EA214" i="3"/>
  <c r="EB214" i="3" s="1"/>
  <c r="EA215" i="3"/>
  <c r="EB215" i="3" s="1"/>
  <c r="EA216" i="3"/>
  <c r="EB216" i="3" s="1"/>
  <c r="EA217" i="3"/>
  <c r="EA218" i="3"/>
  <c r="EB218" i="3" s="1"/>
  <c r="EA219" i="3"/>
  <c r="EB219" i="3" s="1"/>
  <c r="EA220" i="3"/>
  <c r="EB220" i="3" s="1"/>
  <c r="EA221" i="3"/>
  <c r="EA222" i="3"/>
  <c r="EB222" i="3" s="1"/>
  <c r="EA223" i="3"/>
  <c r="EB223" i="3" s="1"/>
  <c r="EA224" i="3"/>
  <c r="EB224" i="3" s="1"/>
  <c r="EA225" i="3"/>
  <c r="EA226" i="3"/>
  <c r="EB226" i="3" s="1"/>
  <c r="EA227" i="3"/>
  <c r="EB227" i="3" s="1"/>
  <c r="EA228" i="3"/>
  <c r="EB228" i="3" s="1"/>
  <c r="EA229" i="3"/>
  <c r="EA230" i="3"/>
  <c r="EB230" i="3" s="1"/>
  <c r="EA231" i="3"/>
  <c r="EB231" i="3" s="1"/>
  <c r="EA232" i="3"/>
  <c r="EB232" i="3" s="1"/>
  <c r="EA233" i="3"/>
  <c r="EA234" i="3"/>
  <c r="EB234" i="3" s="1"/>
  <c r="EA235" i="3"/>
  <c r="EB235" i="3" s="1"/>
  <c r="EA236" i="3"/>
  <c r="EB236" i="3" s="1"/>
  <c r="EA237" i="3"/>
  <c r="EA238" i="3"/>
  <c r="EB238" i="3" s="1"/>
  <c r="EA239" i="3"/>
  <c r="EB239" i="3" s="1"/>
  <c r="EA240" i="3"/>
  <c r="EB240" i="3" s="1"/>
  <c r="EA241" i="3"/>
  <c r="EA242" i="3"/>
  <c r="EB242" i="3" s="1"/>
  <c r="EA243" i="3"/>
  <c r="EB243" i="3" s="1"/>
  <c r="EA244" i="3"/>
  <c r="EB244" i="3" s="1"/>
  <c r="EA245" i="3"/>
  <c r="EA246" i="3"/>
  <c r="EB246" i="3" s="1"/>
  <c r="EA247" i="3"/>
  <c r="EB247" i="3" s="1"/>
  <c r="EA248" i="3"/>
  <c r="EB248" i="3" s="1"/>
  <c r="EA249" i="3"/>
  <c r="EA250" i="3"/>
  <c r="EB250" i="3" s="1"/>
  <c r="EA251" i="3"/>
  <c r="EB251" i="3" s="1"/>
  <c r="EA252" i="3"/>
  <c r="EB252" i="3" s="1"/>
  <c r="EA253" i="3"/>
  <c r="EA254" i="3"/>
  <c r="EB254" i="3" s="1"/>
  <c r="EA255" i="3"/>
  <c r="EB255" i="3" s="1"/>
  <c r="EA256" i="3"/>
  <c r="EB256" i="3" s="1"/>
  <c r="EA257" i="3"/>
  <c r="EA258" i="3"/>
  <c r="EB258" i="3" s="1"/>
  <c r="EA259" i="3"/>
  <c r="EB259" i="3" s="1"/>
  <c r="EA260" i="3"/>
  <c r="EB260" i="3" s="1"/>
  <c r="EA261" i="3"/>
  <c r="EA262" i="3"/>
  <c r="EB262" i="3" s="1"/>
  <c r="EA263" i="3"/>
  <c r="EB263" i="3" s="1"/>
  <c r="EA264" i="3"/>
  <c r="EB264" i="3" s="1"/>
  <c r="EA265" i="3"/>
  <c r="EA266" i="3"/>
  <c r="EB266" i="3" s="1"/>
  <c r="EA267" i="3"/>
  <c r="EB267" i="3" s="1"/>
  <c r="EA268" i="3"/>
  <c r="EB268" i="3" s="1"/>
  <c r="EA269" i="3"/>
  <c r="EA270" i="3"/>
  <c r="EB270" i="3" s="1"/>
  <c r="EA271" i="3"/>
  <c r="EB271" i="3" s="1"/>
  <c r="EA272" i="3"/>
  <c r="EB272" i="3" s="1"/>
  <c r="EA273" i="3"/>
  <c r="EA274" i="3"/>
  <c r="EB274" i="3" s="1"/>
  <c r="EA275" i="3"/>
  <c r="EB275" i="3" s="1"/>
  <c r="EA276" i="3"/>
  <c r="EB276" i="3" s="1"/>
  <c r="EA277" i="3"/>
  <c r="EA278" i="3"/>
  <c r="EB278" i="3" s="1"/>
  <c r="EA279" i="3"/>
  <c r="EB279" i="3" s="1"/>
  <c r="EA280" i="3"/>
  <c r="EB280" i="3" s="1"/>
  <c r="EA281" i="3"/>
  <c r="EA282" i="3"/>
  <c r="EB282" i="3" s="1"/>
  <c r="EA283" i="3"/>
  <c r="EB283" i="3" s="1"/>
  <c r="EA284" i="3"/>
  <c r="EB284" i="3" s="1"/>
  <c r="EA285" i="3"/>
  <c r="EA286" i="3"/>
  <c r="EB286" i="3" s="1"/>
  <c r="EA287" i="3"/>
  <c r="EB287" i="3" s="1"/>
  <c r="EA288" i="3"/>
  <c r="EB288" i="3" s="1"/>
  <c r="EA289" i="3"/>
  <c r="EA290" i="3"/>
  <c r="EB290" i="3" s="1"/>
  <c r="EA291" i="3"/>
  <c r="EB291" i="3" s="1"/>
  <c r="EA292" i="3"/>
  <c r="EB292" i="3" s="1"/>
  <c r="EA293" i="3"/>
  <c r="EA294" i="3"/>
  <c r="EB294" i="3" s="1"/>
  <c r="EA295" i="3"/>
  <c r="EB295" i="3" s="1"/>
  <c r="EA296" i="3"/>
  <c r="EB296" i="3" s="1"/>
  <c r="EA297" i="3"/>
  <c r="EA298" i="3"/>
  <c r="EB298" i="3" s="1"/>
  <c r="EA299" i="3"/>
  <c r="EB299" i="3" s="1"/>
  <c r="EA300" i="3"/>
  <c r="EB300" i="3" s="1"/>
  <c r="EA301" i="3"/>
  <c r="EA302" i="3"/>
  <c r="EB302" i="3" s="1"/>
  <c r="EA303" i="3"/>
  <c r="EB303" i="3" s="1"/>
  <c r="EA304" i="3"/>
  <c r="EB304" i="3" s="1"/>
  <c r="EA305" i="3"/>
  <c r="EA306" i="3"/>
  <c r="EB306" i="3" s="1"/>
  <c r="EA307" i="3"/>
  <c r="EB307" i="3" s="1"/>
  <c r="EA308" i="3"/>
  <c r="EB308" i="3" s="1"/>
  <c r="EA309" i="3"/>
  <c r="EA310" i="3"/>
  <c r="EB310" i="3" s="1"/>
  <c r="EA311" i="3"/>
  <c r="EB311" i="3" s="1"/>
  <c r="EA312" i="3"/>
  <c r="EB312" i="3" s="1"/>
  <c r="EA313" i="3"/>
  <c r="EA314" i="3"/>
  <c r="EB314" i="3" s="1"/>
  <c r="EA315" i="3"/>
  <c r="EB315" i="3" s="1"/>
  <c r="EA316" i="3"/>
  <c r="EB316" i="3" s="1"/>
  <c r="EA317" i="3"/>
  <c r="EA318" i="3"/>
  <c r="EB318" i="3" s="1"/>
  <c r="EA319" i="3"/>
  <c r="EB319" i="3" s="1"/>
  <c r="EA320" i="3"/>
  <c r="EB320" i="3" s="1"/>
  <c r="EA321" i="3"/>
  <c r="EA322" i="3"/>
  <c r="EB322" i="3" s="1"/>
  <c r="EA323" i="3"/>
  <c r="EB323" i="3" s="1"/>
  <c r="EA324" i="3"/>
  <c r="EB324" i="3" s="1"/>
  <c r="EA325" i="3"/>
  <c r="EA326" i="3"/>
  <c r="EB326" i="3" s="1"/>
  <c r="EA327" i="3"/>
  <c r="EB327" i="3" s="1"/>
  <c r="EA328" i="3"/>
  <c r="EB328" i="3" s="1"/>
  <c r="EA329" i="3"/>
  <c r="EA330" i="3"/>
  <c r="EB330" i="3" s="1"/>
  <c r="EA331" i="3"/>
  <c r="EB331" i="3" s="1"/>
  <c r="EA332" i="3"/>
  <c r="EB332" i="3" s="1"/>
  <c r="EA333" i="3"/>
  <c r="EA334" i="3"/>
  <c r="EB334" i="3" s="1"/>
  <c r="EA335" i="3"/>
  <c r="EB335" i="3" s="1"/>
  <c r="EA336" i="3"/>
  <c r="EB336" i="3" s="1"/>
  <c r="EA337" i="3"/>
  <c r="EA338" i="3"/>
  <c r="EB338" i="3" s="1"/>
  <c r="EA339" i="3"/>
  <c r="EB339" i="3" s="1"/>
  <c r="EA340" i="3"/>
  <c r="EB340" i="3" s="1"/>
  <c r="EA341" i="3"/>
  <c r="EA342" i="3"/>
  <c r="EB342" i="3" s="1"/>
  <c r="EA343" i="3"/>
  <c r="EB343" i="3" s="1"/>
  <c r="EA344" i="3"/>
  <c r="EB344" i="3" s="1"/>
  <c r="EA345" i="3"/>
  <c r="EA346" i="3"/>
  <c r="EB346" i="3" s="1"/>
  <c r="EA347" i="3"/>
  <c r="EB347" i="3" s="1"/>
  <c r="EA348" i="3"/>
  <c r="EB348" i="3" s="1"/>
  <c r="EA349" i="3"/>
  <c r="EA350" i="3"/>
  <c r="EB350" i="3" s="1"/>
  <c r="EA351" i="3"/>
  <c r="EB351" i="3" s="1"/>
  <c r="EA352" i="3"/>
  <c r="EB352" i="3" s="1"/>
  <c r="EA353" i="3"/>
  <c r="EA354" i="3"/>
  <c r="EB354" i="3" s="1"/>
  <c r="EA355" i="3"/>
  <c r="EB355" i="3" s="1"/>
  <c r="EA356" i="3"/>
  <c r="EB356" i="3" s="1"/>
  <c r="EA357" i="3"/>
  <c r="EA358" i="3"/>
  <c r="EB358" i="3" s="1"/>
  <c r="EA359" i="3"/>
  <c r="EB359" i="3" s="1"/>
  <c r="EA360" i="3"/>
  <c r="EB360" i="3" s="1"/>
  <c r="EA361" i="3"/>
  <c r="EA362" i="3"/>
  <c r="EB362" i="3" s="1"/>
  <c r="EA363" i="3"/>
  <c r="EB363" i="3" s="1"/>
  <c r="EA364" i="3"/>
  <c r="EB364" i="3" s="1"/>
  <c r="EA365" i="3"/>
  <c r="EA366" i="3"/>
  <c r="EB366" i="3" s="1"/>
  <c r="EA367" i="3"/>
  <c r="EB367" i="3" s="1"/>
  <c r="EA368" i="3"/>
  <c r="EB368" i="3" s="1"/>
  <c r="EA369" i="3"/>
  <c r="EA370" i="3"/>
  <c r="EB370" i="3" s="1"/>
  <c r="EA371" i="3"/>
  <c r="EB371" i="3" s="1"/>
  <c r="EA372" i="3"/>
  <c r="EB372" i="3" s="1"/>
  <c r="EA373" i="3"/>
  <c r="EA374" i="3"/>
  <c r="EB374" i="3" s="1"/>
  <c r="EA375" i="3"/>
  <c r="EB375" i="3" s="1"/>
  <c r="EA376" i="3"/>
  <c r="EB376" i="3" s="1"/>
  <c r="EA377" i="3"/>
  <c r="EA378" i="3"/>
  <c r="EB378" i="3" s="1"/>
  <c r="EA379" i="3"/>
  <c r="EB379" i="3" s="1"/>
  <c r="EA380" i="3"/>
  <c r="EB380" i="3" s="1"/>
  <c r="EA381" i="3"/>
  <c r="EA382" i="3"/>
  <c r="EB382" i="3" s="1"/>
  <c r="EA383" i="3"/>
  <c r="EB383" i="3" s="1"/>
  <c r="EA384" i="3"/>
  <c r="EB384" i="3" s="1"/>
  <c r="EA385" i="3"/>
  <c r="EA386" i="3"/>
  <c r="EB386" i="3" s="1"/>
  <c r="EA387" i="3"/>
  <c r="EB387" i="3" s="1"/>
  <c r="EA388" i="3"/>
  <c r="EB388" i="3" s="1"/>
  <c r="EA389" i="3"/>
  <c r="EA390" i="3"/>
  <c r="EB390" i="3" s="1"/>
  <c r="EA391" i="3"/>
  <c r="EB391" i="3" s="1"/>
  <c r="EA392" i="3"/>
  <c r="EB392" i="3" s="1"/>
  <c r="EA393" i="3"/>
  <c r="EA394" i="3"/>
  <c r="EB394" i="3" s="1"/>
  <c r="EA395" i="3"/>
  <c r="EB395" i="3" s="1"/>
  <c r="EA396" i="3"/>
  <c r="EB396" i="3" s="1"/>
  <c r="EA397" i="3"/>
  <c r="EA398" i="3"/>
  <c r="EB398" i="3" s="1"/>
  <c r="EA399" i="3"/>
  <c r="EB399" i="3" s="1"/>
  <c r="EA400" i="3"/>
  <c r="EB400" i="3" s="1"/>
  <c r="EA401" i="3"/>
  <c r="EA402" i="3"/>
  <c r="EB402" i="3" s="1"/>
  <c r="EA403" i="3"/>
  <c r="EB403" i="3" s="1"/>
  <c r="EA404" i="3"/>
  <c r="EB404" i="3" s="1"/>
  <c r="EA405" i="3"/>
  <c r="EA406" i="3"/>
  <c r="EB406" i="3" s="1"/>
  <c r="EA407" i="3"/>
  <c r="EB407" i="3" s="1"/>
  <c r="EA408" i="3"/>
  <c r="EB408" i="3" s="1"/>
  <c r="EA409" i="3"/>
  <c r="EA410" i="3"/>
  <c r="EB410" i="3" s="1"/>
  <c r="EA411" i="3"/>
  <c r="EB411" i="3" s="1"/>
  <c r="EA412" i="3"/>
  <c r="EB412" i="3" s="1"/>
  <c r="EA413" i="3"/>
  <c r="EA414" i="3"/>
  <c r="EB414" i="3" s="1"/>
  <c r="EA415" i="3"/>
  <c r="EB415" i="3" s="1"/>
  <c r="EA416" i="3"/>
  <c r="EB416" i="3" s="1"/>
  <c r="EA417" i="3"/>
  <c r="EA418" i="3"/>
  <c r="EB418" i="3" s="1"/>
  <c r="EA419" i="3"/>
  <c r="EB419" i="3" s="1"/>
  <c r="EA420" i="3"/>
  <c r="EB420" i="3" s="1"/>
  <c r="EA421" i="3"/>
  <c r="EA422" i="3"/>
  <c r="EB422" i="3" s="1"/>
  <c r="EA423" i="3"/>
  <c r="EB423" i="3" s="1"/>
  <c r="EA424" i="3"/>
  <c r="EB424" i="3" s="1"/>
  <c r="EA425" i="3"/>
  <c r="EA426" i="3"/>
  <c r="EB426" i="3" s="1"/>
  <c r="EA427" i="3"/>
  <c r="EB427" i="3" s="1"/>
  <c r="EA428" i="3"/>
  <c r="EB428" i="3" s="1"/>
  <c r="EA429" i="3"/>
  <c r="EA430" i="3"/>
  <c r="EB430" i="3" s="1"/>
  <c r="EA431" i="3"/>
  <c r="EB431" i="3" s="1"/>
  <c r="EA432" i="3"/>
  <c r="EB432" i="3" s="1"/>
  <c r="EA433" i="3"/>
  <c r="EA434" i="3"/>
  <c r="EB434" i="3" s="1"/>
  <c r="EA435" i="3"/>
  <c r="EB435" i="3" s="1"/>
  <c r="EA436" i="3"/>
  <c r="EB436" i="3" s="1"/>
  <c r="EA437" i="3"/>
  <c r="EA438" i="3"/>
  <c r="EB438" i="3" s="1"/>
  <c r="EA439" i="3"/>
  <c r="EB439" i="3" s="1"/>
  <c r="EA440" i="3"/>
  <c r="EB440" i="3" s="1"/>
  <c r="EA441" i="3"/>
  <c r="EA442" i="3"/>
  <c r="EB442" i="3" s="1"/>
  <c r="EA443" i="3"/>
  <c r="EB443" i="3" s="1"/>
  <c r="EA444" i="3"/>
  <c r="EB444" i="3" s="1"/>
  <c r="EA445" i="3"/>
  <c r="EA446" i="3"/>
  <c r="EB446" i="3" s="1"/>
  <c r="EA447" i="3"/>
  <c r="EB447" i="3" s="1"/>
  <c r="EA448" i="3"/>
  <c r="EB448" i="3" s="1"/>
  <c r="EA449" i="3"/>
  <c r="EA450" i="3"/>
  <c r="EB450" i="3" s="1"/>
  <c r="EA451" i="3"/>
  <c r="EB451" i="3" s="1"/>
  <c r="EA452" i="3"/>
  <c r="EB452" i="3" s="1"/>
  <c r="EA453" i="3"/>
  <c r="EA454" i="3"/>
  <c r="EB454" i="3" s="1"/>
  <c r="EA455" i="3"/>
  <c r="EB455" i="3" s="1"/>
  <c r="EA456" i="3"/>
  <c r="EB456" i="3" s="1"/>
  <c r="EA457" i="3"/>
  <c r="EA458" i="3"/>
  <c r="EB458" i="3" s="1"/>
  <c r="EA459" i="3"/>
  <c r="EB459" i="3" s="1"/>
  <c r="EA460" i="3"/>
  <c r="EB460" i="3" s="1"/>
  <c r="EA461" i="3"/>
  <c r="EA462" i="3"/>
  <c r="EB462" i="3" s="1"/>
  <c r="EA463" i="3"/>
  <c r="EB463" i="3" s="1"/>
  <c r="EA464" i="3"/>
  <c r="EB464" i="3" s="1"/>
  <c r="EA465" i="3"/>
  <c r="EA466" i="3"/>
  <c r="EB466" i="3" s="1"/>
  <c r="EA467" i="3"/>
  <c r="EB467" i="3" s="1"/>
  <c r="EA468" i="3"/>
  <c r="EB468" i="3" s="1"/>
  <c r="EA469" i="3"/>
  <c r="EA470" i="3"/>
  <c r="EB470" i="3" s="1"/>
  <c r="EA471" i="3"/>
  <c r="EB471" i="3" s="1"/>
  <c r="EA472" i="3"/>
  <c r="EB472" i="3" s="1"/>
  <c r="EA473" i="3"/>
  <c r="EA474" i="3"/>
  <c r="EB474" i="3" s="1"/>
  <c r="EA475" i="3"/>
  <c r="EB475" i="3" s="1"/>
  <c r="EA476" i="3"/>
  <c r="EB476" i="3" s="1"/>
  <c r="EA477" i="3"/>
  <c r="EA478" i="3"/>
  <c r="EB478" i="3" s="1"/>
  <c r="EA479" i="3"/>
  <c r="EB479" i="3" s="1"/>
  <c r="EA480" i="3"/>
  <c r="EB480" i="3" s="1"/>
  <c r="EA481" i="3"/>
  <c r="EA482" i="3"/>
  <c r="EB482" i="3" s="1"/>
  <c r="EA483" i="3"/>
  <c r="EB483" i="3" s="1"/>
  <c r="EA484" i="3"/>
  <c r="EB484" i="3" s="1"/>
  <c r="EA485" i="3"/>
  <c r="EA486" i="3"/>
  <c r="EB486" i="3" s="1"/>
  <c r="EA487" i="3"/>
  <c r="EB487" i="3" s="1"/>
  <c r="EA488" i="3"/>
  <c r="EB488" i="3" s="1"/>
  <c r="EA489" i="3"/>
  <c r="EA490" i="3"/>
  <c r="EB490" i="3" s="1"/>
  <c r="EA491" i="3"/>
  <c r="EB491" i="3" s="1"/>
  <c r="EA492" i="3"/>
  <c r="EB492" i="3" s="1"/>
  <c r="EA493" i="3"/>
  <c r="EA494" i="3"/>
  <c r="EB494" i="3" s="1"/>
  <c r="EA495" i="3"/>
  <c r="EB495" i="3" s="1"/>
  <c r="EA496" i="3"/>
  <c r="EB496" i="3" s="1"/>
  <c r="EA497" i="3"/>
  <c r="EA498" i="3"/>
  <c r="EB498" i="3" s="1"/>
  <c r="EA499" i="3"/>
  <c r="EB499" i="3" s="1"/>
  <c r="EA500" i="3"/>
  <c r="EB500" i="3" s="1"/>
  <c r="EA501" i="3"/>
  <c r="EA502" i="3"/>
  <c r="EB502" i="3" s="1"/>
  <c r="EA503" i="3"/>
  <c r="EB503" i="3" s="1"/>
  <c r="EA504" i="3"/>
  <c r="EB504" i="3" s="1"/>
  <c r="EA505" i="3"/>
  <c r="EA506" i="3"/>
  <c r="EB506" i="3" s="1"/>
  <c r="EA507" i="3"/>
  <c r="EB507" i="3" s="1"/>
  <c r="EA508" i="3"/>
  <c r="EB508" i="3" s="1"/>
  <c r="EA509" i="3"/>
  <c r="EA510" i="3"/>
  <c r="EB510" i="3" s="1"/>
  <c r="EA511" i="3"/>
  <c r="EB511" i="3" s="1"/>
  <c r="EA512" i="3"/>
  <c r="EB512" i="3" s="1"/>
  <c r="EA513" i="3"/>
  <c r="EA514" i="3"/>
  <c r="EB514" i="3" s="1"/>
  <c r="EA515" i="3"/>
  <c r="EB515" i="3" s="1"/>
  <c r="EA516" i="3"/>
  <c r="EB516" i="3" s="1"/>
  <c r="EA517" i="3"/>
  <c r="EA518" i="3"/>
  <c r="EB518" i="3" s="1"/>
  <c r="EA519" i="3"/>
  <c r="EB519" i="3" s="1"/>
  <c r="EA520" i="3"/>
  <c r="EB520" i="3" s="1"/>
  <c r="EA521" i="3"/>
  <c r="EA522" i="3"/>
  <c r="EB522" i="3" s="1"/>
  <c r="EA523" i="3"/>
  <c r="EB523" i="3" s="1"/>
  <c r="EA524" i="3"/>
  <c r="EB524" i="3" s="1"/>
  <c r="EA525" i="3"/>
  <c r="EA526" i="3"/>
  <c r="EB526" i="3" s="1"/>
  <c r="EA527" i="3"/>
  <c r="EB527" i="3" s="1"/>
  <c r="EA528" i="3"/>
  <c r="EB528" i="3" s="1"/>
  <c r="EA529" i="3"/>
  <c r="EA530" i="3"/>
  <c r="EB530" i="3" s="1"/>
  <c r="EA531" i="3"/>
  <c r="EB531" i="3" s="1"/>
  <c r="EA532" i="3"/>
  <c r="EB532" i="3" s="1"/>
  <c r="EA533" i="3"/>
  <c r="EA534" i="3"/>
  <c r="EB534" i="3" s="1"/>
  <c r="EA535" i="3"/>
  <c r="EB535" i="3" s="1"/>
  <c r="EA536" i="3"/>
  <c r="EB536" i="3" s="1"/>
  <c r="EA537" i="3"/>
  <c r="EA538" i="3"/>
  <c r="EB538" i="3" s="1"/>
  <c r="EA539" i="3"/>
  <c r="EB539" i="3" s="1"/>
  <c r="EA540" i="3"/>
  <c r="EB540" i="3" s="1"/>
  <c r="EA541" i="3"/>
  <c r="EA542" i="3"/>
  <c r="EB542" i="3" s="1"/>
  <c r="EA543" i="3"/>
  <c r="EB543" i="3" s="1"/>
  <c r="EA544" i="3"/>
  <c r="EB544" i="3" s="1"/>
  <c r="EA545" i="3"/>
  <c r="EA546" i="3"/>
  <c r="EB546" i="3" s="1"/>
  <c r="EA547" i="3"/>
  <c r="EB547" i="3" s="1"/>
  <c r="EA548" i="3"/>
  <c r="EB548" i="3" s="1"/>
  <c r="EA549" i="3"/>
  <c r="EA550" i="3"/>
  <c r="EB550" i="3" s="1"/>
  <c r="EA551" i="3"/>
  <c r="EB551" i="3" s="1"/>
  <c r="EA552" i="3"/>
  <c r="EB552" i="3" s="1"/>
  <c r="EA553" i="3"/>
  <c r="EA554" i="3"/>
  <c r="EB554" i="3" s="1"/>
  <c r="EA555" i="3"/>
  <c r="EB555" i="3" s="1"/>
  <c r="EA556" i="3"/>
  <c r="EB556" i="3" s="1"/>
  <c r="EA557" i="3"/>
  <c r="EA558" i="3"/>
  <c r="EB558" i="3" s="1"/>
  <c r="EA559" i="3"/>
  <c r="EB559" i="3" s="1"/>
  <c r="EA560" i="3"/>
  <c r="EB560" i="3" s="1"/>
  <c r="EA561" i="3"/>
  <c r="EA562" i="3"/>
  <c r="EB562" i="3" s="1"/>
  <c r="EA563" i="3"/>
  <c r="EB563" i="3" s="1"/>
  <c r="EA564" i="3"/>
  <c r="EB564" i="3" s="1"/>
  <c r="EA565" i="3"/>
  <c r="EA566" i="3"/>
  <c r="EB566" i="3" s="1"/>
  <c r="EA567" i="3"/>
  <c r="EB567" i="3" s="1"/>
  <c r="EA568" i="3"/>
  <c r="EB568" i="3" s="1"/>
  <c r="EA569" i="3"/>
  <c r="EA570" i="3"/>
  <c r="EB570" i="3" s="1"/>
  <c r="EA571" i="3"/>
  <c r="EB571" i="3" s="1"/>
  <c r="EA572" i="3"/>
  <c r="EB572" i="3" s="1"/>
  <c r="EA573" i="3"/>
  <c r="EA574" i="3"/>
  <c r="EB574" i="3" s="1"/>
  <c r="EA575" i="3"/>
  <c r="EB575" i="3" s="1"/>
  <c r="EA576" i="3"/>
  <c r="EB576" i="3" s="1"/>
  <c r="EA577" i="3"/>
  <c r="EA578" i="3"/>
  <c r="EB578" i="3" s="1"/>
  <c r="EA579" i="3"/>
  <c r="EB579" i="3" s="1"/>
  <c r="EA580" i="3"/>
  <c r="EB580" i="3" s="1"/>
  <c r="EA581" i="3"/>
  <c r="EA582" i="3"/>
  <c r="EB582" i="3" s="1"/>
  <c r="EA583" i="3"/>
  <c r="EB583" i="3" s="1"/>
  <c r="EA584" i="3"/>
  <c r="EB584" i="3" s="1"/>
  <c r="EA585" i="3"/>
  <c r="EA586" i="3"/>
  <c r="EB586" i="3" s="1"/>
  <c r="EA587" i="3"/>
  <c r="EB587" i="3" s="1"/>
  <c r="EA588" i="3"/>
  <c r="EB588" i="3" s="1"/>
  <c r="EA589" i="3"/>
  <c r="EA590" i="3"/>
  <c r="EB590" i="3" s="1"/>
  <c r="EA591" i="3"/>
  <c r="EB591" i="3" s="1"/>
  <c r="EA592" i="3"/>
  <c r="EB592" i="3" s="1"/>
  <c r="EA593" i="3"/>
  <c r="EA594" i="3"/>
  <c r="EB594" i="3" s="1"/>
  <c r="EA595" i="3"/>
  <c r="EB595" i="3" s="1"/>
  <c r="EA596" i="3"/>
  <c r="EB596" i="3" s="1"/>
  <c r="EA597" i="3"/>
  <c r="EA598" i="3"/>
  <c r="EB598" i="3" s="1"/>
  <c r="EA599" i="3"/>
  <c r="EB599" i="3" s="1"/>
  <c r="EA600" i="3"/>
  <c r="EB600" i="3" s="1"/>
  <c r="EB9" i="3"/>
  <c r="EB10" i="3"/>
  <c r="EB11" i="3"/>
  <c r="EB12" i="3"/>
  <c r="EB13" i="3"/>
  <c r="EB14" i="3"/>
  <c r="EB15" i="3"/>
  <c r="EB16" i="3"/>
  <c r="EB17" i="3"/>
  <c r="EB18" i="3"/>
  <c r="EB19" i="3"/>
  <c r="EB20" i="3"/>
  <c r="EB21" i="3"/>
  <c r="EB22" i="3"/>
  <c r="EB23" i="3"/>
  <c r="EB24" i="3"/>
  <c r="EB25" i="3"/>
  <c r="EB26" i="3"/>
  <c r="EB27" i="3"/>
  <c r="EB28" i="3"/>
  <c r="EB29" i="3"/>
  <c r="EB30" i="3"/>
  <c r="EB31" i="3"/>
  <c r="EB32" i="3"/>
  <c r="EB33" i="3"/>
  <c r="EB34" i="3"/>
  <c r="EB35" i="3"/>
  <c r="EB36" i="3"/>
  <c r="EB37" i="3"/>
  <c r="EB38" i="3"/>
  <c r="EB39" i="3"/>
  <c r="EB40" i="3"/>
  <c r="EB41" i="3"/>
  <c r="EB42" i="3"/>
  <c r="EB43" i="3"/>
  <c r="EB44" i="3"/>
  <c r="EB45" i="3"/>
  <c r="EB46" i="3"/>
  <c r="EB47" i="3"/>
  <c r="EB49" i="3"/>
  <c r="EB53" i="3"/>
  <c r="EB57" i="3"/>
  <c r="EB59" i="3"/>
  <c r="EB61" i="3"/>
  <c r="EB65" i="3"/>
  <c r="EB69" i="3"/>
  <c r="EB73" i="3"/>
  <c r="EB75" i="3"/>
  <c r="EB77" i="3"/>
  <c r="EB81" i="3"/>
  <c r="EB85" i="3"/>
  <c r="EB87" i="3"/>
  <c r="EB89" i="3"/>
  <c r="EB93" i="3"/>
  <c r="EB95" i="3"/>
  <c r="EB97" i="3"/>
  <c r="EB101" i="3"/>
  <c r="EB105" i="3"/>
  <c r="EB109" i="3"/>
  <c r="EB113" i="3"/>
  <c r="EB117" i="3"/>
  <c r="EB121" i="3"/>
  <c r="EB125" i="3"/>
  <c r="EB129" i="3"/>
  <c r="EB133" i="3"/>
  <c r="EB137" i="3"/>
  <c r="EB141" i="3"/>
  <c r="EB145" i="3"/>
  <c r="EB149" i="3"/>
  <c r="EB153" i="3"/>
  <c r="EB157" i="3"/>
  <c r="EB161" i="3"/>
  <c r="EB165" i="3"/>
  <c r="EB169" i="3"/>
  <c r="EB173" i="3"/>
  <c r="EB177" i="3"/>
  <c r="EB181" i="3"/>
  <c r="EB185" i="3"/>
  <c r="EB189" i="3"/>
  <c r="EB193" i="3"/>
  <c r="EB197" i="3"/>
  <c r="EB201" i="3"/>
  <c r="EB205" i="3"/>
  <c r="EB209" i="3"/>
  <c r="EB213" i="3"/>
  <c r="EB217" i="3"/>
  <c r="EB221" i="3"/>
  <c r="EB225" i="3"/>
  <c r="EB229" i="3"/>
  <c r="EB233" i="3"/>
  <c r="EB237" i="3"/>
  <c r="EB241" i="3"/>
  <c r="EB245" i="3"/>
  <c r="EB249" i="3"/>
  <c r="EB253" i="3"/>
  <c r="EB257" i="3"/>
  <c r="EB261" i="3"/>
  <c r="EB265" i="3"/>
  <c r="EB269" i="3"/>
  <c r="EB273" i="3"/>
  <c r="EB277" i="3"/>
  <c r="EB281" i="3"/>
  <c r="EB285" i="3"/>
  <c r="EB289" i="3"/>
  <c r="EB293" i="3"/>
  <c r="EB297" i="3"/>
  <c r="EB301" i="3"/>
  <c r="EB305" i="3"/>
  <c r="EB309" i="3"/>
  <c r="EB313" i="3"/>
  <c r="EB317" i="3"/>
  <c r="EB321" i="3"/>
  <c r="EB325" i="3"/>
  <c r="EB329" i="3"/>
  <c r="EB333" i="3"/>
  <c r="EB337" i="3"/>
  <c r="EB341" i="3"/>
  <c r="EB345" i="3"/>
  <c r="EB349" i="3"/>
  <c r="EB353" i="3"/>
  <c r="EB357" i="3"/>
  <c r="EB361" i="3"/>
  <c r="EB365" i="3"/>
  <c r="EB369" i="3"/>
  <c r="EB373" i="3"/>
  <c r="EB377" i="3"/>
  <c r="EB381" i="3"/>
  <c r="EB385" i="3"/>
  <c r="EB389" i="3"/>
  <c r="EB393" i="3"/>
  <c r="EB397" i="3"/>
  <c r="EB401" i="3"/>
  <c r="EB405" i="3"/>
  <c r="EB409" i="3"/>
  <c r="EB413" i="3"/>
  <c r="EB417" i="3"/>
  <c r="EB421" i="3"/>
  <c r="EB425" i="3"/>
  <c r="EB429" i="3"/>
  <c r="EB433" i="3"/>
  <c r="EB437" i="3"/>
  <c r="EB441" i="3"/>
  <c r="EB445" i="3"/>
  <c r="EB449" i="3"/>
  <c r="EB453" i="3"/>
  <c r="EB457" i="3"/>
  <c r="EB461" i="3"/>
  <c r="EB465" i="3"/>
  <c r="EB469" i="3"/>
  <c r="EB473" i="3"/>
  <c r="EB477" i="3"/>
  <c r="EB481" i="3"/>
  <c r="EB485" i="3"/>
  <c r="EB489" i="3"/>
  <c r="EB493" i="3"/>
  <c r="EB497" i="3"/>
  <c r="EB501" i="3"/>
  <c r="EB505" i="3"/>
  <c r="EB509" i="3"/>
  <c r="EB513" i="3"/>
  <c r="EB517" i="3"/>
  <c r="EB521" i="3"/>
  <c r="EB525" i="3"/>
  <c r="EB529" i="3"/>
  <c r="EB533" i="3"/>
  <c r="EB537" i="3"/>
  <c r="EB541" i="3"/>
  <c r="EB545" i="3"/>
  <c r="EB549" i="3"/>
  <c r="EB553" i="3"/>
  <c r="EB557" i="3"/>
  <c r="EB561" i="3"/>
  <c r="EB565" i="3"/>
  <c r="EB569" i="3"/>
  <c r="EB573" i="3"/>
  <c r="EB577" i="3"/>
  <c r="EB581" i="3"/>
  <c r="EB585" i="3"/>
  <c r="EB589" i="3"/>
  <c r="EB593" i="3"/>
  <c r="EB597" i="3"/>
  <c r="ED9" i="3"/>
  <c r="ED10" i="3"/>
  <c r="ED11" i="3"/>
  <c r="ED12" i="3"/>
  <c r="ED13" i="3"/>
  <c r="ED14" i="3"/>
  <c r="ED15" i="3"/>
  <c r="ED16" i="3"/>
  <c r="ED17" i="3"/>
  <c r="ED18" i="3"/>
  <c r="ED19" i="3"/>
  <c r="ED20" i="3"/>
  <c r="ED21" i="3"/>
  <c r="ED22" i="3"/>
  <c r="ED23" i="3"/>
  <c r="ED24" i="3"/>
  <c r="ED25" i="3"/>
  <c r="ED26" i="3"/>
  <c r="ED27" i="3"/>
  <c r="ED28" i="3"/>
  <c r="ED29" i="3"/>
  <c r="ED30" i="3"/>
  <c r="ED31" i="3"/>
  <c r="ED32" i="3"/>
  <c r="ED33" i="3"/>
  <c r="ED34" i="3"/>
  <c r="ED35" i="3"/>
  <c r="ED36" i="3"/>
  <c r="ED37" i="3"/>
  <c r="ED38" i="3"/>
  <c r="ED39" i="3"/>
  <c r="ED40" i="3"/>
  <c r="ED41" i="3"/>
  <c r="ED42" i="3"/>
  <c r="ED43" i="3"/>
  <c r="ED44" i="3"/>
  <c r="ED45" i="3"/>
  <c r="ED46" i="3"/>
  <c r="ED47" i="3"/>
  <c r="ED48" i="3"/>
  <c r="ED49" i="3"/>
  <c r="ED50" i="3"/>
  <c r="ED51" i="3"/>
  <c r="ED52" i="3"/>
  <c r="ED53" i="3"/>
  <c r="ED54" i="3"/>
  <c r="ED55" i="3"/>
  <c r="ED56" i="3"/>
  <c r="ED57" i="3"/>
  <c r="ED58" i="3"/>
  <c r="ED59" i="3"/>
  <c r="ED60" i="3"/>
  <c r="ED61" i="3"/>
  <c r="ED62" i="3"/>
  <c r="ED63" i="3"/>
  <c r="ED64" i="3"/>
  <c r="ED65" i="3"/>
  <c r="ED66" i="3"/>
  <c r="ED67" i="3"/>
  <c r="ED68" i="3"/>
  <c r="ED69" i="3"/>
  <c r="ED70" i="3"/>
  <c r="ED71" i="3"/>
  <c r="ED72" i="3"/>
  <c r="ED73" i="3"/>
  <c r="ED74" i="3"/>
  <c r="ED75" i="3"/>
  <c r="ED76" i="3"/>
  <c r="ED77" i="3"/>
  <c r="ED78" i="3"/>
  <c r="ED79" i="3"/>
  <c r="ED80" i="3"/>
  <c r="ED81" i="3"/>
  <c r="ED82" i="3"/>
  <c r="ED83" i="3"/>
  <c r="ED84" i="3"/>
  <c r="ED85" i="3"/>
  <c r="ED86" i="3"/>
  <c r="ED87" i="3"/>
  <c r="ED88" i="3"/>
  <c r="ED89" i="3"/>
  <c r="ED90" i="3"/>
  <c r="ED91" i="3"/>
  <c r="ED92" i="3"/>
  <c r="ED93" i="3"/>
  <c r="ED94" i="3"/>
  <c r="ED95" i="3"/>
  <c r="ED96" i="3"/>
  <c r="ED97" i="3"/>
  <c r="ED98" i="3"/>
  <c r="ED99" i="3"/>
  <c r="ED100" i="3"/>
  <c r="ED101" i="3"/>
  <c r="ED102" i="3"/>
  <c r="ED103" i="3"/>
  <c r="ED104" i="3"/>
  <c r="ED105" i="3"/>
  <c r="ED106" i="3"/>
  <c r="ED107" i="3"/>
  <c r="ED108" i="3"/>
  <c r="ED109" i="3"/>
  <c r="ED110" i="3"/>
  <c r="ED111" i="3"/>
  <c r="ED112" i="3"/>
  <c r="ED113" i="3"/>
  <c r="ED114" i="3"/>
  <c r="ED115" i="3"/>
  <c r="ED116" i="3"/>
  <c r="ED117" i="3"/>
  <c r="ED118" i="3"/>
  <c r="ED119" i="3"/>
  <c r="ED120" i="3"/>
  <c r="ED121" i="3"/>
  <c r="ED122" i="3"/>
  <c r="ED123" i="3"/>
  <c r="ED124" i="3"/>
  <c r="ED125" i="3"/>
  <c r="ED126" i="3"/>
  <c r="ED127" i="3"/>
  <c r="ED128" i="3"/>
  <c r="ED129" i="3"/>
  <c r="ED130" i="3"/>
  <c r="ED131" i="3"/>
  <c r="ED132" i="3"/>
  <c r="ED133" i="3"/>
  <c r="ED134" i="3"/>
  <c r="ED135" i="3"/>
  <c r="ED136" i="3"/>
  <c r="ED137" i="3"/>
  <c r="ED138" i="3"/>
  <c r="ED139" i="3"/>
  <c r="ED140" i="3"/>
  <c r="ED141" i="3"/>
  <c r="ED142" i="3"/>
  <c r="ED143" i="3"/>
  <c r="ED144" i="3"/>
  <c r="ED145" i="3"/>
  <c r="ED146" i="3"/>
  <c r="ED147" i="3"/>
  <c r="ED148" i="3"/>
  <c r="ED149" i="3"/>
  <c r="ED150" i="3"/>
  <c r="ED151" i="3"/>
  <c r="ED152" i="3"/>
  <c r="ED153" i="3"/>
  <c r="ED154" i="3"/>
  <c r="ED155" i="3"/>
  <c r="ED156" i="3"/>
  <c r="ED157" i="3"/>
  <c r="ED158" i="3"/>
  <c r="ED159" i="3"/>
  <c r="ED160" i="3"/>
  <c r="ED161" i="3"/>
  <c r="ED162" i="3"/>
  <c r="ED163" i="3"/>
  <c r="ED164" i="3"/>
  <c r="ED165" i="3"/>
  <c r="ED166" i="3"/>
  <c r="ED167" i="3"/>
  <c r="ED168" i="3"/>
  <c r="ED169" i="3"/>
  <c r="ED170" i="3"/>
  <c r="ED171" i="3"/>
  <c r="ED172" i="3"/>
  <c r="ED173" i="3"/>
  <c r="ED174" i="3"/>
  <c r="ED175" i="3"/>
  <c r="ED176" i="3"/>
  <c r="ED177" i="3"/>
  <c r="ED178" i="3"/>
  <c r="ED179" i="3"/>
  <c r="ED180" i="3"/>
  <c r="ED181" i="3"/>
  <c r="ED182" i="3"/>
  <c r="ED183" i="3"/>
  <c r="ED184" i="3"/>
  <c r="ED185" i="3"/>
  <c r="ED186" i="3"/>
  <c r="ED187" i="3"/>
  <c r="ED188" i="3"/>
  <c r="ED189" i="3"/>
  <c r="ED190" i="3"/>
  <c r="ED191" i="3"/>
  <c r="ED192" i="3"/>
  <c r="ED193" i="3"/>
  <c r="ED194" i="3"/>
  <c r="ED195" i="3"/>
  <c r="ED196" i="3"/>
  <c r="ED197" i="3"/>
  <c r="ED198" i="3"/>
  <c r="ED199" i="3"/>
  <c r="ED200" i="3"/>
  <c r="ED201" i="3"/>
  <c r="ED202" i="3"/>
  <c r="ED203" i="3"/>
  <c r="ED204" i="3"/>
  <c r="ED205" i="3"/>
  <c r="ED206" i="3"/>
  <c r="ED207" i="3"/>
  <c r="ED208" i="3"/>
  <c r="ED209" i="3"/>
  <c r="ED210" i="3"/>
  <c r="ED211" i="3"/>
  <c r="ED212" i="3"/>
  <c r="ED213" i="3"/>
  <c r="ED214" i="3"/>
  <c r="ED215" i="3"/>
  <c r="ED216" i="3"/>
  <c r="ED217" i="3"/>
  <c r="ED218" i="3"/>
  <c r="ED219" i="3"/>
  <c r="ED220" i="3"/>
  <c r="ED221" i="3"/>
  <c r="ED222" i="3"/>
  <c r="ED223" i="3"/>
  <c r="ED224" i="3"/>
  <c r="ED225" i="3"/>
  <c r="ED226" i="3"/>
  <c r="ED227" i="3"/>
  <c r="ED228" i="3"/>
  <c r="ED229" i="3"/>
  <c r="ED230" i="3"/>
  <c r="ED231" i="3"/>
  <c r="ED232" i="3"/>
  <c r="ED233" i="3"/>
  <c r="ED234" i="3"/>
  <c r="ED235" i="3"/>
  <c r="ED236" i="3"/>
  <c r="ED237" i="3"/>
  <c r="ED238" i="3"/>
  <c r="ED239" i="3"/>
  <c r="ED240" i="3"/>
  <c r="ED241" i="3"/>
  <c r="ED242" i="3"/>
  <c r="ED243" i="3"/>
  <c r="ED244" i="3"/>
  <c r="ED245" i="3"/>
  <c r="ED246" i="3"/>
  <c r="ED247" i="3"/>
  <c r="ED248" i="3"/>
  <c r="ED249" i="3"/>
  <c r="ED250" i="3"/>
  <c r="ED251" i="3"/>
  <c r="ED252" i="3"/>
  <c r="ED253" i="3"/>
  <c r="ED254" i="3"/>
  <c r="ED255" i="3"/>
  <c r="ED256" i="3"/>
  <c r="ED257" i="3"/>
  <c r="ED258" i="3"/>
  <c r="ED259" i="3"/>
  <c r="ED260" i="3"/>
  <c r="ED261" i="3"/>
  <c r="ED262" i="3"/>
  <c r="ED263" i="3"/>
  <c r="ED264" i="3"/>
  <c r="ED265" i="3"/>
  <c r="ED266" i="3"/>
  <c r="ED267" i="3"/>
  <c r="ED268" i="3"/>
  <c r="ED269" i="3"/>
  <c r="ED270" i="3"/>
  <c r="ED271" i="3"/>
  <c r="ED272" i="3"/>
  <c r="ED273" i="3"/>
  <c r="ED274" i="3"/>
  <c r="ED275" i="3"/>
  <c r="ED276" i="3"/>
  <c r="ED277" i="3"/>
  <c r="ED278" i="3"/>
  <c r="ED279" i="3"/>
  <c r="ED280" i="3"/>
  <c r="ED281" i="3"/>
  <c r="ED282" i="3"/>
  <c r="ED283" i="3"/>
  <c r="ED284" i="3"/>
  <c r="ED285" i="3"/>
  <c r="ED286" i="3"/>
  <c r="ED287" i="3"/>
  <c r="ED288" i="3"/>
  <c r="ED289" i="3"/>
  <c r="ED290" i="3"/>
  <c r="ED291" i="3"/>
  <c r="ED292" i="3"/>
  <c r="ED293" i="3"/>
  <c r="ED294" i="3"/>
  <c r="ED295" i="3"/>
  <c r="ED296" i="3"/>
  <c r="ED297" i="3"/>
  <c r="ED298" i="3"/>
  <c r="ED299" i="3"/>
  <c r="ED300" i="3"/>
  <c r="ED301" i="3"/>
  <c r="ED302" i="3"/>
  <c r="ED303" i="3"/>
  <c r="ED304" i="3"/>
  <c r="ED305" i="3"/>
  <c r="ED306" i="3"/>
  <c r="ED307" i="3"/>
  <c r="ED308" i="3"/>
  <c r="ED309" i="3"/>
  <c r="ED310" i="3"/>
  <c r="ED311" i="3"/>
  <c r="ED312" i="3"/>
  <c r="ED313" i="3"/>
  <c r="ED314" i="3"/>
  <c r="ED315" i="3"/>
  <c r="ED316" i="3"/>
  <c r="ED317" i="3"/>
  <c r="ED318" i="3"/>
  <c r="ED319" i="3"/>
  <c r="ED320" i="3"/>
  <c r="ED321" i="3"/>
  <c r="ED322" i="3"/>
  <c r="ED323" i="3"/>
  <c r="ED324" i="3"/>
  <c r="ED325" i="3"/>
  <c r="ED326" i="3"/>
  <c r="ED327" i="3"/>
  <c r="ED328" i="3"/>
  <c r="ED329" i="3"/>
  <c r="ED330" i="3"/>
  <c r="ED331" i="3"/>
  <c r="ED332" i="3"/>
  <c r="ED333" i="3"/>
  <c r="ED334" i="3"/>
  <c r="ED335" i="3"/>
  <c r="ED336" i="3"/>
  <c r="ED337" i="3"/>
  <c r="EE337" i="3" s="1"/>
  <c r="ED338" i="3"/>
  <c r="EE338" i="3" s="1"/>
  <c r="ED339" i="3"/>
  <c r="EE339" i="3" s="1"/>
  <c r="ED340" i="3"/>
  <c r="ED341" i="3"/>
  <c r="EE341" i="3" s="1"/>
  <c r="ED342" i="3"/>
  <c r="EE342" i="3" s="1"/>
  <c r="ED343" i="3"/>
  <c r="EE343" i="3" s="1"/>
  <c r="ED344" i="3"/>
  <c r="EE344" i="3" s="1"/>
  <c r="ED345" i="3"/>
  <c r="EE345" i="3" s="1"/>
  <c r="ED346" i="3"/>
  <c r="EE346" i="3" s="1"/>
  <c r="ED347" i="3"/>
  <c r="EE347" i="3" s="1"/>
  <c r="ED348" i="3"/>
  <c r="ED349" i="3"/>
  <c r="EE349" i="3" s="1"/>
  <c r="ED350" i="3"/>
  <c r="EE350" i="3" s="1"/>
  <c r="ED351" i="3"/>
  <c r="EE351" i="3" s="1"/>
  <c r="ED352" i="3"/>
  <c r="ED353" i="3"/>
  <c r="EE353" i="3" s="1"/>
  <c r="ED354" i="3"/>
  <c r="EE354" i="3" s="1"/>
  <c r="ED355" i="3"/>
  <c r="EE355" i="3" s="1"/>
  <c r="ED356" i="3"/>
  <c r="ED357" i="3"/>
  <c r="EE357" i="3" s="1"/>
  <c r="ED358" i="3"/>
  <c r="EE358" i="3" s="1"/>
  <c r="ED359" i="3"/>
  <c r="EE359" i="3" s="1"/>
  <c r="ED360" i="3"/>
  <c r="EE360" i="3" s="1"/>
  <c r="ED361" i="3"/>
  <c r="EE361" i="3" s="1"/>
  <c r="ED362" i="3"/>
  <c r="EE362" i="3" s="1"/>
  <c r="ED363" i="3"/>
  <c r="EE363" i="3" s="1"/>
  <c r="ED364" i="3"/>
  <c r="ED365" i="3"/>
  <c r="EE365" i="3" s="1"/>
  <c r="ED366" i="3"/>
  <c r="EE366" i="3" s="1"/>
  <c r="ED367" i="3"/>
  <c r="EE367" i="3" s="1"/>
  <c r="ED368" i="3"/>
  <c r="ED369" i="3"/>
  <c r="EE369" i="3" s="1"/>
  <c r="ED370" i="3"/>
  <c r="EE370" i="3" s="1"/>
  <c r="ED371" i="3"/>
  <c r="ED372" i="3"/>
  <c r="EE372" i="3" s="1"/>
  <c r="ED373" i="3"/>
  <c r="EE373" i="3" s="1"/>
  <c r="ED374" i="3"/>
  <c r="EE374" i="3" s="1"/>
  <c r="ED375" i="3"/>
  <c r="EE375" i="3" s="1"/>
  <c r="ED376" i="3"/>
  <c r="EE376" i="3" s="1"/>
  <c r="ED377" i="3"/>
  <c r="EE377" i="3" s="1"/>
  <c r="ED378" i="3"/>
  <c r="EE378" i="3" s="1"/>
  <c r="ED379" i="3"/>
  <c r="ED380" i="3"/>
  <c r="EE380" i="3" s="1"/>
  <c r="ED381" i="3"/>
  <c r="EE381" i="3" s="1"/>
  <c r="ED382" i="3"/>
  <c r="EE382" i="3" s="1"/>
  <c r="ED383" i="3"/>
  <c r="EE383" i="3" s="1"/>
  <c r="ED384" i="3"/>
  <c r="EE384" i="3" s="1"/>
  <c r="ED385" i="3"/>
  <c r="EE385" i="3" s="1"/>
  <c r="ED386" i="3"/>
  <c r="EE386" i="3" s="1"/>
  <c r="ED387" i="3"/>
  <c r="ED388" i="3"/>
  <c r="EE388" i="3" s="1"/>
  <c r="ED389" i="3"/>
  <c r="EE389" i="3" s="1"/>
  <c r="ED390" i="3"/>
  <c r="EE390" i="3" s="1"/>
  <c r="ED391" i="3"/>
  <c r="EE391" i="3" s="1"/>
  <c r="ED392" i="3"/>
  <c r="EE392" i="3" s="1"/>
  <c r="ED393" i="3"/>
  <c r="EE393" i="3" s="1"/>
  <c r="ED394" i="3"/>
  <c r="EE394" i="3" s="1"/>
  <c r="ED395" i="3"/>
  <c r="ED396" i="3"/>
  <c r="EE396" i="3" s="1"/>
  <c r="ED397" i="3"/>
  <c r="EE397" i="3" s="1"/>
  <c r="ED398" i="3"/>
  <c r="EE398" i="3" s="1"/>
  <c r="ED399" i="3"/>
  <c r="EE399" i="3" s="1"/>
  <c r="ED400" i="3"/>
  <c r="EE400" i="3" s="1"/>
  <c r="ED401" i="3"/>
  <c r="EE401" i="3" s="1"/>
  <c r="ED402" i="3"/>
  <c r="EE402" i="3" s="1"/>
  <c r="ED403" i="3"/>
  <c r="ED404" i="3"/>
  <c r="EE404" i="3" s="1"/>
  <c r="ED405" i="3"/>
  <c r="EE405" i="3" s="1"/>
  <c r="ED406" i="3"/>
  <c r="EE406" i="3" s="1"/>
  <c r="ED407" i="3"/>
  <c r="EE407" i="3" s="1"/>
  <c r="ED408" i="3"/>
  <c r="EE408" i="3" s="1"/>
  <c r="ED409" i="3"/>
  <c r="EE409" i="3" s="1"/>
  <c r="ED410" i="3"/>
  <c r="EE410" i="3" s="1"/>
  <c r="ED411" i="3"/>
  <c r="ED412" i="3"/>
  <c r="EE412" i="3" s="1"/>
  <c r="ED413" i="3"/>
  <c r="EE413" i="3" s="1"/>
  <c r="ED414" i="3"/>
  <c r="EE414" i="3" s="1"/>
  <c r="ED415" i="3"/>
  <c r="EE415" i="3" s="1"/>
  <c r="ED416" i="3"/>
  <c r="EE416" i="3" s="1"/>
  <c r="ED417" i="3"/>
  <c r="EE417" i="3" s="1"/>
  <c r="ED418" i="3"/>
  <c r="EE418" i="3" s="1"/>
  <c r="ED419" i="3"/>
  <c r="ED420" i="3"/>
  <c r="EE420" i="3" s="1"/>
  <c r="ED421" i="3"/>
  <c r="EE421" i="3" s="1"/>
  <c r="ED422" i="3"/>
  <c r="EE422" i="3" s="1"/>
  <c r="ED423" i="3"/>
  <c r="EE423" i="3" s="1"/>
  <c r="ED424" i="3"/>
  <c r="EE424" i="3" s="1"/>
  <c r="ED425" i="3"/>
  <c r="EE425" i="3" s="1"/>
  <c r="ED426" i="3"/>
  <c r="EE426" i="3" s="1"/>
  <c r="ED427" i="3"/>
  <c r="ED428" i="3"/>
  <c r="EE428" i="3" s="1"/>
  <c r="ED429" i="3"/>
  <c r="EE429" i="3" s="1"/>
  <c r="ED430" i="3"/>
  <c r="EE430" i="3" s="1"/>
  <c r="ED431" i="3"/>
  <c r="EE431" i="3" s="1"/>
  <c r="ED432" i="3"/>
  <c r="EE432" i="3" s="1"/>
  <c r="ED433" i="3"/>
  <c r="EE433" i="3" s="1"/>
  <c r="ED434" i="3"/>
  <c r="EE434" i="3" s="1"/>
  <c r="ED435" i="3"/>
  <c r="ED436" i="3"/>
  <c r="EE436" i="3" s="1"/>
  <c r="ED437" i="3"/>
  <c r="EE437" i="3" s="1"/>
  <c r="ED438" i="3"/>
  <c r="EE438" i="3" s="1"/>
  <c r="ED439" i="3"/>
  <c r="EE439" i="3" s="1"/>
  <c r="ED440" i="3"/>
  <c r="EE440" i="3" s="1"/>
  <c r="ED441" i="3"/>
  <c r="EE441" i="3" s="1"/>
  <c r="ED442" i="3"/>
  <c r="EE442" i="3" s="1"/>
  <c r="ED443" i="3"/>
  <c r="ED444" i="3"/>
  <c r="EE444" i="3" s="1"/>
  <c r="ED445" i="3"/>
  <c r="EE445" i="3" s="1"/>
  <c r="ED446" i="3"/>
  <c r="EE446" i="3" s="1"/>
  <c r="ED447" i="3"/>
  <c r="EE447" i="3" s="1"/>
  <c r="ED448" i="3"/>
  <c r="EE448" i="3" s="1"/>
  <c r="ED449" i="3"/>
  <c r="EE449" i="3" s="1"/>
  <c r="ED450" i="3"/>
  <c r="EE450" i="3" s="1"/>
  <c r="ED451" i="3"/>
  <c r="ED452" i="3"/>
  <c r="EE452" i="3" s="1"/>
  <c r="ED453" i="3"/>
  <c r="EE453" i="3" s="1"/>
  <c r="ED454" i="3"/>
  <c r="EE454" i="3" s="1"/>
  <c r="ED455" i="3"/>
  <c r="EE455" i="3" s="1"/>
  <c r="ED456" i="3"/>
  <c r="EE456" i="3" s="1"/>
  <c r="ED457" i="3"/>
  <c r="EE457" i="3" s="1"/>
  <c r="ED458" i="3"/>
  <c r="EE458" i="3" s="1"/>
  <c r="ED459" i="3"/>
  <c r="ED460" i="3"/>
  <c r="EE460" i="3" s="1"/>
  <c r="ED461" i="3"/>
  <c r="EE461" i="3" s="1"/>
  <c r="ED462" i="3"/>
  <c r="EE462" i="3" s="1"/>
  <c r="ED463" i="3"/>
  <c r="EE463" i="3" s="1"/>
  <c r="ED464" i="3"/>
  <c r="EE464" i="3" s="1"/>
  <c r="ED465" i="3"/>
  <c r="EE465" i="3" s="1"/>
  <c r="ED466" i="3"/>
  <c r="EE466" i="3" s="1"/>
  <c r="ED467" i="3"/>
  <c r="ED468" i="3"/>
  <c r="EE468" i="3" s="1"/>
  <c r="ED469" i="3"/>
  <c r="EE469" i="3" s="1"/>
  <c r="ED470" i="3"/>
  <c r="EE470" i="3" s="1"/>
  <c r="ED471" i="3"/>
  <c r="EE471" i="3" s="1"/>
  <c r="ED472" i="3"/>
  <c r="EE472" i="3" s="1"/>
  <c r="ED473" i="3"/>
  <c r="EE473" i="3" s="1"/>
  <c r="ED474" i="3"/>
  <c r="EE474" i="3" s="1"/>
  <c r="ED475" i="3"/>
  <c r="ED476" i="3"/>
  <c r="EE476" i="3" s="1"/>
  <c r="ED477" i="3"/>
  <c r="EE477" i="3" s="1"/>
  <c r="ED478" i="3"/>
  <c r="EE478" i="3" s="1"/>
  <c r="ED479" i="3"/>
  <c r="EE479" i="3" s="1"/>
  <c r="ED480" i="3"/>
  <c r="EE480" i="3" s="1"/>
  <c r="ED481" i="3"/>
  <c r="EE481" i="3" s="1"/>
  <c r="ED482" i="3"/>
  <c r="EE482" i="3" s="1"/>
  <c r="ED483" i="3"/>
  <c r="ED484" i="3"/>
  <c r="EE484" i="3" s="1"/>
  <c r="ED485" i="3"/>
  <c r="EE485" i="3" s="1"/>
  <c r="ED486" i="3"/>
  <c r="EE486" i="3" s="1"/>
  <c r="ED487" i="3"/>
  <c r="EE487" i="3" s="1"/>
  <c r="ED488" i="3"/>
  <c r="EE488" i="3" s="1"/>
  <c r="ED489" i="3"/>
  <c r="EE489" i="3" s="1"/>
  <c r="ED490" i="3"/>
  <c r="EE490" i="3" s="1"/>
  <c r="ED491" i="3"/>
  <c r="ED492" i="3"/>
  <c r="EE492" i="3" s="1"/>
  <c r="ED493" i="3"/>
  <c r="EE493" i="3" s="1"/>
  <c r="ED494" i="3"/>
  <c r="EE494" i="3" s="1"/>
  <c r="ED495" i="3"/>
  <c r="EE495" i="3" s="1"/>
  <c r="ED496" i="3"/>
  <c r="EE496" i="3" s="1"/>
  <c r="ED497" i="3"/>
  <c r="EE497" i="3" s="1"/>
  <c r="ED498" i="3"/>
  <c r="EE498" i="3" s="1"/>
  <c r="ED499" i="3"/>
  <c r="ED500" i="3"/>
  <c r="EE500" i="3" s="1"/>
  <c r="ED501" i="3"/>
  <c r="EE501" i="3" s="1"/>
  <c r="ED502" i="3"/>
  <c r="EE502" i="3" s="1"/>
  <c r="ED503" i="3"/>
  <c r="EE503" i="3" s="1"/>
  <c r="ED504" i="3"/>
  <c r="EE504" i="3" s="1"/>
  <c r="ED505" i="3"/>
  <c r="EE505" i="3" s="1"/>
  <c r="ED506" i="3"/>
  <c r="EE506" i="3" s="1"/>
  <c r="ED507" i="3"/>
  <c r="ED508" i="3"/>
  <c r="EE508" i="3" s="1"/>
  <c r="ED509" i="3"/>
  <c r="EE509" i="3" s="1"/>
  <c r="ED510" i="3"/>
  <c r="EE510" i="3" s="1"/>
  <c r="ED511" i="3"/>
  <c r="EE511" i="3" s="1"/>
  <c r="ED512" i="3"/>
  <c r="EE512" i="3" s="1"/>
  <c r="ED513" i="3"/>
  <c r="EE513" i="3" s="1"/>
  <c r="ED514" i="3"/>
  <c r="EE514" i="3" s="1"/>
  <c r="ED515" i="3"/>
  <c r="ED516" i="3"/>
  <c r="EE516" i="3" s="1"/>
  <c r="ED517" i="3"/>
  <c r="EE517" i="3" s="1"/>
  <c r="ED518" i="3"/>
  <c r="EE518" i="3" s="1"/>
  <c r="ED519" i="3"/>
  <c r="EE519" i="3" s="1"/>
  <c r="ED520" i="3"/>
  <c r="EE520" i="3" s="1"/>
  <c r="ED521" i="3"/>
  <c r="EE521" i="3" s="1"/>
  <c r="ED522" i="3"/>
  <c r="EE522" i="3" s="1"/>
  <c r="ED523" i="3"/>
  <c r="ED524" i="3"/>
  <c r="EE524" i="3" s="1"/>
  <c r="ED525" i="3"/>
  <c r="EE525" i="3" s="1"/>
  <c r="ED526" i="3"/>
  <c r="EE526" i="3" s="1"/>
  <c r="ED527" i="3"/>
  <c r="EE527" i="3" s="1"/>
  <c r="ED528" i="3"/>
  <c r="EE528" i="3" s="1"/>
  <c r="ED529" i="3"/>
  <c r="EE529" i="3" s="1"/>
  <c r="ED530" i="3"/>
  <c r="EE530" i="3" s="1"/>
  <c r="ED531" i="3"/>
  <c r="ED532" i="3"/>
  <c r="EE532" i="3" s="1"/>
  <c r="ED533" i="3"/>
  <c r="EE533" i="3" s="1"/>
  <c r="ED534" i="3"/>
  <c r="EE534" i="3" s="1"/>
  <c r="ED535" i="3"/>
  <c r="EE535" i="3" s="1"/>
  <c r="ED536" i="3"/>
  <c r="EE536" i="3" s="1"/>
  <c r="ED537" i="3"/>
  <c r="EE537" i="3" s="1"/>
  <c r="ED538" i="3"/>
  <c r="EE538" i="3" s="1"/>
  <c r="ED539" i="3"/>
  <c r="ED540" i="3"/>
  <c r="EE540" i="3" s="1"/>
  <c r="ED541" i="3"/>
  <c r="EE541" i="3" s="1"/>
  <c r="ED542" i="3"/>
  <c r="EE542" i="3" s="1"/>
  <c r="ED543" i="3"/>
  <c r="EE543" i="3" s="1"/>
  <c r="ED544" i="3"/>
  <c r="EE544" i="3" s="1"/>
  <c r="ED545" i="3"/>
  <c r="EE545" i="3" s="1"/>
  <c r="ED546" i="3"/>
  <c r="EE546" i="3" s="1"/>
  <c r="ED547" i="3"/>
  <c r="ED548" i="3"/>
  <c r="EE548" i="3" s="1"/>
  <c r="ED549" i="3"/>
  <c r="EE549" i="3" s="1"/>
  <c r="ED550" i="3"/>
  <c r="EE550" i="3" s="1"/>
  <c r="ED551" i="3"/>
  <c r="EE551" i="3" s="1"/>
  <c r="ED552" i="3"/>
  <c r="EE552" i="3" s="1"/>
  <c r="ED553" i="3"/>
  <c r="EE553" i="3" s="1"/>
  <c r="ED554" i="3"/>
  <c r="EE554" i="3" s="1"/>
  <c r="ED555" i="3"/>
  <c r="ED556" i="3"/>
  <c r="EE556" i="3" s="1"/>
  <c r="ED557" i="3"/>
  <c r="EE557" i="3" s="1"/>
  <c r="ED558" i="3"/>
  <c r="EE558" i="3" s="1"/>
  <c r="ED559" i="3"/>
  <c r="EE559" i="3" s="1"/>
  <c r="ED560" i="3"/>
  <c r="EE560" i="3" s="1"/>
  <c r="ED561" i="3"/>
  <c r="EE561" i="3" s="1"/>
  <c r="ED562" i="3"/>
  <c r="EE562" i="3" s="1"/>
  <c r="ED563" i="3"/>
  <c r="ED564" i="3"/>
  <c r="EE564" i="3" s="1"/>
  <c r="ED565" i="3"/>
  <c r="EE565" i="3" s="1"/>
  <c r="ED566" i="3"/>
  <c r="EE566" i="3" s="1"/>
  <c r="ED567" i="3"/>
  <c r="EE567" i="3" s="1"/>
  <c r="ED568" i="3"/>
  <c r="EE568" i="3" s="1"/>
  <c r="ED569" i="3"/>
  <c r="EE569" i="3" s="1"/>
  <c r="ED570" i="3"/>
  <c r="EE570" i="3" s="1"/>
  <c r="ED571" i="3"/>
  <c r="ED572" i="3"/>
  <c r="EE572" i="3" s="1"/>
  <c r="ED573" i="3"/>
  <c r="EE573" i="3" s="1"/>
  <c r="ED574" i="3"/>
  <c r="EE574" i="3" s="1"/>
  <c r="ED575" i="3"/>
  <c r="EE575" i="3" s="1"/>
  <c r="ED576" i="3"/>
  <c r="EE576" i="3" s="1"/>
  <c r="ED577" i="3"/>
  <c r="EE577" i="3" s="1"/>
  <c r="ED578" i="3"/>
  <c r="EE578" i="3" s="1"/>
  <c r="ED579" i="3"/>
  <c r="ED580" i="3"/>
  <c r="EE580" i="3" s="1"/>
  <c r="ED581" i="3"/>
  <c r="EE581" i="3" s="1"/>
  <c r="ED582" i="3"/>
  <c r="EE582" i="3" s="1"/>
  <c r="ED583" i="3"/>
  <c r="EE583" i="3" s="1"/>
  <c r="ED584" i="3"/>
  <c r="EE584" i="3" s="1"/>
  <c r="ED585" i="3"/>
  <c r="EE585" i="3" s="1"/>
  <c r="ED586" i="3"/>
  <c r="EE586" i="3" s="1"/>
  <c r="ED587" i="3"/>
  <c r="ED588" i="3"/>
  <c r="EE588" i="3" s="1"/>
  <c r="ED589" i="3"/>
  <c r="EE589" i="3" s="1"/>
  <c r="ED590" i="3"/>
  <c r="EE590" i="3" s="1"/>
  <c r="ED591" i="3"/>
  <c r="EE591" i="3" s="1"/>
  <c r="ED592" i="3"/>
  <c r="EE592" i="3" s="1"/>
  <c r="ED593" i="3"/>
  <c r="EE593" i="3" s="1"/>
  <c r="ED594" i="3"/>
  <c r="EE594" i="3" s="1"/>
  <c r="ED595" i="3"/>
  <c r="ED596" i="3"/>
  <c r="EE596" i="3" s="1"/>
  <c r="ED597" i="3"/>
  <c r="EE597" i="3" s="1"/>
  <c r="ED598" i="3"/>
  <c r="EE598" i="3" s="1"/>
  <c r="ED599" i="3"/>
  <c r="EE599" i="3" s="1"/>
  <c r="ED600" i="3"/>
  <c r="EE600" i="3" s="1"/>
  <c r="EE9" i="3"/>
  <c r="EE10" i="3"/>
  <c r="EE11" i="3"/>
  <c r="EE12" i="3"/>
  <c r="EE13" i="3"/>
  <c r="EE14" i="3"/>
  <c r="EE15" i="3"/>
  <c r="EE16" i="3"/>
  <c r="EE17" i="3"/>
  <c r="EE18" i="3"/>
  <c r="EE19" i="3"/>
  <c r="EE20" i="3"/>
  <c r="EE21" i="3"/>
  <c r="EE22" i="3"/>
  <c r="EE23" i="3"/>
  <c r="EE24" i="3"/>
  <c r="EE25" i="3"/>
  <c r="EE26" i="3"/>
  <c r="EE27" i="3"/>
  <c r="EE28" i="3"/>
  <c r="EE29" i="3"/>
  <c r="EE30" i="3"/>
  <c r="EE31" i="3"/>
  <c r="EE32" i="3"/>
  <c r="EE33" i="3"/>
  <c r="EE34" i="3"/>
  <c r="EE35" i="3"/>
  <c r="EE36" i="3"/>
  <c r="EE37" i="3"/>
  <c r="EE38" i="3"/>
  <c r="EE39" i="3"/>
  <c r="EE40" i="3"/>
  <c r="EE41" i="3"/>
  <c r="EE42" i="3"/>
  <c r="EE43" i="3"/>
  <c r="EE44" i="3"/>
  <c r="EE45" i="3"/>
  <c r="EE46" i="3"/>
  <c r="EE47" i="3"/>
  <c r="EE48" i="3"/>
  <c r="EE49" i="3"/>
  <c r="EE50" i="3"/>
  <c r="EE51" i="3"/>
  <c r="EE52" i="3"/>
  <c r="EE53" i="3"/>
  <c r="EE54" i="3"/>
  <c r="EE55" i="3"/>
  <c r="EE56" i="3"/>
  <c r="EE57" i="3"/>
  <c r="EE58" i="3"/>
  <c r="EE59" i="3"/>
  <c r="EE60" i="3"/>
  <c r="EE61" i="3"/>
  <c r="EE62" i="3"/>
  <c r="EE63" i="3"/>
  <c r="EE64" i="3"/>
  <c r="EE65" i="3"/>
  <c r="EE66" i="3"/>
  <c r="EE67" i="3"/>
  <c r="EE68" i="3"/>
  <c r="EE69" i="3"/>
  <c r="EE70" i="3"/>
  <c r="EE71" i="3"/>
  <c r="EE72" i="3"/>
  <c r="EE73" i="3"/>
  <c r="EE74" i="3"/>
  <c r="EE75" i="3"/>
  <c r="EE76" i="3"/>
  <c r="EE77" i="3"/>
  <c r="EE78" i="3"/>
  <c r="EE79" i="3"/>
  <c r="EE80" i="3"/>
  <c r="EE81" i="3"/>
  <c r="EE82" i="3"/>
  <c r="EE83" i="3"/>
  <c r="EE84" i="3"/>
  <c r="EE85" i="3"/>
  <c r="EE86" i="3"/>
  <c r="EE87" i="3"/>
  <c r="EE88" i="3"/>
  <c r="EE89" i="3"/>
  <c r="EE90" i="3"/>
  <c r="EE91" i="3"/>
  <c r="EE92" i="3"/>
  <c r="EE93" i="3"/>
  <c r="EE94" i="3"/>
  <c r="EE95" i="3"/>
  <c r="EE96" i="3"/>
  <c r="EE97" i="3"/>
  <c r="EE98" i="3"/>
  <c r="EE99" i="3"/>
  <c r="EE100" i="3"/>
  <c r="EE101" i="3"/>
  <c r="EE102" i="3"/>
  <c r="EE103" i="3"/>
  <c r="EE104" i="3"/>
  <c r="EE105" i="3"/>
  <c r="EE106" i="3"/>
  <c r="EE107" i="3"/>
  <c r="EE108" i="3"/>
  <c r="EE109" i="3"/>
  <c r="EE110" i="3"/>
  <c r="EE111" i="3"/>
  <c r="EE112" i="3"/>
  <c r="EE113" i="3"/>
  <c r="EE114" i="3"/>
  <c r="EE115" i="3"/>
  <c r="EE116" i="3"/>
  <c r="EE117" i="3"/>
  <c r="EE118" i="3"/>
  <c r="EE119" i="3"/>
  <c r="EE120" i="3"/>
  <c r="EE121" i="3"/>
  <c r="EE122" i="3"/>
  <c r="EE123" i="3"/>
  <c r="EE124" i="3"/>
  <c r="EE125" i="3"/>
  <c r="EE126" i="3"/>
  <c r="EE127" i="3"/>
  <c r="EE128" i="3"/>
  <c r="EE129" i="3"/>
  <c r="EE130" i="3"/>
  <c r="EE131" i="3"/>
  <c r="EE132" i="3"/>
  <c r="EE133" i="3"/>
  <c r="EE134" i="3"/>
  <c r="EE135" i="3"/>
  <c r="EE136" i="3"/>
  <c r="EE137" i="3"/>
  <c r="EE138" i="3"/>
  <c r="EE139" i="3"/>
  <c r="EE140" i="3"/>
  <c r="EE141" i="3"/>
  <c r="EE142" i="3"/>
  <c r="EE143" i="3"/>
  <c r="EE144" i="3"/>
  <c r="EE145" i="3"/>
  <c r="EE146" i="3"/>
  <c r="EE147" i="3"/>
  <c r="EE148" i="3"/>
  <c r="EE149" i="3"/>
  <c r="EE150" i="3"/>
  <c r="EE151" i="3"/>
  <c r="EE152" i="3"/>
  <c r="EE153" i="3"/>
  <c r="EE154" i="3"/>
  <c r="EE155" i="3"/>
  <c r="EE156" i="3"/>
  <c r="EE157" i="3"/>
  <c r="EE158" i="3"/>
  <c r="EE159" i="3"/>
  <c r="EE160" i="3"/>
  <c r="EE161" i="3"/>
  <c r="EE162" i="3"/>
  <c r="EE163" i="3"/>
  <c r="EE164" i="3"/>
  <c r="EE165" i="3"/>
  <c r="EE166" i="3"/>
  <c r="EE167" i="3"/>
  <c r="EE168" i="3"/>
  <c r="EE169" i="3"/>
  <c r="EE170" i="3"/>
  <c r="EE171" i="3"/>
  <c r="EE172" i="3"/>
  <c r="EE173" i="3"/>
  <c r="EE174" i="3"/>
  <c r="EE175" i="3"/>
  <c r="EE176" i="3"/>
  <c r="EE177" i="3"/>
  <c r="EE178" i="3"/>
  <c r="EE179" i="3"/>
  <c r="EE180" i="3"/>
  <c r="EE181" i="3"/>
  <c r="EE182" i="3"/>
  <c r="EE183" i="3"/>
  <c r="EE184" i="3"/>
  <c r="EE185" i="3"/>
  <c r="EE186" i="3"/>
  <c r="EE187" i="3"/>
  <c r="EE188" i="3"/>
  <c r="EE189" i="3"/>
  <c r="EE190" i="3"/>
  <c r="EE191" i="3"/>
  <c r="EE192" i="3"/>
  <c r="EE193" i="3"/>
  <c r="EE194" i="3"/>
  <c r="EE195" i="3"/>
  <c r="EE196" i="3"/>
  <c r="EE197" i="3"/>
  <c r="EE198" i="3"/>
  <c r="EE199" i="3"/>
  <c r="EE200" i="3"/>
  <c r="EE201" i="3"/>
  <c r="EE202" i="3"/>
  <c r="EE203" i="3"/>
  <c r="EE204" i="3"/>
  <c r="EE205" i="3"/>
  <c r="EE206" i="3"/>
  <c r="EE207" i="3"/>
  <c r="EE208" i="3"/>
  <c r="EE209" i="3"/>
  <c r="EE210" i="3"/>
  <c r="EE211" i="3"/>
  <c r="EE212" i="3"/>
  <c r="EE213" i="3"/>
  <c r="EE214" i="3"/>
  <c r="EE215" i="3"/>
  <c r="EE216" i="3"/>
  <c r="EE217" i="3"/>
  <c r="EE218" i="3"/>
  <c r="EE219" i="3"/>
  <c r="EE220" i="3"/>
  <c r="EE221" i="3"/>
  <c r="EE222" i="3"/>
  <c r="EE223" i="3"/>
  <c r="EE224" i="3"/>
  <c r="EE225" i="3"/>
  <c r="EE226" i="3"/>
  <c r="EE227" i="3"/>
  <c r="EE228" i="3"/>
  <c r="EE229" i="3"/>
  <c r="EE230" i="3"/>
  <c r="EE231" i="3"/>
  <c r="EE232" i="3"/>
  <c r="EE233" i="3"/>
  <c r="EE234" i="3"/>
  <c r="EE235" i="3"/>
  <c r="EE236" i="3"/>
  <c r="EE237" i="3"/>
  <c r="EE238" i="3"/>
  <c r="EE239" i="3"/>
  <c r="EE240" i="3"/>
  <c r="EE241" i="3"/>
  <c r="EE242" i="3"/>
  <c r="EE243" i="3"/>
  <c r="EE244" i="3"/>
  <c r="EE245" i="3"/>
  <c r="EE246" i="3"/>
  <c r="EE247" i="3"/>
  <c r="EE248" i="3"/>
  <c r="EE249" i="3"/>
  <c r="EE250" i="3"/>
  <c r="EE251" i="3"/>
  <c r="EE252" i="3"/>
  <c r="EE253" i="3"/>
  <c r="EE254" i="3"/>
  <c r="EE255" i="3"/>
  <c r="EE256" i="3"/>
  <c r="EE257" i="3"/>
  <c r="EE258" i="3"/>
  <c r="EE259" i="3"/>
  <c r="EE260" i="3"/>
  <c r="EE261" i="3"/>
  <c r="EE262" i="3"/>
  <c r="EE263" i="3"/>
  <c r="EE264" i="3"/>
  <c r="EE265" i="3"/>
  <c r="EE266" i="3"/>
  <c r="EE267" i="3"/>
  <c r="EE268" i="3"/>
  <c r="EE269" i="3"/>
  <c r="EE270" i="3"/>
  <c r="EE271" i="3"/>
  <c r="EE272" i="3"/>
  <c r="EE273" i="3"/>
  <c r="EE274" i="3"/>
  <c r="EE275" i="3"/>
  <c r="EE276" i="3"/>
  <c r="EE277" i="3"/>
  <c r="EE278" i="3"/>
  <c r="EE279" i="3"/>
  <c r="EE280" i="3"/>
  <c r="EE281" i="3"/>
  <c r="EE282" i="3"/>
  <c r="EE283" i="3"/>
  <c r="EE284" i="3"/>
  <c r="EE285" i="3"/>
  <c r="EE286" i="3"/>
  <c r="EE287" i="3"/>
  <c r="EE288" i="3"/>
  <c r="EE289" i="3"/>
  <c r="EE290" i="3"/>
  <c r="EE291" i="3"/>
  <c r="EE292" i="3"/>
  <c r="EE293" i="3"/>
  <c r="EE294" i="3"/>
  <c r="EE295" i="3"/>
  <c r="EE296" i="3"/>
  <c r="EE297" i="3"/>
  <c r="EE298" i="3"/>
  <c r="EE299" i="3"/>
  <c r="EE300" i="3"/>
  <c r="EE301" i="3"/>
  <c r="EE302" i="3"/>
  <c r="EE303" i="3"/>
  <c r="EE304" i="3"/>
  <c r="EE305" i="3"/>
  <c r="EE306" i="3"/>
  <c r="EE307" i="3"/>
  <c r="EE308" i="3"/>
  <c r="EE309" i="3"/>
  <c r="EE310" i="3"/>
  <c r="EE311" i="3"/>
  <c r="EE312" i="3"/>
  <c r="EE313" i="3"/>
  <c r="EE314" i="3"/>
  <c r="EE315" i="3"/>
  <c r="EE316" i="3"/>
  <c r="EE317" i="3"/>
  <c r="EE318" i="3"/>
  <c r="EE319" i="3"/>
  <c r="EE320" i="3"/>
  <c r="EE321" i="3"/>
  <c r="EE322" i="3"/>
  <c r="EE323" i="3"/>
  <c r="EE324" i="3"/>
  <c r="EE325" i="3"/>
  <c r="EE326" i="3"/>
  <c r="EE327" i="3"/>
  <c r="EE328" i="3"/>
  <c r="EE329" i="3"/>
  <c r="EE330" i="3"/>
  <c r="EE331" i="3"/>
  <c r="EE332" i="3"/>
  <c r="EE333" i="3"/>
  <c r="EE334" i="3"/>
  <c r="EE335" i="3"/>
  <c r="EE336" i="3"/>
  <c r="EE340" i="3"/>
  <c r="EE348" i="3"/>
  <c r="EE352" i="3"/>
  <c r="EE356" i="3"/>
  <c r="EE364" i="3"/>
  <c r="EE368" i="3"/>
  <c r="EE371" i="3"/>
  <c r="EE379" i="3"/>
  <c r="EE387" i="3"/>
  <c r="EE395" i="3"/>
  <c r="EE403" i="3"/>
  <c r="EE411" i="3"/>
  <c r="EE419" i="3"/>
  <c r="EE427" i="3"/>
  <c r="EE435" i="3"/>
  <c r="EE443" i="3"/>
  <c r="EE451" i="3"/>
  <c r="EE459" i="3"/>
  <c r="EE467" i="3"/>
  <c r="EE475" i="3"/>
  <c r="EE483" i="3"/>
  <c r="EE491" i="3"/>
  <c r="EE499" i="3"/>
  <c r="EE507" i="3"/>
  <c r="EE515" i="3"/>
  <c r="EE523" i="3"/>
  <c r="EE531" i="3"/>
  <c r="EE539" i="3"/>
  <c r="EE547" i="3"/>
  <c r="EE555" i="3"/>
  <c r="EE563" i="3"/>
  <c r="EE571" i="3"/>
  <c r="EE579" i="3"/>
  <c r="EE587" i="3"/>
  <c r="EE595" i="3"/>
  <c r="EF9" i="3"/>
  <c r="EF10" i="3"/>
  <c r="EF11" i="3"/>
  <c r="EF12" i="3"/>
  <c r="EF13" i="3"/>
  <c r="EF14" i="3"/>
  <c r="EF15" i="3"/>
  <c r="EF16" i="3"/>
  <c r="EF17" i="3"/>
  <c r="EF18" i="3"/>
  <c r="EF19" i="3"/>
  <c r="EF20" i="3"/>
  <c r="EF21" i="3"/>
  <c r="EF22" i="3"/>
  <c r="EF23" i="3"/>
  <c r="EF24" i="3"/>
  <c r="EF25" i="3"/>
  <c r="EF26" i="3"/>
  <c r="EF27" i="3"/>
  <c r="EF28" i="3"/>
  <c r="EF29" i="3"/>
  <c r="EF30" i="3"/>
  <c r="EF31" i="3"/>
  <c r="EF32" i="3"/>
  <c r="EF33" i="3"/>
  <c r="EF34" i="3"/>
  <c r="EF35" i="3"/>
  <c r="EF36" i="3"/>
  <c r="EF37" i="3"/>
  <c r="EF38" i="3"/>
  <c r="EF39" i="3"/>
  <c r="EF40" i="3"/>
  <c r="EF41" i="3"/>
  <c r="EF42" i="3"/>
  <c r="EF43" i="3"/>
  <c r="EF44" i="3"/>
  <c r="EF45" i="3"/>
  <c r="EF46" i="3"/>
  <c r="EF47" i="3"/>
  <c r="EF48" i="3"/>
  <c r="EF49" i="3"/>
  <c r="EF50" i="3"/>
  <c r="EF51" i="3"/>
  <c r="EF52" i="3"/>
  <c r="EF53" i="3"/>
  <c r="EF54" i="3"/>
  <c r="EF55" i="3"/>
  <c r="EF56" i="3"/>
  <c r="EF57" i="3"/>
  <c r="EF58" i="3"/>
  <c r="EF59" i="3"/>
  <c r="EF60" i="3"/>
  <c r="EF61" i="3"/>
  <c r="EF62" i="3"/>
  <c r="EF63" i="3"/>
  <c r="EF64" i="3"/>
  <c r="EF65" i="3"/>
  <c r="EF66" i="3"/>
  <c r="EF67" i="3"/>
  <c r="EF68" i="3"/>
  <c r="EF69" i="3"/>
  <c r="EF70" i="3"/>
  <c r="EF71" i="3"/>
  <c r="EF72" i="3"/>
  <c r="EF73" i="3"/>
  <c r="EF74" i="3"/>
  <c r="EF75" i="3"/>
  <c r="EF76" i="3"/>
  <c r="EF77" i="3"/>
  <c r="EF78" i="3"/>
  <c r="EF79" i="3"/>
  <c r="EF80" i="3"/>
  <c r="EF81" i="3"/>
  <c r="EF82" i="3"/>
  <c r="EF83" i="3"/>
  <c r="EF84" i="3"/>
  <c r="EF85" i="3"/>
  <c r="EF86" i="3"/>
  <c r="EF87" i="3"/>
  <c r="EF88" i="3"/>
  <c r="EF89" i="3"/>
  <c r="EF90" i="3"/>
  <c r="EF91" i="3"/>
  <c r="EF92" i="3"/>
  <c r="EF93" i="3"/>
  <c r="EF94" i="3"/>
  <c r="EF95" i="3"/>
  <c r="EF96" i="3"/>
  <c r="EF97" i="3"/>
  <c r="EF98" i="3"/>
  <c r="EF99" i="3"/>
  <c r="EF100" i="3"/>
  <c r="EF101" i="3"/>
  <c r="EF102" i="3"/>
  <c r="EF103" i="3"/>
  <c r="EF104" i="3"/>
  <c r="EF105" i="3"/>
  <c r="EF106" i="3"/>
  <c r="EF107" i="3"/>
  <c r="EF108" i="3"/>
  <c r="EF109" i="3"/>
  <c r="EF110" i="3"/>
  <c r="EF111" i="3"/>
  <c r="EF112" i="3"/>
  <c r="EF113" i="3"/>
  <c r="EF114" i="3"/>
  <c r="EF115" i="3"/>
  <c r="EF116" i="3"/>
  <c r="EF117" i="3"/>
  <c r="EF118" i="3"/>
  <c r="EF119" i="3"/>
  <c r="EF120" i="3"/>
  <c r="EF121" i="3"/>
  <c r="EF122" i="3"/>
  <c r="EF123" i="3"/>
  <c r="EF124" i="3"/>
  <c r="EF125" i="3"/>
  <c r="EF126" i="3"/>
  <c r="EF127" i="3"/>
  <c r="EF128" i="3"/>
  <c r="EF129" i="3"/>
  <c r="EF130" i="3"/>
  <c r="EF131" i="3"/>
  <c r="EF132" i="3"/>
  <c r="EF133" i="3"/>
  <c r="EF134" i="3"/>
  <c r="EF135" i="3"/>
  <c r="EF136" i="3"/>
  <c r="EF137" i="3"/>
  <c r="EF138" i="3"/>
  <c r="EF139" i="3"/>
  <c r="EF140" i="3"/>
  <c r="EF141" i="3"/>
  <c r="EF142" i="3"/>
  <c r="EF143" i="3"/>
  <c r="EF144" i="3"/>
  <c r="EF145" i="3"/>
  <c r="EF146" i="3"/>
  <c r="EF147" i="3"/>
  <c r="EF148" i="3"/>
  <c r="EF149" i="3"/>
  <c r="EF150" i="3"/>
  <c r="EF151" i="3"/>
  <c r="EF152" i="3"/>
  <c r="EF153" i="3"/>
  <c r="EF154" i="3"/>
  <c r="EF155" i="3"/>
  <c r="EF156" i="3"/>
  <c r="EF157" i="3"/>
  <c r="EF158" i="3"/>
  <c r="EF159" i="3"/>
  <c r="EF160" i="3"/>
  <c r="EF161" i="3"/>
  <c r="EF162" i="3"/>
  <c r="EF163" i="3"/>
  <c r="EF164" i="3"/>
  <c r="EF165" i="3"/>
  <c r="EF166" i="3"/>
  <c r="EF167" i="3"/>
  <c r="EF168" i="3"/>
  <c r="EF169" i="3"/>
  <c r="EF170" i="3"/>
  <c r="EF171" i="3"/>
  <c r="EF172" i="3"/>
  <c r="EF173" i="3"/>
  <c r="EF174" i="3"/>
  <c r="EF175" i="3"/>
  <c r="EF176" i="3"/>
  <c r="EF177" i="3"/>
  <c r="EF178" i="3"/>
  <c r="EF179" i="3"/>
  <c r="EF180" i="3"/>
  <c r="EF181" i="3"/>
  <c r="EF182" i="3"/>
  <c r="EF183" i="3"/>
  <c r="EF184" i="3"/>
  <c r="EF185" i="3"/>
  <c r="EF186" i="3"/>
  <c r="EF187" i="3"/>
  <c r="EF188" i="3"/>
  <c r="EF189" i="3"/>
  <c r="EF190" i="3"/>
  <c r="EF191" i="3"/>
  <c r="EF192" i="3"/>
  <c r="EF193" i="3"/>
  <c r="EF194" i="3"/>
  <c r="EF195" i="3"/>
  <c r="EF196" i="3"/>
  <c r="EF197" i="3"/>
  <c r="EF198" i="3"/>
  <c r="EF199" i="3"/>
  <c r="EF200" i="3"/>
  <c r="EF201" i="3"/>
  <c r="EF202" i="3"/>
  <c r="EF203" i="3"/>
  <c r="EF204" i="3"/>
  <c r="EF205" i="3"/>
  <c r="EF206" i="3"/>
  <c r="EF207" i="3"/>
  <c r="EF208" i="3"/>
  <c r="EF209" i="3"/>
  <c r="EF210" i="3"/>
  <c r="EF211" i="3"/>
  <c r="EF212" i="3"/>
  <c r="EF213" i="3"/>
  <c r="EF214" i="3"/>
  <c r="EF215" i="3"/>
  <c r="EF216" i="3"/>
  <c r="EF217" i="3"/>
  <c r="EF218" i="3"/>
  <c r="EF219" i="3"/>
  <c r="EF220" i="3"/>
  <c r="EF221" i="3"/>
  <c r="EF222" i="3"/>
  <c r="EF223" i="3"/>
  <c r="EF224" i="3"/>
  <c r="EF225" i="3"/>
  <c r="EF226" i="3"/>
  <c r="EF227" i="3"/>
  <c r="EF228" i="3"/>
  <c r="EF229" i="3"/>
  <c r="EF230" i="3"/>
  <c r="EF231" i="3"/>
  <c r="EF232" i="3"/>
  <c r="EF233" i="3"/>
  <c r="EF234" i="3"/>
  <c r="EF235" i="3"/>
  <c r="EF236" i="3"/>
  <c r="EF237" i="3"/>
  <c r="EF238" i="3"/>
  <c r="EF239" i="3"/>
  <c r="EF240" i="3"/>
  <c r="EF241" i="3"/>
  <c r="EF242" i="3"/>
  <c r="EF243" i="3"/>
  <c r="EF244" i="3"/>
  <c r="EF245" i="3"/>
  <c r="EF246" i="3"/>
  <c r="EF247" i="3"/>
  <c r="EF248" i="3"/>
  <c r="EF249" i="3"/>
  <c r="EF250" i="3"/>
  <c r="EF251" i="3"/>
  <c r="EF252" i="3"/>
  <c r="EF253" i="3"/>
  <c r="EF254" i="3"/>
  <c r="EF255" i="3"/>
  <c r="EF256" i="3"/>
  <c r="EF257" i="3"/>
  <c r="EF258" i="3"/>
  <c r="EF259" i="3"/>
  <c r="EF260" i="3"/>
  <c r="EF261" i="3"/>
  <c r="EF262" i="3"/>
  <c r="EF263" i="3"/>
  <c r="EF264" i="3"/>
  <c r="EF265" i="3"/>
  <c r="EF266" i="3"/>
  <c r="EF267" i="3"/>
  <c r="EF268" i="3"/>
  <c r="EF269" i="3"/>
  <c r="EF270" i="3"/>
  <c r="EF271" i="3"/>
  <c r="EF272" i="3"/>
  <c r="EF273" i="3"/>
  <c r="EF274" i="3"/>
  <c r="EF275" i="3"/>
  <c r="EF276" i="3"/>
  <c r="EF277" i="3"/>
  <c r="EF278" i="3"/>
  <c r="EF279" i="3"/>
  <c r="EF280" i="3"/>
  <c r="EF281" i="3"/>
  <c r="EF282" i="3"/>
  <c r="EF283" i="3"/>
  <c r="EF284" i="3"/>
  <c r="EF285" i="3"/>
  <c r="EF286" i="3"/>
  <c r="EF287" i="3"/>
  <c r="EF288" i="3"/>
  <c r="EF289" i="3"/>
  <c r="EF290" i="3"/>
  <c r="EF291" i="3"/>
  <c r="EF292" i="3"/>
  <c r="EF293" i="3"/>
  <c r="EF294" i="3"/>
  <c r="EF295" i="3"/>
  <c r="EF296" i="3"/>
  <c r="EF297" i="3"/>
  <c r="EF298" i="3"/>
  <c r="EF299" i="3"/>
  <c r="EF300" i="3"/>
  <c r="EF301" i="3"/>
  <c r="EF302" i="3"/>
  <c r="EF303" i="3"/>
  <c r="EF304" i="3"/>
  <c r="EF305" i="3"/>
  <c r="EF306" i="3"/>
  <c r="EF307" i="3"/>
  <c r="EF308" i="3"/>
  <c r="EF309" i="3"/>
  <c r="EF310" i="3"/>
  <c r="EF311" i="3"/>
  <c r="EF312" i="3"/>
  <c r="EF313" i="3"/>
  <c r="EF314" i="3"/>
  <c r="EF315" i="3"/>
  <c r="EF316" i="3"/>
  <c r="EF317" i="3"/>
  <c r="EF318" i="3"/>
  <c r="EF319" i="3"/>
  <c r="EF320" i="3"/>
  <c r="EF321" i="3"/>
  <c r="EF322" i="3"/>
  <c r="EF323" i="3"/>
  <c r="EF324" i="3"/>
  <c r="EF325" i="3"/>
  <c r="EF326" i="3"/>
  <c r="EF327" i="3"/>
  <c r="EF328" i="3"/>
  <c r="EF329" i="3"/>
  <c r="EF330" i="3"/>
  <c r="EF331" i="3"/>
  <c r="EF332" i="3"/>
  <c r="EF333" i="3"/>
  <c r="EF334" i="3"/>
  <c r="EF335" i="3"/>
  <c r="EF336" i="3"/>
  <c r="EF337" i="3"/>
  <c r="EF338" i="3"/>
  <c r="EF339" i="3"/>
  <c r="EF340" i="3"/>
  <c r="EF341" i="3"/>
  <c r="EF342" i="3"/>
  <c r="EF343" i="3"/>
  <c r="EF344" i="3"/>
  <c r="EF345" i="3"/>
  <c r="EF346" i="3"/>
  <c r="EF347" i="3"/>
  <c r="EF348" i="3"/>
  <c r="EF349" i="3"/>
  <c r="EF350" i="3"/>
  <c r="EF351" i="3"/>
  <c r="EF352" i="3"/>
  <c r="EF353" i="3"/>
  <c r="EF354" i="3"/>
  <c r="EF355" i="3"/>
  <c r="EF356" i="3"/>
  <c r="EF357" i="3"/>
  <c r="EF358" i="3"/>
  <c r="EF359" i="3"/>
  <c r="EF360" i="3"/>
  <c r="EF361" i="3"/>
  <c r="EF362" i="3"/>
  <c r="EF363" i="3"/>
  <c r="EF364" i="3"/>
  <c r="EF365" i="3"/>
  <c r="EF366" i="3"/>
  <c r="EF367" i="3"/>
  <c r="EF368" i="3"/>
  <c r="EF369" i="3"/>
  <c r="EF370" i="3"/>
  <c r="EF371" i="3"/>
  <c r="EF372" i="3"/>
  <c r="EF373" i="3"/>
  <c r="EF374" i="3"/>
  <c r="EF375" i="3"/>
  <c r="EF376" i="3"/>
  <c r="EF377" i="3"/>
  <c r="EF378" i="3"/>
  <c r="EF379" i="3"/>
  <c r="EF380" i="3"/>
  <c r="EF381" i="3"/>
  <c r="EF382" i="3"/>
  <c r="EF383" i="3"/>
  <c r="EF384" i="3"/>
  <c r="EF385" i="3"/>
  <c r="EF386" i="3"/>
  <c r="EF387" i="3"/>
  <c r="EF388" i="3"/>
  <c r="EF389" i="3"/>
  <c r="EF390" i="3"/>
  <c r="EF391" i="3"/>
  <c r="EF392" i="3"/>
  <c r="EF393" i="3"/>
  <c r="EF394" i="3"/>
  <c r="EF395" i="3"/>
  <c r="EF396" i="3"/>
  <c r="EF397" i="3"/>
  <c r="EF398" i="3"/>
  <c r="EF399" i="3"/>
  <c r="EF400" i="3"/>
  <c r="EF401" i="3"/>
  <c r="EF402" i="3"/>
  <c r="EF403" i="3"/>
  <c r="EF404" i="3"/>
  <c r="EF405" i="3"/>
  <c r="EF406" i="3"/>
  <c r="EF407" i="3"/>
  <c r="EF408" i="3"/>
  <c r="EF409" i="3"/>
  <c r="EF410" i="3"/>
  <c r="EF411" i="3"/>
  <c r="EF412" i="3"/>
  <c r="EF413" i="3"/>
  <c r="EF414" i="3"/>
  <c r="EF415" i="3"/>
  <c r="EF416" i="3"/>
  <c r="EF417" i="3"/>
  <c r="EF418" i="3"/>
  <c r="EF419" i="3"/>
  <c r="EF420" i="3"/>
  <c r="EF421" i="3"/>
  <c r="EF422" i="3"/>
  <c r="EF423" i="3"/>
  <c r="EF424" i="3"/>
  <c r="EF425" i="3"/>
  <c r="EF426" i="3"/>
  <c r="EF427" i="3"/>
  <c r="EF428" i="3"/>
  <c r="EF429" i="3"/>
  <c r="EF430" i="3"/>
  <c r="EF431" i="3"/>
  <c r="EF432" i="3"/>
  <c r="EF433" i="3"/>
  <c r="EF434" i="3"/>
  <c r="EF435" i="3"/>
  <c r="EF436" i="3"/>
  <c r="EF437" i="3"/>
  <c r="EF438" i="3"/>
  <c r="EF439" i="3"/>
  <c r="EF440" i="3"/>
  <c r="EF441" i="3"/>
  <c r="EF442" i="3"/>
  <c r="EF443" i="3"/>
  <c r="EF444" i="3"/>
  <c r="EF445" i="3"/>
  <c r="EF446" i="3"/>
  <c r="EF447" i="3"/>
  <c r="EF448" i="3"/>
  <c r="EF449" i="3"/>
  <c r="EF450" i="3"/>
  <c r="EF451" i="3"/>
  <c r="EF452" i="3"/>
  <c r="EF453" i="3"/>
  <c r="EF454" i="3"/>
  <c r="EF455" i="3"/>
  <c r="EF456" i="3"/>
  <c r="EF457" i="3"/>
  <c r="EF458" i="3"/>
  <c r="EF459" i="3"/>
  <c r="EF460" i="3"/>
  <c r="EF461" i="3"/>
  <c r="EF462" i="3"/>
  <c r="EF463" i="3"/>
  <c r="EF464" i="3"/>
  <c r="EF465" i="3"/>
  <c r="EF466" i="3"/>
  <c r="EF467" i="3"/>
  <c r="EF468" i="3"/>
  <c r="EF469" i="3"/>
  <c r="EF470" i="3"/>
  <c r="EF471" i="3"/>
  <c r="EF472" i="3"/>
  <c r="EF473" i="3"/>
  <c r="EF474" i="3"/>
  <c r="EF475" i="3"/>
  <c r="EF476" i="3"/>
  <c r="EF477" i="3"/>
  <c r="EF478" i="3"/>
  <c r="EF479" i="3"/>
  <c r="EF480" i="3"/>
  <c r="EF481" i="3"/>
  <c r="EF482" i="3"/>
  <c r="EF483" i="3"/>
  <c r="EF484" i="3"/>
  <c r="EF485" i="3"/>
  <c r="EF486" i="3"/>
  <c r="EF487" i="3"/>
  <c r="EF488" i="3"/>
  <c r="EF489" i="3"/>
  <c r="EF490" i="3"/>
  <c r="EF491" i="3"/>
  <c r="EF492" i="3"/>
  <c r="EF493" i="3"/>
  <c r="EF494" i="3"/>
  <c r="EF495" i="3"/>
  <c r="EF496" i="3"/>
  <c r="EF497" i="3"/>
  <c r="EF498" i="3"/>
  <c r="EF499" i="3"/>
  <c r="EF500" i="3"/>
  <c r="EF501" i="3"/>
  <c r="EF502" i="3"/>
  <c r="EF503" i="3"/>
  <c r="EF504" i="3"/>
  <c r="EF505" i="3"/>
  <c r="EF506" i="3"/>
  <c r="EF507" i="3"/>
  <c r="EF508" i="3"/>
  <c r="EF509" i="3"/>
  <c r="EF510" i="3"/>
  <c r="EF511" i="3"/>
  <c r="EF512" i="3"/>
  <c r="EF513" i="3"/>
  <c r="EF514" i="3"/>
  <c r="EF515" i="3"/>
  <c r="EF516" i="3"/>
  <c r="EF517" i="3"/>
  <c r="EF518" i="3"/>
  <c r="EF519" i="3"/>
  <c r="EF520" i="3"/>
  <c r="EF521" i="3"/>
  <c r="EF522" i="3"/>
  <c r="EF523" i="3"/>
  <c r="EF524" i="3"/>
  <c r="EF525" i="3"/>
  <c r="EF526" i="3"/>
  <c r="EF527" i="3"/>
  <c r="EF528" i="3"/>
  <c r="EF529" i="3"/>
  <c r="EF530" i="3"/>
  <c r="EF531" i="3"/>
  <c r="EF532" i="3"/>
  <c r="EF533" i="3"/>
  <c r="EF534" i="3"/>
  <c r="EF535" i="3"/>
  <c r="EF536" i="3"/>
  <c r="EF537" i="3"/>
  <c r="EF538" i="3"/>
  <c r="EF539" i="3"/>
  <c r="EF540" i="3"/>
  <c r="EF541" i="3"/>
  <c r="EF542" i="3"/>
  <c r="EF543" i="3"/>
  <c r="EF544" i="3"/>
  <c r="EF545" i="3"/>
  <c r="EF546" i="3"/>
  <c r="EF547" i="3"/>
  <c r="EF548" i="3"/>
  <c r="EF549" i="3"/>
  <c r="EF550" i="3"/>
  <c r="EF551" i="3"/>
  <c r="EF552" i="3"/>
  <c r="EF553" i="3"/>
  <c r="EF554" i="3"/>
  <c r="EF555" i="3"/>
  <c r="EF556" i="3"/>
  <c r="EF557" i="3"/>
  <c r="EF558" i="3"/>
  <c r="EF559" i="3"/>
  <c r="EF560" i="3"/>
  <c r="EF561" i="3"/>
  <c r="EF562" i="3"/>
  <c r="EF563" i="3"/>
  <c r="EF564" i="3"/>
  <c r="EF565" i="3"/>
  <c r="EF566" i="3"/>
  <c r="EF567" i="3"/>
  <c r="EF568" i="3"/>
  <c r="EF569" i="3"/>
  <c r="EF570" i="3"/>
  <c r="EF571" i="3"/>
  <c r="EF572" i="3"/>
  <c r="EF573" i="3"/>
  <c r="EF574" i="3"/>
  <c r="EF575" i="3"/>
  <c r="EF576" i="3"/>
  <c r="EF577" i="3"/>
  <c r="EF578" i="3"/>
  <c r="EF579" i="3"/>
  <c r="EF580" i="3"/>
  <c r="EF581" i="3"/>
  <c r="EF582" i="3"/>
  <c r="EF583" i="3"/>
  <c r="EF584" i="3"/>
  <c r="EF585" i="3"/>
  <c r="EF586" i="3"/>
  <c r="EF587" i="3"/>
  <c r="EF588" i="3"/>
  <c r="EF589" i="3"/>
  <c r="EF590" i="3"/>
  <c r="EF591" i="3"/>
  <c r="EF592" i="3"/>
  <c r="EF593" i="3"/>
  <c r="EF594" i="3"/>
  <c r="EF595" i="3"/>
  <c r="EF596" i="3"/>
  <c r="EF597" i="3"/>
  <c r="EF598" i="3"/>
  <c r="EF599" i="3"/>
  <c r="EF600" i="3"/>
  <c r="EG9" i="3"/>
  <c r="EG10" i="3"/>
  <c r="EG11" i="3"/>
  <c r="EG12" i="3"/>
  <c r="EG13" i="3"/>
  <c r="EG14" i="3"/>
  <c r="EG15" i="3"/>
  <c r="EG16" i="3"/>
  <c r="EG17" i="3"/>
  <c r="EG18" i="3"/>
  <c r="EG19" i="3"/>
  <c r="EG20" i="3"/>
  <c r="EG21" i="3"/>
  <c r="EG22" i="3"/>
  <c r="EG23" i="3"/>
  <c r="EG24" i="3"/>
  <c r="EG25" i="3"/>
  <c r="EG26" i="3"/>
  <c r="EG27" i="3"/>
  <c r="EG28" i="3"/>
  <c r="EG29" i="3"/>
  <c r="EG30" i="3"/>
  <c r="EG31" i="3"/>
  <c r="EG32" i="3"/>
  <c r="EG33" i="3"/>
  <c r="EG34" i="3"/>
  <c r="EG35" i="3"/>
  <c r="EG36" i="3"/>
  <c r="EG37" i="3"/>
  <c r="EG38" i="3"/>
  <c r="EG39" i="3"/>
  <c r="EG40" i="3"/>
  <c r="EG41" i="3"/>
  <c r="EG42" i="3"/>
  <c r="EG43" i="3"/>
  <c r="EG44" i="3"/>
  <c r="EG45" i="3"/>
  <c r="EG46" i="3"/>
  <c r="EG47" i="3"/>
  <c r="EG48" i="3"/>
  <c r="EG49" i="3"/>
  <c r="EG50" i="3"/>
  <c r="EG51" i="3"/>
  <c r="EG52" i="3"/>
  <c r="EG53" i="3"/>
  <c r="EG54" i="3"/>
  <c r="EG55" i="3"/>
  <c r="EG56" i="3"/>
  <c r="EG57" i="3"/>
  <c r="EG58" i="3"/>
  <c r="EG59" i="3"/>
  <c r="EG60" i="3"/>
  <c r="EG61" i="3"/>
  <c r="EG62" i="3"/>
  <c r="EG63" i="3"/>
  <c r="EG64" i="3"/>
  <c r="EG65" i="3"/>
  <c r="EG66" i="3"/>
  <c r="EG67" i="3"/>
  <c r="EG68" i="3"/>
  <c r="EG69" i="3"/>
  <c r="EG70" i="3"/>
  <c r="EG71" i="3"/>
  <c r="EG72" i="3"/>
  <c r="EG73" i="3"/>
  <c r="EG74" i="3"/>
  <c r="EG75" i="3"/>
  <c r="EG76" i="3"/>
  <c r="EG77" i="3"/>
  <c r="EG78" i="3"/>
  <c r="EG79" i="3"/>
  <c r="EG80" i="3"/>
  <c r="EG81" i="3"/>
  <c r="EG82" i="3"/>
  <c r="EG83" i="3"/>
  <c r="EG84" i="3"/>
  <c r="EG85" i="3"/>
  <c r="EG86" i="3"/>
  <c r="EG87" i="3"/>
  <c r="EG88" i="3"/>
  <c r="EG89" i="3"/>
  <c r="EG90" i="3"/>
  <c r="EG91" i="3"/>
  <c r="EG92" i="3"/>
  <c r="EG93" i="3"/>
  <c r="EG94" i="3"/>
  <c r="EG95" i="3"/>
  <c r="EG96" i="3"/>
  <c r="EG97" i="3"/>
  <c r="EG98" i="3"/>
  <c r="EG99" i="3"/>
  <c r="EG100" i="3"/>
  <c r="EG101" i="3"/>
  <c r="EG102" i="3"/>
  <c r="EG103" i="3"/>
  <c r="EG104" i="3"/>
  <c r="EG105" i="3"/>
  <c r="EG106" i="3"/>
  <c r="EG107" i="3"/>
  <c r="EG108" i="3"/>
  <c r="EG109" i="3"/>
  <c r="EG110" i="3"/>
  <c r="EG111" i="3"/>
  <c r="EG112" i="3"/>
  <c r="EG113" i="3"/>
  <c r="EG114" i="3"/>
  <c r="EG115" i="3"/>
  <c r="EG116" i="3"/>
  <c r="EG117" i="3"/>
  <c r="EG118" i="3"/>
  <c r="EG119" i="3"/>
  <c r="EG120" i="3"/>
  <c r="EG121" i="3"/>
  <c r="EG122" i="3"/>
  <c r="EG123" i="3"/>
  <c r="EG124" i="3"/>
  <c r="EG125" i="3"/>
  <c r="EG126" i="3"/>
  <c r="EG127" i="3"/>
  <c r="EG128" i="3"/>
  <c r="EG129" i="3"/>
  <c r="EG130" i="3"/>
  <c r="EG131" i="3"/>
  <c r="EG132" i="3"/>
  <c r="EG133" i="3"/>
  <c r="EG134" i="3"/>
  <c r="EG135" i="3"/>
  <c r="EG136" i="3"/>
  <c r="EG137" i="3"/>
  <c r="EG138" i="3"/>
  <c r="EG139" i="3"/>
  <c r="EG140" i="3"/>
  <c r="EG141" i="3"/>
  <c r="EG142" i="3"/>
  <c r="EG143" i="3"/>
  <c r="EG144" i="3"/>
  <c r="EG145" i="3"/>
  <c r="EG146" i="3"/>
  <c r="EG147" i="3"/>
  <c r="EG148" i="3"/>
  <c r="EG149" i="3"/>
  <c r="EG150" i="3"/>
  <c r="EG151" i="3"/>
  <c r="EG152" i="3"/>
  <c r="EG153" i="3"/>
  <c r="EG154" i="3"/>
  <c r="EG155" i="3"/>
  <c r="EG156" i="3"/>
  <c r="EG157" i="3"/>
  <c r="EG158" i="3"/>
  <c r="EG159" i="3"/>
  <c r="EG160" i="3"/>
  <c r="EG161" i="3"/>
  <c r="EG162" i="3"/>
  <c r="EG163" i="3"/>
  <c r="EG164" i="3"/>
  <c r="EG165" i="3"/>
  <c r="EG166" i="3"/>
  <c r="EG167" i="3"/>
  <c r="EG168" i="3"/>
  <c r="EG169" i="3"/>
  <c r="EG170" i="3"/>
  <c r="EG171" i="3"/>
  <c r="EG172" i="3"/>
  <c r="EG173" i="3"/>
  <c r="EG174" i="3"/>
  <c r="EG175" i="3"/>
  <c r="EG176" i="3"/>
  <c r="EG177" i="3"/>
  <c r="EG178" i="3"/>
  <c r="EG179" i="3"/>
  <c r="EG180" i="3"/>
  <c r="EG181" i="3"/>
  <c r="EG182" i="3"/>
  <c r="EG183" i="3"/>
  <c r="EG184" i="3"/>
  <c r="EG185" i="3"/>
  <c r="EG186" i="3"/>
  <c r="EG187" i="3"/>
  <c r="EG188" i="3"/>
  <c r="EG189" i="3"/>
  <c r="EG190" i="3"/>
  <c r="EG191" i="3"/>
  <c r="EG192" i="3"/>
  <c r="EG193" i="3"/>
  <c r="EG194" i="3"/>
  <c r="EG195" i="3"/>
  <c r="EG196" i="3"/>
  <c r="EG197" i="3"/>
  <c r="EG198" i="3"/>
  <c r="EG199" i="3"/>
  <c r="EG200" i="3"/>
  <c r="EG201" i="3"/>
  <c r="EG202" i="3"/>
  <c r="EG203" i="3"/>
  <c r="EG204" i="3"/>
  <c r="EG205" i="3"/>
  <c r="EG206" i="3"/>
  <c r="EG207" i="3"/>
  <c r="EG208" i="3"/>
  <c r="EG209" i="3"/>
  <c r="EG210" i="3"/>
  <c r="EG211" i="3"/>
  <c r="EG212" i="3"/>
  <c r="EG213" i="3"/>
  <c r="EG214" i="3"/>
  <c r="EG215" i="3"/>
  <c r="EG216" i="3"/>
  <c r="EG217" i="3"/>
  <c r="EG218" i="3"/>
  <c r="EG219" i="3"/>
  <c r="EG220" i="3"/>
  <c r="EG221" i="3"/>
  <c r="EG222" i="3"/>
  <c r="EG223" i="3"/>
  <c r="EG224" i="3"/>
  <c r="EG225" i="3"/>
  <c r="EG226" i="3"/>
  <c r="EG227" i="3"/>
  <c r="EG228" i="3"/>
  <c r="EG229" i="3"/>
  <c r="EG230" i="3"/>
  <c r="EG231" i="3"/>
  <c r="EG232" i="3"/>
  <c r="EG233" i="3"/>
  <c r="EG234" i="3"/>
  <c r="EG235" i="3"/>
  <c r="EG236" i="3"/>
  <c r="EG237" i="3"/>
  <c r="EG238" i="3"/>
  <c r="EG239" i="3"/>
  <c r="EG240" i="3"/>
  <c r="EG241" i="3"/>
  <c r="EG242" i="3"/>
  <c r="EG243" i="3"/>
  <c r="EG244" i="3"/>
  <c r="EG245" i="3"/>
  <c r="EG246" i="3"/>
  <c r="EG247" i="3"/>
  <c r="EG248" i="3"/>
  <c r="EG249" i="3"/>
  <c r="EG250" i="3"/>
  <c r="EG251" i="3"/>
  <c r="EG252" i="3"/>
  <c r="EG253" i="3"/>
  <c r="EG254" i="3"/>
  <c r="EG255" i="3"/>
  <c r="EG256" i="3"/>
  <c r="EG257" i="3"/>
  <c r="EG258" i="3"/>
  <c r="EG259" i="3"/>
  <c r="EG260" i="3"/>
  <c r="EG261" i="3"/>
  <c r="EG262" i="3"/>
  <c r="EG263" i="3"/>
  <c r="EG264" i="3"/>
  <c r="EG265" i="3"/>
  <c r="EG266" i="3"/>
  <c r="EG267" i="3"/>
  <c r="EG268" i="3"/>
  <c r="EG269" i="3"/>
  <c r="EG270" i="3"/>
  <c r="EG271" i="3"/>
  <c r="EG272" i="3"/>
  <c r="EG273" i="3"/>
  <c r="EG274" i="3"/>
  <c r="EG275" i="3"/>
  <c r="EG276" i="3"/>
  <c r="EG277" i="3"/>
  <c r="EG278" i="3"/>
  <c r="EG279" i="3"/>
  <c r="EG280" i="3"/>
  <c r="EG281" i="3"/>
  <c r="EG282" i="3"/>
  <c r="EG283" i="3"/>
  <c r="EG284" i="3"/>
  <c r="EG285" i="3"/>
  <c r="EG286" i="3"/>
  <c r="EG287" i="3"/>
  <c r="EG288" i="3"/>
  <c r="EG289" i="3"/>
  <c r="EG290" i="3"/>
  <c r="EG291" i="3"/>
  <c r="EG292" i="3"/>
  <c r="EG293" i="3"/>
  <c r="EG294" i="3"/>
  <c r="EG295" i="3"/>
  <c r="EG296" i="3"/>
  <c r="EG297" i="3"/>
  <c r="EG298" i="3"/>
  <c r="EG299" i="3"/>
  <c r="EG300" i="3"/>
  <c r="EG301" i="3"/>
  <c r="EG302" i="3"/>
  <c r="EG303" i="3"/>
  <c r="EG304" i="3"/>
  <c r="EG305" i="3"/>
  <c r="EG306" i="3"/>
  <c r="EG307" i="3"/>
  <c r="EG308" i="3"/>
  <c r="EG309" i="3"/>
  <c r="EG310" i="3"/>
  <c r="EG311" i="3"/>
  <c r="EG312" i="3"/>
  <c r="EG313" i="3"/>
  <c r="EG314" i="3"/>
  <c r="EG315" i="3"/>
  <c r="EG316" i="3"/>
  <c r="EG317" i="3"/>
  <c r="EG318" i="3"/>
  <c r="EG319" i="3"/>
  <c r="EG320" i="3"/>
  <c r="EG321" i="3"/>
  <c r="EG322" i="3"/>
  <c r="EG323" i="3"/>
  <c r="EG324" i="3"/>
  <c r="EG325" i="3"/>
  <c r="EG326" i="3"/>
  <c r="EG327" i="3"/>
  <c r="EG328" i="3"/>
  <c r="EG329" i="3"/>
  <c r="EG330" i="3"/>
  <c r="EG331" i="3"/>
  <c r="EG332" i="3"/>
  <c r="EG333" i="3"/>
  <c r="EG334" i="3"/>
  <c r="EG335" i="3"/>
  <c r="EG336" i="3"/>
  <c r="EG337" i="3"/>
  <c r="EG338" i="3"/>
  <c r="EG339" i="3"/>
  <c r="EG340" i="3"/>
  <c r="EG341" i="3"/>
  <c r="EG342" i="3"/>
  <c r="EG343" i="3"/>
  <c r="EG344" i="3"/>
  <c r="EG345" i="3"/>
  <c r="EG346" i="3"/>
  <c r="EG347" i="3"/>
  <c r="EG348" i="3"/>
  <c r="EG349" i="3"/>
  <c r="EG350" i="3"/>
  <c r="EG351" i="3"/>
  <c r="EG352" i="3"/>
  <c r="EG353" i="3"/>
  <c r="EG354" i="3"/>
  <c r="EG355" i="3"/>
  <c r="EG356" i="3"/>
  <c r="EG357" i="3"/>
  <c r="EG358" i="3"/>
  <c r="EG359" i="3"/>
  <c r="EG360" i="3"/>
  <c r="EG361" i="3"/>
  <c r="EG362" i="3"/>
  <c r="EG363" i="3"/>
  <c r="EG364" i="3"/>
  <c r="EG365" i="3"/>
  <c r="EG366" i="3"/>
  <c r="EG367" i="3"/>
  <c r="EG368" i="3"/>
  <c r="EG369" i="3"/>
  <c r="EG370" i="3"/>
  <c r="EG371" i="3"/>
  <c r="EG372" i="3"/>
  <c r="EG373" i="3"/>
  <c r="EG374" i="3"/>
  <c r="EG375" i="3"/>
  <c r="EG376" i="3"/>
  <c r="EG377" i="3"/>
  <c r="EG378" i="3"/>
  <c r="EG379" i="3"/>
  <c r="EG380" i="3"/>
  <c r="EG381" i="3"/>
  <c r="EG382" i="3"/>
  <c r="EG383" i="3"/>
  <c r="EG384" i="3"/>
  <c r="EG385" i="3"/>
  <c r="EG386" i="3"/>
  <c r="EG387" i="3"/>
  <c r="EG388" i="3"/>
  <c r="EG389" i="3"/>
  <c r="EG390" i="3"/>
  <c r="EG391" i="3"/>
  <c r="EG392" i="3"/>
  <c r="EG393" i="3"/>
  <c r="EG394" i="3"/>
  <c r="EG395" i="3"/>
  <c r="EG396" i="3"/>
  <c r="EG397" i="3"/>
  <c r="EG398" i="3"/>
  <c r="EG399" i="3"/>
  <c r="EG400" i="3"/>
  <c r="EG401" i="3"/>
  <c r="EG402" i="3"/>
  <c r="EG403" i="3"/>
  <c r="EG404" i="3"/>
  <c r="EG405" i="3"/>
  <c r="EG406" i="3"/>
  <c r="EG407" i="3"/>
  <c r="EG408" i="3"/>
  <c r="EG409" i="3"/>
  <c r="EG410" i="3"/>
  <c r="EG411" i="3"/>
  <c r="EG412" i="3"/>
  <c r="EG413" i="3"/>
  <c r="EG414" i="3"/>
  <c r="EG415" i="3"/>
  <c r="EG416" i="3"/>
  <c r="EG417" i="3"/>
  <c r="EG418" i="3"/>
  <c r="EG419" i="3"/>
  <c r="EG420" i="3"/>
  <c r="EG421" i="3"/>
  <c r="EG422" i="3"/>
  <c r="EG423" i="3"/>
  <c r="EG424" i="3"/>
  <c r="EG425" i="3"/>
  <c r="EG426" i="3"/>
  <c r="EG427" i="3"/>
  <c r="EG428" i="3"/>
  <c r="EG429" i="3"/>
  <c r="EG430" i="3"/>
  <c r="EG431" i="3"/>
  <c r="EG432" i="3"/>
  <c r="EG433" i="3"/>
  <c r="EG434" i="3"/>
  <c r="EG435" i="3"/>
  <c r="EG436" i="3"/>
  <c r="EG437" i="3"/>
  <c r="EG438" i="3"/>
  <c r="EG439" i="3"/>
  <c r="EG440" i="3"/>
  <c r="EG441" i="3"/>
  <c r="EG442" i="3"/>
  <c r="EG443" i="3"/>
  <c r="EG444" i="3"/>
  <c r="EG445" i="3"/>
  <c r="EG446" i="3"/>
  <c r="EG447" i="3"/>
  <c r="EG448" i="3"/>
  <c r="EG449" i="3"/>
  <c r="EG450" i="3"/>
  <c r="EG451" i="3"/>
  <c r="EG452" i="3"/>
  <c r="EG453" i="3"/>
  <c r="EG454" i="3"/>
  <c r="EG455" i="3"/>
  <c r="EG456" i="3"/>
  <c r="EG457" i="3"/>
  <c r="EG458" i="3"/>
  <c r="EG459" i="3"/>
  <c r="EG460" i="3"/>
  <c r="EG461" i="3"/>
  <c r="EG462" i="3"/>
  <c r="EG463" i="3"/>
  <c r="EG464" i="3"/>
  <c r="EG465" i="3"/>
  <c r="EG466" i="3"/>
  <c r="EG467" i="3"/>
  <c r="EG468" i="3"/>
  <c r="EG469" i="3"/>
  <c r="EG470" i="3"/>
  <c r="EG471" i="3"/>
  <c r="EG472" i="3"/>
  <c r="EG473" i="3"/>
  <c r="EG474" i="3"/>
  <c r="EG475" i="3"/>
  <c r="EG476" i="3"/>
  <c r="EG477" i="3"/>
  <c r="EG478" i="3"/>
  <c r="EG479" i="3"/>
  <c r="EG480" i="3"/>
  <c r="EG481" i="3"/>
  <c r="EG482" i="3"/>
  <c r="EG483" i="3"/>
  <c r="EG484" i="3"/>
  <c r="EG485" i="3"/>
  <c r="EG486" i="3"/>
  <c r="EG487" i="3"/>
  <c r="EG488" i="3"/>
  <c r="EG489" i="3"/>
  <c r="EG490" i="3"/>
  <c r="EG491" i="3"/>
  <c r="EG492" i="3"/>
  <c r="EG493" i="3"/>
  <c r="EG494" i="3"/>
  <c r="EG495" i="3"/>
  <c r="EG496" i="3"/>
  <c r="EG497" i="3"/>
  <c r="EG498" i="3"/>
  <c r="EG499" i="3"/>
  <c r="EG500" i="3"/>
  <c r="EG501" i="3"/>
  <c r="EG502" i="3"/>
  <c r="EG503" i="3"/>
  <c r="EG504" i="3"/>
  <c r="EG505" i="3"/>
  <c r="EG506" i="3"/>
  <c r="EG507" i="3"/>
  <c r="EG508" i="3"/>
  <c r="EG509" i="3"/>
  <c r="EG510" i="3"/>
  <c r="EG511" i="3"/>
  <c r="EG512" i="3"/>
  <c r="EG513" i="3"/>
  <c r="EG514" i="3"/>
  <c r="EG515" i="3"/>
  <c r="EG516" i="3"/>
  <c r="EG517" i="3"/>
  <c r="EG518" i="3"/>
  <c r="EG519" i="3"/>
  <c r="EG520" i="3"/>
  <c r="EG521" i="3"/>
  <c r="EG522" i="3"/>
  <c r="EG523" i="3"/>
  <c r="EG524" i="3"/>
  <c r="EG525" i="3"/>
  <c r="EG526" i="3"/>
  <c r="EG527" i="3"/>
  <c r="EG528" i="3"/>
  <c r="EG529" i="3"/>
  <c r="EG530" i="3"/>
  <c r="EG531" i="3"/>
  <c r="EG532" i="3"/>
  <c r="EG533" i="3"/>
  <c r="EG534" i="3"/>
  <c r="EG535" i="3"/>
  <c r="EG536" i="3"/>
  <c r="EG537" i="3"/>
  <c r="EG538" i="3"/>
  <c r="EG539" i="3"/>
  <c r="EG540" i="3"/>
  <c r="EG541" i="3"/>
  <c r="EG542" i="3"/>
  <c r="EG543" i="3"/>
  <c r="EG544" i="3"/>
  <c r="EG545" i="3"/>
  <c r="EG546" i="3"/>
  <c r="EG547" i="3"/>
  <c r="EG548" i="3"/>
  <c r="EG549" i="3"/>
  <c r="EG550" i="3"/>
  <c r="EG551" i="3"/>
  <c r="EG552" i="3"/>
  <c r="EG553" i="3"/>
  <c r="EG554" i="3"/>
  <c r="EG555" i="3"/>
  <c r="EG556" i="3"/>
  <c r="EG557" i="3"/>
  <c r="EG558" i="3"/>
  <c r="EG559" i="3"/>
  <c r="EG560" i="3"/>
  <c r="EG561" i="3"/>
  <c r="EG562" i="3"/>
  <c r="EG563" i="3"/>
  <c r="EG564" i="3"/>
  <c r="EG565" i="3"/>
  <c r="EG566" i="3"/>
  <c r="EG567" i="3"/>
  <c r="EG568" i="3"/>
  <c r="EG569" i="3"/>
  <c r="EG570" i="3"/>
  <c r="EG571" i="3"/>
  <c r="EG572" i="3"/>
  <c r="EG573" i="3"/>
  <c r="EG574" i="3"/>
  <c r="EG575" i="3"/>
  <c r="EG576" i="3"/>
  <c r="EG577" i="3"/>
  <c r="EG578" i="3"/>
  <c r="EG579" i="3"/>
  <c r="EG580" i="3"/>
  <c r="EG581" i="3"/>
  <c r="EG582" i="3"/>
  <c r="EG583" i="3"/>
  <c r="EG584" i="3"/>
  <c r="EG585" i="3"/>
  <c r="EG586" i="3"/>
  <c r="EG587" i="3"/>
  <c r="EG588" i="3"/>
  <c r="EG589" i="3"/>
  <c r="EG590" i="3"/>
  <c r="EG591" i="3"/>
  <c r="EG592" i="3"/>
  <c r="EG593" i="3"/>
  <c r="EG594" i="3"/>
  <c r="EG595" i="3"/>
  <c r="EG596" i="3"/>
  <c r="EG597" i="3"/>
  <c r="EG598" i="3"/>
  <c r="EG599" i="3"/>
  <c r="EG600" i="3"/>
  <c r="EH9" i="3"/>
  <c r="EH10" i="3"/>
  <c r="EH11" i="3"/>
  <c r="EH12" i="3"/>
  <c r="EH13" i="3"/>
  <c r="EH14" i="3"/>
  <c r="EH15" i="3"/>
  <c r="EH16" i="3"/>
  <c r="EH17" i="3"/>
  <c r="EH18" i="3"/>
  <c r="EH19" i="3"/>
  <c r="EH20" i="3"/>
  <c r="EH21" i="3"/>
  <c r="EH22" i="3"/>
  <c r="EH23" i="3"/>
  <c r="EH24" i="3"/>
  <c r="EH25" i="3"/>
  <c r="EH26" i="3"/>
  <c r="EH27" i="3"/>
  <c r="EH28" i="3"/>
  <c r="EH29" i="3"/>
  <c r="EH30" i="3"/>
  <c r="EH31" i="3"/>
  <c r="EH32" i="3"/>
  <c r="EH33" i="3"/>
  <c r="EH34" i="3"/>
  <c r="EH35" i="3"/>
  <c r="EH36" i="3"/>
  <c r="EH37" i="3"/>
  <c r="EH38" i="3"/>
  <c r="EH39" i="3"/>
  <c r="EH40" i="3"/>
  <c r="EH41" i="3"/>
  <c r="EH42" i="3"/>
  <c r="EH43" i="3"/>
  <c r="EH44" i="3"/>
  <c r="EH45" i="3"/>
  <c r="EH46" i="3"/>
  <c r="EH47" i="3"/>
  <c r="EH48" i="3"/>
  <c r="EH49" i="3"/>
  <c r="EH50" i="3"/>
  <c r="EH51" i="3"/>
  <c r="EH52" i="3"/>
  <c r="EH53" i="3"/>
  <c r="EH54" i="3"/>
  <c r="EH55" i="3"/>
  <c r="EH56" i="3"/>
  <c r="EH57" i="3"/>
  <c r="EH58" i="3"/>
  <c r="EH59" i="3"/>
  <c r="EH60" i="3"/>
  <c r="EH61" i="3"/>
  <c r="EH62" i="3"/>
  <c r="EH63" i="3"/>
  <c r="EH64" i="3"/>
  <c r="EH65" i="3"/>
  <c r="EH66" i="3"/>
  <c r="EH67" i="3"/>
  <c r="EH68" i="3"/>
  <c r="EH69" i="3"/>
  <c r="EH70" i="3"/>
  <c r="EH71" i="3"/>
  <c r="EH72" i="3"/>
  <c r="EH73" i="3"/>
  <c r="EH74" i="3"/>
  <c r="EH75" i="3"/>
  <c r="EH76" i="3"/>
  <c r="EH77" i="3"/>
  <c r="EH78" i="3"/>
  <c r="EH79" i="3"/>
  <c r="EH80" i="3"/>
  <c r="EH81" i="3"/>
  <c r="EH82" i="3"/>
  <c r="EH83" i="3"/>
  <c r="EH84" i="3"/>
  <c r="EH85" i="3"/>
  <c r="EH86" i="3"/>
  <c r="EH87" i="3"/>
  <c r="EH88" i="3"/>
  <c r="EH89" i="3"/>
  <c r="EH90" i="3"/>
  <c r="EH91" i="3"/>
  <c r="EH92" i="3"/>
  <c r="EH93" i="3"/>
  <c r="EH94" i="3"/>
  <c r="EH95" i="3"/>
  <c r="EH96" i="3"/>
  <c r="EH97" i="3"/>
  <c r="EH98" i="3"/>
  <c r="EH99" i="3"/>
  <c r="EH100" i="3"/>
  <c r="EH101" i="3"/>
  <c r="EH102" i="3"/>
  <c r="EH103" i="3"/>
  <c r="EH104" i="3"/>
  <c r="EH105" i="3"/>
  <c r="EH106" i="3"/>
  <c r="EH107" i="3"/>
  <c r="EH108" i="3"/>
  <c r="EI108" i="3" s="1"/>
  <c r="EH109" i="3"/>
  <c r="EI109" i="3" s="1"/>
  <c r="EH110" i="3"/>
  <c r="EI110" i="3" s="1"/>
  <c r="EH111" i="3"/>
  <c r="EI111" i="3" s="1"/>
  <c r="EH112" i="3"/>
  <c r="EH113" i="3"/>
  <c r="EI113" i="3" s="1"/>
  <c r="EH114" i="3"/>
  <c r="EI114" i="3" s="1"/>
  <c r="EH115" i="3"/>
  <c r="EI115" i="3" s="1"/>
  <c r="EH116" i="3"/>
  <c r="EI116" i="3" s="1"/>
  <c r="EH117" i="3"/>
  <c r="EI117" i="3" s="1"/>
  <c r="EH118" i="3"/>
  <c r="EI118" i="3" s="1"/>
  <c r="EH119" i="3"/>
  <c r="EI119" i="3" s="1"/>
  <c r="EH120" i="3"/>
  <c r="EH121" i="3"/>
  <c r="EI121" i="3" s="1"/>
  <c r="EH122" i="3"/>
  <c r="EI122" i="3" s="1"/>
  <c r="EH123" i="3"/>
  <c r="EI123" i="3" s="1"/>
  <c r="EH124" i="3"/>
  <c r="EI124" i="3" s="1"/>
  <c r="EH125" i="3"/>
  <c r="EI125" i="3" s="1"/>
  <c r="EH126" i="3"/>
  <c r="EI126" i="3" s="1"/>
  <c r="EH127" i="3"/>
  <c r="EI127" i="3" s="1"/>
  <c r="EH128" i="3"/>
  <c r="EI128" i="3" s="1"/>
  <c r="EH129" i="3"/>
  <c r="EI129" i="3" s="1"/>
  <c r="EH130" i="3"/>
  <c r="EI130" i="3" s="1"/>
  <c r="EH131" i="3"/>
  <c r="EI131" i="3" s="1"/>
  <c r="EH132" i="3"/>
  <c r="EI132" i="3" s="1"/>
  <c r="EH133" i="3"/>
  <c r="EI133" i="3" s="1"/>
  <c r="EH134" i="3"/>
  <c r="EI134" i="3" s="1"/>
  <c r="EH135" i="3"/>
  <c r="EI135" i="3" s="1"/>
  <c r="EH136" i="3"/>
  <c r="EI136" i="3" s="1"/>
  <c r="EH137" i="3"/>
  <c r="EI137" i="3" s="1"/>
  <c r="EH138" i="3"/>
  <c r="EI138" i="3" s="1"/>
  <c r="EH139" i="3"/>
  <c r="EI139" i="3" s="1"/>
  <c r="EH140" i="3"/>
  <c r="EI140" i="3" s="1"/>
  <c r="EH141" i="3"/>
  <c r="EI141" i="3" s="1"/>
  <c r="EH142" i="3"/>
  <c r="EI142" i="3" s="1"/>
  <c r="EH143" i="3"/>
  <c r="EI143" i="3" s="1"/>
  <c r="EH144" i="3"/>
  <c r="EI144" i="3" s="1"/>
  <c r="EH145" i="3"/>
  <c r="EI145" i="3" s="1"/>
  <c r="EH146" i="3"/>
  <c r="EI146" i="3" s="1"/>
  <c r="EH147" i="3"/>
  <c r="EI147" i="3" s="1"/>
  <c r="EH148" i="3"/>
  <c r="EI148" i="3" s="1"/>
  <c r="EH149" i="3"/>
  <c r="EI149" i="3" s="1"/>
  <c r="EH150" i="3"/>
  <c r="EI150" i="3" s="1"/>
  <c r="EH151" i="3"/>
  <c r="EI151" i="3" s="1"/>
  <c r="EH152" i="3"/>
  <c r="EI152" i="3" s="1"/>
  <c r="EH153" i="3"/>
  <c r="EI153" i="3" s="1"/>
  <c r="EH154" i="3"/>
  <c r="EI154" i="3" s="1"/>
  <c r="EH155" i="3"/>
  <c r="EI155" i="3" s="1"/>
  <c r="EH156" i="3"/>
  <c r="EI156" i="3" s="1"/>
  <c r="EH157" i="3"/>
  <c r="EI157" i="3" s="1"/>
  <c r="EH158" i="3"/>
  <c r="EI158" i="3" s="1"/>
  <c r="EH159" i="3"/>
  <c r="EI159" i="3" s="1"/>
  <c r="EH160" i="3"/>
  <c r="EI160" i="3" s="1"/>
  <c r="EH161" i="3"/>
  <c r="EI161" i="3" s="1"/>
  <c r="EH162" i="3"/>
  <c r="EI162" i="3" s="1"/>
  <c r="EH163" i="3"/>
  <c r="EI163" i="3" s="1"/>
  <c r="EH164" i="3"/>
  <c r="EI164" i="3" s="1"/>
  <c r="EH165" i="3"/>
  <c r="EI165" i="3" s="1"/>
  <c r="EH166" i="3"/>
  <c r="EI166" i="3" s="1"/>
  <c r="EH167" i="3"/>
  <c r="EI167" i="3" s="1"/>
  <c r="EH168" i="3"/>
  <c r="EI168" i="3" s="1"/>
  <c r="EH169" i="3"/>
  <c r="EI169" i="3" s="1"/>
  <c r="EH170" i="3"/>
  <c r="EI170" i="3" s="1"/>
  <c r="EH171" i="3"/>
  <c r="EI171" i="3" s="1"/>
  <c r="EH172" i="3"/>
  <c r="EI172" i="3" s="1"/>
  <c r="EH173" i="3"/>
  <c r="EI173" i="3" s="1"/>
  <c r="EH174" i="3"/>
  <c r="EI174" i="3" s="1"/>
  <c r="EH175" i="3"/>
  <c r="EI175" i="3" s="1"/>
  <c r="EH176" i="3"/>
  <c r="EI176" i="3" s="1"/>
  <c r="EH177" i="3"/>
  <c r="EI177" i="3" s="1"/>
  <c r="EH178" i="3"/>
  <c r="EI178" i="3" s="1"/>
  <c r="EH179" i="3"/>
  <c r="EI179" i="3" s="1"/>
  <c r="EH180" i="3"/>
  <c r="EI180" i="3" s="1"/>
  <c r="EH181" i="3"/>
  <c r="EI181" i="3" s="1"/>
  <c r="EH182" i="3"/>
  <c r="EI182" i="3" s="1"/>
  <c r="EH183" i="3"/>
  <c r="EI183" i="3" s="1"/>
  <c r="EH184" i="3"/>
  <c r="EI184" i="3" s="1"/>
  <c r="EH185" i="3"/>
  <c r="EI185" i="3" s="1"/>
  <c r="EH186" i="3"/>
  <c r="EI186" i="3" s="1"/>
  <c r="EH187" i="3"/>
  <c r="EI187" i="3" s="1"/>
  <c r="EH188" i="3"/>
  <c r="EI188" i="3" s="1"/>
  <c r="EH189" i="3"/>
  <c r="EI189" i="3" s="1"/>
  <c r="EH190" i="3"/>
  <c r="EI190" i="3" s="1"/>
  <c r="EH191" i="3"/>
  <c r="EI191" i="3" s="1"/>
  <c r="EH192" i="3"/>
  <c r="EI192" i="3" s="1"/>
  <c r="EH193" i="3"/>
  <c r="EI193" i="3" s="1"/>
  <c r="EH194" i="3"/>
  <c r="EI194" i="3" s="1"/>
  <c r="EH195" i="3"/>
  <c r="EI195" i="3" s="1"/>
  <c r="EH196" i="3"/>
  <c r="EI196" i="3" s="1"/>
  <c r="EH197" i="3"/>
  <c r="EI197" i="3" s="1"/>
  <c r="EH198" i="3"/>
  <c r="EI198" i="3" s="1"/>
  <c r="EH199" i="3"/>
  <c r="EI199" i="3" s="1"/>
  <c r="EH200" i="3"/>
  <c r="EI200" i="3" s="1"/>
  <c r="EH201" i="3"/>
  <c r="EI201" i="3" s="1"/>
  <c r="EH202" i="3"/>
  <c r="EI202" i="3" s="1"/>
  <c r="EH203" i="3"/>
  <c r="EI203" i="3" s="1"/>
  <c r="EH204" i="3"/>
  <c r="EI204" i="3" s="1"/>
  <c r="EH205" i="3"/>
  <c r="EI205" i="3" s="1"/>
  <c r="EH206" i="3"/>
  <c r="EI206" i="3" s="1"/>
  <c r="EH207" i="3"/>
  <c r="EI207" i="3" s="1"/>
  <c r="EH208" i="3"/>
  <c r="EI208" i="3" s="1"/>
  <c r="EH209" i="3"/>
  <c r="EI209" i="3" s="1"/>
  <c r="EH210" i="3"/>
  <c r="EI210" i="3" s="1"/>
  <c r="EH211" i="3"/>
  <c r="EI211" i="3" s="1"/>
  <c r="EH212" i="3"/>
  <c r="EI212" i="3" s="1"/>
  <c r="EH213" i="3"/>
  <c r="EI213" i="3" s="1"/>
  <c r="EH214" i="3"/>
  <c r="EI214" i="3" s="1"/>
  <c r="EH215" i="3"/>
  <c r="EI215" i="3" s="1"/>
  <c r="EH216" i="3"/>
  <c r="EI216" i="3" s="1"/>
  <c r="EH217" i="3"/>
  <c r="EI217" i="3" s="1"/>
  <c r="EH218" i="3"/>
  <c r="EI218" i="3" s="1"/>
  <c r="EH219" i="3"/>
  <c r="EI219" i="3" s="1"/>
  <c r="EH220" i="3"/>
  <c r="EI220" i="3" s="1"/>
  <c r="EH221" i="3"/>
  <c r="EI221" i="3" s="1"/>
  <c r="EH222" i="3"/>
  <c r="EI222" i="3" s="1"/>
  <c r="EH223" i="3"/>
  <c r="EI223" i="3" s="1"/>
  <c r="EH224" i="3"/>
  <c r="EI224" i="3" s="1"/>
  <c r="EH225" i="3"/>
  <c r="EI225" i="3" s="1"/>
  <c r="EH226" i="3"/>
  <c r="EI226" i="3" s="1"/>
  <c r="EH227" i="3"/>
  <c r="EI227" i="3" s="1"/>
  <c r="EH228" i="3"/>
  <c r="EI228" i="3" s="1"/>
  <c r="EH229" i="3"/>
  <c r="EI229" i="3" s="1"/>
  <c r="EH230" i="3"/>
  <c r="EI230" i="3" s="1"/>
  <c r="EH231" i="3"/>
  <c r="EI231" i="3" s="1"/>
  <c r="EH232" i="3"/>
  <c r="EI232" i="3" s="1"/>
  <c r="EH233" i="3"/>
  <c r="EI233" i="3" s="1"/>
  <c r="EH234" i="3"/>
  <c r="EI234" i="3" s="1"/>
  <c r="EH235" i="3"/>
  <c r="EI235" i="3" s="1"/>
  <c r="EH236" i="3"/>
  <c r="EI236" i="3" s="1"/>
  <c r="EH237" i="3"/>
  <c r="EI237" i="3" s="1"/>
  <c r="EH238" i="3"/>
  <c r="EI238" i="3" s="1"/>
  <c r="EH239" i="3"/>
  <c r="EI239" i="3" s="1"/>
  <c r="EH240" i="3"/>
  <c r="EI240" i="3" s="1"/>
  <c r="EH241" i="3"/>
  <c r="EI241" i="3" s="1"/>
  <c r="EH242" i="3"/>
  <c r="EI242" i="3" s="1"/>
  <c r="EH243" i="3"/>
  <c r="EI243" i="3" s="1"/>
  <c r="EH244" i="3"/>
  <c r="EI244" i="3" s="1"/>
  <c r="EH245" i="3"/>
  <c r="EI245" i="3" s="1"/>
  <c r="EH246" i="3"/>
  <c r="EI246" i="3" s="1"/>
  <c r="EH247" i="3"/>
  <c r="EI247" i="3" s="1"/>
  <c r="EH248" i="3"/>
  <c r="EI248" i="3" s="1"/>
  <c r="EH249" i="3"/>
  <c r="EI249" i="3" s="1"/>
  <c r="EH250" i="3"/>
  <c r="EI250" i="3" s="1"/>
  <c r="EH251" i="3"/>
  <c r="EI251" i="3" s="1"/>
  <c r="EH252" i="3"/>
  <c r="EI252" i="3" s="1"/>
  <c r="EH253" i="3"/>
  <c r="EI253" i="3" s="1"/>
  <c r="EH254" i="3"/>
  <c r="EI254" i="3" s="1"/>
  <c r="EH255" i="3"/>
  <c r="EI255" i="3" s="1"/>
  <c r="EH256" i="3"/>
  <c r="EI256" i="3" s="1"/>
  <c r="EH257" i="3"/>
  <c r="EI257" i="3" s="1"/>
  <c r="EH258" i="3"/>
  <c r="EI258" i="3" s="1"/>
  <c r="EH259" i="3"/>
  <c r="EI259" i="3" s="1"/>
  <c r="EH260" i="3"/>
  <c r="EI260" i="3" s="1"/>
  <c r="EH261" i="3"/>
  <c r="EI261" i="3" s="1"/>
  <c r="EH262" i="3"/>
  <c r="EI262" i="3" s="1"/>
  <c r="EH263" i="3"/>
  <c r="EI263" i="3" s="1"/>
  <c r="EH264" i="3"/>
  <c r="EI264" i="3" s="1"/>
  <c r="EH265" i="3"/>
  <c r="EI265" i="3" s="1"/>
  <c r="EH266" i="3"/>
  <c r="EI266" i="3" s="1"/>
  <c r="EH267" i="3"/>
  <c r="EI267" i="3" s="1"/>
  <c r="EH268" i="3"/>
  <c r="EI268" i="3" s="1"/>
  <c r="EH269" i="3"/>
  <c r="EI269" i="3" s="1"/>
  <c r="EH270" i="3"/>
  <c r="EI270" i="3" s="1"/>
  <c r="EH271" i="3"/>
  <c r="EI271" i="3" s="1"/>
  <c r="EH272" i="3"/>
  <c r="EI272" i="3" s="1"/>
  <c r="EH273" i="3"/>
  <c r="EI273" i="3" s="1"/>
  <c r="EH274" i="3"/>
  <c r="EI274" i="3" s="1"/>
  <c r="EH275" i="3"/>
  <c r="EI275" i="3" s="1"/>
  <c r="EH276" i="3"/>
  <c r="EI276" i="3" s="1"/>
  <c r="EH277" i="3"/>
  <c r="EI277" i="3" s="1"/>
  <c r="EH278" i="3"/>
  <c r="EI278" i="3" s="1"/>
  <c r="EH279" i="3"/>
  <c r="EI279" i="3" s="1"/>
  <c r="EH280" i="3"/>
  <c r="EH281" i="3"/>
  <c r="EI281" i="3" s="1"/>
  <c r="EH282" i="3"/>
  <c r="EI282" i="3" s="1"/>
  <c r="EH283" i="3"/>
  <c r="EI283" i="3" s="1"/>
  <c r="EH284" i="3"/>
  <c r="EI284" i="3" s="1"/>
  <c r="EH285" i="3"/>
  <c r="EI285" i="3" s="1"/>
  <c r="EH286" i="3"/>
  <c r="EI286" i="3" s="1"/>
  <c r="EH287" i="3"/>
  <c r="EI287" i="3" s="1"/>
  <c r="EH288" i="3"/>
  <c r="EH289" i="3"/>
  <c r="EI289" i="3" s="1"/>
  <c r="EH290" i="3"/>
  <c r="EI290" i="3" s="1"/>
  <c r="EH291" i="3"/>
  <c r="EI291" i="3" s="1"/>
  <c r="EH292" i="3"/>
  <c r="EI292" i="3" s="1"/>
  <c r="EH293" i="3"/>
  <c r="EI293" i="3" s="1"/>
  <c r="EH294" i="3"/>
  <c r="EI294" i="3" s="1"/>
  <c r="EH295" i="3"/>
  <c r="EI295" i="3" s="1"/>
  <c r="EH296" i="3"/>
  <c r="EI296" i="3" s="1"/>
  <c r="EH297" i="3"/>
  <c r="EI297" i="3" s="1"/>
  <c r="EH298" i="3"/>
  <c r="EI298" i="3" s="1"/>
  <c r="EH299" i="3"/>
  <c r="EI299" i="3" s="1"/>
  <c r="EH300" i="3"/>
  <c r="EI300" i="3" s="1"/>
  <c r="EH301" i="3"/>
  <c r="EI301" i="3" s="1"/>
  <c r="EH302" i="3"/>
  <c r="EI302" i="3" s="1"/>
  <c r="EH303" i="3"/>
  <c r="EI303" i="3" s="1"/>
  <c r="EH304" i="3"/>
  <c r="EI304" i="3" s="1"/>
  <c r="EH305" i="3"/>
  <c r="EI305" i="3" s="1"/>
  <c r="EH306" i="3"/>
  <c r="EI306" i="3" s="1"/>
  <c r="EH307" i="3"/>
  <c r="EI307" i="3" s="1"/>
  <c r="EH308" i="3"/>
  <c r="EI308" i="3" s="1"/>
  <c r="EH309" i="3"/>
  <c r="EI309" i="3" s="1"/>
  <c r="EH310" i="3"/>
  <c r="EI310" i="3" s="1"/>
  <c r="EH311" i="3"/>
  <c r="EI311" i="3" s="1"/>
  <c r="EH312" i="3"/>
  <c r="EI312" i="3" s="1"/>
  <c r="EH313" i="3"/>
  <c r="EI313" i="3" s="1"/>
  <c r="EH314" i="3"/>
  <c r="EI314" i="3" s="1"/>
  <c r="EH315" i="3"/>
  <c r="EI315" i="3" s="1"/>
  <c r="EH316" i="3"/>
  <c r="EI316" i="3" s="1"/>
  <c r="EH317" i="3"/>
  <c r="EI317" i="3" s="1"/>
  <c r="EH318" i="3"/>
  <c r="EI318" i="3" s="1"/>
  <c r="EH319" i="3"/>
  <c r="EI319" i="3" s="1"/>
  <c r="EH320" i="3"/>
  <c r="EI320" i="3" s="1"/>
  <c r="EH321" i="3"/>
  <c r="EI321" i="3" s="1"/>
  <c r="EH322" i="3"/>
  <c r="EI322" i="3" s="1"/>
  <c r="EH323" i="3"/>
  <c r="EI323" i="3" s="1"/>
  <c r="EH324" i="3"/>
  <c r="EI324" i="3" s="1"/>
  <c r="EH325" i="3"/>
  <c r="EI325" i="3" s="1"/>
  <c r="EH326" i="3"/>
  <c r="EI326" i="3" s="1"/>
  <c r="EH327" i="3"/>
  <c r="EI327" i="3" s="1"/>
  <c r="EH328" i="3"/>
  <c r="EI328" i="3" s="1"/>
  <c r="EH329" i="3"/>
  <c r="EI329" i="3" s="1"/>
  <c r="EH330" i="3"/>
  <c r="EI330" i="3" s="1"/>
  <c r="EH331" i="3"/>
  <c r="EI331" i="3" s="1"/>
  <c r="EH332" i="3"/>
  <c r="EI332" i="3" s="1"/>
  <c r="EH333" i="3"/>
  <c r="EI333" i="3" s="1"/>
  <c r="EH334" i="3"/>
  <c r="EI334" i="3" s="1"/>
  <c r="EH335" i="3"/>
  <c r="EI335" i="3" s="1"/>
  <c r="EH336" i="3"/>
  <c r="EI336" i="3" s="1"/>
  <c r="EH337" i="3"/>
  <c r="EI337" i="3" s="1"/>
  <c r="EH338" i="3"/>
  <c r="EI338" i="3" s="1"/>
  <c r="EH339" i="3"/>
  <c r="EI339" i="3" s="1"/>
  <c r="EH340" i="3"/>
  <c r="EI340" i="3" s="1"/>
  <c r="EH341" i="3"/>
  <c r="EI341" i="3" s="1"/>
  <c r="EH342" i="3"/>
  <c r="EI342" i="3" s="1"/>
  <c r="EH343" i="3"/>
  <c r="EI343" i="3" s="1"/>
  <c r="EH344" i="3"/>
  <c r="EI344" i="3" s="1"/>
  <c r="EH345" i="3"/>
  <c r="EI345" i="3" s="1"/>
  <c r="EH346" i="3"/>
  <c r="EI346" i="3" s="1"/>
  <c r="EH347" i="3"/>
  <c r="EI347" i="3" s="1"/>
  <c r="EH348" i="3"/>
  <c r="EI348" i="3" s="1"/>
  <c r="EH349" i="3"/>
  <c r="EI349" i="3" s="1"/>
  <c r="EH350" i="3"/>
  <c r="EI350" i="3" s="1"/>
  <c r="EH351" i="3"/>
  <c r="EI351" i="3" s="1"/>
  <c r="EH352" i="3"/>
  <c r="EI352" i="3" s="1"/>
  <c r="EH353" i="3"/>
  <c r="EI353" i="3" s="1"/>
  <c r="EH354" i="3"/>
  <c r="EI354" i="3" s="1"/>
  <c r="EH355" i="3"/>
  <c r="EI355" i="3" s="1"/>
  <c r="EH356" i="3"/>
  <c r="EI356" i="3" s="1"/>
  <c r="EH357" i="3"/>
  <c r="EI357" i="3" s="1"/>
  <c r="EH358" i="3"/>
  <c r="EI358" i="3" s="1"/>
  <c r="EH359" i="3"/>
  <c r="EI359" i="3" s="1"/>
  <c r="EH360" i="3"/>
  <c r="EI360" i="3" s="1"/>
  <c r="EH361" i="3"/>
  <c r="EI361" i="3" s="1"/>
  <c r="EH362" i="3"/>
  <c r="EI362" i="3" s="1"/>
  <c r="EH363" i="3"/>
  <c r="EI363" i="3" s="1"/>
  <c r="EH364" i="3"/>
  <c r="EI364" i="3" s="1"/>
  <c r="EH365" i="3"/>
  <c r="EI365" i="3" s="1"/>
  <c r="EH366" i="3"/>
  <c r="EI366" i="3" s="1"/>
  <c r="EH367" i="3"/>
  <c r="EI367" i="3" s="1"/>
  <c r="EH368" i="3"/>
  <c r="EI368" i="3" s="1"/>
  <c r="EH369" i="3"/>
  <c r="EI369" i="3" s="1"/>
  <c r="EH370" i="3"/>
  <c r="EI370" i="3" s="1"/>
  <c r="EH371" i="3"/>
  <c r="EI371" i="3" s="1"/>
  <c r="EH372" i="3"/>
  <c r="EI372" i="3" s="1"/>
  <c r="EH373" i="3"/>
  <c r="EI373" i="3" s="1"/>
  <c r="EH374" i="3"/>
  <c r="EI374" i="3" s="1"/>
  <c r="EH375" i="3"/>
  <c r="EI375" i="3" s="1"/>
  <c r="EH376" i="3"/>
  <c r="EI376" i="3" s="1"/>
  <c r="EH377" i="3"/>
  <c r="EI377" i="3" s="1"/>
  <c r="EH378" i="3"/>
  <c r="EI378" i="3" s="1"/>
  <c r="EH379" i="3"/>
  <c r="EI379" i="3" s="1"/>
  <c r="EH380" i="3"/>
  <c r="EI380" i="3" s="1"/>
  <c r="EH381" i="3"/>
  <c r="EI381" i="3" s="1"/>
  <c r="EH382" i="3"/>
  <c r="EI382" i="3" s="1"/>
  <c r="EH383" i="3"/>
  <c r="EI383" i="3" s="1"/>
  <c r="EH384" i="3"/>
  <c r="EI384" i="3" s="1"/>
  <c r="EH385" i="3"/>
  <c r="EI385" i="3" s="1"/>
  <c r="EH386" i="3"/>
  <c r="EI386" i="3" s="1"/>
  <c r="EH387" i="3"/>
  <c r="EI387" i="3" s="1"/>
  <c r="EH388" i="3"/>
  <c r="EI388" i="3" s="1"/>
  <c r="EH389" i="3"/>
  <c r="EI389" i="3" s="1"/>
  <c r="EH390" i="3"/>
  <c r="EI390" i="3" s="1"/>
  <c r="EH391" i="3"/>
  <c r="EI391" i="3" s="1"/>
  <c r="EH392" i="3"/>
  <c r="EI392" i="3" s="1"/>
  <c r="EH393" i="3"/>
  <c r="EI393" i="3" s="1"/>
  <c r="EH394" i="3"/>
  <c r="EI394" i="3" s="1"/>
  <c r="EH395" i="3"/>
  <c r="EI395" i="3" s="1"/>
  <c r="EH396" i="3"/>
  <c r="EI396" i="3" s="1"/>
  <c r="EH397" i="3"/>
  <c r="EI397" i="3" s="1"/>
  <c r="EH398" i="3"/>
  <c r="EI398" i="3" s="1"/>
  <c r="EH399" i="3"/>
  <c r="EI399" i="3" s="1"/>
  <c r="EH400" i="3"/>
  <c r="EI400" i="3" s="1"/>
  <c r="EH401" i="3"/>
  <c r="EI401" i="3" s="1"/>
  <c r="EH402" i="3"/>
  <c r="EI402" i="3" s="1"/>
  <c r="EH403" i="3"/>
  <c r="EI403" i="3" s="1"/>
  <c r="EH404" i="3"/>
  <c r="EI404" i="3" s="1"/>
  <c r="EH405" i="3"/>
  <c r="EI405" i="3" s="1"/>
  <c r="EH406" i="3"/>
  <c r="EI406" i="3" s="1"/>
  <c r="EH407" i="3"/>
  <c r="EI407" i="3" s="1"/>
  <c r="EH408" i="3"/>
  <c r="EI408" i="3" s="1"/>
  <c r="EH409" i="3"/>
  <c r="EI409" i="3" s="1"/>
  <c r="EH410" i="3"/>
  <c r="EI410" i="3" s="1"/>
  <c r="EH411" i="3"/>
  <c r="EI411" i="3" s="1"/>
  <c r="EH412" i="3"/>
  <c r="EI412" i="3" s="1"/>
  <c r="EH413" i="3"/>
  <c r="EI413" i="3" s="1"/>
  <c r="EH414" i="3"/>
  <c r="EI414" i="3" s="1"/>
  <c r="EH415" i="3"/>
  <c r="EI415" i="3" s="1"/>
  <c r="EH416" i="3"/>
  <c r="EI416" i="3" s="1"/>
  <c r="EH417" i="3"/>
  <c r="EI417" i="3" s="1"/>
  <c r="EH418" i="3"/>
  <c r="EI418" i="3" s="1"/>
  <c r="EH419" i="3"/>
  <c r="EI419" i="3" s="1"/>
  <c r="EH420" i="3"/>
  <c r="EI420" i="3" s="1"/>
  <c r="EH421" i="3"/>
  <c r="EI421" i="3" s="1"/>
  <c r="EH422" i="3"/>
  <c r="EI422" i="3" s="1"/>
  <c r="EH423" i="3"/>
  <c r="EI423" i="3" s="1"/>
  <c r="EH424" i="3"/>
  <c r="EI424" i="3" s="1"/>
  <c r="EH425" i="3"/>
  <c r="EI425" i="3" s="1"/>
  <c r="EH426" i="3"/>
  <c r="EI426" i="3" s="1"/>
  <c r="EH427" i="3"/>
  <c r="EI427" i="3" s="1"/>
  <c r="EH428" i="3"/>
  <c r="EI428" i="3" s="1"/>
  <c r="EH429" i="3"/>
  <c r="EI429" i="3" s="1"/>
  <c r="EH430" i="3"/>
  <c r="EI430" i="3" s="1"/>
  <c r="EH431" i="3"/>
  <c r="EI431" i="3" s="1"/>
  <c r="EH432" i="3"/>
  <c r="EI432" i="3" s="1"/>
  <c r="EH433" i="3"/>
  <c r="EI433" i="3" s="1"/>
  <c r="EH434" i="3"/>
  <c r="EI434" i="3" s="1"/>
  <c r="EH435" i="3"/>
  <c r="EI435" i="3" s="1"/>
  <c r="EH436" i="3"/>
  <c r="EI436" i="3" s="1"/>
  <c r="EH437" i="3"/>
  <c r="EI437" i="3" s="1"/>
  <c r="EH438" i="3"/>
  <c r="EI438" i="3" s="1"/>
  <c r="EH439" i="3"/>
  <c r="EI439" i="3" s="1"/>
  <c r="EH440" i="3"/>
  <c r="EI440" i="3" s="1"/>
  <c r="EH441" i="3"/>
  <c r="EI441" i="3" s="1"/>
  <c r="EH442" i="3"/>
  <c r="EI442" i="3" s="1"/>
  <c r="EH443" i="3"/>
  <c r="EI443" i="3" s="1"/>
  <c r="EH444" i="3"/>
  <c r="EI444" i="3" s="1"/>
  <c r="EH445" i="3"/>
  <c r="EI445" i="3" s="1"/>
  <c r="EH446" i="3"/>
  <c r="EI446" i="3" s="1"/>
  <c r="EH447" i="3"/>
  <c r="EI447" i="3" s="1"/>
  <c r="EH448" i="3"/>
  <c r="EH449" i="3"/>
  <c r="EI449" i="3" s="1"/>
  <c r="EH450" i="3"/>
  <c r="EI450" i="3" s="1"/>
  <c r="EH451" i="3"/>
  <c r="EI451" i="3" s="1"/>
  <c r="EH452" i="3"/>
  <c r="EI452" i="3" s="1"/>
  <c r="EH453" i="3"/>
  <c r="EI453" i="3" s="1"/>
  <c r="EH454" i="3"/>
  <c r="EI454" i="3" s="1"/>
  <c r="EH455" i="3"/>
  <c r="EI455" i="3" s="1"/>
  <c r="EH456" i="3"/>
  <c r="EI456" i="3" s="1"/>
  <c r="EH457" i="3"/>
  <c r="EI457" i="3" s="1"/>
  <c r="EH458" i="3"/>
  <c r="EI458" i="3" s="1"/>
  <c r="EH459" i="3"/>
  <c r="EI459" i="3" s="1"/>
  <c r="EH460" i="3"/>
  <c r="EI460" i="3" s="1"/>
  <c r="EH461" i="3"/>
  <c r="EI461" i="3" s="1"/>
  <c r="EH462" i="3"/>
  <c r="EI462" i="3" s="1"/>
  <c r="EH463" i="3"/>
  <c r="EI463" i="3" s="1"/>
  <c r="EH464" i="3"/>
  <c r="EH465" i="3"/>
  <c r="EI465" i="3" s="1"/>
  <c r="EH466" i="3"/>
  <c r="EI466" i="3" s="1"/>
  <c r="EH467" i="3"/>
  <c r="EI467" i="3" s="1"/>
  <c r="EH468" i="3"/>
  <c r="EI468" i="3" s="1"/>
  <c r="EH469" i="3"/>
  <c r="EI469" i="3" s="1"/>
  <c r="EH470" i="3"/>
  <c r="EI470" i="3" s="1"/>
  <c r="EH471" i="3"/>
  <c r="EI471" i="3" s="1"/>
  <c r="EH472" i="3"/>
  <c r="EI472" i="3" s="1"/>
  <c r="EH473" i="3"/>
  <c r="EI473" i="3" s="1"/>
  <c r="EH474" i="3"/>
  <c r="EI474" i="3" s="1"/>
  <c r="EH475" i="3"/>
  <c r="EI475" i="3" s="1"/>
  <c r="EH476" i="3"/>
  <c r="EI476" i="3" s="1"/>
  <c r="EH477" i="3"/>
  <c r="EI477" i="3" s="1"/>
  <c r="EH478" i="3"/>
  <c r="EI478" i="3" s="1"/>
  <c r="EH479" i="3"/>
  <c r="EI479" i="3" s="1"/>
  <c r="EH480" i="3"/>
  <c r="EI480" i="3" s="1"/>
  <c r="EH481" i="3"/>
  <c r="EI481" i="3" s="1"/>
  <c r="EH482" i="3"/>
  <c r="EI482" i="3" s="1"/>
  <c r="EH483" i="3"/>
  <c r="EI483" i="3" s="1"/>
  <c r="EH484" i="3"/>
  <c r="EI484" i="3" s="1"/>
  <c r="EH485" i="3"/>
  <c r="EI485" i="3" s="1"/>
  <c r="EH486" i="3"/>
  <c r="EI486" i="3" s="1"/>
  <c r="EH487" i="3"/>
  <c r="EI487" i="3" s="1"/>
  <c r="EH488" i="3"/>
  <c r="EI488" i="3" s="1"/>
  <c r="EH489" i="3"/>
  <c r="EI489" i="3" s="1"/>
  <c r="EH490" i="3"/>
  <c r="EI490" i="3" s="1"/>
  <c r="EH491" i="3"/>
  <c r="EI491" i="3" s="1"/>
  <c r="EH492" i="3"/>
  <c r="EI492" i="3" s="1"/>
  <c r="EH493" i="3"/>
  <c r="EI493" i="3" s="1"/>
  <c r="EH494" i="3"/>
  <c r="EI494" i="3" s="1"/>
  <c r="EH495" i="3"/>
  <c r="EI495" i="3" s="1"/>
  <c r="EH496" i="3"/>
  <c r="EI496" i="3" s="1"/>
  <c r="EH497" i="3"/>
  <c r="EI497" i="3" s="1"/>
  <c r="EH498" i="3"/>
  <c r="EI498" i="3" s="1"/>
  <c r="EH499" i="3"/>
  <c r="EI499" i="3" s="1"/>
  <c r="EH500" i="3"/>
  <c r="EI500" i="3" s="1"/>
  <c r="EH501" i="3"/>
  <c r="EI501" i="3" s="1"/>
  <c r="EH502" i="3"/>
  <c r="EI502" i="3" s="1"/>
  <c r="EH503" i="3"/>
  <c r="EI503" i="3" s="1"/>
  <c r="EH504" i="3"/>
  <c r="EI504" i="3" s="1"/>
  <c r="EH505" i="3"/>
  <c r="EI505" i="3" s="1"/>
  <c r="EH506" i="3"/>
  <c r="EI506" i="3" s="1"/>
  <c r="EH507" i="3"/>
  <c r="EI507" i="3" s="1"/>
  <c r="EH508" i="3"/>
  <c r="EI508" i="3" s="1"/>
  <c r="EH509" i="3"/>
  <c r="EI509" i="3" s="1"/>
  <c r="EH510" i="3"/>
  <c r="EI510" i="3" s="1"/>
  <c r="EH511" i="3"/>
  <c r="EI511" i="3" s="1"/>
  <c r="EH512" i="3"/>
  <c r="EI512" i="3" s="1"/>
  <c r="EH513" i="3"/>
  <c r="EI513" i="3" s="1"/>
  <c r="EH514" i="3"/>
  <c r="EI514" i="3" s="1"/>
  <c r="EH515" i="3"/>
  <c r="EI515" i="3" s="1"/>
  <c r="EH516" i="3"/>
  <c r="EI516" i="3" s="1"/>
  <c r="EH517" i="3"/>
  <c r="EI517" i="3" s="1"/>
  <c r="EH518" i="3"/>
  <c r="EI518" i="3" s="1"/>
  <c r="EH519" i="3"/>
  <c r="EH520" i="3"/>
  <c r="EI520" i="3" s="1"/>
  <c r="EH521" i="3"/>
  <c r="EI521" i="3" s="1"/>
  <c r="EH522" i="3"/>
  <c r="EI522" i="3" s="1"/>
  <c r="EH523" i="3"/>
  <c r="EI523" i="3" s="1"/>
  <c r="EH524" i="3"/>
  <c r="EI524" i="3" s="1"/>
  <c r="EH525" i="3"/>
  <c r="EI525" i="3" s="1"/>
  <c r="EH526" i="3"/>
  <c r="EI526" i="3" s="1"/>
  <c r="EH527" i="3"/>
  <c r="EI527" i="3" s="1"/>
  <c r="EH528" i="3"/>
  <c r="EI528" i="3" s="1"/>
  <c r="EH529" i="3"/>
  <c r="EI529" i="3" s="1"/>
  <c r="EH530" i="3"/>
  <c r="EI530" i="3" s="1"/>
  <c r="EH531" i="3"/>
  <c r="EH532" i="3"/>
  <c r="EI532" i="3" s="1"/>
  <c r="EH533" i="3"/>
  <c r="EI533" i="3" s="1"/>
  <c r="EH534" i="3"/>
  <c r="EI534" i="3" s="1"/>
  <c r="EH535" i="3"/>
  <c r="EI535" i="3" s="1"/>
  <c r="EH536" i="3"/>
  <c r="EI536" i="3" s="1"/>
  <c r="EH537" i="3"/>
  <c r="EI537" i="3" s="1"/>
  <c r="EH538" i="3"/>
  <c r="EI538" i="3" s="1"/>
  <c r="EH539" i="3"/>
  <c r="EI539" i="3" s="1"/>
  <c r="EH540" i="3"/>
  <c r="EI540" i="3" s="1"/>
  <c r="EH541" i="3"/>
  <c r="EI541" i="3" s="1"/>
  <c r="EH542" i="3"/>
  <c r="EI542" i="3" s="1"/>
  <c r="EH543" i="3"/>
  <c r="EI543" i="3" s="1"/>
  <c r="EH544" i="3"/>
  <c r="EI544" i="3" s="1"/>
  <c r="EH545" i="3"/>
  <c r="EI545" i="3" s="1"/>
  <c r="EH546" i="3"/>
  <c r="EI546" i="3" s="1"/>
  <c r="EH547" i="3"/>
  <c r="EI547" i="3" s="1"/>
  <c r="EH548" i="3"/>
  <c r="EI548" i="3" s="1"/>
  <c r="EH549" i="3"/>
  <c r="EI549" i="3" s="1"/>
  <c r="EH550" i="3"/>
  <c r="EI550" i="3" s="1"/>
  <c r="EH551" i="3"/>
  <c r="EI551" i="3" s="1"/>
  <c r="EH552" i="3"/>
  <c r="EI552" i="3" s="1"/>
  <c r="EH553" i="3"/>
  <c r="EI553" i="3" s="1"/>
  <c r="EH554" i="3"/>
  <c r="EI554" i="3" s="1"/>
  <c r="EH555" i="3"/>
  <c r="EI555" i="3" s="1"/>
  <c r="EH556" i="3"/>
  <c r="EI556" i="3" s="1"/>
  <c r="EH557" i="3"/>
  <c r="EI557" i="3" s="1"/>
  <c r="EH558" i="3"/>
  <c r="EI558" i="3" s="1"/>
  <c r="EH559" i="3"/>
  <c r="EI559" i="3" s="1"/>
  <c r="EH560" i="3"/>
  <c r="EI560" i="3" s="1"/>
  <c r="EH561" i="3"/>
  <c r="EI561" i="3" s="1"/>
  <c r="EH562" i="3"/>
  <c r="EI562" i="3" s="1"/>
  <c r="EH563" i="3"/>
  <c r="EI563" i="3" s="1"/>
  <c r="EH564" i="3"/>
  <c r="EI564" i="3" s="1"/>
  <c r="EH565" i="3"/>
  <c r="EI565" i="3" s="1"/>
  <c r="EH566" i="3"/>
  <c r="EI566" i="3" s="1"/>
  <c r="EH567" i="3"/>
  <c r="EI567" i="3" s="1"/>
  <c r="EH568" i="3"/>
  <c r="EH569" i="3"/>
  <c r="EI569" i="3" s="1"/>
  <c r="EH570" i="3"/>
  <c r="EI570" i="3" s="1"/>
  <c r="EH571" i="3"/>
  <c r="EI571" i="3" s="1"/>
  <c r="EH572" i="3"/>
  <c r="EI572" i="3" s="1"/>
  <c r="EH573" i="3"/>
  <c r="EI573" i="3" s="1"/>
  <c r="EH574" i="3"/>
  <c r="EI574" i="3" s="1"/>
  <c r="EH575" i="3"/>
  <c r="EI575" i="3" s="1"/>
  <c r="EH576" i="3"/>
  <c r="EI576" i="3" s="1"/>
  <c r="EH577" i="3"/>
  <c r="EI577" i="3" s="1"/>
  <c r="EH578" i="3"/>
  <c r="EI578" i="3" s="1"/>
  <c r="EH579" i="3"/>
  <c r="EI579" i="3" s="1"/>
  <c r="EH580" i="3"/>
  <c r="EI580" i="3" s="1"/>
  <c r="EH581" i="3"/>
  <c r="EI581" i="3" s="1"/>
  <c r="EH582" i="3"/>
  <c r="EI582" i="3" s="1"/>
  <c r="EH583" i="3"/>
  <c r="EI583" i="3" s="1"/>
  <c r="EH584" i="3"/>
  <c r="EI584" i="3" s="1"/>
  <c r="EH585" i="3"/>
  <c r="EI585" i="3" s="1"/>
  <c r="EH586" i="3"/>
  <c r="EI586" i="3" s="1"/>
  <c r="EH587" i="3"/>
  <c r="EI587" i="3" s="1"/>
  <c r="EH588" i="3"/>
  <c r="EI588" i="3" s="1"/>
  <c r="EH589" i="3"/>
  <c r="EI589" i="3" s="1"/>
  <c r="EH590" i="3"/>
  <c r="EI590" i="3" s="1"/>
  <c r="EH591" i="3"/>
  <c r="EI591" i="3" s="1"/>
  <c r="EH592" i="3"/>
  <c r="EI592" i="3" s="1"/>
  <c r="EH593" i="3"/>
  <c r="EI593" i="3" s="1"/>
  <c r="EH594" i="3"/>
  <c r="EI594" i="3" s="1"/>
  <c r="EH595" i="3"/>
  <c r="EI595" i="3" s="1"/>
  <c r="EH596" i="3"/>
  <c r="EI596" i="3" s="1"/>
  <c r="EH597" i="3"/>
  <c r="EI597" i="3" s="1"/>
  <c r="EH598" i="3"/>
  <c r="EI598" i="3" s="1"/>
  <c r="EH599" i="3"/>
  <c r="EI599" i="3" s="1"/>
  <c r="EH600" i="3"/>
  <c r="EI600" i="3" s="1"/>
  <c r="EI9" i="3"/>
  <c r="EI10" i="3"/>
  <c r="EI11" i="3"/>
  <c r="EI12" i="3"/>
  <c r="EI13" i="3"/>
  <c r="EI14" i="3"/>
  <c r="EI15" i="3"/>
  <c r="EI16" i="3"/>
  <c r="EI17" i="3"/>
  <c r="EI18" i="3"/>
  <c r="EI19" i="3"/>
  <c r="EI20" i="3"/>
  <c r="EI21" i="3"/>
  <c r="EI22" i="3"/>
  <c r="EI23" i="3"/>
  <c r="EI24" i="3"/>
  <c r="EI25" i="3"/>
  <c r="EI26" i="3"/>
  <c r="EI27" i="3"/>
  <c r="EI28" i="3"/>
  <c r="EI29" i="3"/>
  <c r="EI30" i="3"/>
  <c r="EI31" i="3"/>
  <c r="EI32" i="3"/>
  <c r="EI33" i="3"/>
  <c r="EI34" i="3"/>
  <c r="EI35" i="3"/>
  <c r="EI36" i="3"/>
  <c r="EI37" i="3"/>
  <c r="EI38" i="3"/>
  <c r="EI39" i="3"/>
  <c r="EI40" i="3"/>
  <c r="EI41" i="3"/>
  <c r="EI42" i="3"/>
  <c r="EI43" i="3"/>
  <c r="EI44" i="3"/>
  <c r="EI45" i="3"/>
  <c r="EI46" i="3"/>
  <c r="EI47" i="3"/>
  <c r="EI48" i="3"/>
  <c r="EI49" i="3"/>
  <c r="EI50" i="3"/>
  <c r="EI51" i="3"/>
  <c r="EI52" i="3"/>
  <c r="EI53" i="3"/>
  <c r="EI54" i="3"/>
  <c r="EI55" i="3"/>
  <c r="EI56" i="3"/>
  <c r="EI57" i="3"/>
  <c r="EI58" i="3"/>
  <c r="EI59" i="3"/>
  <c r="EI60" i="3"/>
  <c r="EI61" i="3"/>
  <c r="EI62" i="3"/>
  <c r="EI63" i="3"/>
  <c r="EI64" i="3"/>
  <c r="EI65" i="3"/>
  <c r="EI66" i="3"/>
  <c r="EI67" i="3"/>
  <c r="EI68" i="3"/>
  <c r="EI69" i="3"/>
  <c r="EI70" i="3"/>
  <c r="EI71" i="3"/>
  <c r="EI72" i="3"/>
  <c r="EI73" i="3"/>
  <c r="EI74" i="3"/>
  <c r="EI75" i="3"/>
  <c r="EI76" i="3"/>
  <c r="EI77" i="3"/>
  <c r="EI78" i="3"/>
  <c r="EI79" i="3"/>
  <c r="EI80" i="3"/>
  <c r="EI81" i="3"/>
  <c r="EI82" i="3"/>
  <c r="EI83" i="3"/>
  <c r="EI84" i="3"/>
  <c r="EI85" i="3"/>
  <c r="EI86" i="3"/>
  <c r="EI87" i="3"/>
  <c r="EI88" i="3"/>
  <c r="EI89" i="3"/>
  <c r="EI90" i="3"/>
  <c r="EI91" i="3"/>
  <c r="EI92" i="3"/>
  <c r="EI93" i="3"/>
  <c r="EI94" i="3"/>
  <c r="EI95" i="3"/>
  <c r="EI96" i="3"/>
  <c r="EI97" i="3"/>
  <c r="EI98" i="3"/>
  <c r="EI99" i="3"/>
  <c r="EI100" i="3"/>
  <c r="EI101" i="3"/>
  <c r="EI102" i="3"/>
  <c r="EI103" i="3"/>
  <c r="EI104" i="3"/>
  <c r="EI105" i="3"/>
  <c r="EI106" i="3"/>
  <c r="EI107" i="3"/>
  <c r="EI112" i="3"/>
  <c r="EI120" i="3"/>
  <c r="EI280" i="3"/>
  <c r="EI288" i="3"/>
  <c r="EI448" i="3"/>
  <c r="EI464" i="3"/>
  <c r="EI519" i="3"/>
  <c r="EI531" i="3"/>
  <c r="EI568" i="3"/>
  <c r="EJ9" i="3"/>
  <c r="EJ10" i="3"/>
  <c r="EJ11" i="3"/>
  <c r="EJ12" i="3"/>
  <c r="ES12" i="3" s="1"/>
  <c r="EJ13" i="3"/>
  <c r="EJ14" i="3"/>
  <c r="ES14" i="3" s="1"/>
  <c r="EJ15" i="3"/>
  <c r="EJ16" i="3"/>
  <c r="EJ17" i="3"/>
  <c r="EJ18" i="3"/>
  <c r="EJ19" i="3"/>
  <c r="EJ20" i="3"/>
  <c r="EU20" i="3" s="1"/>
  <c r="EJ21" i="3"/>
  <c r="EJ22" i="3"/>
  <c r="EJ23" i="3"/>
  <c r="EJ24" i="3"/>
  <c r="EJ25" i="3"/>
  <c r="EJ26" i="3"/>
  <c r="EJ27" i="3"/>
  <c r="EJ28" i="3"/>
  <c r="EJ29" i="3"/>
  <c r="EJ30" i="3"/>
  <c r="EJ31" i="3"/>
  <c r="EJ32" i="3"/>
  <c r="EJ33" i="3"/>
  <c r="EJ34" i="3"/>
  <c r="EJ35" i="3"/>
  <c r="EJ36" i="3"/>
  <c r="EJ37" i="3"/>
  <c r="EJ38" i="3"/>
  <c r="EJ39" i="3"/>
  <c r="EJ40" i="3"/>
  <c r="EJ41" i="3"/>
  <c r="EJ42" i="3"/>
  <c r="EJ43" i="3"/>
  <c r="EJ44" i="3"/>
  <c r="EJ45" i="3"/>
  <c r="EJ46" i="3"/>
  <c r="ES46" i="3" s="1"/>
  <c r="EJ47" i="3"/>
  <c r="EJ48" i="3"/>
  <c r="EJ49" i="3"/>
  <c r="EJ50" i="3"/>
  <c r="EJ51" i="3"/>
  <c r="EJ52" i="3"/>
  <c r="EJ53" i="3"/>
  <c r="EJ54" i="3"/>
  <c r="EJ55" i="3"/>
  <c r="EJ56" i="3"/>
  <c r="EJ57" i="3"/>
  <c r="EJ58" i="3"/>
  <c r="ES58" i="3" s="1"/>
  <c r="EJ59" i="3"/>
  <c r="EJ60" i="3"/>
  <c r="EJ61" i="3"/>
  <c r="EJ62" i="3"/>
  <c r="ES62" i="3" s="1"/>
  <c r="EJ63" i="3"/>
  <c r="EJ64" i="3"/>
  <c r="ET64" i="3" s="1"/>
  <c r="EJ65" i="3"/>
  <c r="EJ66" i="3"/>
  <c r="EJ67" i="3"/>
  <c r="EJ68" i="3"/>
  <c r="EJ69" i="3"/>
  <c r="EJ70" i="3"/>
  <c r="EJ71" i="3"/>
  <c r="EJ72" i="3"/>
  <c r="EJ73" i="3"/>
  <c r="EJ74" i="3"/>
  <c r="EJ75" i="3"/>
  <c r="EJ76" i="3"/>
  <c r="EJ77" i="3"/>
  <c r="EJ78" i="3"/>
  <c r="ES78" i="3" s="1"/>
  <c r="EJ79" i="3"/>
  <c r="EJ80" i="3"/>
  <c r="EJ81" i="3"/>
  <c r="EJ82" i="3"/>
  <c r="EJ83" i="3"/>
  <c r="EJ84" i="3"/>
  <c r="EJ85" i="3"/>
  <c r="EJ86" i="3"/>
  <c r="EJ87" i="3"/>
  <c r="EJ88" i="3"/>
  <c r="EJ89" i="3"/>
  <c r="EJ90" i="3"/>
  <c r="EJ91" i="3"/>
  <c r="EJ92" i="3"/>
  <c r="EU92" i="3" s="1"/>
  <c r="EJ93" i="3"/>
  <c r="EJ94" i="3"/>
  <c r="ES94" i="3" s="1"/>
  <c r="EJ95" i="3"/>
  <c r="EJ96" i="3"/>
  <c r="EJ97" i="3"/>
  <c r="ET97" i="3" s="1"/>
  <c r="EJ98" i="3"/>
  <c r="EJ99" i="3"/>
  <c r="EJ100" i="3"/>
  <c r="EJ101" i="3"/>
  <c r="EJ102" i="3"/>
  <c r="EJ103" i="3"/>
  <c r="EJ104" i="3"/>
  <c r="EJ105" i="3"/>
  <c r="EJ106" i="3"/>
  <c r="EJ107" i="3"/>
  <c r="EJ108" i="3"/>
  <c r="EJ109" i="3"/>
  <c r="EJ110" i="3"/>
  <c r="ES110" i="3" s="1"/>
  <c r="EJ111" i="3"/>
  <c r="EJ112" i="3"/>
  <c r="EJ113" i="3"/>
  <c r="EJ114" i="3"/>
  <c r="EJ115" i="3"/>
  <c r="EJ116" i="3"/>
  <c r="EJ117" i="3"/>
  <c r="EJ118" i="3"/>
  <c r="EJ119" i="3"/>
  <c r="EJ120" i="3"/>
  <c r="EJ121" i="3"/>
  <c r="EJ122" i="3"/>
  <c r="EJ123" i="3"/>
  <c r="EJ124" i="3"/>
  <c r="EJ125" i="3"/>
  <c r="EJ126" i="3"/>
  <c r="EJ127" i="3"/>
  <c r="EJ128" i="3"/>
  <c r="EV128" i="3" s="1"/>
  <c r="EJ129" i="3"/>
  <c r="EJ130" i="3"/>
  <c r="EJ131" i="3"/>
  <c r="EJ132" i="3"/>
  <c r="EJ133" i="3"/>
  <c r="EJ134" i="3"/>
  <c r="EJ135" i="3"/>
  <c r="EJ136" i="3"/>
  <c r="EJ137" i="3"/>
  <c r="EJ138" i="3"/>
  <c r="EJ139" i="3"/>
  <c r="EJ140" i="3"/>
  <c r="EJ141" i="3"/>
  <c r="EJ142" i="3"/>
  <c r="EJ143" i="3"/>
  <c r="EJ144" i="3"/>
  <c r="EV144" i="3" s="1"/>
  <c r="EJ145" i="3"/>
  <c r="EJ146" i="3"/>
  <c r="ES146" i="3" s="1"/>
  <c r="EJ147" i="3"/>
  <c r="EJ148" i="3"/>
  <c r="EJ149" i="3"/>
  <c r="EJ150" i="3"/>
  <c r="EJ151" i="3"/>
  <c r="EJ152" i="3"/>
  <c r="EJ153" i="3"/>
  <c r="EJ154" i="3"/>
  <c r="EJ155" i="3"/>
  <c r="EJ156" i="3"/>
  <c r="EJ157" i="3"/>
  <c r="EJ158" i="3"/>
  <c r="EJ159" i="3"/>
  <c r="EJ160" i="3"/>
  <c r="EV160" i="3" s="1"/>
  <c r="EJ161" i="3"/>
  <c r="EV161" i="3" s="1"/>
  <c r="EJ162" i="3"/>
  <c r="EJ163" i="3"/>
  <c r="EJ164" i="3"/>
  <c r="EJ165" i="3"/>
  <c r="EJ166" i="3"/>
  <c r="EJ167" i="3"/>
  <c r="EJ168" i="3"/>
  <c r="EJ169" i="3"/>
  <c r="EJ170" i="3"/>
  <c r="EJ171" i="3"/>
  <c r="EJ172" i="3"/>
  <c r="EJ173" i="3"/>
  <c r="EJ174" i="3"/>
  <c r="EJ175" i="3"/>
  <c r="EJ176" i="3"/>
  <c r="EJ177" i="3"/>
  <c r="EJ178" i="3"/>
  <c r="EJ179" i="3"/>
  <c r="EJ180" i="3"/>
  <c r="EJ181" i="3"/>
  <c r="EJ182" i="3"/>
  <c r="EJ183" i="3"/>
  <c r="EJ184" i="3"/>
  <c r="EJ185" i="3"/>
  <c r="EJ186" i="3"/>
  <c r="ES186" i="3" s="1"/>
  <c r="EJ187" i="3"/>
  <c r="EJ188" i="3"/>
  <c r="EJ189" i="3"/>
  <c r="EJ190" i="3"/>
  <c r="EJ191" i="3"/>
  <c r="EJ192" i="3"/>
  <c r="EJ193" i="3"/>
  <c r="EJ194" i="3"/>
  <c r="EJ195" i="3"/>
  <c r="EJ196" i="3"/>
  <c r="EJ197" i="3"/>
  <c r="EJ198" i="3"/>
  <c r="EJ199" i="3"/>
  <c r="EJ200" i="3"/>
  <c r="EJ201" i="3"/>
  <c r="EJ202" i="3"/>
  <c r="EJ203" i="3"/>
  <c r="EJ204" i="3"/>
  <c r="EJ205" i="3"/>
  <c r="EJ206" i="3"/>
  <c r="EJ207" i="3"/>
  <c r="EJ208" i="3"/>
  <c r="ET208" i="3" s="1"/>
  <c r="EJ209" i="3"/>
  <c r="EJ210" i="3"/>
  <c r="EJ211" i="3"/>
  <c r="EJ212" i="3"/>
  <c r="EU212" i="3" s="1"/>
  <c r="EJ213" i="3"/>
  <c r="EJ214" i="3"/>
  <c r="EJ215" i="3"/>
  <c r="EJ216" i="3"/>
  <c r="EJ217" i="3"/>
  <c r="EJ218" i="3"/>
  <c r="EJ219" i="3"/>
  <c r="EJ220" i="3"/>
  <c r="EJ221" i="3"/>
  <c r="EJ222" i="3"/>
  <c r="EJ223" i="3"/>
  <c r="EJ224" i="3"/>
  <c r="EJ225" i="3"/>
  <c r="EJ226" i="3"/>
  <c r="EJ227" i="3"/>
  <c r="EJ228" i="3"/>
  <c r="EJ229" i="3"/>
  <c r="EJ230" i="3"/>
  <c r="EJ231" i="3"/>
  <c r="EJ232" i="3"/>
  <c r="EJ233" i="3"/>
  <c r="EJ234" i="3"/>
  <c r="EJ235" i="3"/>
  <c r="ES235" i="3" s="1"/>
  <c r="EJ236" i="3"/>
  <c r="EJ237" i="3"/>
  <c r="EJ238" i="3"/>
  <c r="EJ239" i="3"/>
  <c r="EJ240" i="3"/>
  <c r="EJ241" i="3"/>
  <c r="EJ242" i="3"/>
  <c r="EJ243" i="3"/>
  <c r="EJ244" i="3"/>
  <c r="EJ245" i="3"/>
  <c r="EJ246" i="3"/>
  <c r="EJ247" i="3"/>
  <c r="EJ248" i="3"/>
  <c r="EJ249" i="3"/>
  <c r="EJ250" i="3"/>
  <c r="EJ251" i="3"/>
  <c r="EJ252" i="3"/>
  <c r="EJ253" i="3"/>
  <c r="EJ254" i="3"/>
  <c r="EJ255" i="3"/>
  <c r="EJ256" i="3"/>
  <c r="EJ257" i="3"/>
  <c r="EJ258" i="3"/>
  <c r="ES258" i="3" s="1"/>
  <c r="EJ259" i="3"/>
  <c r="EJ260" i="3"/>
  <c r="EJ261" i="3"/>
  <c r="EJ262" i="3"/>
  <c r="EJ263" i="3"/>
  <c r="EJ264" i="3"/>
  <c r="EJ265" i="3"/>
  <c r="EJ266" i="3"/>
  <c r="EJ267" i="3"/>
  <c r="EJ268" i="3"/>
  <c r="EJ269" i="3"/>
  <c r="EJ270" i="3"/>
  <c r="EJ271" i="3"/>
  <c r="EJ272" i="3"/>
  <c r="EJ273" i="3"/>
  <c r="EJ274" i="3"/>
  <c r="EJ275" i="3"/>
  <c r="EJ276" i="3"/>
  <c r="ES276" i="3" s="1"/>
  <c r="EJ277" i="3"/>
  <c r="EJ278" i="3"/>
  <c r="EJ279" i="3"/>
  <c r="EJ280" i="3"/>
  <c r="EJ281" i="3"/>
  <c r="EJ282" i="3"/>
  <c r="ES282" i="3" s="1"/>
  <c r="EJ283" i="3"/>
  <c r="EJ284" i="3"/>
  <c r="EJ285" i="3"/>
  <c r="EJ286" i="3"/>
  <c r="EJ287" i="3"/>
  <c r="EJ288" i="3"/>
  <c r="EJ289" i="3"/>
  <c r="EJ290" i="3"/>
  <c r="EJ291" i="3"/>
  <c r="EJ292" i="3"/>
  <c r="EJ293" i="3"/>
  <c r="EJ294" i="3"/>
  <c r="EJ295" i="3"/>
  <c r="EJ296" i="3"/>
  <c r="EJ297" i="3"/>
  <c r="EJ298" i="3"/>
  <c r="EJ299" i="3"/>
  <c r="EJ300" i="3"/>
  <c r="ES300" i="3" s="1"/>
  <c r="EJ301" i="3"/>
  <c r="EJ302" i="3"/>
  <c r="EJ303" i="3"/>
  <c r="EJ304" i="3"/>
  <c r="EJ305" i="3"/>
  <c r="EJ306" i="3"/>
  <c r="EJ307" i="3"/>
  <c r="EJ308" i="3"/>
  <c r="EJ309" i="3"/>
  <c r="EJ310" i="3"/>
  <c r="EJ311" i="3"/>
  <c r="ES311" i="3" s="1"/>
  <c r="EJ312" i="3"/>
  <c r="EJ313" i="3"/>
  <c r="EJ314" i="3"/>
  <c r="ES314" i="3" s="1"/>
  <c r="EJ315" i="3"/>
  <c r="EJ316" i="3"/>
  <c r="EJ317" i="3"/>
  <c r="EJ318" i="3"/>
  <c r="EJ319" i="3"/>
  <c r="EJ320" i="3"/>
  <c r="EJ321" i="3"/>
  <c r="EJ322" i="3"/>
  <c r="EJ323" i="3"/>
  <c r="EJ324" i="3"/>
  <c r="EJ325" i="3"/>
  <c r="EJ326" i="3"/>
  <c r="EJ327" i="3"/>
  <c r="EJ328" i="3"/>
  <c r="EJ329" i="3"/>
  <c r="EJ330" i="3"/>
  <c r="ES330" i="3" s="1"/>
  <c r="EJ331" i="3"/>
  <c r="EJ332" i="3"/>
  <c r="EJ333" i="3"/>
  <c r="EJ334" i="3"/>
  <c r="EJ335" i="3"/>
  <c r="EJ336" i="3"/>
  <c r="EJ337" i="3"/>
  <c r="EJ338" i="3"/>
  <c r="EJ339" i="3"/>
  <c r="EJ340" i="3"/>
  <c r="EJ341" i="3"/>
  <c r="EJ342" i="3"/>
  <c r="EJ343" i="3"/>
  <c r="EJ344" i="3"/>
  <c r="EJ345" i="3"/>
  <c r="EJ346" i="3"/>
  <c r="EJ347" i="3"/>
  <c r="EJ348" i="3"/>
  <c r="EJ349" i="3"/>
  <c r="EJ350" i="3"/>
  <c r="EJ351" i="3"/>
  <c r="EJ352" i="3"/>
  <c r="EJ353" i="3"/>
  <c r="EJ354" i="3"/>
  <c r="EJ355" i="3"/>
  <c r="EJ356" i="3"/>
  <c r="EJ357" i="3"/>
  <c r="EJ358" i="3"/>
  <c r="EJ359" i="3"/>
  <c r="EJ360" i="3"/>
  <c r="EJ361" i="3"/>
  <c r="EJ362" i="3"/>
  <c r="EJ363" i="3"/>
  <c r="EJ364" i="3"/>
  <c r="EJ365" i="3"/>
  <c r="EJ366" i="3"/>
  <c r="EJ367" i="3"/>
  <c r="EJ368" i="3"/>
  <c r="EJ369" i="3"/>
  <c r="EJ370" i="3"/>
  <c r="EJ371" i="3"/>
  <c r="EJ372" i="3"/>
  <c r="EV372" i="3" s="1"/>
  <c r="EJ373" i="3"/>
  <c r="ES373" i="3" s="1"/>
  <c r="EJ374" i="3"/>
  <c r="EJ375" i="3"/>
  <c r="EJ376" i="3"/>
  <c r="EJ377" i="3"/>
  <c r="EJ378" i="3"/>
  <c r="EJ379" i="3"/>
  <c r="EJ380" i="3"/>
  <c r="EJ381" i="3"/>
  <c r="EJ382" i="3"/>
  <c r="EJ383" i="3"/>
  <c r="EJ384" i="3"/>
  <c r="EJ385" i="3"/>
  <c r="EJ386" i="3"/>
  <c r="EJ387" i="3"/>
  <c r="EJ388" i="3"/>
  <c r="EV388" i="3" s="1"/>
  <c r="EJ389" i="3"/>
  <c r="EJ390" i="3"/>
  <c r="EJ391" i="3"/>
  <c r="EJ392" i="3"/>
  <c r="EJ393" i="3"/>
  <c r="EJ394" i="3"/>
  <c r="EJ395" i="3"/>
  <c r="EJ396" i="3"/>
  <c r="EJ397" i="3"/>
  <c r="EJ398" i="3"/>
  <c r="EJ399" i="3"/>
  <c r="EJ400" i="3"/>
  <c r="EJ401" i="3"/>
  <c r="EU401" i="3" s="1"/>
  <c r="EJ402" i="3"/>
  <c r="EJ403" i="3"/>
  <c r="EJ404" i="3"/>
  <c r="EJ405" i="3"/>
  <c r="EJ406" i="3"/>
  <c r="EJ407" i="3"/>
  <c r="EJ408" i="3"/>
  <c r="EJ409" i="3"/>
  <c r="EJ410" i="3"/>
  <c r="EJ411" i="3"/>
  <c r="EJ412" i="3"/>
  <c r="EJ413" i="3"/>
  <c r="EJ414" i="3"/>
  <c r="EJ415" i="3"/>
  <c r="EJ416" i="3"/>
  <c r="EJ417" i="3"/>
  <c r="EJ418" i="3"/>
  <c r="EJ419" i="3"/>
  <c r="EJ420" i="3"/>
  <c r="EJ421" i="3"/>
  <c r="EJ422" i="3"/>
  <c r="EJ423" i="3"/>
  <c r="EJ424" i="3"/>
  <c r="EJ425" i="3"/>
  <c r="EJ426" i="3"/>
  <c r="EJ427" i="3"/>
  <c r="EJ428" i="3"/>
  <c r="EJ429" i="3"/>
  <c r="EJ430" i="3"/>
  <c r="EJ431" i="3"/>
  <c r="EJ432" i="3"/>
  <c r="ET432" i="3" s="1"/>
  <c r="EJ433" i="3"/>
  <c r="EJ434" i="3"/>
  <c r="EJ435" i="3"/>
  <c r="EJ436" i="3"/>
  <c r="EJ437" i="3"/>
  <c r="EJ438" i="3"/>
  <c r="EJ439" i="3"/>
  <c r="EJ440" i="3"/>
  <c r="EJ441" i="3"/>
  <c r="EJ442" i="3"/>
  <c r="EJ443" i="3"/>
  <c r="EJ444" i="3"/>
  <c r="EJ445" i="3"/>
  <c r="EJ446" i="3"/>
  <c r="EJ447" i="3"/>
  <c r="EJ448" i="3"/>
  <c r="EJ449" i="3"/>
  <c r="EJ450" i="3"/>
  <c r="EJ451" i="3"/>
  <c r="EJ452" i="3"/>
  <c r="EJ453" i="3"/>
  <c r="EJ454" i="3"/>
  <c r="EJ455" i="3"/>
  <c r="EJ456" i="3"/>
  <c r="EJ457" i="3"/>
  <c r="EJ458" i="3"/>
  <c r="EJ459" i="3"/>
  <c r="EJ460" i="3"/>
  <c r="EJ461" i="3"/>
  <c r="EJ462" i="3"/>
  <c r="EJ463" i="3"/>
  <c r="EJ464" i="3"/>
  <c r="ET464" i="3" s="1"/>
  <c r="EJ465" i="3"/>
  <c r="EJ466" i="3"/>
  <c r="EJ467" i="3"/>
  <c r="EJ468" i="3"/>
  <c r="EJ469" i="3"/>
  <c r="EJ470" i="3"/>
  <c r="EJ471" i="3"/>
  <c r="EJ472" i="3"/>
  <c r="EJ473" i="3"/>
  <c r="EJ474" i="3"/>
  <c r="EJ475" i="3"/>
  <c r="EJ476" i="3"/>
  <c r="ES476" i="3" s="1"/>
  <c r="EJ477" i="3"/>
  <c r="EJ478" i="3"/>
  <c r="EJ479" i="3"/>
  <c r="EJ480" i="3"/>
  <c r="EJ481" i="3"/>
  <c r="ET481" i="3" s="1"/>
  <c r="EJ482" i="3"/>
  <c r="EJ483" i="3"/>
  <c r="EJ484" i="3"/>
  <c r="EJ485" i="3"/>
  <c r="EJ486" i="3"/>
  <c r="EJ487" i="3"/>
  <c r="EJ488" i="3"/>
  <c r="EJ489" i="3"/>
  <c r="EJ490" i="3"/>
  <c r="EJ491" i="3"/>
  <c r="EJ492" i="3"/>
  <c r="EJ493" i="3"/>
  <c r="EJ494" i="3"/>
  <c r="EJ495" i="3"/>
  <c r="EJ496" i="3"/>
  <c r="EJ497" i="3"/>
  <c r="EJ498" i="3"/>
  <c r="EJ499" i="3"/>
  <c r="EJ500" i="3"/>
  <c r="EJ501" i="3"/>
  <c r="EJ502" i="3"/>
  <c r="EJ503" i="3"/>
  <c r="EJ504" i="3"/>
  <c r="EJ505" i="3"/>
  <c r="EJ506" i="3"/>
  <c r="EJ507" i="3"/>
  <c r="EJ508" i="3"/>
  <c r="ER508" i="3" s="1"/>
  <c r="EJ509" i="3"/>
  <c r="EJ510" i="3"/>
  <c r="EJ511" i="3"/>
  <c r="EJ512" i="3"/>
  <c r="EJ513" i="3"/>
  <c r="EJ514" i="3"/>
  <c r="EJ515" i="3"/>
  <c r="EJ516" i="3"/>
  <c r="EJ517" i="3"/>
  <c r="EJ518" i="3"/>
  <c r="EJ519" i="3"/>
  <c r="EJ520" i="3"/>
  <c r="EJ521" i="3"/>
  <c r="EJ522" i="3"/>
  <c r="EJ523" i="3"/>
  <c r="EJ524" i="3"/>
  <c r="EV524" i="3" s="1"/>
  <c r="EJ525" i="3"/>
  <c r="EJ526" i="3"/>
  <c r="EJ527" i="3"/>
  <c r="EJ528" i="3"/>
  <c r="ES528" i="3" s="1"/>
  <c r="EJ529" i="3"/>
  <c r="EJ530" i="3"/>
  <c r="EJ531" i="3"/>
  <c r="EJ532" i="3"/>
  <c r="EJ533" i="3"/>
  <c r="EJ534" i="3"/>
  <c r="EJ535" i="3"/>
  <c r="EJ536" i="3"/>
  <c r="EJ537" i="3"/>
  <c r="EJ538" i="3"/>
  <c r="EJ539" i="3"/>
  <c r="EJ540" i="3"/>
  <c r="EJ541" i="3"/>
  <c r="EJ542" i="3"/>
  <c r="EJ543" i="3"/>
  <c r="EJ544" i="3"/>
  <c r="ES544" i="3" s="1"/>
  <c r="EJ545" i="3"/>
  <c r="EJ546" i="3"/>
  <c r="EJ547" i="3"/>
  <c r="EJ548" i="3"/>
  <c r="EJ549" i="3"/>
  <c r="EJ550" i="3"/>
  <c r="EJ551" i="3"/>
  <c r="EJ552" i="3"/>
  <c r="EJ553" i="3"/>
  <c r="EJ554" i="3"/>
  <c r="EJ555" i="3"/>
  <c r="EJ556" i="3"/>
  <c r="ES556" i="3" s="1"/>
  <c r="EJ557" i="3"/>
  <c r="EJ558" i="3"/>
  <c r="EJ559" i="3"/>
  <c r="EJ560" i="3"/>
  <c r="EJ561" i="3"/>
  <c r="EJ562" i="3"/>
  <c r="EJ563" i="3"/>
  <c r="EJ564" i="3"/>
  <c r="EJ565" i="3"/>
  <c r="EJ566" i="3"/>
  <c r="EJ567" i="3"/>
  <c r="EJ568" i="3"/>
  <c r="EJ569" i="3"/>
  <c r="EJ570" i="3"/>
  <c r="EJ571" i="3"/>
  <c r="EJ572" i="3"/>
  <c r="EJ573" i="3"/>
  <c r="EJ574" i="3"/>
  <c r="EJ575" i="3"/>
  <c r="EJ576" i="3"/>
  <c r="EJ577" i="3"/>
  <c r="EJ578" i="3"/>
  <c r="EJ579" i="3"/>
  <c r="EJ580" i="3"/>
  <c r="ES580" i="3" s="1"/>
  <c r="EJ581" i="3"/>
  <c r="EJ582" i="3"/>
  <c r="EJ583" i="3"/>
  <c r="EJ584" i="3"/>
  <c r="EJ585" i="3"/>
  <c r="EJ586" i="3"/>
  <c r="EJ587" i="3"/>
  <c r="EJ588" i="3"/>
  <c r="EV588" i="3" s="1"/>
  <c r="EJ589" i="3"/>
  <c r="EJ590" i="3"/>
  <c r="EJ591" i="3"/>
  <c r="EJ592" i="3"/>
  <c r="ES592" i="3" s="1"/>
  <c r="EJ593" i="3"/>
  <c r="EJ594" i="3"/>
  <c r="EJ595" i="3"/>
  <c r="EJ596" i="3"/>
  <c r="EJ597" i="3"/>
  <c r="EJ598" i="3"/>
  <c r="EJ599" i="3"/>
  <c r="EJ600" i="3"/>
  <c r="EK9" i="3"/>
  <c r="EK10" i="3"/>
  <c r="EK11" i="3"/>
  <c r="EK12" i="3"/>
  <c r="EK13" i="3"/>
  <c r="EK14" i="3"/>
  <c r="EK15" i="3"/>
  <c r="EK16" i="3"/>
  <c r="EK17" i="3"/>
  <c r="EL17" i="3" s="1"/>
  <c r="EK18" i="3"/>
  <c r="EK19" i="3"/>
  <c r="EL19" i="3" s="1"/>
  <c r="EK20" i="3"/>
  <c r="EK21" i="3"/>
  <c r="EL21" i="3" s="1"/>
  <c r="EK22" i="3"/>
  <c r="EL22" i="3" s="1"/>
  <c r="EK23" i="3"/>
  <c r="EL23" i="3" s="1"/>
  <c r="EK24" i="3"/>
  <c r="EK25" i="3"/>
  <c r="EL25" i="3" s="1"/>
  <c r="EK26" i="3"/>
  <c r="EK27" i="3"/>
  <c r="EL27" i="3" s="1"/>
  <c r="EK28" i="3"/>
  <c r="EL28" i="3" s="1"/>
  <c r="EK29" i="3"/>
  <c r="EL29" i="3" s="1"/>
  <c r="EK30" i="3"/>
  <c r="EK31" i="3"/>
  <c r="EL31" i="3" s="1"/>
  <c r="EK32" i="3"/>
  <c r="EL32" i="3" s="1"/>
  <c r="EK33" i="3"/>
  <c r="EL33" i="3" s="1"/>
  <c r="EK34" i="3"/>
  <c r="EK35" i="3"/>
  <c r="EL35" i="3" s="1"/>
  <c r="EK36" i="3"/>
  <c r="EL36" i="3" s="1"/>
  <c r="EK37" i="3"/>
  <c r="EL37" i="3" s="1"/>
  <c r="EK38" i="3"/>
  <c r="EK39" i="3"/>
  <c r="EL39" i="3" s="1"/>
  <c r="EK40" i="3"/>
  <c r="EL40" i="3" s="1"/>
  <c r="EK41" i="3"/>
  <c r="EL41" i="3" s="1"/>
  <c r="EK42" i="3"/>
  <c r="EK43" i="3"/>
  <c r="EL43" i="3" s="1"/>
  <c r="EK44" i="3"/>
  <c r="EL44" i="3" s="1"/>
  <c r="EK45" i="3"/>
  <c r="EL45" i="3" s="1"/>
  <c r="EK46" i="3"/>
  <c r="EL46" i="3" s="1"/>
  <c r="EK47" i="3"/>
  <c r="EL47" i="3" s="1"/>
  <c r="EK48" i="3"/>
  <c r="EL48" i="3" s="1"/>
  <c r="EK49" i="3"/>
  <c r="EL49" i="3" s="1"/>
  <c r="EK50" i="3"/>
  <c r="EK51" i="3"/>
  <c r="EL51" i="3" s="1"/>
  <c r="EK52" i="3"/>
  <c r="EL52" i="3" s="1"/>
  <c r="EK53" i="3"/>
  <c r="EL53" i="3" s="1"/>
  <c r="EK54" i="3"/>
  <c r="EK55" i="3"/>
  <c r="EL55" i="3" s="1"/>
  <c r="EK56" i="3"/>
  <c r="EL56" i="3" s="1"/>
  <c r="EK57" i="3"/>
  <c r="EL57" i="3" s="1"/>
  <c r="EK58" i="3"/>
  <c r="EL58" i="3" s="1"/>
  <c r="EK59" i="3"/>
  <c r="EL59" i="3" s="1"/>
  <c r="EK60" i="3"/>
  <c r="EL60" i="3" s="1"/>
  <c r="EK61" i="3"/>
  <c r="EL61" i="3" s="1"/>
  <c r="EK62" i="3"/>
  <c r="EL62" i="3" s="1"/>
  <c r="EK63" i="3"/>
  <c r="EL63" i="3" s="1"/>
  <c r="EK64" i="3"/>
  <c r="EL64" i="3" s="1"/>
  <c r="EK65" i="3"/>
  <c r="EL65" i="3" s="1"/>
  <c r="EK66" i="3"/>
  <c r="EK67" i="3"/>
  <c r="EL67" i="3" s="1"/>
  <c r="EK68" i="3"/>
  <c r="EL68" i="3" s="1"/>
  <c r="EK69" i="3"/>
  <c r="EL69" i="3" s="1"/>
  <c r="EK70" i="3"/>
  <c r="EK71" i="3"/>
  <c r="EL71" i="3" s="1"/>
  <c r="EK72" i="3"/>
  <c r="EL72" i="3" s="1"/>
  <c r="EK73" i="3"/>
  <c r="EL73" i="3" s="1"/>
  <c r="EK74" i="3"/>
  <c r="EK75" i="3"/>
  <c r="EL75" i="3" s="1"/>
  <c r="EK76" i="3"/>
  <c r="EL76" i="3" s="1"/>
  <c r="EK77" i="3"/>
  <c r="EL77" i="3" s="1"/>
  <c r="EK78" i="3"/>
  <c r="EL78" i="3" s="1"/>
  <c r="EK79" i="3"/>
  <c r="EL79" i="3" s="1"/>
  <c r="EK80" i="3"/>
  <c r="EL80" i="3" s="1"/>
  <c r="EK81" i="3"/>
  <c r="EL81" i="3" s="1"/>
  <c r="EK82" i="3"/>
  <c r="EK83" i="3"/>
  <c r="EL83" i="3" s="1"/>
  <c r="EK84" i="3"/>
  <c r="EL84" i="3" s="1"/>
  <c r="EK85" i="3"/>
  <c r="EL85" i="3" s="1"/>
  <c r="EK86" i="3"/>
  <c r="EK87" i="3"/>
  <c r="EL87" i="3" s="1"/>
  <c r="EK88" i="3"/>
  <c r="EL88" i="3" s="1"/>
  <c r="EK89" i="3"/>
  <c r="EL89" i="3" s="1"/>
  <c r="EK90" i="3"/>
  <c r="EK91" i="3"/>
  <c r="EL91" i="3" s="1"/>
  <c r="EK92" i="3"/>
  <c r="EL92" i="3" s="1"/>
  <c r="EK93" i="3"/>
  <c r="EL93" i="3" s="1"/>
  <c r="EK94" i="3"/>
  <c r="EL94" i="3" s="1"/>
  <c r="EK95" i="3"/>
  <c r="EL95" i="3" s="1"/>
  <c r="EK96" i="3"/>
  <c r="EL96" i="3" s="1"/>
  <c r="EK97" i="3"/>
  <c r="EL97" i="3" s="1"/>
  <c r="EK98" i="3"/>
  <c r="EK99" i="3"/>
  <c r="EL99" i="3" s="1"/>
  <c r="EK100" i="3"/>
  <c r="EL100" i="3" s="1"/>
  <c r="EK101" i="3"/>
  <c r="EL101" i="3" s="1"/>
  <c r="EK102" i="3"/>
  <c r="EK103" i="3"/>
  <c r="EL103" i="3" s="1"/>
  <c r="EK104" i="3"/>
  <c r="EL104" i="3" s="1"/>
  <c r="EK105" i="3"/>
  <c r="EL105" i="3" s="1"/>
  <c r="EK106" i="3"/>
  <c r="EK107" i="3"/>
  <c r="EL107" i="3" s="1"/>
  <c r="EK108" i="3"/>
  <c r="EL108" i="3" s="1"/>
  <c r="EK109" i="3"/>
  <c r="EL109" i="3" s="1"/>
  <c r="EK110" i="3"/>
  <c r="EL110" i="3" s="1"/>
  <c r="EK111" i="3"/>
  <c r="EL111" i="3" s="1"/>
  <c r="EK112" i="3"/>
  <c r="EL112" i="3" s="1"/>
  <c r="EK113" i="3"/>
  <c r="EL113" i="3" s="1"/>
  <c r="EK114" i="3"/>
  <c r="EK115" i="3"/>
  <c r="EL115" i="3" s="1"/>
  <c r="EK116" i="3"/>
  <c r="EL116" i="3" s="1"/>
  <c r="EK117" i="3"/>
  <c r="EL117" i="3" s="1"/>
  <c r="EK118" i="3"/>
  <c r="EK119" i="3"/>
  <c r="EL119" i="3" s="1"/>
  <c r="EK120" i="3"/>
  <c r="EL120" i="3" s="1"/>
  <c r="EK121" i="3"/>
  <c r="EL121" i="3" s="1"/>
  <c r="EK122" i="3"/>
  <c r="EK123" i="3"/>
  <c r="EL123" i="3" s="1"/>
  <c r="EK124" i="3"/>
  <c r="EL124" i="3" s="1"/>
  <c r="EK125" i="3"/>
  <c r="EL125" i="3" s="1"/>
  <c r="EK126" i="3"/>
  <c r="EL126" i="3" s="1"/>
  <c r="EK127" i="3"/>
  <c r="EL127" i="3" s="1"/>
  <c r="EK128" i="3"/>
  <c r="EL128" i="3" s="1"/>
  <c r="EK129" i="3"/>
  <c r="EL129" i="3" s="1"/>
  <c r="EK130" i="3"/>
  <c r="EK131" i="3"/>
  <c r="EL131" i="3" s="1"/>
  <c r="EK132" i="3"/>
  <c r="EL132" i="3" s="1"/>
  <c r="EK133" i="3"/>
  <c r="EL133" i="3" s="1"/>
  <c r="EK134" i="3"/>
  <c r="EL134" i="3" s="1"/>
  <c r="EK135" i="3"/>
  <c r="EL135" i="3" s="1"/>
  <c r="EK136" i="3"/>
  <c r="EL136" i="3" s="1"/>
  <c r="EK137" i="3"/>
  <c r="EL137" i="3" s="1"/>
  <c r="EK138" i="3"/>
  <c r="EK139" i="3"/>
  <c r="EL139" i="3" s="1"/>
  <c r="EK140" i="3"/>
  <c r="EL140" i="3" s="1"/>
  <c r="EK141" i="3"/>
  <c r="EL141" i="3" s="1"/>
  <c r="EK142" i="3"/>
  <c r="EL142" i="3" s="1"/>
  <c r="EK143" i="3"/>
  <c r="EL143" i="3" s="1"/>
  <c r="EK144" i="3"/>
  <c r="EL144" i="3" s="1"/>
  <c r="EK145" i="3"/>
  <c r="EL145" i="3" s="1"/>
  <c r="EK146" i="3"/>
  <c r="EK147" i="3"/>
  <c r="EL147" i="3" s="1"/>
  <c r="EK148" i="3"/>
  <c r="EL148" i="3" s="1"/>
  <c r="EK149" i="3"/>
  <c r="EL149" i="3" s="1"/>
  <c r="EK150" i="3"/>
  <c r="EK151" i="3"/>
  <c r="EL151" i="3" s="1"/>
  <c r="EK152" i="3"/>
  <c r="EL152" i="3" s="1"/>
  <c r="EK153" i="3"/>
  <c r="EL153" i="3" s="1"/>
  <c r="EK154" i="3"/>
  <c r="EK155" i="3"/>
  <c r="EL155" i="3" s="1"/>
  <c r="EK156" i="3"/>
  <c r="EL156" i="3" s="1"/>
  <c r="EK157" i="3"/>
  <c r="EL157" i="3" s="1"/>
  <c r="EK158" i="3"/>
  <c r="EL158" i="3" s="1"/>
  <c r="EK159" i="3"/>
  <c r="EL159" i="3" s="1"/>
  <c r="EK160" i="3"/>
  <c r="EL160" i="3" s="1"/>
  <c r="EK161" i="3"/>
  <c r="EL161" i="3" s="1"/>
  <c r="EK162" i="3"/>
  <c r="EK163" i="3"/>
  <c r="EL163" i="3" s="1"/>
  <c r="EK164" i="3"/>
  <c r="EL164" i="3" s="1"/>
  <c r="EK165" i="3"/>
  <c r="EL165" i="3" s="1"/>
  <c r="EK166" i="3"/>
  <c r="EK167" i="3"/>
  <c r="EL167" i="3" s="1"/>
  <c r="EK168" i="3"/>
  <c r="EL168" i="3" s="1"/>
  <c r="EK169" i="3"/>
  <c r="EL169" i="3" s="1"/>
  <c r="EK170" i="3"/>
  <c r="EK171" i="3"/>
  <c r="EL171" i="3" s="1"/>
  <c r="EK172" i="3"/>
  <c r="EL172" i="3" s="1"/>
  <c r="EK173" i="3"/>
  <c r="EL173" i="3" s="1"/>
  <c r="EK174" i="3"/>
  <c r="EL174" i="3" s="1"/>
  <c r="EK175" i="3"/>
  <c r="EL175" i="3" s="1"/>
  <c r="EK176" i="3"/>
  <c r="EL176" i="3" s="1"/>
  <c r="EK177" i="3"/>
  <c r="EL177" i="3" s="1"/>
  <c r="EK178" i="3"/>
  <c r="EK179" i="3"/>
  <c r="EL179" i="3" s="1"/>
  <c r="EK180" i="3"/>
  <c r="EL180" i="3" s="1"/>
  <c r="EK181" i="3"/>
  <c r="EL181" i="3" s="1"/>
  <c r="EK182" i="3"/>
  <c r="EK183" i="3"/>
  <c r="EL183" i="3" s="1"/>
  <c r="EK184" i="3"/>
  <c r="EL184" i="3" s="1"/>
  <c r="EK185" i="3"/>
  <c r="EL185" i="3" s="1"/>
  <c r="EK186" i="3"/>
  <c r="EK187" i="3"/>
  <c r="EL187" i="3" s="1"/>
  <c r="EK188" i="3"/>
  <c r="EL188" i="3" s="1"/>
  <c r="EK189" i="3"/>
  <c r="EL189" i="3" s="1"/>
  <c r="EK190" i="3"/>
  <c r="EL190" i="3" s="1"/>
  <c r="EK191" i="3"/>
  <c r="EL191" i="3" s="1"/>
  <c r="EK192" i="3"/>
  <c r="EL192" i="3" s="1"/>
  <c r="EK193" i="3"/>
  <c r="EL193" i="3" s="1"/>
  <c r="EK194" i="3"/>
  <c r="EK195" i="3"/>
  <c r="EL195" i="3" s="1"/>
  <c r="EK196" i="3"/>
  <c r="EL196" i="3" s="1"/>
  <c r="EK197" i="3"/>
  <c r="EL197" i="3" s="1"/>
  <c r="EK198" i="3"/>
  <c r="EK199" i="3"/>
  <c r="EL199" i="3" s="1"/>
  <c r="EK200" i="3"/>
  <c r="EL200" i="3" s="1"/>
  <c r="EK201" i="3"/>
  <c r="EL201" i="3" s="1"/>
  <c r="EK202" i="3"/>
  <c r="EK203" i="3"/>
  <c r="EL203" i="3" s="1"/>
  <c r="EK204" i="3"/>
  <c r="EL204" i="3" s="1"/>
  <c r="EK205" i="3"/>
  <c r="EL205" i="3" s="1"/>
  <c r="EK206" i="3"/>
  <c r="EL206" i="3" s="1"/>
  <c r="EK207" i="3"/>
  <c r="EL207" i="3" s="1"/>
  <c r="EK208" i="3"/>
  <c r="EL208" i="3" s="1"/>
  <c r="EK209" i="3"/>
  <c r="EL209" i="3" s="1"/>
  <c r="EK210" i="3"/>
  <c r="EK211" i="3"/>
  <c r="EL211" i="3" s="1"/>
  <c r="EK212" i="3"/>
  <c r="EL212" i="3" s="1"/>
  <c r="EK213" i="3"/>
  <c r="EL213" i="3" s="1"/>
  <c r="EK214" i="3"/>
  <c r="EL214" i="3" s="1"/>
  <c r="EK215" i="3"/>
  <c r="EL215" i="3" s="1"/>
  <c r="EK216" i="3"/>
  <c r="EL216" i="3" s="1"/>
  <c r="EK217" i="3"/>
  <c r="EL217" i="3" s="1"/>
  <c r="EK218" i="3"/>
  <c r="EK219" i="3"/>
  <c r="EL219" i="3" s="1"/>
  <c r="EK220" i="3"/>
  <c r="EL220" i="3" s="1"/>
  <c r="EK221" i="3"/>
  <c r="EL221" i="3" s="1"/>
  <c r="EK222" i="3"/>
  <c r="EL222" i="3" s="1"/>
  <c r="EK223" i="3"/>
  <c r="EL223" i="3" s="1"/>
  <c r="EK224" i="3"/>
  <c r="EL224" i="3" s="1"/>
  <c r="EK225" i="3"/>
  <c r="EL225" i="3" s="1"/>
  <c r="EK226" i="3"/>
  <c r="EK227" i="3"/>
  <c r="EL227" i="3" s="1"/>
  <c r="EK228" i="3"/>
  <c r="EL228" i="3" s="1"/>
  <c r="EK229" i="3"/>
  <c r="EL229" i="3" s="1"/>
  <c r="EK230" i="3"/>
  <c r="EK231" i="3"/>
  <c r="EL231" i="3" s="1"/>
  <c r="EK232" i="3"/>
  <c r="EL232" i="3" s="1"/>
  <c r="EK233" i="3"/>
  <c r="EL233" i="3" s="1"/>
  <c r="EK234" i="3"/>
  <c r="EK235" i="3"/>
  <c r="EL235" i="3" s="1"/>
  <c r="EK236" i="3"/>
  <c r="EL236" i="3" s="1"/>
  <c r="EK237" i="3"/>
  <c r="EL237" i="3" s="1"/>
  <c r="EK238" i="3"/>
  <c r="EL238" i="3" s="1"/>
  <c r="EK239" i="3"/>
  <c r="EL239" i="3" s="1"/>
  <c r="EK240" i="3"/>
  <c r="EL240" i="3" s="1"/>
  <c r="EK241" i="3"/>
  <c r="EL241" i="3" s="1"/>
  <c r="EK242" i="3"/>
  <c r="EK243" i="3"/>
  <c r="EL243" i="3" s="1"/>
  <c r="EK244" i="3"/>
  <c r="EL244" i="3" s="1"/>
  <c r="EK245" i="3"/>
  <c r="EL245" i="3" s="1"/>
  <c r="EK246" i="3"/>
  <c r="EK247" i="3"/>
  <c r="EL247" i="3" s="1"/>
  <c r="EK248" i="3"/>
  <c r="EL248" i="3" s="1"/>
  <c r="EK249" i="3"/>
  <c r="EL249" i="3" s="1"/>
  <c r="EK250" i="3"/>
  <c r="EK251" i="3"/>
  <c r="EL251" i="3" s="1"/>
  <c r="EK252" i="3"/>
  <c r="EL252" i="3" s="1"/>
  <c r="EK253" i="3"/>
  <c r="EL253" i="3" s="1"/>
  <c r="EK254" i="3"/>
  <c r="EL254" i="3" s="1"/>
  <c r="EK255" i="3"/>
  <c r="EL255" i="3" s="1"/>
  <c r="EK256" i="3"/>
  <c r="EL256" i="3" s="1"/>
  <c r="EK257" i="3"/>
  <c r="EL257" i="3" s="1"/>
  <c r="EK258" i="3"/>
  <c r="EL258" i="3" s="1"/>
  <c r="EK259" i="3"/>
  <c r="EL259" i="3" s="1"/>
  <c r="EK260" i="3"/>
  <c r="EL260" i="3" s="1"/>
  <c r="EK261" i="3"/>
  <c r="EL261" i="3" s="1"/>
  <c r="EK262" i="3"/>
  <c r="EK263" i="3"/>
  <c r="EL263" i="3" s="1"/>
  <c r="EK264" i="3"/>
  <c r="EL264" i="3" s="1"/>
  <c r="EK265" i="3"/>
  <c r="EL265" i="3" s="1"/>
  <c r="EK266" i="3"/>
  <c r="EK267" i="3"/>
  <c r="EL267" i="3" s="1"/>
  <c r="EK268" i="3"/>
  <c r="EL268" i="3" s="1"/>
  <c r="EK269" i="3"/>
  <c r="EL269" i="3" s="1"/>
  <c r="EK270" i="3"/>
  <c r="EL270" i="3" s="1"/>
  <c r="EK271" i="3"/>
  <c r="EL271" i="3" s="1"/>
  <c r="EK272" i="3"/>
  <c r="EL272" i="3" s="1"/>
  <c r="EK273" i="3"/>
  <c r="EL273" i="3" s="1"/>
  <c r="EK274" i="3"/>
  <c r="EK275" i="3"/>
  <c r="EL275" i="3" s="1"/>
  <c r="EK276" i="3"/>
  <c r="EL276" i="3" s="1"/>
  <c r="EK277" i="3"/>
  <c r="EL277" i="3" s="1"/>
  <c r="EK278" i="3"/>
  <c r="EK279" i="3"/>
  <c r="EL279" i="3" s="1"/>
  <c r="EK280" i="3"/>
  <c r="EL280" i="3" s="1"/>
  <c r="EK281" i="3"/>
  <c r="EL281" i="3" s="1"/>
  <c r="EK282" i="3"/>
  <c r="EL282" i="3" s="1"/>
  <c r="EK283" i="3"/>
  <c r="EL283" i="3" s="1"/>
  <c r="EK284" i="3"/>
  <c r="EL284" i="3" s="1"/>
  <c r="EK285" i="3"/>
  <c r="EL285" i="3" s="1"/>
  <c r="EK286" i="3"/>
  <c r="EL286" i="3" s="1"/>
  <c r="EK287" i="3"/>
  <c r="EL287" i="3" s="1"/>
  <c r="EK288" i="3"/>
  <c r="EL288" i="3" s="1"/>
  <c r="EK289" i="3"/>
  <c r="EL289" i="3" s="1"/>
  <c r="EK290" i="3"/>
  <c r="EK291" i="3"/>
  <c r="EL291" i="3" s="1"/>
  <c r="EK292" i="3"/>
  <c r="EL292" i="3" s="1"/>
  <c r="EK293" i="3"/>
  <c r="EL293" i="3" s="1"/>
  <c r="EK294" i="3"/>
  <c r="EK295" i="3"/>
  <c r="EL295" i="3" s="1"/>
  <c r="EK296" i="3"/>
  <c r="EL296" i="3" s="1"/>
  <c r="EK297" i="3"/>
  <c r="EL297" i="3" s="1"/>
  <c r="EK298" i="3"/>
  <c r="EK299" i="3"/>
  <c r="EL299" i="3" s="1"/>
  <c r="EK300" i="3"/>
  <c r="EL300" i="3" s="1"/>
  <c r="EK301" i="3"/>
  <c r="EL301" i="3" s="1"/>
  <c r="EK302" i="3"/>
  <c r="EL302" i="3" s="1"/>
  <c r="EK303" i="3"/>
  <c r="EL303" i="3" s="1"/>
  <c r="EK304" i="3"/>
  <c r="EL304" i="3" s="1"/>
  <c r="EK305" i="3"/>
  <c r="EL305" i="3" s="1"/>
  <c r="EK306" i="3"/>
  <c r="EK307" i="3"/>
  <c r="EL307" i="3" s="1"/>
  <c r="EK308" i="3"/>
  <c r="EL308" i="3" s="1"/>
  <c r="EK309" i="3"/>
  <c r="EL309" i="3" s="1"/>
  <c r="EK310" i="3"/>
  <c r="EK311" i="3"/>
  <c r="EL311" i="3" s="1"/>
  <c r="EK312" i="3"/>
  <c r="EL312" i="3" s="1"/>
  <c r="EK313" i="3"/>
  <c r="EL313" i="3" s="1"/>
  <c r="EK314" i="3"/>
  <c r="EK315" i="3"/>
  <c r="EL315" i="3" s="1"/>
  <c r="EK316" i="3"/>
  <c r="EL316" i="3" s="1"/>
  <c r="EK317" i="3"/>
  <c r="EL317" i="3" s="1"/>
  <c r="EK318" i="3"/>
  <c r="EL318" i="3" s="1"/>
  <c r="EK319" i="3"/>
  <c r="EL319" i="3" s="1"/>
  <c r="EK320" i="3"/>
  <c r="EL320" i="3" s="1"/>
  <c r="EK321" i="3"/>
  <c r="EL321" i="3" s="1"/>
  <c r="EK322" i="3"/>
  <c r="EK323" i="3"/>
  <c r="EL323" i="3" s="1"/>
  <c r="EK324" i="3"/>
  <c r="EL324" i="3" s="1"/>
  <c r="EK325" i="3"/>
  <c r="EL325" i="3" s="1"/>
  <c r="EK326" i="3"/>
  <c r="EK327" i="3"/>
  <c r="EL327" i="3" s="1"/>
  <c r="EK328" i="3"/>
  <c r="EL328" i="3" s="1"/>
  <c r="EK329" i="3"/>
  <c r="EL329" i="3" s="1"/>
  <c r="EK330" i="3"/>
  <c r="EK331" i="3"/>
  <c r="EL331" i="3" s="1"/>
  <c r="EK332" i="3"/>
  <c r="EL332" i="3" s="1"/>
  <c r="EK333" i="3"/>
  <c r="EL333" i="3" s="1"/>
  <c r="EK334" i="3"/>
  <c r="EL334" i="3" s="1"/>
  <c r="EK335" i="3"/>
  <c r="EL335" i="3" s="1"/>
  <c r="EK336" i="3"/>
  <c r="EL336" i="3" s="1"/>
  <c r="EK337" i="3"/>
  <c r="EL337" i="3" s="1"/>
  <c r="EK338" i="3"/>
  <c r="EK339" i="3"/>
  <c r="EL339" i="3" s="1"/>
  <c r="EK340" i="3"/>
  <c r="EL340" i="3" s="1"/>
  <c r="EK341" i="3"/>
  <c r="EL341" i="3" s="1"/>
  <c r="EK342" i="3"/>
  <c r="EK343" i="3"/>
  <c r="EL343" i="3" s="1"/>
  <c r="EK344" i="3"/>
  <c r="EL344" i="3" s="1"/>
  <c r="EK345" i="3"/>
  <c r="EL345" i="3" s="1"/>
  <c r="EK346" i="3"/>
  <c r="EK347" i="3"/>
  <c r="EL347" i="3" s="1"/>
  <c r="EK348" i="3"/>
  <c r="EL348" i="3" s="1"/>
  <c r="EK349" i="3"/>
  <c r="EL349" i="3" s="1"/>
  <c r="EK350" i="3"/>
  <c r="EL350" i="3" s="1"/>
  <c r="EK351" i="3"/>
  <c r="EL351" i="3" s="1"/>
  <c r="EK352" i="3"/>
  <c r="EL352" i="3" s="1"/>
  <c r="EK353" i="3"/>
  <c r="EL353" i="3" s="1"/>
  <c r="EK354" i="3"/>
  <c r="EK355" i="3"/>
  <c r="EL355" i="3" s="1"/>
  <c r="EK356" i="3"/>
  <c r="EL356" i="3" s="1"/>
  <c r="EK357" i="3"/>
  <c r="EL357" i="3" s="1"/>
  <c r="EK358" i="3"/>
  <c r="EK359" i="3"/>
  <c r="EL359" i="3" s="1"/>
  <c r="EK360" i="3"/>
  <c r="EL360" i="3" s="1"/>
  <c r="EK361" i="3"/>
  <c r="EL361" i="3" s="1"/>
  <c r="EK362" i="3"/>
  <c r="EL362" i="3" s="1"/>
  <c r="EK363" i="3"/>
  <c r="EL363" i="3" s="1"/>
  <c r="EK364" i="3"/>
  <c r="EL364" i="3" s="1"/>
  <c r="EK365" i="3"/>
  <c r="EL365" i="3" s="1"/>
  <c r="EK366" i="3"/>
  <c r="EL366" i="3" s="1"/>
  <c r="EK367" i="3"/>
  <c r="EL367" i="3" s="1"/>
  <c r="EK368" i="3"/>
  <c r="EL368" i="3" s="1"/>
  <c r="EK369" i="3"/>
  <c r="EL369" i="3" s="1"/>
  <c r="EK370" i="3"/>
  <c r="EK371" i="3"/>
  <c r="EL371" i="3" s="1"/>
  <c r="EK372" i="3"/>
  <c r="EL372" i="3" s="1"/>
  <c r="EK373" i="3"/>
  <c r="EL373" i="3" s="1"/>
  <c r="EK374" i="3"/>
  <c r="EK375" i="3"/>
  <c r="EL375" i="3" s="1"/>
  <c r="EK376" i="3"/>
  <c r="EL376" i="3" s="1"/>
  <c r="EK377" i="3"/>
  <c r="EL377" i="3" s="1"/>
  <c r="EK378" i="3"/>
  <c r="EK379" i="3"/>
  <c r="EL379" i="3" s="1"/>
  <c r="EK380" i="3"/>
  <c r="EL380" i="3" s="1"/>
  <c r="EK381" i="3"/>
  <c r="EL381" i="3" s="1"/>
  <c r="EK382" i="3"/>
  <c r="EL382" i="3" s="1"/>
  <c r="EK383" i="3"/>
  <c r="EL383" i="3" s="1"/>
  <c r="EK384" i="3"/>
  <c r="EL384" i="3" s="1"/>
  <c r="EK385" i="3"/>
  <c r="EL385" i="3" s="1"/>
  <c r="EK386" i="3"/>
  <c r="EK387" i="3"/>
  <c r="EL387" i="3" s="1"/>
  <c r="EK388" i="3"/>
  <c r="EL388" i="3" s="1"/>
  <c r="EK389" i="3"/>
  <c r="EL389" i="3" s="1"/>
  <c r="EK390" i="3"/>
  <c r="EK391" i="3"/>
  <c r="EL391" i="3" s="1"/>
  <c r="EK392" i="3"/>
  <c r="EL392" i="3" s="1"/>
  <c r="EK393" i="3"/>
  <c r="EL393" i="3" s="1"/>
  <c r="EK394" i="3"/>
  <c r="EK395" i="3"/>
  <c r="EL395" i="3" s="1"/>
  <c r="EK396" i="3"/>
  <c r="EL396" i="3" s="1"/>
  <c r="EK397" i="3"/>
  <c r="EL397" i="3" s="1"/>
  <c r="EK398" i="3"/>
  <c r="EL398" i="3" s="1"/>
  <c r="EK399" i="3"/>
  <c r="EL399" i="3" s="1"/>
  <c r="EK400" i="3"/>
  <c r="EL400" i="3" s="1"/>
  <c r="EK401" i="3"/>
  <c r="EL401" i="3" s="1"/>
  <c r="EK402" i="3"/>
  <c r="EK403" i="3"/>
  <c r="EL403" i="3" s="1"/>
  <c r="EK404" i="3"/>
  <c r="EL404" i="3" s="1"/>
  <c r="EK405" i="3"/>
  <c r="EL405" i="3" s="1"/>
  <c r="EK406" i="3"/>
  <c r="EK407" i="3"/>
  <c r="EL407" i="3" s="1"/>
  <c r="EK408" i="3"/>
  <c r="EL408" i="3" s="1"/>
  <c r="EK409" i="3"/>
  <c r="EL409" i="3" s="1"/>
  <c r="EK410" i="3"/>
  <c r="EK411" i="3"/>
  <c r="EL411" i="3" s="1"/>
  <c r="EK412" i="3"/>
  <c r="EL412" i="3" s="1"/>
  <c r="EK413" i="3"/>
  <c r="EL413" i="3" s="1"/>
  <c r="EK414" i="3"/>
  <c r="EL414" i="3" s="1"/>
  <c r="EK415" i="3"/>
  <c r="EL415" i="3" s="1"/>
  <c r="EK416" i="3"/>
  <c r="EL416" i="3" s="1"/>
  <c r="EK417" i="3"/>
  <c r="EL417" i="3" s="1"/>
  <c r="EK418" i="3"/>
  <c r="EK419" i="3"/>
  <c r="EL419" i="3" s="1"/>
  <c r="EK420" i="3"/>
  <c r="EL420" i="3" s="1"/>
  <c r="EK421" i="3"/>
  <c r="EL421" i="3" s="1"/>
  <c r="EK422" i="3"/>
  <c r="EK423" i="3"/>
  <c r="EL423" i="3" s="1"/>
  <c r="EK424" i="3"/>
  <c r="EL424" i="3" s="1"/>
  <c r="EK425" i="3"/>
  <c r="EL425" i="3" s="1"/>
  <c r="EK426" i="3"/>
  <c r="EK427" i="3"/>
  <c r="EL427" i="3" s="1"/>
  <c r="EK428" i="3"/>
  <c r="EL428" i="3" s="1"/>
  <c r="EK429" i="3"/>
  <c r="EL429" i="3" s="1"/>
  <c r="EK430" i="3"/>
  <c r="EL430" i="3" s="1"/>
  <c r="EK431" i="3"/>
  <c r="EL431" i="3" s="1"/>
  <c r="EK432" i="3"/>
  <c r="EL432" i="3" s="1"/>
  <c r="EK433" i="3"/>
  <c r="EL433" i="3" s="1"/>
  <c r="EK434" i="3"/>
  <c r="EK435" i="3"/>
  <c r="EL435" i="3" s="1"/>
  <c r="EK436" i="3"/>
  <c r="EL436" i="3" s="1"/>
  <c r="EK437" i="3"/>
  <c r="EL437" i="3" s="1"/>
  <c r="EK438" i="3"/>
  <c r="EK439" i="3"/>
  <c r="EL439" i="3" s="1"/>
  <c r="EK440" i="3"/>
  <c r="EL440" i="3" s="1"/>
  <c r="EK441" i="3"/>
  <c r="EL441" i="3" s="1"/>
  <c r="EK442" i="3"/>
  <c r="EL442" i="3" s="1"/>
  <c r="EK443" i="3"/>
  <c r="EL443" i="3" s="1"/>
  <c r="EK444" i="3"/>
  <c r="EL444" i="3" s="1"/>
  <c r="EK445" i="3"/>
  <c r="EL445" i="3" s="1"/>
  <c r="EK446" i="3"/>
  <c r="EL446" i="3" s="1"/>
  <c r="EK447" i="3"/>
  <c r="EL447" i="3" s="1"/>
  <c r="EK448" i="3"/>
  <c r="EL448" i="3" s="1"/>
  <c r="EK449" i="3"/>
  <c r="EL449" i="3" s="1"/>
  <c r="EK450" i="3"/>
  <c r="EK451" i="3"/>
  <c r="EL451" i="3" s="1"/>
  <c r="EK452" i="3"/>
  <c r="EL452" i="3" s="1"/>
  <c r="EK453" i="3"/>
  <c r="EL453" i="3" s="1"/>
  <c r="EK454" i="3"/>
  <c r="EK455" i="3"/>
  <c r="EL455" i="3" s="1"/>
  <c r="EK456" i="3"/>
  <c r="EL456" i="3" s="1"/>
  <c r="EK457" i="3"/>
  <c r="EL457" i="3" s="1"/>
  <c r="EK458" i="3"/>
  <c r="EK459" i="3"/>
  <c r="EL459" i="3" s="1"/>
  <c r="EK460" i="3"/>
  <c r="EL460" i="3" s="1"/>
  <c r="EK461" i="3"/>
  <c r="EL461" i="3" s="1"/>
  <c r="EK462" i="3"/>
  <c r="EK463" i="3"/>
  <c r="EL463" i="3" s="1"/>
  <c r="EK464" i="3"/>
  <c r="EL464" i="3" s="1"/>
  <c r="EK465" i="3"/>
  <c r="EL465" i="3" s="1"/>
  <c r="EK466" i="3"/>
  <c r="EK467" i="3"/>
  <c r="EL467" i="3" s="1"/>
  <c r="EK468" i="3"/>
  <c r="EL468" i="3" s="1"/>
  <c r="EK469" i="3"/>
  <c r="EL469" i="3" s="1"/>
  <c r="EK470" i="3"/>
  <c r="EK471" i="3"/>
  <c r="EL471" i="3" s="1"/>
  <c r="EK472" i="3"/>
  <c r="EL472" i="3" s="1"/>
  <c r="EK473" i="3"/>
  <c r="EL473" i="3" s="1"/>
  <c r="EK474" i="3"/>
  <c r="EK475" i="3"/>
  <c r="EL475" i="3" s="1"/>
  <c r="EK476" i="3"/>
  <c r="EL476" i="3" s="1"/>
  <c r="EK477" i="3"/>
  <c r="EL477" i="3" s="1"/>
  <c r="EK478" i="3"/>
  <c r="EK479" i="3"/>
  <c r="EL479" i="3" s="1"/>
  <c r="EK480" i="3"/>
  <c r="EL480" i="3" s="1"/>
  <c r="EK481" i="3"/>
  <c r="EL481" i="3" s="1"/>
  <c r="EK482" i="3"/>
  <c r="EK483" i="3"/>
  <c r="EL483" i="3" s="1"/>
  <c r="EK484" i="3"/>
  <c r="EL484" i="3" s="1"/>
  <c r="EK485" i="3"/>
  <c r="EL485" i="3" s="1"/>
  <c r="EK486" i="3"/>
  <c r="EK487" i="3"/>
  <c r="EL487" i="3" s="1"/>
  <c r="EK488" i="3"/>
  <c r="EL488" i="3" s="1"/>
  <c r="EK489" i="3"/>
  <c r="EL489" i="3" s="1"/>
  <c r="EK490" i="3"/>
  <c r="EK491" i="3"/>
  <c r="EL491" i="3" s="1"/>
  <c r="EK492" i="3"/>
  <c r="EL492" i="3" s="1"/>
  <c r="EK493" i="3"/>
  <c r="EL493" i="3" s="1"/>
  <c r="EK494" i="3"/>
  <c r="EK495" i="3"/>
  <c r="EL495" i="3" s="1"/>
  <c r="EK496" i="3"/>
  <c r="EL496" i="3" s="1"/>
  <c r="EK497" i="3"/>
  <c r="EL497" i="3" s="1"/>
  <c r="EK498" i="3"/>
  <c r="EK499" i="3"/>
  <c r="EL499" i="3" s="1"/>
  <c r="EK500" i="3"/>
  <c r="EL500" i="3" s="1"/>
  <c r="EK501" i="3"/>
  <c r="EL501" i="3" s="1"/>
  <c r="EK502" i="3"/>
  <c r="EK503" i="3"/>
  <c r="EL503" i="3" s="1"/>
  <c r="EK504" i="3"/>
  <c r="EL504" i="3" s="1"/>
  <c r="EK505" i="3"/>
  <c r="EL505" i="3" s="1"/>
  <c r="EK506" i="3"/>
  <c r="EK507" i="3"/>
  <c r="EL507" i="3" s="1"/>
  <c r="EK508" i="3"/>
  <c r="EL508" i="3" s="1"/>
  <c r="EK509" i="3"/>
  <c r="EL509" i="3" s="1"/>
  <c r="EK510" i="3"/>
  <c r="EK511" i="3"/>
  <c r="EL511" i="3" s="1"/>
  <c r="EK512" i="3"/>
  <c r="EL512" i="3" s="1"/>
  <c r="EK513" i="3"/>
  <c r="EL513" i="3" s="1"/>
  <c r="EK514" i="3"/>
  <c r="EL514" i="3" s="1"/>
  <c r="EK515" i="3"/>
  <c r="EL515" i="3" s="1"/>
  <c r="EK516" i="3"/>
  <c r="EL516" i="3" s="1"/>
  <c r="EK517" i="3"/>
  <c r="EL517" i="3" s="1"/>
  <c r="EK518" i="3"/>
  <c r="EK519" i="3"/>
  <c r="EL519" i="3" s="1"/>
  <c r="EK520" i="3"/>
  <c r="EL520" i="3" s="1"/>
  <c r="EK521" i="3"/>
  <c r="EL521" i="3" s="1"/>
  <c r="EK522" i="3"/>
  <c r="EK523" i="3"/>
  <c r="EL523" i="3" s="1"/>
  <c r="EK524" i="3"/>
  <c r="EL524" i="3" s="1"/>
  <c r="EK525" i="3"/>
  <c r="EL525" i="3" s="1"/>
  <c r="EK526" i="3"/>
  <c r="EK527" i="3"/>
  <c r="EL527" i="3" s="1"/>
  <c r="EK528" i="3"/>
  <c r="EL528" i="3" s="1"/>
  <c r="EK529" i="3"/>
  <c r="EL529" i="3" s="1"/>
  <c r="EK530" i="3"/>
  <c r="EK531" i="3"/>
  <c r="EL531" i="3" s="1"/>
  <c r="EK532" i="3"/>
  <c r="EL532" i="3" s="1"/>
  <c r="EK533" i="3"/>
  <c r="EL533" i="3" s="1"/>
  <c r="EK534" i="3"/>
  <c r="EK535" i="3"/>
  <c r="EL535" i="3" s="1"/>
  <c r="EK536" i="3"/>
  <c r="EL536" i="3" s="1"/>
  <c r="EK537" i="3"/>
  <c r="EL537" i="3" s="1"/>
  <c r="EK538" i="3"/>
  <c r="EK539" i="3"/>
  <c r="EL539" i="3" s="1"/>
  <c r="EK540" i="3"/>
  <c r="EL540" i="3" s="1"/>
  <c r="EK541" i="3"/>
  <c r="EL541" i="3" s="1"/>
  <c r="EK542" i="3"/>
  <c r="EK543" i="3"/>
  <c r="EL543" i="3" s="1"/>
  <c r="EK544" i="3"/>
  <c r="EL544" i="3" s="1"/>
  <c r="EK545" i="3"/>
  <c r="EL545" i="3" s="1"/>
  <c r="EK546" i="3"/>
  <c r="EK547" i="3"/>
  <c r="EL547" i="3" s="1"/>
  <c r="EK548" i="3"/>
  <c r="EL548" i="3" s="1"/>
  <c r="EK549" i="3"/>
  <c r="EL549" i="3" s="1"/>
  <c r="EK550" i="3"/>
  <c r="EK551" i="3"/>
  <c r="EL551" i="3" s="1"/>
  <c r="EK552" i="3"/>
  <c r="EL552" i="3" s="1"/>
  <c r="EK553" i="3"/>
  <c r="EL553" i="3" s="1"/>
  <c r="EK554" i="3"/>
  <c r="EK555" i="3"/>
  <c r="EL555" i="3" s="1"/>
  <c r="EK556" i="3"/>
  <c r="EL556" i="3" s="1"/>
  <c r="EK557" i="3"/>
  <c r="EL557" i="3" s="1"/>
  <c r="EK558" i="3"/>
  <c r="EK559" i="3"/>
  <c r="EL559" i="3" s="1"/>
  <c r="EK560" i="3"/>
  <c r="EL560" i="3" s="1"/>
  <c r="EK561" i="3"/>
  <c r="EL561" i="3" s="1"/>
  <c r="EK562" i="3"/>
  <c r="EK563" i="3"/>
  <c r="EL563" i="3" s="1"/>
  <c r="EK564" i="3"/>
  <c r="EL564" i="3" s="1"/>
  <c r="EK565" i="3"/>
  <c r="EL565" i="3" s="1"/>
  <c r="EK566" i="3"/>
  <c r="EK567" i="3"/>
  <c r="EL567" i="3" s="1"/>
  <c r="EK568" i="3"/>
  <c r="EL568" i="3" s="1"/>
  <c r="EK569" i="3"/>
  <c r="EL569" i="3" s="1"/>
  <c r="EK570" i="3"/>
  <c r="EK571" i="3"/>
  <c r="EL571" i="3" s="1"/>
  <c r="EK572" i="3"/>
  <c r="EL572" i="3" s="1"/>
  <c r="EK573" i="3"/>
  <c r="EL573" i="3" s="1"/>
  <c r="EK574" i="3"/>
  <c r="EK575" i="3"/>
  <c r="EL575" i="3" s="1"/>
  <c r="EK576" i="3"/>
  <c r="EL576" i="3" s="1"/>
  <c r="EK577" i="3"/>
  <c r="EL577" i="3" s="1"/>
  <c r="EK578" i="3"/>
  <c r="EK579" i="3"/>
  <c r="EL579" i="3" s="1"/>
  <c r="EK580" i="3"/>
  <c r="EL580" i="3" s="1"/>
  <c r="EK581" i="3"/>
  <c r="EL581" i="3" s="1"/>
  <c r="EK582" i="3"/>
  <c r="EK583" i="3"/>
  <c r="EL583" i="3" s="1"/>
  <c r="EK584" i="3"/>
  <c r="EL584" i="3" s="1"/>
  <c r="EK585" i="3"/>
  <c r="EL585" i="3" s="1"/>
  <c r="EK586" i="3"/>
  <c r="EK587" i="3"/>
  <c r="EL587" i="3" s="1"/>
  <c r="EK588" i="3"/>
  <c r="EL588" i="3" s="1"/>
  <c r="EK589" i="3"/>
  <c r="EL589" i="3" s="1"/>
  <c r="EK590" i="3"/>
  <c r="EK591" i="3"/>
  <c r="EL591" i="3" s="1"/>
  <c r="EK592" i="3"/>
  <c r="EL592" i="3" s="1"/>
  <c r="EK593" i="3"/>
  <c r="EL593" i="3" s="1"/>
  <c r="EK594" i="3"/>
  <c r="EL594" i="3" s="1"/>
  <c r="EK595" i="3"/>
  <c r="EL595" i="3" s="1"/>
  <c r="EK596" i="3"/>
  <c r="EL596" i="3" s="1"/>
  <c r="EK597" i="3"/>
  <c r="EL597" i="3" s="1"/>
  <c r="EK598" i="3"/>
  <c r="EK599" i="3"/>
  <c r="EL599" i="3" s="1"/>
  <c r="EK600" i="3"/>
  <c r="EL600" i="3" s="1"/>
  <c r="EL9" i="3"/>
  <c r="EL10" i="3"/>
  <c r="EL11" i="3"/>
  <c r="EL12" i="3"/>
  <c r="EL13" i="3"/>
  <c r="EL14" i="3"/>
  <c r="EL15" i="3"/>
  <c r="EL24" i="3"/>
  <c r="EL146" i="3"/>
  <c r="EL186" i="3"/>
  <c r="EL402" i="3"/>
  <c r="EL474" i="3"/>
  <c r="EL554" i="3"/>
  <c r="EM9" i="3"/>
  <c r="EM10" i="3"/>
  <c r="EM11" i="3"/>
  <c r="EM12" i="3"/>
  <c r="EM13" i="3"/>
  <c r="EM14" i="3"/>
  <c r="EN14" i="3" s="1"/>
  <c r="EM15" i="3"/>
  <c r="EM16" i="3"/>
  <c r="EM17" i="3"/>
  <c r="EM18" i="3"/>
  <c r="EM19" i="3"/>
  <c r="EM20" i="3"/>
  <c r="EM21" i="3"/>
  <c r="EM22" i="3"/>
  <c r="EM23" i="3"/>
  <c r="EM24" i="3"/>
  <c r="EM25" i="3"/>
  <c r="EM26" i="3"/>
  <c r="EM27" i="3"/>
  <c r="EM28" i="3"/>
  <c r="EM29" i="3"/>
  <c r="EM30" i="3"/>
  <c r="EM31" i="3"/>
  <c r="EM32" i="3"/>
  <c r="EM33" i="3"/>
  <c r="EM34" i="3"/>
  <c r="EM35" i="3"/>
  <c r="EM36" i="3"/>
  <c r="EM37" i="3"/>
  <c r="EM38" i="3"/>
  <c r="EM39" i="3"/>
  <c r="EM40" i="3"/>
  <c r="EM41" i="3"/>
  <c r="EM42" i="3"/>
  <c r="EM43" i="3"/>
  <c r="EM44" i="3"/>
  <c r="EM45" i="3"/>
  <c r="EM46" i="3"/>
  <c r="EM47" i="3"/>
  <c r="EM48" i="3"/>
  <c r="EM49" i="3"/>
  <c r="EM50" i="3"/>
  <c r="EM51" i="3"/>
  <c r="EM52" i="3"/>
  <c r="EM53" i="3"/>
  <c r="EM54" i="3"/>
  <c r="EM55" i="3"/>
  <c r="EM56" i="3"/>
  <c r="EM57" i="3"/>
  <c r="EM58" i="3"/>
  <c r="EM59" i="3"/>
  <c r="EM60" i="3"/>
  <c r="EM61" i="3"/>
  <c r="EM62" i="3"/>
  <c r="EM63" i="3"/>
  <c r="EM64" i="3"/>
  <c r="EM65" i="3"/>
  <c r="EM66" i="3"/>
  <c r="EM67" i="3"/>
  <c r="EM68" i="3"/>
  <c r="EM69" i="3"/>
  <c r="EM70" i="3"/>
  <c r="EM71" i="3"/>
  <c r="EM72" i="3"/>
  <c r="EM73" i="3"/>
  <c r="EM74" i="3"/>
  <c r="EM75" i="3"/>
  <c r="EM76" i="3"/>
  <c r="EM77" i="3"/>
  <c r="EM78" i="3"/>
  <c r="EM79" i="3"/>
  <c r="EM80" i="3"/>
  <c r="EM81" i="3"/>
  <c r="EM82" i="3"/>
  <c r="EM83" i="3"/>
  <c r="EM84" i="3"/>
  <c r="EM85" i="3"/>
  <c r="EM86" i="3"/>
  <c r="EM87" i="3"/>
  <c r="EM88" i="3"/>
  <c r="EM89" i="3"/>
  <c r="EM90" i="3"/>
  <c r="EM91" i="3"/>
  <c r="EM92" i="3"/>
  <c r="EM93" i="3"/>
  <c r="EM94" i="3"/>
  <c r="EM95" i="3"/>
  <c r="EM96" i="3"/>
  <c r="EM97" i="3"/>
  <c r="EM98" i="3"/>
  <c r="EM99" i="3"/>
  <c r="EM100" i="3"/>
  <c r="EM101" i="3"/>
  <c r="EM102" i="3"/>
  <c r="EM103" i="3"/>
  <c r="EM104" i="3"/>
  <c r="EM105" i="3"/>
  <c r="EM106" i="3"/>
  <c r="EM107" i="3"/>
  <c r="EM108" i="3"/>
  <c r="EM109" i="3"/>
  <c r="EM110" i="3"/>
  <c r="EM111" i="3"/>
  <c r="EM112" i="3"/>
  <c r="EM113" i="3"/>
  <c r="EM114" i="3"/>
  <c r="EN114" i="3" s="1"/>
  <c r="EM115" i="3"/>
  <c r="EM116" i="3"/>
  <c r="EM117" i="3"/>
  <c r="EM118" i="3"/>
  <c r="EM119" i="3"/>
  <c r="EM120" i="3"/>
  <c r="EM121" i="3"/>
  <c r="EM122" i="3"/>
  <c r="EN122" i="3" s="1"/>
  <c r="EM123" i="3"/>
  <c r="EM124" i="3"/>
  <c r="EM125" i="3"/>
  <c r="EM126" i="3"/>
  <c r="EM127" i="3"/>
  <c r="EM128" i="3"/>
  <c r="EM129" i="3"/>
  <c r="EM130" i="3"/>
  <c r="EN130" i="3" s="1"/>
  <c r="EM131" i="3"/>
  <c r="EM132" i="3"/>
  <c r="EM133" i="3"/>
  <c r="EM134" i="3"/>
  <c r="EM135" i="3"/>
  <c r="EM136" i="3"/>
  <c r="EM137" i="3"/>
  <c r="EM138" i="3"/>
  <c r="EN138" i="3" s="1"/>
  <c r="EM139" i="3"/>
  <c r="EM140" i="3"/>
  <c r="EM141" i="3"/>
  <c r="EM142" i="3"/>
  <c r="EM143" i="3"/>
  <c r="EM144" i="3"/>
  <c r="EM145" i="3"/>
  <c r="EM146" i="3"/>
  <c r="EN146" i="3" s="1"/>
  <c r="EM147" i="3"/>
  <c r="EM148" i="3"/>
  <c r="EM149" i="3"/>
  <c r="EM150" i="3"/>
  <c r="EM151" i="3"/>
  <c r="EM152" i="3"/>
  <c r="EM153" i="3"/>
  <c r="EM154" i="3"/>
  <c r="EN154" i="3" s="1"/>
  <c r="EM155" i="3"/>
  <c r="EM156" i="3"/>
  <c r="EM157" i="3"/>
  <c r="EM158" i="3"/>
  <c r="EM159" i="3"/>
  <c r="EM160" i="3"/>
  <c r="EM161" i="3"/>
  <c r="EM162" i="3"/>
  <c r="EM163" i="3"/>
  <c r="EM164" i="3"/>
  <c r="EM165" i="3"/>
  <c r="EM166" i="3"/>
  <c r="EM167" i="3"/>
  <c r="EM168" i="3"/>
  <c r="EM169" i="3"/>
  <c r="EM170" i="3"/>
  <c r="EN170" i="3" s="1"/>
  <c r="EM171" i="3"/>
  <c r="EM172" i="3"/>
  <c r="EM173" i="3"/>
  <c r="EM174" i="3"/>
  <c r="EM175" i="3"/>
  <c r="EM176" i="3"/>
  <c r="EM177" i="3"/>
  <c r="EM178" i="3"/>
  <c r="EN178" i="3" s="1"/>
  <c r="EM179" i="3"/>
  <c r="EM180" i="3"/>
  <c r="EM181" i="3"/>
  <c r="EM182" i="3"/>
  <c r="EM183" i="3"/>
  <c r="EM184" i="3"/>
  <c r="EM185" i="3"/>
  <c r="EM186" i="3"/>
  <c r="EN186" i="3" s="1"/>
  <c r="EM187" i="3"/>
  <c r="EM188" i="3"/>
  <c r="EM189" i="3"/>
  <c r="EM190" i="3"/>
  <c r="EM191" i="3"/>
  <c r="EM192" i="3"/>
  <c r="EM193" i="3"/>
  <c r="EM194" i="3"/>
  <c r="EN194" i="3" s="1"/>
  <c r="EM195" i="3"/>
  <c r="EM196" i="3"/>
  <c r="EM197" i="3"/>
  <c r="EM198" i="3"/>
  <c r="EM199" i="3"/>
  <c r="EM200" i="3"/>
  <c r="EM201" i="3"/>
  <c r="EM202" i="3"/>
  <c r="EN202" i="3" s="1"/>
  <c r="EM203" i="3"/>
  <c r="EM204" i="3"/>
  <c r="EM205" i="3"/>
  <c r="EM206" i="3"/>
  <c r="EM207" i="3"/>
  <c r="EM208" i="3"/>
  <c r="EM209" i="3"/>
  <c r="EM210" i="3"/>
  <c r="EN210" i="3" s="1"/>
  <c r="EM211" i="3"/>
  <c r="EM212" i="3"/>
  <c r="EM213" i="3"/>
  <c r="EM214" i="3"/>
  <c r="EM215" i="3"/>
  <c r="EM216" i="3"/>
  <c r="EM217" i="3"/>
  <c r="EM218" i="3"/>
  <c r="EN218" i="3" s="1"/>
  <c r="EM219" i="3"/>
  <c r="EM220" i="3"/>
  <c r="EM221" i="3"/>
  <c r="EM222" i="3"/>
  <c r="EM223" i="3"/>
  <c r="EM224" i="3"/>
  <c r="EM225" i="3"/>
  <c r="EM226" i="3"/>
  <c r="EN226" i="3" s="1"/>
  <c r="EM227" i="3"/>
  <c r="EM228" i="3"/>
  <c r="EM229" i="3"/>
  <c r="EM230" i="3"/>
  <c r="EM231" i="3"/>
  <c r="EM232" i="3"/>
  <c r="EM233" i="3"/>
  <c r="EM234" i="3"/>
  <c r="EN234" i="3" s="1"/>
  <c r="EM235" i="3"/>
  <c r="EM236" i="3"/>
  <c r="EM237" i="3"/>
  <c r="EM238" i="3"/>
  <c r="EM239" i="3"/>
  <c r="EM240" i="3"/>
  <c r="EM241" i="3"/>
  <c r="EM242" i="3"/>
  <c r="EN242" i="3" s="1"/>
  <c r="EM243" i="3"/>
  <c r="EM244" i="3"/>
  <c r="EM245" i="3"/>
  <c r="EM246" i="3"/>
  <c r="EM247" i="3"/>
  <c r="EM248" i="3"/>
  <c r="EM249" i="3"/>
  <c r="EM250" i="3"/>
  <c r="EN250" i="3" s="1"/>
  <c r="EM251" i="3"/>
  <c r="EM252" i="3"/>
  <c r="EM253" i="3"/>
  <c r="EM254" i="3"/>
  <c r="EM255" i="3"/>
  <c r="EM256" i="3"/>
  <c r="EM257" i="3"/>
  <c r="EM258" i="3"/>
  <c r="EN258" i="3" s="1"/>
  <c r="EM259" i="3"/>
  <c r="EM260" i="3"/>
  <c r="EM261" i="3"/>
  <c r="EM262" i="3"/>
  <c r="EM263" i="3"/>
  <c r="EM264" i="3"/>
  <c r="EM265" i="3"/>
  <c r="EM266" i="3"/>
  <c r="EN266" i="3" s="1"/>
  <c r="EM267" i="3"/>
  <c r="EM268" i="3"/>
  <c r="EM269" i="3"/>
  <c r="EM270" i="3"/>
  <c r="EM271" i="3"/>
  <c r="EM272" i="3"/>
  <c r="EM273" i="3"/>
  <c r="EM274" i="3"/>
  <c r="EN274" i="3" s="1"/>
  <c r="EM275" i="3"/>
  <c r="EM276" i="3"/>
  <c r="EM277" i="3"/>
  <c r="EM278" i="3"/>
  <c r="EM279" i="3"/>
  <c r="EM280" i="3"/>
  <c r="EM281" i="3"/>
  <c r="EM282" i="3"/>
  <c r="EN282" i="3" s="1"/>
  <c r="EM283" i="3"/>
  <c r="EM284" i="3"/>
  <c r="EM285" i="3"/>
  <c r="EM286" i="3"/>
  <c r="EM287" i="3"/>
  <c r="EM288" i="3"/>
  <c r="EM289" i="3"/>
  <c r="EM290" i="3"/>
  <c r="EN290" i="3" s="1"/>
  <c r="EM291" i="3"/>
  <c r="EM292" i="3"/>
  <c r="EM293" i="3"/>
  <c r="EM294" i="3"/>
  <c r="EM295" i="3"/>
  <c r="EM296" i="3"/>
  <c r="EM297" i="3"/>
  <c r="EM298" i="3"/>
  <c r="EN298" i="3" s="1"/>
  <c r="EM299" i="3"/>
  <c r="EM300" i="3"/>
  <c r="EM301" i="3"/>
  <c r="EM302" i="3"/>
  <c r="EM303" i="3"/>
  <c r="EM304" i="3"/>
  <c r="EM305" i="3"/>
  <c r="EM306" i="3"/>
  <c r="EN306" i="3" s="1"/>
  <c r="EM307" i="3"/>
  <c r="EM308" i="3"/>
  <c r="EM309" i="3"/>
  <c r="EM310" i="3"/>
  <c r="EM311" i="3"/>
  <c r="EM312" i="3"/>
  <c r="EM313" i="3"/>
  <c r="EM314" i="3"/>
  <c r="EN314" i="3" s="1"/>
  <c r="EM315" i="3"/>
  <c r="EM316" i="3"/>
  <c r="EM317" i="3"/>
  <c r="EM318" i="3"/>
  <c r="EM319" i="3"/>
  <c r="EM320" i="3"/>
  <c r="EM321" i="3"/>
  <c r="EM322" i="3"/>
  <c r="EN322" i="3" s="1"/>
  <c r="EM323" i="3"/>
  <c r="EM324" i="3"/>
  <c r="EM325" i="3"/>
  <c r="EM326" i="3"/>
  <c r="EM327" i="3"/>
  <c r="EM328" i="3"/>
  <c r="EM329" i="3"/>
  <c r="EM330" i="3"/>
  <c r="EN330" i="3" s="1"/>
  <c r="EM331" i="3"/>
  <c r="EM332" i="3"/>
  <c r="EM333" i="3"/>
  <c r="EM334" i="3"/>
  <c r="EM335" i="3"/>
  <c r="EM336" i="3"/>
  <c r="EM337" i="3"/>
  <c r="EM338" i="3"/>
  <c r="EN338" i="3" s="1"/>
  <c r="EM339" i="3"/>
  <c r="EM340" i="3"/>
  <c r="EM341" i="3"/>
  <c r="EM342" i="3"/>
  <c r="EM343" i="3"/>
  <c r="EM344" i="3"/>
  <c r="EM345" i="3"/>
  <c r="EM346" i="3"/>
  <c r="EN346" i="3" s="1"/>
  <c r="EM347" i="3"/>
  <c r="EM348" i="3"/>
  <c r="EM349" i="3"/>
  <c r="EM350" i="3"/>
  <c r="EM351" i="3"/>
  <c r="EM352" i="3"/>
  <c r="EM353" i="3"/>
  <c r="EM354" i="3"/>
  <c r="EN354" i="3" s="1"/>
  <c r="EM355" i="3"/>
  <c r="EM356" i="3"/>
  <c r="EM357" i="3"/>
  <c r="EM358" i="3"/>
  <c r="EM359" i="3"/>
  <c r="EM360" i="3"/>
  <c r="EM361" i="3"/>
  <c r="EM362" i="3"/>
  <c r="EN362" i="3" s="1"/>
  <c r="EM363" i="3"/>
  <c r="EM364" i="3"/>
  <c r="EM365" i="3"/>
  <c r="EM366" i="3"/>
  <c r="EM367" i="3"/>
  <c r="EM368" i="3"/>
  <c r="EM369" i="3"/>
  <c r="EM370" i="3"/>
  <c r="EN370" i="3" s="1"/>
  <c r="EM371" i="3"/>
  <c r="EM372" i="3"/>
  <c r="EM373" i="3"/>
  <c r="EM374" i="3"/>
  <c r="EM375" i="3"/>
  <c r="EM376" i="3"/>
  <c r="EM377" i="3"/>
  <c r="EM378" i="3"/>
  <c r="EN378" i="3" s="1"/>
  <c r="EM379" i="3"/>
  <c r="EM380" i="3"/>
  <c r="EM381" i="3"/>
  <c r="EM382" i="3"/>
  <c r="EM383" i="3"/>
  <c r="EM384" i="3"/>
  <c r="EM385" i="3"/>
  <c r="EM386" i="3"/>
  <c r="EM387" i="3"/>
  <c r="EM388" i="3"/>
  <c r="EM389" i="3"/>
  <c r="EM390" i="3"/>
  <c r="EM391" i="3"/>
  <c r="EM392" i="3"/>
  <c r="EM393" i="3"/>
  <c r="EM394" i="3"/>
  <c r="EN394" i="3" s="1"/>
  <c r="EM395" i="3"/>
  <c r="EM396" i="3"/>
  <c r="EM397" i="3"/>
  <c r="EM398" i="3"/>
  <c r="EM399" i="3"/>
  <c r="EM400" i="3"/>
  <c r="EM401" i="3"/>
  <c r="EM402" i="3"/>
  <c r="EN402" i="3" s="1"/>
  <c r="EM403" i="3"/>
  <c r="EM404" i="3"/>
  <c r="EM405" i="3"/>
  <c r="EM406" i="3"/>
  <c r="EM407" i="3"/>
  <c r="EM408" i="3"/>
  <c r="EM409" i="3"/>
  <c r="EM410" i="3"/>
  <c r="EN410" i="3" s="1"/>
  <c r="EM411" i="3"/>
  <c r="EM412" i="3"/>
  <c r="EM413" i="3"/>
  <c r="EM414" i="3"/>
  <c r="EM415" i="3"/>
  <c r="EM416" i="3"/>
  <c r="EM417" i="3"/>
  <c r="EM418" i="3"/>
  <c r="EN418" i="3" s="1"/>
  <c r="EM419" i="3"/>
  <c r="EM420" i="3"/>
  <c r="EM421" i="3"/>
  <c r="EM422" i="3"/>
  <c r="EM423" i="3"/>
  <c r="EM424" i="3"/>
  <c r="EM425" i="3"/>
  <c r="EM426" i="3"/>
  <c r="EN426" i="3" s="1"/>
  <c r="EM427" i="3"/>
  <c r="EM428" i="3"/>
  <c r="EM429" i="3"/>
  <c r="EM430" i="3"/>
  <c r="EM431" i="3"/>
  <c r="EM432" i="3"/>
  <c r="EM433" i="3"/>
  <c r="EM434" i="3"/>
  <c r="EN434" i="3" s="1"/>
  <c r="EM435" i="3"/>
  <c r="EM436" i="3"/>
  <c r="EM437" i="3"/>
  <c r="EM438" i="3"/>
  <c r="EM439" i="3"/>
  <c r="EM440" i="3"/>
  <c r="EM441" i="3"/>
  <c r="EM442" i="3"/>
  <c r="EM443" i="3"/>
  <c r="EM444" i="3"/>
  <c r="EM445" i="3"/>
  <c r="EM446" i="3"/>
  <c r="EM447" i="3"/>
  <c r="EM448" i="3"/>
  <c r="EM449" i="3"/>
  <c r="EM450" i="3"/>
  <c r="EM451" i="3"/>
  <c r="EM452" i="3"/>
  <c r="EM453" i="3"/>
  <c r="EM454" i="3"/>
  <c r="EM455" i="3"/>
  <c r="EM456" i="3"/>
  <c r="EM457" i="3"/>
  <c r="EM458" i="3"/>
  <c r="EN458" i="3" s="1"/>
  <c r="EM459" i="3"/>
  <c r="EM460" i="3"/>
  <c r="EM461" i="3"/>
  <c r="EM462" i="3"/>
  <c r="EM463" i="3"/>
  <c r="EM464" i="3"/>
  <c r="EM465" i="3"/>
  <c r="EM466" i="3"/>
  <c r="EN466" i="3" s="1"/>
  <c r="EM467" i="3"/>
  <c r="EM468" i="3"/>
  <c r="EM469" i="3"/>
  <c r="EM470" i="3"/>
  <c r="EM471" i="3"/>
  <c r="EM472" i="3"/>
  <c r="EM473" i="3"/>
  <c r="EM474" i="3"/>
  <c r="EM475" i="3"/>
  <c r="EM476" i="3"/>
  <c r="EM477" i="3"/>
  <c r="EM478" i="3"/>
  <c r="EM479" i="3"/>
  <c r="EM480" i="3"/>
  <c r="EM481" i="3"/>
  <c r="EM482" i="3"/>
  <c r="EN482" i="3" s="1"/>
  <c r="EM483" i="3"/>
  <c r="EM484" i="3"/>
  <c r="EM485" i="3"/>
  <c r="EM486" i="3"/>
  <c r="EM487" i="3"/>
  <c r="EM488" i="3"/>
  <c r="EM489" i="3"/>
  <c r="EM490" i="3"/>
  <c r="EN490" i="3" s="1"/>
  <c r="EM491" i="3"/>
  <c r="EM492" i="3"/>
  <c r="EM493" i="3"/>
  <c r="EM494" i="3"/>
  <c r="EM495" i="3"/>
  <c r="EM496" i="3"/>
  <c r="EM497" i="3"/>
  <c r="EM498" i="3"/>
  <c r="EN498" i="3" s="1"/>
  <c r="EM499" i="3"/>
  <c r="EM500" i="3"/>
  <c r="EM501" i="3"/>
  <c r="EM502" i="3"/>
  <c r="EM503" i="3"/>
  <c r="EM504" i="3"/>
  <c r="EM505" i="3"/>
  <c r="EM506" i="3"/>
  <c r="EM507" i="3"/>
  <c r="EM508" i="3"/>
  <c r="EM509" i="3"/>
  <c r="EM510" i="3"/>
  <c r="EM511" i="3"/>
  <c r="EM512" i="3"/>
  <c r="EM513" i="3"/>
  <c r="EM514" i="3"/>
  <c r="EN514" i="3" s="1"/>
  <c r="EM515" i="3"/>
  <c r="EM516" i="3"/>
  <c r="EM517" i="3"/>
  <c r="EM518" i="3"/>
  <c r="EM519" i="3"/>
  <c r="EM520" i="3"/>
  <c r="EM521" i="3"/>
  <c r="EM522" i="3"/>
  <c r="EN522" i="3" s="1"/>
  <c r="EM523" i="3"/>
  <c r="EM524" i="3"/>
  <c r="EM525" i="3"/>
  <c r="EM526" i="3"/>
  <c r="EM527" i="3"/>
  <c r="EM528" i="3"/>
  <c r="EM529" i="3"/>
  <c r="EM530" i="3"/>
  <c r="EN530" i="3" s="1"/>
  <c r="EM531" i="3"/>
  <c r="EM532" i="3"/>
  <c r="EM533" i="3"/>
  <c r="EM534" i="3"/>
  <c r="EM535" i="3"/>
  <c r="EM536" i="3"/>
  <c r="EM537" i="3"/>
  <c r="EM538" i="3"/>
  <c r="EM539" i="3"/>
  <c r="EM540" i="3"/>
  <c r="EM541" i="3"/>
  <c r="EM542" i="3"/>
  <c r="EM543" i="3"/>
  <c r="EM544" i="3"/>
  <c r="EM545" i="3"/>
  <c r="EM546" i="3"/>
  <c r="EN546" i="3" s="1"/>
  <c r="EM547" i="3"/>
  <c r="EM548" i="3"/>
  <c r="EM549" i="3"/>
  <c r="EM550" i="3"/>
  <c r="EM551" i="3"/>
  <c r="EM552" i="3"/>
  <c r="EM553" i="3"/>
  <c r="EM554" i="3"/>
  <c r="EN554" i="3" s="1"/>
  <c r="EM555" i="3"/>
  <c r="EM556" i="3"/>
  <c r="EM557" i="3"/>
  <c r="EM558" i="3"/>
  <c r="EM559" i="3"/>
  <c r="EM560" i="3"/>
  <c r="EM561" i="3"/>
  <c r="EM562" i="3"/>
  <c r="EN562" i="3" s="1"/>
  <c r="EM563" i="3"/>
  <c r="EM564" i="3"/>
  <c r="EM565" i="3"/>
  <c r="EM566" i="3"/>
  <c r="EM567" i="3"/>
  <c r="EM568" i="3"/>
  <c r="EM569" i="3"/>
  <c r="EM570" i="3"/>
  <c r="EM571" i="3"/>
  <c r="EM572" i="3"/>
  <c r="EM573" i="3"/>
  <c r="EM574" i="3"/>
  <c r="EM575" i="3"/>
  <c r="EM576" i="3"/>
  <c r="EM577" i="3"/>
  <c r="EM578" i="3"/>
  <c r="EN578" i="3" s="1"/>
  <c r="EM579" i="3"/>
  <c r="EM580" i="3"/>
  <c r="EM581" i="3"/>
  <c r="EM582" i="3"/>
  <c r="EM583" i="3"/>
  <c r="EM584" i="3"/>
  <c r="EM585" i="3"/>
  <c r="EM586" i="3"/>
  <c r="EN586" i="3" s="1"/>
  <c r="EM587" i="3"/>
  <c r="EM588" i="3"/>
  <c r="EM589" i="3"/>
  <c r="EM590" i="3"/>
  <c r="EM591" i="3"/>
  <c r="EM592" i="3"/>
  <c r="EM593" i="3"/>
  <c r="EM594" i="3"/>
  <c r="EN594" i="3" s="1"/>
  <c r="EM595" i="3"/>
  <c r="EM596" i="3"/>
  <c r="EM597" i="3"/>
  <c r="EM598" i="3"/>
  <c r="EM599" i="3"/>
  <c r="EM600" i="3"/>
  <c r="EO9" i="3"/>
  <c r="EO10" i="3"/>
  <c r="EP10" i="3" s="1"/>
  <c r="EO11" i="3"/>
  <c r="EO12" i="3"/>
  <c r="EO13" i="3"/>
  <c r="EO14" i="3"/>
  <c r="EP14" i="3" s="1"/>
  <c r="EO15" i="3"/>
  <c r="EO16" i="3"/>
  <c r="EO17" i="3"/>
  <c r="EO18" i="3"/>
  <c r="EP18" i="3" s="1"/>
  <c r="EO19" i="3"/>
  <c r="EO20" i="3"/>
  <c r="EO21" i="3"/>
  <c r="EO22" i="3"/>
  <c r="EO23" i="3"/>
  <c r="EO24" i="3"/>
  <c r="EO25" i="3"/>
  <c r="EO26" i="3"/>
  <c r="EP26" i="3" s="1"/>
  <c r="EO27" i="3"/>
  <c r="EO28" i="3"/>
  <c r="EO29" i="3"/>
  <c r="EO30" i="3"/>
  <c r="EP30" i="3" s="1"/>
  <c r="EO31" i="3"/>
  <c r="EO32" i="3"/>
  <c r="EO33" i="3"/>
  <c r="EO34" i="3"/>
  <c r="EP34" i="3" s="1"/>
  <c r="EO35" i="3"/>
  <c r="EO36" i="3"/>
  <c r="EO37" i="3"/>
  <c r="EO38" i="3"/>
  <c r="EO39" i="3"/>
  <c r="EO40" i="3"/>
  <c r="EO41" i="3"/>
  <c r="EO42" i="3"/>
  <c r="EP42" i="3" s="1"/>
  <c r="EO43" i="3"/>
  <c r="EO44" i="3"/>
  <c r="EO45" i="3"/>
  <c r="EO46" i="3"/>
  <c r="EP46" i="3" s="1"/>
  <c r="EO47" i="3"/>
  <c r="EO48" i="3"/>
  <c r="EO49" i="3"/>
  <c r="EO50" i="3"/>
  <c r="EP50" i="3" s="1"/>
  <c r="EO51" i="3"/>
  <c r="EO52" i="3"/>
  <c r="EO53" i="3"/>
  <c r="EO54" i="3"/>
  <c r="EO55" i="3"/>
  <c r="EO56" i="3"/>
  <c r="EO57" i="3"/>
  <c r="EO58" i="3"/>
  <c r="EP58" i="3" s="1"/>
  <c r="EO59" i="3"/>
  <c r="EO60" i="3"/>
  <c r="EO61" i="3"/>
  <c r="EO62" i="3"/>
  <c r="EP62" i="3" s="1"/>
  <c r="EO63" i="3"/>
  <c r="EO64" i="3"/>
  <c r="EO65" i="3"/>
  <c r="EO66" i="3"/>
  <c r="EP66" i="3" s="1"/>
  <c r="EO67" i="3"/>
  <c r="EO68" i="3"/>
  <c r="EO69" i="3"/>
  <c r="EO70" i="3"/>
  <c r="EO71" i="3"/>
  <c r="EO72" i="3"/>
  <c r="EO73" i="3"/>
  <c r="EO74" i="3"/>
  <c r="EP74" i="3" s="1"/>
  <c r="EO75" i="3"/>
  <c r="EO76" i="3"/>
  <c r="EO77" i="3"/>
  <c r="EO78" i="3"/>
  <c r="EP78" i="3" s="1"/>
  <c r="EO79" i="3"/>
  <c r="EO80" i="3"/>
  <c r="EO81" i="3"/>
  <c r="EO82" i="3"/>
  <c r="EP82" i="3" s="1"/>
  <c r="EO83" i="3"/>
  <c r="EO84" i="3"/>
  <c r="EO85" i="3"/>
  <c r="EO86" i="3"/>
  <c r="EO87" i="3"/>
  <c r="EO88" i="3"/>
  <c r="EO89" i="3"/>
  <c r="EO90" i="3"/>
  <c r="EP90" i="3" s="1"/>
  <c r="EO91" i="3"/>
  <c r="EO92" i="3"/>
  <c r="EO93" i="3"/>
  <c r="EO94" i="3"/>
  <c r="EP94" i="3" s="1"/>
  <c r="EO95" i="3"/>
  <c r="EO96" i="3"/>
  <c r="EO97" i="3"/>
  <c r="EO98" i="3"/>
  <c r="EP98" i="3" s="1"/>
  <c r="EO99" i="3"/>
  <c r="EO100" i="3"/>
  <c r="EO101" i="3"/>
  <c r="EO102" i="3"/>
  <c r="EP102" i="3" s="1"/>
  <c r="EO103" i="3"/>
  <c r="EO104" i="3"/>
  <c r="EO105" i="3"/>
  <c r="EO106" i="3"/>
  <c r="EP106" i="3" s="1"/>
  <c r="EO107" i="3"/>
  <c r="EO108" i="3"/>
  <c r="EO109" i="3"/>
  <c r="EO110" i="3"/>
  <c r="EP110" i="3" s="1"/>
  <c r="EO111" i="3"/>
  <c r="EO112" i="3"/>
  <c r="EO113" i="3"/>
  <c r="EO114" i="3"/>
  <c r="EP114" i="3" s="1"/>
  <c r="EO115" i="3"/>
  <c r="EO116" i="3"/>
  <c r="EO117" i="3"/>
  <c r="EO118" i="3"/>
  <c r="EO119" i="3"/>
  <c r="EO120" i="3"/>
  <c r="EO121" i="3"/>
  <c r="EO122" i="3"/>
  <c r="EP122" i="3" s="1"/>
  <c r="EO123" i="3"/>
  <c r="EO124" i="3"/>
  <c r="EO125" i="3"/>
  <c r="EO126" i="3"/>
  <c r="EP126" i="3" s="1"/>
  <c r="EO127" i="3"/>
  <c r="EO128" i="3"/>
  <c r="EO129" i="3"/>
  <c r="EO130" i="3"/>
  <c r="EP130" i="3" s="1"/>
  <c r="EO131" i="3"/>
  <c r="EO132" i="3"/>
  <c r="EO133" i="3"/>
  <c r="EO134" i="3"/>
  <c r="EP134" i="3" s="1"/>
  <c r="EO135" i="3"/>
  <c r="EO136" i="3"/>
  <c r="EO137" i="3"/>
  <c r="EO138" i="3"/>
  <c r="EP138" i="3" s="1"/>
  <c r="EO139" i="3"/>
  <c r="EO140" i="3"/>
  <c r="EO141" i="3"/>
  <c r="EO142" i="3"/>
  <c r="EP142" i="3" s="1"/>
  <c r="EO143" i="3"/>
  <c r="EO144" i="3"/>
  <c r="EO145" i="3"/>
  <c r="EO146" i="3"/>
  <c r="EP146" i="3" s="1"/>
  <c r="EO147" i="3"/>
  <c r="EO148" i="3"/>
  <c r="EO149" i="3"/>
  <c r="EO150" i="3"/>
  <c r="EO151" i="3"/>
  <c r="EO152" i="3"/>
  <c r="EO153" i="3"/>
  <c r="EO154" i="3"/>
  <c r="EP154" i="3" s="1"/>
  <c r="EO155" i="3"/>
  <c r="EO156" i="3"/>
  <c r="EO157" i="3"/>
  <c r="EO158" i="3"/>
  <c r="EP158" i="3" s="1"/>
  <c r="EO159" i="3"/>
  <c r="EO160" i="3"/>
  <c r="EO161" i="3"/>
  <c r="EO162" i="3"/>
  <c r="EP162" i="3" s="1"/>
  <c r="EO163" i="3"/>
  <c r="EO164" i="3"/>
  <c r="EO165" i="3"/>
  <c r="EO166" i="3"/>
  <c r="EP166" i="3" s="1"/>
  <c r="EO167" i="3"/>
  <c r="EO168" i="3"/>
  <c r="EO169" i="3"/>
  <c r="EO170" i="3"/>
  <c r="EP170" i="3" s="1"/>
  <c r="EO171" i="3"/>
  <c r="EO172" i="3"/>
  <c r="EO173" i="3"/>
  <c r="EO174" i="3"/>
  <c r="EP174" i="3" s="1"/>
  <c r="EO175" i="3"/>
  <c r="EO176" i="3"/>
  <c r="EO177" i="3"/>
  <c r="EO178" i="3"/>
  <c r="EP178" i="3" s="1"/>
  <c r="EO179" i="3"/>
  <c r="EO180" i="3"/>
  <c r="EO181" i="3"/>
  <c r="EO182" i="3"/>
  <c r="EO183" i="3"/>
  <c r="EO184" i="3"/>
  <c r="EO185" i="3"/>
  <c r="EO186" i="3"/>
  <c r="EP186" i="3" s="1"/>
  <c r="EO187" i="3"/>
  <c r="EO188" i="3"/>
  <c r="EO189" i="3"/>
  <c r="EO190" i="3"/>
  <c r="EP190" i="3" s="1"/>
  <c r="EO191" i="3"/>
  <c r="EO192" i="3"/>
  <c r="EO193" i="3"/>
  <c r="EO194" i="3"/>
  <c r="EP194" i="3" s="1"/>
  <c r="EO195" i="3"/>
  <c r="EO196" i="3"/>
  <c r="EO197" i="3"/>
  <c r="EO198" i="3"/>
  <c r="EP198" i="3" s="1"/>
  <c r="EO199" i="3"/>
  <c r="EO200" i="3"/>
  <c r="EO201" i="3"/>
  <c r="EO202" i="3"/>
  <c r="EP202" i="3" s="1"/>
  <c r="EO203" i="3"/>
  <c r="EO204" i="3"/>
  <c r="EO205" i="3"/>
  <c r="EO206" i="3"/>
  <c r="EP206" i="3" s="1"/>
  <c r="EO207" i="3"/>
  <c r="EO208" i="3"/>
  <c r="EO209" i="3"/>
  <c r="EO210" i="3"/>
  <c r="EP210" i="3" s="1"/>
  <c r="EO211" i="3"/>
  <c r="EO212" i="3"/>
  <c r="EO213" i="3"/>
  <c r="EO214" i="3"/>
  <c r="EP214" i="3" s="1"/>
  <c r="EO215" i="3"/>
  <c r="EO216" i="3"/>
  <c r="EO217" i="3"/>
  <c r="EO218" i="3"/>
  <c r="EO219" i="3"/>
  <c r="EO220" i="3"/>
  <c r="EO221" i="3"/>
  <c r="EO222" i="3"/>
  <c r="EP222" i="3" s="1"/>
  <c r="EO223" i="3"/>
  <c r="EO224" i="3"/>
  <c r="EO225" i="3"/>
  <c r="EO226" i="3"/>
  <c r="EP226" i="3" s="1"/>
  <c r="EO227" i="3"/>
  <c r="EO228" i="3"/>
  <c r="EO229" i="3"/>
  <c r="EO230" i="3"/>
  <c r="EP230" i="3" s="1"/>
  <c r="EO231" i="3"/>
  <c r="EO232" i="3"/>
  <c r="EO233" i="3"/>
  <c r="EO234" i="3"/>
  <c r="EP234" i="3" s="1"/>
  <c r="EO235" i="3"/>
  <c r="EO236" i="3"/>
  <c r="EO237" i="3"/>
  <c r="EO238" i="3"/>
  <c r="EP238" i="3" s="1"/>
  <c r="EO239" i="3"/>
  <c r="EO240" i="3"/>
  <c r="EO241" i="3"/>
  <c r="EO242" i="3"/>
  <c r="EP242" i="3" s="1"/>
  <c r="EO243" i="3"/>
  <c r="EO244" i="3"/>
  <c r="EO245" i="3"/>
  <c r="EO246" i="3"/>
  <c r="EP246" i="3" s="1"/>
  <c r="EO247" i="3"/>
  <c r="EO248" i="3"/>
  <c r="EO249" i="3"/>
  <c r="EO250" i="3"/>
  <c r="EP250" i="3" s="1"/>
  <c r="EO251" i="3"/>
  <c r="EO252" i="3"/>
  <c r="EO253" i="3"/>
  <c r="EO254" i="3"/>
  <c r="EP254" i="3" s="1"/>
  <c r="EO255" i="3"/>
  <c r="EO256" i="3"/>
  <c r="EO257" i="3"/>
  <c r="EO258" i="3"/>
  <c r="EP258" i="3" s="1"/>
  <c r="EO259" i="3"/>
  <c r="EO260" i="3"/>
  <c r="EO261" i="3"/>
  <c r="EO262" i="3"/>
  <c r="EO263" i="3"/>
  <c r="EO264" i="3"/>
  <c r="EO265" i="3"/>
  <c r="EO266" i="3"/>
  <c r="EP266" i="3" s="1"/>
  <c r="EO267" i="3"/>
  <c r="EO268" i="3"/>
  <c r="EO269" i="3"/>
  <c r="EO270" i="3"/>
  <c r="EP270" i="3" s="1"/>
  <c r="EO271" i="3"/>
  <c r="EO272" i="3"/>
  <c r="EO273" i="3"/>
  <c r="EO274" i="3"/>
  <c r="EP274" i="3" s="1"/>
  <c r="EO275" i="3"/>
  <c r="EO276" i="3"/>
  <c r="EO277" i="3"/>
  <c r="EO278" i="3"/>
  <c r="EP278" i="3" s="1"/>
  <c r="EO279" i="3"/>
  <c r="EO280" i="3"/>
  <c r="EO281" i="3"/>
  <c r="EO282" i="3"/>
  <c r="EP282" i="3" s="1"/>
  <c r="EO283" i="3"/>
  <c r="EO284" i="3"/>
  <c r="EO285" i="3"/>
  <c r="EO286" i="3"/>
  <c r="EP286" i="3" s="1"/>
  <c r="EO287" i="3"/>
  <c r="EO288" i="3"/>
  <c r="EO289" i="3"/>
  <c r="EO290" i="3"/>
  <c r="EP290" i="3" s="1"/>
  <c r="EO291" i="3"/>
  <c r="EO292" i="3"/>
  <c r="EO293" i="3"/>
  <c r="EO294" i="3"/>
  <c r="EP294" i="3" s="1"/>
  <c r="EO295" i="3"/>
  <c r="EO296" i="3"/>
  <c r="EO297" i="3"/>
  <c r="EO298" i="3"/>
  <c r="EP298" i="3" s="1"/>
  <c r="EO299" i="3"/>
  <c r="EO300" i="3"/>
  <c r="EO301" i="3"/>
  <c r="EO302" i="3"/>
  <c r="EO303" i="3"/>
  <c r="EO304" i="3"/>
  <c r="EO305" i="3"/>
  <c r="EO306" i="3"/>
  <c r="EP306" i="3" s="1"/>
  <c r="EO307" i="3"/>
  <c r="EO308" i="3"/>
  <c r="EO309" i="3"/>
  <c r="EO310" i="3"/>
  <c r="EP310" i="3" s="1"/>
  <c r="EO311" i="3"/>
  <c r="EO312" i="3"/>
  <c r="EO313" i="3"/>
  <c r="EO314" i="3"/>
  <c r="EP314" i="3" s="1"/>
  <c r="EO315" i="3"/>
  <c r="EO316" i="3"/>
  <c r="EO317" i="3"/>
  <c r="EO318" i="3"/>
  <c r="EP318" i="3" s="1"/>
  <c r="EO319" i="3"/>
  <c r="EO320" i="3"/>
  <c r="EO321" i="3"/>
  <c r="EO322" i="3"/>
  <c r="EP322" i="3" s="1"/>
  <c r="EO323" i="3"/>
  <c r="EO324" i="3"/>
  <c r="EO325" i="3"/>
  <c r="EO326" i="3"/>
  <c r="EP326" i="3" s="1"/>
  <c r="EO327" i="3"/>
  <c r="EO328" i="3"/>
  <c r="EO329" i="3"/>
  <c r="EO330" i="3"/>
  <c r="EP330" i="3" s="1"/>
  <c r="EO331" i="3"/>
  <c r="EO332" i="3"/>
  <c r="EO333" i="3"/>
  <c r="EO334" i="3"/>
  <c r="EP334" i="3" s="1"/>
  <c r="EO335" i="3"/>
  <c r="EO336" i="3"/>
  <c r="EO337" i="3"/>
  <c r="EO338" i="3"/>
  <c r="EP338" i="3" s="1"/>
  <c r="EO339" i="3"/>
  <c r="EO340" i="3"/>
  <c r="EO341" i="3"/>
  <c r="EO342" i="3"/>
  <c r="EP342" i="3" s="1"/>
  <c r="EO343" i="3"/>
  <c r="EO344" i="3"/>
  <c r="EO345" i="3"/>
  <c r="EO346" i="3"/>
  <c r="EO347" i="3"/>
  <c r="EO348" i="3"/>
  <c r="EO349" i="3"/>
  <c r="EO350" i="3"/>
  <c r="EP350" i="3" s="1"/>
  <c r="EO351" i="3"/>
  <c r="EO352" i="3"/>
  <c r="EO353" i="3"/>
  <c r="EO354" i="3"/>
  <c r="EP354" i="3" s="1"/>
  <c r="EO355" i="3"/>
  <c r="EO356" i="3"/>
  <c r="EO357" i="3"/>
  <c r="EO358" i="3"/>
  <c r="EP358" i="3" s="1"/>
  <c r="EO359" i="3"/>
  <c r="EO360" i="3"/>
  <c r="EO361" i="3"/>
  <c r="EO362" i="3"/>
  <c r="EP362" i="3" s="1"/>
  <c r="EO363" i="3"/>
  <c r="EO364" i="3"/>
  <c r="EO365" i="3"/>
  <c r="EO366" i="3"/>
  <c r="EO367" i="3"/>
  <c r="EO368" i="3"/>
  <c r="EO369" i="3"/>
  <c r="EO370" i="3"/>
  <c r="EP370" i="3" s="1"/>
  <c r="EO371" i="3"/>
  <c r="EO372" i="3"/>
  <c r="EO373" i="3"/>
  <c r="EO374" i="3"/>
  <c r="EP374" i="3" s="1"/>
  <c r="EO375" i="3"/>
  <c r="EO376" i="3"/>
  <c r="EO377" i="3"/>
  <c r="EO378" i="3"/>
  <c r="EP378" i="3" s="1"/>
  <c r="EO379" i="3"/>
  <c r="EO380" i="3"/>
  <c r="EO381" i="3"/>
  <c r="EO382" i="3"/>
  <c r="EP382" i="3" s="1"/>
  <c r="EO383" i="3"/>
  <c r="EO384" i="3"/>
  <c r="EO385" i="3"/>
  <c r="EO386" i="3"/>
  <c r="EP386" i="3" s="1"/>
  <c r="EO387" i="3"/>
  <c r="EO388" i="3"/>
  <c r="EO389" i="3"/>
  <c r="EO390" i="3"/>
  <c r="EO391" i="3"/>
  <c r="EO392" i="3"/>
  <c r="EO393" i="3"/>
  <c r="EO394" i="3"/>
  <c r="EP394" i="3" s="1"/>
  <c r="EO395" i="3"/>
  <c r="EO396" i="3"/>
  <c r="EO397" i="3"/>
  <c r="EO398" i="3"/>
  <c r="EP398" i="3" s="1"/>
  <c r="EO399" i="3"/>
  <c r="EO400" i="3"/>
  <c r="EO401" i="3"/>
  <c r="EO402" i="3"/>
  <c r="EP402" i="3" s="1"/>
  <c r="EO403" i="3"/>
  <c r="EO404" i="3"/>
  <c r="EO405" i="3"/>
  <c r="EO406" i="3"/>
  <c r="EP406" i="3" s="1"/>
  <c r="EO407" i="3"/>
  <c r="EO408" i="3"/>
  <c r="EO409" i="3"/>
  <c r="EO410" i="3"/>
  <c r="EP410" i="3" s="1"/>
  <c r="EO411" i="3"/>
  <c r="EO412" i="3"/>
  <c r="EO413" i="3"/>
  <c r="EO414" i="3"/>
  <c r="EP414" i="3" s="1"/>
  <c r="EO415" i="3"/>
  <c r="EO416" i="3"/>
  <c r="EO417" i="3"/>
  <c r="EO418" i="3"/>
  <c r="EP418" i="3" s="1"/>
  <c r="EO419" i="3"/>
  <c r="EO420" i="3"/>
  <c r="EO421" i="3"/>
  <c r="EO422" i="3"/>
  <c r="EP422" i="3" s="1"/>
  <c r="EO423" i="3"/>
  <c r="EO424" i="3"/>
  <c r="EO425" i="3"/>
  <c r="EO426" i="3"/>
  <c r="EP426" i="3" s="1"/>
  <c r="EO427" i="3"/>
  <c r="EO428" i="3"/>
  <c r="EO429" i="3"/>
  <c r="EO430" i="3"/>
  <c r="EO431" i="3"/>
  <c r="EO432" i="3"/>
  <c r="EO433" i="3"/>
  <c r="EO434" i="3"/>
  <c r="EP434" i="3" s="1"/>
  <c r="EO435" i="3"/>
  <c r="EO436" i="3"/>
  <c r="EO437" i="3"/>
  <c r="EO438" i="3"/>
  <c r="EP438" i="3" s="1"/>
  <c r="EO439" i="3"/>
  <c r="EO440" i="3"/>
  <c r="EO441" i="3"/>
  <c r="EO442" i="3"/>
  <c r="EP442" i="3" s="1"/>
  <c r="EO443" i="3"/>
  <c r="EO444" i="3"/>
  <c r="EO445" i="3"/>
  <c r="EO446" i="3"/>
  <c r="EP446" i="3" s="1"/>
  <c r="EO447" i="3"/>
  <c r="EO448" i="3"/>
  <c r="EO449" i="3"/>
  <c r="EO450" i="3"/>
  <c r="EP450" i="3" s="1"/>
  <c r="EO451" i="3"/>
  <c r="EO452" i="3"/>
  <c r="EO453" i="3"/>
  <c r="EO454" i="3"/>
  <c r="EP454" i="3" s="1"/>
  <c r="EO455" i="3"/>
  <c r="EO456" i="3"/>
  <c r="EO457" i="3"/>
  <c r="EO458" i="3"/>
  <c r="EP458" i="3" s="1"/>
  <c r="EO459" i="3"/>
  <c r="EO460" i="3"/>
  <c r="EO461" i="3"/>
  <c r="EO462" i="3"/>
  <c r="EP462" i="3" s="1"/>
  <c r="EO463" i="3"/>
  <c r="EO464" i="3"/>
  <c r="EO465" i="3"/>
  <c r="EO466" i="3"/>
  <c r="EP466" i="3" s="1"/>
  <c r="EO467" i="3"/>
  <c r="EO468" i="3"/>
  <c r="EO469" i="3"/>
  <c r="EO470" i="3"/>
  <c r="EP470" i="3" s="1"/>
  <c r="EO471" i="3"/>
  <c r="EO472" i="3"/>
  <c r="EO473" i="3"/>
  <c r="EO474" i="3"/>
  <c r="EO475" i="3"/>
  <c r="EO476" i="3"/>
  <c r="EO477" i="3"/>
  <c r="EO478" i="3"/>
  <c r="EP478" i="3" s="1"/>
  <c r="EO479" i="3"/>
  <c r="EO480" i="3"/>
  <c r="EO481" i="3"/>
  <c r="EO482" i="3"/>
  <c r="EP482" i="3" s="1"/>
  <c r="EO483" i="3"/>
  <c r="EO484" i="3"/>
  <c r="EO485" i="3"/>
  <c r="EO486" i="3"/>
  <c r="EP486" i="3" s="1"/>
  <c r="EO487" i="3"/>
  <c r="EO488" i="3"/>
  <c r="EO489" i="3"/>
  <c r="EO490" i="3"/>
  <c r="EP490" i="3" s="1"/>
  <c r="EO491" i="3"/>
  <c r="EO492" i="3"/>
  <c r="EO493" i="3"/>
  <c r="EO494" i="3"/>
  <c r="EP494" i="3" s="1"/>
  <c r="EO495" i="3"/>
  <c r="EO496" i="3"/>
  <c r="EO497" i="3"/>
  <c r="EO498" i="3"/>
  <c r="EP498" i="3" s="1"/>
  <c r="EO499" i="3"/>
  <c r="EO500" i="3"/>
  <c r="EO501" i="3"/>
  <c r="EO502" i="3"/>
  <c r="EP502" i="3" s="1"/>
  <c r="EO503" i="3"/>
  <c r="EO504" i="3"/>
  <c r="EO505" i="3"/>
  <c r="EO506" i="3"/>
  <c r="EO507" i="3"/>
  <c r="EO508" i="3"/>
  <c r="EO509" i="3"/>
  <c r="EO510" i="3"/>
  <c r="EP510" i="3" s="1"/>
  <c r="EO511" i="3"/>
  <c r="EO512" i="3"/>
  <c r="EO513" i="3"/>
  <c r="EO514" i="3"/>
  <c r="EP514" i="3" s="1"/>
  <c r="EO515" i="3"/>
  <c r="EO516" i="3"/>
  <c r="EO517" i="3"/>
  <c r="EO518" i="3"/>
  <c r="EP518" i="3" s="1"/>
  <c r="EO519" i="3"/>
  <c r="EO520" i="3"/>
  <c r="EO521" i="3"/>
  <c r="EO522" i="3"/>
  <c r="EP522" i="3" s="1"/>
  <c r="EO523" i="3"/>
  <c r="EO524" i="3"/>
  <c r="EO525" i="3"/>
  <c r="EO526" i="3"/>
  <c r="EP526" i="3" s="1"/>
  <c r="EO527" i="3"/>
  <c r="EO528" i="3"/>
  <c r="EO529" i="3"/>
  <c r="EO530" i="3"/>
  <c r="EP530" i="3" s="1"/>
  <c r="EO531" i="3"/>
  <c r="EO532" i="3"/>
  <c r="EO533" i="3"/>
  <c r="EO534" i="3"/>
  <c r="EP534" i="3" s="1"/>
  <c r="EO535" i="3"/>
  <c r="EO536" i="3"/>
  <c r="EO537" i="3"/>
  <c r="EO538" i="3"/>
  <c r="EP538" i="3" s="1"/>
  <c r="EO539" i="3"/>
  <c r="EO540" i="3"/>
  <c r="EO541" i="3"/>
  <c r="EO542" i="3"/>
  <c r="EP542" i="3" s="1"/>
  <c r="EO543" i="3"/>
  <c r="EO544" i="3"/>
  <c r="EO545" i="3"/>
  <c r="EO546" i="3"/>
  <c r="EP546" i="3" s="1"/>
  <c r="EO547" i="3"/>
  <c r="EO548" i="3"/>
  <c r="EO549" i="3"/>
  <c r="EO550" i="3"/>
  <c r="EP550" i="3" s="1"/>
  <c r="EO551" i="3"/>
  <c r="EO552" i="3"/>
  <c r="EO553" i="3"/>
  <c r="EO554" i="3"/>
  <c r="EP554" i="3" s="1"/>
  <c r="EO555" i="3"/>
  <c r="EO556" i="3"/>
  <c r="EO557" i="3"/>
  <c r="EO558" i="3"/>
  <c r="EP558" i="3" s="1"/>
  <c r="EO559" i="3"/>
  <c r="EO560" i="3"/>
  <c r="EO561" i="3"/>
  <c r="EO562" i="3"/>
  <c r="EP562" i="3" s="1"/>
  <c r="EO563" i="3"/>
  <c r="EO564" i="3"/>
  <c r="EO565" i="3"/>
  <c r="EO566" i="3"/>
  <c r="EP566" i="3" s="1"/>
  <c r="EO567" i="3"/>
  <c r="EO568" i="3"/>
  <c r="EO569" i="3"/>
  <c r="EO570" i="3"/>
  <c r="EP570" i="3" s="1"/>
  <c r="EO571" i="3"/>
  <c r="EO572" i="3"/>
  <c r="EO573" i="3"/>
  <c r="EO574" i="3"/>
  <c r="EP574" i="3" s="1"/>
  <c r="EO575" i="3"/>
  <c r="EO576" i="3"/>
  <c r="EO577" i="3"/>
  <c r="EO578" i="3"/>
  <c r="EP578" i="3" s="1"/>
  <c r="EO579" i="3"/>
  <c r="EO580" i="3"/>
  <c r="EO581" i="3"/>
  <c r="EO582" i="3"/>
  <c r="EP582" i="3" s="1"/>
  <c r="EO583" i="3"/>
  <c r="EO584" i="3"/>
  <c r="EO585" i="3"/>
  <c r="EO586" i="3"/>
  <c r="EP586" i="3" s="1"/>
  <c r="EO587" i="3"/>
  <c r="EO588" i="3"/>
  <c r="EO589" i="3"/>
  <c r="EO590" i="3"/>
  <c r="EP590" i="3" s="1"/>
  <c r="EO591" i="3"/>
  <c r="EO592" i="3"/>
  <c r="EO593" i="3"/>
  <c r="EO594" i="3"/>
  <c r="EP594" i="3" s="1"/>
  <c r="EO595" i="3"/>
  <c r="EO596" i="3"/>
  <c r="EO597" i="3"/>
  <c r="EO598" i="3"/>
  <c r="EP598" i="3" s="1"/>
  <c r="EO599" i="3"/>
  <c r="EO600" i="3"/>
  <c r="EP38" i="3"/>
  <c r="EP70" i="3"/>
  <c r="EP366" i="3"/>
  <c r="EQ9" i="3"/>
  <c r="EQ10" i="3"/>
  <c r="ER10" i="3" s="1"/>
  <c r="EQ11" i="3"/>
  <c r="EQ12" i="3"/>
  <c r="EQ13" i="3"/>
  <c r="EQ14" i="3"/>
  <c r="ER14" i="3" s="1"/>
  <c r="EQ15" i="3"/>
  <c r="EQ16" i="3"/>
  <c r="EQ17" i="3"/>
  <c r="EQ18" i="3"/>
  <c r="ER18" i="3" s="1"/>
  <c r="EQ19" i="3"/>
  <c r="EQ20" i="3"/>
  <c r="EQ21" i="3"/>
  <c r="EQ22" i="3"/>
  <c r="ER22" i="3" s="1"/>
  <c r="EQ23" i="3"/>
  <c r="EQ24" i="3"/>
  <c r="EQ25" i="3"/>
  <c r="EQ26" i="3"/>
  <c r="ER26" i="3" s="1"/>
  <c r="EQ27" i="3"/>
  <c r="EQ28" i="3"/>
  <c r="EQ29" i="3"/>
  <c r="EQ30" i="3"/>
  <c r="ER30" i="3" s="1"/>
  <c r="EQ31" i="3"/>
  <c r="EQ32" i="3"/>
  <c r="EQ33" i="3"/>
  <c r="EQ34" i="3"/>
  <c r="ER34" i="3" s="1"/>
  <c r="EQ35" i="3"/>
  <c r="EQ36" i="3"/>
  <c r="EQ37" i="3"/>
  <c r="EQ38" i="3"/>
  <c r="ER38" i="3" s="1"/>
  <c r="EQ39" i="3"/>
  <c r="EQ40" i="3"/>
  <c r="EQ41" i="3"/>
  <c r="EQ42" i="3"/>
  <c r="ER42" i="3" s="1"/>
  <c r="EQ43" i="3"/>
  <c r="EQ44" i="3"/>
  <c r="EQ45" i="3"/>
  <c r="EQ46" i="3"/>
  <c r="ER46" i="3" s="1"/>
  <c r="EQ47" i="3"/>
  <c r="EQ48" i="3"/>
  <c r="EQ49" i="3"/>
  <c r="EQ50" i="3"/>
  <c r="ER50" i="3" s="1"/>
  <c r="EQ51" i="3"/>
  <c r="EQ52" i="3"/>
  <c r="EQ53" i="3"/>
  <c r="EQ54" i="3"/>
  <c r="ER54" i="3" s="1"/>
  <c r="EQ55" i="3"/>
  <c r="EQ56" i="3"/>
  <c r="EQ57" i="3"/>
  <c r="EQ58" i="3"/>
  <c r="ER58" i="3" s="1"/>
  <c r="EQ59" i="3"/>
  <c r="EQ60" i="3"/>
  <c r="EQ61" i="3"/>
  <c r="EQ62" i="3"/>
  <c r="ER62" i="3" s="1"/>
  <c r="EQ63" i="3"/>
  <c r="EQ64" i="3"/>
  <c r="EQ65" i="3"/>
  <c r="EQ66" i="3"/>
  <c r="ER66" i="3" s="1"/>
  <c r="EQ67" i="3"/>
  <c r="EQ68" i="3"/>
  <c r="EQ69" i="3"/>
  <c r="EQ70" i="3"/>
  <c r="ER70" i="3" s="1"/>
  <c r="EQ71" i="3"/>
  <c r="EQ72" i="3"/>
  <c r="EQ73" i="3"/>
  <c r="EQ74" i="3"/>
  <c r="ER74" i="3" s="1"/>
  <c r="EQ75" i="3"/>
  <c r="EQ76" i="3"/>
  <c r="EQ77" i="3"/>
  <c r="EQ78" i="3"/>
  <c r="ER78" i="3" s="1"/>
  <c r="EQ79" i="3"/>
  <c r="EQ80" i="3"/>
  <c r="EQ81" i="3"/>
  <c r="EQ82" i="3"/>
  <c r="ER82" i="3" s="1"/>
  <c r="EQ83" i="3"/>
  <c r="EQ84" i="3"/>
  <c r="EQ85" i="3"/>
  <c r="EQ86" i="3"/>
  <c r="ER86" i="3" s="1"/>
  <c r="EQ87" i="3"/>
  <c r="EQ88" i="3"/>
  <c r="EQ89" i="3"/>
  <c r="EQ90" i="3"/>
  <c r="ER90" i="3" s="1"/>
  <c r="EQ91" i="3"/>
  <c r="EQ92" i="3"/>
  <c r="EQ93" i="3"/>
  <c r="EQ94" i="3"/>
  <c r="ER94" i="3" s="1"/>
  <c r="EQ95" i="3"/>
  <c r="EQ96" i="3"/>
  <c r="EQ97" i="3"/>
  <c r="EQ98" i="3"/>
  <c r="ER98" i="3" s="1"/>
  <c r="EQ99" i="3"/>
  <c r="EQ100" i="3"/>
  <c r="EQ101" i="3"/>
  <c r="EQ102" i="3"/>
  <c r="ER102" i="3" s="1"/>
  <c r="EQ103" i="3"/>
  <c r="EQ104" i="3"/>
  <c r="EQ105" i="3"/>
  <c r="EQ106" i="3"/>
  <c r="ER106" i="3" s="1"/>
  <c r="EQ107" i="3"/>
  <c r="EQ108" i="3"/>
  <c r="EQ109" i="3"/>
  <c r="EQ110" i="3"/>
  <c r="ER110" i="3" s="1"/>
  <c r="EQ111" i="3"/>
  <c r="EQ112" i="3"/>
  <c r="EQ113" i="3"/>
  <c r="EQ114" i="3"/>
  <c r="ER114" i="3" s="1"/>
  <c r="EQ115" i="3"/>
  <c r="EQ116" i="3"/>
  <c r="EQ117" i="3"/>
  <c r="EQ118" i="3"/>
  <c r="ER118" i="3" s="1"/>
  <c r="EQ119" i="3"/>
  <c r="EQ120" i="3"/>
  <c r="EQ121" i="3"/>
  <c r="EQ122" i="3"/>
  <c r="ER122" i="3" s="1"/>
  <c r="EQ123" i="3"/>
  <c r="EQ124" i="3"/>
  <c r="EQ125" i="3"/>
  <c r="EQ126" i="3"/>
  <c r="ER126" i="3" s="1"/>
  <c r="EQ127" i="3"/>
  <c r="EQ128" i="3"/>
  <c r="EQ129" i="3"/>
  <c r="EQ130" i="3"/>
  <c r="ER130" i="3" s="1"/>
  <c r="EQ131" i="3"/>
  <c r="EQ132" i="3"/>
  <c r="EQ133" i="3"/>
  <c r="EQ134" i="3"/>
  <c r="ER134" i="3" s="1"/>
  <c r="EQ135" i="3"/>
  <c r="EQ136" i="3"/>
  <c r="EQ137" i="3"/>
  <c r="EQ138" i="3"/>
  <c r="ER138" i="3" s="1"/>
  <c r="EQ139" i="3"/>
  <c r="EQ140" i="3"/>
  <c r="EQ141" i="3"/>
  <c r="EQ142" i="3"/>
  <c r="ER142" i="3" s="1"/>
  <c r="EQ143" i="3"/>
  <c r="EQ144" i="3"/>
  <c r="EQ145" i="3"/>
  <c r="EQ146" i="3"/>
  <c r="ER146" i="3" s="1"/>
  <c r="EQ147" i="3"/>
  <c r="EQ148" i="3"/>
  <c r="EQ149" i="3"/>
  <c r="EQ150" i="3"/>
  <c r="ER150" i="3" s="1"/>
  <c r="EQ151" i="3"/>
  <c r="EQ152" i="3"/>
  <c r="EQ153" i="3"/>
  <c r="EQ154" i="3"/>
  <c r="ER154" i="3" s="1"/>
  <c r="EQ155" i="3"/>
  <c r="EQ156" i="3"/>
  <c r="EQ157" i="3"/>
  <c r="EQ158" i="3"/>
  <c r="ER158" i="3" s="1"/>
  <c r="EQ159" i="3"/>
  <c r="EQ160" i="3"/>
  <c r="EQ161" i="3"/>
  <c r="EQ162" i="3"/>
  <c r="ER162" i="3" s="1"/>
  <c r="EQ163" i="3"/>
  <c r="EQ164" i="3"/>
  <c r="EQ165" i="3"/>
  <c r="EQ166" i="3"/>
  <c r="ER166" i="3" s="1"/>
  <c r="EQ167" i="3"/>
  <c r="EQ168" i="3"/>
  <c r="EQ169" i="3"/>
  <c r="EQ170" i="3"/>
  <c r="ER170" i="3" s="1"/>
  <c r="EQ171" i="3"/>
  <c r="EQ172" i="3"/>
  <c r="EQ173" i="3"/>
  <c r="EQ174" i="3"/>
  <c r="ER174" i="3" s="1"/>
  <c r="EQ175" i="3"/>
  <c r="EQ176" i="3"/>
  <c r="EQ177" i="3"/>
  <c r="EQ178" i="3"/>
  <c r="ER178" i="3" s="1"/>
  <c r="EQ179" i="3"/>
  <c r="EQ180" i="3"/>
  <c r="EQ181" i="3"/>
  <c r="EQ182" i="3"/>
  <c r="ER182" i="3" s="1"/>
  <c r="EQ183" i="3"/>
  <c r="EQ184" i="3"/>
  <c r="EQ185" i="3"/>
  <c r="EQ186" i="3"/>
  <c r="ER186" i="3" s="1"/>
  <c r="EQ187" i="3"/>
  <c r="EQ188" i="3"/>
  <c r="EQ189" i="3"/>
  <c r="EQ190" i="3"/>
  <c r="ER190" i="3" s="1"/>
  <c r="EQ191" i="3"/>
  <c r="EQ192" i="3"/>
  <c r="EQ193" i="3"/>
  <c r="EQ194" i="3"/>
  <c r="ER194" i="3" s="1"/>
  <c r="EQ195" i="3"/>
  <c r="EQ196" i="3"/>
  <c r="EQ197" i="3"/>
  <c r="EQ198" i="3"/>
  <c r="ER198" i="3" s="1"/>
  <c r="EQ199" i="3"/>
  <c r="EQ200" i="3"/>
  <c r="EQ201" i="3"/>
  <c r="EQ202" i="3"/>
  <c r="ER202" i="3" s="1"/>
  <c r="EQ203" i="3"/>
  <c r="EQ204" i="3"/>
  <c r="EQ205" i="3"/>
  <c r="EQ206" i="3"/>
  <c r="ER206" i="3" s="1"/>
  <c r="EQ207" i="3"/>
  <c r="EQ208" i="3"/>
  <c r="EQ209" i="3"/>
  <c r="EQ210" i="3"/>
  <c r="ER210" i="3" s="1"/>
  <c r="EQ211" i="3"/>
  <c r="EQ212" i="3"/>
  <c r="EQ213" i="3"/>
  <c r="EQ214" i="3"/>
  <c r="ER214" i="3" s="1"/>
  <c r="EQ215" i="3"/>
  <c r="EQ216" i="3"/>
  <c r="EQ217" i="3"/>
  <c r="EQ218" i="3"/>
  <c r="ER218" i="3" s="1"/>
  <c r="EQ219" i="3"/>
  <c r="EQ220" i="3"/>
  <c r="EQ221" i="3"/>
  <c r="EQ222" i="3"/>
  <c r="ER222" i="3" s="1"/>
  <c r="EQ223" i="3"/>
  <c r="EQ224" i="3"/>
  <c r="EQ225" i="3"/>
  <c r="EQ226" i="3"/>
  <c r="ER226" i="3" s="1"/>
  <c r="EQ227" i="3"/>
  <c r="EQ228" i="3"/>
  <c r="EQ229" i="3"/>
  <c r="EQ230" i="3"/>
  <c r="ER230" i="3" s="1"/>
  <c r="EQ231" i="3"/>
  <c r="EQ232" i="3"/>
  <c r="EQ233" i="3"/>
  <c r="EQ234" i="3"/>
  <c r="ER234" i="3" s="1"/>
  <c r="EQ235" i="3"/>
  <c r="EQ236" i="3"/>
  <c r="EQ237" i="3"/>
  <c r="EQ238" i="3"/>
  <c r="ER238" i="3" s="1"/>
  <c r="EQ239" i="3"/>
  <c r="EQ240" i="3"/>
  <c r="EQ241" i="3"/>
  <c r="EQ242" i="3"/>
  <c r="ER242" i="3" s="1"/>
  <c r="EQ243" i="3"/>
  <c r="EQ244" i="3"/>
  <c r="EQ245" i="3"/>
  <c r="EQ246" i="3"/>
  <c r="ER246" i="3" s="1"/>
  <c r="EQ247" i="3"/>
  <c r="EQ248" i="3"/>
  <c r="EQ249" i="3"/>
  <c r="EQ250" i="3"/>
  <c r="ER250" i="3" s="1"/>
  <c r="EQ251" i="3"/>
  <c r="EQ252" i="3"/>
  <c r="EQ253" i="3"/>
  <c r="EQ254" i="3"/>
  <c r="ER254" i="3" s="1"/>
  <c r="EQ255" i="3"/>
  <c r="EQ256" i="3"/>
  <c r="EQ257" i="3"/>
  <c r="EQ258" i="3"/>
  <c r="ER258" i="3" s="1"/>
  <c r="EQ259" i="3"/>
  <c r="EQ260" i="3"/>
  <c r="EQ261" i="3"/>
  <c r="EQ262" i="3"/>
  <c r="ER262" i="3" s="1"/>
  <c r="EQ263" i="3"/>
  <c r="EQ264" i="3"/>
  <c r="EQ265" i="3"/>
  <c r="EQ266" i="3"/>
  <c r="ER266" i="3" s="1"/>
  <c r="EQ267" i="3"/>
  <c r="EQ268" i="3"/>
  <c r="EQ269" i="3"/>
  <c r="EQ270" i="3"/>
  <c r="ER270" i="3" s="1"/>
  <c r="EQ271" i="3"/>
  <c r="EQ272" i="3"/>
  <c r="EQ273" i="3"/>
  <c r="EQ274" i="3"/>
  <c r="ER274" i="3" s="1"/>
  <c r="EQ275" i="3"/>
  <c r="EQ276" i="3"/>
  <c r="EQ277" i="3"/>
  <c r="EQ278" i="3"/>
  <c r="ER278" i="3" s="1"/>
  <c r="EQ279" i="3"/>
  <c r="EQ280" i="3"/>
  <c r="EQ281" i="3"/>
  <c r="EQ282" i="3"/>
  <c r="ER282" i="3" s="1"/>
  <c r="EQ283" i="3"/>
  <c r="EQ284" i="3"/>
  <c r="EQ285" i="3"/>
  <c r="EQ286" i="3"/>
  <c r="ER286" i="3" s="1"/>
  <c r="EQ287" i="3"/>
  <c r="EQ288" i="3"/>
  <c r="EQ289" i="3"/>
  <c r="EQ290" i="3"/>
  <c r="ER290" i="3" s="1"/>
  <c r="EQ291" i="3"/>
  <c r="EQ292" i="3"/>
  <c r="EQ293" i="3"/>
  <c r="EQ294" i="3"/>
  <c r="ER294" i="3" s="1"/>
  <c r="EQ295" i="3"/>
  <c r="EQ296" i="3"/>
  <c r="EQ297" i="3"/>
  <c r="EQ298" i="3"/>
  <c r="ER298" i="3" s="1"/>
  <c r="EQ299" i="3"/>
  <c r="EQ300" i="3"/>
  <c r="EQ301" i="3"/>
  <c r="EQ302" i="3"/>
  <c r="ER302" i="3" s="1"/>
  <c r="EQ303" i="3"/>
  <c r="EQ304" i="3"/>
  <c r="EQ305" i="3"/>
  <c r="EQ306" i="3"/>
  <c r="ER306" i="3" s="1"/>
  <c r="EQ307" i="3"/>
  <c r="EQ308" i="3"/>
  <c r="EQ309" i="3"/>
  <c r="EQ310" i="3"/>
  <c r="ER310" i="3" s="1"/>
  <c r="EQ311" i="3"/>
  <c r="EQ312" i="3"/>
  <c r="EQ313" i="3"/>
  <c r="EQ314" i="3"/>
  <c r="ER314" i="3" s="1"/>
  <c r="EQ315" i="3"/>
  <c r="EQ316" i="3"/>
  <c r="EQ317" i="3"/>
  <c r="EQ318" i="3"/>
  <c r="ER318" i="3" s="1"/>
  <c r="EQ319" i="3"/>
  <c r="EQ320" i="3"/>
  <c r="EQ321" i="3"/>
  <c r="EQ322" i="3"/>
  <c r="ER322" i="3" s="1"/>
  <c r="EQ323" i="3"/>
  <c r="EQ324" i="3"/>
  <c r="EQ325" i="3"/>
  <c r="EQ326" i="3"/>
  <c r="ER326" i="3" s="1"/>
  <c r="EQ327" i="3"/>
  <c r="EQ328" i="3"/>
  <c r="EQ329" i="3"/>
  <c r="EQ330" i="3"/>
  <c r="ER330" i="3" s="1"/>
  <c r="EQ331" i="3"/>
  <c r="EQ332" i="3"/>
  <c r="EQ333" i="3"/>
  <c r="EQ334" i="3"/>
  <c r="ER334" i="3" s="1"/>
  <c r="EQ335" i="3"/>
  <c r="EQ336" i="3"/>
  <c r="EQ337" i="3"/>
  <c r="EQ338" i="3"/>
  <c r="ER338" i="3" s="1"/>
  <c r="EQ339" i="3"/>
  <c r="EQ340" i="3"/>
  <c r="EQ341" i="3"/>
  <c r="EQ342" i="3"/>
  <c r="ER342" i="3" s="1"/>
  <c r="EQ343" i="3"/>
  <c r="EQ344" i="3"/>
  <c r="EQ345" i="3"/>
  <c r="EQ346" i="3"/>
  <c r="ER346" i="3" s="1"/>
  <c r="EQ347" i="3"/>
  <c r="EQ348" i="3"/>
  <c r="EQ349" i="3"/>
  <c r="EQ350" i="3"/>
  <c r="ER350" i="3" s="1"/>
  <c r="EQ351" i="3"/>
  <c r="EQ352" i="3"/>
  <c r="EQ353" i="3"/>
  <c r="EQ354" i="3"/>
  <c r="ER354" i="3" s="1"/>
  <c r="EQ355" i="3"/>
  <c r="EQ356" i="3"/>
  <c r="EQ357" i="3"/>
  <c r="EQ358" i="3"/>
  <c r="ER358" i="3" s="1"/>
  <c r="EQ359" i="3"/>
  <c r="EQ360" i="3"/>
  <c r="EQ361" i="3"/>
  <c r="EQ362" i="3"/>
  <c r="ER362" i="3" s="1"/>
  <c r="EQ363" i="3"/>
  <c r="EQ364" i="3"/>
  <c r="EQ365" i="3"/>
  <c r="EQ366" i="3"/>
  <c r="ER366" i="3" s="1"/>
  <c r="EQ367" i="3"/>
  <c r="EQ368" i="3"/>
  <c r="EQ369" i="3"/>
  <c r="EQ370" i="3"/>
  <c r="ER370" i="3" s="1"/>
  <c r="EQ371" i="3"/>
  <c r="EQ372" i="3"/>
  <c r="EQ373" i="3"/>
  <c r="EQ374" i="3"/>
  <c r="ER374" i="3" s="1"/>
  <c r="EQ375" i="3"/>
  <c r="EQ376" i="3"/>
  <c r="EQ377" i="3"/>
  <c r="EQ378" i="3"/>
  <c r="ER378" i="3" s="1"/>
  <c r="EQ379" i="3"/>
  <c r="EQ380" i="3"/>
  <c r="EQ381" i="3"/>
  <c r="EQ382" i="3"/>
  <c r="ER382" i="3" s="1"/>
  <c r="EQ383" i="3"/>
  <c r="EQ384" i="3"/>
  <c r="EQ385" i="3"/>
  <c r="EQ386" i="3"/>
  <c r="ER386" i="3" s="1"/>
  <c r="EQ387" i="3"/>
  <c r="EQ388" i="3"/>
  <c r="EQ389" i="3"/>
  <c r="EQ390" i="3"/>
  <c r="ER390" i="3" s="1"/>
  <c r="EQ391" i="3"/>
  <c r="EQ392" i="3"/>
  <c r="EQ393" i="3"/>
  <c r="EQ394" i="3"/>
  <c r="ER394" i="3" s="1"/>
  <c r="EQ395" i="3"/>
  <c r="EQ396" i="3"/>
  <c r="EQ397" i="3"/>
  <c r="EQ398" i="3"/>
  <c r="ER398" i="3" s="1"/>
  <c r="EQ399" i="3"/>
  <c r="EQ400" i="3"/>
  <c r="EQ401" i="3"/>
  <c r="EQ402" i="3"/>
  <c r="ER402" i="3" s="1"/>
  <c r="EQ403" i="3"/>
  <c r="EQ404" i="3"/>
  <c r="EQ405" i="3"/>
  <c r="EQ406" i="3"/>
  <c r="ER406" i="3" s="1"/>
  <c r="EQ407" i="3"/>
  <c r="EQ408" i="3"/>
  <c r="EQ409" i="3"/>
  <c r="EQ410" i="3"/>
  <c r="ER410" i="3" s="1"/>
  <c r="EQ411" i="3"/>
  <c r="EQ412" i="3"/>
  <c r="EQ413" i="3"/>
  <c r="EQ414" i="3"/>
  <c r="ER414" i="3" s="1"/>
  <c r="EQ415" i="3"/>
  <c r="EQ416" i="3"/>
  <c r="EQ417" i="3"/>
  <c r="EQ418" i="3"/>
  <c r="ER418" i="3" s="1"/>
  <c r="EQ419" i="3"/>
  <c r="EQ420" i="3"/>
  <c r="EQ421" i="3"/>
  <c r="EQ422" i="3"/>
  <c r="ER422" i="3" s="1"/>
  <c r="EQ423" i="3"/>
  <c r="EQ424" i="3"/>
  <c r="EQ425" i="3"/>
  <c r="EQ426" i="3"/>
  <c r="ER426" i="3" s="1"/>
  <c r="EQ427" i="3"/>
  <c r="EQ428" i="3"/>
  <c r="EQ429" i="3"/>
  <c r="EQ430" i="3"/>
  <c r="ER430" i="3" s="1"/>
  <c r="EQ431" i="3"/>
  <c r="EQ432" i="3"/>
  <c r="EQ433" i="3"/>
  <c r="EQ434" i="3"/>
  <c r="ER434" i="3" s="1"/>
  <c r="EQ435" i="3"/>
  <c r="EQ436" i="3"/>
  <c r="EQ437" i="3"/>
  <c r="EQ438" i="3"/>
  <c r="ER438" i="3" s="1"/>
  <c r="EQ439" i="3"/>
  <c r="EQ440" i="3"/>
  <c r="EQ441" i="3"/>
  <c r="EQ442" i="3"/>
  <c r="ER442" i="3" s="1"/>
  <c r="EQ443" i="3"/>
  <c r="EQ444" i="3"/>
  <c r="EQ445" i="3"/>
  <c r="EQ446" i="3"/>
  <c r="ER446" i="3" s="1"/>
  <c r="EQ447" i="3"/>
  <c r="EQ448" i="3"/>
  <c r="EQ449" i="3"/>
  <c r="EQ450" i="3"/>
  <c r="ER450" i="3" s="1"/>
  <c r="EQ451" i="3"/>
  <c r="EQ452" i="3"/>
  <c r="EQ453" i="3"/>
  <c r="EQ454" i="3"/>
  <c r="ER454" i="3" s="1"/>
  <c r="EQ455" i="3"/>
  <c r="EQ456" i="3"/>
  <c r="EQ457" i="3"/>
  <c r="EQ458" i="3"/>
  <c r="ER458" i="3" s="1"/>
  <c r="EQ459" i="3"/>
  <c r="EQ460" i="3"/>
  <c r="EQ461" i="3"/>
  <c r="EQ462" i="3"/>
  <c r="ER462" i="3" s="1"/>
  <c r="EQ463" i="3"/>
  <c r="EQ464" i="3"/>
  <c r="EQ465" i="3"/>
  <c r="EQ466" i="3"/>
  <c r="ER466" i="3" s="1"/>
  <c r="EQ467" i="3"/>
  <c r="ER467" i="3" s="1"/>
  <c r="EQ468" i="3"/>
  <c r="EQ469" i="3"/>
  <c r="EQ470" i="3"/>
  <c r="ER470" i="3" s="1"/>
  <c r="EQ471" i="3"/>
  <c r="ER471" i="3" s="1"/>
  <c r="EQ472" i="3"/>
  <c r="EQ473" i="3"/>
  <c r="EQ474" i="3"/>
  <c r="ER474" i="3" s="1"/>
  <c r="EQ475" i="3"/>
  <c r="ER475" i="3" s="1"/>
  <c r="EQ476" i="3"/>
  <c r="EQ477" i="3"/>
  <c r="EQ478" i="3"/>
  <c r="ER478" i="3" s="1"/>
  <c r="EQ479" i="3"/>
  <c r="ER479" i="3" s="1"/>
  <c r="EQ480" i="3"/>
  <c r="EQ481" i="3"/>
  <c r="EQ482" i="3"/>
  <c r="ER482" i="3" s="1"/>
  <c r="EQ483" i="3"/>
  <c r="ER483" i="3" s="1"/>
  <c r="EQ484" i="3"/>
  <c r="EQ485" i="3"/>
  <c r="EQ486" i="3"/>
  <c r="ER486" i="3" s="1"/>
  <c r="EQ487" i="3"/>
  <c r="ER487" i="3" s="1"/>
  <c r="EQ488" i="3"/>
  <c r="EQ489" i="3"/>
  <c r="EQ490" i="3"/>
  <c r="ER490" i="3" s="1"/>
  <c r="EQ491" i="3"/>
  <c r="ER491" i="3" s="1"/>
  <c r="EQ492" i="3"/>
  <c r="EQ493" i="3"/>
  <c r="EQ494" i="3"/>
  <c r="ER494" i="3" s="1"/>
  <c r="EQ495" i="3"/>
  <c r="ER495" i="3" s="1"/>
  <c r="EQ496" i="3"/>
  <c r="EQ497" i="3"/>
  <c r="EQ498" i="3"/>
  <c r="ER498" i="3" s="1"/>
  <c r="EQ499" i="3"/>
  <c r="ER499" i="3" s="1"/>
  <c r="EQ500" i="3"/>
  <c r="EQ501" i="3"/>
  <c r="EQ502" i="3"/>
  <c r="ER502" i="3" s="1"/>
  <c r="EQ503" i="3"/>
  <c r="ER503" i="3" s="1"/>
  <c r="EQ504" i="3"/>
  <c r="EQ505" i="3"/>
  <c r="EQ506" i="3"/>
  <c r="ER506" i="3" s="1"/>
  <c r="EQ507" i="3"/>
  <c r="ER507" i="3" s="1"/>
  <c r="EQ508" i="3"/>
  <c r="EQ509" i="3"/>
  <c r="EQ510" i="3"/>
  <c r="ER510" i="3" s="1"/>
  <c r="EQ511" i="3"/>
  <c r="ER511" i="3" s="1"/>
  <c r="EQ512" i="3"/>
  <c r="EQ513" i="3"/>
  <c r="EQ514" i="3"/>
  <c r="ER514" i="3" s="1"/>
  <c r="EQ515" i="3"/>
  <c r="ER515" i="3" s="1"/>
  <c r="EQ516" i="3"/>
  <c r="EQ517" i="3"/>
  <c r="EQ518" i="3"/>
  <c r="ER518" i="3" s="1"/>
  <c r="EQ519" i="3"/>
  <c r="ER519" i="3" s="1"/>
  <c r="EQ520" i="3"/>
  <c r="EQ521" i="3"/>
  <c r="EQ522" i="3"/>
  <c r="ER522" i="3" s="1"/>
  <c r="EQ523" i="3"/>
  <c r="ER523" i="3" s="1"/>
  <c r="EQ524" i="3"/>
  <c r="EQ525" i="3"/>
  <c r="EQ526" i="3"/>
  <c r="ER526" i="3" s="1"/>
  <c r="EQ527" i="3"/>
  <c r="ER527" i="3" s="1"/>
  <c r="EQ528" i="3"/>
  <c r="EQ529" i="3"/>
  <c r="EQ530" i="3"/>
  <c r="ER530" i="3" s="1"/>
  <c r="EQ531" i="3"/>
  <c r="ER531" i="3" s="1"/>
  <c r="EQ532" i="3"/>
  <c r="EQ533" i="3"/>
  <c r="EQ534" i="3"/>
  <c r="ER534" i="3" s="1"/>
  <c r="EQ535" i="3"/>
  <c r="ER535" i="3" s="1"/>
  <c r="EQ536" i="3"/>
  <c r="EQ537" i="3"/>
  <c r="EQ538" i="3"/>
  <c r="ER538" i="3" s="1"/>
  <c r="EQ539" i="3"/>
  <c r="ER539" i="3" s="1"/>
  <c r="EQ540" i="3"/>
  <c r="EQ541" i="3"/>
  <c r="EQ542" i="3"/>
  <c r="ER542" i="3" s="1"/>
  <c r="EQ543" i="3"/>
  <c r="ER543" i="3" s="1"/>
  <c r="EQ544" i="3"/>
  <c r="EQ545" i="3"/>
  <c r="EQ546" i="3"/>
  <c r="ER546" i="3" s="1"/>
  <c r="EQ547" i="3"/>
  <c r="ER547" i="3" s="1"/>
  <c r="EQ548" i="3"/>
  <c r="EQ549" i="3"/>
  <c r="EQ550" i="3"/>
  <c r="ER550" i="3" s="1"/>
  <c r="EQ551" i="3"/>
  <c r="ER551" i="3" s="1"/>
  <c r="EQ552" i="3"/>
  <c r="EQ553" i="3"/>
  <c r="EQ554" i="3"/>
  <c r="ER554" i="3" s="1"/>
  <c r="EQ555" i="3"/>
  <c r="ER555" i="3" s="1"/>
  <c r="EQ556" i="3"/>
  <c r="EQ557" i="3"/>
  <c r="EQ558" i="3"/>
  <c r="ER558" i="3" s="1"/>
  <c r="EQ559" i="3"/>
  <c r="ER559" i="3" s="1"/>
  <c r="EQ560" i="3"/>
  <c r="EQ561" i="3"/>
  <c r="EQ562" i="3"/>
  <c r="ER562" i="3" s="1"/>
  <c r="EQ563" i="3"/>
  <c r="ER563" i="3" s="1"/>
  <c r="EQ564" i="3"/>
  <c r="EQ565" i="3"/>
  <c r="EQ566" i="3"/>
  <c r="ER566" i="3" s="1"/>
  <c r="EQ567" i="3"/>
  <c r="ER567" i="3" s="1"/>
  <c r="EQ568" i="3"/>
  <c r="EQ569" i="3"/>
  <c r="EQ570" i="3"/>
  <c r="ER570" i="3" s="1"/>
  <c r="EQ571" i="3"/>
  <c r="ER571" i="3" s="1"/>
  <c r="EQ572" i="3"/>
  <c r="EQ573" i="3"/>
  <c r="EQ574" i="3"/>
  <c r="EQ575" i="3"/>
  <c r="EQ576" i="3"/>
  <c r="EQ577" i="3"/>
  <c r="EQ578" i="3"/>
  <c r="EQ579" i="3"/>
  <c r="EQ580" i="3"/>
  <c r="EQ581" i="3"/>
  <c r="EQ582" i="3"/>
  <c r="EQ583" i="3"/>
  <c r="EQ584" i="3"/>
  <c r="EQ585" i="3"/>
  <c r="EQ586" i="3"/>
  <c r="EQ587" i="3"/>
  <c r="ER587" i="3" s="1"/>
  <c r="EQ588" i="3"/>
  <c r="EQ589" i="3"/>
  <c r="EQ590" i="3"/>
  <c r="EQ591" i="3"/>
  <c r="EQ592" i="3"/>
  <c r="EQ593" i="3"/>
  <c r="EQ594" i="3"/>
  <c r="EQ595" i="3"/>
  <c r="EQ596" i="3"/>
  <c r="EQ597" i="3"/>
  <c r="EQ598" i="3"/>
  <c r="EQ599" i="3"/>
  <c r="EQ600" i="3"/>
  <c r="ER77" i="3"/>
  <c r="ER88" i="3"/>
  <c r="ER148" i="3"/>
  <c r="ER400" i="3"/>
  <c r="ER476" i="3"/>
  <c r="ER556" i="3"/>
  <c r="ES11" i="3"/>
  <c r="ES139" i="3"/>
  <c r="ES267" i="3"/>
  <c r="ES298" i="3"/>
  <c r="ES306" i="3"/>
  <c r="ES322" i="3"/>
  <c r="ES326" i="3"/>
  <c r="ES328" i="3"/>
  <c r="ES334" i="3"/>
  <c r="ES338" i="3"/>
  <c r="ES342" i="3"/>
  <c r="ES346" i="3"/>
  <c r="ES350" i="3"/>
  <c r="ES352" i="3"/>
  <c r="ES354" i="3"/>
  <c r="ES358" i="3"/>
  <c r="ES362" i="3"/>
  <c r="ES366" i="3"/>
  <c r="ES370" i="3"/>
  <c r="ES374" i="3"/>
  <c r="ES376" i="3"/>
  <c r="ES378" i="3"/>
  <c r="ES382" i="3"/>
  <c r="ES386" i="3"/>
  <c r="ES390" i="3"/>
  <c r="ES392" i="3"/>
  <c r="ES394" i="3"/>
  <c r="ES398" i="3"/>
  <c r="ES402" i="3"/>
  <c r="ES406" i="3"/>
  <c r="ES410" i="3"/>
  <c r="ES414" i="3"/>
  <c r="ES416" i="3"/>
  <c r="ES418" i="3"/>
  <c r="ES422" i="3"/>
  <c r="ES424" i="3"/>
  <c r="ES426" i="3"/>
  <c r="ES430" i="3"/>
  <c r="ES434" i="3"/>
  <c r="ES438" i="3"/>
  <c r="ES440" i="3"/>
  <c r="ES442" i="3"/>
  <c r="ES446" i="3"/>
  <c r="ES448" i="3"/>
  <c r="ES450" i="3"/>
  <c r="ES454" i="3"/>
  <c r="ES458" i="3"/>
  <c r="ES462" i="3"/>
  <c r="ES466" i="3"/>
  <c r="ES470" i="3"/>
  <c r="ES472" i="3"/>
  <c r="ES474" i="3"/>
  <c r="ES478" i="3"/>
  <c r="ES482" i="3"/>
  <c r="ES486" i="3"/>
  <c r="ES490" i="3"/>
  <c r="ES494" i="3"/>
  <c r="ES498" i="3"/>
  <c r="ES501" i="3"/>
  <c r="ES502" i="3"/>
  <c r="ES506" i="3"/>
  <c r="ES508" i="3"/>
  <c r="ES510" i="3"/>
  <c r="ES514" i="3"/>
  <c r="ES518" i="3"/>
  <c r="ES522" i="3"/>
  <c r="ES524" i="3"/>
  <c r="ES526" i="3"/>
  <c r="ES530" i="3"/>
  <c r="ES534" i="3"/>
  <c r="ES538" i="3"/>
  <c r="ES542" i="3"/>
  <c r="ES546" i="3"/>
  <c r="ES548" i="3"/>
  <c r="ES550" i="3"/>
  <c r="ES554" i="3"/>
  <c r="ES558" i="3"/>
  <c r="ES562" i="3"/>
  <c r="ES566" i="3"/>
  <c r="ES570" i="3"/>
  <c r="ES572" i="3"/>
  <c r="ES574" i="3"/>
  <c r="ES578" i="3"/>
  <c r="ES582" i="3"/>
  <c r="ES586" i="3"/>
  <c r="ES588" i="3"/>
  <c r="ES590" i="3"/>
  <c r="ES594" i="3"/>
  <c r="ES598" i="3"/>
  <c r="ET10" i="3"/>
  <c r="ET12" i="3"/>
  <c r="ET14" i="3"/>
  <c r="ET18" i="3"/>
  <c r="ET20" i="3"/>
  <c r="ET22" i="3"/>
  <c r="ET26" i="3"/>
  <c r="ET28" i="3"/>
  <c r="ET30" i="3"/>
  <c r="ET34" i="3"/>
  <c r="ET36" i="3"/>
  <c r="ET38" i="3"/>
  <c r="ET42" i="3"/>
  <c r="ET44" i="3"/>
  <c r="ET46" i="3"/>
  <c r="ET50" i="3"/>
  <c r="ET52" i="3"/>
  <c r="ET54" i="3"/>
  <c r="ET58" i="3"/>
  <c r="ET60" i="3"/>
  <c r="ET62" i="3"/>
  <c r="ET66" i="3"/>
  <c r="ET68" i="3"/>
  <c r="ET70" i="3"/>
  <c r="ET74" i="3"/>
  <c r="ET76" i="3"/>
  <c r="ET78" i="3"/>
  <c r="ET82" i="3"/>
  <c r="ET84" i="3"/>
  <c r="ET86" i="3"/>
  <c r="ET90" i="3"/>
  <c r="ET92" i="3"/>
  <c r="ET94" i="3"/>
  <c r="ET98" i="3"/>
  <c r="ET100" i="3"/>
  <c r="ET102" i="3"/>
  <c r="ET106" i="3"/>
  <c r="ET108" i="3"/>
  <c r="ET110" i="3"/>
  <c r="ET114" i="3"/>
  <c r="ET118" i="3"/>
  <c r="ET122" i="3"/>
  <c r="ET126" i="3"/>
  <c r="ET130" i="3"/>
  <c r="ET132" i="3"/>
  <c r="ET134" i="3"/>
  <c r="ET138" i="3"/>
  <c r="ET142" i="3"/>
  <c r="ET146" i="3"/>
  <c r="ET148" i="3"/>
  <c r="ET150" i="3"/>
  <c r="ET154" i="3"/>
  <c r="ET158" i="3"/>
  <c r="ET162" i="3"/>
  <c r="ET166" i="3"/>
  <c r="ET170" i="3"/>
  <c r="ET172" i="3"/>
  <c r="ET174" i="3"/>
  <c r="ET178" i="3"/>
  <c r="ET180" i="3"/>
  <c r="ET182" i="3"/>
  <c r="ET186" i="3"/>
  <c r="ET188" i="3"/>
  <c r="ET190" i="3"/>
  <c r="ET194" i="3"/>
  <c r="ET196" i="3"/>
  <c r="ET198" i="3"/>
  <c r="ET202" i="3"/>
  <c r="ET204" i="3"/>
  <c r="ET206" i="3"/>
  <c r="ET210" i="3"/>
  <c r="ET212" i="3"/>
  <c r="ET214" i="3"/>
  <c r="ET218" i="3"/>
  <c r="ET220" i="3"/>
  <c r="ET222" i="3"/>
  <c r="ET226" i="3"/>
  <c r="ET228" i="3"/>
  <c r="ET230" i="3"/>
  <c r="ET234" i="3"/>
  <c r="ET236" i="3"/>
  <c r="ET238" i="3"/>
  <c r="ET242" i="3"/>
  <c r="ET244" i="3"/>
  <c r="ET246" i="3"/>
  <c r="ET250" i="3"/>
  <c r="ET252" i="3"/>
  <c r="ET254" i="3"/>
  <c r="ET258" i="3"/>
  <c r="ET260" i="3"/>
  <c r="ET262" i="3"/>
  <c r="ET266" i="3"/>
  <c r="ET268" i="3"/>
  <c r="ET270" i="3"/>
  <c r="ET274" i="3"/>
  <c r="ET276" i="3"/>
  <c r="ET278" i="3"/>
  <c r="ET282" i="3"/>
  <c r="ET284" i="3"/>
  <c r="ET286" i="3"/>
  <c r="ET290" i="3"/>
  <c r="ET292" i="3"/>
  <c r="ET294" i="3"/>
  <c r="ET298" i="3"/>
  <c r="ET300" i="3"/>
  <c r="ET302" i="3"/>
  <c r="ET305" i="3"/>
  <c r="ET306" i="3"/>
  <c r="ET308" i="3"/>
  <c r="ET310" i="3"/>
  <c r="ET314" i="3"/>
  <c r="ET316" i="3"/>
  <c r="ET318" i="3"/>
  <c r="ET322" i="3"/>
  <c r="ET324" i="3"/>
  <c r="ET326" i="3"/>
  <c r="ET330" i="3"/>
  <c r="ET334" i="3"/>
  <c r="ET338" i="3"/>
  <c r="ET340" i="3"/>
  <c r="ET342" i="3"/>
  <c r="ET346" i="3"/>
  <c r="ET348" i="3"/>
  <c r="ET350" i="3"/>
  <c r="ET354" i="3"/>
  <c r="ET356" i="3"/>
  <c r="ET358" i="3"/>
  <c r="ET362" i="3"/>
  <c r="ET366" i="3"/>
  <c r="ET370" i="3"/>
  <c r="ET372" i="3"/>
  <c r="ET374" i="3"/>
  <c r="ET378" i="3"/>
  <c r="ET380" i="3"/>
  <c r="ET382" i="3"/>
  <c r="ET386" i="3"/>
  <c r="ET388" i="3"/>
  <c r="ET390" i="3"/>
  <c r="ET394" i="3"/>
  <c r="ET398" i="3"/>
  <c r="ET402" i="3"/>
  <c r="ET404" i="3"/>
  <c r="ET406" i="3"/>
  <c r="ET410" i="3"/>
  <c r="ET412" i="3"/>
  <c r="ET414" i="3"/>
  <c r="ET418" i="3"/>
  <c r="ET420" i="3"/>
  <c r="ET422" i="3"/>
  <c r="ET426" i="3"/>
  <c r="ET430" i="3"/>
  <c r="ET434" i="3"/>
  <c r="ET436" i="3"/>
  <c r="ET438" i="3"/>
  <c r="ET442" i="3"/>
  <c r="ET444" i="3"/>
  <c r="ET446" i="3"/>
  <c r="ET450" i="3"/>
  <c r="ET452" i="3"/>
  <c r="ET454" i="3"/>
  <c r="ET458" i="3"/>
  <c r="ET462" i="3"/>
  <c r="ET466" i="3"/>
  <c r="ET468" i="3"/>
  <c r="ET470" i="3"/>
  <c r="ET474" i="3"/>
  <c r="ET476" i="3"/>
  <c r="ET478" i="3"/>
  <c r="ET482" i="3"/>
  <c r="ET484" i="3"/>
  <c r="ET486" i="3"/>
  <c r="ET490" i="3"/>
  <c r="ET494" i="3"/>
  <c r="ET498" i="3"/>
  <c r="ET502" i="3"/>
  <c r="ET506" i="3"/>
  <c r="ET508" i="3"/>
  <c r="ET510" i="3"/>
  <c r="ET514" i="3"/>
  <c r="ET518" i="3"/>
  <c r="ET522" i="3"/>
  <c r="ET524" i="3"/>
  <c r="ET526" i="3"/>
  <c r="ET530" i="3"/>
  <c r="ET534" i="3"/>
  <c r="ET538" i="3"/>
  <c r="ET542" i="3"/>
  <c r="ET546" i="3"/>
  <c r="ET548" i="3"/>
  <c r="ET550" i="3"/>
  <c r="ET554" i="3"/>
  <c r="ET556" i="3"/>
  <c r="ET558" i="3"/>
  <c r="ET562" i="3"/>
  <c r="ET566" i="3"/>
  <c r="ET570" i="3"/>
  <c r="ET572" i="3"/>
  <c r="ET574" i="3"/>
  <c r="ET578" i="3"/>
  <c r="ET580" i="3"/>
  <c r="ET582" i="3"/>
  <c r="ET586" i="3"/>
  <c r="ET588" i="3"/>
  <c r="ET590" i="3"/>
  <c r="ET594" i="3"/>
  <c r="ET598" i="3"/>
  <c r="EU10" i="3"/>
  <c r="EU12" i="3"/>
  <c r="EU14" i="3"/>
  <c r="EU17" i="3"/>
  <c r="EU18" i="3"/>
  <c r="EU22" i="3"/>
  <c r="EU26" i="3"/>
  <c r="EU30" i="3"/>
  <c r="EU32" i="3"/>
  <c r="EU34" i="3"/>
  <c r="EU38" i="3"/>
  <c r="EU40" i="3"/>
  <c r="EU42" i="3"/>
  <c r="EU46" i="3"/>
  <c r="EU48" i="3"/>
  <c r="EU50" i="3"/>
  <c r="EU54" i="3"/>
  <c r="EU58" i="3"/>
  <c r="EU62" i="3"/>
  <c r="EU64" i="3"/>
  <c r="EU66" i="3"/>
  <c r="EU70" i="3"/>
  <c r="EU72" i="3"/>
  <c r="EU74" i="3"/>
  <c r="EU78" i="3"/>
  <c r="EU80" i="3"/>
  <c r="EU82" i="3"/>
  <c r="EU86" i="3"/>
  <c r="EU90" i="3"/>
  <c r="EU94" i="3"/>
  <c r="EU96" i="3"/>
  <c r="EU98" i="3"/>
  <c r="EU102" i="3"/>
  <c r="EU104" i="3"/>
  <c r="EU106" i="3"/>
  <c r="EU110" i="3"/>
  <c r="EU112" i="3"/>
  <c r="EU114" i="3"/>
  <c r="EU118" i="3"/>
  <c r="EU122" i="3"/>
  <c r="EU126" i="3"/>
  <c r="EU128" i="3"/>
  <c r="EU130" i="3"/>
  <c r="EU134" i="3"/>
  <c r="EU136" i="3"/>
  <c r="EU138" i="3"/>
  <c r="EU142" i="3"/>
  <c r="EU144" i="3"/>
  <c r="EU145" i="3"/>
  <c r="EU146" i="3"/>
  <c r="EU150" i="3"/>
  <c r="EU152" i="3"/>
  <c r="EU154" i="3"/>
  <c r="EU158" i="3"/>
  <c r="EU160" i="3"/>
  <c r="EU162" i="3"/>
  <c r="EU166" i="3"/>
  <c r="EU168" i="3"/>
  <c r="EU170" i="3"/>
  <c r="EU174" i="3"/>
  <c r="EU176" i="3"/>
  <c r="EU178" i="3"/>
  <c r="EU182" i="3"/>
  <c r="EU184" i="3"/>
  <c r="EU186" i="3"/>
  <c r="EU190" i="3"/>
  <c r="EU192" i="3"/>
  <c r="EU194" i="3"/>
  <c r="EU198" i="3"/>
  <c r="EU200" i="3"/>
  <c r="EU202" i="3"/>
  <c r="EU206" i="3"/>
  <c r="EU208" i="3"/>
  <c r="EU210" i="3"/>
  <c r="EU214" i="3"/>
  <c r="EU216" i="3"/>
  <c r="EU218" i="3"/>
  <c r="EU222" i="3"/>
  <c r="EU224" i="3"/>
  <c r="EU226" i="3"/>
  <c r="EU230" i="3"/>
  <c r="EU232" i="3"/>
  <c r="EU234" i="3"/>
  <c r="EU238" i="3"/>
  <c r="EU240" i="3"/>
  <c r="EU242" i="3"/>
  <c r="EU246" i="3"/>
  <c r="EU248" i="3"/>
  <c r="EU250" i="3"/>
  <c r="EU254" i="3"/>
  <c r="EU256" i="3"/>
  <c r="EU258" i="3"/>
  <c r="EU262" i="3"/>
  <c r="EU264" i="3"/>
  <c r="EU266" i="3"/>
  <c r="EU270" i="3"/>
  <c r="EU272" i="3"/>
  <c r="EU273" i="3"/>
  <c r="EU274" i="3"/>
  <c r="EU276" i="3"/>
  <c r="EU278" i="3"/>
  <c r="EU282" i="3"/>
  <c r="EU286" i="3"/>
  <c r="EU290" i="3"/>
  <c r="EU292" i="3"/>
  <c r="EU294" i="3"/>
  <c r="EU298" i="3"/>
  <c r="EU300" i="3"/>
  <c r="EU302" i="3"/>
  <c r="EU306" i="3"/>
  <c r="EU308" i="3"/>
  <c r="EU310" i="3"/>
  <c r="EU314" i="3"/>
  <c r="EU318" i="3"/>
  <c r="EU322" i="3"/>
  <c r="EU324" i="3"/>
  <c r="EU326" i="3"/>
  <c r="EU330" i="3"/>
  <c r="EU332" i="3"/>
  <c r="EU334" i="3"/>
  <c r="EU338" i="3"/>
  <c r="EU340" i="3"/>
  <c r="EU342" i="3"/>
  <c r="EU346" i="3"/>
  <c r="EU350" i="3"/>
  <c r="EU354" i="3"/>
  <c r="EU356" i="3"/>
  <c r="EU358" i="3"/>
  <c r="EU362" i="3"/>
  <c r="EU364" i="3"/>
  <c r="EU366" i="3"/>
  <c r="EU370" i="3"/>
  <c r="EU372" i="3"/>
  <c r="EU374" i="3"/>
  <c r="EU378" i="3"/>
  <c r="EU382" i="3"/>
  <c r="EU386" i="3"/>
  <c r="EU388" i="3"/>
  <c r="EU390" i="3"/>
  <c r="EU394" i="3"/>
  <c r="EU396" i="3"/>
  <c r="EU398" i="3"/>
  <c r="EU402" i="3"/>
  <c r="EU404" i="3"/>
  <c r="EU406" i="3"/>
  <c r="EU410" i="3"/>
  <c r="EU414" i="3"/>
  <c r="EU418" i="3"/>
  <c r="EU420" i="3"/>
  <c r="EU422" i="3"/>
  <c r="EU426" i="3"/>
  <c r="EU428" i="3"/>
  <c r="EU430" i="3"/>
  <c r="EU434" i="3"/>
  <c r="EU438" i="3"/>
  <c r="EU442" i="3"/>
  <c r="EU444" i="3"/>
  <c r="EU446" i="3"/>
  <c r="EU450" i="3"/>
  <c r="EU452" i="3"/>
  <c r="EU454" i="3"/>
  <c r="EU458" i="3"/>
  <c r="EU460" i="3"/>
  <c r="EU462" i="3"/>
  <c r="EU466" i="3"/>
  <c r="EU470" i="3"/>
  <c r="EU474" i="3"/>
  <c r="EU476" i="3"/>
  <c r="EU478" i="3"/>
  <c r="EU482" i="3"/>
  <c r="EU484" i="3"/>
  <c r="EU486" i="3"/>
  <c r="EU490" i="3"/>
  <c r="EU494" i="3"/>
  <c r="EU498" i="3"/>
  <c r="EU502" i="3"/>
  <c r="EU506" i="3"/>
  <c r="EU508" i="3"/>
  <c r="EU510" i="3"/>
  <c r="EU514" i="3"/>
  <c r="EU518" i="3"/>
  <c r="EU522" i="3"/>
  <c r="EU524" i="3"/>
  <c r="EU526" i="3"/>
  <c r="EU529" i="3"/>
  <c r="EU530" i="3"/>
  <c r="EU532" i="3"/>
  <c r="EU534" i="3"/>
  <c r="EU536" i="3"/>
  <c r="EU538" i="3"/>
  <c r="EU540" i="3"/>
  <c r="EU542" i="3"/>
  <c r="EU544" i="3"/>
  <c r="EU546" i="3"/>
  <c r="EU548" i="3"/>
  <c r="EU550" i="3"/>
  <c r="EU552" i="3"/>
  <c r="EU554" i="3"/>
  <c r="EU556" i="3"/>
  <c r="EU558" i="3"/>
  <c r="EU560" i="3"/>
  <c r="EU562" i="3"/>
  <c r="EU564" i="3"/>
  <c r="EU566" i="3"/>
  <c r="EU568" i="3"/>
  <c r="EU570" i="3"/>
  <c r="EU572" i="3"/>
  <c r="EU574" i="3"/>
  <c r="EU576" i="3"/>
  <c r="EU578" i="3"/>
  <c r="EU580" i="3"/>
  <c r="EU582" i="3"/>
  <c r="EU584" i="3"/>
  <c r="EU586" i="3"/>
  <c r="EU588" i="3"/>
  <c r="EU590" i="3"/>
  <c r="EU592" i="3"/>
  <c r="EU594" i="3"/>
  <c r="EU596" i="3"/>
  <c r="EU598" i="3"/>
  <c r="EU600" i="3"/>
  <c r="EV10" i="3"/>
  <c r="EV12" i="3"/>
  <c r="EV14" i="3"/>
  <c r="EV16" i="3"/>
  <c r="EV18" i="3"/>
  <c r="EV20" i="3"/>
  <c r="EV22" i="3"/>
  <c r="EV24" i="3"/>
  <c r="EV26" i="3"/>
  <c r="EV28" i="3"/>
  <c r="EV30" i="3"/>
  <c r="EV32" i="3"/>
  <c r="EV34" i="3"/>
  <c r="EV36" i="3"/>
  <c r="EV38" i="3"/>
  <c r="EV40" i="3"/>
  <c r="EV42" i="3"/>
  <c r="EV44" i="3"/>
  <c r="EV46" i="3"/>
  <c r="EV48" i="3"/>
  <c r="EV50" i="3"/>
  <c r="EV52" i="3"/>
  <c r="EV54" i="3"/>
  <c r="EV56" i="3"/>
  <c r="EV58" i="3"/>
  <c r="EV60" i="3"/>
  <c r="EV62" i="3"/>
  <c r="EV64" i="3"/>
  <c r="EV65" i="3"/>
  <c r="EV66" i="3"/>
  <c r="EV70" i="3"/>
  <c r="EV74" i="3"/>
  <c r="EV76" i="3"/>
  <c r="EV78" i="3"/>
  <c r="EV82" i="3"/>
  <c r="EV84" i="3"/>
  <c r="EV86" i="3"/>
  <c r="EV90" i="3"/>
  <c r="EV92" i="3"/>
  <c r="EV94" i="3"/>
  <c r="EV98" i="3"/>
  <c r="EV102" i="3"/>
  <c r="EV106" i="3"/>
  <c r="EV108" i="3"/>
  <c r="EV110" i="3"/>
  <c r="EV114" i="3"/>
  <c r="EV116" i="3"/>
  <c r="EV118" i="3"/>
  <c r="EV122" i="3"/>
  <c r="EV124" i="3"/>
  <c r="EV126" i="3"/>
  <c r="EV130" i="3"/>
  <c r="EV134" i="3"/>
  <c r="EV138" i="3"/>
  <c r="EV140" i="3"/>
  <c r="EV142" i="3"/>
  <c r="EV146" i="3"/>
  <c r="EV148" i="3"/>
  <c r="EV150" i="3"/>
  <c r="EV154" i="3"/>
  <c r="EV156" i="3"/>
  <c r="EV158" i="3"/>
  <c r="EV162" i="3"/>
  <c r="EV166" i="3"/>
  <c r="EV170" i="3"/>
  <c r="EV172" i="3"/>
  <c r="EV174" i="3"/>
  <c r="EV178" i="3"/>
  <c r="EV180" i="3"/>
  <c r="EV182" i="3"/>
  <c r="EV186" i="3"/>
  <c r="EV188" i="3"/>
  <c r="EV190" i="3"/>
  <c r="EV193" i="3"/>
  <c r="EV194" i="3"/>
  <c r="EV196" i="3"/>
  <c r="EV198" i="3"/>
  <c r="EV200" i="3"/>
  <c r="EV202" i="3"/>
  <c r="EV204" i="3"/>
  <c r="EV206" i="3"/>
  <c r="EV208" i="3"/>
  <c r="EV210" i="3"/>
  <c r="EV212" i="3"/>
  <c r="EV214" i="3"/>
  <c r="EV216" i="3"/>
  <c r="EV218" i="3"/>
  <c r="EV220" i="3"/>
  <c r="EV222" i="3"/>
  <c r="EV224" i="3"/>
  <c r="EV226" i="3"/>
  <c r="EV228" i="3"/>
  <c r="EV230" i="3"/>
  <c r="EV232" i="3"/>
  <c r="EV234" i="3"/>
  <c r="EV236" i="3"/>
  <c r="EV238" i="3"/>
  <c r="EV240" i="3"/>
  <c r="EV242" i="3"/>
  <c r="EV244" i="3"/>
  <c r="EV246" i="3"/>
  <c r="EV248" i="3"/>
  <c r="EV250" i="3"/>
  <c r="EV252" i="3"/>
  <c r="EV254" i="3"/>
  <c r="EV256" i="3"/>
  <c r="EV258" i="3"/>
  <c r="EV260" i="3"/>
  <c r="EV262" i="3"/>
  <c r="EV264" i="3"/>
  <c r="EV266" i="3"/>
  <c r="EV268" i="3"/>
  <c r="EV270" i="3"/>
  <c r="EV272" i="3"/>
  <c r="EV274" i="3"/>
  <c r="EV276" i="3"/>
  <c r="EV278" i="3"/>
  <c r="EV280" i="3"/>
  <c r="EV282" i="3"/>
  <c r="EV284" i="3"/>
  <c r="EV286" i="3"/>
  <c r="EV288" i="3"/>
  <c r="EV290" i="3"/>
  <c r="EV292" i="3"/>
  <c r="EV294" i="3"/>
  <c r="EV296" i="3"/>
  <c r="EV298" i="3"/>
  <c r="EV300" i="3"/>
  <c r="EV302" i="3"/>
  <c r="EV304" i="3"/>
  <c r="EV306" i="3"/>
  <c r="EV308" i="3"/>
  <c r="EV310" i="3"/>
  <c r="EV312" i="3"/>
  <c r="EV314" i="3"/>
  <c r="EV316" i="3"/>
  <c r="EV318" i="3"/>
  <c r="EV320" i="3"/>
  <c r="EV321" i="3"/>
  <c r="EV322" i="3"/>
  <c r="EV326" i="3"/>
  <c r="EV328" i="3"/>
  <c r="EV330" i="3"/>
  <c r="EV334" i="3"/>
  <c r="EV336" i="3"/>
  <c r="EV338" i="3"/>
  <c r="EV342" i="3"/>
  <c r="EV344" i="3"/>
  <c r="EV346" i="3"/>
  <c r="EV350" i="3"/>
  <c r="EV354" i="3"/>
  <c r="EV358" i="3"/>
  <c r="EV360" i="3"/>
  <c r="EV362" i="3"/>
  <c r="EV366" i="3"/>
  <c r="EV368" i="3"/>
  <c r="EV370" i="3"/>
  <c r="EV374" i="3"/>
  <c r="EV376" i="3"/>
  <c r="EV378" i="3"/>
  <c r="EV382" i="3"/>
  <c r="EV386" i="3"/>
  <c r="EV390" i="3"/>
  <c r="EV392" i="3"/>
  <c r="EV394" i="3"/>
  <c r="EV398" i="3"/>
  <c r="EV400" i="3"/>
  <c r="EV402" i="3"/>
  <c r="EV406" i="3"/>
  <c r="EV408" i="3"/>
  <c r="EV410" i="3"/>
  <c r="EV414" i="3"/>
  <c r="EV418" i="3"/>
  <c r="EV422" i="3"/>
  <c r="EV424" i="3"/>
  <c r="EV426" i="3"/>
  <c r="EV430" i="3"/>
  <c r="EV432" i="3"/>
  <c r="EV434" i="3"/>
  <c r="EV438" i="3"/>
  <c r="EV440" i="3"/>
  <c r="EV442" i="3"/>
  <c r="EV446" i="3"/>
  <c r="EV449" i="3"/>
  <c r="EV450" i="3"/>
  <c r="EV452" i="3"/>
  <c r="EV454" i="3"/>
  <c r="EV455" i="3"/>
  <c r="EV458" i="3"/>
  <c r="EV459" i="3"/>
  <c r="EV462" i="3"/>
  <c r="EV463" i="3"/>
  <c r="EV464" i="3"/>
  <c r="EV466" i="3"/>
  <c r="EV467" i="3"/>
  <c r="EV468" i="3"/>
  <c r="EV470" i="3"/>
  <c r="EV471" i="3"/>
  <c r="EV474" i="3"/>
  <c r="EV475" i="3"/>
  <c r="EV476" i="3"/>
  <c r="EV478" i="3"/>
  <c r="EV479" i="3"/>
  <c r="EV480" i="3"/>
  <c r="EV482" i="3"/>
  <c r="EV483" i="3"/>
  <c r="EV484" i="3"/>
  <c r="EV486" i="3"/>
  <c r="EV487" i="3"/>
  <c r="EV490" i="3"/>
  <c r="EV491" i="3"/>
  <c r="EV492" i="3"/>
  <c r="EV494" i="3"/>
  <c r="EV495" i="3"/>
  <c r="EV496" i="3"/>
  <c r="EV498" i="3"/>
  <c r="EV499" i="3"/>
  <c r="EV502" i="3"/>
  <c r="EV503" i="3"/>
  <c r="EV506" i="3"/>
  <c r="EV507" i="3"/>
  <c r="EV508" i="3"/>
  <c r="EV510" i="3"/>
  <c r="EV511" i="3"/>
  <c r="EV514" i="3"/>
  <c r="EV515" i="3"/>
  <c r="EV516" i="3"/>
  <c r="EV518" i="3"/>
  <c r="EV519" i="3"/>
  <c r="EV522" i="3"/>
  <c r="EV523" i="3"/>
  <c r="EV526" i="3"/>
  <c r="EV527" i="3"/>
  <c r="EV528" i="3"/>
  <c r="EV530" i="3"/>
  <c r="EV531" i="3"/>
  <c r="EV532" i="3"/>
  <c r="EV534" i="3"/>
  <c r="EV535" i="3"/>
  <c r="EV538" i="3"/>
  <c r="EV539" i="3"/>
  <c r="EV540" i="3"/>
  <c r="EV542" i="3"/>
  <c r="EV543" i="3"/>
  <c r="EV544" i="3"/>
  <c r="EV546" i="3"/>
  <c r="EV547" i="3"/>
  <c r="EV548" i="3"/>
  <c r="EV550" i="3"/>
  <c r="EV551" i="3"/>
  <c r="EV554" i="3"/>
  <c r="EV555" i="3"/>
  <c r="EV556" i="3"/>
  <c r="EV558" i="3"/>
  <c r="EV559" i="3"/>
  <c r="EV560" i="3"/>
  <c r="EV562" i="3"/>
  <c r="EV563" i="3"/>
  <c r="EV566" i="3"/>
  <c r="EV567" i="3"/>
  <c r="EV570" i="3"/>
  <c r="EV571" i="3"/>
  <c r="EV572" i="3"/>
  <c r="EV574" i="3"/>
  <c r="EV575" i="3"/>
  <c r="EV578" i="3"/>
  <c r="EV579" i="3"/>
  <c r="EV580" i="3"/>
  <c r="EV582" i="3"/>
  <c r="EV583" i="3"/>
  <c r="EV586" i="3"/>
  <c r="EV587" i="3"/>
  <c r="EV590" i="3"/>
  <c r="EV591" i="3"/>
  <c r="EV592" i="3"/>
  <c r="EV594" i="3"/>
  <c r="EV595" i="3"/>
  <c r="EV596" i="3"/>
  <c r="EV598" i="3"/>
  <c r="EV599" i="3"/>
  <c r="EW10" i="3"/>
  <c r="EW11" i="3"/>
  <c r="EW12" i="3"/>
  <c r="EW14" i="3"/>
  <c r="EW15" i="3"/>
  <c r="EW16" i="3"/>
  <c r="EW18" i="3"/>
  <c r="EW19" i="3"/>
  <c r="EW20" i="3"/>
  <c r="EW22" i="3"/>
  <c r="EW23" i="3"/>
  <c r="EW26" i="3"/>
  <c r="EW27" i="3"/>
  <c r="EW28" i="3"/>
  <c r="EW30" i="3"/>
  <c r="EW31" i="3"/>
  <c r="EW32" i="3"/>
  <c r="EW34" i="3"/>
  <c r="EW35" i="3"/>
  <c r="EW38" i="3"/>
  <c r="EW39" i="3"/>
  <c r="EW42" i="3"/>
  <c r="EW43" i="3"/>
  <c r="EW44" i="3"/>
  <c r="EW46" i="3"/>
  <c r="EW47" i="3"/>
  <c r="EW50" i="3"/>
  <c r="EW51" i="3"/>
  <c r="EW52" i="3"/>
  <c r="EW54" i="3"/>
  <c r="EW55" i="3"/>
  <c r="EW58" i="3"/>
  <c r="EW59" i="3"/>
  <c r="EW62" i="3"/>
  <c r="EW63" i="3"/>
  <c r="EW64" i="3"/>
  <c r="EW66" i="3"/>
  <c r="EW67" i="3"/>
  <c r="EW68" i="3"/>
  <c r="EW70" i="3"/>
  <c r="EW71" i="3"/>
  <c r="EW74" i="3"/>
  <c r="EW75" i="3"/>
  <c r="EW76" i="3"/>
  <c r="EW78" i="3"/>
  <c r="EW79" i="3"/>
  <c r="EW80" i="3"/>
  <c r="EW82" i="3"/>
  <c r="EW83" i="3"/>
  <c r="EW84" i="3"/>
  <c r="EW86" i="3"/>
  <c r="EW87" i="3"/>
  <c r="EW90" i="3"/>
  <c r="EW91" i="3"/>
  <c r="EW92" i="3"/>
  <c r="EW94" i="3"/>
  <c r="EW95" i="3"/>
  <c r="EW96" i="3"/>
  <c r="EW98" i="3"/>
  <c r="EW99" i="3"/>
  <c r="EW102" i="3"/>
  <c r="EW103" i="3"/>
  <c r="EW106" i="3"/>
  <c r="EW107" i="3"/>
  <c r="EW108" i="3"/>
  <c r="EW110" i="3"/>
  <c r="EW111" i="3"/>
  <c r="EW114" i="3"/>
  <c r="EW115" i="3"/>
  <c r="EW116" i="3"/>
  <c r="EW118" i="3"/>
  <c r="EW119" i="3"/>
  <c r="EW122" i="3"/>
  <c r="EW123" i="3"/>
  <c r="EW126" i="3"/>
  <c r="EW127" i="3"/>
  <c r="EW128" i="3"/>
  <c r="EW130" i="3"/>
  <c r="EW131" i="3"/>
  <c r="EW132" i="3"/>
  <c r="EW134" i="3"/>
  <c r="EW135" i="3"/>
  <c r="EW138" i="3"/>
  <c r="EW139" i="3"/>
  <c r="EW140" i="3"/>
  <c r="EW142" i="3"/>
  <c r="EW143" i="3"/>
  <c r="EW144" i="3"/>
  <c r="EW146" i="3"/>
  <c r="EW147" i="3"/>
  <c r="EW148" i="3"/>
  <c r="EW150" i="3"/>
  <c r="EW151" i="3"/>
  <c r="EW154" i="3"/>
  <c r="EW155" i="3"/>
  <c r="EW156" i="3"/>
  <c r="EW158" i="3"/>
  <c r="EW159" i="3"/>
  <c r="EW160" i="3"/>
  <c r="EW162" i="3"/>
  <c r="EW163" i="3"/>
  <c r="EW166" i="3"/>
  <c r="EW167" i="3"/>
  <c r="EW170" i="3"/>
  <c r="EW171" i="3"/>
  <c r="EW172" i="3"/>
  <c r="EW174" i="3"/>
  <c r="EW175" i="3"/>
  <c r="EW178" i="3"/>
  <c r="EW179" i="3"/>
  <c r="EW180" i="3"/>
  <c r="EW182" i="3"/>
  <c r="EW183" i="3"/>
  <c r="EW186" i="3"/>
  <c r="EW187" i="3"/>
  <c r="EW190" i="3"/>
  <c r="EW191" i="3"/>
  <c r="EW192" i="3"/>
  <c r="EW194" i="3"/>
  <c r="EW195" i="3"/>
  <c r="EW196" i="3"/>
  <c r="EW198" i="3"/>
  <c r="EW199" i="3"/>
  <c r="EW202" i="3"/>
  <c r="EW203" i="3"/>
  <c r="EW204" i="3"/>
  <c r="EW206" i="3"/>
  <c r="EW207" i="3"/>
  <c r="EW208" i="3"/>
  <c r="EW210" i="3"/>
  <c r="EW211" i="3"/>
  <c r="EW212" i="3"/>
  <c r="EW214" i="3"/>
  <c r="EW215" i="3"/>
  <c r="EW218" i="3"/>
  <c r="EW219" i="3"/>
  <c r="EW220" i="3"/>
  <c r="EW222" i="3"/>
  <c r="EW223" i="3"/>
  <c r="EW224" i="3"/>
  <c r="EW226" i="3"/>
  <c r="EW227" i="3"/>
  <c r="EW230" i="3"/>
  <c r="EW231" i="3"/>
  <c r="EW234" i="3"/>
  <c r="EW235" i="3"/>
  <c r="EW236" i="3"/>
  <c r="EW238" i="3"/>
  <c r="EW239" i="3"/>
  <c r="EW242" i="3"/>
  <c r="EW243" i="3"/>
  <c r="EW244" i="3"/>
  <c r="EW246" i="3"/>
  <c r="EW247" i="3"/>
  <c r="EW250" i="3"/>
  <c r="EW251" i="3"/>
  <c r="EW254" i="3"/>
  <c r="EW255" i="3"/>
  <c r="EW256" i="3"/>
  <c r="EW258" i="3"/>
  <c r="EW259" i="3"/>
  <c r="EW260" i="3"/>
  <c r="EW262" i="3"/>
  <c r="EW263" i="3"/>
  <c r="EW266" i="3"/>
  <c r="EW267" i="3"/>
  <c r="EW268" i="3"/>
  <c r="EW270" i="3"/>
  <c r="EW271" i="3"/>
  <c r="EW272" i="3"/>
  <c r="EW274" i="3"/>
  <c r="EW275" i="3"/>
  <c r="EW276" i="3"/>
  <c r="EW278" i="3"/>
  <c r="EW279" i="3"/>
  <c r="EW282" i="3"/>
  <c r="EW283" i="3"/>
  <c r="EW284" i="3"/>
  <c r="EW286" i="3"/>
  <c r="EW287" i="3"/>
  <c r="EW288" i="3"/>
  <c r="EW290" i="3"/>
  <c r="EW291" i="3"/>
  <c r="EW294" i="3"/>
  <c r="EW295" i="3"/>
  <c r="EW298" i="3"/>
  <c r="EW299" i="3"/>
  <c r="EW300" i="3"/>
  <c r="EW302" i="3"/>
  <c r="EW303" i="3"/>
  <c r="EW306" i="3"/>
  <c r="EW307" i="3"/>
  <c r="EW308" i="3"/>
  <c r="EW310" i="3"/>
  <c r="EW311" i="3"/>
  <c r="EW314" i="3"/>
  <c r="EW315" i="3"/>
  <c r="EW318" i="3"/>
  <c r="EW319" i="3"/>
  <c r="EW320" i="3"/>
  <c r="EW322" i="3"/>
  <c r="EW323" i="3"/>
  <c r="EW324" i="3"/>
  <c r="EW326" i="3"/>
  <c r="EW327" i="3"/>
  <c r="EW330" i="3"/>
  <c r="EW331" i="3"/>
  <c r="EW332" i="3"/>
  <c r="EW334" i="3"/>
  <c r="EW335" i="3"/>
  <c r="EW336" i="3"/>
  <c r="EW338" i="3"/>
  <c r="EW339" i="3"/>
  <c r="EW340" i="3"/>
  <c r="EW342" i="3"/>
  <c r="EW343" i="3"/>
  <c r="EW346" i="3"/>
  <c r="EW347" i="3"/>
  <c r="EW348" i="3"/>
  <c r="EW350" i="3"/>
  <c r="EW351" i="3"/>
  <c r="EW352" i="3"/>
  <c r="EW354" i="3"/>
  <c r="EW355" i="3"/>
  <c r="EW358" i="3"/>
  <c r="EW359" i="3"/>
  <c r="EW362" i="3"/>
  <c r="EW363" i="3"/>
  <c r="EW364" i="3"/>
  <c r="EW366" i="3"/>
  <c r="EW367" i="3"/>
  <c r="EW370" i="3"/>
  <c r="EW371" i="3"/>
  <c r="EW372" i="3"/>
  <c r="EW374" i="3"/>
  <c r="EW375" i="3"/>
  <c r="EW378" i="3"/>
  <c r="EW379" i="3"/>
  <c r="EW382" i="3"/>
  <c r="EW383" i="3"/>
  <c r="EW384" i="3"/>
  <c r="EW386" i="3"/>
  <c r="EW387" i="3"/>
  <c r="EW388" i="3"/>
  <c r="EW390" i="3"/>
  <c r="EW391" i="3"/>
  <c r="EW394" i="3"/>
  <c r="EW395" i="3"/>
  <c r="EW396" i="3"/>
  <c r="EW398" i="3"/>
  <c r="EW399" i="3"/>
  <c r="EW400" i="3"/>
  <c r="EW402" i="3"/>
  <c r="EW403" i="3"/>
  <c r="EW404" i="3"/>
  <c r="EW406" i="3"/>
  <c r="EW407" i="3"/>
  <c r="EW410" i="3"/>
  <c r="EW411" i="3"/>
  <c r="EW412" i="3"/>
  <c r="EW414" i="3"/>
  <c r="EW415" i="3"/>
  <c r="EW416" i="3"/>
  <c r="EW418" i="3"/>
  <c r="EW419" i="3"/>
  <c r="EW422" i="3"/>
  <c r="EW423" i="3"/>
  <c r="EW426" i="3"/>
  <c r="EW427" i="3"/>
  <c r="EW428" i="3"/>
  <c r="EW430" i="3"/>
  <c r="EW431" i="3"/>
  <c r="EW432" i="3"/>
  <c r="EW434" i="3"/>
  <c r="EW435" i="3"/>
  <c r="EW436" i="3"/>
  <c r="EW438" i="3"/>
  <c r="EW439" i="3"/>
  <c r="EW442" i="3"/>
  <c r="EW443" i="3"/>
  <c r="EW444" i="3"/>
  <c r="EW446" i="3"/>
  <c r="EW447" i="3"/>
  <c r="EW448" i="3"/>
  <c r="EW450" i="3"/>
  <c r="EW451" i="3"/>
  <c r="EW452" i="3"/>
  <c r="EW454" i="3"/>
  <c r="EW455" i="3"/>
  <c r="EW458" i="3"/>
  <c r="EW459" i="3"/>
  <c r="EW460" i="3"/>
  <c r="EW462" i="3"/>
  <c r="EW463" i="3"/>
  <c r="EW464" i="3"/>
  <c r="EW466" i="3"/>
  <c r="EW467" i="3"/>
  <c r="EW468" i="3"/>
  <c r="EW470" i="3"/>
  <c r="EW471" i="3"/>
  <c r="EW474" i="3"/>
  <c r="EW475" i="3"/>
  <c r="EW476" i="3"/>
  <c r="EW478" i="3"/>
  <c r="EW479" i="3"/>
  <c r="EW480" i="3"/>
  <c r="EW482" i="3"/>
  <c r="EW483" i="3"/>
  <c r="EW484" i="3"/>
  <c r="EW486" i="3"/>
  <c r="EW487" i="3"/>
  <c r="EW490" i="3"/>
  <c r="EW491" i="3"/>
  <c r="EW492" i="3"/>
  <c r="EW494" i="3"/>
  <c r="EW495" i="3"/>
  <c r="EW496" i="3"/>
  <c r="EW498" i="3"/>
  <c r="EW499" i="3"/>
  <c r="EW500" i="3"/>
  <c r="EW502" i="3"/>
  <c r="EW503" i="3"/>
  <c r="EW506" i="3"/>
  <c r="EW507" i="3"/>
  <c r="EW508" i="3"/>
  <c r="EW510" i="3"/>
  <c r="EW511" i="3"/>
  <c r="EW512" i="3"/>
  <c r="EW514" i="3"/>
  <c r="EW515" i="3"/>
  <c r="EW516" i="3"/>
  <c r="EW518" i="3"/>
  <c r="EW519" i="3"/>
  <c r="EW522" i="3"/>
  <c r="EW523" i="3"/>
  <c r="EW524" i="3"/>
  <c r="EW526" i="3"/>
  <c r="EW527" i="3"/>
  <c r="EW528" i="3"/>
  <c r="EW530" i="3"/>
  <c r="EW531" i="3"/>
  <c r="EW532" i="3"/>
  <c r="EW534" i="3"/>
  <c r="EW535" i="3"/>
  <c r="EW538" i="3"/>
  <c r="EW539" i="3"/>
  <c r="EW540" i="3"/>
  <c r="EW542" i="3"/>
  <c r="EW543" i="3"/>
  <c r="EW544" i="3"/>
  <c r="EW546" i="3"/>
  <c r="EW547" i="3"/>
  <c r="EW548" i="3"/>
  <c r="EW550" i="3"/>
  <c r="EW551" i="3"/>
  <c r="EW554" i="3"/>
  <c r="EW555" i="3"/>
  <c r="EW556" i="3"/>
  <c r="EW558" i="3"/>
  <c r="EW559" i="3"/>
  <c r="EW560" i="3"/>
  <c r="EW562" i="3"/>
  <c r="EW563" i="3"/>
  <c r="EW564" i="3"/>
  <c r="EW566" i="3"/>
  <c r="EW567" i="3"/>
  <c r="EW570" i="3"/>
  <c r="EW571" i="3"/>
  <c r="EW572" i="3"/>
  <c r="EW574" i="3"/>
  <c r="EW575" i="3"/>
  <c r="EW576" i="3"/>
  <c r="EW578" i="3"/>
  <c r="EW579" i="3"/>
  <c r="EW580" i="3"/>
  <c r="EW582" i="3"/>
  <c r="EW583" i="3"/>
  <c r="EW586" i="3"/>
  <c r="EW587" i="3"/>
  <c r="EW588" i="3"/>
  <c r="EW590" i="3"/>
  <c r="EW591" i="3"/>
  <c r="EW592" i="3"/>
  <c r="EW594" i="3"/>
  <c r="EW595" i="3"/>
  <c r="EW596" i="3"/>
  <c r="EW598" i="3"/>
  <c r="EW599" i="3"/>
  <c r="EX10" i="3"/>
  <c r="EX11" i="3"/>
  <c r="EX12" i="3"/>
  <c r="EX14" i="3"/>
  <c r="EX15" i="3"/>
  <c r="EX16" i="3"/>
  <c r="EX18" i="3"/>
  <c r="EX19" i="3"/>
  <c r="EX20" i="3"/>
  <c r="EX22" i="3"/>
  <c r="EX23" i="3"/>
  <c r="EX24" i="3"/>
  <c r="EX26" i="3"/>
  <c r="EX27" i="3"/>
  <c r="EX28" i="3"/>
  <c r="EX30" i="3"/>
  <c r="EX31" i="3"/>
  <c r="EX32" i="3"/>
  <c r="EX34" i="3"/>
  <c r="EX35" i="3"/>
  <c r="EX36" i="3"/>
  <c r="EX38" i="3"/>
  <c r="EX39" i="3"/>
  <c r="EX40" i="3"/>
  <c r="EX42" i="3"/>
  <c r="EX43" i="3"/>
  <c r="EX44" i="3"/>
  <c r="EX46" i="3"/>
  <c r="EX47" i="3"/>
  <c r="EX48" i="3"/>
  <c r="EX50" i="3"/>
  <c r="EX51" i="3"/>
  <c r="EX52" i="3"/>
  <c r="EX54" i="3"/>
  <c r="EX55" i="3"/>
  <c r="EX56" i="3"/>
  <c r="EX58" i="3"/>
  <c r="EX59" i="3"/>
  <c r="EX60" i="3"/>
  <c r="EX62" i="3"/>
  <c r="EX63" i="3"/>
  <c r="EX64" i="3"/>
  <c r="EX66" i="3"/>
  <c r="EX67" i="3"/>
  <c r="EX68" i="3"/>
  <c r="EX70" i="3"/>
  <c r="EX71" i="3"/>
  <c r="EX72" i="3"/>
  <c r="EX74" i="3"/>
  <c r="EX75" i="3"/>
  <c r="EX76" i="3"/>
  <c r="EX78" i="3"/>
  <c r="EX79" i="3"/>
  <c r="EX80" i="3"/>
  <c r="EX82" i="3"/>
  <c r="EX83" i="3"/>
  <c r="EX84" i="3"/>
  <c r="EX86" i="3"/>
  <c r="EX87" i="3"/>
  <c r="EX88" i="3"/>
  <c r="EX90" i="3"/>
  <c r="EX91" i="3"/>
  <c r="EX92" i="3"/>
  <c r="EX94" i="3"/>
  <c r="EX95" i="3"/>
  <c r="EX96" i="3"/>
  <c r="EX98" i="3"/>
  <c r="EX99" i="3"/>
  <c r="EX100" i="3"/>
  <c r="EX102" i="3"/>
  <c r="EX103" i="3"/>
  <c r="EX104" i="3"/>
  <c r="EX106" i="3"/>
  <c r="EX107" i="3"/>
  <c r="EX108" i="3"/>
  <c r="EX110" i="3"/>
  <c r="EX111" i="3"/>
  <c r="EX112" i="3"/>
  <c r="EX114" i="3"/>
  <c r="EX115" i="3"/>
  <c r="EX116" i="3"/>
  <c r="EX118" i="3"/>
  <c r="EX119" i="3"/>
  <c r="EX120" i="3"/>
  <c r="EX122" i="3"/>
  <c r="EX123" i="3"/>
  <c r="EX124" i="3"/>
  <c r="EX126" i="3"/>
  <c r="EX127" i="3"/>
  <c r="EX128" i="3"/>
  <c r="EX130" i="3"/>
  <c r="EX131" i="3"/>
  <c r="EX132" i="3"/>
  <c r="EX134" i="3"/>
  <c r="EX135" i="3"/>
  <c r="EX136" i="3"/>
  <c r="EX138" i="3"/>
  <c r="EX139" i="3"/>
  <c r="EX140" i="3"/>
  <c r="EX142" i="3"/>
  <c r="EX143" i="3"/>
  <c r="EX144" i="3"/>
  <c r="EX146" i="3"/>
  <c r="EX147" i="3"/>
  <c r="EX148" i="3"/>
  <c r="EX150" i="3"/>
  <c r="EX151" i="3"/>
  <c r="EX152" i="3"/>
  <c r="EX154" i="3"/>
  <c r="EX155" i="3"/>
  <c r="EX156" i="3"/>
  <c r="EX158" i="3"/>
  <c r="EX159" i="3"/>
  <c r="EX160" i="3"/>
  <c r="EX162" i="3"/>
  <c r="EX163" i="3"/>
  <c r="EX164" i="3"/>
  <c r="EX166" i="3"/>
  <c r="EX167" i="3"/>
  <c r="EX168" i="3"/>
  <c r="EX170" i="3"/>
  <c r="EX171" i="3"/>
  <c r="EX172" i="3"/>
  <c r="EX174" i="3"/>
  <c r="EX175" i="3"/>
  <c r="EX176" i="3"/>
  <c r="EX178" i="3"/>
  <c r="EX179" i="3"/>
  <c r="EX180" i="3"/>
  <c r="EX182" i="3"/>
  <c r="EX183" i="3"/>
  <c r="EX184" i="3"/>
  <c r="EX186" i="3"/>
  <c r="EX187" i="3"/>
  <c r="EX188" i="3"/>
  <c r="EX190" i="3"/>
  <c r="EX191" i="3"/>
  <c r="EX192" i="3"/>
  <c r="EX194" i="3"/>
  <c r="EX195" i="3"/>
  <c r="EX196" i="3"/>
  <c r="EX198" i="3"/>
  <c r="EX199" i="3"/>
  <c r="EX200" i="3"/>
  <c r="EX202" i="3"/>
  <c r="EX203" i="3"/>
  <c r="EX204" i="3"/>
  <c r="EX206" i="3"/>
  <c r="EX207" i="3"/>
  <c r="EX208" i="3"/>
  <c r="EX210" i="3"/>
  <c r="EX211" i="3"/>
  <c r="EX212" i="3"/>
  <c r="EX214" i="3"/>
  <c r="EX215" i="3"/>
  <c r="EX216" i="3"/>
  <c r="EX218" i="3"/>
  <c r="EX219" i="3"/>
  <c r="EX220" i="3"/>
  <c r="EX222" i="3"/>
  <c r="EX223" i="3"/>
  <c r="EX224" i="3"/>
  <c r="EX226" i="3"/>
  <c r="EX227" i="3"/>
  <c r="EX228" i="3"/>
  <c r="EX230" i="3"/>
  <c r="EX231" i="3"/>
  <c r="EX232" i="3"/>
  <c r="EX234" i="3"/>
  <c r="EX235" i="3"/>
  <c r="EX236" i="3"/>
  <c r="EX238" i="3"/>
  <c r="EX239" i="3"/>
  <c r="EX240" i="3"/>
  <c r="EX242" i="3"/>
  <c r="EX243" i="3"/>
  <c r="EX244" i="3"/>
  <c r="EX246" i="3"/>
  <c r="EX247" i="3"/>
  <c r="EX248" i="3"/>
  <c r="EX250" i="3"/>
  <c r="EX251" i="3"/>
  <c r="EX252" i="3"/>
  <c r="EX254" i="3"/>
  <c r="EX255" i="3"/>
  <c r="EX256" i="3"/>
  <c r="EX258" i="3"/>
  <c r="EX259" i="3"/>
  <c r="EX260" i="3"/>
  <c r="EX262" i="3"/>
  <c r="EX263" i="3"/>
  <c r="EX264" i="3"/>
  <c r="EX266" i="3"/>
  <c r="EX267" i="3"/>
  <c r="EX268" i="3"/>
  <c r="EX270" i="3"/>
  <c r="EX271" i="3"/>
  <c r="EX272" i="3"/>
  <c r="EX274" i="3"/>
  <c r="EX275" i="3"/>
  <c r="EX276" i="3"/>
  <c r="EX278" i="3"/>
  <c r="EX279" i="3"/>
  <c r="EX280" i="3"/>
  <c r="EX282" i="3"/>
  <c r="EX283" i="3"/>
  <c r="EX284" i="3"/>
  <c r="EX286" i="3"/>
  <c r="EX287" i="3"/>
  <c r="EX288" i="3"/>
  <c r="EX290" i="3"/>
  <c r="EX291" i="3"/>
  <c r="EX292" i="3"/>
  <c r="EX294" i="3"/>
  <c r="EX295" i="3"/>
  <c r="EX296" i="3"/>
  <c r="EX298" i="3"/>
  <c r="EX299" i="3"/>
  <c r="EX300" i="3"/>
  <c r="EX302" i="3"/>
  <c r="EX303" i="3"/>
  <c r="EX304" i="3"/>
  <c r="EX306" i="3"/>
  <c r="EX307" i="3"/>
  <c r="EX308" i="3"/>
  <c r="EX310" i="3"/>
  <c r="EX311" i="3"/>
  <c r="EX312" i="3"/>
  <c r="EX314" i="3"/>
  <c r="EX315" i="3"/>
  <c r="EX316" i="3"/>
  <c r="EX318" i="3"/>
  <c r="EX319" i="3"/>
  <c r="EX320" i="3"/>
  <c r="EX322" i="3"/>
  <c r="EX323" i="3"/>
  <c r="EX324" i="3"/>
  <c r="EX326" i="3"/>
  <c r="EX327" i="3"/>
  <c r="EX328" i="3"/>
  <c r="EX330" i="3"/>
  <c r="EX331" i="3"/>
  <c r="EX332" i="3"/>
  <c r="EX334" i="3"/>
  <c r="EX335" i="3"/>
  <c r="EX336" i="3"/>
  <c r="EX338" i="3"/>
  <c r="EX339" i="3"/>
  <c r="EX340" i="3"/>
  <c r="EX342" i="3"/>
  <c r="EX343" i="3"/>
  <c r="EX344" i="3"/>
  <c r="EX346" i="3"/>
  <c r="EX347" i="3"/>
  <c r="EX348" i="3"/>
  <c r="EX350" i="3"/>
  <c r="EX351" i="3"/>
  <c r="EX352" i="3"/>
  <c r="EX354" i="3"/>
  <c r="EX355" i="3"/>
  <c r="EX356" i="3"/>
  <c r="EX358" i="3"/>
  <c r="EX359" i="3"/>
  <c r="EX360" i="3"/>
  <c r="EX362" i="3"/>
  <c r="EX363" i="3"/>
  <c r="EX364" i="3"/>
  <c r="EX366" i="3"/>
  <c r="EX367" i="3"/>
  <c r="EX368" i="3"/>
  <c r="EX370" i="3"/>
  <c r="EX371" i="3"/>
  <c r="EX372" i="3"/>
  <c r="EX374" i="3"/>
  <c r="EX375" i="3"/>
  <c r="EX376" i="3"/>
  <c r="EX378" i="3"/>
  <c r="EX379" i="3"/>
  <c r="EX380" i="3"/>
  <c r="EX382" i="3"/>
  <c r="EX383" i="3"/>
  <c r="EX384" i="3"/>
  <c r="EX386" i="3"/>
  <c r="EX387" i="3"/>
  <c r="EX388" i="3"/>
  <c r="EX390" i="3"/>
  <c r="EX391" i="3"/>
  <c r="EX392" i="3"/>
  <c r="EX394" i="3"/>
  <c r="EX395" i="3"/>
  <c r="EX396" i="3"/>
  <c r="EX398" i="3"/>
  <c r="EX399" i="3"/>
  <c r="EX400" i="3"/>
  <c r="EX402" i="3"/>
  <c r="EX403" i="3"/>
  <c r="EX404" i="3"/>
  <c r="EX406" i="3"/>
  <c r="EX407" i="3"/>
  <c r="EX408" i="3"/>
  <c r="EX410" i="3"/>
  <c r="EX411" i="3"/>
  <c r="EX412" i="3"/>
  <c r="EX414" i="3"/>
  <c r="EX415" i="3"/>
  <c r="EX416" i="3"/>
  <c r="EX418" i="3"/>
  <c r="EX419" i="3"/>
  <c r="EX420" i="3"/>
  <c r="EX422" i="3"/>
  <c r="EX423" i="3"/>
  <c r="EX424" i="3"/>
  <c r="EX426" i="3"/>
  <c r="EX427" i="3"/>
  <c r="EX428" i="3"/>
  <c r="EX430" i="3"/>
  <c r="EX431" i="3"/>
  <c r="EX432" i="3"/>
  <c r="EX434" i="3"/>
  <c r="EX435" i="3"/>
  <c r="EX436" i="3"/>
  <c r="EX438" i="3"/>
  <c r="EX439" i="3"/>
  <c r="EX440" i="3"/>
  <c r="EX442" i="3"/>
  <c r="EX443" i="3"/>
  <c r="EX444" i="3"/>
  <c r="EX446" i="3"/>
  <c r="EX447" i="3"/>
  <c r="EX448" i="3"/>
  <c r="EX450" i="3"/>
  <c r="EX451" i="3"/>
  <c r="EX452" i="3"/>
  <c r="EX454" i="3"/>
  <c r="EX455" i="3"/>
  <c r="EX456" i="3"/>
  <c r="EX458" i="3"/>
  <c r="EX459" i="3"/>
  <c r="EX460" i="3"/>
  <c r="EX462" i="3"/>
  <c r="EX463" i="3"/>
  <c r="EX464" i="3"/>
  <c r="EX466" i="3"/>
  <c r="EX467" i="3"/>
  <c r="EX468" i="3"/>
  <c r="EX470" i="3"/>
  <c r="EX471" i="3"/>
  <c r="EX472" i="3"/>
  <c r="EX474" i="3"/>
  <c r="EX475" i="3"/>
  <c r="EX476" i="3"/>
  <c r="EX478" i="3"/>
  <c r="EX479" i="3"/>
  <c r="EX480" i="3"/>
  <c r="EX482" i="3"/>
  <c r="EX483" i="3"/>
  <c r="EX484" i="3"/>
  <c r="EX486" i="3"/>
  <c r="EX487" i="3"/>
  <c r="EX488" i="3"/>
  <c r="EX490" i="3"/>
  <c r="EX491" i="3"/>
  <c r="EX492" i="3"/>
  <c r="EX494" i="3"/>
  <c r="EX495" i="3"/>
  <c r="EX496" i="3"/>
  <c r="EX498" i="3"/>
  <c r="EX499" i="3"/>
  <c r="EX500" i="3"/>
  <c r="EX502" i="3"/>
  <c r="EX503" i="3"/>
  <c r="EX504" i="3"/>
  <c r="EX506" i="3"/>
  <c r="EX507" i="3"/>
  <c r="EX508" i="3"/>
  <c r="EX510" i="3"/>
  <c r="EX511" i="3"/>
  <c r="EX512" i="3"/>
  <c r="EX514" i="3"/>
  <c r="EX515" i="3"/>
  <c r="EX516" i="3"/>
  <c r="EX518" i="3"/>
  <c r="EX519" i="3"/>
  <c r="EX520" i="3"/>
  <c r="EX522" i="3"/>
  <c r="EX523" i="3"/>
  <c r="EX524" i="3"/>
  <c r="EX526" i="3"/>
  <c r="EX527" i="3"/>
  <c r="EX528" i="3"/>
  <c r="EX530" i="3"/>
  <c r="EX531" i="3"/>
  <c r="EX532" i="3"/>
  <c r="EX534" i="3"/>
  <c r="EX535" i="3"/>
  <c r="EX536" i="3"/>
  <c r="EX538" i="3"/>
  <c r="EX539" i="3"/>
  <c r="EX540" i="3"/>
  <c r="EX542" i="3"/>
  <c r="EX543" i="3"/>
  <c r="EX544" i="3"/>
  <c r="EX546" i="3"/>
  <c r="EX547" i="3"/>
  <c r="EX548" i="3"/>
  <c r="EX550" i="3"/>
  <c r="EX551" i="3"/>
  <c r="EX552" i="3"/>
  <c r="EX554" i="3"/>
  <c r="EX555" i="3"/>
  <c r="EX556" i="3"/>
  <c r="EX558" i="3"/>
  <c r="EX559" i="3"/>
  <c r="EX560" i="3"/>
  <c r="EX562" i="3"/>
  <c r="EX563" i="3"/>
  <c r="EX564" i="3"/>
  <c r="EX566" i="3"/>
  <c r="EX567" i="3"/>
  <c r="EX568" i="3"/>
  <c r="EX570" i="3"/>
  <c r="EX571" i="3"/>
  <c r="EX572" i="3"/>
  <c r="EX574" i="3"/>
  <c r="EX575" i="3"/>
  <c r="EX576" i="3"/>
  <c r="EX578" i="3"/>
  <c r="EX579" i="3"/>
  <c r="EX580" i="3"/>
  <c r="EX582" i="3"/>
  <c r="EX583" i="3"/>
  <c r="EX584" i="3"/>
  <c r="EX586" i="3"/>
  <c r="EX587" i="3"/>
  <c r="EX588" i="3"/>
  <c r="EX590" i="3"/>
  <c r="EX591" i="3"/>
  <c r="EX592" i="3"/>
  <c r="EX594" i="3"/>
  <c r="EX595" i="3"/>
  <c r="EX596" i="3"/>
  <c r="EX598" i="3"/>
  <c r="EX599" i="3"/>
  <c r="EX600" i="3"/>
  <c r="EY10" i="3"/>
  <c r="EY11" i="3"/>
  <c r="EY12" i="3"/>
  <c r="EY14" i="3"/>
  <c r="EY15" i="3"/>
  <c r="EY16" i="3"/>
  <c r="EY18" i="3"/>
  <c r="EY19" i="3"/>
  <c r="EY20" i="3"/>
  <c r="EY22" i="3"/>
  <c r="EY23" i="3"/>
  <c r="EY24" i="3"/>
  <c r="EY26" i="3"/>
  <c r="EY27" i="3"/>
  <c r="EY28" i="3"/>
  <c r="EY30" i="3"/>
  <c r="EY31" i="3"/>
  <c r="EY32" i="3"/>
  <c r="EY34" i="3"/>
  <c r="EY35" i="3"/>
  <c r="EY36" i="3"/>
  <c r="EY38" i="3"/>
  <c r="EY39" i="3"/>
  <c r="EY40" i="3"/>
  <c r="EY42" i="3"/>
  <c r="EY43" i="3"/>
  <c r="EY44" i="3"/>
  <c r="EY46" i="3"/>
  <c r="EY47" i="3"/>
  <c r="EY48" i="3"/>
  <c r="EY50" i="3"/>
  <c r="EY51" i="3"/>
  <c r="EY52" i="3"/>
  <c r="EY54" i="3"/>
  <c r="EY55" i="3"/>
  <c r="EY56" i="3"/>
  <c r="EY58" i="3"/>
  <c r="EY59" i="3"/>
  <c r="EY60" i="3"/>
  <c r="EY62" i="3"/>
  <c r="EY63" i="3"/>
  <c r="EY64" i="3"/>
  <c r="EY66" i="3"/>
  <c r="EY67" i="3"/>
  <c r="EY68" i="3"/>
  <c r="EY70" i="3"/>
  <c r="EY71" i="3"/>
  <c r="EY72" i="3"/>
  <c r="EY74" i="3"/>
  <c r="EY75" i="3"/>
  <c r="EY76" i="3"/>
  <c r="EY78" i="3"/>
  <c r="EY79" i="3"/>
  <c r="EY80" i="3"/>
  <c r="EY82" i="3"/>
  <c r="EY83" i="3"/>
  <c r="EY84" i="3"/>
  <c r="EY86" i="3"/>
  <c r="EY87" i="3"/>
  <c r="EY88" i="3"/>
  <c r="EY90" i="3"/>
  <c r="EY91" i="3"/>
  <c r="EY92" i="3"/>
  <c r="EY94" i="3"/>
  <c r="EY95" i="3"/>
  <c r="EY96" i="3"/>
  <c r="EY98" i="3"/>
  <c r="EY99" i="3"/>
  <c r="EY100" i="3"/>
  <c r="EY102" i="3"/>
  <c r="EY103" i="3"/>
  <c r="EY104" i="3"/>
  <c r="EY106" i="3"/>
  <c r="EY107" i="3"/>
  <c r="EY108" i="3"/>
  <c r="EY110" i="3"/>
  <c r="EY111" i="3"/>
  <c r="EY112" i="3"/>
  <c r="EY114" i="3"/>
  <c r="EY115" i="3"/>
  <c r="EY116" i="3"/>
  <c r="EY118" i="3"/>
  <c r="EY119" i="3"/>
  <c r="EY120" i="3"/>
  <c r="EY122" i="3"/>
  <c r="EY123" i="3"/>
  <c r="EY124" i="3"/>
  <c r="EY126" i="3"/>
  <c r="EY127" i="3"/>
  <c r="EY128" i="3"/>
  <c r="EY130" i="3"/>
  <c r="EY131" i="3"/>
  <c r="EY132" i="3"/>
  <c r="EY134" i="3"/>
  <c r="EY135" i="3"/>
  <c r="EY136" i="3"/>
  <c r="EY138" i="3"/>
  <c r="EY139" i="3"/>
  <c r="EY140" i="3"/>
  <c r="EY142" i="3"/>
  <c r="EY143" i="3"/>
  <c r="EY144" i="3"/>
  <c r="EY146" i="3"/>
  <c r="EY147" i="3"/>
  <c r="EY148" i="3"/>
  <c r="EY150" i="3"/>
  <c r="EY151" i="3"/>
  <c r="EY152" i="3"/>
  <c r="EY154" i="3"/>
  <c r="EY155" i="3"/>
  <c r="EY156" i="3"/>
  <c r="EY158" i="3"/>
  <c r="EY159" i="3"/>
  <c r="EY160" i="3"/>
  <c r="EY162" i="3"/>
  <c r="EY163" i="3"/>
  <c r="EY164" i="3"/>
  <c r="EY166" i="3"/>
  <c r="EY167" i="3"/>
  <c r="EY168" i="3"/>
  <c r="EY170" i="3"/>
  <c r="EY171" i="3"/>
  <c r="EY172" i="3"/>
  <c r="EY174" i="3"/>
  <c r="EY175" i="3"/>
  <c r="EY176" i="3"/>
  <c r="EY178" i="3"/>
  <c r="EY179" i="3"/>
  <c r="EY180" i="3"/>
  <c r="EY182" i="3"/>
  <c r="EY183" i="3"/>
  <c r="EY184" i="3"/>
  <c r="EY186" i="3"/>
  <c r="EY187" i="3"/>
  <c r="EY188" i="3"/>
  <c r="EY190" i="3"/>
  <c r="EY191" i="3"/>
  <c r="EY192" i="3"/>
  <c r="EY194" i="3"/>
  <c r="EY195" i="3"/>
  <c r="EY196" i="3"/>
  <c r="EY198" i="3"/>
  <c r="EY199" i="3"/>
  <c r="EY200" i="3"/>
  <c r="EY202" i="3"/>
  <c r="EY203" i="3"/>
  <c r="EY204" i="3"/>
  <c r="EY206" i="3"/>
  <c r="EY207" i="3"/>
  <c r="EY208" i="3"/>
  <c r="EY210" i="3"/>
  <c r="EY211" i="3"/>
  <c r="EY212" i="3"/>
  <c r="EY214" i="3"/>
  <c r="EY215" i="3"/>
  <c r="EY216" i="3"/>
  <c r="EY218" i="3"/>
  <c r="EY219" i="3"/>
  <c r="EY220" i="3"/>
  <c r="EY222" i="3"/>
  <c r="EY223" i="3"/>
  <c r="EY224" i="3"/>
  <c r="EY226" i="3"/>
  <c r="EY227" i="3"/>
  <c r="EY228" i="3"/>
  <c r="EY230" i="3"/>
  <c r="EY231" i="3"/>
  <c r="EY232" i="3"/>
  <c r="EY234" i="3"/>
  <c r="EY235" i="3"/>
  <c r="EY236" i="3"/>
  <c r="EY238" i="3"/>
  <c r="EY239" i="3"/>
  <c r="EY240" i="3"/>
  <c r="EY242" i="3"/>
  <c r="EY243" i="3"/>
  <c r="EY244" i="3"/>
  <c r="EY246" i="3"/>
  <c r="EY247" i="3"/>
  <c r="EY248" i="3"/>
  <c r="EY250" i="3"/>
  <c r="EY251" i="3"/>
  <c r="EY252" i="3"/>
  <c r="EY254" i="3"/>
  <c r="EY255" i="3"/>
  <c r="EY256" i="3"/>
  <c r="EY258" i="3"/>
  <c r="EY259" i="3"/>
  <c r="EY260" i="3"/>
  <c r="EY262" i="3"/>
  <c r="EY263" i="3"/>
  <c r="EY264" i="3"/>
  <c r="EY266" i="3"/>
  <c r="EY267" i="3"/>
  <c r="EY268" i="3"/>
  <c r="EY270" i="3"/>
  <c r="EY271" i="3"/>
  <c r="EY272" i="3"/>
  <c r="EY274" i="3"/>
  <c r="EY275" i="3"/>
  <c r="EY276" i="3"/>
  <c r="EY278" i="3"/>
  <c r="EY279" i="3"/>
  <c r="EY280" i="3"/>
  <c r="EY282" i="3"/>
  <c r="EY283" i="3"/>
  <c r="EY284" i="3"/>
  <c r="EY286" i="3"/>
  <c r="EY287" i="3"/>
  <c r="EY288" i="3"/>
  <c r="EY290" i="3"/>
  <c r="EY291" i="3"/>
  <c r="EY292" i="3"/>
  <c r="EY294" i="3"/>
  <c r="EY295" i="3"/>
  <c r="EY296" i="3"/>
  <c r="EY298" i="3"/>
  <c r="EY299" i="3"/>
  <c r="EY300" i="3"/>
  <c r="EY302" i="3"/>
  <c r="EY303" i="3"/>
  <c r="EY304" i="3"/>
  <c r="EY306" i="3"/>
  <c r="EY307" i="3"/>
  <c r="EY308" i="3"/>
  <c r="EY310" i="3"/>
  <c r="EY311" i="3"/>
  <c r="EY312" i="3"/>
  <c r="EY314" i="3"/>
  <c r="EY315" i="3"/>
  <c r="EY316" i="3"/>
  <c r="EY318" i="3"/>
  <c r="EY319" i="3"/>
  <c r="EY320" i="3"/>
  <c r="EY322" i="3"/>
  <c r="EY323" i="3"/>
  <c r="EY324" i="3"/>
  <c r="EY326" i="3"/>
  <c r="EY327" i="3"/>
  <c r="EY328" i="3"/>
  <c r="EY330" i="3"/>
  <c r="EY331" i="3"/>
  <c r="EY332" i="3"/>
  <c r="EY334" i="3"/>
  <c r="EY335" i="3"/>
  <c r="EY336" i="3"/>
  <c r="EY338" i="3"/>
  <c r="EY339" i="3"/>
  <c r="EY340" i="3"/>
  <c r="EY342" i="3"/>
  <c r="EY343" i="3"/>
  <c r="EY344" i="3"/>
  <c r="EY346" i="3"/>
  <c r="EY347" i="3"/>
  <c r="EY348" i="3"/>
  <c r="EY350" i="3"/>
  <c r="EY351" i="3"/>
  <c r="EY352" i="3"/>
  <c r="EY354" i="3"/>
  <c r="EY355" i="3"/>
  <c r="EY356" i="3"/>
  <c r="EY358" i="3"/>
  <c r="EY359" i="3"/>
  <c r="EY360" i="3"/>
  <c r="EY362" i="3"/>
  <c r="EY363" i="3"/>
  <c r="EY364" i="3"/>
  <c r="EY366" i="3"/>
  <c r="EY367" i="3"/>
  <c r="EY368" i="3"/>
  <c r="EY370" i="3"/>
  <c r="EY371" i="3"/>
  <c r="EY372" i="3"/>
  <c r="EY374" i="3"/>
  <c r="EY375" i="3"/>
  <c r="EY376" i="3"/>
  <c r="EY378" i="3"/>
  <c r="EY379" i="3"/>
  <c r="EY380" i="3"/>
  <c r="EY382" i="3"/>
  <c r="EY383" i="3"/>
  <c r="EY384" i="3"/>
  <c r="EY386" i="3"/>
  <c r="EY387" i="3"/>
  <c r="EY388" i="3"/>
  <c r="EY390" i="3"/>
  <c r="EY391" i="3"/>
  <c r="EY392" i="3"/>
  <c r="EY394" i="3"/>
  <c r="EY395" i="3"/>
  <c r="EY396" i="3"/>
  <c r="EY398" i="3"/>
  <c r="EY399" i="3"/>
  <c r="EY400" i="3"/>
  <c r="EY402" i="3"/>
  <c r="EY403" i="3"/>
  <c r="EY404" i="3"/>
  <c r="EY406" i="3"/>
  <c r="EY407" i="3"/>
  <c r="EY408" i="3"/>
  <c r="EY410" i="3"/>
  <c r="EY411" i="3"/>
  <c r="EY412" i="3"/>
  <c r="EY414" i="3"/>
  <c r="EY415" i="3"/>
  <c r="EY416" i="3"/>
  <c r="EY418" i="3"/>
  <c r="EY419" i="3"/>
  <c r="EY420" i="3"/>
  <c r="EY422" i="3"/>
  <c r="EY423" i="3"/>
  <c r="EY424" i="3"/>
  <c r="EY426" i="3"/>
  <c r="EY427" i="3"/>
  <c r="EY428" i="3"/>
  <c r="EY430" i="3"/>
  <c r="EY431" i="3"/>
  <c r="EY432" i="3"/>
  <c r="EY434" i="3"/>
  <c r="EY435" i="3"/>
  <c r="EY436" i="3"/>
  <c r="EY438" i="3"/>
  <c r="EY439" i="3"/>
  <c r="EY440" i="3"/>
  <c r="EY442" i="3"/>
  <c r="EY443" i="3"/>
  <c r="EY444" i="3"/>
  <c r="EY446" i="3"/>
  <c r="EY447" i="3"/>
  <c r="EY448" i="3"/>
  <c r="EY450" i="3"/>
  <c r="EY451" i="3"/>
  <c r="EY452" i="3"/>
  <c r="EY454" i="3"/>
  <c r="EY455" i="3"/>
  <c r="EY456" i="3"/>
  <c r="EY458" i="3"/>
  <c r="EY459" i="3"/>
  <c r="EY460" i="3"/>
  <c r="EY462" i="3"/>
  <c r="EY463" i="3"/>
  <c r="EY464" i="3"/>
  <c r="EY466" i="3"/>
  <c r="EY467" i="3"/>
  <c r="EY468" i="3"/>
  <c r="EY470" i="3"/>
  <c r="EY471" i="3"/>
  <c r="EY472" i="3"/>
  <c r="EY474" i="3"/>
  <c r="EY475" i="3"/>
  <c r="EY476" i="3"/>
  <c r="EY478" i="3"/>
  <c r="EY479" i="3"/>
  <c r="EY480" i="3"/>
  <c r="EY482" i="3"/>
  <c r="EY483" i="3"/>
  <c r="EY484" i="3"/>
  <c r="EY486" i="3"/>
  <c r="EY487" i="3"/>
  <c r="EY488" i="3"/>
  <c r="EY490" i="3"/>
  <c r="EY491" i="3"/>
  <c r="EY492" i="3"/>
  <c r="EY494" i="3"/>
  <c r="EY495" i="3"/>
  <c r="EY496" i="3"/>
  <c r="EY498" i="3"/>
  <c r="EY499" i="3"/>
  <c r="EY500" i="3"/>
  <c r="EY502" i="3"/>
  <c r="EY503" i="3"/>
  <c r="EY504" i="3"/>
  <c r="EY506" i="3"/>
  <c r="EY507" i="3"/>
  <c r="EY508" i="3"/>
  <c r="EY510" i="3"/>
  <c r="EY511" i="3"/>
  <c r="EY512" i="3"/>
  <c r="EY514" i="3"/>
  <c r="EY515" i="3"/>
  <c r="EY516" i="3"/>
  <c r="EY518" i="3"/>
  <c r="EY519" i="3"/>
  <c r="EY520" i="3"/>
  <c r="EY522" i="3"/>
  <c r="EY523" i="3"/>
  <c r="EY524" i="3"/>
  <c r="EY526" i="3"/>
  <c r="EY527" i="3"/>
  <c r="EY528" i="3"/>
  <c r="EY530" i="3"/>
  <c r="EY531" i="3"/>
  <c r="EY532" i="3"/>
  <c r="EY534" i="3"/>
  <c r="EY535" i="3"/>
  <c r="EY536" i="3"/>
  <c r="EY538" i="3"/>
  <c r="EY539" i="3"/>
  <c r="EY540" i="3"/>
  <c r="EY542" i="3"/>
  <c r="EY543" i="3"/>
  <c r="EY544" i="3"/>
  <c r="EY546" i="3"/>
  <c r="EY547" i="3"/>
  <c r="EY548" i="3"/>
  <c r="EY550" i="3"/>
  <c r="EY551" i="3"/>
  <c r="EY552" i="3"/>
  <c r="EY554" i="3"/>
  <c r="EY555" i="3"/>
  <c r="EY556" i="3"/>
  <c r="EY558" i="3"/>
  <c r="EY559" i="3"/>
  <c r="EY560" i="3"/>
  <c r="EY562" i="3"/>
  <c r="EY563" i="3"/>
  <c r="EY564" i="3"/>
  <c r="EY566" i="3"/>
  <c r="EY567" i="3"/>
  <c r="EY568" i="3"/>
  <c r="EY570" i="3"/>
  <c r="EY571" i="3"/>
  <c r="EY572" i="3"/>
  <c r="EY574" i="3"/>
  <c r="EY575" i="3"/>
  <c r="EY576" i="3"/>
  <c r="EY578" i="3"/>
  <c r="EY579" i="3"/>
  <c r="EY580" i="3"/>
  <c r="EY582" i="3"/>
  <c r="EY583" i="3"/>
  <c r="EY584" i="3"/>
  <c r="EY586" i="3"/>
  <c r="EY587" i="3"/>
  <c r="EY588" i="3"/>
  <c r="EY590" i="3"/>
  <c r="EY591" i="3"/>
  <c r="EY592" i="3"/>
  <c r="EY594" i="3"/>
  <c r="EY595" i="3"/>
  <c r="EY596" i="3"/>
  <c r="EY598" i="3"/>
  <c r="EY599" i="3"/>
  <c r="EY600" i="3"/>
  <c r="EZ10" i="3"/>
  <c r="EZ11" i="3"/>
  <c r="EZ12" i="3"/>
  <c r="EZ14" i="3"/>
  <c r="EZ15" i="3"/>
  <c r="EZ16" i="3"/>
  <c r="EZ18" i="3"/>
  <c r="EZ19" i="3"/>
  <c r="EZ20" i="3"/>
  <c r="EZ22" i="3"/>
  <c r="EZ23" i="3"/>
  <c r="EZ24" i="3"/>
  <c r="EZ26" i="3"/>
  <c r="EZ27" i="3"/>
  <c r="EZ28" i="3"/>
  <c r="EZ30" i="3"/>
  <c r="EZ31" i="3"/>
  <c r="EZ32" i="3"/>
  <c r="EZ34" i="3"/>
  <c r="EZ35" i="3"/>
  <c r="EZ36" i="3"/>
  <c r="EZ38" i="3"/>
  <c r="EZ39" i="3"/>
  <c r="EZ40" i="3"/>
  <c r="EZ42" i="3"/>
  <c r="EZ43" i="3"/>
  <c r="EZ44" i="3"/>
  <c r="EZ46" i="3"/>
  <c r="EZ47" i="3"/>
  <c r="EZ48" i="3"/>
  <c r="EZ50" i="3"/>
  <c r="EZ51" i="3"/>
  <c r="EZ52" i="3"/>
  <c r="EZ54" i="3"/>
  <c r="EZ55" i="3"/>
  <c r="EZ56" i="3"/>
  <c r="EZ58" i="3"/>
  <c r="EZ59" i="3"/>
  <c r="EZ60" i="3"/>
  <c r="EZ62" i="3"/>
  <c r="EZ63" i="3"/>
  <c r="EZ64" i="3"/>
  <c r="EZ66" i="3"/>
  <c r="EZ67" i="3"/>
  <c r="EZ68" i="3"/>
  <c r="EZ70" i="3"/>
  <c r="EZ71" i="3"/>
  <c r="EZ72" i="3"/>
  <c r="EZ74" i="3"/>
  <c r="EZ75" i="3"/>
  <c r="EZ76" i="3"/>
  <c r="EZ78" i="3"/>
  <c r="EZ79" i="3"/>
  <c r="EZ80" i="3"/>
  <c r="EZ82" i="3"/>
  <c r="EZ83" i="3"/>
  <c r="EZ84" i="3"/>
  <c r="EZ86" i="3"/>
  <c r="EZ87" i="3"/>
  <c r="EZ88" i="3"/>
  <c r="EZ90" i="3"/>
  <c r="EZ91" i="3"/>
  <c r="EZ92" i="3"/>
  <c r="EZ94" i="3"/>
  <c r="EZ95" i="3"/>
  <c r="EZ96" i="3"/>
  <c r="EZ98" i="3"/>
  <c r="EZ99" i="3"/>
  <c r="EZ100" i="3"/>
  <c r="EZ102" i="3"/>
  <c r="EZ103" i="3"/>
  <c r="EZ104" i="3"/>
  <c r="EZ106" i="3"/>
  <c r="EZ107" i="3"/>
  <c r="EZ108" i="3"/>
  <c r="EZ110" i="3"/>
  <c r="EZ111" i="3"/>
  <c r="EZ112" i="3"/>
  <c r="EZ114" i="3"/>
  <c r="EZ115" i="3"/>
  <c r="EZ116" i="3"/>
  <c r="EZ118" i="3"/>
  <c r="EZ119" i="3"/>
  <c r="EZ120" i="3"/>
  <c r="EZ122" i="3"/>
  <c r="EZ123" i="3"/>
  <c r="EZ124" i="3"/>
  <c r="EZ126" i="3"/>
  <c r="EZ127" i="3"/>
  <c r="EZ128" i="3"/>
  <c r="EZ130" i="3"/>
  <c r="EZ131" i="3"/>
  <c r="EZ132" i="3"/>
  <c r="EZ134" i="3"/>
  <c r="EZ135" i="3"/>
  <c r="EZ136" i="3"/>
  <c r="EZ138" i="3"/>
  <c r="EZ139" i="3"/>
  <c r="EZ140" i="3"/>
  <c r="EZ142" i="3"/>
  <c r="EZ143" i="3"/>
  <c r="EZ144" i="3"/>
  <c r="EZ146" i="3"/>
  <c r="EZ147" i="3"/>
  <c r="EZ148" i="3"/>
  <c r="EZ150" i="3"/>
  <c r="EZ151" i="3"/>
  <c r="EZ152" i="3"/>
  <c r="EZ154" i="3"/>
  <c r="EZ155" i="3"/>
  <c r="EZ156" i="3"/>
  <c r="EZ158" i="3"/>
  <c r="EZ159" i="3"/>
  <c r="EZ160" i="3"/>
  <c r="EZ162" i="3"/>
  <c r="EZ163" i="3"/>
  <c r="EZ164" i="3"/>
  <c r="EZ166" i="3"/>
  <c r="EZ167" i="3"/>
  <c r="EZ168" i="3"/>
  <c r="EZ170" i="3"/>
  <c r="EZ171" i="3"/>
  <c r="EZ172" i="3"/>
  <c r="EZ174" i="3"/>
  <c r="EZ175" i="3"/>
  <c r="EZ176" i="3"/>
  <c r="EZ178" i="3"/>
  <c r="EZ179" i="3"/>
  <c r="EZ180" i="3"/>
  <c r="EZ182" i="3"/>
  <c r="EZ183" i="3"/>
  <c r="EZ184" i="3"/>
  <c r="EZ186" i="3"/>
  <c r="EZ187" i="3"/>
  <c r="EZ188" i="3"/>
  <c r="EZ190" i="3"/>
  <c r="EZ191" i="3"/>
  <c r="EZ192" i="3"/>
  <c r="EZ194" i="3"/>
  <c r="EZ195" i="3"/>
  <c r="EZ196" i="3"/>
  <c r="EZ198" i="3"/>
  <c r="EZ199" i="3"/>
  <c r="EZ200" i="3"/>
  <c r="EZ202" i="3"/>
  <c r="EZ203" i="3"/>
  <c r="EZ204" i="3"/>
  <c r="EZ206" i="3"/>
  <c r="EZ207" i="3"/>
  <c r="EZ208" i="3"/>
  <c r="EZ210" i="3"/>
  <c r="EZ211" i="3"/>
  <c r="EZ212" i="3"/>
  <c r="EZ214" i="3"/>
  <c r="EZ215" i="3"/>
  <c r="EZ216" i="3"/>
  <c r="EZ218" i="3"/>
  <c r="EZ219" i="3"/>
  <c r="EZ220" i="3"/>
  <c r="EZ222" i="3"/>
  <c r="EZ223" i="3"/>
  <c r="EZ224" i="3"/>
  <c r="EZ225" i="3"/>
  <c r="EZ226" i="3"/>
  <c r="EZ227" i="3"/>
  <c r="EZ228" i="3"/>
  <c r="EZ229" i="3"/>
  <c r="EZ230" i="3"/>
  <c r="EZ231" i="3"/>
  <c r="EZ232" i="3"/>
  <c r="EZ233" i="3"/>
  <c r="EZ234" i="3"/>
  <c r="EZ235" i="3"/>
  <c r="EZ236" i="3"/>
  <c r="EZ237" i="3"/>
  <c r="EZ238" i="3"/>
  <c r="EZ239" i="3"/>
  <c r="EZ240" i="3"/>
  <c r="EZ241" i="3"/>
  <c r="EZ242" i="3"/>
  <c r="EZ243" i="3"/>
  <c r="EZ244" i="3"/>
  <c r="EZ245" i="3"/>
  <c r="EZ246" i="3"/>
  <c r="EZ247" i="3"/>
  <c r="EZ248" i="3"/>
  <c r="EZ249" i="3"/>
  <c r="EZ250" i="3"/>
  <c r="EZ251" i="3"/>
  <c r="EZ252" i="3"/>
  <c r="EZ253" i="3"/>
  <c r="EZ254" i="3"/>
  <c r="EZ255" i="3"/>
  <c r="EZ256" i="3"/>
  <c r="EZ257" i="3"/>
  <c r="EZ258" i="3"/>
  <c r="EZ259" i="3"/>
  <c r="EZ260" i="3"/>
  <c r="EZ261" i="3"/>
  <c r="EZ262" i="3"/>
  <c r="EZ263" i="3"/>
  <c r="EZ264" i="3"/>
  <c r="EZ265" i="3"/>
  <c r="EZ266" i="3"/>
  <c r="EZ267" i="3"/>
  <c r="EZ268" i="3"/>
  <c r="EZ269" i="3"/>
  <c r="EZ270" i="3"/>
  <c r="EZ271" i="3"/>
  <c r="EZ272" i="3"/>
  <c r="EZ273" i="3"/>
  <c r="EZ274" i="3"/>
  <c r="EZ275" i="3"/>
  <c r="EZ276" i="3"/>
  <c r="EZ277" i="3"/>
  <c r="EZ278" i="3"/>
  <c r="EZ279" i="3"/>
  <c r="EZ280" i="3"/>
  <c r="EZ281" i="3"/>
  <c r="EZ282" i="3"/>
  <c r="EZ283" i="3"/>
  <c r="EZ284" i="3"/>
  <c r="EZ285" i="3"/>
  <c r="EZ286" i="3"/>
  <c r="EZ287" i="3"/>
  <c r="EZ288" i="3"/>
  <c r="EZ289" i="3"/>
  <c r="EZ290" i="3"/>
  <c r="EZ291" i="3"/>
  <c r="EZ292" i="3"/>
  <c r="EZ293" i="3"/>
  <c r="EZ294" i="3"/>
  <c r="EZ295" i="3"/>
  <c r="EZ296" i="3"/>
  <c r="EZ297" i="3"/>
  <c r="EZ298" i="3"/>
  <c r="EZ299" i="3"/>
  <c r="EZ300" i="3"/>
  <c r="EZ301" i="3"/>
  <c r="EZ302" i="3"/>
  <c r="EZ303" i="3"/>
  <c r="EZ304" i="3"/>
  <c r="EZ305" i="3"/>
  <c r="EZ306" i="3"/>
  <c r="EZ307" i="3"/>
  <c r="EZ308" i="3"/>
  <c r="EZ309" i="3"/>
  <c r="EZ310" i="3"/>
  <c r="EZ311" i="3"/>
  <c r="EZ312" i="3"/>
  <c r="EZ313" i="3"/>
  <c r="EZ314" i="3"/>
  <c r="EZ315" i="3"/>
  <c r="EZ316" i="3"/>
  <c r="EZ317" i="3"/>
  <c r="EZ318" i="3"/>
  <c r="EZ319" i="3"/>
  <c r="EZ320" i="3"/>
  <c r="EZ321" i="3"/>
  <c r="EZ322" i="3"/>
  <c r="EZ323" i="3"/>
  <c r="EZ324" i="3"/>
  <c r="EZ325" i="3"/>
  <c r="EZ326" i="3"/>
  <c r="EZ327" i="3"/>
  <c r="EZ328" i="3"/>
  <c r="EZ329" i="3"/>
  <c r="EZ330" i="3"/>
  <c r="EZ331" i="3"/>
  <c r="EZ332" i="3"/>
  <c r="EZ333" i="3"/>
  <c r="EZ334" i="3"/>
  <c r="EZ335" i="3"/>
  <c r="EZ336" i="3"/>
  <c r="EZ337" i="3"/>
  <c r="EZ338" i="3"/>
  <c r="EZ339" i="3"/>
  <c r="EZ340" i="3"/>
  <c r="EZ341" i="3"/>
  <c r="EZ342" i="3"/>
  <c r="EZ343" i="3"/>
  <c r="EZ344" i="3"/>
  <c r="EZ345" i="3"/>
  <c r="EZ346" i="3"/>
  <c r="EZ347" i="3"/>
  <c r="EZ348" i="3"/>
  <c r="EZ349" i="3"/>
  <c r="EZ350" i="3"/>
  <c r="EZ351" i="3"/>
  <c r="EZ352" i="3"/>
  <c r="EZ353" i="3"/>
  <c r="EZ354" i="3"/>
  <c r="EZ355" i="3"/>
  <c r="EZ356" i="3"/>
  <c r="EZ357" i="3"/>
  <c r="EZ358" i="3"/>
  <c r="EZ359" i="3"/>
  <c r="EZ360" i="3"/>
  <c r="EZ361" i="3"/>
  <c r="EZ362" i="3"/>
  <c r="EZ363" i="3"/>
  <c r="EZ364" i="3"/>
  <c r="EZ365" i="3"/>
  <c r="EZ366" i="3"/>
  <c r="EZ367" i="3"/>
  <c r="EZ368" i="3"/>
  <c r="EZ369" i="3"/>
  <c r="EZ370" i="3"/>
  <c r="EZ371" i="3"/>
  <c r="EZ372" i="3"/>
  <c r="EZ373" i="3"/>
  <c r="EZ374" i="3"/>
  <c r="EZ375" i="3"/>
  <c r="EZ376" i="3"/>
  <c r="EZ377" i="3"/>
  <c r="EZ378" i="3"/>
  <c r="EZ379" i="3"/>
  <c r="EZ380" i="3"/>
  <c r="EZ381" i="3"/>
  <c r="EZ382" i="3"/>
  <c r="EZ383" i="3"/>
  <c r="EZ384" i="3"/>
  <c r="EZ385" i="3"/>
  <c r="EZ386" i="3"/>
  <c r="EZ387" i="3"/>
  <c r="EZ388" i="3"/>
  <c r="EZ389" i="3"/>
  <c r="EZ390" i="3"/>
  <c r="EZ391" i="3"/>
  <c r="EZ392" i="3"/>
  <c r="EZ393" i="3"/>
  <c r="EZ394" i="3"/>
  <c r="EZ395" i="3"/>
  <c r="EZ396" i="3"/>
  <c r="EZ397" i="3"/>
  <c r="EZ398" i="3"/>
  <c r="EZ399" i="3"/>
  <c r="EZ400" i="3"/>
  <c r="EZ401" i="3"/>
  <c r="EZ402" i="3"/>
  <c r="EZ403" i="3"/>
  <c r="EZ404" i="3"/>
  <c r="EZ405" i="3"/>
  <c r="EZ406" i="3"/>
  <c r="EZ407" i="3"/>
  <c r="EZ408" i="3"/>
  <c r="EZ409" i="3"/>
  <c r="EZ410" i="3"/>
  <c r="EZ411" i="3"/>
  <c r="EZ412" i="3"/>
  <c r="EZ413" i="3"/>
  <c r="EZ414" i="3"/>
  <c r="EZ415" i="3"/>
  <c r="EZ416" i="3"/>
  <c r="EZ417" i="3"/>
  <c r="EZ418" i="3"/>
  <c r="EZ419" i="3"/>
  <c r="EZ420" i="3"/>
  <c r="EZ421" i="3"/>
  <c r="EZ422" i="3"/>
  <c r="EZ423" i="3"/>
  <c r="EZ424" i="3"/>
  <c r="EZ425" i="3"/>
  <c r="EZ426" i="3"/>
  <c r="EZ427" i="3"/>
  <c r="EZ428" i="3"/>
  <c r="EZ429" i="3"/>
  <c r="EZ430" i="3"/>
  <c r="EZ431" i="3"/>
  <c r="EZ432" i="3"/>
  <c r="EZ433" i="3"/>
  <c r="EZ434" i="3"/>
  <c r="EZ435" i="3"/>
  <c r="EZ436" i="3"/>
  <c r="EZ437" i="3"/>
  <c r="EZ438" i="3"/>
  <c r="EZ439" i="3"/>
  <c r="EZ440" i="3"/>
  <c r="EZ441" i="3"/>
  <c r="EZ442" i="3"/>
  <c r="EZ443" i="3"/>
  <c r="EZ444" i="3"/>
  <c r="EZ445" i="3"/>
  <c r="EZ446" i="3"/>
  <c r="EZ447" i="3"/>
  <c r="EZ448" i="3"/>
  <c r="EZ449" i="3"/>
  <c r="EZ450" i="3"/>
  <c r="EZ451" i="3"/>
  <c r="EZ452" i="3"/>
  <c r="EZ453" i="3"/>
  <c r="EZ454" i="3"/>
  <c r="EZ455" i="3"/>
  <c r="EZ456" i="3"/>
  <c r="EZ457" i="3"/>
  <c r="EZ458" i="3"/>
  <c r="EZ459" i="3"/>
  <c r="EZ460" i="3"/>
  <c r="EZ461" i="3"/>
  <c r="EZ462" i="3"/>
  <c r="EZ463" i="3"/>
  <c r="EZ464" i="3"/>
  <c r="EZ465" i="3"/>
  <c r="EZ466" i="3"/>
  <c r="EZ467" i="3"/>
  <c r="EZ468" i="3"/>
  <c r="EZ469" i="3"/>
  <c r="EZ470" i="3"/>
  <c r="EZ471" i="3"/>
  <c r="EZ472" i="3"/>
  <c r="EZ473" i="3"/>
  <c r="EZ474" i="3"/>
  <c r="EZ475" i="3"/>
  <c r="EZ476" i="3"/>
  <c r="EZ477" i="3"/>
  <c r="EZ478" i="3"/>
  <c r="EZ479" i="3"/>
  <c r="EZ480" i="3"/>
  <c r="EZ481" i="3"/>
  <c r="EZ482" i="3"/>
  <c r="EZ483" i="3"/>
  <c r="EZ484" i="3"/>
  <c r="EZ485" i="3"/>
  <c r="EZ486" i="3"/>
  <c r="EZ487" i="3"/>
  <c r="EZ488" i="3"/>
  <c r="EZ489" i="3"/>
  <c r="EZ490" i="3"/>
  <c r="EZ491" i="3"/>
  <c r="EZ492" i="3"/>
  <c r="EZ493" i="3"/>
  <c r="EZ494" i="3"/>
  <c r="EZ495" i="3"/>
  <c r="EZ496" i="3"/>
  <c r="EZ497" i="3"/>
  <c r="EZ498" i="3"/>
  <c r="EZ499" i="3"/>
  <c r="EZ500" i="3"/>
  <c r="EZ501" i="3"/>
  <c r="EZ502" i="3"/>
  <c r="EZ503" i="3"/>
  <c r="EZ504" i="3"/>
  <c r="EZ505" i="3"/>
  <c r="EZ506" i="3"/>
  <c r="EZ507" i="3"/>
  <c r="EZ508" i="3"/>
  <c r="EZ509" i="3"/>
  <c r="EZ510" i="3"/>
  <c r="EZ511" i="3"/>
  <c r="EZ512" i="3"/>
  <c r="EZ513" i="3"/>
  <c r="EZ514" i="3"/>
  <c r="EZ515" i="3"/>
  <c r="EZ516" i="3"/>
  <c r="EZ517" i="3"/>
  <c r="EZ518" i="3"/>
  <c r="EZ519" i="3"/>
  <c r="EZ520" i="3"/>
  <c r="EZ521" i="3"/>
  <c r="EZ522" i="3"/>
  <c r="EZ523" i="3"/>
  <c r="EZ524" i="3"/>
  <c r="EZ525" i="3"/>
  <c r="EZ526" i="3"/>
  <c r="EZ527" i="3"/>
  <c r="EZ528" i="3"/>
  <c r="EZ529" i="3"/>
  <c r="EZ530" i="3"/>
  <c r="EZ531" i="3"/>
  <c r="EZ532" i="3"/>
  <c r="EZ533" i="3"/>
  <c r="EZ534" i="3"/>
  <c r="EZ535" i="3"/>
  <c r="EZ536" i="3"/>
  <c r="EZ537" i="3"/>
  <c r="EZ538" i="3"/>
  <c r="EZ539" i="3"/>
  <c r="EZ540" i="3"/>
  <c r="EZ541" i="3"/>
  <c r="EZ542" i="3"/>
  <c r="EZ543" i="3"/>
  <c r="EZ544" i="3"/>
  <c r="EZ545" i="3"/>
  <c r="EZ546" i="3"/>
  <c r="EZ547" i="3"/>
  <c r="EZ548" i="3"/>
  <c r="EZ549" i="3"/>
  <c r="EZ550" i="3"/>
  <c r="EZ551" i="3"/>
  <c r="EZ552" i="3"/>
  <c r="EZ553" i="3"/>
  <c r="EZ554" i="3"/>
  <c r="EZ555" i="3"/>
  <c r="EZ556" i="3"/>
  <c r="EZ557" i="3"/>
  <c r="EZ558" i="3"/>
  <c r="EZ559" i="3"/>
  <c r="EZ560" i="3"/>
  <c r="EZ561" i="3"/>
  <c r="EZ562" i="3"/>
  <c r="EZ563" i="3"/>
  <c r="EZ564" i="3"/>
  <c r="EZ565" i="3"/>
  <c r="EZ566" i="3"/>
  <c r="EZ567" i="3"/>
  <c r="EZ568" i="3"/>
  <c r="EZ569" i="3"/>
  <c r="EZ570" i="3"/>
  <c r="EZ571" i="3"/>
  <c r="EZ572" i="3"/>
  <c r="EZ573" i="3"/>
  <c r="EZ574" i="3"/>
  <c r="EZ575" i="3"/>
  <c r="EZ576" i="3"/>
  <c r="EZ577" i="3"/>
  <c r="EZ578" i="3"/>
  <c r="EZ579" i="3"/>
  <c r="EZ580" i="3"/>
  <c r="EZ581" i="3"/>
  <c r="EZ582" i="3"/>
  <c r="EZ583" i="3"/>
  <c r="EZ584" i="3"/>
  <c r="EZ585" i="3"/>
  <c r="EZ586" i="3"/>
  <c r="EZ587" i="3"/>
  <c r="EZ588" i="3"/>
  <c r="EZ589" i="3"/>
  <c r="EZ590" i="3"/>
  <c r="EZ591" i="3"/>
  <c r="EZ592" i="3"/>
  <c r="EZ593" i="3"/>
  <c r="EZ594" i="3"/>
  <c r="EZ595" i="3"/>
  <c r="EZ596" i="3"/>
  <c r="EZ597" i="3"/>
  <c r="EZ598" i="3"/>
  <c r="EZ599" i="3"/>
  <c r="EZ600" i="3"/>
  <c r="GE9" i="3"/>
  <c r="GE10" i="3"/>
  <c r="GE11" i="3"/>
  <c r="GE12" i="3"/>
  <c r="GE13" i="3"/>
  <c r="GE14" i="3"/>
  <c r="GE15" i="3"/>
  <c r="GE16" i="3"/>
  <c r="GE17" i="3"/>
  <c r="GE18" i="3"/>
  <c r="GE19" i="3"/>
  <c r="GE20" i="3"/>
  <c r="GE21" i="3"/>
  <c r="GE22" i="3"/>
  <c r="GE23" i="3"/>
  <c r="GE24" i="3"/>
  <c r="GE25" i="3"/>
  <c r="GE26" i="3"/>
  <c r="GE27" i="3"/>
  <c r="GE28" i="3"/>
  <c r="GE29" i="3"/>
  <c r="GE30" i="3"/>
  <c r="GE31" i="3"/>
  <c r="GE32" i="3"/>
  <c r="GE33" i="3"/>
  <c r="GE34" i="3"/>
  <c r="GE35" i="3"/>
  <c r="GE36" i="3"/>
  <c r="GE37" i="3"/>
  <c r="GE38" i="3"/>
  <c r="GE39" i="3"/>
  <c r="GE40" i="3"/>
  <c r="GE41" i="3"/>
  <c r="GE42" i="3"/>
  <c r="GE43" i="3"/>
  <c r="GE44" i="3"/>
  <c r="GE45" i="3"/>
  <c r="GE46" i="3"/>
  <c r="GE47" i="3"/>
  <c r="GE48" i="3"/>
  <c r="GE49" i="3"/>
  <c r="GE50" i="3"/>
  <c r="GE51" i="3"/>
  <c r="GE52" i="3"/>
  <c r="GE53" i="3"/>
  <c r="GE54" i="3"/>
  <c r="GE55" i="3"/>
  <c r="GE56" i="3"/>
  <c r="GE57" i="3"/>
  <c r="GE58" i="3"/>
  <c r="GE59" i="3"/>
  <c r="GE60" i="3"/>
  <c r="GE61" i="3"/>
  <c r="GE62" i="3"/>
  <c r="GE63" i="3"/>
  <c r="GE64" i="3"/>
  <c r="GE65" i="3"/>
  <c r="GE66" i="3"/>
  <c r="GE67" i="3"/>
  <c r="GE68" i="3"/>
  <c r="GE69" i="3"/>
  <c r="GE70" i="3"/>
  <c r="GE71" i="3"/>
  <c r="GE72" i="3"/>
  <c r="GE73" i="3"/>
  <c r="GE74" i="3"/>
  <c r="GE75" i="3"/>
  <c r="GE76" i="3"/>
  <c r="GE77" i="3"/>
  <c r="GE78" i="3"/>
  <c r="GE79" i="3"/>
  <c r="GE80" i="3"/>
  <c r="GE81" i="3"/>
  <c r="GE82" i="3"/>
  <c r="GE83" i="3"/>
  <c r="GE84" i="3"/>
  <c r="GE85" i="3"/>
  <c r="GE86" i="3"/>
  <c r="GE87" i="3"/>
  <c r="GE88" i="3"/>
  <c r="GE89" i="3"/>
  <c r="GE90" i="3"/>
  <c r="GE91" i="3"/>
  <c r="GE92" i="3"/>
  <c r="GE93" i="3"/>
  <c r="GE94" i="3"/>
  <c r="GE95" i="3"/>
  <c r="GE96" i="3"/>
  <c r="GE97" i="3"/>
  <c r="GE98" i="3"/>
  <c r="GE99" i="3"/>
  <c r="GE100" i="3"/>
  <c r="GE101" i="3"/>
  <c r="GE102" i="3"/>
  <c r="GE103" i="3"/>
  <c r="GE104" i="3"/>
  <c r="GE105" i="3"/>
  <c r="GE106" i="3"/>
  <c r="GE107" i="3"/>
  <c r="GE108" i="3"/>
  <c r="GE109" i="3"/>
  <c r="GE110" i="3"/>
  <c r="GE111" i="3"/>
  <c r="GE112" i="3"/>
  <c r="GE113" i="3"/>
  <c r="GE114" i="3"/>
  <c r="GE115" i="3"/>
  <c r="GE116" i="3"/>
  <c r="GE117" i="3"/>
  <c r="GE118" i="3"/>
  <c r="GE119" i="3"/>
  <c r="GE120" i="3"/>
  <c r="GE121" i="3"/>
  <c r="GE122" i="3"/>
  <c r="GE123" i="3"/>
  <c r="GE124" i="3"/>
  <c r="GE125" i="3"/>
  <c r="GE126" i="3"/>
  <c r="GE127" i="3"/>
  <c r="GE128" i="3"/>
  <c r="GE129" i="3"/>
  <c r="GE130" i="3"/>
  <c r="GE131" i="3"/>
  <c r="GE132" i="3"/>
  <c r="GE133" i="3"/>
  <c r="GE134" i="3"/>
  <c r="GE135" i="3"/>
  <c r="GE136" i="3"/>
  <c r="GE137" i="3"/>
  <c r="GE138" i="3"/>
  <c r="GE139" i="3"/>
  <c r="GE140" i="3"/>
  <c r="GE141" i="3"/>
  <c r="GE142" i="3"/>
  <c r="GE143" i="3"/>
  <c r="GE144" i="3"/>
  <c r="GE145" i="3"/>
  <c r="GE146" i="3"/>
  <c r="GE147" i="3"/>
  <c r="GE148" i="3"/>
  <c r="GE149" i="3"/>
  <c r="GE150" i="3"/>
  <c r="GE151" i="3"/>
  <c r="GE152" i="3"/>
  <c r="GE153" i="3"/>
  <c r="GE154" i="3"/>
  <c r="GE155" i="3"/>
  <c r="GE156" i="3"/>
  <c r="GE157" i="3"/>
  <c r="GE158" i="3"/>
  <c r="GE159" i="3"/>
  <c r="GE160" i="3"/>
  <c r="GE161" i="3"/>
  <c r="GE162" i="3"/>
  <c r="GE163" i="3"/>
  <c r="GE164" i="3"/>
  <c r="GE165" i="3"/>
  <c r="GE166" i="3"/>
  <c r="GE167" i="3"/>
  <c r="GE168" i="3"/>
  <c r="GE169" i="3"/>
  <c r="GE170" i="3"/>
  <c r="GE171" i="3"/>
  <c r="GE172" i="3"/>
  <c r="GE173" i="3"/>
  <c r="GE174" i="3"/>
  <c r="GE175" i="3"/>
  <c r="GE176" i="3"/>
  <c r="GE177" i="3"/>
  <c r="GE178" i="3"/>
  <c r="GE179" i="3"/>
  <c r="GE180" i="3"/>
  <c r="GE181" i="3"/>
  <c r="GE182" i="3"/>
  <c r="GE183" i="3"/>
  <c r="GE184" i="3"/>
  <c r="GE185" i="3"/>
  <c r="GE186" i="3"/>
  <c r="GE187" i="3"/>
  <c r="GE188" i="3"/>
  <c r="GE189" i="3"/>
  <c r="GE190" i="3"/>
  <c r="GE191" i="3"/>
  <c r="GE192" i="3"/>
  <c r="GE193" i="3"/>
  <c r="GE194" i="3"/>
  <c r="GE195" i="3"/>
  <c r="GE196" i="3"/>
  <c r="GE197" i="3"/>
  <c r="GE198" i="3"/>
  <c r="GE199" i="3"/>
  <c r="GE200" i="3"/>
  <c r="GE201" i="3"/>
  <c r="GE202" i="3"/>
  <c r="GE203" i="3"/>
  <c r="GE204" i="3"/>
  <c r="GE205" i="3"/>
  <c r="GE206" i="3"/>
  <c r="GE207" i="3"/>
  <c r="GE208" i="3"/>
  <c r="GE209" i="3"/>
  <c r="GE210" i="3"/>
  <c r="GE211" i="3"/>
  <c r="GE212" i="3"/>
  <c r="GE213" i="3"/>
  <c r="GE214" i="3"/>
  <c r="GE215" i="3"/>
  <c r="GE216" i="3"/>
  <c r="GE217" i="3"/>
  <c r="GE218" i="3"/>
  <c r="GE219" i="3"/>
  <c r="GE220" i="3"/>
  <c r="GE221" i="3"/>
  <c r="GE222" i="3"/>
  <c r="GE223" i="3"/>
  <c r="GE224" i="3"/>
  <c r="GE225" i="3"/>
  <c r="GE226" i="3"/>
  <c r="GE227" i="3"/>
  <c r="GE228" i="3"/>
  <c r="GE229" i="3"/>
  <c r="GE230" i="3"/>
  <c r="GE231" i="3"/>
  <c r="GE232" i="3"/>
  <c r="GE233" i="3"/>
  <c r="GE234" i="3"/>
  <c r="GE235" i="3"/>
  <c r="GE236" i="3"/>
  <c r="GE237" i="3"/>
  <c r="GE238" i="3"/>
  <c r="GE239" i="3"/>
  <c r="GE240" i="3"/>
  <c r="GE241" i="3"/>
  <c r="GE242" i="3"/>
  <c r="GE243" i="3"/>
  <c r="GE244" i="3"/>
  <c r="GE245" i="3"/>
  <c r="GE246" i="3"/>
  <c r="GE247" i="3"/>
  <c r="GE248" i="3"/>
  <c r="GE249" i="3"/>
  <c r="GE250" i="3"/>
  <c r="GE251" i="3"/>
  <c r="GE252" i="3"/>
  <c r="GE253" i="3"/>
  <c r="GE254" i="3"/>
  <c r="GE255" i="3"/>
  <c r="GE256" i="3"/>
  <c r="GE257" i="3"/>
  <c r="GE258" i="3"/>
  <c r="GE259" i="3"/>
  <c r="GE260" i="3"/>
  <c r="GE261" i="3"/>
  <c r="GE262" i="3"/>
  <c r="GE263" i="3"/>
  <c r="GE264" i="3"/>
  <c r="GE265" i="3"/>
  <c r="GE266" i="3"/>
  <c r="GE267" i="3"/>
  <c r="GE268" i="3"/>
  <c r="GE269" i="3"/>
  <c r="GE270" i="3"/>
  <c r="GE271" i="3"/>
  <c r="GE272" i="3"/>
  <c r="GE273" i="3"/>
  <c r="GE274" i="3"/>
  <c r="GE275" i="3"/>
  <c r="GE276" i="3"/>
  <c r="GE277" i="3"/>
  <c r="GE278" i="3"/>
  <c r="GE279" i="3"/>
  <c r="GE280" i="3"/>
  <c r="GE281" i="3"/>
  <c r="GE282" i="3"/>
  <c r="GE283" i="3"/>
  <c r="GE284" i="3"/>
  <c r="GE285" i="3"/>
  <c r="GE286" i="3"/>
  <c r="GE287" i="3"/>
  <c r="GE288" i="3"/>
  <c r="GE289" i="3"/>
  <c r="GE290" i="3"/>
  <c r="GE291" i="3"/>
  <c r="GE292" i="3"/>
  <c r="GE293" i="3"/>
  <c r="GE294" i="3"/>
  <c r="GE295" i="3"/>
  <c r="GE296" i="3"/>
  <c r="GE297" i="3"/>
  <c r="GE298" i="3"/>
  <c r="GE299" i="3"/>
  <c r="GE300" i="3"/>
  <c r="GE301" i="3"/>
  <c r="GE302" i="3"/>
  <c r="GE303" i="3"/>
  <c r="GE304" i="3"/>
  <c r="GE305" i="3"/>
  <c r="GE306" i="3"/>
  <c r="GE307" i="3"/>
  <c r="GE308" i="3"/>
  <c r="GE309" i="3"/>
  <c r="GE310" i="3"/>
  <c r="GE311" i="3"/>
  <c r="GE312" i="3"/>
  <c r="GE313" i="3"/>
  <c r="GE314" i="3"/>
  <c r="GE315" i="3"/>
  <c r="GE316" i="3"/>
  <c r="GE317" i="3"/>
  <c r="GE318" i="3"/>
  <c r="GE319" i="3"/>
  <c r="GE320" i="3"/>
  <c r="GE321" i="3"/>
  <c r="GE322" i="3"/>
  <c r="GE323" i="3"/>
  <c r="GE324" i="3"/>
  <c r="GE325" i="3"/>
  <c r="GE326" i="3"/>
  <c r="GE327" i="3"/>
  <c r="GE328" i="3"/>
  <c r="GE329" i="3"/>
  <c r="GE330" i="3"/>
  <c r="GE331" i="3"/>
  <c r="GE332" i="3"/>
  <c r="GE333" i="3"/>
  <c r="GE334" i="3"/>
  <c r="GE335" i="3"/>
  <c r="GE336" i="3"/>
  <c r="GE337" i="3"/>
  <c r="GE338" i="3"/>
  <c r="GE339" i="3"/>
  <c r="GE340" i="3"/>
  <c r="GE341" i="3"/>
  <c r="GE342" i="3"/>
  <c r="GE343" i="3"/>
  <c r="GE344" i="3"/>
  <c r="GE345" i="3"/>
  <c r="GE346" i="3"/>
  <c r="GE347" i="3"/>
  <c r="GE348" i="3"/>
  <c r="GE349" i="3"/>
  <c r="GE350" i="3"/>
  <c r="GE351" i="3"/>
  <c r="GE352" i="3"/>
  <c r="GE353" i="3"/>
  <c r="GE354" i="3"/>
  <c r="GE355" i="3"/>
  <c r="GE356" i="3"/>
  <c r="GE357" i="3"/>
  <c r="GE358" i="3"/>
  <c r="GE359" i="3"/>
  <c r="GE360" i="3"/>
  <c r="GE361" i="3"/>
  <c r="GE362" i="3"/>
  <c r="GE363" i="3"/>
  <c r="GE364" i="3"/>
  <c r="GE365" i="3"/>
  <c r="GE366" i="3"/>
  <c r="GE367" i="3"/>
  <c r="GE368" i="3"/>
  <c r="GE369" i="3"/>
  <c r="GE370" i="3"/>
  <c r="GE371" i="3"/>
  <c r="GE372" i="3"/>
  <c r="GE373" i="3"/>
  <c r="GE374" i="3"/>
  <c r="GE375" i="3"/>
  <c r="GE376" i="3"/>
  <c r="GE377" i="3"/>
  <c r="GE378" i="3"/>
  <c r="GE379" i="3"/>
  <c r="GE380" i="3"/>
  <c r="GE381" i="3"/>
  <c r="GE382" i="3"/>
  <c r="GE383" i="3"/>
  <c r="GE384" i="3"/>
  <c r="GE385" i="3"/>
  <c r="GE386" i="3"/>
  <c r="GE387" i="3"/>
  <c r="GE388" i="3"/>
  <c r="GE389" i="3"/>
  <c r="GE390" i="3"/>
  <c r="GE391" i="3"/>
  <c r="GE392" i="3"/>
  <c r="GE393" i="3"/>
  <c r="GE394" i="3"/>
  <c r="GE395" i="3"/>
  <c r="GE396" i="3"/>
  <c r="GE397" i="3"/>
  <c r="GE398" i="3"/>
  <c r="GE399" i="3"/>
  <c r="GE400" i="3"/>
  <c r="GE401" i="3"/>
  <c r="GE402" i="3"/>
  <c r="GE403" i="3"/>
  <c r="GE404" i="3"/>
  <c r="GE405" i="3"/>
  <c r="GE406" i="3"/>
  <c r="GE407" i="3"/>
  <c r="GE408" i="3"/>
  <c r="GE409" i="3"/>
  <c r="GE410" i="3"/>
  <c r="GE411" i="3"/>
  <c r="GE412" i="3"/>
  <c r="GE413" i="3"/>
  <c r="GE414" i="3"/>
  <c r="GE415" i="3"/>
  <c r="GE416" i="3"/>
  <c r="GE417" i="3"/>
  <c r="GE418" i="3"/>
  <c r="GE419" i="3"/>
  <c r="GE420" i="3"/>
  <c r="GE421" i="3"/>
  <c r="GE422" i="3"/>
  <c r="GE423" i="3"/>
  <c r="GE424" i="3"/>
  <c r="GE425" i="3"/>
  <c r="GE426" i="3"/>
  <c r="GE427" i="3"/>
  <c r="GE428" i="3"/>
  <c r="GE429" i="3"/>
  <c r="GE430" i="3"/>
  <c r="GE431" i="3"/>
  <c r="GE432" i="3"/>
  <c r="GE433" i="3"/>
  <c r="GE434" i="3"/>
  <c r="GE435" i="3"/>
  <c r="GE436" i="3"/>
  <c r="GE437" i="3"/>
  <c r="GE438" i="3"/>
  <c r="GE439" i="3"/>
  <c r="GE440" i="3"/>
  <c r="GE441" i="3"/>
  <c r="GE442" i="3"/>
  <c r="GE443" i="3"/>
  <c r="GE444" i="3"/>
  <c r="GE445" i="3"/>
  <c r="GE446" i="3"/>
  <c r="GE447" i="3"/>
  <c r="GE448" i="3"/>
  <c r="GE449" i="3"/>
  <c r="GE450" i="3"/>
  <c r="GE451" i="3"/>
  <c r="GE452" i="3"/>
  <c r="GE453" i="3"/>
  <c r="GE454" i="3"/>
  <c r="GE455" i="3"/>
  <c r="GE456" i="3"/>
  <c r="GE457" i="3"/>
  <c r="GE458" i="3"/>
  <c r="GE459" i="3"/>
  <c r="GE460" i="3"/>
  <c r="GE461" i="3"/>
  <c r="GE462" i="3"/>
  <c r="GE463" i="3"/>
  <c r="GE464" i="3"/>
  <c r="GE465" i="3"/>
  <c r="GE466" i="3"/>
  <c r="GE467" i="3"/>
  <c r="GE468" i="3"/>
  <c r="GE469" i="3"/>
  <c r="GE470" i="3"/>
  <c r="GE471" i="3"/>
  <c r="GE472" i="3"/>
  <c r="GE473" i="3"/>
  <c r="GE474" i="3"/>
  <c r="GE475" i="3"/>
  <c r="GE476" i="3"/>
  <c r="GE477" i="3"/>
  <c r="GE478" i="3"/>
  <c r="GE479" i="3"/>
  <c r="GE480" i="3"/>
  <c r="GE481" i="3"/>
  <c r="GE482" i="3"/>
  <c r="GE483" i="3"/>
  <c r="GE484" i="3"/>
  <c r="GE485" i="3"/>
  <c r="GE486" i="3"/>
  <c r="GE487" i="3"/>
  <c r="GE488" i="3"/>
  <c r="GE489" i="3"/>
  <c r="GE490" i="3"/>
  <c r="GE491" i="3"/>
  <c r="GE492" i="3"/>
  <c r="GE493" i="3"/>
  <c r="GE494" i="3"/>
  <c r="GE495" i="3"/>
  <c r="GE496" i="3"/>
  <c r="GE497" i="3"/>
  <c r="GE498" i="3"/>
  <c r="GE499" i="3"/>
  <c r="GE500" i="3"/>
  <c r="GE501" i="3"/>
  <c r="GE502" i="3"/>
  <c r="GE503" i="3"/>
  <c r="GE504" i="3"/>
  <c r="GE505" i="3"/>
  <c r="GE506" i="3"/>
  <c r="GE507" i="3"/>
  <c r="GE508" i="3"/>
  <c r="GE509" i="3"/>
  <c r="GE510" i="3"/>
  <c r="GE511" i="3"/>
  <c r="GE512" i="3"/>
  <c r="GE513" i="3"/>
  <c r="GE514" i="3"/>
  <c r="GE515" i="3"/>
  <c r="GE516" i="3"/>
  <c r="GE517" i="3"/>
  <c r="GE518" i="3"/>
  <c r="GE519" i="3"/>
  <c r="GE520" i="3"/>
  <c r="GE521" i="3"/>
  <c r="GE522" i="3"/>
  <c r="GE523" i="3"/>
  <c r="GE524" i="3"/>
  <c r="GE525" i="3"/>
  <c r="GE526" i="3"/>
  <c r="GE527" i="3"/>
  <c r="GE528" i="3"/>
  <c r="GE529" i="3"/>
  <c r="GE530" i="3"/>
  <c r="GE531" i="3"/>
  <c r="GE532" i="3"/>
  <c r="GE533" i="3"/>
  <c r="GE534" i="3"/>
  <c r="GE535" i="3"/>
  <c r="GE536" i="3"/>
  <c r="GE537" i="3"/>
  <c r="GE538" i="3"/>
  <c r="GE539" i="3"/>
  <c r="GE540" i="3"/>
  <c r="GE541" i="3"/>
  <c r="GE542" i="3"/>
  <c r="GE543" i="3"/>
  <c r="GE544" i="3"/>
  <c r="GE545" i="3"/>
  <c r="GE546" i="3"/>
  <c r="GE547" i="3"/>
  <c r="GE548" i="3"/>
  <c r="GE549" i="3"/>
  <c r="GE550" i="3"/>
  <c r="GE551" i="3"/>
  <c r="GE552" i="3"/>
  <c r="GE553" i="3"/>
  <c r="GE554" i="3"/>
  <c r="GE555" i="3"/>
  <c r="GE556" i="3"/>
  <c r="GE557" i="3"/>
  <c r="GE558" i="3"/>
  <c r="GE559" i="3"/>
  <c r="GE560" i="3"/>
  <c r="GE561" i="3"/>
  <c r="GE562" i="3"/>
  <c r="GE563" i="3"/>
  <c r="GE564" i="3"/>
  <c r="GE565" i="3"/>
  <c r="GE566" i="3"/>
  <c r="GE567" i="3"/>
  <c r="GE568" i="3"/>
  <c r="GE569" i="3"/>
  <c r="GE570" i="3"/>
  <c r="GE571" i="3"/>
  <c r="GE572" i="3"/>
  <c r="GE573" i="3"/>
  <c r="GE574" i="3"/>
  <c r="GE575" i="3"/>
  <c r="GE576" i="3"/>
  <c r="GE577" i="3"/>
  <c r="GE578" i="3"/>
  <c r="GE579" i="3"/>
  <c r="GE580" i="3"/>
  <c r="GE581" i="3"/>
  <c r="GE582" i="3"/>
  <c r="GE583" i="3"/>
  <c r="GE584" i="3"/>
  <c r="GE585" i="3"/>
  <c r="GE586" i="3"/>
  <c r="GE587" i="3"/>
  <c r="GE588" i="3"/>
  <c r="GE589" i="3"/>
  <c r="GE590" i="3"/>
  <c r="GE591" i="3"/>
  <c r="GE592" i="3"/>
  <c r="GE593" i="3"/>
  <c r="GE594" i="3"/>
  <c r="GE595" i="3"/>
  <c r="GE596" i="3"/>
  <c r="GE597" i="3"/>
  <c r="GE598" i="3"/>
  <c r="GE599" i="3"/>
  <c r="GE600" i="3"/>
  <c r="GF9" i="3"/>
  <c r="GF10" i="3"/>
  <c r="GF11" i="3"/>
  <c r="GF12" i="3"/>
  <c r="GF13" i="3"/>
  <c r="GF14" i="3"/>
  <c r="GF15" i="3"/>
  <c r="GF16" i="3"/>
  <c r="GF17" i="3"/>
  <c r="GF18" i="3"/>
  <c r="GF19" i="3"/>
  <c r="GF20" i="3"/>
  <c r="GF21" i="3"/>
  <c r="GF22" i="3"/>
  <c r="GF23" i="3"/>
  <c r="GF24" i="3"/>
  <c r="GF25" i="3"/>
  <c r="GF26" i="3"/>
  <c r="GF27" i="3"/>
  <c r="GF28" i="3"/>
  <c r="GF29" i="3"/>
  <c r="GF30" i="3"/>
  <c r="GF31" i="3"/>
  <c r="GF32" i="3"/>
  <c r="GF33" i="3"/>
  <c r="GF34" i="3"/>
  <c r="GF35" i="3"/>
  <c r="GF36" i="3"/>
  <c r="GF37" i="3"/>
  <c r="GF38" i="3"/>
  <c r="GF39" i="3"/>
  <c r="GF40" i="3"/>
  <c r="GF41" i="3"/>
  <c r="GF42" i="3"/>
  <c r="GF43" i="3"/>
  <c r="GF44" i="3"/>
  <c r="GF45" i="3"/>
  <c r="GF46" i="3"/>
  <c r="GF47" i="3"/>
  <c r="GF48" i="3"/>
  <c r="GF49" i="3"/>
  <c r="GF50" i="3"/>
  <c r="GF51" i="3"/>
  <c r="GF52" i="3"/>
  <c r="GF53" i="3"/>
  <c r="GF54" i="3"/>
  <c r="GF55" i="3"/>
  <c r="GF56" i="3"/>
  <c r="GF57" i="3"/>
  <c r="GF58" i="3"/>
  <c r="GF59" i="3"/>
  <c r="GF60" i="3"/>
  <c r="GF61" i="3"/>
  <c r="GF62" i="3"/>
  <c r="GF63" i="3"/>
  <c r="GF64" i="3"/>
  <c r="GF65" i="3"/>
  <c r="GF66" i="3"/>
  <c r="GF67" i="3"/>
  <c r="GF68" i="3"/>
  <c r="GF69" i="3"/>
  <c r="GF70" i="3"/>
  <c r="GF71" i="3"/>
  <c r="GF72" i="3"/>
  <c r="GF73" i="3"/>
  <c r="GF74" i="3"/>
  <c r="GF75" i="3"/>
  <c r="GF76" i="3"/>
  <c r="GF77" i="3"/>
  <c r="GF78" i="3"/>
  <c r="GF79" i="3"/>
  <c r="GF80" i="3"/>
  <c r="GF81" i="3"/>
  <c r="GF82" i="3"/>
  <c r="GF83" i="3"/>
  <c r="GF84" i="3"/>
  <c r="GF85" i="3"/>
  <c r="GF86" i="3"/>
  <c r="GF87" i="3"/>
  <c r="GF88" i="3"/>
  <c r="GF89" i="3"/>
  <c r="GF90" i="3"/>
  <c r="GF91" i="3"/>
  <c r="GF92" i="3"/>
  <c r="GF93" i="3"/>
  <c r="GF94" i="3"/>
  <c r="GF95" i="3"/>
  <c r="GF96" i="3"/>
  <c r="GF97" i="3"/>
  <c r="GF98" i="3"/>
  <c r="GF99" i="3"/>
  <c r="GF100" i="3"/>
  <c r="GF101" i="3"/>
  <c r="GF102" i="3"/>
  <c r="GF103" i="3"/>
  <c r="GF104" i="3"/>
  <c r="GF105" i="3"/>
  <c r="GF106" i="3"/>
  <c r="GF107" i="3"/>
  <c r="GF108" i="3"/>
  <c r="GF109" i="3"/>
  <c r="GF110" i="3"/>
  <c r="GF111" i="3"/>
  <c r="GF112" i="3"/>
  <c r="GF113" i="3"/>
  <c r="GF114" i="3"/>
  <c r="GF115" i="3"/>
  <c r="GF116" i="3"/>
  <c r="GF117" i="3"/>
  <c r="GF118" i="3"/>
  <c r="GF119" i="3"/>
  <c r="GF120" i="3"/>
  <c r="GF121" i="3"/>
  <c r="GF122" i="3"/>
  <c r="GF123" i="3"/>
  <c r="GF124" i="3"/>
  <c r="GF125" i="3"/>
  <c r="GF126" i="3"/>
  <c r="GF127" i="3"/>
  <c r="GF128" i="3"/>
  <c r="GF129" i="3"/>
  <c r="GF130" i="3"/>
  <c r="GF131" i="3"/>
  <c r="GF132" i="3"/>
  <c r="GF133" i="3"/>
  <c r="GF134" i="3"/>
  <c r="GF135" i="3"/>
  <c r="GF136" i="3"/>
  <c r="GF137" i="3"/>
  <c r="GF138" i="3"/>
  <c r="GF139" i="3"/>
  <c r="GF140" i="3"/>
  <c r="GF141" i="3"/>
  <c r="GF142" i="3"/>
  <c r="GF143" i="3"/>
  <c r="GF144" i="3"/>
  <c r="GF145" i="3"/>
  <c r="GF146" i="3"/>
  <c r="GF147" i="3"/>
  <c r="GF148" i="3"/>
  <c r="GF149" i="3"/>
  <c r="GF150" i="3"/>
  <c r="GF151" i="3"/>
  <c r="GF152" i="3"/>
  <c r="GF153" i="3"/>
  <c r="GF154" i="3"/>
  <c r="GF155" i="3"/>
  <c r="GF156" i="3"/>
  <c r="GF157" i="3"/>
  <c r="GF158" i="3"/>
  <c r="GF159" i="3"/>
  <c r="GF160" i="3"/>
  <c r="GF161" i="3"/>
  <c r="GF162" i="3"/>
  <c r="GF163" i="3"/>
  <c r="GF164" i="3"/>
  <c r="GF165" i="3"/>
  <c r="GF166" i="3"/>
  <c r="GF167" i="3"/>
  <c r="GF168" i="3"/>
  <c r="GF169" i="3"/>
  <c r="GF170" i="3"/>
  <c r="GF171" i="3"/>
  <c r="GF172" i="3"/>
  <c r="GF173" i="3"/>
  <c r="GF174" i="3"/>
  <c r="GF175" i="3"/>
  <c r="GF176" i="3"/>
  <c r="GF177" i="3"/>
  <c r="GF178" i="3"/>
  <c r="GF179" i="3"/>
  <c r="GF180" i="3"/>
  <c r="GF181" i="3"/>
  <c r="GF182" i="3"/>
  <c r="GF183" i="3"/>
  <c r="GF184" i="3"/>
  <c r="GF185" i="3"/>
  <c r="GF186" i="3"/>
  <c r="GF187" i="3"/>
  <c r="GF188" i="3"/>
  <c r="GF189" i="3"/>
  <c r="GF190" i="3"/>
  <c r="GF191" i="3"/>
  <c r="GF192" i="3"/>
  <c r="GF193" i="3"/>
  <c r="GF194" i="3"/>
  <c r="GF195" i="3"/>
  <c r="GF196" i="3"/>
  <c r="GF197" i="3"/>
  <c r="GF198" i="3"/>
  <c r="GF199" i="3"/>
  <c r="GF200" i="3"/>
  <c r="GF201" i="3"/>
  <c r="GF202" i="3"/>
  <c r="GF203" i="3"/>
  <c r="GF204" i="3"/>
  <c r="GF205" i="3"/>
  <c r="GF206" i="3"/>
  <c r="GF207" i="3"/>
  <c r="GF208" i="3"/>
  <c r="GF209" i="3"/>
  <c r="GF210" i="3"/>
  <c r="GF211" i="3"/>
  <c r="GF212" i="3"/>
  <c r="GF213" i="3"/>
  <c r="GF214" i="3"/>
  <c r="GF215" i="3"/>
  <c r="GF216" i="3"/>
  <c r="GF217" i="3"/>
  <c r="GF218" i="3"/>
  <c r="GF219" i="3"/>
  <c r="GF220" i="3"/>
  <c r="GF221" i="3"/>
  <c r="GF222" i="3"/>
  <c r="GF223" i="3"/>
  <c r="GF224" i="3"/>
  <c r="GF225" i="3"/>
  <c r="GF226" i="3"/>
  <c r="GF227" i="3"/>
  <c r="GF228" i="3"/>
  <c r="GF229" i="3"/>
  <c r="GF230" i="3"/>
  <c r="GF231" i="3"/>
  <c r="GF232" i="3"/>
  <c r="GF233" i="3"/>
  <c r="GF234" i="3"/>
  <c r="GF235" i="3"/>
  <c r="GF236" i="3"/>
  <c r="GF237" i="3"/>
  <c r="GF238" i="3"/>
  <c r="GF239" i="3"/>
  <c r="GF240" i="3"/>
  <c r="GF241" i="3"/>
  <c r="GF242" i="3"/>
  <c r="GF243" i="3"/>
  <c r="GF244" i="3"/>
  <c r="GF245" i="3"/>
  <c r="GF246" i="3"/>
  <c r="GF247" i="3"/>
  <c r="GF248" i="3"/>
  <c r="GF249" i="3"/>
  <c r="GF250" i="3"/>
  <c r="GF251" i="3"/>
  <c r="GF252" i="3"/>
  <c r="GF253" i="3"/>
  <c r="GF254" i="3"/>
  <c r="GF255" i="3"/>
  <c r="GF256" i="3"/>
  <c r="GF257" i="3"/>
  <c r="GF258" i="3"/>
  <c r="GF259" i="3"/>
  <c r="GF260" i="3"/>
  <c r="GF261" i="3"/>
  <c r="GF262" i="3"/>
  <c r="GF263" i="3"/>
  <c r="GF264" i="3"/>
  <c r="GF265" i="3"/>
  <c r="GF266" i="3"/>
  <c r="GF267" i="3"/>
  <c r="GF268" i="3"/>
  <c r="GF269" i="3"/>
  <c r="GF270" i="3"/>
  <c r="GF271" i="3"/>
  <c r="GF272" i="3"/>
  <c r="GF273" i="3"/>
  <c r="GF274" i="3"/>
  <c r="GF275" i="3"/>
  <c r="GF276" i="3"/>
  <c r="GF277" i="3"/>
  <c r="GF278" i="3"/>
  <c r="GF279" i="3"/>
  <c r="GF280" i="3"/>
  <c r="GF281" i="3"/>
  <c r="GF282" i="3"/>
  <c r="GF283" i="3"/>
  <c r="GF284" i="3"/>
  <c r="GF285" i="3"/>
  <c r="GF286" i="3"/>
  <c r="GF287" i="3"/>
  <c r="GF288" i="3"/>
  <c r="GF289" i="3"/>
  <c r="GF290" i="3"/>
  <c r="GF291" i="3"/>
  <c r="GF292" i="3"/>
  <c r="GF293" i="3"/>
  <c r="GF294" i="3"/>
  <c r="GF295" i="3"/>
  <c r="GF296" i="3"/>
  <c r="GF297" i="3"/>
  <c r="GF298" i="3"/>
  <c r="GF299" i="3"/>
  <c r="GF300" i="3"/>
  <c r="GF301" i="3"/>
  <c r="GF302" i="3"/>
  <c r="GF303" i="3"/>
  <c r="GF304" i="3"/>
  <c r="GF305" i="3"/>
  <c r="GF306" i="3"/>
  <c r="GF307" i="3"/>
  <c r="GF308" i="3"/>
  <c r="GF309" i="3"/>
  <c r="GF310" i="3"/>
  <c r="GF311" i="3"/>
  <c r="GF312" i="3"/>
  <c r="GF313" i="3"/>
  <c r="GF314" i="3"/>
  <c r="GF315" i="3"/>
  <c r="GF316" i="3"/>
  <c r="GF317" i="3"/>
  <c r="GF318" i="3"/>
  <c r="GF319" i="3"/>
  <c r="GF320" i="3"/>
  <c r="GF321" i="3"/>
  <c r="GF322" i="3"/>
  <c r="GF323" i="3"/>
  <c r="GF324" i="3"/>
  <c r="GF325" i="3"/>
  <c r="GF326" i="3"/>
  <c r="GF327" i="3"/>
  <c r="GF328" i="3"/>
  <c r="GF329" i="3"/>
  <c r="GF330" i="3"/>
  <c r="GF331" i="3"/>
  <c r="GF332" i="3"/>
  <c r="GF333" i="3"/>
  <c r="GF334" i="3"/>
  <c r="GF335" i="3"/>
  <c r="GF336" i="3"/>
  <c r="GF337" i="3"/>
  <c r="GF338" i="3"/>
  <c r="GF339" i="3"/>
  <c r="GF340" i="3"/>
  <c r="GF341" i="3"/>
  <c r="GF342" i="3"/>
  <c r="GF343" i="3"/>
  <c r="GF344" i="3"/>
  <c r="GF345" i="3"/>
  <c r="GF346" i="3"/>
  <c r="GF347" i="3"/>
  <c r="GF348" i="3"/>
  <c r="GF349" i="3"/>
  <c r="GF350" i="3"/>
  <c r="GF351" i="3"/>
  <c r="GF352" i="3"/>
  <c r="GF353" i="3"/>
  <c r="GF354" i="3"/>
  <c r="GF355" i="3"/>
  <c r="GF356" i="3"/>
  <c r="GF357" i="3"/>
  <c r="GF358" i="3"/>
  <c r="GF359" i="3"/>
  <c r="GF360" i="3"/>
  <c r="GF361" i="3"/>
  <c r="GF362" i="3"/>
  <c r="GF363" i="3"/>
  <c r="GF364" i="3"/>
  <c r="GF365" i="3"/>
  <c r="GF366" i="3"/>
  <c r="GF367" i="3"/>
  <c r="GF368" i="3"/>
  <c r="GF369" i="3"/>
  <c r="GF370" i="3"/>
  <c r="GF371" i="3"/>
  <c r="GF372" i="3"/>
  <c r="GF373" i="3"/>
  <c r="GF374" i="3"/>
  <c r="GF375" i="3"/>
  <c r="GF376" i="3"/>
  <c r="GF377" i="3"/>
  <c r="GF378" i="3"/>
  <c r="GF379" i="3"/>
  <c r="GF380" i="3"/>
  <c r="GF381" i="3"/>
  <c r="GF382" i="3"/>
  <c r="GF383" i="3"/>
  <c r="GF384" i="3"/>
  <c r="GF385" i="3"/>
  <c r="GF386" i="3"/>
  <c r="GF387" i="3"/>
  <c r="GF388" i="3"/>
  <c r="GF389" i="3"/>
  <c r="GF390" i="3"/>
  <c r="GF391" i="3"/>
  <c r="GF392" i="3"/>
  <c r="GF393" i="3"/>
  <c r="GF394" i="3"/>
  <c r="GF395" i="3"/>
  <c r="GF396" i="3"/>
  <c r="GF397" i="3"/>
  <c r="GF398" i="3"/>
  <c r="GF399" i="3"/>
  <c r="GF400" i="3"/>
  <c r="GF401" i="3"/>
  <c r="GF402" i="3"/>
  <c r="GF403" i="3"/>
  <c r="GF404" i="3"/>
  <c r="GF405" i="3"/>
  <c r="GF406" i="3"/>
  <c r="GF407" i="3"/>
  <c r="GF408" i="3"/>
  <c r="GF409" i="3"/>
  <c r="GF410" i="3"/>
  <c r="GF411" i="3"/>
  <c r="GF412" i="3"/>
  <c r="GF413" i="3"/>
  <c r="GF414" i="3"/>
  <c r="GF415" i="3"/>
  <c r="GF416" i="3"/>
  <c r="GF417" i="3"/>
  <c r="GF418" i="3"/>
  <c r="GF419" i="3"/>
  <c r="GF420" i="3"/>
  <c r="GF421" i="3"/>
  <c r="GF422" i="3"/>
  <c r="GF423" i="3"/>
  <c r="GF424" i="3"/>
  <c r="GF425" i="3"/>
  <c r="GF426" i="3"/>
  <c r="GF427" i="3"/>
  <c r="GF428" i="3"/>
  <c r="GF429" i="3"/>
  <c r="GF430" i="3"/>
  <c r="GF431" i="3"/>
  <c r="GF432" i="3"/>
  <c r="GF433" i="3"/>
  <c r="GF434" i="3"/>
  <c r="GF435" i="3"/>
  <c r="GF436" i="3"/>
  <c r="GF437" i="3"/>
  <c r="GF438" i="3"/>
  <c r="GF439" i="3"/>
  <c r="GF440" i="3"/>
  <c r="GF441" i="3"/>
  <c r="GF442" i="3"/>
  <c r="GF443" i="3"/>
  <c r="GF444" i="3"/>
  <c r="GF445" i="3"/>
  <c r="GF446" i="3"/>
  <c r="GF447" i="3"/>
  <c r="GF448" i="3"/>
  <c r="GF449" i="3"/>
  <c r="GF450" i="3"/>
  <c r="GF451" i="3"/>
  <c r="GF452" i="3"/>
  <c r="GF453" i="3"/>
  <c r="GF454" i="3"/>
  <c r="GF455" i="3"/>
  <c r="GF456" i="3"/>
  <c r="GF457" i="3"/>
  <c r="GF458" i="3"/>
  <c r="GF459" i="3"/>
  <c r="GF460" i="3"/>
  <c r="GF461" i="3"/>
  <c r="GF462" i="3"/>
  <c r="GF463" i="3"/>
  <c r="GF464" i="3"/>
  <c r="GF465" i="3"/>
  <c r="GF466" i="3"/>
  <c r="GF467" i="3"/>
  <c r="GF468" i="3"/>
  <c r="GF469" i="3"/>
  <c r="GF470" i="3"/>
  <c r="GF471" i="3"/>
  <c r="GF472" i="3"/>
  <c r="GF473" i="3"/>
  <c r="GF474" i="3"/>
  <c r="GF475" i="3"/>
  <c r="GF476" i="3"/>
  <c r="GF477" i="3"/>
  <c r="GF478" i="3"/>
  <c r="GF479" i="3"/>
  <c r="GF480" i="3"/>
  <c r="GF481" i="3"/>
  <c r="GF482" i="3"/>
  <c r="GF483" i="3"/>
  <c r="GF484" i="3"/>
  <c r="GF485" i="3"/>
  <c r="GF486" i="3"/>
  <c r="GF487" i="3"/>
  <c r="GF488" i="3"/>
  <c r="GF489" i="3"/>
  <c r="GF490" i="3"/>
  <c r="GF491" i="3"/>
  <c r="GF492" i="3"/>
  <c r="GF493" i="3"/>
  <c r="GF494" i="3"/>
  <c r="GF495" i="3"/>
  <c r="GF496" i="3"/>
  <c r="GF497" i="3"/>
  <c r="GF498" i="3"/>
  <c r="GF499" i="3"/>
  <c r="GF500" i="3"/>
  <c r="GF501" i="3"/>
  <c r="GF502" i="3"/>
  <c r="GF503" i="3"/>
  <c r="GF504" i="3"/>
  <c r="GF505" i="3"/>
  <c r="GF506" i="3"/>
  <c r="GF507" i="3"/>
  <c r="GF508" i="3"/>
  <c r="GF509" i="3"/>
  <c r="GF510" i="3"/>
  <c r="GF511" i="3"/>
  <c r="GF512" i="3"/>
  <c r="GF513" i="3"/>
  <c r="GF514" i="3"/>
  <c r="GF515" i="3"/>
  <c r="GF516" i="3"/>
  <c r="GF517" i="3"/>
  <c r="GF518" i="3"/>
  <c r="GF519" i="3"/>
  <c r="GF520" i="3"/>
  <c r="GF521" i="3"/>
  <c r="GF522" i="3"/>
  <c r="GF523" i="3"/>
  <c r="GF524" i="3"/>
  <c r="GF525" i="3"/>
  <c r="GF526" i="3"/>
  <c r="GF527" i="3"/>
  <c r="GF528" i="3"/>
  <c r="GF529" i="3"/>
  <c r="GF530" i="3"/>
  <c r="GF531" i="3"/>
  <c r="GF532" i="3"/>
  <c r="GF533" i="3"/>
  <c r="GF534" i="3"/>
  <c r="GF535" i="3"/>
  <c r="GF536" i="3"/>
  <c r="GF537" i="3"/>
  <c r="GF538" i="3"/>
  <c r="GF539" i="3"/>
  <c r="GF540" i="3"/>
  <c r="GF541" i="3"/>
  <c r="GF542" i="3"/>
  <c r="GF543" i="3"/>
  <c r="GF544" i="3"/>
  <c r="GF545" i="3"/>
  <c r="GF546" i="3"/>
  <c r="GF547" i="3"/>
  <c r="GF548" i="3"/>
  <c r="GF549" i="3"/>
  <c r="GF550" i="3"/>
  <c r="GF551" i="3"/>
  <c r="GF552" i="3"/>
  <c r="GF553" i="3"/>
  <c r="GF554" i="3"/>
  <c r="GF555" i="3"/>
  <c r="GF556" i="3"/>
  <c r="GF557" i="3"/>
  <c r="GF558" i="3"/>
  <c r="GF559" i="3"/>
  <c r="GF560" i="3"/>
  <c r="GF561" i="3"/>
  <c r="GF562" i="3"/>
  <c r="GF563" i="3"/>
  <c r="GF564" i="3"/>
  <c r="GF565" i="3"/>
  <c r="GF566" i="3"/>
  <c r="GF567" i="3"/>
  <c r="GF568" i="3"/>
  <c r="GF569" i="3"/>
  <c r="GF570" i="3"/>
  <c r="GF571" i="3"/>
  <c r="GF572" i="3"/>
  <c r="GF573" i="3"/>
  <c r="GF574" i="3"/>
  <c r="GF575" i="3"/>
  <c r="GF576" i="3"/>
  <c r="GF577" i="3"/>
  <c r="GF578" i="3"/>
  <c r="GF579" i="3"/>
  <c r="GF580" i="3"/>
  <c r="GF581" i="3"/>
  <c r="GF582" i="3"/>
  <c r="GF583" i="3"/>
  <c r="GF584" i="3"/>
  <c r="GF585" i="3"/>
  <c r="GF586" i="3"/>
  <c r="GF587" i="3"/>
  <c r="GF588" i="3"/>
  <c r="GF589" i="3"/>
  <c r="GF590" i="3"/>
  <c r="GF591" i="3"/>
  <c r="GF592" i="3"/>
  <c r="GF593" i="3"/>
  <c r="GF594" i="3"/>
  <c r="GF595" i="3"/>
  <c r="GF596" i="3"/>
  <c r="GF597" i="3"/>
  <c r="GF598" i="3"/>
  <c r="GF599" i="3"/>
  <c r="GF600" i="3"/>
  <c r="GG9" i="3"/>
  <c r="GG10" i="3"/>
  <c r="GG11" i="3"/>
  <c r="GG12" i="3"/>
  <c r="GG13" i="3"/>
  <c r="GG14" i="3"/>
  <c r="GG15" i="3"/>
  <c r="GG16" i="3"/>
  <c r="GG17" i="3"/>
  <c r="GG18" i="3"/>
  <c r="GG19" i="3"/>
  <c r="GG20" i="3"/>
  <c r="GG21" i="3"/>
  <c r="GG22" i="3"/>
  <c r="GG23" i="3"/>
  <c r="GG24" i="3"/>
  <c r="GG25" i="3"/>
  <c r="GG26" i="3"/>
  <c r="GG27" i="3"/>
  <c r="GG28" i="3"/>
  <c r="GG29" i="3"/>
  <c r="GG30" i="3"/>
  <c r="GG31" i="3"/>
  <c r="GG32" i="3"/>
  <c r="GG33" i="3"/>
  <c r="GG34" i="3"/>
  <c r="GG35" i="3"/>
  <c r="GG36" i="3"/>
  <c r="GG37" i="3"/>
  <c r="GG38" i="3"/>
  <c r="GG39" i="3"/>
  <c r="GG40" i="3"/>
  <c r="GG41" i="3"/>
  <c r="GG42" i="3"/>
  <c r="GG43" i="3"/>
  <c r="GG44" i="3"/>
  <c r="GG45" i="3"/>
  <c r="GG46" i="3"/>
  <c r="GG47" i="3"/>
  <c r="GG48" i="3"/>
  <c r="GG49" i="3"/>
  <c r="GG50" i="3"/>
  <c r="GG51" i="3"/>
  <c r="GG52" i="3"/>
  <c r="GG53" i="3"/>
  <c r="GG54" i="3"/>
  <c r="GG55" i="3"/>
  <c r="GG56" i="3"/>
  <c r="GG57" i="3"/>
  <c r="GG58" i="3"/>
  <c r="GG59" i="3"/>
  <c r="GG60" i="3"/>
  <c r="GG61" i="3"/>
  <c r="GG62" i="3"/>
  <c r="GG63" i="3"/>
  <c r="GG64" i="3"/>
  <c r="GG65" i="3"/>
  <c r="GG66" i="3"/>
  <c r="GG67" i="3"/>
  <c r="GG68" i="3"/>
  <c r="GG69" i="3"/>
  <c r="GG70" i="3"/>
  <c r="GG71" i="3"/>
  <c r="GG72" i="3"/>
  <c r="GG73" i="3"/>
  <c r="GG74" i="3"/>
  <c r="GG75" i="3"/>
  <c r="GG76" i="3"/>
  <c r="GG77" i="3"/>
  <c r="GG78" i="3"/>
  <c r="GG79" i="3"/>
  <c r="GG80" i="3"/>
  <c r="GG81" i="3"/>
  <c r="GG82" i="3"/>
  <c r="GG83" i="3"/>
  <c r="GG84" i="3"/>
  <c r="GG85" i="3"/>
  <c r="GG86" i="3"/>
  <c r="GG87" i="3"/>
  <c r="GG88" i="3"/>
  <c r="GG89" i="3"/>
  <c r="GG90" i="3"/>
  <c r="GG91" i="3"/>
  <c r="GG92" i="3"/>
  <c r="GG93" i="3"/>
  <c r="GG94" i="3"/>
  <c r="GG95" i="3"/>
  <c r="GG96" i="3"/>
  <c r="GG97" i="3"/>
  <c r="GG98" i="3"/>
  <c r="GG99" i="3"/>
  <c r="GG100" i="3"/>
  <c r="GG101" i="3"/>
  <c r="GG102" i="3"/>
  <c r="GG103" i="3"/>
  <c r="GG104" i="3"/>
  <c r="GG105" i="3"/>
  <c r="GG106" i="3"/>
  <c r="GG107" i="3"/>
  <c r="GG108" i="3"/>
  <c r="GG109" i="3"/>
  <c r="GG110" i="3"/>
  <c r="GG111" i="3"/>
  <c r="GG112" i="3"/>
  <c r="GG113" i="3"/>
  <c r="GG114" i="3"/>
  <c r="GG115" i="3"/>
  <c r="GG116" i="3"/>
  <c r="GG117" i="3"/>
  <c r="GG118" i="3"/>
  <c r="GG119" i="3"/>
  <c r="GG120" i="3"/>
  <c r="GG121" i="3"/>
  <c r="GG122" i="3"/>
  <c r="GG123" i="3"/>
  <c r="GG124" i="3"/>
  <c r="GG125" i="3"/>
  <c r="GG126" i="3"/>
  <c r="GG127" i="3"/>
  <c r="GG128" i="3"/>
  <c r="GG129" i="3"/>
  <c r="GG130" i="3"/>
  <c r="GG131" i="3"/>
  <c r="GG132" i="3"/>
  <c r="GG133" i="3"/>
  <c r="GG134" i="3"/>
  <c r="GG135" i="3"/>
  <c r="GG136" i="3"/>
  <c r="GG137" i="3"/>
  <c r="GG138" i="3"/>
  <c r="GG139" i="3"/>
  <c r="GG140" i="3"/>
  <c r="GG141" i="3"/>
  <c r="GG142" i="3"/>
  <c r="GG143" i="3"/>
  <c r="GG144" i="3"/>
  <c r="GG145" i="3"/>
  <c r="GG146" i="3"/>
  <c r="GG147" i="3"/>
  <c r="GG148" i="3"/>
  <c r="GG149" i="3"/>
  <c r="GG150" i="3"/>
  <c r="GG151" i="3"/>
  <c r="GG152" i="3"/>
  <c r="GG153" i="3"/>
  <c r="GG154" i="3"/>
  <c r="GG155" i="3"/>
  <c r="GG156" i="3"/>
  <c r="GG157" i="3"/>
  <c r="GG158" i="3"/>
  <c r="GG159" i="3"/>
  <c r="GG160" i="3"/>
  <c r="GG161" i="3"/>
  <c r="GG162" i="3"/>
  <c r="GG163" i="3"/>
  <c r="GG164" i="3"/>
  <c r="GG165" i="3"/>
  <c r="GG166" i="3"/>
  <c r="GG167" i="3"/>
  <c r="GG168" i="3"/>
  <c r="GG169" i="3"/>
  <c r="GG170" i="3"/>
  <c r="GG171" i="3"/>
  <c r="GG172" i="3"/>
  <c r="GG173" i="3"/>
  <c r="GG174" i="3"/>
  <c r="GG175" i="3"/>
  <c r="GG176" i="3"/>
  <c r="GG177" i="3"/>
  <c r="GG178" i="3"/>
  <c r="GG179" i="3"/>
  <c r="GG180" i="3"/>
  <c r="GG181" i="3"/>
  <c r="GG182" i="3"/>
  <c r="GG183" i="3"/>
  <c r="GG184" i="3"/>
  <c r="GG185" i="3"/>
  <c r="GG186" i="3"/>
  <c r="GG187" i="3"/>
  <c r="GG188" i="3"/>
  <c r="GG189" i="3"/>
  <c r="GG190" i="3"/>
  <c r="GG191" i="3"/>
  <c r="GG192" i="3"/>
  <c r="GG193" i="3"/>
  <c r="GG194" i="3"/>
  <c r="GG195" i="3"/>
  <c r="GG196" i="3"/>
  <c r="GG197" i="3"/>
  <c r="GG198" i="3"/>
  <c r="GG199" i="3"/>
  <c r="GG200" i="3"/>
  <c r="GG201" i="3"/>
  <c r="GG202" i="3"/>
  <c r="GG203" i="3"/>
  <c r="GG204" i="3"/>
  <c r="GG205" i="3"/>
  <c r="GG206" i="3"/>
  <c r="GG207" i="3"/>
  <c r="GG208" i="3"/>
  <c r="GG209" i="3"/>
  <c r="GG210" i="3"/>
  <c r="GG211" i="3"/>
  <c r="GG212" i="3"/>
  <c r="GG213" i="3"/>
  <c r="GG214" i="3"/>
  <c r="GG215" i="3"/>
  <c r="GG216" i="3"/>
  <c r="GG217" i="3"/>
  <c r="GG218" i="3"/>
  <c r="GG219" i="3"/>
  <c r="GG220" i="3"/>
  <c r="GG221" i="3"/>
  <c r="GG222" i="3"/>
  <c r="GG223" i="3"/>
  <c r="GG224" i="3"/>
  <c r="GG225" i="3"/>
  <c r="GG226" i="3"/>
  <c r="GG227" i="3"/>
  <c r="GG228" i="3"/>
  <c r="GG229" i="3"/>
  <c r="GG230" i="3"/>
  <c r="GG231" i="3"/>
  <c r="GG232" i="3"/>
  <c r="GG233" i="3"/>
  <c r="GG234" i="3"/>
  <c r="GG235" i="3"/>
  <c r="GG236" i="3"/>
  <c r="GG237" i="3"/>
  <c r="GG238" i="3"/>
  <c r="GG239" i="3"/>
  <c r="GG240" i="3"/>
  <c r="GG241" i="3"/>
  <c r="GG242" i="3"/>
  <c r="GG243" i="3"/>
  <c r="GG244" i="3"/>
  <c r="GG245" i="3"/>
  <c r="GG246" i="3"/>
  <c r="GG247" i="3"/>
  <c r="GG248" i="3"/>
  <c r="GG249" i="3"/>
  <c r="GG250" i="3"/>
  <c r="GG251" i="3"/>
  <c r="GG252" i="3"/>
  <c r="GG253" i="3"/>
  <c r="GG254" i="3"/>
  <c r="GG255" i="3"/>
  <c r="GG256" i="3"/>
  <c r="GG257" i="3"/>
  <c r="GG258" i="3"/>
  <c r="GG259" i="3"/>
  <c r="GG260" i="3"/>
  <c r="GG261" i="3"/>
  <c r="GG262" i="3"/>
  <c r="GG263" i="3"/>
  <c r="GG264" i="3"/>
  <c r="GG265" i="3"/>
  <c r="GG266" i="3"/>
  <c r="GG267" i="3"/>
  <c r="GG268" i="3"/>
  <c r="GG269" i="3"/>
  <c r="GG270" i="3"/>
  <c r="GG271" i="3"/>
  <c r="GG272" i="3"/>
  <c r="GG273" i="3"/>
  <c r="GG274" i="3"/>
  <c r="GG275" i="3"/>
  <c r="GG276" i="3"/>
  <c r="GG277" i="3"/>
  <c r="GG278" i="3"/>
  <c r="GG279" i="3"/>
  <c r="GG280" i="3"/>
  <c r="GG281" i="3"/>
  <c r="GG282" i="3"/>
  <c r="GG283" i="3"/>
  <c r="GG284" i="3"/>
  <c r="GG285" i="3"/>
  <c r="GG286" i="3"/>
  <c r="GG287" i="3"/>
  <c r="GG288" i="3"/>
  <c r="GG289" i="3"/>
  <c r="GG290" i="3"/>
  <c r="GG291" i="3"/>
  <c r="GG292" i="3"/>
  <c r="GG293" i="3"/>
  <c r="GG294" i="3"/>
  <c r="GG295" i="3"/>
  <c r="GG296" i="3"/>
  <c r="GG297" i="3"/>
  <c r="GG298" i="3"/>
  <c r="GG299" i="3"/>
  <c r="GG300" i="3"/>
  <c r="GG301" i="3"/>
  <c r="GG302" i="3"/>
  <c r="GG303" i="3"/>
  <c r="GG304" i="3"/>
  <c r="GG305" i="3"/>
  <c r="GG306" i="3"/>
  <c r="GG307" i="3"/>
  <c r="GG308" i="3"/>
  <c r="GG309" i="3"/>
  <c r="GG310" i="3"/>
  <c r="GG311" i="3"/>
  <c r="GG312" i="3"/>
  <c r="GG313" i="3"/>
  <c r="GG314" i="3"/>
  <c r="GG315" i="3"/>
  <c r="GG316" i="3"/>
  <c r="GG317" i="3"/>
  <c r="GG318" i="3"/>
  <c r="GG319" i="3"/>
  <c r="GG320" i="3"/>
  <c r="GG321" i="3"/>
  <c r="GG322" i="3"/>
  <c r="GG323" i="3"/>
  <c r="GG324" i="3"/>
  <c r="GG325" i="3"/>
  <c r="GG326" i="3"/>
  <c r="GG327" i="3"/>
  <c r="GG328" i="3"/>
  <c r="GG329" i="3"/>
  <c r="GG330" i="3"/>
  <c r="GG331" i="3"/>
  <c r="GG332" i="3"/>
  <c r="GG333" i="3"/>
  <c r="GG334" i="3"/>
  <c r="GG335" i="3"/>
  <c r="GG336" i="3"/>
  <c r="GG337" i="3"/>
  <c r="GG338" i="3"/>
  <c r="GG339" i="3"/>
  <c r="GG340" i="3"/>
  <c r="GG341" i="3"/>
  <c r="GG342" i="3"/>
  <c r="GG343" i="3"/>
  <c r="GG344" i="3"/>
  <c r="GG345" i="3"/>
  <c r="GG346" i="3"/>
  <c r="GG347" i="3"/>
  <c r="GG348" i="3"/>
  <c r="GG349" i="3"/>
  <c r="GG350" i="3"/>
  <c r="GG351" i="3"/>
  <c r="GG352" i="3"/>
  <c r="GG353" i="3"/>
  <c r="GG354" i="3"/>
  <c r="GG355" i="3"/>
  <c r="GG356" i="3"/>
  <c r="GG357" i="3"/>
  <c r="GG358" i="3"/>
  <c r="GG359" i="3"/>
  <c r="GG360" i="3"/>
  <c r="GG361" i="3"/>
  <c r="GG362" i="3"/>
  <c r="GG363" i="3"/>
  <c r="GG364" i="3"/>
  <c r="GG365" i="3"/>
  <c r="GG366" i="3"/>
  <c r="GG367" i="3"/>
  <c r="GG368" i="3"/>
  <c r="GG369" i="3"/>
  <c r="GG370" i="3"/>
  <c r="GG371" i="3"/>
  <c r="GG372" i="3"/>
  <c r="GG373" i="3"/>
  <c r="GG374" i="3"/>
  <c r="GG375" i="3"/>
  <c r="GG376" i="3"/>
  <c r="GG377" i="3"/>
  <c r="GG378" i="3"/>
  <c r="GG379" i="3"/>
  <c r="GG380" i="3"/>
  <c r="GG381" i="3"/>
  <c r="GG382" i="3"/>
  <c r="GG383" i="3"/>
  <c r="GG384" i="3"/>
  <c r="GG385" i="3"/>
  <c r="GG386" i="3"/>
  <c r="GG387" i="3"/>
  <c r="GG388" i="3"/>
  <c r="GG389" i="3"/>
  <c r="GG390" i="3"/>
  <c r="GG391" i="3"/>
  <c r="GG392" i="3"/>
  <c r="GG393" i="3"/>
  <c r="GG394" i="3"/>
  <c r="GG395" i="3"/>
  <c r="GG396" i="3"/>
  <c r="GG397" i="3"/>
  <c r="GG398" i="3"/>
  <c r="GG399" i="3"/>
  <c r="GG400" i="3"/>
  <c r="GG401" i="3"/>
  <c r="GG402" i="3"/>
  <c r="GG403" i="3"/>
  <c r="GG404" i="3"/>
  <c r="GG405" i="3"/>
  <c r="GG406" i="3"/>
  <c r="GG407" i="3"/>
  <c r="GG408" i="3"/>
  <c r="GG409" i="3"/>
  <c r="GG410" i="3"/>
  <c r="GG411" i="3"/>
  <c r="GG412" i="3"/>
  <c r="GG413" i="3"/>
  <c r="GG414" i="3"/>
  <c r="GG415" i="3"/>
  <c r="GG416" i="3"/>
  <c r="GG417" i="3"/>
  <c r="GG418" i="3"/>
  <c r="GG419" i="3"/>
  <c r="GG420" i="3"/>
  <c r="GG421" i="3"/>
  <c r="GG422" i="3"/>
  <c r="GG423" i="3"/>
  <c r="GG424" i="3"/>
  <c r="GG425" i="3"/>
  <c r="GG426" i="3"/>
  <c r="GG427" i="3"/>
  <c r="GG428" i="3"/>
  <c r="GG429" i="3"/>
  <c r="GG430" i="3"/>
  <c r="GG431" i="3"/>
  <c r="GG432" i="3"/>
  <c r="GG433" i="3"/>
  <c r="GG434" i="3"/>
  <c r="GG435" i="3"/>
  <c r="GG436" i="3"/>
  <c r="GG437" i="3"/>
  <c r="GG438" i="3"/>
  <c r="GG439" i="3"/>
  <c r="GG440" i="3"/>
  <c r="GG441" i="3"/>
  <c r="GG442" i="3"/>
  <c r="GG443" i="3"/>
  <c r="GG444" i="3"/>
  <c r="GG445" i="3"/>
  <c r="GG446" i="3"/>
  <c r="GG447" i="3"/>
  <c r="GG448" i="3"/>
  <c r="GG449" i="3"/>
  <c r="GG450" i="3"/>
  <c r="GG451" i="3"/>
  <c r="GG452" i="3"/>
  <c r="GG453" i="3"/>
  <c r="GG454" i="3"/>
  <c r="GG455" i="3"/>
  <c r="GG456" i="3"/>
  <c r="GG457" i="3"/>
  <c r="GG458" i="3"/>
  <c r="GG459" i="3"/>
  <c r="GG460" i="3"/>
  <c r="GG461" i="3"/>
  <c r="GG462" i="3"/>
  <c r="GG463" i="3"/>
  <c r="GG464" i="3"/>
  <c r="GG465" i="3"/>
  <c r="GG466" i="3"/>
  <c r="GG467" i="3"/>
  <c r="GG468" i="3"/>
  <c r="GG469" i="3"/>
  <c r="GG470" i="3"/>
  <c r="GG471" i="3"/>
  <c r="GG472" i="3"/>
  <c r="GG473" i="3"/>
  <c r="GG474" i="3"/>
  <c r="GG475" i="3"/>
  <c r="GG476" i="3"/>
  <c r="GG477" i="3"/>
  <c r="GG478" i="3"/>
  <c r="GG479" i="3"/>
  <c r="GG480" i="3"/>
  <c r="GG481" i="3"/>
  <c r="GG482" i="3"/>
  <c r="GG483" i="3"/>
  <c r="GG484" i="3"/>
  <c r="GG485" i="3"/>
  <c r="GG486" i="3"/>
  <c r="GG487" i="3"/>
  <c r="GG488" i="3"/>
  <c r="GG489" i="3"/>
  <c r="GG490" i="3"/>
  <c r="GG491" i="3"/>
  <c r="GG492" i="3"/>
  <c r="GG493" i="3"/>
  <c r="GG494" i="3"/>
  <c r="GG495" i="3"/>
  <c r="GG496" i="3"/>
  <c r="GG497" i="3"/>
  <c r="GG498" i="3"/>
  <c r="GG499" i="3"/>
  <c r="GG500" i="3"/>
  <c r="GG501" i="3"/>
  <c r="GG502" i="3"/>
  <c r="GG503" i="3"/>
  <c r="GG504" i="3"/>
  <c r="GG505" i="3"/>
  <c r="GG506" i="3"/>
  <c r="GG507" i="3"/>
  <c r="GG508" i="3"/>
  <c r="GG509" i="3"/>
  <c r="GG510" i="3"/>
  <c r="GG511" i="3"/>
  <c r="GG512" i="3"/>
  <c r="GG513" i="3"/>
  <c r="GG514" i="3"/>
  <c r="GG515" i="3"/>
  <c r="GG516" i="3"/>
  <c r="GG517" i="3"/>
  <c r="GG518" i="3"/>
  <c r="GG519" i="3"/>
  <c r="GG520" i="3"/>
  <c r="GG521" i="3"/>
  <c r="GG522" i="3"/>
  <c r="GG523" i="3"/>
  <c r="GG524" i="3"/>
  <c r="GG525" i="3"/>
  <c r="GG526" i="3"/>
  <c r="GG527" i="3"/>
  <c r="GG528" i="3"/>
  <c r="GG529" i="3"/>
  <c r="GG530" i="3"/>
  <c r="GG531" i="3"/>
  <c r="GG532" i="3"/>
  <c r="GG533" i="3"/>
  <c r="GG534" i="3"/>
  <c r="GG535" i="3"/>
  <c r="GG536" i="3"/>
  <c r="GG537" i="3"/>
  <c r="GG538" i="3"/>
  <c r="GG539" i="3"/>
  <c r="GG540" i="3"/>
  <c r="GG541" i="3"/>
  <c r="GG542" i="3"/>
  <c r="GG543" i="3"/>
  <c r="GG544" i="3"/>
  <c r="GG545" i="3"/>
  <c r="GG546" i="3"/>
  <c r="GG547" i="3"/>
  <c r="GG548" i="3"/>
  <c r="GG549" i="3"/>
  <c r="GG550" i="3"/>
  <c r="GG551" i="3"/>
  <c r="GG552" i="3"/>
  <c r="GG553" i="3"/>
  <c r="GG554" i="3"/>
  <c r="GG555" i="3"/>
  <c r="GG556" i="3"/>
  <c r="GG557" i="3"/>
  <c r="GG558" i="3"/>
  <c r="GG559" i="3"/>
  <c r="GG560" i="3"/>
  <c r="GG561" i="3"/>
  <c r="GG562" i="3"/>
  <c r="GG563" i="3"/>
  <c r="GG564" i="3"/>
  <c r="GG565" i="3"/>
  <c r="GG566" i="3"/>
  <c r="GG567" i="3"/>
  <c r="GG568" i="3"/>
  <c r="GG569" i="3"/>
  <c r="GG570" i="3"/>
  <c r="GG571" i="3"/>
  <c r="GG572" i="3"/>
  <c r="GG573" i="3"/>
  <c r="GG574" i="3"/>
  <c r="GG575" i="3"/>
  <c r="GG576" i="3"/>
  <c r="GG577" i="3"/>
  <c r="GG578" i="3"/>
  <c r="GG579" i="3"/>
  <c r="GG580" i="3"/>
  <c r="GG581" i="3"/>
  <c r="GG582" i="3"/>
  <c r="GG583" i="3"/>
  <c r="GG584" i="3"/>
  <c r="GG585" i="3"/>
  <c r="GG586" i="3"/>
  <c r="GG587" i="3"/>
  <c r="GG588" i="3"/>
  <c r="GG589" i="3"/>
  <c r="GG590" i="3"/>
  <c r="GG591" i="3"/>
  <c r="GG592" i="3"/>
  <c r="GG593" i="3"/>
  <c r="GG594" i="3"/>
  <c r="GG595" i="3"/>
  <c r="GG596" i="3"/>
  <c r="GG597" i="3"/>
  <c r="GG598" i="3"/>
  <c r="GG599" i="3"/>
  <c r="GG600" i="3"/>
  <c r="GH9" i="3"/>
  <c r="GH10" i="3"/>
  <c r="GH11" i="3"/>
  <c r="GH12" i="3"/>
  <c r="GH13" i="3"/>
  <c r="GH14" i="3"/>
  <c r="GH15" i="3"/>
  <c r="GH16" i="3"/>
  <c r="GH17" i="3"/>
  <c r="GH18" i="3"/>
  <c r="GH19" i="3"/>
  <c r="GH20" i="3"/>
  <c r="GH21" i="3"/>
  <c r="GH22" i="3"/>
  <c r="GH23" i="3"/>
  <c r="GH24" i="3"/>
  <c r="GH25" i="3"/>
  <c r="GH26" i="3"/>
  <c r="GH27" i="3"/>
  <c r="GH28" i="3"/>
  <c r="GH29" i="3"/>
  <c r="GH30" i="3"/>
  <c r="GH31" i="3"/>
  <c r="GH32" i="3"/>
  <c r="GH33" i="3"/>
  <c r="GH34" i="3"/>
  <c r="GH35" i="3"/>
  <c r="GH36" i="3"/>
  <c r="GH37" i="3"/>
  <c r="GH38" i="3"/>
  <c r="GH39" i="3"/>
  <c r="GH40" i="3"/>
  <c r="GH41" i="3"/>
  <c r="GH42" i="3"/>
  <c r="GH43" i="3"/>
  <c r="GH44" i="3"/>
  <c r="GH45" i="3"/>
  <c r="GH46" i="3"/>
  <c r="GH47" i="3"/>
  <c r="GH48" i="3"/>
  <c r="GH49" i="3"/>
  <c r="GH50" i="3"/>
  <c r="GH51" i="3"/>
  <c r="GH52" i="3"/>
  <c r="GH53" i="3"/>
  <c r="GH54" i="3"/>
  <c r="GH55" i="3"/>
  <c r="GH56" i="3"/>
  <c r="GH57" i="3"/>
  <c r="GH58" i="3"/>
  <c r="GH59" i="3"/>
  <c r="GH60" i="3"/>
  <c r="GH61" i="3"/>
  <c r="GH62" i="3"/>
  <c r="GH63" i="3"/>
  <c r="GH64" i="3"/>
  <c r="GH65" i="3"/>
  <c r="GH66" i="3"/>
  <c r="GH67" i="3"/>
  <c r="GH68" i="3"/>
  <c r="GH69" i="3"/>
  <c r="GH70" i="3"/>
  <c r="GH71" i="3"/>
  <c r="GH72" i="3"/>
  <c r="GH73" i="3"/>
  <c r="GH74" i="3"/>
  <c r="GH75" i="3"/>
  <c r="GH76" i="3"/>
  <c r="GH77" i="3"/>
  <c r="GH78" i="3"/>
  <c r="GH79" i="3"/>
  <c r="GH80" i="3"/>
  <c r="GH81" i="3"/>
  <c r="GH82" i="3"/>
  <c r="GH83" i="3"/>
  <c r="GH84" i="3"/>
  <c r="GH85" i="3"/>
  <c r="GH86" i="3"/>
  <c r="GH87" i="3"/>
  <c r="GH88" i="3"/>
  <c r="GH89" i="3"/>
  <c r="GH90" i="3"/>
  <c r="GH91" i="3"/>
  <c r="GH92" i="3"/>
  <c r="GH93" i="3"/>
  <c r="GH94" i="3"/>
  <c r="GH95" i="3"/>
  <c r="GH96" i="3"/>
  <c r="GH97" i="3"/>
  <c r="GH98" i="3"/>
  <c r="GH99" i="3"/>
  <c r="GH100" i="3"/>
  <c r="GH101" i="3"/>
  <c r="GH102" i="3"/>
  <c r="GH103" i="3"/>
  <c r="GH104" i="3"/>
  <c r="GH105" i="3"/>
  <c r="GH106" i="3"/>
  <c r="GH107" i="3"/>
  <c r="GH108" i="3"/>
  <c r="GH109" i="3"/>
  <c r="GH110" i="3"/>
  <c r="GH111" i="3"/>
  <c r="GH112" i="3"/>
  <c r="GH113" i="3"/>
  <c r="GH114" i="3"/>
  <c r="GH115" i="3"/>
  <c r="GH116" i="3"/>
  <c r="GH117" i="3"/>
  <c r="GH118" i="3"/>
  <c r="GH119" i="3"/>
  <c r="GH120" i="3"/>
  <c r="GH121" i="3"/>
  <c r="GH122" i="3"/>
  <c r="GH123" i="3"/>
  <c r="GH124" i="3"/>
  <c r="GH125" i="3"/>
  <c r="GH126" i="3"/>
  <c r="GH127" i="3"/>
  <c r="GH128" i="3"/>
  <c r="GH129" i="3"/>
  <c r="GH130" i="3"/>
  <c r="GH131" i="3"/>
  <c r="GH132" i="3"/>
  <c r="GH133" i="3"/>
  <c r="GH134" i="3"/>
  <c r="GH135" i="3"/>
  <c r="GH136" i="3"/>
  <c r="GH137" i="3"/>
  <c r="GH138" i="3"/>
  <c r="GH139" i="3"/>
  <c r="GH140" i="3"/>
  <c r="GH141" i="3"/>
  <c r="GH142" i="3"/>
  <c r="GH143" i="3"/>
  <c r="GH144" i="3"/>
  <c r="GH145" i="3"/>
  <c r="GH146" i="3"/>
  <c r="GH147" i="3"/>
  <c r="GH148" i="3"/>
  <c r="GH149" i="3"/>
  <c r="GH150" i="3"/>
  <c r="GH151" i="3"/>
  <c r="GH152" i="3"/>
  <c r="GH153" i="3"/>
  <c r="GH154" i="3"/>
  <c r="GH155" i="3"/>
  <c r="GH156" i="3"/>
  <c r="GH157" i="3"/>
  <c r="GH158" i="3"/>
  <c r="GH159" i="3"/>
  <c r="GH160" i="3"/>
  <c r="GH161" i="3"/>
  <c r="GH162" i="3"/>
  <c r="GH163" i="3"/>
  <c r="GH164" i="3"/>
  <c r="GH165" i="3"/>
  <c r="GH166" i="3"/>
  <c r="GH167" i="3"/>
  <c r="GH168" i="3"/>
  <c r="GH169" i="3"/>
  <c r="GH170" i="3"/>
  <c r="GH171" i="3"/>
  <c r="GH172" i="3"/>
  <c r="GH173" i="3"/>
  <c r="GH174" i="3"/>
  <c r="GH175" i="3"/>
  <c r="GH176" i="3"/>
  <c r="GH177" i="3"/>
  <c r="GH178" i="3"/>
  <c r="GH179" i="3"/>
  <c r="GH180" i="3"/>
  <c r="GH181" i="3"/>
  <c r="GH182" i="3"/>
  <c r="GH183" i="3"/>
  <c r="GH184" i="3"/>
  <c r="GH185" i="3"/>
  <c r="GH186" i="3"/>
  <c r="GH187" i="3"/>
  <c r="GH188" i="3"/>
  <c r="GH189" i="3"/>
  <c r="GH190" i="3"/>
  <c r="GH191" i="3"/>
  <c r="GH192" i="3"/>
  <c r="GH193" i="3"/>
  <c r="GH194" i="3"/>
  <c r="GH195" i="3"/>
  <c r="GH196" i="3"/>
  <c r="GH197" i="3"/>
  <c r="GH198" i="3"/>
  <c r="GH199" i="3"/>
  <c r="GH200" i="3"/>
  <c r="GH201" i="3"/>
  <c r="GH202" i="3"/>
  <c r="GH203" i="3"/>
  <c r="GH204" i="3"/>
  <c r="GH205" i="3"/>
  <c r="GH206" i="3"/>
  <c r="GH207" i="3"/>
  <c r="GH208" i="3"/>
  <c r="GH209" i="3"/>
  <c r="GH210" i="3"/>
  <c r="GH211" i="3"/>
  <c r="GH212" i="3"/>
  <c r="GH213" i="3"/>
  <c r="GH214" i="3"/>
  <c r="GH215" i="3"/>
  <c r="GH216" i="3"/>
  <c r="GH217" i="3"/>
  <c r="GH218" i="3"/>
  <c r="GH219" i="3"/>
  <c r="GH220" i="3"/>
  <c r="GH221" i="3"/>
  <c r="GH222" i="3"/>
  <c r="GH223" i="3"/>
  <c r="GH224" i="3"/>
  <c r="GH225" i="3"/>
  <c r="GH226" i="3"/>
  <c r="GH227" i="3"/>
  <c r="GH228" i="3"/>
  <c r="GH229" i="3"/>
  <c r="GH230" i="3"/>
  <c r="GH231" i="3"/>
  <c r="GH232" i="3"/>
  <c r="GH233" i="3"/>
  <c r="GH234" i="3"/>
  <c r="GH235" i="3"/>
  <c r="GH236" i="3"/>
  <c r="GH237" i="3"/>
  <c r="GH238" i="3"/>
  <c r="GH239" i="3"/>
  <c r="GH240" i="3"/>
  <c r="GH241" i="3"/>
  <c r="GH242" i="3"/>
  <c r="GH243" i="3"/>
  <c r="GH244" i="3"/>
  <c r="GH245" i="3"/>
  <c r="GH246" i="3"/>
  <c r="GH247" i="3"/>
  <c r="GH248" i="3"/>
  <c r="GH249" i="3"/>
  <c r="GH250" i="3"/>
  <c r="GH251" i="3"/>
  <c r="GH252" i="3"/>
  <c r="GH253" i="3"/>
  <c r="GH254" i="3"/>
  <c r="GH255" i="3"/>
  <c r="GH256" i="3"/>
  <c r="GH257" i="3"/>
  <c r="GH258" i="3"/>
  <c r="GH259" i="3"/>
  <c r="GH260" i="3"/>
  <c r="GH261" i="3"/>
  <c r="GH262" i="3"/>
  <c r="GH263" i="3"/>
  <c r="GH264" i="3"/>
  <c r="GH265" i="3"/>
  <c r="GH266" i="3"/>
  <c r="GH267" i="3"/>
  <c r="GH268" i="3"/>
  <c r="GH269" i="3"/>
  <c r="GH270" i="3"/>
  <c r="GH271" i="3"/>
  <c r="GH272" i="3"/>
  <c r="GH273" i="3"/>
  <c r="GH274" i="3"/>
  <c r="GH275" i="3"/>
  <c r="GH276" i="3"/>
  <c r="GH277" i="3"/>
  <c r="GH278" i="3"/>
  <c r="GH279" i="3"/>
  <c r="GH280" i="3"/>
  <c r="GH281" i="3"/>
  <c r="GH282" i="3"/>
  <c r="GH283" i="3"/>
  <c r="GH284" i="3"/>
  <c r="GH285" i="3"/>
  <c r="GH286" i="3"/>
  <c r="GH287" i="3"/>
  <c r="GH288" i="3"/>
  <c r="GH289" i="3"/>
  <c r="GH290" i="3"/>
  <c r="GH291" i="3"/>
  <c r="GH292" i="3"/>
  <c r="GH293" i="3"/>
  <c r="GH294" i="3"/>
  <c r="GH295" i="3"/>
  <c r="GH296" i="3"/>
  <c r="GH297" i="3"/>
  <c r="GH298" i="3"/>
  <c r="GH299" i="3"/>
  <c r="GH300" i="3"/>
  <c r="GH301" i="3"/>
  <c r="GH302" i="3"/>
  <c r="GH303" i="3"/>
  <c r="GH304" i="3"/>
  <c r="GH305" i="3"/>
  <c r="GH306" i="3"/>
  <c r="GH307" i="3"/>
  <c r="GH308" i="3"/>
  <c r="GH309" i="3"/>
  <c r="GH310" i="3"/>
  <c r="GH311" i="3"/>
  <c r="GH312" i="3"/>
  <c r="GH313" i="3"/>
  <c r="GH314" i="3"/>
  <c r="GH315" i="3"/>
  <c r="GH316" i="3"/>
  <c r="GH317" i="3"/>
  <c r="GH318" i="3"/>
  <c r="GH319" i="3"/>
  <c r="GH320" i="3"/>
  <c r="GH321" i="3"/>
  <c r="GH322" i="3"/>
  <c r="GH323" i="3"/>
  <c r="GH324" i="3"/>
  <c r="GH325" i="3"/>
  <c r="GH326" i="3"/>
  <c r="GH327" i="3"/>
  <c r="GH328" i="3"/>
  <c r="GH329" i="3"/>
  <c r="GH330" i="3"/>
  <c r="GH331" i="3"/>
  <c r="GH332" i="3"/>
  <c r="GH333" i="3"/>
  <c r="GH334" i="3"/>
  <c r="GH335" i="3"/>
  <c r="GH336" i="3"/>
  <c r="GH337" i="3"/>
  <c r="GH338" i="3"/>
  <c r="GH339" i="3"/>
  <c r="GH340" i="3"/>
  <c r="GH341" i="3"/>
  <c r="GH342" i="3"/>
  <c r="GH343" i="3"/>
  <c r="GH344" i="3"/>
  <c r="GH345" i="3"/>
  <c r="GH346" i="3"/>
  <c r="GH347" i="3"/>
  <c r="GH348" i="3"/>
  <c r="GH349" i="3"/>
  <c r="GH350" i="3"/>
  <c r="GH351" i="3"/>
  <c r="GH352" i="3"/>
  <c r="GH353" i="3"/>
  <c r="GH354" i="3"/>
  <c r="GH355" i="3"/>
  <c r="GH356" i="3"/>
  <c r="GH357" i="3"/>
  <c r="GH358" i="3"/>
  <c r="GH359" i="3"/>
  <c r="GH360" i="3"/>
  <c r="GH361" i="3"/>
  <c r="GH362" i="3"/>
  <c r="GH363" i="3"/>
  <c r="GH364" i="3"/>
  <c r="GH365" i="3"/>
  <c r="GH366" i="3"/>
  <c r="GH367" i="3"/>
  <c r="GH368" i="3"/>
  <c r="GH369" i="3"/>
  <c r="GH370" i="3"/>
  <c r="GH371" i="3"/>
  <c r="GH372" i="3"/>
  <c r="GH373" i="3"/>
  <c r="GH374" i="3"/>
  <c r="GH375" i="3"/>
  <c r="GH376" i="3"/>
  <c r="GH377" i="3"/>
  <c r="GH378" i="3"/>
  <c r="GH379" i="3"/>
  <c r="GH380" i="3"/>
  <c r="GH381" i="3"/>
  <c r="GH382" i="3"/>
  <c r="GH383" i="3"/>
  <c r="GH384" i="3"/>
  <c r="GH385" i="3"/>
  <c r="GH386" i="3"/>
  <c r="GH387" i="3"/>
  <c r="GH388" i="3"/>
  <c r="GH389" i="3"/>
  <c r="GH390" i="3"/>
  <c r="GH391" i="3"/>
  <c r="GH392" i="3"/>
  <c r="GH393" i="3"/>
  <c r="GH394" i="3"/>
  <c r="GH395" i="3"/>
  <c r="GH396" i="3"/>
  <c r="GH397" i="3"/>
  <c r="GH398" i="3"/>
  <c r="GH399" i="3"/>
  <c r="GH400" i="3"/>
  <c r="GH401" i="3"/>
  <c r="GH402" i="3"/>
  <c r="GH403" i="3"/>
  <c r="GH404" i="3"/>
  <c r="GH405" i="3"/>
  <c r="GH406" i="3"/>
  <c r="GH407" i="3"/>
  <c r="GH408" i="3"/>
  <c r="GH409" i="3"/>
  <c r="GH410" i="3"/>
  <c r="GH411" i="3"/>
  <c r="GH412" i="3"/>
  <c r="GH413" i="3"/>
  <c r="GH414" i="3"/>
  <c r="GH415" i="3"/>
  <c r="GH416" i="3"/>
  <c r="GH417" i="3"/>
  <c r="GH418" i="3"/>
  <c r="GH419" i="3"/>
  <c r="GH420" i="3"/>
  <c r="GH421" i="3"/>
  <c r="GH422" i="3"/>
  <c r="GH423" i="3"/>
  <c r="GH424" i="3"/>
  <c r="GH425" i="3"/>
  <c r="GH426" i="3"/>
  <c r="GH427" i="3"/>
  <c r="GH428" i="3"/>
  <c r="GH429" i="3"/>
  <c r="GH430" i="3"/>
  <c r="GH431" i="3"/>
  <c r="GH432" i="3"/>
  <c r="GH433" i="3"/>
  <c r="GH434" i="3"/>
  <c r="GH435" i="3"/>
  <c r="GH436" i="3"/>
  <c r="GH437" i="3"/>
  <c r="GH438" i="3"/>
  <c r="GH439" i="3"/>
  <c r="GH440" i="3"/>
  <c r="GH441" i="3"/>
  <c r="GH442" i="3"/>
  <c r="GH443" i="3"/>
  <c r="GH444" i="3"/>
  <c r="GH445" i="3"/>
  <c r="GH446" i="3"/>
  <c r="GH447" i="3"/>
  <c r="GH448" i="3"/>
  <c r="GH449" i="3"/>
  <c r="GH450" i="3"/>
  <c r="GH451" i="3"/>
  <c r="GH452" i="3"/>
  <c r="GH453" i="3"/>
  <c r="GH454" i="3"/>
  <c r="GH455" i="3"/>
  <c r="GH456" i="3"/>
  <c r="GH457" i="3"/>
  <c r="GH458" i="3"/>
  <c r="GH459" i="3"/>
  <c r="GH460" i="3"/>
  <c r="GH461" i="3"/>
  <c r="GH462" i="3"/>
  <c r="GH463" i="3"/>
  <c r="GH464" i="3"/>
  <c r="GH465" i="3"/>
  <c r="GH466" i="3"/>
  <c r="GH467" i="3"/>
  <c r="GH468" i="3"/>
  <c r="GH469" i="3"/>
  <c r="GH470" i="3"/>
  <c r="GH471" i="3"/>
  <c r="GH472" i="3"/>
  <c r="GH473" i="3"/>
  <c r="GH474" i="3"/>
  <c r="GH475" i="3"/>
  <c r="GH476" i="3"/>
  <c r="GH477" i="3"/>
  <c r="GH478" i="3"/>
  <c r="GH479" i="3"/>
  <c r="GH480" i="3"/>
  <c r="GH481" i="3"/>
  <c r="GH482" i="3"/>
  <c r="GH483" i="3"/>
  <c r="GH484" i="3"/>
  <c r="GH485" i="3"/>
  <c r="GH486" i="3"/>
  <c r="GH487" i="3"/>
  <c r="GH488" i="3"/>
  <c r="GH489" i="3"/>
  <c r="GH490" i="3"/>
  <c r="GH491" i="3"/>
  <c r="GH492" i="3"/>
  <c r="GH493" i="3"/>
  <c r="GH494" i="3"/>
  <c r="GH495" i="3"/>
  <c r="GH496" i="3"/>
  <c r="GH497" i="3"/>
  <c r="GH498" i="3"/>
  <c r="GH499" i="3"/>
  <c r="GH500" i="3"/>
  <c r="GH501" i="3"/>
  <c r="GH502" i="3"/>
  <c r="GH503" i="3"/>
  <c r="GH504" i="3"/>
  <c r="GH505" i="3"/>
  <c r="GH506" i="3"/>
  <c r="GH507" i="3"/>
  <c r="GH508" i="3"/>
  <c r="GH509" i="3"/>
  <c r="GH510" i="3"/>
  <c r="GH511" i="3"/>
  <c r="GH512" i="3"/>
  <c r="GH513" i="3"/>
  <c r="GH514" i="3"/>
  <c r="GH515" i="3"/>
  <c r="GH516" i="3"/>
  <c r="GH517" i="3"/>
  <c r="GH518" i="3"/>
  <c r="GH519" i="3"/>
  <c r="GH520" i="3"/>
  <c r="GH521" i="3"/>
  <c r="GH522" i="3"/>
  <c r="GH523" i="3"/>
  <c r="GH524" i="3"/>
  <c r="GH525" i="3"/>
  <c r="GH526" i="3"/>
  <c r="GH527" i="3"/>
  <c r="GH528" i="3"/>
  <c r="GH529" i="3"/>
  <c r="GH530" i="3"/>
  <c r="GH531" i="3"/>
  <c r="GH532" i="3"/>
  <c r="GH533" i="3"/>
  <c r="GH534" i="3"/>
  <c r="GH535" i="3"/>
  <c r="GH536" i="3"/>
  <c r="GH537" i="3"/>
  <c r="GH538" i="3"/>
  <c r="GH539" i="3"/>
  <c r="GH540" i="3"/>
  <c r="GH541" i="3"/>
  <c r="GH542" i="3"/>
  <c r="GH543" i="3"/>
  <c r="GH544" i="3"/>
  <c r="GH545" i="3"/>
  <c r="GH546" i="3"/>
  <c r="GH547" i="3"/>
  <c r="GH548" i="3"/>
  <c r="GH549" i="3"/>
  <c r="GH550" i="3"/>
  <c r="GH551" i="3"/>
  <c r="GH552" i="3"/>
  <c r="GH553" i="3"/>
  <c r="GH554" i="3"/>
  <c r="GH555" i="3"/>
  <c r="GH556" i="3"/>
  <c r="GH557" i="3"/>
  <c r="GH558" i="3"/>
  <c r="GH559" i="3"/>
  <c r="GH560" i="3"/>
  <c r="GH561" i="3"/>
  <c r="GH562" i="3"/>
  <c r="GH563" i="3"/>
  <c r="GH564" i="3"/>
  <c r="GH565" i="3"/>
  <c r="GH566" i="3"/>
  <c r="GH567" i="3"/>
  <c r="GH568" i="3"/>
  <c r="GH569" i="3"/>
  <c r="GH570" i="3"/>
  <c r="GH571" i="3"/>
  <c r="GH572" i="3"/>
  <c r="GH573" i="3"/>
  <c r="GH574" i="3"/>
  <c r="GH575" i="3"/>
  <c r="GH576" i="3"/>
  <c r="GH577" i="3"/>
  <c r="GH578" i="3"/>
  <c r="GH579" i="3"/>
  <c r="GH580" i="3"/>
  <c r="GH581" i="3"/>
  <c r="GH582" i="3"/>
  <c r="GH583" i="3"/>
  <c r="GH584" i="3"/>
  <c r="GH585" i="3"/>
  <c r="GH586" i="3"/>
  <c r="GH587" i="3"/>
  <c r="GH588" i="3"/>
  <c r="GH589" i="3"/>
  <c r="GH590" i="3"/>
  <c r="GH591" i="3"/>
  <c r="GH592" i="3"/>
  <c r="GH593" i="3"/>
  <c r="GH594" i="3"/>
  <c r="GH595" i="3"/>
  <c r="GH596" i="3"/>
  <c r="GH597" i="3"/>
  <c r="GH598" i="3"/>
  <c r="GH599" i="3"/>
  <c r="GH600" i="3"/>
  <c r="GI9" i="3"/>
  <c r="GI10" i="3"/>
  <c r="GI11" i="3"/>
  <c r="GI12" i="3"/>
  <c r="GI13" i="3"/>
  <c r="GI14" i="3"/>
  <c r="GI15" i="3"/>
  <c r="GI16" i="3"/>
  <c r="GI17" i="3"/>
  <c r="GI18" i="3"/>
  <c r="GI19" i="3"/>
  <c r="GI20" i="3"/>
  <c r="GI21" i="3"/>
  <c r="GI22" i="3"/>
  <c r="GI23" i="3"/>
  <c r="GI24" i="3"/>
  <c r="GI25" i="3"/>
  <c r="GI26" i="3"/>
  <c r="GI27" i="3"/>
  <c r="GI28" i="3"/>
  <c r="GI29" i="3"/>
  <c r="GI30" i="3"/>
  <c r="GI31" i="3"/>
  <c r="GI32" i="3"/>
  <c r="GI33" i="3"/>
  <c r="GI34" i="3"/>
  <c r="GI35" i="3"/>
  <c r="GI36" i="3"/>
  <c r="GI37" i="3"/>
  <c r="GI38" i="3"/>
  <c r="GI39" i="3"/>
  <c r="GI40" i="3"/>
  <c r="GI41" i="3"/>
  <c r="GI42" i="3"/>
  <c r="GI43" i="3"/>
  <c r="GI44" i="3"/>
  <c r="GI45" i="3"/>
  <c r="GI46" i="3"/>
  <c r="GI47" i="3"/>
  <c r="GI48" i="3"/>
  <c r="GI49" i="3"/>
  <c r="GI50" i="3"/>
  <c r="GI51" i="3"/>
  <c r="GI52" i="3"/>
  <c r="GI53" i="3"/>
  <c r="GI54" i="3"/>
  <c r="GI55" i="3"/>
  <c r="GI56" i="3"/>
  <c r="GI57" i="3"/>
  <c r="GI58" i="3"/>
  <c r="GI59" i="3"/>
  <c r="GI60" i="3"/>
  <c r="GI61" i="3"/>
  <c r="GI62" i="3"/>
  <c r="GI63" i="3"/>
  <c r="GI64" i="3"/>
  <c r="GI65" i="3"/>
  <c r="GI66" i="3"/>
  <c r="GI67" i="3"/>
  <c r="GI68" i="3"/>
  <c r="GI69" i="3"/>
  <c r="GI70" i="3"/>
  <c r="GI71" i="3"/>
  <c r="GI72" i="3"/>
  <c r="GI73" i="3"/>
  <c r="GI74" i="3"/>
  <c r="GI75" i="3"/>
  <c r="GI76" i="3"/>
  <c r="GI77" i="3"/>
  <c r="GI78" i="3"/>
  <c r="GI79" i="3"/>
  <c r="GI80" i="3"/>
  <c r="GI81" i="3"/>
  <c r="GI82" i="3"/>
  <c r="GI83" i="3"/>
  <c r="GI84" i="3"/>
  <c r="GI85" i="3"/>
  <c r="GI86" i="3"/>
  <c r="GI87" i="3"/>
  <c r="GI88" i="3"/>
  <c r="GI89" i="3"/>
  <c r="GI90" i="3"/>
  <c r="GI91" i="3"/>
  <c r="GI92" i="3"/>
  <c r="GI93" i="3"/>
  <c r="GI94" i="3"/>
  <c r="GI95" i="3"/>
  <c r="GI96" i="3"/>
  <c r="GI97" i="3"/>
  <c r="GI98" i="3"/>
  <c r="GI99" i="3"/>
  <c r="GI100" i="3"/>
  <c r="GI101" i="3"/>
  <c r="GI102" i="3"/>
  <c r="GI103" i="3"/>
  <c r="GI104" i="3"/>
  <c r="GI105" i="3"/>
  <c r="GI106" i="3"/>
  <c r="GI107" i="3"/>
  <c r="GI108" i="3"/>
  <c r="GI109" i="3"/>
  <c r="GI110" i="3"/>
  <c r="GI111" i="3"/>
  <c r="GI112" i="3"/>
  <c r="GI113" i="3"/>
  <c r="GI114" i="3"/>
  <c r="GI115" i="3"/>
  <c r="GI116" i="3"/>
  <c r="GI117" i="3"/>
  <c r="GI118" i="3"/>
  <c r="GI119" i="3"/>
  <c r="GI120" i="3"/>
  <c r="GI121" i="3"/>
  <c r="GI122" i="3"/>
  <c r="GI123" i="3"/>
  <c r="GI124" i="3"/>
  <c r="GI125" i="3"/>
  <c r="GI126" i="3"/>
  <c r="GI127" i="3"/>
  <c r="GI128" i="3"/>
  <c r="GI129" i="3"/>
  <c r="GI130" i="3"/>
  <c r="GI131" i="3"/>
  <c r="GI132" i="3"/>
  <c r="GI133" i="3"/>
  <c r="GI134" i="3"/>
  <c r="GI135" i="3"/>
  <c r="GI136" i="3"/>
  <c r="GI137" i="3"/>
  <c r="GI138" i="3"/>
  <c r="GI139" i="3"/>
  <c r="GI140" i="3"/>
  <c r="GI141" i="3"/>
  <c r="GI142" i="3"/>
  <c r="GI143" i="3"/>
  <c r="GI144" i="3"/>
  <c r="GI145" i="3"/>
  <c r="GI146" i="3"/>
  <c r="GI147" i="3"/>
  <c r="GI148" i="3"/>
  <c r="GI149" i="3"/>
  <c r="GI150" i="3"/>
  <c r="GI151" i="3"/>
  <c r="GI152" i="3"/>
  <c r="GI153" i="3"/>
  <c r="GI154" i="3"/>
  <c r="GI155" i="3"/>
  <c r="GI156" i="3"/>
  <c r="GI157" i="3"/>
  <c r="GI158" i="3"/>
  <c r="GI159" i="3"/>
  <c r="GI160" i="3"/>
  <c r="GI161" i="3"/>
  <c r="GI162" i="3"/>
  <c r="GI163" i="3"/>
  <c r="GI164" i="3"/>
  <c r="GI165" i="3"/>
  <c r="GI166" i="3"/>
  <c r="GI167" i="3"/>
  <c r="GI168" i="3"/>
  <c r="GI169" i="3"/>
  <c r="GI170" i="3"/>
  <c r="GI171" i="3"/>
  <c r="GI172" i="3"/>
  <c r="GI173" i="3"/>
  <c r="GI174" i="3"/>
  <c r="GI175" i="3"/>
  <c r="GI176" i="3"/>
  <c r="GI177" i="3"/>
  <c r="GI178" i="3"/>
  <c r="GI179" i="3"/>
  <c r="GI180" i="3"/>
  <c r="GI181" i="3"/>
  <c r="GI182" i="3"/>
  <c r="GI183" i="3"/>
  <c r="GI184" i="3"/>
  <c r="GI185" i="3"/>
  <c r="GI186" i="3"/>
  <c r="GI187" i="3"/>
  <c r="GI188" i="3"/>
  <c r="GI189" i="3"/>
  <c r="GI190" i="3"/>
  <c r="GI191" i="3"/>
  <c r="GI192" i="3"/>
  <c r="GI193" i="3"/>
  <c r="GI194" i="3"/>
  <c r="GI195" i="3"/>
  <c r="GI196" i="3"/>
  <c r="GI197" i="3"/>
  <c r="GI198" i="3"/>
  <c r="GI199" i="3"/>
  <c r="GI200" i="3"/>
  <c r="GI201" i="3"/>
  <c r="GI202" i="3"/>
  <c r="GI203" i="3"/>
  <c r="GI204" i="3"/>
  <c r="GI205" i="3"/>
  <c r="GI206" i="3"/>
  <c r="GI207" i="3"/>
  <c r="GI208" i="3"/>
  <c r="GI209" i="3"/>
  <c r="GI210" i="3"/>
  <c r="GI211" i="3"/>
  <c r="GI212" i="3"/>
  <c r="GI213" i="3"/>
  <c r="GI214" i="3"/>
  <c r="GI215" i="3"/>
  <c r="GI216" i="3"/>
  <c r="GI217" i="3"/>
  <c r="GI218" i="3"/>
  <c r="GI219" i="3"/>
  <c r="GI220" i="3"/>
  <c r="GI221" i="3"/>
  <c r="GI222" i="3"/>
  <c r="GI223" i="3"/>
  <c r="GI224" i="3"/>
  <c r="GI225" i="3"/>
  <c r="GI226" i="3"/>
  <c r="GI227" i="3"/>
  <c r="GI228" i="3"/>
  <c r="GI229" i="3"/>
  <c r="GI230" i="3"/>
  <c r="GI231" i="3"/>
  <c r="GI232" i="3"/>
  <c r="GI233" i="3"/>
  <c r="GI234" i="3"/>
  <c r="GI235" i="3"/>
  <c r="GI236" i="3"/>
  <c r="GI237" i="3"/>
  <c r="GI238" i="3"/>
  <c r="GI239" i="3"/>
  <c r="GI240" i="3"/>
  <c r="GI241" i="3"/>
  <c r="GI242" i="3"/>
  <c r="GI243" i="3"/>
  <c r="GI244" i="3"/>
  <c r="GI245" i="3"/>
  <c r="GI246" i="3"/>
  <c r="GI247" i="3"/>
  <c r="GI248" i="3"/>
  <c r="GI249" i="3"/>
  <c r="GI250" i="3"/>
  <c r="GI251" i="3"/>
  <c r="GI252" i="3"/>
  <c r="GI253" i="3"/>
  <c r="GI254" i="3"/>
  <c r="GI255" i="3"/>
  <c r="GI256" i="3"/>
  <c r="GI257" i="3"/>
  <c r="GI258" i="3"/>
  <c r="GI259" i="3"/>
  <c r="GI260" i="3"/>
  <c r="GI261" i="3"/>
  <c r="GI262" i="3"/>
  <c r="GI263" i="3"/>
  <c r="GI264" i="3"/>
  <c r="GI265" i="3"/>
  <c r="GI266" i="3"/>
  <c r="GI267" i="3"/>
  <c r="GI268" i="3"/>
  <c r="GI269" i="3"/>
  <c r="GI270" i="3"/>
  <c r="GI271" i="3"/>
  <c r="GI272" i="3"/>
  <c r="GI273" i="3"/>
  <c r="GI274" i="3"/>
  <c r="GI275" i="3"/>
  <c r="GI276" i="3"/>
  <c r="GI277" i="3"/>
  <c r="GI278" i="3"/>
  <c r="GI279" i="3"/>
  <c r="GI280" i="3"/>
  <c r="GI281" i="3"/>
  <c r="GI282" i="3"/>
  <c r="GI283" i="3"/>
  <c r="GI284" i="3"/>
  <c r="GI285" i="3"/>
  <c r="GI286" i="3"/>
  <c r="GI287" i="3"/>
  <c r="GI288" i="3"/>
  <c r="GI289" i="3"/>
  <c r="GI290" i="3"/>
  <c r="GI291" i="3"/>
  <c r="GI292" i="3"/>
  <c r="GI293" i="3"/>
  <c r="GI294" i="3"/>
  <c r="GI295" i="3"/>
  <c r="GI296" i="3"/>
  <c r="GI297" i="3"/>
  <c r="GI298" i="3"/>
  <c r="GI299" i="3"/>
  <c r="GI300" i="3"/>
  <c r="GI301" i="3"/>
  <c r="GI302" i="3"/>
  <c r="GI303" i="3"/>
  <c r="GI304" i="3"/>
  <c r="GI305" i="3"/>
  <c r="GI306" i="3"/>
  <c r="GI307" i="3"/>
  <c r="GI308" i="3"/>
  <c r="GI309" i="3"/>
  <c r="GI310" i="3"/>
  <c r="GI311" i="3"/>
  <c r="GI312" i="3"/>
  <c r="GI313" i="3"/>
  <c r="GI314" i="3"/>
  <c r="GI315" i="3"/>
  <c r="GI316" i="3"/>
  <c r="GI317" i="3"/>
  <c r="GI318" i="3"/>
  <c r="GI319" i="3"/>
  <c r="GI320" i="3"/>
  <c r="GI321" i="3"/>
  <c r="GI322" i="3"/>
  <c r="GI323" i="3"/>
  <c r="GI324" i="3"/>
  <c r="GI325" i="3"/>
  <c r="GI326" i="3"/>
  <c r="GI327" i="3"/>
  <c r="GI328" i="3"/>
  <c r="GI329" i="3"/>
  <c r="GI330" i="3"/>
  <c r="GI331" i="3"/>
  <c r="GI332" i="3"/>
  <c r="GI333" i="3"/>
  <c r="GI334" i="3"/>
  <c r="GI335" i="3"/>
  <c r="GI336" i="3"/>
  <c r="GI337" i="3"/>
  <c r="GI338" i="3"/>
  <c r="GI339" i="3"/>
  <c r="GI340" i="3"/>
  <c r="GI341" i="3"/>
  <c r="GI342" i="3"/>
  <c r="GI343" i="3"/>
  <c r="GI344" i="3"/>
  <c r="GI345" i="3"/>
  <c r="GI346" i="3"/>
  <c r="GI347" i="3"/>
  <c r="GI348" i="3"/>
  <c r="GI349" i="3"/>
  <c r="GI350" i="3"/>
  <c r="GI351" i="3"/>
  <c r="GI352" i="3"/>
  <c r="GI353" i="3"/>
  <c r="GI354" i="3"/>
  <c r="GI355" i="3"/>
  <c r="GI356" i="3"/>
  <c r="GI357" i="3"/>
  <c r="GI358" i="3"/>
  <c r="GI359" i="3"/>
  <c r="GI360" i="3"/>
  <c r="GI361" i="3"/>
  <c r="GI362" i="3"/>
  <c r="GI363" i="3"/>
  <c r="GI364" i="3"/>
  <c r="GI365" i="3"/>
  <c r="GI366" i="3"/>
  <c r="GI367" i="3"/>
  <c r="GI368" i="3"/>
  <c r="GI369" i="3"/>
  <c r="GI370" i="3"/>
  <c r="GI371" i="3"/>
  <c r="GI372" i="3"/>
  <c r="GI373" i="3"/>
  <c r="GI374" i="3"/>
  <c r="GI375" i="3"/>
  <c r="GI376" i="3"/>
  <c r="GI377" i="3"/>
  <c r="GI378" i="3"/>
  <c r="GI379" i="3"/>
  <c r="GI380" i="3"/>
  <c r="GI381" i="3"/>
  <c r="GI382" i="3"/>
  <c r="GI383" i="3"/>
  <c r="GI384" i="3"/>
  <c r="GI385" i="3"/>
  <c r="GI386" i="3"/>
  <c r="GI387" i="3"/>
  <c r="GI388" i="3"/>
  <c r="GI389" i="3"/>
  <c r="GI390" i="3"/>
  <c r="GI391" i="3"/>
  <c r="GI392" i="3"/>
  <c r="GI393" i="3"/>
  <c r="GI394" i="3"/>
  <c r="GI395" i="3"/>
  <c r="GI396" i="3"/>
  <c r="GI397" i="3"/>
  <c r="GI398" i="3"/>
  <c r="GI399" i="3"/>
  <c r="GI400" i="3"/>
  <c r="GI401" i="3"/>
  <c r="GI402" i="3"/>
  <c r="GI403" i="3"/>
  <c r="GI404" i="3"/>
  <c r="GI405" i="3"/>
  <c r="GI406" i="3"/>
  <c r="GI407" i="3"/>
  <c r="GI408" i="3"/>
  <c r="GI409" i="3"/>
  <c r="GI410" i="3"/>
  <c r="GI411" i="3"/>
  <c r="GI412" i="3"/>
  <c r="GI413" i="3"/>
  <c r="GI414" i="3"/>
  <c r="GI415" i="3"/>
  <c r="GI416" i="3"/>
  <c r="GI417" i="3"/>
  <c r="GI418" i="3"/>
  <c r="GI419" i="3"/>
  <c r="GI420" i="3"/>
  <c r="GI421" i="3"/>
  <c r="GI422" i="3"/>
  <c r="GI423" i="3"/>
  <c r="GI424" i="3"/>
  <c r="GI425" i="3"/>
  <c r="GI426" i="3"/>
  <c r="GI427" i="3"/>
  <c r="GI428" i="3"/>
  <c r="GI429" i="3"/>
  <c r="GI430" i="3"/>
  <c r="GI431" i="3"/>
  <c r="GI432" i="3"/>
  <c r="GI433" i="3"/>
  <c r="GI434" i="3"/>
  <c r="GI435" i="3"/>
  <c r="GI436" i="3"/>
  <c r="GI437" i="3"/>
  <c r="GI438" i="3"/>
  <c r="GI439" i="3"/>
  <c r="GI440" i="3"/>
  <c r="GI441" i="3"/>
  <c r="GI442" i="3"/>
  <c r="GI443" i="3"/>
  <c r="GI444" i="3"/>
  <c r="GI445" i="3"/>
  <c r="GI446" i="3"/>
  <c r="GI447" i="3"/>
  <c r="GI448" i="3"/>
  <c r="GI449" i="3"/>
  <c r="GI450" i="3"/>
  <c r="GI451" i="3"/>
  <c r="GI452" i="3"/>
  <c r="GI453" i="3"/>
  <c r="GI454" i="3"/>
  <c r="GI455" i="3"/>
  <c r="GI456" i="3"/>
  <c r="GI457" i="3"/>
  <c r="GI458" i="3"/>
  <c r="GI459" i="3"/>
  <c r="GI460" i="3"/>
  <c r="GI461" i="3"/>
  <c r="GI462" i="3"/>
  <c r="GI463" i="3"/>
  <c r="GI464" i="3"/>
  <c r="GI465" i="3"/>
  <c r="GI466" i="3"/>
  <c r="GI467" i="3"/>
  <c r="GI468" i="3"/>
  <c r="GI469" i="3"/>
  <c r="GI470" i="3"/>
  <c r="GI471" i="3"/>
  <c r="GI472" i="3"/>
  <c r="GI473" i="3"/>
  <c r="GI474" i="3"/>
  <c r="GI475" i="3"/>
  <c r="GI476" i="3"/>
  <c r="GI477" i="3"/>
  <c r="GI478" i="3"/>
  <c r="GI479" i="3"/>
  <c r="GI480" i="3"/>
  <c r="GI481" i="3"/>
  <c r="GI482" i="3"/>
  <c r="GI483" i="3"/>
  <c r="GI484" i="3"/>
  <c r="GI485" i="3"/>
  <c r="GI486" i="3"/>
  <c r="GI487" i="3"/>
  <c r="GI488" i="3"/>
  <c r="GI489" i="3"/>
  <c r="GI490" i="3"/>
  <c r="GI491" i="3"/>
  <c r="GI492" i="3"/>
  <c r="GI493" i="3"/>
  <c r="GI494" i="3"/>
  <c r="GI495" i="3"/>
  <c r="GI496" i="3"/>
  <c r="GI497" i="3"/>
  <c r="GI498" i="3"/>
  <c r="GI499" i="3"/>
  <c r="GI500" i="3"/>
  <c r="GI501" i="3"/>
  <c r="GI502" i="3"/>
  <c r="GI503" i="3"/>
  <c r="GI504" i="3"/>
  <c r="GI505" i="3"/>
  <c r="GI506" i="3"/>
  <c r="GI507" i="3"/>
  <c r="GI508" i="3"/>
  <c r="GI509" i="3"/>
  <c r="GI510" i="3"/>
  <c r="GI511" i="3"/>
  <c r="GI512" i="3"/>
  <c r="GI513" i="3"/>
  <c r="GI514" i="3"/>
  <c r="GI515" i="3"/>
  <c r="GI516" i="3"/>
  <c r="GI517" i="3"/>
  <c r="GI518" i="3"/>
  <c r="GI519" i="3"/>
  <c r="GI520" i="3"/>
  <c r="GI521" i="3"/>
  <c r="GI522" i="3"/>
  <c r="GI523" i="3"/>
  <c r="GI524" i="3"/>
  <c r="GI525" i="3"/>
  <c r="GI526" i="3"/>
  <c r="GI527" i="3"/>
  <c r="GI528" i="3"/>
  <c r="GI529" i="3"/>
  <c r="GI530" i="3"/>
  <c r="GI531" i="3"/>
  <c r="GI532" i="3"/>
  <c r="GI533" i="3"/>
  <c r="GI534" i="3"/>
  <c r="GI535" i="3"/>
  <c r="GI536" i="3"/>
  <c r="GI537" i="3"/>
  <c r="GI538" i="3"/>
  <c r="GI539" i="3"/>
  <c r="GI540" i="3"/>
  <c r="GI541" i="3"/>
  <c r="GI542" i="3"/>
  <c r="GI543" i="3"/>
  <c r="GI544" i="3"/>
  <c r="GI545" i="3"/>
  <c r="GI546" i="3"/>
  <c r="GI547" i="3"/>
  <c r="GI548" i="3"/>
  <c r="GI549" i="3"/>
  <c r="GI550" i="3"/>
  <c r="GI551" i="3"/>
  <c r="GI552" i="3"/>
  <c r="GI553" i="3"/>
  <c r="GI554" i="3"/>
  <c r="GI555" i="3"/>
  <c r="GI556" i="3"/>
  <c r="GI557" i="3"/>
  <c r="GI558" i="3"/>
  <c r="GI559" i="3"/>
  <c r="GI560" i="3"/>
  <c r="GI561" i="3"/>
  <c r="GI562" i="3"/>
  <c r="GI563" i="3"/>
  <c r="GI564" i="3"/>
  <c r="GI565" i="3"/>
  <c r="GI566" i="3"/>
  <c r="GI567" i="3"/>
  <c r="GI568" i="3"/>
  <c r="GI569" i="3"/>
  <c r="GI570" i="3"/>
  <c r="GI571" i="3"/>
  <c r="GI572" i="3"/>
  <c r="GI573" i="3"/>
  <c r="GI574" i="3"/>
  <c r="GI575" i="3"/>
  <c r="GI576" i="3"/>
  <c r="GI577" i="3"/>
  <c r="GI578" i="3"/>
  <c r="GI579" i="3"/>
  <c r="GI580" i="3"/>
  <c r="GI581" i="3"/>
  <c r="GI582" i="3"/>
  <c r="GI583" i="3"/>
  <c r="GI584" i="3"/>
  <c r="GI585" i="3"/>
  <c r="GI586" i="3"/>
  <c r="GI587" i="3"/>
  <c r="GI588" i="3"/>
  <c r="GI589" i="3"/>
  <c r="GI590" i="3"/>
  <c r="GI591" i="3"/>
  <c r="GI592" i="3"/>
  <c r="GI593" i="3"/>
  <c r="GI594" i="3"/>
  <c r="GI595" i="3"/>
  <c r="GI596" i="3"/>
  <c r="GI597" i="3"/>
  <c r="GI598" i="3"/>
  <c r="GI599" i="3"/>
  <c r="GI600" i="3"/>
  <c r="GJ9" i="3"/>
  <c r="GJ10" i="3"/>
  <c r="GJ11" i="3"/>
  <c r="GJ12" i="3"/>
  <c r="GJ13" i="3"/>
  <c r="GJ14" i="3"/>
  <c r="GJ15" i="3"/>
  <c r="GJ16" i="3"/>
  <c r="GJ17" i="3"/>
  <c r="GJ18" i="3"/>
  <c r="GJ19" i="3"/>
  <c r="GJ20" i="3"/>
  <c r="GJ21" i="3"/>
  <c r="GJ22" i="3"/>
  <c r="GJ23" i="3"/>
  <c r="GJ24" i="3"/>
  <c r="GJ25" i="3"/>
  <c r="GJ26" i="3"/>
  <c r="GJ27" i="3"/>
  <c r="GJ28" i="3"/>
  <c r="GJ29" i="3"/>
  <c r="GJ30" i="3"/>
  <c r="GJ31" i="3"/>
  <c r="GJ32" i="3"/>
  <c r="GJ33" i="3"/>
  <c r="GJ34" i="3"/>
  <c r="GJ35" i="3"/>
  <c r="GJ36" i="3"/>
  <c r="GJ37" i="3"/>
  <c r="GJ38" i="3"/>
  <c r="GJ39" i="3"/>
  <c r="GJ40" i="3"/>
  <c r="GJ41" i="3"/>
  <c r="GJ42" i="3"/>
  <c r="GJ43" i="3"/>
  <c r="GJ44" i="3"/>
  <c r="GJ45" i="3"/>
  <c r="GJ46" i="3"/>
  <c r="GJ47" i="3"/>
  <c r="GJ48" i="3"/>
  <c r="GJ49" i="3"/>
  <c r="GJ50" i="3"/>
  <c r="GJ51" i="3"/>
  <c r="GJ52" i="3"/>
  <c r="GJ53" i="3"/>
  <c r="GJ54" i="3"/>
  <c r="GJ55" i="3"/>
  <c r="GJ56" i="3"/>
  <c r="GJ57" i="3"/>
  <c r="GJ58" i="3"/>
  <c r="GJ59" i="3"/>
  <c r="GJ60" i="3"/>
  <c r="GJ61" i="3"/>
  <c r="GJ62" i="3"/>
  <c r="GJ63" i="3"/>
  <c r="GJ64" i="3"/>
  <c r="GJ65" i="3"/>
  <c r="GJ66" i="3"/>
  <c r="GJ67" i="3"/>
  <c r="GJ68" i="3"/>
  <c r="GJ69" i="3"/>
  <c r="GJ70" i="3"/>
  <c r="GJ71" i="3"/>
  <c r="GJ72" i="3"/>
  <c r="GJ73" i="3"/>
  <c r="GJ74" i="3"/>
  <c r="GJ75" i="3"/>
  <c r="GJ76" i="3"/>
  <c r="GJ77" i="3"/>
  <c r="GJ78" i="3"/>
  <c r="GJ79" i="3"/>
  <c r="GJ80" i="3"/>
  <c r="GJ81" i="3"/>
  <c r="GJ82" i="3"/>
  <c r="GJ83" i="3"/>
  <c r="GJ84" i="3"/>
  <c r="GJ85" i="3"/>
  <c r="GJ86" i="3"/>
  <c r="GJ87" i="3"/>
  <c r="GJ88" i="3"/>
  <c r="GJ89" i="3"/>
  <c r="GJ90" i="3"/>
  <c r="GJ91" i="3"/>
  <c r="GJ92" i="3"/>
  <c r="GJ93" i="3"/>
  <c r="GJ94" i="3"/>
  <c r="GJ95" i="3"/>
  <c r="GJ96" i="3"/>
  <c r="GJ97" i="3"/>
  <c r="GJ98" i="3"/>
  <c r="GJ99" i="3"/>
  <c r="GJ100" i="3"/>
  <c r="GJ101" i="3"/>
  <c r="GJ102" i="3"/>
  <c r="GJ103" i="3"/>
  <c r="GJ104" i="3"/>
  <c r="GJ105" i="3"/>
  <c r="GJ106" i="3"/>
  <c r="GJ107" i="3"/>
  <c r="GJ108" i="3"/>
  <c r="GJ109" i="3"/>
  <c r="GJ110" i="3"/>
  <c r="GJ111" i="3"/>
  <c r="GJ112" i="3"/>
  <c r="GJ113" i="3"/>
  <c r="GJ114" i="3"/>
  <c r="GJ115" i="3"/>
  <c r="GJ116" i="3"/>
  <c r="GJ117" i="3"/>
  <c r="GJ118" i="3"/>
  <c r="GJ119" i="3"/>
  <c r="GJ120" i="3"/>
  <c r="GJ121" i="3"/>
  <c r="GJ122" i="3"/>
  <c r="GJ123" i="3"/>
  <c r="GJ124" i="3"/>
  <c r="GJ125" i="3"/>
  <c r="GJ126" i="3"/>
  <c r="GJ127" i="3"/>
  <c r="GJ128" i="3"/>
  <c r="GJ129" i="3"/>
  <c r="GJ130" i="3"/>
  <c r="GJ131" i="3"/>
  <c r="GJ132" i="3"/>
  <c r="GJ133" i="3"/>
  <c r="GJ134" i="3"/>
  <c r="GJ135" i="3"/>
  <c r="GJ136" i="3"/>
  <c r="GJ137" i="3"/>
  <c r="GJ138" i="3"/>
  <c r="GJ139" i="3"/>
  <c r="GJ140" i="3"/>
  <c r="GJ141" i="3"/>
  <c r="GJ142" i="3"/>
  <c r="GJ143" i="3"/>
  <c r="GJ144" i="3"/>
  <c r="GJ145" i="3"/>
  <c r="GJ146" i="3"/>
  <c r="GJ147" i="3"/>
  <c r="GJ148" i="3"/>
  <c r="GJ149" i="3"/>
  <c r="GJ150" i="3"/>
  <c r="GJ151" i="3"/>
  <c r="GJ152" i="3"/>
  <c r="GJ153" i="3"/>
  <c r="GJ154" i="3"/>
  <c r="GJ155" i="3"/>
  <c r="GJ156" i="3"/>
  <c r="GJ157" i="3"/>
  <c r="GJ158" i="3"/>
  <c r="GJ159" i="3"/>
  <c r="GJ160" i="3"/>
  <c r="GJ161" i="3"/>
  <c r="GJ162" i="3"/>
  <c r="GJ163" i="3"/>
  <c r="GJ164" i="3"/>
  <c r="GJ165" i="3"/>
  <c r="GJ166" i="3"/>
  <c r="GJ167" i="3"/>
  <c r="GJ168" i="3"/>
  <c r="GJ169" i="3"/>
  <c r="GJ170" i="3"/>
  <c r="GJ171" i="3"/>
  <c r="GJ172" i="3"/>
  <c r="GJ173" i="3"/>
  <c r="GJ174" i="3"/>
  <c r="GJ175" i="3"/>
  <c r="GJ176" i="3"/>
  <c r="GJ177" i="3"/>
  <c r="GJ178" i="3"/>
  <c r="GJ179" i="3"/>
  <c r="GJ180" i="3"/>
  <c r="GJ181" i="3"/>
  <c r="GJ182" i="3"/>
  <c r="GJ183" i="3"/>
  <c r="GJ184" i="3"/>
  <c r="GJ185" i="3"/>
  <c r="GJ186" i="3"/>
  <c r="GJ187" i="3"/>
  <c r="GJ188" i="3"/>
  <c r="GJ189" i="3"/>
  <c r="GJ190" i="3"/>
  <c r="GJ191" i="3"/>
  <c r="GJ192" i="3"/>
  <c r="GJ193" i="3"/>
  <c r="GJ194" i="3"/>
  <c r="GJ195" i="3"/>
  <c r="GJ196" i="3"/>
  <c r="GJ197" i="3"/>
  <c r="GJ198" i="3"/>
  <c r="GJ199" i="3"/>
  <c r="GJ200" i="3"/>
  <c r="GJ201" i="3"/>
  <c r="GJ202" i="3"/>
  <c r="GJ203" i="3"/>
  <c r="GJ204" i="3"/>
  <c r="GJ205" i="3"/>
  <c r="GJ206" i="3"/>
  <c r="GJ207" i="3"/>
  <c r="GJ208" i="3"/>
  <c r="GJ209" i="3"/>
  <c r="GJ210" i="3"/>
  <c r="GJ211" i="3"/>
  <c r="GJ212" i="3"/>
  <c r="GJ213" i="3"/>
  <c r="GJ214" i="3"/>
  <c r="GJ215" i="3"/>
  <c r="GJ216" i="3"/>
  <c r="GJ217" i="3"/>
  <c r="GJ218" i="3"/>
  <c r="GJ219" i="3"/>
  <c r="GJ220" i="3"/>
  <c r="GJ221" i="3"/>
  <c r="GJ222" i="3"/>
  <c r="GJ223" i="3"/>
  <c r="GJ224" i="3"/>
  <c r="GJ225" i="3"/>
  <c r="GJ226" i="3"/>
  <c r="GJ227" i="3"/>
  <c r="GJ228" i="3"/>
  <c r="GJ229" i="3"/>
  <c r="GJ230" i="3"/>
  <c r="GJ231" i="3"/>
  <c r="GJ232" i="3"/>
  <c r="GJ233" i="3"/>
  <c r="GJ234" i="3"/>
  <c r="GJ235" i="3"/>
  <c r="GJ236" i="3"/>
  <c r="GJ237" i="3"/>
  <c r="GJ238" i="3"/>
  <c r="GJ239" i="3"/>
  <c r="GJ240" i="3"/>
  <c r="GJ241" i="3"/>
  <c r="GJ242" i="3"/>
  <c r="GJ243" i="3"/>
  <c r="GJ244" i="3"/>
  <c r="GJ245" i="3"/>
  <c r="GJ246" i="3"/>
  <c r="GJ247" i="3"/>
  <c r="GJ248" i="3"/>
  <c r="GJ249" i="3"/>
  <c r="GJ250" i="3"/>
  <c r="GJ251" i="3"/>
  <c r="GJ252" i="3"/>
  <c r="GJ253" i="3"/>
  <c r="GJ254" i="3"/>
  <c r="GJ255" i="3"/>
  <c r="GJ256" i="3"/>
  <c r="GJ257" i="3"/>
  <c r="GJ258" i="3"/>
  <c r="GJ259" i="3"/>
  <c r="GJ260" i="3"/>
  <c r="GJ261" i="3"/>
  <c r="GJ262" i="3"/>
  <c r="GJ263" i="3"/>
  <c r="GJ264" i="3"/>
  <c r="GJ265" i="3"/>
  <c r="GJ266" i="3"/>
  <c r="GJ267" i="3"/>
  <c r="GJ268" i="3"/>
  <c r="GJ269" i="3"/>
  <c r="GJ270" i="3"/>
  <c r="GJ271" i="3"/>
  <c r="GJ272" i="3"/>
  <c r="GJ273" i="3"/>
  <c r="GJ274" i="3"/>
  <c r="GJ275" i="3"/>
  <c r="GJ276" i="3"/>
  <c r="GJ277" i="3"/>
  <c r="GJ278" i="3"/>
  <c r="GJ279" i="3"/>
  <c r="GJ280" i="3"/>
  <c r="GJ281" i="3"/>
  <c r="GJ282" i="3"/>
  <c r="GJ283" i="3"/>
  <c r="GJ284" i="3"/>
  <c r="GJ285" i="3"/>
  <c r="GJ286" i="3"/>
  <c r="GJ287" i="3"/>
  <c r="GJ288" i="3"/>
  <c r="GJ289" i="3"/>
  <c r="GJ290" i="3"/>
  <c r="GJ291" i="3"/>
  <c r="GJ292" i="3"/>
  <c r="GJ293" i="3"/>
  <c r="GJ294" i="3"/>
  <c r="GJ295" i="3"/>
  <c r="GJ296" i="3"/>
  <c r="GJ297" i="3"/>
  <c r="GJ298" i="3"/>
  <c r="GJ299" i="3"/>
  <c r="GJ300" i="3"/>
  <c r="GJ301" i="3"/>
  <c r="GJ302" i="3"/>
  <c r="GJ303" i="3"/>
  <c r="GJ304" i="3"/>
  <c r="GJ305" i="3"/>
  <c r="GJ306" i="3"/>
  <c r="GJ307" i="3"/>
  <c r="GJ308" i="3"/>
  <c r="GJ309" i="3"/>
  <c r="GJ310" i="3"/>
  <c r="GJ311" i="3"/>
  <c r="GJ312" i="3"/>
  <c r="GJ313" i="3"/>
  <c r="GJ314" i="3"/>
  <c r="GJ315" i="3"/>
  <c r="GJ316" i="3"/>
  <c r="GJ317" i="3"/>
  <c r="GJ318" i="3"/>
  <c r="GJ319" i="3"/>
  <c r="GJ320" i="3"/>
  <c r="GJ321" i="3"/>
  <c r="GJ322" i="3"/>
  <c r="GJ323" i="3"/>
  <c r="GJ324" i="3"/>
  <c r="GJ325" i="3"/>
  <c r="GJ326" i="3"/>
  <c r="GJ327" i="3"/>
  <c r="GJ328" i="3"/>
  <c r="GJ329" i="3"/>
  <c r="GJ330" i="3"/>
  <c r="GJ331" i="3"/>
  <c r="GJ332" i="3"/>
  <c r="GJ333" i="3"/>
  <c r="GJ334" i="3"/>
  <c r="GJ335" i="3"/>
  <c r="GJ336" i="3"/>
  <c r="GJ337" i="3"/>
  <c r="GJ338" i="3"/>
  <c r="GJ339" i="3"/>
  <c r="GJ340" i="3"/>
  <c r="GJ341" i="3"/>
  <c r="GJ342" i="3"/>
  <c r="GJ343" i="3"/>
  <c r="GJ344" i="3"/>
  <c r="GJ345" i="3"/>
  <c r="GJ346" i="3"/>
  <c r="GJ347" i="3"/>
  <c r="GJ348" i="3"/>
  <c r="GJ349" i="3"/>
  <c r="GJ350" i="3"/>
  <c r="GJ351" i="3"/>
  <c r="GJ352" i="3"/>
  <c r="GJ353" i="3"/>
  <c r="GJ354" i="3"/>
  <c r="GJ355" i="3"/>
  <c r="GJ356" i="3"/>
  <c r="GJ357" i="3"/>
  <c r="GJ358" i="3"/>
  <c r="GJ359" i="3"/>
  <c r="GJ360" i="3"/>
  <c r="GJ361" i="3"/>
  <c r="GJ362" i="3"/>
  <c r="GJ363" i="3"/>
  <c r="GJ364" i="3"/>
  <c r="GJ365" i="3"/>
  <c r="GJ366" i="3"/>
  <c r="GJ367" i="3"/>
  <c r="GJ368" i="3"/>
  <c r="GJ369" i="3"/>
  <c r="GJ370" i="3"/>
  <c r="GJ371" i="3"/>
  <c r="GJ372" i="3"/>
  <c r="GJ373" i="3"/>
  <c r="GJ374" i="3"/>
  <c r="GJ375" i="3"/>
  <c r="GJ376" i="3"/>
  <c r="GJ377" i="3"/>
  <c r="GJ378" i="3"/>
  <c r="GJ379" i="3"/>
  <c r="GJ380" i="3"/>
  <c r="GJ381" i="3"/>
  <c r="GJ382" i="3"/>
  <c r="GJ383" i="3"/>
  <c r="GJ384" i="3"/>
  <c r="GJ385" i="3"/>
  <c r="GJ386" i="3"/>
  <c r="GJ387" i="3"/>
  <c r="GJ388" i="3"/>
  <c r="GJ389" i="3"/>
  <c r="GJ390" i="3"/>
  <c r="GJ391" i="3"/>
  <c r="GJ392" i="3"/>
  <c r="GJ393" i="3"/>
  <c r="GJ394" i="3"/>
  <c r="GJ395" i="3"/>
  <c r="GJ396" i="3"/>
  <c r="GJ397" i="3"/>
  <c r="GJ398" i="3"/>
  <c r="GJ399" i="3"/>
  <c r="GJ400" i="3"/>
  <c r="GJ401" i="3"/>
  <c r="GJ402" i="3"/>
  <c r="GJ403" i="3"/>
  <c r="GJ404" i="3"/>
  <c r="GJ405" i="3"/>
  <c r="GJ406" i="3"/>
  <c r="GJ407" i="3"/>
  <c r="GJ408" i="3"/>
  <c r="GJ409" i="3"/>
  <c r="GJ410" i="3"/>
  <c r="GJ411" i="3"/>
  <c r="GJ412" i="3"/>
  <c r="GJ413" i="3"/>
  <c r="GJ414" i="3"/>
  <c r="GJ415" i="3"/>
  <c r="GJ416" i="3"/>
  <c r="GJ417" i="3"/>
  <c r="GJ418" i="3"/>
  <c r="GJ419" i="3"/>
  <c r="GJ420" i="3"/>
  <c r="GJ421" i="3"/>
  <c r="GJ422" i="3"/>
  <c r="GJ423" i="3"/>
  <c r="GJ424" i="3"/>
  <c r="GJ425" i="3"/>
  <c r="GJ426" i="3"/>
  <c r="GJ427" i="3"/>
  <c r="GJ428" i="3"/>
  <c r="GJ429" i="3"/>
  <c r="GJ430" i="3"/>
  <c r="GJ431" i="3"/>
  <c r="GJ432" i="3"/>
  <c r="GJ433" i="3"/>
  <c r="GJ434" i="3"/>
  <c r="GJ435" i="3"/>
  <c r="GJ436" i="3"/>
  <c r="GJ437" i="3"/>
  <c r="GJ438" i="3"/>
  <c r="GJ439" i="3"/>
  <c r="GJ440" i="3"/>
  <c r="GJ441" i="3"/>
  <c r="GJ442" i="3"/>
  <c r="GJ443" i="3"/>
  <c r="GJ444" i="3"/>
  <c r="GJ445" i="3"/>
  <c r="GJ446" i="3"/>
  <c r="GJ447" i="3"/>
  <c r="GJ448" i="3"/>
  <c r="GJ449" i="3"/>
  <c r="GJ450" i="3"/>
  <c r="GJ451" i="3"/>
  <c r="GJ452" i="3"/>
  <c r="GJ453" i="3"/>
  <c r="GJ454" i="3"/>
  <c r="GJ455" i="3"/>
  <c r="GJ456" i="3"/>
  <c r="GJ457" i="3"/>
  <c r="GJ458" i="3"/>
  <c r="GJ459" i="3"/>
  <c r="GJ460" i="3"/>
  <c r="GJ461" i="3"/>
  <c r="GJ462" i="3"/>
  <c r="GJ463" i="3"/>
  <c r="GJ464" i="3"/>
  <c r="GJ465" i="3"/>
  <c r="GJ466" i="3"/>
  <c r="GJ467" i="3"/>
  <c r="GJ468" i="3"/>
  <c r="GJ469" i="3"/>
  <c r="GJ470" i="3"/>
  <c r="GJ471" i="3"/>
  <c r="GJ472" i="3"/>
  <c r="GJ473" i="3"/>
  <c r="GJ474" i="3"/>
  <c r="GJ475" i="3"/>
  <c r="GJ476" i="3"/>
  <c r="GJ477" i="3"/>
  <c r="GJ478" i="3"/>
  <c r="GJ479" i="3"/>
  <c r="GJ480" i="3"/>
  <c r="GJ481" i="3"/>
  <c r="GJ482" i="3"/>
  <c r="GJ483" i="3"/>
  <c r="GJ484" i="3"/>
  <c r="GJ485" i="3"/>
  <c r="GJ486" i="3"/>
  <c r="GJ487" i="3"/>
  <c r="GJ488" i="3"/>
  <c r="GJ489" i="3"/>
  <c r="GJ490" i="3"/>
  <c r="GJ491" i="3"/>
  <c r="GJ492" i="3"/>
  <c r="GJ493" i="3"/>
  <c r="GJ494" i="3"/>
  <c r="GJ495" i="3"/>
  <c r="GJ496" i="3"/>
  <c r="GJ497" i="3"/>
  <c r="GJ498" i="3"/>
  <c r="GJ499" i="3"/>
  <c r="GJ500" i="3"/>
  <c r="GJ501" i="3"/>
  <c r="GJ502" i="3"/>
  <c r="GJ503" i="3"/>
  <c r="GJ504" i="3"/>
  <c r="GJ505" i="3"/>
  <c r="GJ506" i="3"/>
  <c r="GJ507" i="3"/>
  <c r="GJ508" i="3"/>
  <c r="GJ509" i="3"/>
  <c r="GJ510" i="3"/>
  <c r="GJ511" i="3"/>
  <c r="GJ512" i="3"/>
  <c r="GJ513" i="3"/>
  <c r="GJ514" i="3"/>
  <c r="GJ515" i="3"/>
  <c r="GJ516" i="3"/>
  <c r="GJ517" i="3"/>
  <c r="GJ518" i="3"/>
  <c r="GJ519" i="3"/>
  <c r="GJ520" i="3"/>
  <c r="GJ521" i="3"/>
  <c r="GJ522" i="3"/>
  <c r="GJ523" i="3"/>
  <c r="GJ524" i="3"/>
  <c r="GJ525" i="3"/>
  <c r="GJ526" i="3"/>
  <c r="GJ527" i="3"/>
  <c r="GJ528" i="3"/>
  <c r="GJ529" i="3"/>
  <c r="GJ530" i="3"/>
  <c r="GJ531" i="3"/>
  <c r="GJ532" i="3"/>
  <c r="GJ533" i="3"/>
  <c r="GJ534" i="3"/>
  <c r="GJ535" i="3"/>
  <c r="GJ536" i="3"/>
  <c r="GJ537" i="3"/>
  <c r="GJ538" i="3"/>
  <c r="GJ539" i="3"/>
  <c r="GJ540" i="3"/>
  <c r="GJ541" i="3"/>
  <c r="GJ542" i="3"/>
  <c r="GJ543" i="3"/>
  <c r="GJ544" i="3"/>
  <c r="GJ545" i="3"/>
  <c r="GJ546" i="3"/>
  <c r="GJ547" i="3"/>
  <c r="GJ548" i="3"/>
  <c r="GJ549" i="3"/>
  <c r="GJ550" i="3"/>
  <c r="GJ551" i="3"/>
  <c r="GJ552" i="3"/>
  <c r="GJ553" i="3"/>
  <c r="GJ554" i="3"/>
  <c r="GJ555" i="3"/>
  <c r="GJ556" i="3"/>
  <c r="GJ557" i="3"/>
  <c r="GJ558" i="3"/>
  <c r="GJ559" i="3"/>
  <c r="GJ560" i="3"/>
  <c r="GJ561" i="3"/>
  <c r="GJ562" i="3"/>
  <c r="GJ563" i="3"/>
  <c r="GJ564" i="3"/>
  <c r="GJ565" i="3"/>
  <c r="GJ566" i="3"/>
  <c r="GJ567" i="3"/>
  <c r="GJ568" i="3"/>
  <c r="GJ569" i="3"/>
  <c r="GJ570" i="3"/>
  <c r="GJ571" i="3"/>
  <c r="GJ572" i="3"/>
  <c r="GJ573" i="3"/>
  <c r="GJ574" i="3"/>
  <c r="GJ575" i="3"/>
  <c r="GJ576" i="3"/>
  <c r="GJ577" i="3"/>
  <c r="GJ578" i="3"/>
  <c r="GJ579" i="3"/>
  <c r="GJ580" i="3"/>
  <c r="GJ581" i="3"/>
  <c r="GJ582" i="3"/>
  <c r="GJ583" i="3"/>
  <c r="GJ584" i="3"/>
  <c r="GJ585" i="3"/>
  <c r="GJ586" i="3"/>
  <c r="GJ587" i="3"/>
  <c r="GJ588" i="3"/>
  <c r="GJ589" i="3"/>
  <c r="GJ590" i="3"/>
  <c r="GJ591" i="3"/>
  <c r="GJ592" i="3"/>
  <c r="GJ593" i="3"/>
  <c r="GJ594" i="3"/>
  <c r="GJ595" i="3"/>
  <c r="GJ596" i="3"/>
  <c r="GJ597" i="3"/>
  <c r="GJ598" i="3"/>
  <c r="GJ599" i="3"/>
  <c r="GJ600" i="3"/>
  <c r="GK9" i="3"/>
  <c r="GK10" i="3"/>
  <c r="GK11" i="3"/>
  <c r="GK12" i="3"/>
  <c r="GK13" i="3"/>
  <c r="GK14" i="3"/>
  <c r="GK15" i="3"/>
  <c r="GK16" i="3"/>
  <c r="GK17" i="3"/>
  <c r="GK18" i="3"/>
  <c r="GK19" i="3"/>
  <c r="GK20" i="3"/>
  <c r="GK21" i="3"/>
  <c r="GK22" i="3"/>
  <c r="GK23" i="3"/>
  <c r="GK24" i="3"/>
  <c r="GK25" i="3"/>
  <c r="GK26" i="3"/>
  <c r="GK27" i="3"/>
  <c r="GK28" i="3"/>
  <c r="GK29" i="3"/>
  <c r="GK30" i="3"/>
  <c r="GK31" i="3"/>
  <c r="GK32" i="3"/>
  <c r="GK33" i="3"/>
  <c r="GK34" i="3"/>
  <c r="GK35" i="3"/>
  <c r="GK36" i="3"/>
  <c r="GK37" i="3"/>
  <c r="GK38" i="3"/>
  <c r="GK39" i="3"/>
  <c r="GK40" i="3"/>
  <c r="GK41" i="3"/>
  <c r="GK42" i="3"/>
  <c r="GK43" i="3"/>
  <c r="GK44" i="3"/>
  <c r="GK45" i="3"/>
  <c r="GK46" i="3"/>
  <c r="GK47" i="3"/>
  <c r="GK48" i="3"/>
  <c r="GK49" i="3"/>
  <c r="GK50" i="3"/>
  <c r="GK51" i="3"/>
  <c r="GK52" i="3"/>
  <c r="GK53" i="3"/>
  <c r="GK54" i="3"/>
  <c r="GK55" i="3"/>
  <c r="GK56" i="3"/>
  <c r="GK57" i="3"/>
  <c r="GK58" i="3"/>
  <c r="GK59" i="3"/>
  <c r="GK60" i="3"/>
  <c r="GK61" i="3"/>
  <c r="GK62" i="3"/>
  <c r="GK63" i="3"/>
  <c r="GK64" i="3"/>
  <c r="GK65" i="3"/>
  <c r="GK66" i="3"/>
  <c r="GK67" i="3"/>
  <c r="GK68" i="3"/>
  <c r="GK69" i="3"/>
  <c r="GK70" i="3"/>
  <c r="GK71" i="3"/>
  <c r="GK72" i="3"/>
  <c r="GK73" i="3"/>
  <c r="GK74" i="3"/>
  <c r="GK75" i="3"/>
  <c r="GK76" i="3"/>
  <c r="GK77" i="3"/>
  <c r="GK78" i="3"/>
  <c r="GK79" i="3"/>
  <c r="GK80" i="3"/>
  <c r="GK81" i="3"/>
  <c r="GK82" i="3"/>
  <c r="GK83" i="3"/>
  <c r="GK84" i="3"/>
  <c r="GK85" i="3"/>
  <c r="GK86" i="3"/>
  <c r="GK87" i="3"/>
  <c r="GK88" i="3"/>
  <c r="GK89" i="3"/>
  <c r="GK90" i="3"/>
  <c r="GK91" i="3"/>
  <c r="GK92" i="3"/>
  <c r="GK93" i="3"/>
  <c r="GK94" i="3"/>
  <c r="GK95" i="3"/>
  <c r="GK96" i="3"/>
  <c r="GK97" i="3"/>
  <c r="GK98" i="3"/>
  <c r="GK99" i="3"/>
  <c r="GK100" i="3"/>
  <c r="GK101" i="3"/>
  <c r="GK102" i="3"/>
  <c r="GK103" i="3"/>
  <c r="GK104" i="3"/>
  <c r="GK105" i="3"/>
  <c r="GK106" i="3"/>
  <c r="GK107" i="3"/>
  <c r="GK108" i="3"/>
  <c r="GK109" i="3"/>
  <c r="GK110" i="3"/>
  <c r="GK111" i="3"/>
  <c r="GK112" i="3"/>
  <c r="GK113" i="3"/>
  <c r="GK114" i="3"/>
  <c r="GK115" i="3"/>
  <c r="GK116" i="3"/>
  <c r="GK117" i="3"/>
  <c r="GK118" i="3"/>
  <c r="GK119" i="3"/>
  <c r="GK120" i="3"/>
  <c r="GK121" i="3"/>
  <c r="GK122" i="3"/>
  <c r="GK123" i="3"/>
  <c r="GK124" i="3"/>
  <c r="GK125" i="3"/>
  <c r="GK126" i="3"/>
  <c r="GK127" i="3"/>
  <c r="GK128" i="3"/>
  <c r="GK129" i="3"/>
  <c r="GK130" i="3"/>
  <c r="GK131" i="3"/>
  <c r="GK132" i="3"/>
  <c r="GK133" i="3"/>
  <c r="GK134" i="3"/>
  <c r="GK135" i="3"/>
  <c r="GK136" i="3"/>
  <c r="GK137" i="3"/>
  <c r="GK138" i="3"/>
  <c r="GK139" i="3"/>
  <c r="GK140" i="3"/>
  <c r="GK141" i="3"/>
  <c r="GK142" i="3"/>
  <c r="GK143" i="3"/>
  <c r="GK144" i="3"/>
  <c r="GK145" i="3"/>
  <c r="GK146" i="3"/>
  <c r="GK147" i="3"/>
  <c r="GK148" i="3"/>
  <c r="GK149" i="3"/>
  <c r="GK150" i="3"/>
  <c r="GK151" i="3"/>
  <c r="GK152" i="3"/>
  <c r="GK153" i="3"/>
  <c r="GK154" i="3"/>
  <c r="GK155" i="3"/>
  <c r="GK156" i="3"/>
  <c r="GK157" i="3"/>
  <c r="GK158" i="3"/>
  <c r="GK159" i="3"/>
  <c r="GK160" i="3"/>
  <c r="GK161" i="3"/>
  <c r="GK162" i="3"/>
  <c r="GK163" i="3"/>
  <c r="GK164" i="3"/>
  <c r="GK165" i="3"/>
  <c r="GK166" i="3"/>
  <c r="GK167" i="3"/>
  <c r="GK168" i="3"/>
  <c r="GK169" i="3"/>
  <c r="GK170" i="3"/>
  <c r="GK171" i="3"/>
  <c r="GK172" i="3"/>
  <c r="GK173" i="3"/>
  <c r="GK174" i="3"/>
  <c r="GK175" i="3"/>
  <c r="GK176" i="3"/>
  <c r="GK177" i="3"/>
  <c r="GK178" i="3"/>
  <c r="GK179" i="3"/>
  <c r="GK180" i="3"/>
  <c r="GK181" i="3"/>
  <c r="GK182" i="3"/>
  <c r="GK183" i="3"/>
  <c r="GK184" i="3"/>
  <c r="GK185" i="3"/>
  <c r="GK186" i="3"/>
  <c r="GK187" i="3"/>
  <c r="GK188" i="3"/>
  <c r="GK189" i="3"/>
  <c r="GK190" i="3"/>
  <c r="GK191" i="3"/>
  <c r="GK192" i="3"/>
  <c r="GK193" i="3"/>
  <c r="GK194" i="3"/>
  <c r="GK195" i="3"/>
  <c r="GK196" i="3"/>
  <c r="GK197" i="3"/>
  <c r="GK198" i="3"/>
  <c r="GK199" i="3"/>
  <c r="GK200" i="3"/>
  <c r="GK201" i="3"/>
  <c r="GK202" i="3"/>
  <c r="GK203" i="3"/>
  <c r="GK204" i="3"/>
  <c r="GK205" i="3"/>
  <c r="GK206" i="3"/>
  <c r="GK207" i="3"/>
  <c r="GK208" i="3"/>
  <c r="GK209" i="3"/>
  <c r="GK210" i="3"/>
  <c r="GK211" i="3"/>
  <c r="GK212" i="3"/>
  <c r="GK213" i="3"/>
  <c r="GK214" i="3"/>
  <c r="GK215" i="3"/>
  <c r="GK216" i="3"/>
  <c r="GK217" i="3"/>
  <c r="GK218" i="3"/>
  <c r="GK219" i="3"/>
  <c r="GK220" i="3"/>
  <c r="GK221" i="3"/>
  <c r="GK222" i="3"/>
  <c r="GK223" i="3"/>
  <c r="GK224" i="3"/>
  <c r="GK225" i="3"/>
  <c r="GK226" i="3"/>
  <c r="GK227" i="3"/>
  <c r="GK228" i="3"/>
  <c r="GK229" i="3"/>
  <c r="GK230" i="3"/>
  <c r="GK231" i="3"/>
  <c r="GK232" i="3"/>
  <c r="GK233" i="3"/>
  <c r="GK234" i="3"/>
  <c r="GK235" i="3"/>
  <c r="GK236" i="3"/>
  <c r="GK237" i="3"/>
  <c r="GK238" i="3"/>
  <c r="GK239" i="3"/>
  <c r="GK240" i="3"/>
  <c r="GK241" i="3"/>
  <c r="GK242" i="3"/>
  <c r="GK243" i="3"/>
  <c r="GK244" i="3"/>
  <c r="GK245" i="3"/>
  <c r="GK246" i="3"/>
  <c r="GK247" i="3"/>
  <c r="GK248" i="3"/>
  <c r="GK249" i="3"/>
  <c r="GK250" i="3"/>
  <c r="GK251" i="3"/>
  <c r="GK252" i="3"/>
  <c r="GK253" i="3"/>
  <c r="GK254" i="3"/>
  <c r="GK255" i="3"/>
  <c r="GK256" i="3"/>
  <c r="GK257" i="3"/>
  <c r="GK258" i="3"/>
  <c r="GK259" i="3"/>
  <c r="GK260" i="3"/>
  <c r="GK261" i="3"/>
  <c r="GK262" i="3"/>
  <c r="GK263" i="3"/>
  <c r="GK264" i="3"/>
  <c r="GK265" i="3"/>
  <c r="GK266" i="3"/>
  <c r="GK267" i="3"/>
  <c r="GK268" i="3"/>
  <c r="GK269" i="3"/>
  <c r="GK270" i="3"/>
  <c r="GK271" i="3"/>
  <c r="GK272" i="3"/>
  <c r="GK273" i="3"/>
  <c r="GK274" i="3"/>
  <c r="GK275" i="3"/>
  <c r="GK276" i="3"/>
  <c r="GK277" i="3"/>
  <c r="GK278" i="3"/>
  <c r="GK279" i="3"/>
  <c r="GK280" i="3"/>
  <c r="GK281" i="3"/>
  <c r="GK282" i="3"/>
  <c r="GK283" i="3"/>
  <c r="GK284" i="3"/>
  <c r="GK285" i="3"/>
  <c r="GK286" i="3"/>
  <c r="GK287" i="3"/>
  <c r="GK288" i="3"/>
  <c r="GK289" i="3"/>
  <c r="GK290" i="3"/>
  <c r="GK291" i="3"/>
  <c r="GK292" i="3"/>
  <c r="GK293" i="3"/>
  <c r="GK294" i="3"/>
  <c r="GK295" i="3"/>
  <c r="GK296" i="3"/>
  <c r="GK297" i="3"/>
  <c r="GK298" i="3"/>
  <c r="GK299" i="3"/>
  <c r="GK300" i="3"/>
  <c r="GK301" i="3"/>
  <c r="GK302" i="3"/>
  <c r="GK303" i="3"/>
  <c r="GK304" i="3"/>
  <c r="GK305" i="3"/>
  <c r="GK306" i="3"/>
  <c r="GK307" i="3"/>
  <c r="GK308" i="3"/>
  <c r="GK309" i="3"/>
  <c r="GK310" i="3"/>
  <c r="GK311" i="3"/>
  <c r="GK312" i="3"/>
  <c r="GK313" i="3"/>
  <c r="GK314" i="3"/>
  <c r="GK315" i="3"/>
  <c r="GK316" i="3"/>
  <c r="GK317" i="3"/>
  <c r="GK318" i="3"/>
  <c r="GK319" i="3"/>
  <c r="GK320" i="3"/>
  <c r="GK321" i="3"/>
  <c r="GK322" i="3"/>
  <c r="GK323" i="3"/>
  <c r="GK324" i="3"/>
  <c r="GK325" i="3"/>
  <c r="GK326" i="3"/>
  <c r="GK327" i="3"/>
  <c r="GK328" i="3"/>
  <c r="GK329" i="3"/>
  <c r="GK330" i="3"/>
  <c r="GK331" i="3"/>
  <c r="GK332" i="3"/>
  <c r="GK333" i="3"/>
  <c r="GK334" i="3"/>
  <c r="GK335" i="3"/>
  <c r="GK336" i="3"/>
  <c r="GK337" i="3"/>
  <c r="GK338" i="3"/>
  <c r="GK339" i="3"/>
  <c r="GK340" i="3"/>
  <c r="GK341" i="3"/>
  <c r="GK342" i="3"/>
  <c r="GK343" i="3"/>
  <c r="GK344" i="3"/>
  <c r="GK345" i="3"/>
  <c r="GK346" i="3"/>
  <c r="GK347" i="3"/>
  <c r="GK348" i="3"/>
  <c r="GK349" i="3"/>
  <c r="GK350" i="3"/>
  <c r="GK351" i="3"/>
  <c r="GK352" i="3"/>
  <c r="GK353" i="3"/>
  <c r="GK354" i="3"/>
  <c r="GK355" i="3"/>
  <c r="GK356" i="3"/>
  <c r="GK357" i="3"/>
  <c r="GK358" i="3"/>
  <c r="GK359" i="3"/>
  <c r="GK360" i="3"/>
  <c r="GK361" i="3"/>
  <c r="GK362" i="3"/>
  <c r="GK363" i="3"/>
  <c r="GK364" i="3"/>
  <c r="GK365" i="3"/>
  <c r="GK366" i="3"/>
  <c r="GK367" i="3"/>
  <c r="GK368" i="3"/>
  <c r="GK369" i="3"/>
  <c r="GK370" i="3"/>
  <c r="GK371" i="3"/>
  <c r="GK372" i="3"/>
  <c r="GK373" i="3"/>
  <c r="GK374" i="3"/>
  <c r="GK375" i="3"/>
  <c r="GK376" i="3"/>
  <c r="GK377" i="3"/>
  <c r="GK378" i="3"/>
  <c r="GK379" i="3"/>
  <c r="GK380" i="3"/>
  <c r="GK381" i="3"/>
  <c r="GK382" i="3"/>
  <c r="GK383" i="3"/>
  <c r="GK384" i="3"/>
  <c r="GK385" i="3"/>
  <c r="GK386" i="3"/>
  <c r="GK387" i="3"/>
  <c r="GK388" i="3"/>
  <c r="GK389" i="3"/>
  <c r="GK390" i="3"/>
  <c r="GK391" i="3"/>
  <c r="GK392" i="3"/>
  <c r="GK393" i="3"/>
  <c r="GK394" i="3"/>
  <c r="GK395" i="3"/>
  <c r="GK396" i="3"/>
  <c r="GK397" i="3"/>
  <c r="GK398" i="3"/>
  <c r="GK399" i="3"/>
  <c r="GK400" i="3"/>
  <c r="GK401" i="3"/>
  <c r="GK402" i="3"/>
  <c r="GK403" i="3"/>
  <c r="GK404" i="3"/>
  <c r="GK405" i="3"/>
  <c r="GK406" i="3"/>
  <c r="GK407" i="3"/>
  <c r="GK408" i="3"/>
  <c r="GK409" i="3"/>
  <c r="GK410" i="3"/>
  <c r="GK411" i="3"/>
  <c r="GK412" i="3"/>
  <c r="GK413" i="3"/>
  <c r="GK414" i="3"/>
  <c r="GK415" i="3"/>
  <c r="GK416" i="3"/>
  <c r="GK417" i="3"/>
  <c r="GK418" i="3"/>
  <c r="GK419" i="3"/>
  <c r="GK420" i="3"/>
  <c r="GK421" i="3"/>
  <c r="GK422" i="3"/>
  <c r="GK423" i="3"/>
  <c r="GK424" i="3"/>
  <c r="GK425" i="3"/>
  <c r="GK426" i="3"/>
  <c r="GK427" i="3"/>
  <c r="GK428" i="3"/>
  <c r="GK429" i="3"/>
  <c r="GK430" i="3"/>
  <c r="GK431" i="3"/>
  <c r="GK432" i="3"/>
  <c r="GK433" i="3"/>
  <c r="GK434" i="3"/>
  <c r="GK435" i="3"/>
  <c r="GK436" i="3"/>
  <c r="GK437" i="3"/>
  <c r="GK438" i="3"/>
  <c r="GK439" i="3"/>
  <c r="GK440" i="3"/>
  <c r="GK441" i="3"/>
  <c r="GK442" i="3"/>
  <c r="GK443" i="3"/>
  <c r="GK444" i="3"/>
  <c r="GK445" i="3"/>
  <c r="GK446" i="3"/>
  <c r="GK447" i="3"/>
  <c r="GK448" i="3"/>
  <c r="GK449" i="3"/>
  <c r="GK450" i="3"/>
  <c r="GK451" i="3"/>
  <c r="GK452" i="3"/>
  <c r="GK453" i="3"/>
  <c r="GK454" i="3"/>
  <c r="GK455" i="3"/>
  <c r="GK456" i="3"/>
  <c r="GK457" i="3"/>
  <c r="GK458" i="3"/>
  <c r="GK459" i="3"/>
  <c r="GK460" i="3"/>
  <c r="GK461" i="3"/>
  <c r="GK462" i="3"/>
  <c r="GK463" i="3"/>
  <c r="GK464" i="3"/>
  <c r="GK465" i="3"/>
  <c r="GK466" i="3"/>
  <c r="GK467" i="3"/>
  <c r="GK468" i="3"/>
  <c r="GK469" i="3"/>
  <c r="GK470" i="3"/>
  <c r="GK471" i="3"/>
  <c r="GK472" i="3"/>
  <c r="GK473" i="3"/>
  <c r="GK474" i="3"/>
  <c r="GK475" i="3"/>
  <c r="GK476" i="3"/>
  <c r="GK477" i="3"/>
  <c r="GK478" i="3"/>
  <c r="GK479" i="3"/>
  <c r="GK480" i="3"/>
  <c r="GK481" i="3"/>
  <c r="GK482" i="3"/>
  <c r="GK483" i="3"/>
  <c r="GK484" i="3"/>
  <c r="GK485" i="3"/>
  <c r="GK486" i="3"/>
  <c r="GK487" i="3"/>
  <c r="GK488" i="3"/>
  <c r="GK489" i="3"/>
  <c r="GK490" i="3"/>
  <c r="GK491" i="3"/>
  <c r="GK492" i="3"/>
  <c r="GK493" i="3"/>
  <c r="GK494" i="3"/>
  <c r="GK495" i="3"/>
  <c r="GK496" i="3"/>
  <c r="GK497" i="3"/>
  <c r="GK498" i="3"/>
  <c r="GK499" i="3"/>
  <c r="GK500" i="3"/>
  <c r="GK501" i="3"/>
  <c r="GK502" i="3"/>
  <c r="GK503" i="3"/>
  <c r="GK504" i="3"/>
  <c r="GK505" i="3"/>
  <c r="GK506" i="3"/>
  <c r="GK507" i="3"/>
  <c r="GK508" i="3"/>
  <c r="GK509" i="3"/>
  <c r="GK510" i="3"/>
  <c r="GK511" i="3"/>
  <c r="GK512" i="3"/>
  <c r="GK513" i="3"/>
  <c r="GK514" i="3"/>
  <c r="GK515" i="3"/>
  <c r="GK516" i="3"/>
  <c r="GK517" i="3"/>
  <c r="GK518" i="3"/>
  <c r="GK519" i="3"/>
  <c r="GK520" i="3"/>
  <c r="GK521" i="3"/>
  <c r="GK522" i="3"/>
  <c r="GK523" i="3"/>
  <c r="GK524" i="3"/>
  <c r="GK525" i="3"/>
  <c r="GK526" i="3"/>
  <c r="GK527" i="3"/>
  <c r="GK528" i="3"/>
  <c r="GK529" i="3"/>
  <c r="GK530" i="3"/>
  <c r="GK531" i="3"/>
  <c r="GK532" i="3"/>
  <c r="GK533" i="3"/>
  <c r="GK534" i="3"/>
  <c r="GK535" i="3"/>
  <c r="GK536" i="3"/>
  <c r="GK537" i="3"/>
  <c r="GK538" i="3"/>
  <c r="GK539" i="3"/>
  <c r="GK540" i="3"/>
  <c r="GK541" i="3"/>
  <c r="GK542" i="3"/>
  <c r="GK543" i="3"/>
  <c r="GK544" i="3"/>
  <c r="GK545" i="3"/>
  <c r="GK546" i="3"/>
  <c r="GK547" i="3"/>
  <c r="GK548" i="3"/>
  <c r="GK549" i="3"/>
  <c r="GK550" i="3"/>
  <c r="GK551" i="3"/>
  <c r="GK552" i="3"/>
  <c r="GK553" i="3"/>
  <c r="GK554" i="3"/>
  <c r="GK555" i="3"/>
  <c r="GK556" i="3"/>
  <c r="GK557" i="3"/>
  <c r="GK558" i="3"/>
  <c r="GK559" i="3"/>
  <c r="GK560" i="3"/>
  <c r="GK561" i="3"/>
  <c r="GK562" i="3"/>
  <c r="GK563" i="3"/>
  <c r="GK564" i="3"/>
  <c r="GK565" i="3"/>
  <c r="GK566" i="3"/>
  <c r="GK567" i="3"/>
  <c r="GK568" i="3"/>
  <c r="GK569" i="3"/>
  <c r="GK570" i="3"/>
  <c r="GK571" i="3"/>
  <c r="GK572" i="3"/>
  <c r="GK573" i="3"/>
  <c r="GK574" i="3"/>
  <c r="GK575" i="3"/>
  <c r="GK576" i="3"/>
  <c r="GK577" i="3"/>
  <c r="GK578" i="3"/>
  <c r="GK579" i="3"/>
  <c r="GK580" i="3"/>
  <c r="GK581" i="3"/>
  <c r="GK582" i="3"/>
  <c r="GK583" i="3"/>
  <c r="GK584" i="3"/>
  <c r="GK585" i="3"/>
  <c r="GK586" i="3"/>
  <c r="GK587" i="3"/>
  <c r="GK588" i="3"/>
  <c r="GK589" i="3"/>
  <c r="GK590" i="3"/>
  <c r="GK591" i="3"/>
  <c r="GK592" i="3"/>
  <c r="GK593" i="3"/>
  <c r="GK594" i="3"/>
  <c r="GK595" i="3"/>
  <c r="GK596" i="3"/>
  <c r="GK597" i="3"/>
  <c r="GK598" i="3"/>
  <c r="GK599" i="3"/>
  <c r="GK600" i="3"/>
  <c r="GL9" i="3"/>
  <c r="GL10" i="3"/>
  <c r="GL11" i="3"/>
  <c r="GL12" i="3"/>
  <c r="GL13" i="3"/>
  <c r="GL14" i="3"/>
  <c r="GL15" i="3"/>
  <c r="GL16" i="3"/>
  <c r="GL17" i="3"/>
  <c r="GL18" i="3"/>
  <c r="GL19" i="3"/>
  <c r="GL20" i="3"/>
  <c r="GL21" i="3"/>
  <c r="GL22" i="3"/>
  <c r="GL23" i="3"/>
  <c r="GL24" i="3"/>
  <c r="GL25" i="3"/>
  <c r="GL26" i="3"/>
  <c r="GL27" i="3"/>
  <c r="GL28" i="3"/>
  <c r="GL29" i="3"/>
  <c r="GL30" i="3"/>
  <c r="GL31" i="3"/>
  <c r="GL32" i="3"/>
  <c r="GL33" i="3"/>
  <c r="GL34" i="3"/>
  <c r="GL35" i="3"/>
  <c r="GL36" i="3"/>
  <c r="GL37" i="3"/>
  <c r="GL38" i="3"/>
  <c r="GL39" i="3"/>
  <c r="GL40" i="3"/>
  <c r="GL41" i="3"/>
  <c r="GL42" i="3"/>
  <c r="GL43" i="3"/>
  <c r="GL44" i="3"/>
  <c r="GL45" i="3"/>
  <c r="GL46" i="3"/>
  <c r="GL47" i="3"/>
  <c r="GL48" i="3"/>
  <c r="GL49" i="3"/>
  <c r="GL50" i="3"/>
  <c r="GL51" i="3"/>
  <c r="GL52" i="3"/>
  <c r="GL53" i="3"/>
  <c r="GL54" i="3"/>
  <c r="GL55" i="3"/>
  <c r="GL56" i="3"/>
  <c r="GL57" i="3"/>
  <c r="GL58" i="3"/>
  <c r="GL59" i="3"/>
  <c r="GL60" i="3"/>
  <c r="GL61" i="3"/>
  <c r="GL62" i="3"/>
  <c r="GL63" i="3"/>
  <c r="GL64" i="3"/>
  <c r="GL65" i="3"/>
  <c r="GL66" i="3"/>
  <c r="GL67" i="3"/>
  <c r="GL68" i="3"/>
  <c r="GL69" i="3"/>
  <c r="GL70" i="3"/>
  <c r="GL71" i="3"/>
  <c r="GL72" i="3"/>
  <c r="GL73" i="3"/>
  <c r="GL74" i="3"/>
  <c r="GL75" i="3"/>
  <c r="GL76" i="3"/>
  <c r="GL77" i="3"/>
  <c r="GL78" i="3"/>
  <c r="GL79" i="3"/>
  <c r="GL80" i="3"/>
  <c r="GL81" i="3"/>
  <c r="GL82" i="3"/>
  <c r="GL83" i="3"/>
  <c r="GL84" i="3"/>
  <c r="GL85" i="3"/>
  <c r="GL86" i="3"/>
  <c r="GL87" i="3"/>
  <c r="GL88" i="3"/>
  <c r="GL89" i="3"/>
  <c r="GL90" i="3"/>
  <c r="GL91" i="3"/>
  <c r="GL92" i="3"/>
  <c r="GL93" i="3"/>
  <c r="GL94" i="3"/>
  <c r="GL95" i="3"/>
  <c r="GL96" i="3"/>
  <c r="GL97" i="3"/>
  <c r="GL98" i="3"/>
  <c r="GL99" i="3"/>
  <c r="GL100" i="3"/>
  <c r="GL101" i="3"/>
  <c r="GL102" i="3"/>
  <c r="GL103" i="3"/>
  <c r="GL104" i="3"/>
  <c r="GL105" i="3"/>
  <c r="GL106" i="3"/>
  <c r="GL107" i="3"/>
  <c r="GL108" i="3"/>
  <c r="GL109" i="3"/>
  <c r="GL110" i="3"/>
  <c r="GL111" i="3"/>
  <c r="GL112" i="3"/>
  <c r="GL113" i="3"/>
  <c r="GL114" i="3"/>
  <c r="GL115" i="3"/>
  <c r="GL116" i="3"/>
  <c r="GL117" i="3"/>
  <c r="GL118" i="3"/>
  <c r="GL119" i="3"/>
  <c r="GL120" i="3"/>
  <c r="GL121" i="3"/>
  <c r="GL122" i="3"/>
  <c r="GL123" i="3"/>
  <c r="GL124" i="3"/>
  <c r="GL125" i="3"/>
  <c r="GL126" i="3"/>
  <c r="GL127" i="3"/>
  <c r="GL128" i="3"/>
  <c r="GL129" i="3"/>
  <c r="GL130" i="3"/>
  <c r="GL131" i="3"/>
  <c r="GL132" i="3"/>
  <c r="GL133" i="3"/>
  <c r="GL134" i="3"/>
  <c r="GL135" i="3"/>
  <c r="GL136" i="3"/>
  <c r="GL137" i="3"/>
  <c r="GL138" i="3"/>
  <c r="GL139" i="3"/>
  <c r="GL140" i="3"/>
  <c r="GL141" i="3"/>
  <c r="GL142" i="3"/>
  <c r="GL143" i="3"/>
  <c r="GL144" i="3"/>
  <c r="GL145" i="3"/>
  <c r="GL146" i="3"/>
  <c r="GL147" i="3"/>
  <c r="GL148" i="3"/>
  <c r="GL149" i="3"/>
  <c r="GL150" i="3"/>
  <c r="GL151" i="3"/>
  <c r="GL152" i="3"/>
  <c r="GL153" i="3"/>
  <c r="GL154" i="3"/>
  <c r="GL155" i="3"/>
  <c r="GL156" i="3"/>
  <c r="GL157" i="3"/>
  <c r="GL158" i="3"/>
  <c r="GL159" i="3"/>
  <c r="GL160" i="3"/>
  <c r="GL161" i="3"/>
  <c r="GL162" i="3"/>
  <c r="GL163" i="3"/>
  <c r="GL164" i="3"/>
  <c r="GL165" i="3"/>
  <c r="GL166" i="3"/>
  <c r="GL167" i="3"/>
  <c r="GL168" i="3"/>
  <c r="GL169" i="3"/>
  <c r="GL170" i="3"/>
  <c r="GL171" i="3"/>
  <c r="GL172" i="3"/>
  <c r="GL173" i="3"/>
  <c r="GL174" i="3"/>
  <c r="GL175" i="3"/>
  <c r="GL176" i="3"/>
  <c r="GL177" i="3"/>
  <c r="GL178" i="3"/>
  <c r="GL179" i="3"/>
  <c r="GL180" i="3"/>
  <c r="GL181" i="3"/>
  <c r="GL182" i="3"/>
  <c r="GL183" i="3"/>
  <c r="GL184" i="3"/>
  <c r="GL185" i="3"/>
  <c r="GL186" i="3"/>
  <c r="GL187" i="3"/>
  <c r="GL188" i="3"/>
  <c r="GL189" i="3"/>
  <c r="GL190" i="3"/>
  <c r="GL191" i="3"/>
  <c r="GL192" i="3"/>
  <c r="GL193" i="3"/>
  <c r="GL194" i="3"/>
  <c r="GL195" i="3"/>
  <c r="GL196" i="3"/>
  <c r="GL197" i="3"/>
  <c r="GL198" i="3"/>
  <c r="GL199" i="3"/>
  <c r="GL200" i="3"/>
  <c r="GL201" i="3"/>
  <c r="GL202" i="3"/>
  <c r="GL203" i="3"/>
  <c r="GL204" i="3"/>
  <c r="GL205" i="3"/>
  <c r="GL206" i="3"/>
  <c r="GL207" i="3"/>
  <c r="GL208" i="3"/>
  <c r="GL209" i="3"/>
  <c r="GL210" i="3"/>
  <c r="GL211" i="3"/>
  <c r="GL212" i="3"/>
  <c r="GL213" i="3"/>
  <c r="GL214" i="3"/>
  <c r="GL215" i="3"/>
  <c r="GL216" i="3"/>
  <c r="GL217" i="3"/>
  <c r="GL218" i="3"/>
  <c r="GL219" i="3"/>
  <c r="GL220" i="3"/>
  <c r="GL221" i="3"/>
  <c r="GL222" i="3"/>
  <c r="GL223" i="3"/>
  <c r="GL224" i="3"/>
  <c r="GL225" i="3"/>
  <c r="GL226" i="3"/>
  <c r="GL227" i="3"/>
  <c r="GL228" i="3"/>
  <c r="GL229" i="3"/>
  <c r="GL230" i="3"/>
  <c r="GL231" i="3"/>
  <c r="GL232" i="3"/>
  <c r="GL233" i="3"/>
  <c r="GL234" i="3"/>
  <c r="GL235" i="3"/>
  <c r="GL236" i="3"/>
  <c r="GL237" i="3"/>
  <c r="GL238" i="3"/>
  <c r="GL239" i="3"/>
  <c r="GL240" i="3"/>
  <c r="GL241" i="3"/>
  <c r="GL242" i="3"/>
  <c r="GL243" i="3"/>
  <c r="GL244" i="3"/>
  <c r="GL245" i="3"/>
  <c r="GL246" i="3"/>
  <c r="GL247" i="3"/>
  <c r="GL248" i="3"/>
  <c r="GL249" i="3"/>
  <c r="GL250" i="3"/>
  <c r="GL251" i="3"/>
  <c r="GL252" i="3"/>
  <c r="GL253" i="3"/>
  <c r="GL254" i="3"/>
  <c r="GL255" i="3"/>
  <c r="GL256" i="3"/>
  <c r="GL257" i="3"/>
  <c r="GL258" i="3"/>
  <c r="GL259" i="3"/>
  <c r="GL260" i="3"/>
  <c r="GL261" i="3"/>
  <c r="GL262" i="3"/>
  <c r="GL263" i="3"/>
  <c r="GL264" i="3"/>
  <c r="GL265" i="3"/>
  <c r="GL266" i="3"/>
  <c r="GL267" i="3"/>
  <c r="GL268" i="3"/>
  <c r="GL269" i="3"/>
  <c r="GL270" i="3"/>
  <c r="GL271" i="3"/>
  <c r="GL272" i="3"/>
  <c r="GL273" i="3"/>
  <c r="GL274" i="3"/>
  <c r="GL275" i="3"/>
  <c r="GL276" i="3"/>
  <c r="GL277" i="3"/>
  <c r="GL278" i="3"/>
  <c r="GL279" i="3"/>
  <c r="GL280" i="3"/>
  <c r="GL281" i="3"/>
  <c r="GL282" i="3"/>
  <c r="GL283" i="3"/>
  <c r="GL284" i="3"/>
  <c r="GL285" i="3"/>
  <c r="GL286" i="3"/>
  <c r="GL287" i="3"/>
  <c r="GL288" i="3"/>
  <c r="GL289" i="3"/>
  <c r="GL290" i="3"/>
  <c r="GL291" i="3"/>
  <c r="GL292" i="3"/>
  <c r="GL293" i="3"/>
  <c r="GL294" i="3"/>
  <c r="GL295" i="3"/>
  <c r="GL296" i="3"/>
  <c r="GL297" i="3"/>
  <c r="GL298" i="3"/>
  <c r="GL299" i="3"/>
  <c r="GL300" i="3"/>
  <c r="GL301" i="3"/>
  <c r="GL302" i="3"/>
  <c r="GL303" i="3"/>
  <c r="GL304" i="3"/>
  <c r="GL305" i="3"/>
  <c r="GL306" i="3"/>
  <c r="GL307" i="3"/>
  <c r="GL308" i="3"/>
  <c r="GL309" i="3"/>
  <c r="GL310" i="3"/>
  <c r="GL311" i="3"/>
  <c r="GL312" i="3"/>
  <c r="GL313" i="3"/>
  <c r="GL314" i="3"/>
  <c r="GL315" i="3"/>
  <c r="GL316" i="3"/>
  <c r="GL317" i="3"/>
  <c r="GL318" i="3"/>
  <c r="GL319" i="3"/>
  <c r="GL320" i="3"/>
  <c r="GL321" i="3"/>
  <c r="GL322" i="3"/>
  <c r="GL323" i="3"/>
  <c r="GL324" i="3"/>
  <c r="GL325" i="3"/>
  <c r="GL326" i="3"/>
  <c r="GL327" i="3"/>
  <c r="GL328" i="3"/>
  <c r="GL329" i="3"/>
  <c r="GL330" i="3"/>
  <c r="GL331" i="3"/>
  <c r="GL332" i="3"/>
  <c r="GL333" i="3"/>
  <c r="GL334" i="3"/>
  <c r="GL335" i="3"/>
  <c r="GL336" i="3"/>
  <c r="GL337" i="3"/>
  <c r="GL338" i="3"/>
  <c r="GL339" i="3"/>
  <c r="GL340" i="3"/>
  <c r="GL341" i="3"/>
  <c r="GL342" i="3"/>
  <c r="GL343" i="3"/>
  <c r="GL344" i="3"/>
  <c r="GL345" i="3"/>
  <c r="GL346" i="3"/>
  <c r="GL347" i="3"/>
  <c r="GL348" i="3"/>
  <c r="GL349" i="3"/>
  <c r="GL350" i="3"/>
  <c r="GL351" i="3"/>
  <c r="GL352" i="3"/>
  <c r="GL353" i="3"/>
  <c r="GL354" i="3"/>
  <c r="GL355" i="3"/>
  <c r="GL356" i="3"/>
  <c r="GL357" i="3"/>
  <c r="GL358" i="3"/>
  <c r="GL359" i="3"/>
  <c r="GL360" i="3"/>
  <c r="GL361" i="3"/>
  <c r="GL362" i="3"/>
  <c r="GL363" i="3"/>
  <c r="GL364" i="3"/>
  <c r="GL365" i="3"/>
  <c r="GL366" i="3"/>
  <c r="GL367" i="3"/>
  <c r="GL368" i="3"/>
  <c r="GL369" i="3"/>
  <c r="GL370" i="3"/>
  <c r="GL371" i="3"/>
  <c r="GL372" i="3"/>
  <c r="GL373" i="3"/>
  <c r="GL374" i="3"/>
  <c r="GL375" i="3"/>
  <c r="GL376" i="3"/>
  <c r="GL377" i="3"/>
  <c r="GL378" i="3"/>
  <c r="GL379" i="3"/>
  <c r="GL380" i="3"/>
  <c r="GL381" i="3"/>
  <c r="GL382" i="3"/>
  <c r="GL383" i="3"/>
  <c r="GL384" i="3"/>
  <c r="GL385" i="3"/>
  <c r="GL386" i="3"/>
  <c r="GL387" i="3"/>
  <c r="GL388" i="3"/>
  <c r="GL389" i="3"/>
  <c r="GL390" i="3"/>
  <c r="GL391" i="3"/>
  <c r="GL392" i="3"/>
  <c r="GL393" i="3"/>
  <c r="GL394" i="3"/>
  <c r="GL395" i="3"/>
  <c r="GL396" i="3"/>
  <c r="GL397" i="3"/>
  <c r="GL398" i="3"/>
  <c r="GL399" i="3"/>
  <c r="GL400" i="3"/>
  <c r="GL401" i="3"/>
  <c r="GL402" i="3"/>
  <c r="GL403" i="3"/>
  <c r="GL404" i="3"/>
  <c r="GL405" i="3"/>
  <c r="GL406" i="3"/>
  <c r="GL407" i="3"/>
  <c r="GL408" i="3"/>
  <c r="GL409" i="3"/>
  <c r="GL410" i="3"/>
  <c r="GL411" i="3"/>
  <c r="GL412" i="3"/>
  <c r="GL413" i="3"/>
  <c r="GL414" i="3"/>
  <c r="GL415" i="3"/>
  <c r="GL416" i="3"/>
  <c r="GL417" i="3"/>
  <c r="GL418" i="3"/>
  <c r="GL419" i="3"/>
  <c r="GL420" i="3"/>
  <c r="GL421" i="3"/>
  <c r="GL422" i="3"/>
  <c r="GL423" i="3"/>
  <c r="GL424" i="3"/>
  <c r="GL425" i="3"/>
  <c r="GL426" i="3"/>
  <c r="GL427" i="3"/>
  <c r="GL428" i="3"/>
  <c r="GL429" i="3"/>
  <c r="GL430" i="3"/>
  <c r="GL431" i="3"/>
  <c r="GL432" i="3"/>
  <c r="GL433" i="3"/>
  <c r="GL434" i="3"/>
  <c r="GL435" i="3"/>
  <c r="GL436" i="3"/>
  <c r="GL437" i="3"/>
  <c r="GL438" i="3"/>
  <c r="GL439" i="3"/>
  <c r="GL440" i="3"/>
  <c r="GL441" i="3"/>
  <c r="GL442" i="3"/>
  <c r="GL443" i="3"/>
  <c r="GL444" i="3"/>
  <c r="GL445" i="3"/>
  <c r="GL446" i="3"/>
  <c r="GL447" i="3"/>
  <c r="GL448" i="3"/>
  <c r="GL449" i="3"/>
  <c r="GL450" i="3"/>
  <c r="GL451" i="3"/>
  <c r="GL452" i="3"/>
  <c r="GL453" i="3"/>
  <c r="GL454" i="3"/>
  <c r="GL455" i="3"/>
  <c r="GL456" i="3"/>
  <c r="GL457" i="3"/>
  <c r="GL458" i="3"/>
  <c r="GL459" i="3"/>
  <c r="GL460" i="3"/>
  <c r="GL461" i="3"/>
  <c r="GL462" i="3"/>
  <c r="GL463" i="3"/>
  <c r="GL464" i="3"/>
  <c r="GL465" i="3"/>
  <c r="GL466" i="3"/>
  <c r="GL467" i="3"/>
  <c r="GL468" i="3"/>
  <c r="GL469" i="3"/>
  <c r="GL470" i="3"/>
  <c r="GL471" i="3"/>
  <c r="GL472" i="3"/>
  <c r="GL473" i="3"/>
  <c r="GL474" i="3"/>
  <c r="GL475" i="3"/>
  <c r="GL476" i="3"/>
  <c r="GL477" i="3"/>
  <c r="GL478" i="3"/>
  <c r="GL479" i="3"/>
  <c r="GL480" i="3"/>
  <c r="GL481" i="3"/>
  <c r="GL482" i="3"/>
  <c r="GL483" i="3"/>
  <c r="GL484" i="3"/>
  <c r="GL485" i="3"/>
  <c r="GL486" i="3"/>
  <c r="GL487" i="3"/>
  <c r="GL488" i="3"/>
  <c r="GL489" i="3"/>
  <c r="GL490" i="3"/>
  <c r="GL491" i="3"/>
  <c r="GL492" i="3"/>
  <c r="GL493" i="3"/>
  <c r="GL494" i="3"/>
  <c r="GL495" i="3"/>
  <c r="GL496" i="3"/>
  <c r="GL497" i="3"/>
  <c r="GL498" i="3"/>
  <c r="GL499" i="3"/>
  <c r="GL500" i="3"/>
  <c r="GL501" i="3"/>
  <c r="GL502" i="3"/>
  <c r="GL503" i="3"/>
  <c r="GL504" i="3"/>
  <c r="GL505" i="3"/>
  <c r="GL506" i="3"/>
  <c r="GL507" i="3"/>
  <c r="GL508" i="3"/>
  <c r="GL509" i="3"/>
  <c r="GL510" i="3"/>
  <c r="GL511" i="3"/>
  <c r="GL512" i="3"/>
  <c r="GL513" i="3"/>
  <c r="GL514" i="3"/>
  <c r="GL515" i="3"/>
  <c r="GL516" i="3"/>
  <c r="GL517" i="3"/>
  <c r="GL518" i="3"/>
  <c r="GL519" i="3"/>
  <c r="GL520" i="3"/>
  <c r="GL521" i="3"/>
  <c r="GL522" i="3"/>
  <c r="GL523" i="3"/>
  <c r="GL524" i="3"/>
  <c r="GL525" i="3"/>
  <c r="GL526" i="3"/>
  <c r="GL527" i="3"/>
  <c r="GL528" i="3"/>
  <c r="GL529" i="3"/>
  <c r="GL530" i="3"/>
  <c r="GL531" i="3"/>
  <c r="GL532" i="3"/>
  <c r="GL533" i="3"/>
  <c r="GL534" i="3"/>
  <c r="GL535" i="3"/>
  <c r="GL536" i="3"/>
  <c r="GL537" i="3"/>
  <c r="GL538" i="3"/>
  <c r="GL539" i="3"/>
  <c r="GL540" i="3"/>
  <c r="GL541" i="3"/>
  <c r="GL542" i="3"/>
  <c r="GL543" i="3"/>
  <c r="GL544" i="3"/>
  <c r="GL545" i="3"/>
  <c r="GL546" i="3"/>
  <c r="GL547" i="3"/>
  <c r="GL548" i="3"/>
  <c r="GL549" i="3"/>
  <c r="GL550" i="3"/>
  <c r="GL551" i="3"/>
  <c r="GL552" i="3"/>
  <c r="GL553" i="3"/>
  <c r="GL554" i="3"/>
  <c r="GL555" i="3"/>
  <c r="GL556" i="3"/>
  <c r="GL557" i="3"/>
  <c r="GL558" i="3"/>
  <c r="GL559" i="3"/>
  <c r="GL560" i="3"/>
  <c r="GL561" i="3"/>
  <c r="GL562" i="3"/>
  <c r="GL563" i="3"/>
  <c r="GL564" i="3"/>
  <c r="GL565" i="3"/>
  <c r="GL566" i="3"/>
  <c r="GL567" i="3"/>
  <c r="GL568" i="3"/>
  <c r="GL569" i="3"/>
  <c r="GL570" i="3"/>
  <c r="GL571" i="3"/>
  <c r="GL572" i="3"/>
  <c r="GL573" i="3"/>
  <c r="GL574" i="3"/>
  <c r="GL575" i="3"/>
  <c r="GL576" i="3"/>
  <c r="GL577" i="3"/>
  <c r="GL578" i="3"/>
  <c r="GL579" i="3"/>
  <c r="GL580" i="3"/>
  <c r="GL581" i="3"/>
  <c r="GL582" i="3"/>
  <c r="GL583" i="3"/>
  <c r="GL584" i="3"/>
  <c r="GL585" i="3"/>
  <c r="GL586" i="3"/>
  <c r="GL587" i="3"/>
  <c r="GL588" i="3"/>
  <c r="GL589" i="3"/>
  <c r="GL590" i="3"/>
  <c r="GL591" i="3"/>
  <c r="GL592" i="3"/>
  <c r="GL593" i="3"/>
  <c r="GL594" i="3"/>
  <c r="GL595" i="3"/>
  <c r="GL596" i="3"/>
  <c r="GL597" i="3"/>
  <c r="GL598" i="3"/>
  <c r="GL599" i="3"/>
  <c r="GL600" i="3"/>
  <c r="GM9" i="3"/>
  <c r="GM10" i="3"/>
  <c r="GM11" i="3"/>
  <c r="GM12" i="3"/>
  <c r="GM13" i="3"/>
  <c r="GM14" i="3"/>
  <c r="GM15" i="3"/>
  <c r="GM16" i="3"/>
  <c r="GM17" i="3"/>
  <c r="GM18" i="3"/>
  <c r="GM19" i="3"/>
  <c r="GM20" i="3"/>
  <c r="GM21" i="3"/>
  <c r="GM22" i="3"/>
  <c r="GM23" i="3"/>
  <c r="GM24" i="3"/>
  <c r="GM25" i="3"/>
  <c r="GM26" i="3"/>
  <c r="GM27" i="3"/>
  <c r="GM28" i="3"/>
  <c r="GM29" i="3"/>
  <c r="GM30" i="3"/>
  <c r="GM31" i="3"/>
  <c r="GM32" i="3"/>
  <c r="GM33" i="3"/>
  <c r="GM34" i="3"/>
  <c r="GM35" i="3"/>
  <c r="GM36" i="3"/>
  <c r="GM37" i="3"/>
  <c r="GM38" i="3"/>
  <c r="GM39" i="3"/>
  <c r="GM40" i="3"/>
  <c r="GM41" i="3"/>
  <c r="GM42" i="3"/>
  <c r="GM43" i="3"/>
  <c r="GM44" i="3"/>
  <c r="GM45" i="3"/>
  <c r="GM46" i="3"/>
  <c r="GM47" i="3"/>
  <c r="GM48" i="3"/>
  <c r="GM49" i="3"/>
  <c r="GM50" i="3"/>
  <c r="GM51" i="3"/>
  <c r="GM52" i="3"/>
  <c r="GM53" i="3"/>
  <c r="GM54" i="3"/>
  <c r="GM55" i="3"/>
  <c r="GM56" i="3"/>
  <c r="GM57" i="3"/>
  <c r="GM58" i="3"/>
  <c r="GM59" i="3"/>
  <c r="GM60" i="3"/>
  <c r="GM61" i="3"/>
  <c r="GM62" i="3"/>
  <c r="GM63" i="3"/>
  <c r="GM64" i="3"/>
  <c r="GM65" i="3"/>
  <c r="GM66" i="3"/>
  <c r="GM67" i="3"/>
  <c r="GM68" i="3"/>
  <c r="GM69" i="3"/>
  <c r="GM70" i="3"/>
  <c r="GM71" i="3"/>
  <c r="GM72" i="3"/>
  <c r="GM73" i="3"/>
  <c r="GM74" i="3"/>
  <c r="GM75" i="3"/>
  <c r="GM76" i="3"/>
  <c r="GM77" i="3"/>
  <c r="GM78" i="3"/>
  <c r="GM79" i="3"/>
  <c r="GM80" i="3"/>
  <c r="GM81" i="3"/>
  <c r="GM82" i="3"/>
  <c r="GM83" i="3"/>
  <c r="GM84" i="3"/>
  <c r="GM85" i="3"/>
  <c r="GM86" i="3"/>
  <c r="GM87" i="3"/>
  <c r="GM88" i="3"/>
  <c r="GM89" i="3"/>
  <c r="GM90" i="3"/>
  <c r="GM91" i="3"/>
  <c r="GM92" i="3"/>
  <c r="GM93" i="3"/>
  <c r="GM94" i="3"/>
  <c r="GM95" i="3"/>
  <c r="GM96" i="3"/>
  <c r="GM97" i="3"/>
  <c r="GM98" i="3"/>
  <c r="GM99" i="3"/>
  <c r="GM100" i="3"/>
  <c r="GM101" i="3"/>
  <c r="GM102" i="3"/>
  <c r="GM103" i="3"/>
  <c r="GM104" i="3"/>
  <c r="GM105" i="3"/>
  <c r="GM106" i="3"/>
  <c r="GM107" i="3"/>
  <c r="GM108" i="3"/>
  <c r="GM109" i="3"/>
  <c r="GM110" i="3"/>
  <c r="GM111" i="3"/>
  <c r="GM112" i="3"/>
  <c r="GM113" i="3"/>
  <c r="GM114" i="3"/>
  <c r="GM115" i="3"/>
  <c r="GM116" i="3"/>
  <c r="GM117" i="3"/>
  <c r="GM118" i="3"/>
  <c r="GM119" i="3"/>
  <c r="GM120" i="3"/>
  <c r="GM121" i="3"/>
  <c r="GM122" i="3"/>
  <c r="GM123" i="3"/>
  <c r="GM124" i="3"/>
  <c r="GM125" i="3"/>
  <c r="GM126" i="3"/>
  <c r="GM127" i="3"/>
  <c r="GM128" i="3"/>
  <c r="GM129" i="3"/>
  <c r="GM130" i="3"/>
  <c r="GM131" i="3"/>
  <c r="GM132" i="3"/>
  <c r="GM133" i="3"/>
  <c r="GM134" i="3"/>
  <c r="GM135" i="3"/>
  <c r="GM136" i="3"/>
  <c r="GM137" i="3"/>
  <c r="GM138" i="3"/>
  <c r="GM139" i="3"/>
  <c r="GM140" i="3"/>
  <c r="GM141" i="3"/>
  <c r="GM142" i="3"/>
  <c r="GM143" i="3"/>
  <c r="GM144" i="3"/>
  <c r="GM145" i="3"/>
  <c r="GM146" i="3"/>
  <c r="GM147" i="3"/>
  <c r="GM148" i="3"/>
  <c r="GM149" i="3"/>
  <c r="GM150" i="3"/>
  <c r="GM151" i="3"/>
  <c r="GM152" i="3"/>
  <c r="GM153" i="3"/>
  <c r="GM154" i="3"/>
  <c r="GM155" i="3"/>
  <c r="GM156" i="3"/>
  <c r="GM157" i="3"/>
  <c r="GM158" i="3"/>
  <c r="GM159" i="3"/>
  <c r="GM160" i="3"/>
  <c r="GM161" i="3"/>
  <c r="GM162" i="3"/>
  <c r="GM163" i="3"/>
  <c r="GM164" i="3"/>
  <c r="GM165" i="3"/>
  <c r="GM166" i="3"/>
  <c r="GM167" i="3"/>
  <c r="GM168" i="3"/>
  <c r="GM169" i="3"/>
  <c r="GM170" i="3"/>
  <c r="GM171" i="3"/>
  <c r="GM172" i="3"/>
  <c r="GM173" i="3"/>
  <c r="GM174" i="3"/>
  <c r="GM175" i="3"/>
  <c r="GM176" i="3"/>
  <c r="GM177" i="3"/>
  <c r="GM178" i="3"/>
  <c r="GM179" i="3"/>
  <c r="GM180" i="3"/>
  <c r="GM181" i="3"/>
  <c r="GM182" i="3"/>
  <c r="GM183" i="3"/>
  <c r="GM184" i="3"/>
  <c r="GM185" i="3"/>
  <c r="GM186" i="3"/>
  <c r="GM187" i="3"/>
  <c r="GM188" i="3"/>
  <c r="GM189" i="3"/>
  <c r="GM190" i="3"/>
  <c r="GM191" i="3"/>
  <c r="GM192" i="3"/>
  <c r="GM193" i="3"/>
  <c r="GM194" i="3"/>
  <c r="GM195" i="3"/>
  <c r="GM196" i="3"/>
  <c r="GM197" i="3"/>
  <c r="GM198" i="3"/>
  <c r="GM199" i="3"/>
  <c r="GM200" i="3"/>
  <c r="GM201" i="3"/>
  <c r="GM202" i="3"/>
  <c r="GM203" i="3"/>
  <c r="GM204" i="3"/>
  <c r="GM205" i="3"/>
  <c r="GM206" i="3"/>
  <c r="GM207" i="3"/>
  <c r="GM208" i="3"/>
  <c r="GM209" i="3"/>
  <c r="GM210" i="3"/>
  <c r="GM211" i="3"/>
  <c r="GM212" i="3"/>
  <c r="GM213" i="3"/>
  <c r="GM214" i="3"/>
  <c r="GM215" i="3"/>
  <c r="GM216" i="3"/>
  <c r="GM217" i="3"/>
  <c r="GM218" i="3"/>
  <c r="GM219" i="3"/>
  <c r="GM220" i="3"/>
  <c r="GM221" i="3"/>
  <c r="GM222" i="3"/>
  <c r="GM223" i="3"/>
  <c r="GM224" i="3"/>
  <c r="GM225" i="3"/>
  <c r="GM226" i="3"/>
  <c r="GM227" i="3"/>
  <c r="GM228" i="3"/>
  <c r="GM229" i="3"/>
  <c r="GM230" i="3"/>
  <c r="GM231" i="3"/>
  <c r="GM232" i="3"/>
  <c r="GM233" i="3"/>
  <c r="GM234" i="3"/>
  <c r="GM235" i="3"/>
  <c r="GM236" i="3"/>
  <c r="GM237" i="3"/>
  <c r="GM238" i="3"/>
  <c r="GM239" i="3"/>
  <c r="GM240" i="3"/>
  <c r="GM241" i="3"/>
  <c r="GM242" i="3"/>
  <c r="GM243" i="3"/>
  <c r="GM244" i="3"/>
  <c r="GM245" i="3"/>
  <c r="GM246" i="3"/>
  <c r="GM247" i="3"/>
  <c r="GM248" i="3"/>
  <c r="GM249" i="3"/>
  <c r="GM250" i="3"/>
  <c r="GM251" i="3"/>
  <c r="GM252" i="3"/>
  <c r="GM253" i="3"/>
  <c r="GM254" i="3"/>
  <c r="GM255" i="3"/>
  <c r="GM256" i="3"/>
  <c r="GM257" i="3"/>
  <c r="GM258" i="3"/>
  <c r="GM259" i="3"/>
  <c r="GM260" i="3"/>
  <c r="GM261" i="3"/>
  <c r="GM262" i="3"/>
  <c r="GM263" i="3"/>
  <c r="GM264" i="3"/>
  <c r="GM265" i="3"/>
  <c r="GM266" i="3"/>
  <c r="GM267" i="3"/>
  <c r="GM268" i="3"/>
  <c r="GM269" i="3"/>
  <c r="GM270" i="3"/>
  <c r="GM271" i="3"/>
  <c r="GM272" i="3"/>
  <c r="GM273" i="3"/>
  <c r="GM274" i="3"/>
  <c r="GM275" i="3"/>
  <c r="GM276" i="3"/>
  <c r="GM277" i="3"/>
  <c r="GM278" i="3"/>
  <c r="GM279" i="3"/>
  <c r="GM280" i="3"/>
  <c r="GM281" i="3"/>
  <c r="GM282" i="3"/>
  <c r="GM283" i="3"/>
  <c r="GM284" i="3"/>
  <c r="GM285" i="3"/>
  <c r="GM286" i="3"/>
  <c r="GM287" i="3"/>
  <c r="GM288" i="3"/>
  <c r="GM289" i="3"/>
  <c r="GM290" i="3"/>
  <c r="GM291" i="3"/>
  <c r="GM292" i="3"/>
  <c r="GM293" i="3"/>
  <c r="GM294" i="3"/>
  <c r="GM295" i="3"/>
  <c r="GM296" i="3"/>
  <c r="GM297" i="3"/>
  <c r="GM298" i="3"/>
  <c r="GM299" i="3"/>
  <c r="GM300" i="3"/>
  <c r="GM301" i="3"/>
  <c r="GM302" i="3"/>
  <c r="GM303" i="3"/>
  <c r="GM304" i="3"/>
  <c r="GM305" i="3"/>
  <c r="GM306" i="3"/>
  <c r="GM307" i="3"/>
  <c r="GM308" i="3"/>
  <c r="GM309" i="3"/>
  <c r="GM310" i="3"/>
  <c r="GM311" i="3"/>
  <c r="GM312" i="3"/>
  <c r="GM313" i="3"/>
  <c r="GM314" i="3"/>
  <c r="GM315" i="3"/>
  <c r="GM316" i="3"/>
  <c r="GM317" i="3"/>
  <c r="GM318" i="3"/>
  <c r="GM319" i="3"/>
  <c r="GM320" i="3"/>
  <c r="GM321" i="3"/>
  <c r="GM322" i="3"/>
  <c r="GM323" i="3"/>
  <c r="GM324" i="3"/>
  <c r="GM325" i="3"/>
  <c r="GM326" i="3"/>
  <c r="GM327" i="3"/>
  <c r="GM328" i="3"/>
  <c r="GM329" i="3"/>
  <c r="GM330" i="3"/>
  <c r="GM331" i="3"/>
  <c r="GM332" i="3"/>
  <c r="GM333" i="3"/>
  <c r="GM334" i="3"/>
  <c r="GM335" i="3"/>
  <c r="GM336" i="3"/>
  <c r="GM337" i="3"/>
  <c r="GM338" i="3"/>
  <c r="GM339" i="3"/>
  <c r="GM340" i="3"/>
  <c r="GM341" i="3"/>
  <c r="GM342" i="3"/>
  <c r="GM343" i="3"/>
  <c r="GM344" i="3"/>
  <c r="GM345" i="3"/>
  <c r="GM346" i="3"/>
  <c r="GM347" i="3"/>
  <c r="GM348" i="3"/>
  <c r="GM349" i="3"/>
  <c r="GM350" i="3"/>
  <c r="GM351" i="3"/>
  <c r="GM352" i="3"/>
  <c r="GM353" i="3"/>
  <c r="GM354" i="3"/>
  <c r="GM355" i="3"/>
  <c r="GM356" i="3"/>
  <c r="GM357" i="3"/>
  <c r="GM358" i="3"/>
  <c r="GM359" i="3"/>
  <c r="GM360" i="3"/>
  <c r="GM361" i="3"/>
  <c r="GM362" i="3"/>
  <c r="GM363" i="3"/>
  <c r="GM364" i="3"/>
  <c r="GM365" i="3"/>
  <c r="GM366" i="3"/>
  <c r="GM367" i="3"/>
  <c r="GM368" i="3"/>
  <c r="GM369" i="3"/>
  <c r="GM370" i="3"/>
  <c r="GM371" i="3"/>
  <c r="GM372" i="3"/>
  <c r="GM373" i="3"/>
  <c r="GM374" i="3"/>
  <c r="GM375" i="3"/>
  <c r="GM376" i="3"/>
  <c r="GM377" i="3"/>
  <c r="GM378" i="3"/>
  <c r="GM379" i="3"/>
  <c r="GM380" i="3"/>
  <c r="GM381" i="3"/>
  <c r="GM382" i="3"/>
  <c r="GM383" i="3"/>
  <c r="GM384" i="3"/>
  <c r="GM385" i="3"/>
  <c r="GM386" i="3"/>
  <c r="GM387" i="3"/>
  <c r="GM388" i="3"/>
  <c r="GM389" i="3"/>
  <c r="GM390" i="3"/>
  <c r="GM391" i="3"/>
  <c r="GM392" i="3"/>
  <c r="GM393" i="3"/>
  <c r="GM394" i="3"/>
  <c r="GM395" i="3"/>
  <c r="GM396" i="3"/>
  <c r="GM397" i="3"/>
  <c r="GM398" i="3"/>
  <c r="GM399" i="3"/>
  <c r="GM400" i="3"/>
  <c r="GM401" i="3"/>
  <c r="GM402" i="3"/>
  <c r="GM403" i="3"/>
  <c r="GM404" i="3"/>
  <c r="GM405" i="3"/>
  <c r="GM406" i="3"/>
  <c r="GM407" i="3"/>
  <c r="GM408" i="3"/>
  <c r="GM409" i="3"/>
  <c r="GM410" i="3"/>
  <c r="GM411" i="3"/>
  <c r="GM412" i="3"/>
  <c r="GM413" i="3"/>
  <c r="GM414" i="3"/>
  <c r="GM415" i="3"/>
  <c r="GM416" i="3"/>
  <c r="GM417" i="3"/>
  <c r="GM418" i="3"/>
  <c r="GM419" i="3"/>
  <c r="GM420" i="3"/>
  <c r="GM421" i="3"/>
  <c r="GM422" i="3"/>
  <c r="GM423" i="3"/>
  <c r="GM424" i="3"/>
  <c r="GM425" i="3"/>
  <c r="GM426" i="3"/>
  <c r="GM427" i="3"/>
  <c r="GM428" i="3"/>
  <c r="GM429" i="3"/>
  <c r="GM430" i="3"/>
  <c r="GM431" i="3"/>
  <c r="GM432" i="3"/>
  <c r="GM433" i="3"/>
  <c r="GM434" i="3"/>
  <c r="GM435" i="3"/>
  <c r="GM436" i="3"/>
  <c r="GM437" i="3"/>
  <c r="GM438" i="3"/>
  <c r="GM439" i="3"/>
  <c r="GM440" i="3"/>
  <c r="GM441" i="3"/>
  <c r="GM442" i="3"/>
  <c r="GM443" i="3"/>
  <c r="GM444" i="3"/>
  <c r="GM445" i="3"/>
  <c r="GM446" i="3"/>
  <c r="GM447" i="3"/>
  <c r="GM448" i="3"/>
  <c r="GM449" i="3"/>
  <c r="GM450" i="3"/>
  <c r="GM451" i="3"/>
  <c r="GM452" i="3"/>
  <c r="GM453" i="3"/>
  <c r="GM454" i="3"/>
  <c r="GM455" i="3"/>
  <c r="GM456" i="3"/>
  <c r="GM457" i="3"/>
  <c r="GM458" i="3"/>
  <c r="GM459" i="3"/>
  <c r="GM460" i="3"/>
  <c r="GM461" i="3"/>
  <c r="GM462" i="3"/>
  <c r="GM463" i="3"/>
  <c r="GM464" i="3"/>
  <c r="GM465" i="3"/>
  <c r="GM466" i="3"/>
  <c r="GM467" i="3"/>
  <c r="GM468" i="3"/>
  <c r="GM469" i="3"/>
  <c r="GM470" i="3"/>
  <c r="GM471" i="3"/>
  <c r="GM472" i="3"/>
  <c r="GM473" i="3"/>
  <c r="GM474" i="3"/>
  <c r="GM475" i="3"/>
  <c r="GM476" i="3"/>
  <c r="GM477" i="3"/>
  <c r="GM478" i="3"/>
  <c r="GM479" i="3"/>
  <c r="GM480" i="3"/>
  <c r="GM481" i="3"/>
  <c r="GM482" i="3"/>
  <c r="GM483" i="3"/>
  <c r="GM484" i="3"/>
  <c r="GM485" i="3"/>
  <c r="GM486" i="3"/>
  <c r="GM487" i="3"/>
  <c r="GM488" i="3"/>
  <c r="GM489" i="3"/>
  <c r="GM490" i="3"/>
  <c r="GM491" i="3"/>
  <c r="GM492" i="3"/>
  <c r="GM493" i="3"/>
  <c r="GM494" i="3"/>
  <c r="GM495" i="3"/>
  <c r="GM496" i="3"/>
  <c r="GM497" i="3"/>
  <c r="GM498" i="3"/>
  <c r="GM499" i="3"/>
  <c r="GM500" i="3"/>
  <c r="GM501" i="3"/>
  <c r="GM502" i="3"/>
  <c r="GM503" i="3"/>
  <c r="GM504" i="3"/>
  <c r="GM505" i="3"/>
  <c r="GM506" i="3"/>
  <c r="GM507" i="3"/>
  <c r="GM508" i="3"/>
  <c r="GM509" i="3"/>
  <c r="GM510" i="3"/>
  <c r="GM511" i="3"/>
  <c r="GM512" i="3"/>
  <c r="GM513" i="3"/>
  <c r="GM514" i="3"/>
  <c r="GM515" i="3"/>
  <c r="GM516" i="3"/>
  <c r="GM517" i="3"/>
  <c r="GM518" i="3"/>
  <c r="GM519" i="3"/>
  <c r="GM520" i="3"/>
  <c r="GM521" i="3"/>
  <c r="GM522" i="3"/>
  <c r="GM523" i="3"/>
  <c r="GM524" i="3"/>
  <c r="GM525" i="3"/>
  <c r="GM526" i="3"/>
  <c r="GM527" i="3"/>
  <c r="GM528" i="3"/>
  <c r="GM529" i="3"/>
  <c r="GM530" i="3"/>
  <c r="GM531" i="3"/>
  <c r="GM532" i="3"/>
  <c r="GM533" i="3"/>
  <c r="GM534" i="3"/>
  <c r="GM535" i="3"/>
  <c r="GM536" i="3"/>
  <c r="GM537" i="3"/>
  <c r="GM538" i="3"/>
  <c r="GM539" i="3"/>
  <c r="GM540" i="3"/>
  <c r="GM541" i="3"/>
  <c r="GM542" i="3"/>
  <c r="GM543" i="3"/>
  <c r="GM544" i="3"/>
  <c r="GM545" i="3"/>
  <c r="GM546" i="3"/>
  <c r="GM547" i="3"/>
  <c r="GM548" i="3"/>
  <c r="GM549" i="3"/>
  <c r="GM550" i="3"/>
  <c r="GM551" i="3"/>
  <c r="GM552" i="3"/>
  <c r="GM553" i="3"/>
  <c r="GM554" i="3"/>
  <c r="GM555" i="3"/>
  <c r="GM556" i="3"/>
  <c r="GM557" i="3"/>
  <c r="GM558" i="3"/>
  <c r="GM559" i="3"/>
  <c r="GM560" i="3"/>
  <c r="GM561" i="3"/>
  <c r="GM562" i="3"/>
  <c r="GM563" i="3"/>
  <c r="GM564" i="3"/>
  <c r="GM565" i="3"/>
  <c r="GM566" i="3"/>
  <c r="GM567" i="3"/>
  <c r="GM568" i="3"/>
  <c r="GM569" i="3"/>
  <c r="GM570" i="3"/>
  <c r="GM571" i="3"/>
  <c r="GM572" i="3"/>
  <c r="GM573" i="3"/>
  <c r="GM574" i="3"/>
  <c r="GM575" i="3"/>
  <c r="GM576" i="3"/>
  <c r="GM577" i="3"/>
  <c r="GM578" i="3"/>
  <c r="GM579" i="3"/>
  <c r="GM580" i="3"/>
  <c r="GM581" i="3"/>
  <c r="GM582" i="3"/>
  <c r="GM583" i="3"/>
  <c r="GM584" i="3"/>
  <c r="GM585" i="3"/>
  <c r="GM586" i="3"/>
  <c r="GM587" i="3"/>
  <c r="GM588" i="3"/>
  <c r="GM589" i="3"/>
  <c r="GM590" i="3"/>
  <c r="GM591" i="3"/>
  <c r="GM592" i="3"/>
  <c r="GM593" i="3"/>
  <c r="GM594" i="3"/>
  <c r="GM595" i="3"/>
  <c r="GM596" i="3"/>
  <c r="GM597" i="3"/>
  <c r="GM598" i="3"/>
  <c r="GM599" i="3"/>
  <c r="GM600" i="3"/>
  <c r="GN9" i="3"/>
  <c r="GN10" i="3"/>
  <c r="GN11" i="3"/>
  <c r="GN12" i="3"/>
  <c r="GN13" i="3"/>
  <c r="GN14" i="3"/>
  <c r="GN15" i="3"/>
  <c r="GN16" i="3"/>
  <c r="GN17" i="3"/>
  <c r="GN18" i="3"/>
  <c r="GN19" i="3"/>
  <c r="GN20" i="3"/>
  <c r="GN21" i="3"/>
  <c r="GN22" i="3"/>
  <c r="GN23" i="3"/>
  <c r="GN24" i="3"/>
  <c r="GN25" i="3"/>
  <c r="GN26" i="3"/>
  <c r="GN27" i="3"/>
  <c r="GN28" i="3"/>
  <c r="GN29" i="3"/>
  <c r="GN30" i="3"/>
  <c r="GN31" i="3"/>
  <c r="GN32" i="3"/>
  <c r="GN33" i="3"/>
  <c r="GN34" i="3"/>
  <c r="GN35" i="3"/>
  <c r="GN36" i="3"/>
  <c r="GN37" i="3"/>
  <c r="GN38" i="3"/>
  <c r="GN39" i="3"/>
  <c r="GN40" i="3"/>
  <c r="GN41" i="3"/>
  <c r="GN42" i="3"/>
  <c r="GN43" i="3"/>
  <c r="GN44" i="3"/>
  <c r="GN45" i="3"/>
  <c r="GN46" i="3"/>
  <c r="GN47" i="3"/>
  <c r="GN48" i="3"/>
  <c r="GN49" i="3"/>
  <c r="GN50" i="3"/>
  <c r="GN51" i="3"/>
  <c r="GN52" i="3"/>
  <c r="GN53" i="3"/>
  <c r="GN54" i="3"/>
  <c r="GN55" i="3"/>
  <c r="GN56" i="3"/>
  <c r="GN57" i="3"/>
  <c r="GN58" i="3"/>
  <c r="GN59" i="3"/>
  <c r="GN60" i="3"/>
  <c r="GN61" i="3"/>
  <c r="GN62" i="3"/>
  <c r="GN63" i="3"/>
  <c r="GN64" i="3"/>
  <c r="GN65" i="3"/>
  <c r="GN66" i="3"/>
  <c r="GN67" i="3"/>
  <c r="GN68" i="3"/>
  <c r="GN69" i="3"/>
  <c r="GN70" i="3"/>
  <c r="GN71" i="3"/>
  <c r="GN72" i="3"/>
  <c r="GN73" i="3"/>
  <c r="GN74" i="3"/>
  <c r="GN75" i="3"/>
  <c r="GN76" i="3"/>
  <c r="GN77" i="3"/>
  <c r="GN78" i="3"/>
  <c r="GN79" i="3"/>
  <c r="GN80" i="3"/>
  <c r="GN81" i="3"/>
  <c r="GN82" i="3"/>
  <c r="GN83" i="3"/>
  <c r="GN84" i="3"/>
  <c r="GN85" i="3"/>
  <c r="GN86" i="3"/>
  <c r="GN87" i="3"/>
  <c r="GN88" i="3"/>
  <c r="GN89" i="3"/>
  <c r="GN90" i="3"/>
  <c r="GN91" i="3"/>
  <c r="GN92" i="3"/>
  <c r="GN93" i="3"/>
  <c r="GN94" i="3"/>
  <c r="GN95" i="3"/>
  <c r="GN96" i="3"/>
  <c r="GN97" i="3"/>
  <c r="GN98" i="3"/>
  <c r="GN99" i="3"/>
  <c r="GN100" i="3"/>
  <c r="GN101" i="3"/>
  <c r="GN102" i="3"/>
  <c r="GN103" i="3"/>
  <c r="GN104" i="3"/>
  <c r="GN105" i="3"/>
  <c r="GN106" i="3"/>
  <c r="GN107" i="3"/>
  <c r="GN108" i="3"/>
  <c r="GN109" i="3"/>
  <c r="GN110" i="3"/>
  <c r="GN111" i="3"/>
  <c r="GN112" i="3"/>
  <c r="GN113" i="3"/>
  <c r="GN114" i="3"/>
  <c r="GN115" i="3"/>
  <c r="GN116" i="3"/>
  <c r="GN117" i="3"/>
  <c r="GN118" i="3"/>
  <c r="GN119" i="3"/>
  <c r="GN120" i="3"/>
  <c r="GN121" i="3"/>
  <c r="GN122" i="3"/>
  <c r="GN123" i="3"/>
  <c r="GN124" i="3"/>
  <c r="GN125" i="3"/>
  <c r="GN126" i="3"/>
  <c r="GN127" i="3"/>
  <c r="GN128" i="3"/>
  <c r="GN129" i="3"/>
  <c r="GN130" i="3"/>
  <c r="GN131" i="3"/>
  <c r="GN132" i="3"/>
  <c r="GN133" i="3"/>
  <c r="GN134" i="3"/>
  <c r="GN135" i="3"/>
  <c r="GN136" i="3"/>
  <c r="GN137" i="3"/>
  <c r="GN138" i="3"/>
  <c r="GN139" i="3"/>
  <c r="GN140" i="3"/>
  <c r="GN141" i="3"/>
  <c r="GN142" i="3"/>
  <c r="GN143" i="3"/>
  <c r="GN144" i="3"/>
  <c r="GN145" i="3"/>
  <c r="GN146" i="3"/>
  <c r="GN147" i="3"/>
  <c r="GN148" i="3"/>
  <c r="GN149" i="3"/>
  <c r="GN150" i="3"/>
  <c r="GN151" i="3"/>
  <c r="GN152" i="3"/>
  <c r="GN153" i="3"/>
  <c r="GN154" i="3"/>
  <c r="GN155" i="3"/>
  <c r="GN156" i="3"/>
  <c r="GN157" i="3"/>
  <c r="GN158" i="3"/>
  <c r="GN159" i="3"/>
  <c r="GN160" i="3"/>
  <c r="GN161" i="3"/>
  <c r="GN162" i="3"/>
  <c r="GN163" i="3"/>
  <c r="GN164" i="3"/>
  <c r="GN165" i="3"/>
  <c r="GN166" i="3"/>
  <c r="GN167" i="3"/>
  <c r="GN168" i="3"/>
  <c r="GN169" i="3"/>
  <c r="GN170" i="3"/>
  <c r="GN171" i="3"/>
  <c r="GN172" i="3"/>
  <c r="GN173" i="3"/>
  <c r="GN174" i="3"/>
  <c r="GN175" i="3"/>
  <c r="GN176" i="3"/>
  <c r="GN177" i="3"/>
  <c r="GN178" i="3"/>
  <c r="GN179" i="3"/>
  <c r="GN180" i="3"/>
  <c r="GN181" i="3"/>
  <c r="GN182" i="3"/>
  <c r="GN183" i="3"/>
  <c r="GN184" i="3"/>
  <c r="GN185" i="3"/>
  <c r="GN186" i="3"/>
  <c r="GN187" i="3"/>
  <c r="GN188" i="3"/>
  <c r="GN189" i="3"/>
  <c r="GN190" i="3"/>
  <c r="GN191" i="3"/>
  <c r="GN192" i="3"/>
  <c r="GN193" i="3"/>
  <c r="GN194" i="3"/>
  <c r="GN195" i="3"/>
  <c r="GN196" i="3"/>
  <c r="GN197" i="3"/>
  <c r="GN198" i="3"/>
  <c r="GN199" i="3"/>
  <c r="GN200" i="3"/>
  <c r="GN201" i="3"/>
  <c r="GN202" i="3"/>
  <c r="GN203" i="3"/>
  <c r="GN204" i="3"/>
  <c r="GN205" i="3"/>
  <c r="GN206" i="3"/>
  <c r="GN207" i="3"/>
  <c r="GN208" i="3"/>
  <c r="GN209" i="3"/>
  <c r="GN210" i="3"/>
  <c r="GN211" i="3"/>
  <c r="GN212" i="3"/>
  <c r="GN213" i="3"/>
  <c r="GN214" i="3"/>
  <c r="GN215" i="3"/>
  <c r="GN216" i="3"/>
  <c r="GN217" i="3"/>
  <c r="GN218" i="3"/>
  <c r="GN219" i="3"/>
  <c r="GN220" i="3"/>
  <c r="GN221" i="3"/>
  <c r="GN222" i="3"/>
  <c r="GN223" i="3"/>
  <c r="GN224" i="3"/>
  <c r="GN225" i="3"/>
  <c r="GN226" i="3"/>
  <c r="GN227" i="3"/>
  <c r="GN228" i="3"/>
  <c r="GN229" i="3"/>
  <c r="GN230" i="3"/>
  <c r="GN231" i="3"/>
  <c r="GN232" i="3"/>
  <c r="GN233" i="3"/>
  <c r="GN234" i="3"/>
  <c r="GN235" i="3"/>
  <c r="GN236" i="3"/>
  <c r="GN237" i="3"/>
  <c r="GN238" i="3"/>
  <c r="GN239" i="3"/>
  <c r="GN240" i="3"/>
  <c r="GN241" i="3"/>
  <c r="GN242" i="3"/>
  <c r="GN243" i="3"/>
  <c r="GN244" i="3"/>
  <c r="GN245" i="3"/>
  <c r="GN246" i="3"/>
  <c r="GN247" i="3"/>
  <c r="GN248" i="3"/>
  <c r="GN249" i="3"/>
  <c r="GN250" i="3"/>
  <c r="GN251" i="3"/>
  <c r="GN252" i="3"/>
  <c r="GN253" i="3"/>
  <c r="GN254" i="3"/>
  <c r="GN255" i="3"/>
  <c r="GN256" i="3"/>
  <c r="GN257" i="3"/>
  <c r="GN258" i="3"/>
  <c r="GN259" i="3"/>
  <c r="GN260" i="3"/>
  <c r="GN261" i="3"/>
  <c r="GN262" i="3"/>
  <c r="GN263" i="3"/>
  <c r="GN264" i="3"/>
  <c r="GN265" i="3"/>
  <c r="GN266" i="3"/>
  <c r="GN267" i="3"/>
  <c r="GN268" i="3"/>
  <c r="GN269" i="3"/>
  <c r="GN270" i="3"/>
  <c r="GN271" i="3"/>
  <c r="GN272" i="3"/>
  <c r="GN273" i="3"/>
  <c r="GN274" i="3"/>
  <c r="GN275" i="3"/>
  <c r="GN276" i="3"/>
  <c r="GN277" i="3"/>
  <c r="GN278" i="3"/>
  <c r="GN279" i="3"/>
  <c r="GN280" i="3"/>
  <c r="GN281" i="3"/>
  <c r="GN282" i="3"/>
  <c r="GN283" i="3"/>
  <c r="GN284" i="3"/>
  <c r="GN285" i="3"/>
  <c r="GN286" i="3"/>
  <c r="GN287" i="3"/>
  <c r="GN288" i="3"/>
  <c r="GN289" i="3"/>
  <c r="GN290" i="3"/>
  <c r="GN291" i="3"/>
  <c r="GN292" i="3"/>
  <c r="GN293" i="3"/>
  <c r="GN294" i="3"/>
  <c r="GN295" i="3"/>
  <c r="GN296" i="3"/>
  <c r="GN297" i="3"/>
  <c r="GN298" i="3"/>
  <c r="GN299" i="3"/>
  <c r="GN300" i="3"/>
  <c r="GN301" i="3"/>
  <c r="GN302" i="3"/>
  <c r="GN303" i="3"/>
  <c r="GN304" i="3"/>
  <c r="GN305" i="3"/>
  <c r="GN306" i="3"/>
  <c r="GN307" i="3"/>
  <c r="GN308" i="3"/>
  <c r="GN309" i="3"/>
  <c r="GN310" i="3"/>
  <c r="GN311" i="3"/>
  <c r="GN312" i="3"/>
  <c r="GN313" i="3"/>
  <c r="GN314" i="3"/>
  <c r="GN315" i="3"/>
  <c r="GN316" i="3"/>
  <c r="GN317" i="3"/>
  <c r="GN318" i="3"/>
  <c r="GN319" i="3"/>
  <c r="GN320" i="3"/>
  <c r="GN321" i="3"/>
  <c r="GN322" i="3"/>
  <c r="GN323" i="3"/>
  <c r="GN324" i="3"/>
  <c r="GN325" i="3"/>
  <c r="GN326" i="3"/>
  <c r="GN327" i="3"/>
  <c r="GN328" i="3"/>
  <c r="GN329" i="3"/>
  <c r="GN330" i="3"/>
  <c r="GN331" i="3"/>
  <c r="GN332" i="3"/>
  <c r="GN333" i="3"/>
  <c r="GN334" i="3"/>
  <c r="GN335" i="3"/>
  <c r="GN336" i="3"/>
  <c r="GN337" i="3"/>
  <c r="GN338" i="3"/>
  <c r="GN339" i="3"/>
  <c r="GN340" i="3"/>
  <c r="GN341" i="3"/>
  <c r="GN342" i="3"/>
  <c r="GN343" i="3"/>
  <c r="GN344" i="3"/>
  <c r="GN345" i="3"/>
  <c r="GN346" i="3"/>
  <c r="GN347" i="3"/>
  <c r="GN348" i="3"/>
  <c r="GN349" i="3"/>
  <c r="GN350" i="3"/>
  <c r="GN351" i="3"/>
  <c r="GN352" i="3"/>
  <c r="GN353" i="3"/>
  <c r="GN354" i="3"/>
  <c r="GN355" i="3"/>
  <c r="GN356" i="3"/>
  <c r="GN357" i="3"/>
  <c r="GN358" i="3"/>
  <c r="GN359" i="3"/>
  <c r="GN360" i="3"/>
  <c r="GN361" i="3"/>
  <c r="GN362" i="3"/>
  <c r="GN363" i="3"/>
  <c r="GN364" i="3"/>
  <c r="GN365" i="3"/>
  <c r="GN366" i="3"/>
  <c r="GN367" i="3"/>
  <c r="GN368" i="3"/>
  <c r="GN369" i="3"/>
  <c r="GN370" i="3"/>
  <c r="GN371" i="3"/>
  <c r="GN372" i="3"/>
  <c r="GN373" i="3"/>
  <c r="GN374" i="3"/>
  <c r="GN375" i="3"/>
  <c r="GN376" i="3"/>
  <c r="GN377" i="3"/>
  <c r="GN378" i="3"/>
  <c r="GN379" i="3"/>
  <c r="GN380" i="3"/>
  <c r="GN381" i="3"/>
  <c r="GN382" i="3"/>
  <c r="GN383" i="3"/>
  <c r="GN384" i="3"/>
  <c r="GN385" i="3"/>
  <c r="GN386" i="3"/>
  <c r="GN387" i="3"/>
  <c r="GN388" i="3"/>
  <c r="GN389" i="3"/>
  <c r="GN390" i="3"/>
  <c r="GN391" i="3"/>
  <c r="GN392" i="3"/>
  <c r="GN393" i="3"/>
  <c r="GN394" i="3"/>
  <c r="GN395" i="3"/>
  <c r="GN396" i="3"/>
  <c r="GN397" i="3"/>
  <c r="GN398" i="3"/>
  <c r="GN399" i="3"/>
  <c r="GN400" i="3"/>
  <c r="GN401" i="3"/>
  <c r="GN402" i="3"/>
  <c r="GN403" i="3"/>
  <c r="GN404" i="3"/>
  <c r="GN405" i="3"/>
  <c r="GN406" i="3"/>
  <c r="GN407" i="3"/>
  <c r="GN408" i="3"/>
  <c r="GN409" i="3"/>
  <c r="GN410" i="3"/>
  <c r="GN411" i="3"/>
  <c r="GN412" i="3"/>
  <c r="GN413" i="3"/>
  <c r="GN414" i="3"/>
  <c r="GN415" i="3"/>
  <c r="GN416" i="3"/>
  <c r="GN417" i="3"/>
  <c r="GN418" i="3"/>
  <c r="GN419" i="3"/>
  <c r="GN420" i="3"/>
  <c r="GN421" i="3"/>
  <c r="GN422" i="3"/>
  <c r="GN423" i="3"/>
  <c r="GN424" i="3"/>
  <c r="GN425" i="3"/>
  <c r="GN426" i="3"/>
  <c r="GN427" i="3"/>
  <c r="GN428" i="3"/>
  <c r="GN429" i="3"/>
  <c r="GN430" i="3"/>
  <c r="GN431" i="3"/>
  <c r="GN432" i="3"/>
  <c r="GN433" i="3"/>
  <c r="GN434" i="3"/>
  <c r="GN435" i="3"/>
  <c r="GN436" i="3"/>
  <c r="GN437" i="3"/>
  <c r="GN438" i="3"/>
  <c r="GN439" i="3"/>
  <c r="GN440" i="3"/>
  <c r="GN441" i="3"/>
  <c r="GN442" i="3"/>
  <c r="GN443" i="3"/>
  <c r="GN444" i="3"/>
  <c r="GN445" i="3"/>
  <c r="GN446" i="3"/>
  <c r="GN447" i="3"/>
  <c r="GN448" i="3"/>
  <c r="GN449" i="3"/>
  <c r="GN450" i="3"/>
  <c r="GN451" i="3"/>
  <c r="GN452" i="3"/>
  <c r="GN453" i="3"/>
  <c r="GN454" i="3"/>
  <c r="GN455" i="3"/>
  <c r="GN456" i="3"/>
  <c r="GN457" i="3"/>
  <c r="GN458" i="3"/>
  <c r="GN459" i="3"/>
  <c r="GN460" i="3"/>
  <c r="GN461" i="3"/>
  <c r="GN462" i="3"/>
  <c r="GN463" i="3"/>
  <c r="GN464" i="3"/>
  <c r="GN465" i="3"/>
  <c r="GN466" i="3"/>
  <c r="GN467" i="3"/>
  <c r="GN468" i="3"/>
  <c r="GN469" i="3"/>
  <c r="GN470" i="3"/>
  <c r="GN471" i="3"/>
  <c r="GN472" i="3"/>
  <c r="GN473" i="3"/>
  <c r="GN474" i="3"/>
  <c r="GN475" i="3"/>
  <c r="GN476" i="3"/>
  <c r="GN477" i="3"/>
  <c r="GN478" i="3"/>
  <c r="GN479" i="3"/>
  <c r="GN480" i="3"/>
  <c r="GN481" i="3"/>
  <c r="GN482" i="3"/>
  <c r="GN483" i="3"/>
  <c r="GN484" i="3"/>
  <c r="GN485" i="3"/>
  <c r="GN486" i="3"/>
  <c r="GN487" i="3"/>
  <c r="GN488" i="3"/>
  <c r="GN489" i="3"/>
  <c r="GN490" i="3"/>
  <c r="GN491" i="3"/>
  <c r="GN492" i="3"/>
  <c r="GN493" i="3"/>
  <c r="GN494" i="3"/>
  <c r="GN495" i="3"/>
  <c r="GN496" i="3"/>
  <c r="GN497" i="3"/>
  <c r="GN498" i="3"/>
  <c r="GN499" i="3"/>
  <c r="GN500" i="3"/>
  <c r="GN501" i="3"/>
  <c r="GN502" i="3"/>
  <c r="GN503" i="3"/>
  <c r="GN504" i="3"/>
  <c r="GN505" i="3"/>
  <c r="GN506" i="3"/>
  <c r="GN507" i="3"/>
  <c r="GN508" i="3"/>
  <c r="GN509" i="3"/>
  <c r="GN510" i="3"/>
  <c r="GN511" i="3"/>
  <c r="GN512" i="3"/>
  <c r="GN513" i="3"/>
  <c r="GN514" i="3"/>
  <c r="GN515" i="3"/>
  <c r="GN516" i="3"/>
  <c r="GN517" i="3"/>
  <c r="GN518" i="3"/>
  <c r="GN519" i="3"/>
  <c r="GN520" i="3"/>
  <c r="GN521" i="3"/>
  <c r="GN522" i="3"/>
  <c r="GN523" i="3"/>
  <c r="GN524" i="3"/>
  <c r="GN525" i="3"/>
  <c r="GN526" i="3"/>
  <c r="GN527" i="3"/>
  <c r="GN528" i="3"/>
  <c r="GN529" i="3"/>
  <c r="GN530" i="3"/>
  <c r="GN531" i="3"/>
  <c r="GN532" i="3"/>
  <c r="GN533" i="3"/>
  <c r="GN534" i="3"/>
  <c r="GN535" i="3"/>
  <c r="GN536" i="3"/>
  <c r="GN537" i="3"/>
  <c r="GN538" i="3"/>
  <c r="GN539" i="3"/>
  <c r="GN540" i="3"/>
  <c r="GN541" i="3"/>
  <c r="GN542" i="3"/>
  <c r="GN543" i="3"/>
  <c r="GN544" i="3"/>
  <c r="GN545" i="3"/>
  <c r="GN546" i="3"/>
  <c r="GN547" i="3"/>
  <c r="GN548" i="3"/>
  <c r="GN549" i="3"/>
  <c r="GN550" i="3"/>
  <c r="GN551" i="3"/>
  <c r="GN552" i="3"/>
  <c r="GN553" i="3"/>
  <c r="GN554" i="3"/>
  <c r="GN555" i="3"/>
  <c r="GN556" i="3"/>
  <c r="GN557" i="3"/>
  <c r="GN558" i="3"/>
  <c r="GN559" i="3"/>
  <c r="GN560" i="3"/>
  <c r="GN561" i="3"/>
  <c r="GN562" i="3"/>
  <c r="GN563" i="3"/>
  <c r="GN564" i="3"/>
  <c r="GN565" i="3"/>
  <c r="GN566" i="3"/>
  <c r="GN567" i="3"/>
  <c r="GN568" i="3"/>
  <c r="GN569" i="3"/>
  <c r="GN570" i="3"/>
  <c r="GN571" i="3"/>
  <c r="GN572" i="3"/>
  <c r="GN573" i="3"/>
  <c r="GN574" i="3"/>
  <c r="GN575" i="3"/>
  <c r="GN576" i="3"/>
  <c r="GN577" i="3"/>
  <c r="GN578" i="3"/>
  <c r="GN579" i="3"/>
  <c r="GN580" i="3"/>
  <c r="GN581" i="3"/>
  <c r="GN582" i="3"/>
  <c r="GN583" i="3"/>
  <c r="GN584" i="3"/>
  <c r="GN585" i="3"/>
  <c r="GN586" i="3"/>
  <c r="GN587" i="3"/>
  <c r="GN588" i="3"/>
  <c r="GN589" i="3"/>
  <c r="GN590" i="3"/>
  <c r="GN591" i="3"/>
  <c r="GN592" i="3"/>
  <c r="GN593" i="3"/>
  <c r="GN594" i="3"/>
  <c r="GN595" i="3"/>
  <c r="GN596" i="3"/>
  <c r="GN597" i="3"/>
  <c r="GN598" i="3"/>
  <c r="GN599" i="3"/>
  <c r="GN600" i="3"/>
  <c r="DP8" i="3"/>
  <c r="DQ8" i="3"/>
  <c r="DR8" i="3"/>
  <c r="DS8" i="3"/>
  <c r="DT8" i="3"/>
  <c r="DU8" i="3"/>
  <c r="DV8" i="3"/>
  <c r="DW8" i="3"/>
  <c r="DZ8" i="3"/>
  <c r="EA8" i="3"/>
  <c r="ED8" i="3"/>
  <c r="EF8" i="3"/>
  <c r="EH8" i="3"/>
  <c r="EI8" i="3" s="1"/>
  <c r="EJ8" i="3"/>
  <c r="EK8" i="3"/>
  <c r="EM8" i="3"/>
  <c r="EO8" i="3"/>
  <c r="EQ8" i="3"/>
  <c r="GE8" i="3"/>
  <c r="GF8" i="3"/>
  <c r="GG8" i="3"/>
  <c r="GH8" i="3"/>
  <c r="GI8" i="3"/>
  <c r="GJ8" i="3"/>
  <c r="GK8" i="3"/>
  <c r="GL8" i="3"/>
  <c r="GM8" i="3"/>
  <c r="GN8" i="3"/>
  <c r="DW3" i="3"/>
  <c r="DW4" i="3"/>
  <c r="DW5" i="3"/>
  <c r="DW6" i="3"/>
  <c r="DW7" i="3"/>
  <c r="DV3" i="3"/>
  <c r="DV4" i="3"/>
  <c r="DV5" i="3"/>
  <c r="DV6" i="3"/>
  <c r="DV7" i="3"/>
  <c r="DU3" i="3"/>
  <c r="DU4" i="3"/>
  <c r="DU5" i="3"/>
  <c r="DU6" i="3"/>
  <c r="DU7" i="3"/>
  <c r="DT3" i="3"/>
  <c r="DT4" i="3"/>
  <c r="DT5" i="3"/>
  <c r="DT6" i="3"/>
  <c r="DT7" i="3"/>
  <c r="DS3" i="3"/>
  <c r="DS4" i="3"/>
  <c r="DS5" i="3"/>
  <c r="DS6" i="3"/>
  <c r="DS7" i="3"/>
  <c r="DR3" i="3"/>
  <c r="DR4" i="3"/>
  <c r="DR5" i="3"/>
  <c r="DR6" i="3"/>
  <c r="DR7" i="3"/>
  <c r="DQ3" i="3"/>
  <c r="DQ4" i="3"/>
  <c r="DQ5" i="3"/>
  <c r="DQ6" i="3"/>
  <c r="DQ7" i="3"/>
  <c r="DP3" i="3"/>
  <c r="DP4" i="3"/>
  <c r="DP5" i="3"/>
  <c r="DP6" i="3"/>
  <c r="DP7" i="3"/>
  <c r="EP600" i="3" l="1"/>
  <c r="EP596" i="3"/>
  <c r="EP592" i="3"/>
  <c r="EP588" i="3"/>
  <c r="EP584" i="3"/>
  <c r="EP580" i="3"/>
  <c r="EP576" i="3"/>
  <c r="EP572" i="3"/>
  <c r="EP568" i="3"/>
  <c r="EP564" i="3"/>
  <c r="EP560" i="3"/>
  <c r="EP556" i="3"/>
  <c r="EP552" i="3"/>
  <c r="EP548" i="3"/>
  <c r="EP544" i="3"/>
  <c r="EP540" i="3"/>
  <c r="EP536" i="3"/>
  <c r="EP532" i="3"/>
  <c r="EP528" i="3"/>
  <c r="EP524" i="3"/>
  <c r="EP520" i="3"/>
  <c r="EP516" i="3"/>
  <c r="EP512" i="3"/>
  <c r="EP508" i="3"/>
  <c r="EP500" i="3"/>
  <c r="EP496" i="3"/>
  <c r="EP492" i="3"/>
  <c r="EP488" i="3"/>
  <c r="EP484" i="3"/>
  <c r="EP480" i="3"/>
  <c r="EP476" i="3"/>
  <c r="EP472" i="3"/>
  <c r="EP468" i="3"/>
  <c r="EP460" i="3"/>
  <c r="EP456" i="3"/>
  <c r="EP452" i="3"/>
  <c r="EP448" i="3"/>
  <c r="EP444" i="3"/>
  <c r="EP440" i="3"/>
  <c r="EP432" i="3"/>
  <c r="EP428" i="3"/>
  <c r="EP424" i="3"/>
  <c r="EP420" i="3"/>
  <c r="EP416" i="3"/>
  <c r="EP412" i="3"/>
  <c r="EP408" i="3"/>
  <c r="EP404" i="3"/>
  <c r="EP400" i="3"/>
  <c r="EP396" i="3"/>
  <c r="EP392" i="3"/>
  <c r="EP388" i="3"/>
  <c r="EP384" i="3"/>
  <c r="EP380" i="3"/>
  <c r="EP376" i="3"/>
  <c r="EP372" i="3"/>
  <c r="EP368" i="3"/>
  <c r="ES600" i="3"/>
  <c r="EV600" i="3"/>
  <c r="EW600" i="3"/>
  <c r="ES596" i="3"/>
  <c r="ET596" i="3"/>
  <c r="ES584" i="3"/>
  <c r="EV584" i="3"/>
  <c r="EW584" i="3"/>
  <c r="ES576" i="3"/>
  <c r="EV576" i="3"/>
  <c r="EV568" i="3"/>
  <c r="EW568" i="3"/>
  <c r="ES564" i="3"/>
  <c r="ET564" i="3"/>
  <c r="EV564" i="3"/>
  <c r="EV552" i="3"/>
  <c r="EW552" i="3"/>
  <c r="ES540" i="3"/>
  <c r="ET540" i="3"/>
  <c r="EV536" i="3"/>
  <c r="EW536" i="3"/>
  <c r="ES532" i="3"/>
  <c r="ET532" i="3"/>
  <c r="ER532" i="3"/>
  <c r="EV520" i="3"/>
  <c r="EW520" i="3"/>
  <c r="ES516" i="3"/>
  <c r="ET516" i="3"/>
  <c r="EU516" i="3"/>
  <c r="ES512" i="3"/>
  <c r="EV512" i="3"/>
  <c r="EV504" i="3"/>
  <c r="EW504" i="3"/>
  <c r="ES500" i="3"/>
  <c r="ET500" i="3"/>
  <c r="EU500" i="3"/>
  <c r="EV500" i="3"/>
  <c r="ES492" i="3"/>
  <c r="ET492" i="3"/>
  <c r="EU492" i="3"/>
  <c r="ES488" i="3"/>
  <c r="EV488" i="3"/>
  <c r="EW488" i="3"/>
  <c r="EU480" i="3"/>
  <c r="ET480" i="3"/>
  <c r="ES480" i="3"/>
  <c r="ET472" i="3"/>
  <c r="EV472" i="3"/>
  <c r="EW472" i="3"/>
  <c r="ES468" i="3"/>
  <c r="EU468" i="3"/>
  <c r="ES460" i="3"/>
  <c r="ET460" i="3"/>
  <c r="EV460" i="3"/>
  <c r="EU456" i="3"/>
  <c r="ET456" i="3"/>
  <c r="EV456" i="3"/>
  <c r="EW456" i="3"/>
  <c r="ES456" i="3"/>
  <c r="EU448" i="3"/>
  <c r="ET448" i="3"/>
  <c r="EV448" i="3"/>
  <c r="ES444" i="3"/>
  <c r="EV444" i="3"/>
  <c r="ET440" i="3"/>
  <c r="EW440" i="3"/>
  <c r="ES436" i="3"/>
  <c r="ER436" i="3"/>
  <c r="EU436" i="3"/>
  <c r="EV436" i="3"/>
  <c r="ES428" i="3"/>
  <c r="EV428" i="3"/>
  <c r="ET428" i="3"/>
  <c r="EU424" i="3"/>
  <c r="ET424" i="3"/>
  <c r="EW424" i="3"/>
  <c r="ES420" i="3"/>
  <c r="EV420" i="3"/>
  <c r="EW420" i="3"/>
  <c r="ET416" i="3"/>
  <c r="EU416" i="3"/>
  <c r="EV416" i="3"/>
  <c r="ES412" i="3"/>
  <c r="EV412" i="3"/>
  <c r="EU412" i="3"/>
  <c r="ES408" i="3"/>
  <c r="ET408" i="3"/>
  <c r="EU408" i="3"/>
  <c r="EW408" i="3"/>
  <c r="ES404" i="3"/>
  <c r="EV404" i="3"/>
  <c r="ES400" i="3"/>
  <c r="ET400" i="3"/>
  <c r="EU400" i="3"/>
  <c r="ES396" i="3"/>
  <c r="EV396" i="3"/>
  <c r="ET396" i="3"/>
  <c r="ET392" i="3"/>
  <c r="EU392" i="3"/>
  <c r="EW392" i="3"/>
  <c r="ES384" i="3"/>
  <c r="ET384" i="3"/>
  <c r="EU384" i="3"/>
  <c r="EV384" i="3"/>
  <c r="ES380" i="3"/>
  <c r="EV380" i="3"/>
  <c r="EU380" i="3"/>
  <c r="EW380" i="3"/>
  <c r="ET376" i="3"/>
  <c r="EU376" i="3"/>
  <c r="EW376" i="3"/>
  <c r="ET368" i="3"/>
  <c r="EU368" i="3"/>
  <c r="EW368" i="3"/>
  <c r="ES364" i="3"/>
  <c r="EV364" i="3"/>
  <c r="ET364" i="3"/>
  <c r="ER360" i="3"/>
  <c r="ES360" i="3"/>
  <c r="ET360" i="3"/>
  <c r="EU360" i="3"/>
  <c r="EW360" i="3"/>
  <c r="ES356" i="3"/>
  <c r="EV356" i="3"/>
  <c r="EW356" i="3"/>
  <c r="ET352" i="3"/>
  <c r="EU352" i="3"/>
  <c r="EV352" i="3"/>
  <c r="ES348" i="3"/>
  <c r="EV348" i="3"/>
  <c r="EU348" i="3"/>
  <c r="ES344" i="3"/>
  <c r="ET344" i="3"/>
  <c r="EU344" i="3"/>
  <c r="EW344" i="3"/>
  <c r="ES340" i="3"/>
  <c r="EV340" i="3"/>
  <c r="ES336" i="3"/>
  <c r="ET336" i="3"/>
  <c r="EU336" i="3"/>
  <c r="ES332" i="3"/>
  <c r="EV332" i="3"/>
  <c r="ET332" i="3"/>
  <c r="ET328" i="3"/>
  <c r="EU328" i="3"/>
  <c r="EW328" i="3"/>
  <c r="ES324" i="3"/>
  <c r="EV324" i="3"/>
  <c r="ES320" i="3"/>
  <c r="ET320" i="3"/>
  <c r="EU320" i="3"/>
  <c r="ES316" i="3"/>
  <c r="EU316" i="3"/>
  <c r="EW316" i="3"/>
  <c r="ES312" i="3"/>
  <c r="ET312" i="3"/>
  <c r="EU312" i="3"/>
  <c r="EW312" i="3"/>
  <c r="ES304" i="3"/>
  <c r="EU304" i="3"/>
  <c r="ET304" i="3"/>
  <c r="EW304" i="3"/>
  <c r="ES296" i="3"/>
  <c r="ER296" i="3"/>
  <c r="EU296" i="3"/>
  <c r="EW296" i="3"/>
  <c r="ET296" i="3"/>
  <c r="ES292" i="3"/>
  <c r="EW292" i="3"/>
  <c r="EU288" i="3"/>
  <c r="ET288" i="3"/>
  <c r="ES284" i="3"/>
  <c r="EU284" i="3"/>
  <c r="EU280" i="3"/>
  <c r="EW280" i="3"/>
  <c r="ET280" i="3"/>
  <c r="ES272" i="3"/>
  <c r="ET272" i="3"/>
  <c r="ES268" i="3"/>
  <c r="EU268" i="3"/>
  <c r="ES264" i="3"/>
  <c r="EW264" i="3"/>
  <c r="ET264" i="3"/>
  <c r="ES260" i="3"/>
  <c r="EU260" i="3"/>
  <c r="ES256" i="3"/>
  <c r="ET256" i="3"/>
  <c r="ES252" i="3"/>
  <c r="EU252" i="3"/>
  <c r="EW252" i="3"/>
  <c r="EW248" i="3"/>
  <c r="ET248" i="3"/>
  <c r="ES244" i="3"/>
  <c r="EU244" i="3"/>
  <c r="ES240" i="3"/>
  <c r="ER240" i="3"/>
  <c r="ET240" i="3"/>
  <c r="EW240" i="3"/>
  <c r="ES236" i="3"/>
  <c r="EU236" i="3"/>
  <c r="ES232" i="3"/>
  <c r="EW232" i="3"/>
  <c r="ET232" i="3"/>
  <c r="EU228" i="3"/>
  <c r="EW228" i="3"/>
  <c r="ES224" i="3"/>
  <c r="ET224" i="3"/>
  <c r="ES220" i="3"/>
  <c r="EU220" i="3"/>
  <c r="ES216" i="3"/>
  <c r="EW216" i="3"/>
  <c r="ET216" i="3"/>
  <c r="ES204" i="3"/>
  <c r="EU204" i="3"/>
  <c r="ES200" i="3"/>
  <c r="ER200" i="3"/>
  <c r="EW200" i="3"/>
  <c r="ET200" i="3"/>
  <c r="ES196" i="3"/>
  <c r="EU196" i="3"/>
  <c r="ES192" i="3"/>
  <c r="EV192" i="3"/>
  <c r="ET192" i="3"/>
  <c r="ES188" i="3"/>
  <c r="EU188" i="3"/>
  <c r="EW188" i="3"/>
  <c r="EV184" i="3"/>
  <c r="EW184" i="3"/>
  <c r="ET184" i="3"/>
  <c r="ES180" i="3"/>
  <c r="EU180" i="3"/>
  <c r="ER176" i="3"/>
  <c r="EV176" i="3"/>
  <c r="EW176" i="3"/>
  <c r="ES172" i="3"/>
  <c r="EU172" i="3"/>
  <c r="EV168" i="3"/>
  <c r="EW168" i="3"/>
  <c r="ET164" i="3"/>
  <c r="EU164" i="3"/>
  <c r="EV164" i="3"/>
  <c r="EW164" i="3"/>
  <c r="ES156" i="3"/>
  <c r="ET156" i="3"/>
  <c r="EU156" i="3"/>
  <c r="EV152" i="3"/>
  <c r="EW152" i="3"/>
  <c r="ES148" i="3"/>
  <c r="EU148" i="3"/>
  <c r="ES140" i="3"/>
  <c r="EU140" i="3"/>
  <c r="ET140" i="3"/>
  <c r="EV136" i="3"/>
  <c r="EW136" i="3"/>
  <c r="ES132" i="3"/>
  <c r="EU132" i="3"/>
  <c r="EV132" i="3"/>
  <c r="ES124" i="3"/>
  <c r="ET124" i="3"/>
  <c r="EU124" i="3"/>
  <c r="EW124" i="3"/>
  <c r="EV120" i="3"/>
  <c r="EW120" i="3"/>
  <c r="EU120" i="3"/>
  <c r="ES116" i="3"/>
  <c r="ER116" i="3"/>
  <c r="EU116" i="3"/>
  <c r="ET116" i="3"/>
  <c r="EV112" i="3"/>
  <c r="EW112" i="3"/>
  <c r="ES108" i="3"/>
  <c r="EU108" i="3"/>
  <c r="EV104" i="3"/>
  <c r="EW104" i="3"/>
  <c r="EU100" i="3"/>
  <c r="EV100" i="3"/>
  <c r="EW100" i="3"/>
  <c r="ES96" i="3"/>
  <c r="EV96" i="3"/>
  <c r="ET96" i="3"/>
  <c r="ES88" i="3"/>
  <c r="EV88" i="3"/>
  <c r="EW88" i="3"/>
  <c r="ET88" i="3"/>
  <c r="EU88" i="3"/>
  <c r="ES84" i="3"/>
  <c r="EU84" i="3"/>
  <c r="EV80" i="3"/>
  <c r="ET80" i="3"/>
  <c r="ES76" i="3"/>
  <c r="EU76" i="3"/>
  <c r="ES72" i="3"/>
  <c r="EV72" i="3"/>
  <c r="EW72" i="3"/>
  <c r="ET72" i="3"/>
  <c r="ES68" i="3"/>
  <c r="ER68" i="3"/>
  <c r="EU68" i="3"/>
  <c r="EV68" i="3"/>
  <c r="ES60" i="3"/>
  <c r="EU60" i="3"/>
  <c r="EW60" i="3"/>
  <c r="ES56" i="3"/>
  <c r="EW56" i="3"/>
  <c r="ET56" i="3"/>
  <c r="EU56" i="3"/>
  <c r="ES52" i="3"/>
  <c r="EU52" i="3"/>
  <c r="ES48" i="3"/>
  <c r="ET48" i="3"/>
  <c r="EW48" i="3"/>
  <c r="ES44" i="3"/>
  <c r="EU44" i="3"/>
  <c r="EW40" i="3"/>
  <c r="ET40" i="3"/>
  <c r="ES36" i="3"/>
  <c r="ER36" i="3"/>
  <c r="EU36" i="3"/>
  <c r="EW36" i="3"/>
  <c r="ES32" i="3"/>
  <c r="ET32" i="3"/>
  <c r="ES28" i="3"/>
  <c r="EU28" i="3"/>
  <c r="ES24" i="3"/>
  <c r="EW24" i="3"/>
  <c r="ET24" i="3"/>
  <c r="EU24" i="3"/>
  <c r="ES16" i="3"/>
  <c r="ET16" i="3"/>
  <c r="EU16" i="3"/>
  <c r="EP364" i="3"/>
  <c r="EP360" i="3"/>
  <c r="EP356" i="3"/>
  <c r="EP352" i="3"/>
  <c r="EP348" i="3"/>
  <c r="EP344" i="3"/>
  <c r="EP340" i="3"/>
  <c r="EP336" i="3"/>
  <c r="EP332" i="3"/>
  <c r="EP328" i="3"/>
  <c r="EP324" i="3"/>
  <c r="EP320" i="3"/>
  <c r="EP316" i="3"/>
  <c r="EP312" i="3"/>
  <c r="EP308" i="3"/>
  <c r="EP304" i="3"/>
  <c r="EP300" i="3"/>
  <c r="EP296" i="3"/>
  <c r="EP292" i="3"/>
  <c r="EP288" i="3"/>
  <c r="EP284" i="3"/>
  <c r="EP280" i="3"/>
  <c r="EP276" i="3"/>
  <c r="EP272" i="3"/>
  <c r="EP268" i="3"/>
  <c r="EP264" i="3"/>
  <c r="EP260" i="3"/>
  <c r="EP256" i="3"/>
  <c r="EP252" i="3"/>
  <c r="EP248" i="3"/>
  <c r="EP244" i="3"/>
  <c r="EP240" i="3"/>
  <c r="EP236" i="3"/>
  <c r="EP232" i="3"/>
  <c r="EP228" i="3"/>
  <c r="EP224" i="3"/>
  <c r="EP220" i="3"/>
  <c r="EP216" i="3"/>
  <c r="EP212" i="3"/>
  <c r="EP208" i="3"/>
  <c r="EP204" i="3"/>
  <c r="EP200" i="3"/>
  <c r="EP196" i="3"/>
  <c r="EP192" i="3"/>
  <c r="EP188" i="3"/>
  <c r="EP184" i="3"/>
  <c r="EP180" i="3"/>
  <c r="EP176" i="3"/>
  <c r="EP172" i="3"/>
  <c r="EP168" i="3"/>
  <c r="EP164" i="3"/>
  <c r="EP160" i="3"/>
  <c r="EP156" i="3"/>
  <c r="EP152" i="3"/>
  <c r="EP148" i="3"/>
  <c r="EP144" i="3"/>
  <c r="EP140" i="3"/>
  <c r="EP136" i="3"/>
  <c r="EP132" i="3"/>
  <c r="EP128" i="3"/>
  <c r="EP120" i="3"/>
  <c r="EP116" i="3"/>
  <c r="EP112" i="3"/>
  <c r="EP108" i="3"/>
  <c r="EP104" i="3"/>
  <c r="EP100" i="3"/>
  <c r="EP96" i="3"/>
  <c r="EP88" i="3"/>
  <c r="EP84" i="3"/>
  <c r="EP80" i="3"/>
  <c r="EP76" i="3"/>
  <c r="EP72" i="3"/>
  <c r="EP68" i="3"/>
  <c r="EP64" i="3"/>
  <c r="EP60" i="3"/>
  <c r="EP56" i="3"/>
  <c r="EP52" i="3"/>
  <c r="EP48" i="3"/>
  <c r="EP44" i="3"/>
  <c r="EP40" i="3"/>
  <c r="EP36" i="3"/>
  <c r="EP32" i="3"/>
  <c r="EP28" i="3"/>
  <c r="EP24" i="3"/>
  <c r="EP16" i="3"/>
  <c r="EP12" i="3"/>
  <c r="ER564" i="3"/>
  <c r="ER548" i="3"/>
  <c r="ER544" i="3"/>
  <c r="ER540" i="3"/>
  <c r="ER528" i="3"/>
  <c r="ER516" i="3"/>
  <c r="ER512" i="3"/>
  <c r="ER500" i="3"/>
  <c r="ER492" i="3"/>
  <c r="ER480" i="3"/>
  <c r="ER464" i="3"/>
  <c r="ER456" i="3"/>
  <c r="ER448" i="3"/>
  <c r="ER424" i="3"/>
  <c r="ER420" i="3"/>
  <c r="ER404" i="3"/>
  <c r="ER392" i="3"/>
  <c r="ER376" i="3"/>
  <c r="ER372" i="3"/>
  <c r="ER352" i="3"/>
  <c r="ER340" i="3"/>
  <c r="ER336" i="3"/>
  <c r="ER324" i="3"/>
  <c r="ER320" i="3"/>
  <c r="ER312" i="3"/>
  <c r="ER292" i="3"/>
  <c r="ER280" i="3"/>
  <c r="ER272" i="3"/>
  <c r="ER264" i="3"/>
  <c r="ER256" i="3"/>
  <c r="ER244" i="3"/>
  <c r="ER224" i="3"/>
  <c r="ER216" i="3"/>
  <c r="ER212" i="3"/>
  <c r="ER196" i="3"/>
  <c r="ER192" i="3"/>
  <c r="ER180" i="3"/>
  <c r="ER168" i="3"/>
  <c r="ER160" i="3"/>
  <c r="ER152" i="3"/>
  <c r="ER136" i="3"/>
  <c r="ER132" i="3"/>
  <c r="ER128" i="3"/>
  <c r="ER112" i="3"/>
  <c r="ER104" i="3"/>
  <c r="ER96" i="3"/>
  <c r="ER84" i="3"/>
  <c r="ER72" i="3"/>
  <c r="ER56" i="3"/>
  <c r="ER52" i="3"/>
  <c r="ER48" i="3"/>
  <c r="ER32" i="3"/>
  <c r="ER28" i="3"/>
  <c r="ER24" i="3"/>
  <c r="ER16" i="3"/>
  <c r="ER12" i="3"/>
  <c r="EN396" i="3"/>
  <c r="EN392" i="3"/>
  <c r="EN388" i="3"/>
  <c r="EN384" i="3"/>
  <c r="EN380" i="3"/>
  <c r="EN376" i="3"/>
  <c r="EN368" i="3"/>
  <c r="EN364" i="3"/>
  <c r="EN360" i="3"/>
  <c r="EN356" i="3"/>
  <c r="EN352" i="3"/>
  <c r="EN348" i="3"/>
  <c r="EN340" i="3"/>
  <c r="EN336" i="3"/>
  <c r="EN332" i="3"/>
  <c r="EN328" i="3"/>
  <c r="EN324" i="3"/>
  <c r="EN320" i="3"/>
  <c r="EN316" i="3"/>
  <c r="EL598" i="3"/>
  <c r="EL562" i="3"/>
  <c r="EP506" i="3"/>
  <c r="EL486" i="3"/>
  <c r="EP474" i="3"/>
  <c r="EL450" i="3"/>
  <c r="EP430" i="3"/>
  <c r="EP390" i="3"/>
  <c r="EN386" i="3"/>
  <c r="EL370" i="3"/>
  <c r="EP346" i="3"/>
  <c r="EL338" i="3"/>
  <c r="EP302" i="3"/>
  <c r="EL298" i="3"/>
  <c r="EP262" i="3"/>
  <c r="ES250" i="3"/>
  <c r="EL250" i="3"/>
  <c r="EP218" i="3"/>
  <c r="EP182" i="3"/>
  <c r="ES170" i="3"/>
  <c r="EL170" i="3"/>
  <c r="EN162" i="3"/>
  <c r="EP150" i="3"/>
  <c r="EP118" i="3"/>
  <c r="ES102" i="3"/>
  <c r="EL102" i="3"/>
  <c r="EP86" i="3"/>
  <c r="ES70" i="3"/>
  <c r="EL70" i="3"/>
  <c r="EP54" i="3"/>
  <c r="ES30" i="3"/>
  <c r="EL30" i="3"/>
  <c r="ES22" i="3"/>
  <c r="EP22" i="3"/>
  <c r="EN312" i="3"/>
  <c r="EN304" i="3"/>
  <c r="EN300" i="3"/>
  <c r="EN296" i="3"/>
  <c r="EN292" i="3"/>
  <c r="EN288" i="3"/>
  <c r="EN284" i="3"/>
  <c r="EN272" i="3"/>
  <c r="EN268" i="3"/>
  <c r="EN264" i="3"/>
  <c r="EN260" i="3"/>
  <c r="EN256" i="3"/>
  <c r="EN252" i="3"/>
  <c r="EN248" i="3"/>
  <c r="EN244" i="3"/>
  <c r="EN240" i="3"/>
  <c r="EN236" i="3"/>
  <c r="EN232" i="3"/>
  <c r="EN228" i="3"/>
  <c r="EN224" i="3"/>
  <c r="EN220" i="3"/>
  <c r="EN216" i="3"/>
  <c r="EN208" i="3"/>
  <c r="EN204" i="3"/>
  <c r="EN200" i="3"/>
  <c r="EN192" i="3"/>
  <c r="EN188" i="3"/>
  <c r="EN184" i="3"/>
  <c r="EN180" i="3"/>
  <c r="EN176" i="3"/>
  <c r="EN172" i="3"/>
  <c r="EN168" i="3"/>
  <c r="EN164" i="3"/>
  <c r="EN160" i="3"/>
  <c r="EN156" i="3"/>
  <c r="EN152" i="3"/>
  <c r="EN148" i="3"/>
  <c r="EN144" i="3"/>
  <c r="EN140" i="3"/>
  <c r="EN136" i="3"/>
  <c r="EN132" i="3"/>
  <c r="EN128" i="3"/>
  <c r="EN124" i="3"/>
  <c r="EN120" i="3"/>
  <c r="EN116" i="3"/>
  <c r="EN112" i="3"/>
  <c r="EN108" i="3"/>
  <c r="EN100" i="3"/>
  <c r="EN96" i="3"/>
  <c r="EN92" i="3"/>
  <c r="EN88" i="3"/>
  <c r="EN84" i="3"/>
  <c r="EN80" i="3"/>
  <c r="EN76" i="3"/>
  <c r="EN72" i="3"/>
  <c r="EN68" i="3"/>
  <c r="EN64" i="3"/>
  <c r="EN60" i="3"/>
  <c r="EN56" i="3"/>
  <c r="EN52" i="3"/>
  <c r="EN48" i="3"/>
  <c r="EN44" i="3"/>
  <c r="EN36" i="3"/>
  <c r="EN32" i="3"/>
  <c r="EN28" i="3"/>
  <c r="EN24" i="3"/>
  <c r="EN16" i="3"/>
  <c r="EN12" i="3"/>
  <c r="ER568" i="3"/>
  <c r="ER560" i="3"/>
  <c r="ER552" i="3"/>
  <c r="ER536" i="3"/>
  <c r="ER524" i="3"/>
  <c r="ER520" i="3"/>
  <c r="ER496" i="3"/>
  <c r="ER488" i="3"/>
  <c r="ER472" i="3"/>
  <c r="ER440" i="3"/>
  <c r="ER432" i="3"/>
  <c r="ER416" i="3"/>
  <c r="ER408" i="3"/>
  <c r="ER384" i="3"/>
  <c r="ER368" i="3"/>
  <c r="ER344" i="3"/>
  <c r="ER328" i="3"/>
  <c r="ES280" i="3"/>
  <c r="EN280" i="3"/>
  <c r="EN104" i="3"/>
  <c r="EN600" i="3"/>
  <c r="EN596" i="3"/>
  <c r="EN592" i="3"/>
  <c r="EN588" i="3"/>
  <c r="EN584" i="3"/>
  <c r="EN580" i="3"/>
  <c r="EN576" i="3"/>
  <c r="EN572" i="3"/>
  <c r="EN568" i="3"/>
  <c r="EN564" i="3"/>
  <c r="EN560" i="3"/>
  <c r="EN424" i="3"/>
  <c r="EN420" i="3"/>
  <c r="EN416" i="3"/>
  <c r="EN412" i="3"/>
  <c r="EN408" i="3"/>
  <c r="EN404" i="3"/>
  <c r="EN400" i="3"/>
  <c r="EL530" i="3"/>
  <c r="EN450" i="3"/>
  <c r="EL410" i="3"/>
  <c r="EL326" i="3"/>
  <c r="ES218" i="3"/>
  <c r="EL218" i="3"/>
  <c r="ES106" i="3"/>
  <c r="EL106" i="3"/>
  <c r="ES26" i="3"/>
  <c r="EL26" i="3"/>
  <c r="EP463" i="3"/>
  <c r="EP447" i="3"/>
  <c r="EP335" i="3"/>
  <c r="EP319" i="3"/>
  <c r="EP207" i="3"/>
  <c r="EP504" i="3"/>
  <c r="ER237" i="3"/>
  <c r="ER484" i="3"/>
  <c r="ES484" i="3"/>
  <c r="EP464" i="3"/>
  <c r="ER452" i="3"/>
  <c r="ES452" i="3"/>
  <c r="ER388" i="3"/>
  <c r="ES388" i="3"/>
  <c r="EN372" i="3"/>
  <c r="ES372" i="3"/>
  <c r="ES308" i="3"/>
  <c r="EN308" i="3"/>
  <c r="ER308" i="3"/>
  <c r="ES288" i="3"/>
  <c r="ER288" i="3"/>
  <c r="ES248" i="3"/>
  <c r="ER248" i="3"/>
  <c r="ES228" i="3"/>
  <c r="ER228" i="3"/>
  <c r="ES212" i="3"/>
  <c r="EN212" i="3"/>
  <c r="ES208" i="3"/>
  <c r="ER208" i="3"/>
  <c r="ES184" i="3"/>
  <c r="ER184" i="3"/>
  <c r="ES176" i="3"/>
  <c r="ET176" i="3"/>
  <c r="ES168" i="3"/>
  <c r="ET168" i="3"/>
  <c r="ES164" i="3"/>
  <c r="ER164" i="3"/>
  <c r="ES160" i="3"/>
  <c r="ET160" i="3"/>
  <c r="ES152" i="3"/>
  <c r="ET152" i="3"/>
  <c r="ES144" i="3"/>
  <c r="ER144" i="3"/>
  <c r="ET144" i="3"/>
  <c r="ES136" i="3"/>
  <c r="ET136" i="3"/>
  <c r="ES128" i="3"/>
  <c r="ET128" i="3"/>
  <c r="ES120" i="3"/>
  <c r="ER120" i="3"/>
  <c r="ET120" i="3"/>
  <c r="ES112" i="3"/>
  <c r="ET112" i="3"/>
  <c r="ES104" i="3"/>
  <c r="ET104" i="3"/>
  <c r="ES100" i="3"/>
  <c r="ER100" i="3"/>
  <c r="ES92" i="3"/>
  <c r="EP92" i="3"/>
  <c r="ES80" i="3"/>
  <c r="ER80" i="3"/>
  <c r="ES64" i="3"/>
  <c r="ER64" i="3"/>
  <c r="ES40" i="3"/>
  <c r="ER40" i="3"/>
  <c r="ES20" i="3"/>
  <c r="ER20" i="3"/>
  <c r="EU528" i="3"/>
  <c r="EU520" i="3"/>
  <c r="EU512" i="3"/>
  <c r="EU504" i="3"/>
  <c r="EU496" i="3"/>
  <c r="EU488" i="3"/>
  <c r="EU472" i="3"/>
  <c r="EU464" i="3"/>
  <c r="EU440" i="3"/>
  <c r="EU432" i="3"/>
  <c r="ET600" i="3"/>
  <c r="ET592" i="3"/>
  <c r="ET584" i="3"/>
  <c r="ET576" i="3"/>
  <c r="ET568" i="3"/>
  <c r="ET560" i="3"/>
  <c r="ET552" i="3"/>
  <c r="ET544" i="3"/>
  <c r="ET536" i="3"/>
  <c r="ET528" i="3"/>
  <c r="ET520" i="3"/>
  <c r="ET512" i="3"/>
  <c r="ET504" i="3"/>
  <c r="ET496" i="3"/>
  <c r="ET488" i="3"/>
  <c r="ES568" i="3"/>
  <c r="ES560" i="3"/>
  <c r="ES552" i="3"/>
  <c r="ES536" i="3"/>
  <c r="ES520" i="3"/>
  <c r="ES504" i="3"/>
  <c r="ES496" i="3"/>
  <c r="ES464" i="3"/>
  <c r="ES432" i="3"/>
  <c r="ES368" i="3"/>
  <c r="ER504" i="3"/>
  <c r="ER468" i="3"/>
  <c r="ER356" i="3"/>
  <c r="ER304" i="3"/>
  <c r="ER276" i="3"/>
  <c r="ER260" i="3"/>
  <c r="ER232" i="3"/>
  <c r="ER572" i="3"/>
  <c r="ER460" i="3"/>
  <c r="ER444" i="3"/>
  <c r="ER428" i="3"/>
  <c r="ER412" i="3"/>
  <c r="ER396" i="3"/>
  <c r="ER380" i="3"/>
  <c r="ER364" i="3"/>
  <c r="ER348" i="3"/>
  <c r="ER332" i="3"/>
  <c r="ER316" i="3"/>
  <c r="ER300" i="3"/>
  <c r="ER284" i="3"/>
  <c r="ER268" i="3"/>
  <c r="ER252" i="3"/>
  <c r="ER236" i="3"/>
  <c r="ER220" i="3"/>
  <c r="ER204" i="3"/>
  <c r="ER188" i="3"/>
  <c r="ER172" i="3"/>
  <c r="ER156" i="3"/>
  <c r="ER140" i="3"/>
  <c r="ER124" i="3"/>
  <c r="ER108" i="3"/>
  <c r="ER92" i="3"/>
  <c r="ER76" i="3"/>
  <c r="ER60" i="3"/>
  <c r="ER44" i="3"/>
  <c r="EP436" i="3"/>
  <c r="EP124" i="3"/>
  <c r="EN344" i="3"/>
  <c r="EN276" i="3"/>
  <c r="EN196" i="3"/>
  <c r="EN40" i="3"/>
  <c r="EN474" i="3"/>
  <c r="EN442" i="3"/>
  <c r="EN414" i="3"/>
  <c r="EN398" i="3"/>
  <c r="EN382" i="3"/>
  <c r="EN366" i="3"/>
  <c r="EN350" i="3"/>
  <c r="EN334" i="3"/>
  <c r="EN326" i="3"/>
  <c r="ER593" i="3"/>
  <c r="ES593" i="3"/>
  <c r="EW593" i="3"/>
  <c r="EX593" i="3"/>
  <c r="ET593" i="3"/>
  <c r="EV593" i="3"/>
  <c r="EY593" i="3"/>
  <c r="ES585" i="3"/>
  <c r="ET585" i="3"/>
  <c r="EU585" i="3"/>
  <c r="EW585" i="3"/>
  <c r="EX585" i="3"/>
  <c r="EV585" i="3"/>
  <c r="EY585" i="3"/>
  <c r="ER577" i="3"/>
  <c r="ES577" i="3"/>
  <c r="EW577" i="3"/>
  <c r="EX577" i="3"/>
  <c r="EU577" i="3"/>
  <c r="EV577" i="3"/>
  <c r="EY577" i="3"/>
  <c r="ES569" i="3"/>
  <c r="ET569" i="3"/>
  <c r="EU569" i="3"/>
  <c r="EW569" i="3"/>
  <c r="EX569" i="3"/>
  <c r="EV569" i="3"/>
  <c r="EY569" i="3"/>
  <c r="ES561" i="3"/>
  <c r="EW561" i="3"/>
  <c r="EX561" i="3"/>
  <c r="ET561" i="3"/>
  <c r="EV561" i="3"/>
  <c r="EY561" i="3"/>
  <c r="ES553" i="3"/>
  <c r="ET553" i="3"/>
  <c r="EU553" i="3"/>
  <c r="EW553" i="3"/>
  <c r="EX553" i="3"/>
  <c r="EV553" i="3"/>
  <c r="EY553" i="3"/>
  <c r="ES545" i="3"/>
  <c r="EV545" i="3"/>
  <c r="EW545" i="3"/>
  <c r="EX545" i="3"/>
  <c r="EU545" i="3"/>
  <c r="EY545" i="3"/>
  <c r="ES537" i="3"/>
  <c r="ET537" i="3"/>
  <c r="EU537" i="3"/>
  <c r="EX537" i="3"/>
  <c r="EV537" i="3"/>
  <c r="EW537" i="3"/>
  <c r="EY537" i="3"/>
  <c r="ES529" i="3"/>
  <c r="EX529" i="3"/>
  <c r="ET529" i="3"/>
  <c r="EV529" i="3"/>
  <c r="EW529" i="3"/>
  <c r="EY529" i="3"/>
  <c r="ES521" i="3"/>
  <c r="ER521" i="3"/>
  <c r="ET521" i="3"/>
  <c r="EU521" i="3"/>
  <c r="EX521" i="3"/>
  <c r="EV521" i="3"/>
  <c r="EW521" i="3"/>
  <c r="EY521" i="3"/>
  <c r="ER513" i="3"/>
  <c r="ES513" i="3"/>
  <c r="EX513" i="3"/>
  <c r="EU513" i="3"/>
  <c r="EV513" i="3"/>
  <c r="EW513" i="3"/>
  <c r="EY513" i="3"/>
  <c r="ES505" i="3"/>
  <c r="ER505" i="3"/>
  <c r="ET505" i="3"/>
  <c r="EU505" i="3"/>
  <c r="EX505" i="3"/>
  <c r="EY505" i="3"/>
  <c r="EV505" i="3"/>
  <c r="EW505" i="3"/>
  <c r="ER497" i="3"/>
  <c r="ES497" i="3"/>
  <c r="EX497" i="3"/>
  <c r="EY497" i="3"/>
  <c r="ET497" i="3"/>
  <c r="EV497" i="3"/>
  <c r="EW497" i="3"/>
  <c r="ES489" i="3"/>
  <c r="ER489" i="3"/>
  <c r="ET489" i="3"/>
  <c r="EU489" i="3"/>
  <c r="EW489" i="3"/>
  <c r="EY489" i="3"/>
  <c r="EV489" i="3"/>
  <c r="EX489" i="3"/>
  <c r="ER481" i="3"/>
  <c r="ES481" i="3"/>
  <c r="EW481" i="3"/>
  <c r="EY481" i="3"/>
  <c r="EU481" i="3"/>
  <c r="EV481" i="3"/>
  <c r="EX481" i="3"/>
  <c r="ES473" i="3"/>
  <c r="ER473" i="3"/>
  <c r="ET473" i="3"/>
  <c r="EU473" i="3"/>
  <c r="EW473" i="3"/>
  <c r="EV473" i="3"/>
  <c r="EX473" i="3"/>
  <c r="EY473" i="3"/>
  <c r="ER465" i="3"/>
  <c r="ES465" i="3"/>
  <c r="EW465" i="3"/>
  <c r="ET465" i="3"/>
  <c r="EV465" i="3"/>
  <c r="EX465" i="3"/>
  <c r="EY465" i="3"/>
  <c r="ES457" i="3"/>
  <c r="ET457" i="3"/>
  <c r="EU457" i="3"/>
  <c r="ER457" i="3"/>
  <c r="EV457" i="3"/>
  <c r="EW457" i="3"/>
  <c r="EX457" i="3"/>
  <c r="EY457" i="3"/>
  <c r="ES449" i="3"/>
  <c r="ER449" i="3"/>
  <c r="EU449" i="3"/>
  <c r="EW449" i="3"/>
  <c r="EX449" i="3"/>
  <c r="EY449" i="3"/>
  <c r="ES441" i="3"/>
  <c r="ER441" i="3"/>
  <c r="ET441" i="3"/>
  <c r="EU441" i="3"/>
  <c r="EV441" i="3"/>
  <c r="EW441" i="3"/>
  <c r="EX441" i="3"/>
  <c r="EY441" i="3"/>
  <c r="ES433" i="3"/>
  <c r="ER433" i="3"/>
  <c r="ET433" i="3"/>
  <c r="EV433" i="3"/>
  <c r="EW433" i="3"/>
  <c r="EX433" i="3"/>
  <c r="EY433" i="3"/>
  <c r="ER425" i="3"/>
  <c r="ES425" i="3"/>
  <c r="ET425" i="3"/>
  <c r="EU425" i="3"/>
  <c r="EV425" i="3"/>
  <c r="EW425" i="3"/>
  <c r="EX425" i="3"/>
  <c r="EY425" i="3"/>
  <c r="ER417" i="3"/>
  <c r="ES417" i="3"/>
  <c r="EU417" i="3"/>
  <c r="EW417" i="3"/>
  <c r="EX417" i="3"/>
  <c r="EY417" i="3"/>
  <c r="ER409" i="3"/>
  <c r="ES409" i="3"/>
  <c r="ET409" i="3"/>
  <c r="EU409" i="3"/>
  <c r="EV409" i="3"/>
  <c r="EW409" i="3"/>
  <c r="EX409" i="3"/>
  <c r="EY409" i="3"/>
  <c r="ER401" i="3"/>
  <c r="ES401" i="3"/>
  <c r="ET401" i="3"/>
  <c r="EV401" i="3"/>
  <c r="EW401" i="3"/>
  <c r="EX401" i="3"/>
  <c r="EY401" i="3"/>
  <c r="ES393" i="3"/>
  <c r="ET393" i="3"/>
  <c r="EU393" i="3"/>
  <c r="EV393" i="3"/>
  <c r="ER393" i="3"/>
  <c r="EW393" i="3"/>
  <c r="EX393" i="3"/>
  <c r="EY393" i="3"/>
  <c r="ES385" i="3"/>
  <c r="ET385" i="3"/>
  <c r="EU385" i="3"/>
  <c r="EW385" i="3"/>
  <c r="EX385" i="3"/>
  <c r="EY385" i="3"/>
  <c r="ER385" i="3"/>
  <c r="ES377" i="3"/>
  <c r="ER377" i="3"/>
  <c r="ET377" i="3"/>
  <c r="EU377" i="3"/>
  <c r="EV377" i="3"/>
  <c r="EW377" i="3"/>
  <c r="EX377" i="3"/>
  <c r="EY377" i="3"/>
  <c r="ES369" i="3"/>
  <c r="ER369" i="3"/>
  <c r="EV369" i="3"/>
  <c r="EW369" i="3"/>
  <c r="EX369" i="3"/>
  <c r="EY369" i="3"/>
  <c r="ER361" i="3"/>
  <c r="ES361" i="3"/>
  <c r="ET361" i="3"/>
  <c r="EU361" i="3"/>
  <c r="EV361" i="3"/>
  <c r="EW361" i="3"/>
  <c r="EX361" i="3"/>
  <c r="EY361" i="3"/>
  <c r="ER353" i="3"/>
  <c r="ES353" i="3"/>
  <c r="EU353" i="3"/>
  <c r="EW353" i="3"/>
  <c r="EX353" i="3"/>
  <c r="EY353" i="3"/>
  <c r="ET353" i="3"/>
  <c r="ER345" i="3"/>
  <c r="ES345" i="3"/>
  <c r="ET345" i="3"/>
  <c r="EU345" i="3"/>
  <c r="EV345" i="3"/>
  <c r="EW345" i="3"/>
  <c r="EX345" i="3"/>
  <c r="EY345" i="3"/>
  <c r="ER337" i="3"/>
  <c r="ES337" i="3"/>
  <c r="EY337" i="3"/>
  <c r="ET337" i="3"/>
  <c r="EV337" i="3"/>
  <c r="EW337" i="3"/>
  <c r="EX337" i="3"/>
  <c r="ES329" i="3"/>
  <c r="ET329" i="3"/>
  <c r="EU329" i="3"/>
  <c r="EV329" i="3"/>
  <c r="ER329" i="3"/>
  <c r="EY329" i="3"/>
  <c r="EW329" i="3"/>
  <c r="EX329" i="3"/>
  <c r="ES321" i="3"/>
  <c r="ET321" i="3"/>
  <c r="EY321" i="3"/>
  <c r="EU321" i="3"/>
  <c r="EW321" i="3"/>
  <c r="EX321" i="3"/>
  <c r="ES313" i="3"/>
  <c r="ER313" i="3"/>
  <c r="ET313" i="3"/>
  <c r="EU313" i="3"/>
  <c r="EV313" i="3"/>
  <c r="EY313" i="3"/>
  <c r="EW313" i="3"/>
  <c r="EX313" i="3"/>
  <c r="ES305" i="3"/>
  <c r="ER305" i="3"/>
  <c r="EV305" i="3"/>
  <c r="EW305" i="3"/>
  <c r="EX305" i="3"/>
  <c r="EY305" i="3"/>
  <c r="ER297" i="3"/>
  <c r="ES297" i="3"/>
  <c r="ET297" i="3"/>
  <c r="EU297" i="3"/>
  <c r="EV297" i="3"/>
  <c r="EW297" i="3"/>
  <c r="EX297" i="3"/>
  <c r="EY297" i="3"/>
  <c r="ES289" i="3"/>
  <c r="ER289" i="3"/>
  <c r="EU289" i="3"/>
  <c r="EW289" i="3"/>
  <c r="EX289" i="3"/>
  <c r="EY289" i="3"/>
  <c r="ET289" i="3"/>
  <c r="ER281" i="3"/>
  <c r="ET281" i="3"/>
  <c r="EU281" i="3"/>
  <c r="EV281" i="3"/>
  <c r="ES281" i="3"/>
  <c r="EY281" i="3"/>
  <c r="EW281" i="3"/>
  <c r="EX281" i="3"/>
  <c r="ES277" i="3"/>
  <c r="ER277" i="3"/>
  <c r="ET277" i="3"/>
  <c r="EV277" i="3"/>
  <c r="EW277" i="3"/>
  <c r="EX277" i="3"/>
  <c r="EY277" i="3"/>
  <c r="EU277" i="3"/>
  <c r="ER269" i="3"/>
  <c r="ET269" i="3"/>
  <c r="EU269" i="3"/>
  <c r="EV269" i="3"/>
  <c r="ES269" i="3"/>
  <c r="EW269" i="3"/>
  <c r="EX269" i="3"/>
  <c r="EY269" i="3"/>
  <c r="ES265" i="3"/>
  <c r="ET265" i="3"/>
  <c r="EU265" i="3"/>
  <c r="EV265" i="3"/>
  <c r="ER265" i="3"/>
  <c r="EY265" i="3"/>
  <c r="EW265" i="3"/>
  <c r="EX265" i="3"/>
  <c r="ES261" i="3"/>
  <c r="ER261" i="3"/>
  <c r="ET261" i="3"/>
  <c r="EU261" i="3"/>
  <c r="EW261" i="3"/>
  <c r="EX261" i="3"/>
  <c r="EY261" i="3"/>
  <c r="EV261" i="3"/>
  <c r="ER257" i="3"/>
  <c r="ET257" i="3"/>
  <c r="EX257" i="3"/>
  <c r="EY257" i="3"/>
  <c r="ES257" i="3"/>
  <c r="EU257" i="3"/>
  <c r="EW257" i="3"/>
  <c r="ER253" i="3"/>
  <c r="ET253" i="3"/>
  <c r="EU253" i="3"/>
  <c r="EV253" i="3"/>
  <c r="ES253" i="3"/>
  <c r="EW253" i="3"/>
  <c r="EX253" i="3"/>
  <c r="EY253" i="3"/>
  <c r="ES249" i="3"/>
  <c r="ER249" i="3"/>
  <c r="ET249" i="3"/>
  <c r="EU249" i="3"/>
  <c r="EV249" i="3"/>
  <c r="EX249" i="3"/>
  <c r="EY249" i="3"/>
  <c r="EW249" i="3"/>
  <c r="ER245" i="3"/>
  <c r="ES245" i="3"/>
  <c r="ET245" i="3"/>
  <c r="EV245" i="3"/>
  <c r="EW245" i="3"/>
  <c r="EX245" i="3"/>
  <c r="EY245" i="3"/>
  <c r="EU245" i="3"/>
  <c r="ER241" i="3"/>
  <c r="ES241" i="3"/>
  <c r="EX241" i="3"/>
  <c r="EY241" i="3"/>
  <c r="EV241" i="3"/>
  <c r="EW241" i="3"/>
  <c r="ES237" i="3"/>
  <c r="ET237" i="3"/>
  <c r="EU237" i="3"/>
  <c r="EV237" i="3"/>
  <c r="EW237" i="3"/>
  <c r="EX237" i="3"/>
  <c r="EY237" i="3"/>
  <c r="ER233" i="3"/>
  <c r="ES233" i="3"/>
  <c r="ET233" i="3"/>
  <c r="EU233" i="3"/>
  <c r="EV233" i="3"/>
  <c r="EX233" i="3"/>
  <c r="EY233" i="3"/>
  <c r="EW233" i="3"/>
  <c r="ES229" i="3"/>
  <c r="ER229" i="3"/>
  <c r="ET229" i="3"/>
  <c r="EU229" i="3"/>
  <c r="EW229" i="3"/>
  <c r="EX229" i="3"/>
  <c r="EY229" i="3"/>
  <c r="EV229" i="3"/>
  <c r="ER225" i="3"/>
  <c r="ES225" i="3"/>
  <c r="EX225" i="3"/>
  <c r="EY225" i="3"/>
  <c r="EU225" i="3"/>
  <c r="EW225" i="3"/>
  <c r="ET225" i="3"/>
  <c r="ER221" i="3"/>
  <c r="ET221" i="3"/>
  <c r="EU221" i="3"/>
  <c r="EV221" i="3"/>
  <c r="ES221" i="3"/>
  <c r="EW221" i="3"/>
  <c r="EZ221" i="3"/>
  <c r="EX221" i="3"/>
  <c r="EY221" i="3"/>
  <c r="ER217" i="3"/>
  <c r="ES217" i="3"/>
  <c r="ET217" i="3"/>
  <c r="EU217" i="3"/>
  <c r="EV217" i="3"/>
  <c r="EX217" i="3"/>
  <c r="EY217" i="3"/>
  <c r="EW217" i="3"/>
  <c r="EZ217" i="3"/>
  <c r="ES213" i="3"/>
  <c r="ER213" i="3"/>
  <c r="ET213" i="3"/>
  <c r="EV213" i="3"/>
  <c r="EW213" i="3"/>
  <c r="EZ213" i="3"/>
  <c r="EX213" i="3"/>
  <c r="EY213" i="3"/>
  <c r="EU213" i="3"/>
  <c r="ER209" i="3"/>
  <c r="ES209" i="3"/>
  <c r="EX209" i="3"/>
  <c r="EY209" i="3"/>
  <c r="ET209" i="3"/>
  <c r="EV209" i="3"/>
  <c r="EW209" i="3"/>
  <c r="EZ209" i="3"/>
  <c r="ER205" i="3"/>
  <c r="ES205" i="3"/>
  <c r="ET205" i="3"/>
  <c r="EU205" i="3"/>
  <c r="EV205" i="3"/>
  <c r="EW205" i="3"/>
  <c r="EX205" i="3"/>
  <c r="EY205" i="3"/>
  <c r="EZ205" i="3"/>
  <c r="ES201" i="3"/>
  <c r="ET201" i="3"/>
  <c r="EU201" i="3"/>
  <c r="EV201" i="3"/>
  <c r="ER201" i="3"/>
  <c r="EX201" i="3"/>
  <c r="EY201" i="3"/>
  <c r="EZ201" i="3"/>
  <c r="EW201" i="3"/>
  <c r="ES197" i="3"/>
  <c r="ER197" i="3"/>
  <c r="ET197" i="3"/>
  <c r="EU197" i="3"/>
  <c r="EW197" i="3"/>
  <c r="EX197" i="3"/>
  <c r="EY197" i="3"/>
  <c r="EZ197" i="3"/>
  <c r="EV197" i="3"/>
  <c r="ET193" i="3"/>
  <c r="EX193" i="3"/>
  <c r="EY193" i="3"/>
  <c r="EZ193" i="3"/>
  <c r="ER193" i="3"/>
  <c r="EU193" i="3"/>
  <c r="EW193" i="3"/>
  <c r="ER189" i="3"/>
  <c r="ET189" i="3"/>
  <c r="EU189" i="3"/>
  <c r="EV189" i="3"/>
  <c r="ES189" i="3"/>
  <c r="EW189" i="3"/>
  <c r="EX189" i="3"/>
  <c r="EY189" i="3"/>
  <c r="EZ189" i="3"/>
  <c r="ES185" i="3"/>
  <c r="ER185" i="3"/>
  <c r="ET185" i="3"/>
  <c r="EU185" i="3"/>
  <c r="EV185" i="3"/>
  <c r="EX185" i="3"/>
  <c r="EY185" i="3"/>
  <c r="EZ185" i="3"/>
  <c r="EW185" i="3"/>
  <c r="ER181" i="3"/>
  <c r="ES181" i="3"/>
  <c r="ET181" i="3"/>
  <c r="EV181" i="3"/>
  <c r="EW181" i="3"/>
  <c r="EX181" i="3"/>
  <c r="EY181" i="3"/>
  <c r="EZ181" i="3"/>
  <c r="EU181" i="3"/>
  <c r="ER177" i="3"/>
  <c r="ES177" i="3"/>
  <c r="EX177" i="3"/>
  <c r="EY177" i="3"/>
  <c r="EZ177" i="3"/>
  <c r="EV177" i="3"/>
  <c r="EW177" i="3"/>
  <c r="ES173" i="3"/>
  <c r="ET173" i="3"/>
  <c r="EU173" i="3"/>
  <c r="EV173" i="3"/>
  <c r="ER173" i="3"/>
  <c r="EW173" i="3"/>
  <c r="EX173" i="3"/>
  <c r="EY173" i="3"/>
  <c r="EZ173" i="3"/>
  <c r="ER169" i="3"/>
  <c r="ES169" i="3"/>
  <c r="ET169" i="3"/>
  <c r="EU169" i="3"/>
  <c r="EV169" i="3"/>
  <c r="EX169" i="3"/>
  <c r="EY169" i="3"/>
  <c r="EZ169" i="3"/>
  <c r="EW169" i="3"/>
  <c r="ES165" i="3"/>
  <c r="ER165" i="3"/>
  <c r="ET165" i="3"/>
  <c r="EU165" i="3"/>
  <c r="EW165" i="3"/>
  <c r="EX165" i="3"/>
  <c r="EY165" i="3"/>
  <c r="EZ165" i="3"/>
  <c r="EV165" i="3"/>
  <c r="ET157" i="3"/>
  <c r="EU157" i="3"/>
  <c r="EV157" i="3"/>
  <c r="ER157" i="3"/>
  <c r="ES157" i="3"/>
  <c r="EW157" i="3"/>
  <c r="EZ157" i="3"/>
  <c r="EX157" i="3"/>
  <c r="EY157" i="3"/>
  <c r="ER153" i="3"/>
  <c r="ES153" i="3"/>
  <c r="ET153" i="3"/>
  <c r="EU153" i="3"/>
  <c r="EV153" i="3"/>
  <c r="EX153" i="3"/>
  <c r="EY153" i="3"/>
  <c r="EW153" i="3"/>
  <c r="EZ153" i="3"/>
  <c r="ES149" i="3"/>
  <c r="ER149" i="3"/>
  <c r="EV149" i="3"/>
  <c r="EW149" i="3"/>
  <c r="EZ149" i="3"/>
  <c r="EX149" i="3"/>
  <c r="EY149" i="3"/>
  <c r="EU149" i="3"/>
  <c r="ER145" i="3"/>
  <c r="ET145" i="3"/>
  <c r="ES145" i="3"/>
  <c r="EX145" i="3"/>
  <c r="EY145" i="3"/>
  <c r="EV145" i="3"/>
  <c r="EW145" i="3"/>
  <c r="EZ145" i="3"/>
  <c r="ES141" i="3"/>
  <c r="EU141" i="3"/>
  <c r="EV141" i="3"/>
  <c r="ET141" i="3"/>
  <c r="EW141" i="3"/>
  <c r="EY141" i="3"/>
  <c r="EZ141" i="3"/>
  <c r="ER141" i="3"/>
  <c r="EX141" i="3"/>
  <c r="ES137" i="3"/>
  <c r="ER137" i="3"/>
  <c r="ET137" i="3"/>
  <c r="EU137" i="3"/>
  <c r="EV137" i="3"/>
  <c r="EX137" i="3"/>
  <c r="EW137" i="3"/>
  <c r="EY137" i="3"/>
  <c r="EZ137" i="3"/>
  <c r="ER133" i="3"/>
  <c r="ET133" i="3"/>
  <c r="ES133" i="3"/>
  <c r="EU133" i="3"/>
  <c r="EW133" i="3"/>
  <c r="EY133" i="3"/>
  <c r="EZ133" i="3"/>
  <c r="EX133" i="3"/>
  <c r="EV133" i="3"/>
  <c r="ER129" i="3"/>
  <c r="ES129" i="3"/>
  <c r="ET129" i="3"/>
  <c r="EX129" i="3"/>
  <c r="EU129" i="3"/>
  <c r="EW129" i="3"/>
  <c r="EY129" i="3"/>
  <c r="EZ129" i="3"/>
  <c r="ES125" i="3"/>
  <c r="EU125" i="3"/>
  <c r="EV125" i="3"/>
  <c r="ER125" i="3"/>
  <c r="ET125" i="3"/>
  <c r="EW125" i="3"/>
  <c r="EY125" i="3"/>
  <c r="EX125" i="3"/>
  <c r="EZ125" i="3"/>
  <c r="ES121" i="3"/>
  <c r="ER121" i="3"/>
  <c r="ET121" i="3"/>
  <c r="EU121" i="3"/>
  <c r="EV121" i="3"/>
  <c r="EX121" i="3"/>
  <c r="EZ121" i="3"/>
  <c r="EW121" i="3"/>
  <c r="EY121" i="3"/>
  <c r="ES117" i="3"/>
  <c r="ET117" i="3"/>
  <c r="ER117" i="3"/>
  <c r="EV117" i="3"/>
  <c r="EW117" i="3"/>
  <c r="EY117" i="3"/>
  <c r="EX117" i="3"/>
  <c r="EZ117" i="3"/>
  <c r="EU117" i="3"/>
  <c r="EN113" i="3"/>
  <c r="ER113" i="3"/>
  <c r="ET113" i="3"/>
  <c r="ES113" i="3"/>
  <c r="EX113" i="3"/>
  <c r="EZ113" i="3"/>
  <c r="EV113" i="3"/>
  <c r="EW113" i="3"/>
  <c r="EY113" i="3"/>
  <c r="ES109" i="3"/>
  <c r="EU109" i="3"/>
  <c r="EV109" i="3"/>
  <c r="EW109" i="3"/>
  <c r="EY109" i="3"/>
  <c r="EX109" i="3"/>
  <c r="EZ109" i="3"/>
  <c r="ER109" i="3"/>
  <c r="ET109" i="3"/>
  <c r="ES105" i="3"/>
  <c r="ER105" i="3"/>
  <c r="ET105" i="3"/>
  <c r="EU105" i="3"/>
  <c r="EV105" i="3"/>
  <c r="EX105" i="3"/>
  <c r="EZ105" i="3"/>
  <c r="EW105" i="3"/>
  <c r="EY105" i="3"/>
  <c r="ER101" i="3"/>
  <c r="ES101" i="3"/>
  <c r="ET101" i="3"/>
  <c r="EU101" i="3"/>
  <c r="EW101" i="3"/>
  <c r="EY101" i="3"/>
  <c r="EX101" i="3"/>
  <c r="EZ101" i="3"/>
  <c r="EV101" i="3"/>
  <c r="ER97" i="3"/>
  <c r="ES97" i="3"/>
  <c r="EX97" i="3"/>
  <c r="EZ97" i="3"/>
  <c r="EU97" i="3"/>
  <c r="EW97" i="3"/>
  <c r="EY97" i="3"/>
  <c r="ES93" i="3"/>
  <c r="ET93" i="3"/>
  <c r="EU93" i="3"/>
  <c r="EV93" i="3"/>
  <c r="ER93" i="3"/>
  <c r="EW93" i="3"/>
  <c r="EY93" i="3"/>
  <c r="EX93" i="3"/>
  <c r="EZ93" i="3"/>
  <c r="ES89" i="3"/>
  <c r="ER89" i="3"/>
  <c r="ET89" i="3"/>
  <c r="EU89" i="3"/>
  <c r="EV89" i="3"/>
  <c r="EX89" i="3"/>
  <c r="EZ89" i="3"/>
  <c r="EW89" i="3"/>
  <c r="EY89" i="3"/>
  <c r="ES85" i="3"/>
  <c r="ER85" i="3"/>
  <c r="ET85" i="3"/>
  <c r="EV85" i="3"/>
  <c r="EW85" i="3"/>
  <c r="EX85" i="3"/>
  <c r="EY85" i="3"/>
  <c r="EZ85" i="3"/>
  <c r="EU85" i="3"/>
  <c r="ER81" i="3"/>
  <c r="ET81" i="3"/>
  <c r="EX81" i="3"/>
  <c r="EY81" i="3"/>
  <c r="EZ81" i="3"/>
  <c r="EV81" i="3"/>
  <c r="EW81" i="3"/>
  <c r="ES77" i="3"/>
  <c r="EU77" i="3"/>
  <c r="EV77" i="3"/>
  <c r="ET77" i="3"/>
  <c r="EW77" i="3"/>
  <c r="EX77" i="3"/>
  <c r="EY77" i="3"/>
  <c r="EZ77" i="3"/>
  <c r="ES73" i="3"/>
  <c r="ER73" i="3"/>
  <c r="ET73" i="3"/>
  <c r="EU73" i="3"/>
  <c r="EV73" i="3"/>
  <c r="EX73" i="3"/>
  <c r="EY73" i="3"/>
  <c r="EZ73" i="3"/>
  <c r="EW73" i="3"/>
  <c r="ER69" i="3"/>
  <c r="ET69" i="3"/>
  <c r="ES69" i="3"/>
  <c r="EU69" i="3"/>
  <c r="EW69" i="3"/>
  <c r="EX69" i="3"/>
  <c r="EY69" i="3"/>
  <c r="EZ69" i="3"/>
  <c r="EV69" i="3"/>
  <c r="ER65" i="3"/>
  <c r="ES65" i="3"/>
  <c r="ET65" i="3"/>
  <c r="EX65" i="3"/>
  <c r="EY65" i="3"/>
  <c r="EZ65" i="3"/>
  <c r="EU65" i="3"/>
  <c r="EW65" i="3"/>
  <c r="ES61" i="3"/>
  <c r="EU61" i="3"/>
  <c r="EV61" i="3"/>
  <c r="ER61" i="3"/>
  <c r="ET61" i="3"/>
  <c r="EW61" i="3"/>
  <c r="EX61" i="3"/>
  <c r="EY61" i="3"/>
  <c r="EZ61" i="3"/>
  <c r="ES57" i="3"/>
  <c r="ER57" i="3"/>
  <c r="ET57" i="3"/>
  <c r="EU57" i="3"/>
  <c r="EV57" i="3"/>
  <c r="EX57" i="3"/>
  <c r="EY57" i="3"/>
  <c r="EZ57" i="3"/>
  <c r="EW57" i="3"/>
  <c r="ES53" i="3"/>
  <c r="ET53" i="3"/>
  <c r="ER53" i="3"/>
  <c r="EV53" i="3"/>
  <c r="EW53" i="3"/>
  <c r="EX53" i="3"/>
  <c r="EY53" i="3"/>
  <c r="EZ53" i="3"/>
  <c r="EU53" i="3"/>
  <c r="ER49" i="3"/>
  <c r="ET49" i="3"/>
  <c r="EX49" i="3"/>
  <c r="EY49" i="3"/>
  <c r="EZ49" i="3"/>
  <c r="EV49" i="3"/>
  <c r="EW49" i="3"/>
  <c r="ES49" i="3"/>
  <c r="ET45" i="3"/>
  <c r="ES45" i="3"/>
  <c r="EU45" i="3"/>
  <c r="EV45" i="3"/>
  <c r="ER45" i="3"/>
  <c r="EW45" i="3"/>
  <c r="EX45" i="3"/>
  <c r="EY45" i="3"/>
  <c r="EZ45" i="3"/>
  <c r="ES41" i="3"/>
  <c r="ER41" i="3"/>
  <c r="ET41" i="3"/>
  <c r="EU41" i="3"/>
  <c r="EV41" i="3"/>
  <c r="EX41" i="3"/>
  <c r="EY41" i="3"/>
  <c r="EZ41" i="3"/>
  <c r="EW41" i="3"/>
  <c r="ER37" i="3"/>
  <c r="ES37" i="3"/>
  <c r="EU37" i="3"/>
  <c r="EW37" i="3"/>
  <c r="EX37" i="3"/>
  <c r="EY37" i="3"/>
  <c r="EZ37" i="3"/>
  <c r="EV37" i="3"/>
  <c r="ER33" i="3"/>
  <c r="ET33" i="3"/>
  <c r="ES33" i="3"/>
  <c r="EX33" i="3"/>
  <c r="EY33" i="3"/>
  <c r="EZ33" i="3"/>
  <c r="EU33" i="3"/>
  <c r="EW33" i="3"/>
  <c r="ET29" i="3"/>
  <c r="ES29" i="3"/>
  <c r="EU29" i="3"/>
  <c r="EV29" i="3"/>
  <c r="ER29" i="3"/>
  <c r="EW29" i="3"/>
  <c r="EX29" i="3"/>
  <c r="EY29" i="3"/>
  <c r="EZ29" i="3"/>
  <c r="ES25" i="3"/>
  <c r="ER25" i="3"/>
  <c r="ET25" i="3"/>
  <c r="EU25" i="3"/>
  <c r="EV25" i="3"/>
  <c r="EX25" i="3"/>
  <c r="EY25" i="3"/>
  <c r="EZ25" i="3"/>
  <c r="EW25" i="3"/>
  <c r="ES21" i="3"/>
  <c r="ET21" i="3"/>
  <c r="ER21" i="3"/>
  <c r="EV21" i="3"/>
  <c r="EW21" i="3"/>
  <c r="EX21" i="3"/>
  <c r="EY21" i="3"/>
  <c r="EZ21" i="3"/>
  <c r="EU21" i="3"/>
  <c r="EP17" i="3"/>
  <c r="ER17" i="3"/>
  <c r="ET17" i="3"/>
  <c r="EX17" i="3"/>
  <c r="EY17" i="3"/>
  <c r="EZ17" i="3"/>
  <c r="ES17" i="3"/>
  <c r="EV17" i="3"/>
  <c r="EW17" i="3"/>
  <c r="ET13" i="3"/>
  <c r="ES13" i="3"/>
  <c r="EU13" i="3"/>
  <c r="EV13" i="3"/>
  <c r="EP13" i="3"/>
  <c r="EW13" i="3"/>
  <c r="EZ13" i="3"/>
  <c r="ER13" i="3"/>
  <c r="EX13" i="3"/>
  <c r="EY13" i="3"/>
  <c r="EN9" i="3"/>
  <c r="ER9" i="3"/>
  <c r="ET9" i="3"/>
  <c r="EP9" i="3"/>
  <c r="ES9" i="3"/>
  <c r="EU9" i="3"/>
  <c r="EV9" i="3"/>
  <c r="EX9" i="3"/>
  <c r="EY9" i="3"/>
  <c r="EW9" i="3"/>
  <c r="EZ9" i="3"/>
  <c r="EV417" i="3"/>
  <c r="EV289" i="3"/>
  <c r="EV33" i="3"/>
  <c r="EU497" i="3"/>
  <c r="EU369" i="3"/>
  <c r="EU241" i="3"/>
  <c r="EU113" i="3"/>
  <c r="ET577" i="3"/>
  <c r="ET449" i="3"/>
  <c r="ET241" i="3"/>
  <c r="ET149" i="3"/>
  <c r="ES193" i="3"/>
  <c r="EV385" i="3"/>
  <c r="EV257" i="3"/>
  <c r="EV129" i="3"/>
  <c r="EU593" i="3"/>
  <c r="EU465" i="3"/>
  <c r="EU337" i="3"/>
  <c r="EU209" i="3"/>
  <c r="EU81" i="3"/>
  <c r="ET545" i="3"/>
  <c r="ET417" i="3"/>
  <c r="ET177" i="3"/>
  <c r="EP597" i="3"/>
  <c r="ET597" i="3"/>
  <c r="EV597" i="3"/>
  <c r="EY597" i="3"/>
  <c r="EW597" i="3"/>
  <c r="EX597" i="3"/>
  <c r="ES597" i="3"/>
  <c r="EU597" i="3"/>
  <c r="ES589" i="3"/>
  <c r="ET589" i="3"/>
  <c r="EU589" i="3"/>
  <c r="EP589" i="3"/>
  <c r="EV589" i="3"/>
  <c r="EY589" i="3"/>
  <c r="EW589" i="3"/>
  <c r="EX589" i="3"/>
  <c r="EP581" i="3"/>
  <c r="ES581" i="3"/>
  <c r="EU581" i="3"/>
  <c r="EV581" i="3"/>
  <c r="EY581" i="3"/>
  <c r="EW581" i="3"/>
  <c r="EX581" i="3"/>
  <c r="ET581" i="3"/>
  <c r="ES573" i="3"/>
  <c r="EP573" i="3"/>
  <c r="ET573" i="3"/>
  <c r="EU573" i="3"/>
  <c r="EV573" i="3"/>
  <c r="EY573" i="3"/>
  <c r="EW573" i="3"/>
  <c r="EX573" i="3"/>
  <c r="EP565" i="3"/>
  <c r="ET565" i="3"/>
  <c r="EV565" i="3"/>
  <c r="EY565" i="3"/>
  <c r="ES565" i="3"/>
  <c r="EW565" i="3"/>
  <c r="EX565" i="3"/>
  <c r="EU565" i="3"/>
  <c r="EP557" i="3"/>
  <c r="ES557" i="3"/>
  <c r="ET557" i="3"/>
  <c r="EU557" i="3"/>
  <c r="EV557" i="3"/>
  <c r="EY557" i="3"/>
  <c r="EW557" i="3"/>
  <c r="EX557" i="3"/>
  <c r="EP549" i="3"/>
  <c r="ES549" i="3"/>
  <c r="EU549" i="3"/>
  <c r="EY549" i="3"/>
  <c r="EV549" i="3"/>
  <c r="EW549" i="3"/>
  <c r="EX549" i="3"/>
  <c r="ET549" i="3"/>
  <c r="ES541" i="3"/>
  <c r="ET541" i="3"/>
  <c r="EU541" i="3"/>
  <c r="EP541" i="3"/>
  <c r="EY541" i="3"/>
  <c r="EV541" i="3"/>
  <c r="EW541" i="3"/>
  <c r="EX541" i="3"/>
  <c r="EP533" i="3"/>
  <c r="ES533" i="3"/>
  <c r="ET533" i="3"/>
  <c r="EW533" i="3"/>
  <c r="EY533" i="3"/>
  <c r="EV533" i="3"/>
  <c r="EX533" i="3"/>
  <c r="EU533" i="3"/>
  <c r="ES525" i="3"/>
  <c r="ET525" i="3"/>
  <c r="EU525" i="3"/>
  <c r="EP525" i="3"/>
  <c r="EV525" i="3"/>
  <c r="EW525" i="3"/>
  <c r="EY525" i="3"/>
  <c r="EX525" i="3"/>
  <c r="EP517" i="3"/>
  <c r="ES517" i="3"/>
  <c r="ER517" i="3"/>
  <c r="EU517" i="3"/>
  <c r="EW517" i="3"/>
  <c r="EY517" i="3"/>
  <c r="EV517" i="3"/>
  <c r="EX517" i="3"/>
  <c r="ET517" i="3"/>
  <c r="ES509" i="3"/>
  <c r="EP509" i="3"/>
  <c r="ER509" i="3"/>
  <c r="ET509" i="3"/>
  <c r="EU509" i="3"/>
  <c r="EW509" i="3"/>
  <c r="EV509" i="3"/>
  <c r="EX509" i="3"/>
  <c r="EY509" i="3"/>
  <c r="EP501" i="3"/>
  <c r="ER501" i="3"/>
  <c r="ET501" i="3"/>
  <c r="EW501" i="3"/>
  <c r="EV501" i="3"/>
  <c r="EX501" i="3"/>
  <c r="EY501" i="3"/>
  <c r="EU501" i="3"/>
  <c r="EP493" i="3"/>
  <c r="ES493" i="3"/>
  <c r="ER493" i="3"/>
  <c r="ET493" i="3"/>
  <c r="EU493" i="3"/>
  <c r="EV493" i="3"/>
  <c r="EW493" i="3"/>
  <c r="EX493" i="3"/>
  <c r="EY493" i="3"/>
  <c r="ES485" i="3"/>
  <c r="ER485" i="3"/>
  <c r="EP485" i="3"/>
  <c r="EU485" i="3"/>
  <c r="EX485" i="3"/>
  <c r="EV485" i="3"/>
  <c r="EW485" i="3"/>
  <c r="EY485" i="3"/>
  <c r="ET485" i="3"/>
  <c r="ES477" i="3"/>
  <c r="ER477" i="3"/>
  <c r="EP477" i="3"/>
  <c r="ET477" i="3"/>
  <c r="EU477" i="3"/>
  <c r="EX477" i="3"/>
  <c r="EY477" i="3"/>
  <c r="EV477" i="3"/>
  <c r="EW477" i="3"/>
  <c r="ER469" i="3"/>
  <c r="ET469" i="3"/>
  <c r="EX469" i="3"/>
  <c r="EY469" i="3"/>
  <c r="EV469" i="3"/>
  <c r="EW469" i="3"/>
  <c r="ES469" i="3"/>
  <c r="EU469" i="3"/>
  <c r="ES461" i="3"/>
  <c r="ER461" i="3"/>
  <c r="ET461" i="3"/>
  <c r="EU461" i="3"/>
  <c r="EX461" i="3"/>
  <c r="EY461" i="3"/>
  <c r="EV461" i="3"/>
  <c r="EW461" i="3"/>
  <c r="ER453" i="3"/>
  <c r="ES453" i="3"/>
  <c r="EU453" i="3"/>
  <c r="EW453" i="3"/>
  <c r="EX453" i="3"/>
  <c r="EY453" i="3"/>
  <c r="EV453" i="3"/>
  <c r="ET453" i="3"/>
  <c r="ER445" i="3"/>
  <c r="ES445" i="3"/>
  <c r="ET445" i="3"/>
  <c r="EU445" i="3"/>
  <c r="EV445" i="3"/>
  <c r="EW445" i="3"/>
  <c r="EX445" i="3"/>
  <c r="EY445" i="3"/>
  <c r="ER437" i="3"/>
  <c r="ET437" i="3"/>
  <c r="EV437" i="3"/>
  <c r="EW437" i="3"/>
  <c r="EX437" i="3"/>
  <c r="EY437" i="3"/>
  <c r="ES437" i="3"/>
  <c r="EU437" i="3"/>
  <c r="ES429" i="3"/>
  <c r="ET429" i="3"/>
  <c r="EU429" i="3"/>
  <c r="EV429" i="3"/>
  <c r="ER429" i="3"/>
  <c r="EW429" i="3"/>
  <c r="EX429" i="3"/>
  <c r="EY429" i="3"/>
  <c r="ER421" i="3"/>
  <c r="ES421" i="3"/>
  <c r="EU421" i="3"/>
  <c r="EW421" i="3"/>
  <c r="EX421" i="3"/>
  <c r="EY421" i="3"/>
  <c r="EV421" i="3"/>
  <c r="ET421" i="3"/>
  <c r="ES413" i="3"/>
  <c r="ER413" i="3"/>
  <c r="ET413" i="3"/>
  <c r="EU413" i="3"/>
  <c r="EV413" i="3"/>
  <c r="EW413" i="3"/>
  <c r="EX413" i="3"/>
  <c r="EY413" i="3"/>
  <c r="ER405" i="3"/>
  <c r="ES405" i="3"/>
  <c r="ET405" i="3"/>
  <c r="EV405" i="3"/>
  <c r="EW405" i="3"/>
  <c r="EX405" i="3"/>
  <c r="EY405" i="3"/>
  <c r="EU405" i="3"/>
  <c r="ES397" i="3"/>
  <c r="ER397" i="3"/>
  <c r="ET397" i="3"/>
  <c r="EU397" i="3"/>
  <c r="EV397" i="3"/>
  <c r="EW397" i="3"/>
  <c r="EX397" i="3"/>
  <c r="EY397" i="3"/>
  <c r="ER389" i="3"/>
  <c r="ES389" i="3"/>
  <c r="ET389" i="3"/>
  <c r="EU389" i="3"/>
  <c r="EW389" i="3"/>
  <c r="EX389" i="3"/>
  <c r="EY389" i="3"/>
  <c r="EV389" i="3"/>
  <c r="ER381" i="3"/>
  <c r="ES381" i="3"/>
  <c r="ET381" i="3"/>
  <c r="EU381" i="3"/>
  <c r="EV381" i="3"/>
  <c r="EW381" i="3"/>
  <c r="EX381" i="3"/>
  <c r="EY381" i="3"/>
  <c r="ER373" i="3"/>
  <c r="ET373" i="3"/>
  <c r="EV373" i="3"/>
  <c r="EW373" i="3"/>
  <c r="EX373" i="3"/>
  <c r="EY373" i="3"/>
  <c r="EU373" i="3"/>
  <c r="ES365" i="3"/>
  <c r="ET365" i="3"/>
  <c r="EU365" i="3"/>
  <c r="EV365" i="3"/>
  <c r="EW365" i="3"/>
  <c r="EX365" i="3"/>
  <c r="EY365" i="3"/>
  <c r="ER365" i="3"/>
  <c r="ER357" i="3"/>
  <c r="ES357" i="3"/>
  <c r="ET357" i="3"/>
  <c r="EU357" i="3"/>
  <c r="EW357" i="3"/>
  <c r="EX357" i="3"/>
  <c r="EY357" i="3"/>
  <c r="EV357" i="3"/>
  <c r="ES349" i="3"/>
  <c r="ER349" i="3"/>
  <c r="ET349" i="3"/>
  <c r="EU349" i="3"/>
  <c r="EV349" i="3"/>
  <c r="EW349" i="3"/>
  <c r="EX349" i="3"/>
  <c r="EY349" i="3"/>
  <c r="ER341" i="3"/>
  <c r="ET341" i="3"/>
  <c r="EV341" i="3"/>
  <c r="EW341" i="3"/>
  <c r="EX341" i="3"/>
  <c r="EY341" i="3"/>
  <c r="ES341" i="3"/>
  <c r="EU341" i="3"/>
  <c r="ES333" i="3"/>
  <c r="ER333" i="3"/>
  <c r="ET333" i="3"/>
  <c r="EU333" i="3"/>
  <c r="EV333" i="3"/>
  <c r="EW333" i="3"/>
  <c r="EX333" i="3"/>
  <c r="EY333" i="3"/>
  <c r="ER325" i="3"/>
  <c r="ES325" i="3"/>
  <c r="ET325" i="3"/>
  <c r="EU325" i="3"/>
  <c r="EW325" i="3"/>
  <c r="EX325" i="3"/>
  <c r="EV325" i="3"/>
  <c r="EY325" i="3"/>
  <c r="ER317" i="3"/>
  <c r="ET317" i="3"/>
  <c r="EU317" i="3"/>
  <c r="EV317" i="3"/>
  <c r="ES317" i="3"/>
  <c r="EW317" i="3"/>
  <c r="EX317" i="3"/>
  <c r="EY317" i="3"/>
  <c r="ER309" i="3"/>
  <c r="ET309" i="3"/>
  <c r="EV309" i="3"/>
  <c r="EW309" i="3"/>
  <c r="EX309" i="3"/>
  <c r="EY309" i="3"/>
  <c r="ES309" i="3"/>
  <c r="EU309" i="3"/>
  <c r="ES301" i="3"/>
  <c r="ET301" i="3"/>
  <c r="EU301" i="3"/>
  <c r="EV301" i="3"/>
  <c r="EW301" i="3"/>
  <c r="EX301" i="3"/>
  <c r="EY301" i="3"/>
  <c r="ER301" i="3"/>
  <c r="ES293" i="3"/>
  <c r="ER293" i="3"/>
  <c r="ET293" i="3"/>
  <c r="EU293" i="3"/>
  <c r="EW293" i="3"/>
  <c r="EX293" i="3"/>
  <c r="EY293" i="3"/>
  <c r="EV293" i="3"/>
  <c r="ER285" i="3"/>
  <c r="ET285" i="3"/>
  <c r="EU285" i="3"/>
  <c r="EV285" i="3"/>
  <c r="EW285" i="3"/>
  <c r="EX285" i="3"/>
  <c r="EY285" i="3"/>
  <c r="ER273" i="3"/>
  <c r="ES273" i="3"/>
  <c r="EY273" i="3"/>
  <c r="ET273" i="3"/>
  <c r="EV273" i="3"/>
  <c r="EW273" i="3"/>
  <c r="EX273" i="3"/>
  <c r="ER161" i="3"/>
  <c r="EX161" i="3"/>
  <c r="EY161" i="3"/>
  <c r="EZ161" i="3"/>
  <c r="EU161" i="3"/>
  <c r="EW161" i="3"/>
  <c r="ES161" i="3"/>
  <c r="ET161" i="3"/>
  <c r="ET8" i="3"/>
  <c r="EX8" i="3"/>
  <c r="EV353" i="3"/>
  <c r="EV225" i="3"/>
  <c r="EV97" i="3"/>
  <c r="EU561" i="3"/>
  <c r="EU433" i="3"/>
  <c r="EU305" i="3"/>
  <c r="EU177" i="3"/>
  <c r="EU49" i="3"/>
  <c r="ET513" i="3"/>
  <c r="ET369" i="3"/>
  <c r="ET37" i="3"/>
  <c r="ES285" i="3"/>
  <c r="ES81" i="3"/>
  <c r="ER321" i="3"/>
  <c r="EP593" i="3"/>
  <c r="EP585" i="3"/>
  <c r="EP577" i="3"/>
  <c r="EP569" i="3"/>
  <c r="EP561" i="3"/>
  <c r="EP553" i="3"/>
  <c r="EP545" i="3"/>
  <c r="EP537" i="3"/>
  <c r="EP529" i="3"/>
  <c r="EP521" i="3"/>
  <c r="EP513" i="3"/>
  <c r="EP505" i="3"/>
  <c r="EP497" i="3"/>
  <c r="EP489" i="3"/>
  <c r="EP481" i="3"/>
  <c r="ER597" i="3"/>
  <c r="ER589" i="3"/>
  <c r="ER585" i="3"/>
  <c r="ER581" i="3"/>
  <c r="ER573" i="3"/>
  <c r="ER569" i="3"/>
  <c r="ER565" i="3"/>
  <c r="ER561" i="3"/>
  <c r="ER557" i="3"/>
  <c r="ER553" i="3"/>
  <c r="ER549" i="3"/>
  <c r="ER545" i="3"/>
  <c r="ER541" i="3"/>
  <c r="ER537" i="3"/>
  <c r="ER533" i="3"/>
  <c r="ER529" i="3"/>
  <c r="ER525" i="3"/>
  <c r="EL586" i="3"/>
  <c r="EL582" i="3"/>
  <c r="EL578" i="3"/>
  <c r="EL570" i="3"/>
  <c r="EN570" i="3"/>
  <c r="EL566" i="3"/>
  <c r="EL550" i="3"/>
  <c r="EL546" i="3"/>
  <c r="EN538" i="3"/>
  <c r="EL538" i="3"/>
  <c r="EL534" i="3"/>
  <c r="EL522" i="3"/>
  <c r="EL518" i="3"/>
  <c r="EN506" i="3"/>
  <c r="EL506" i="3"/>
  <c r="EL502" i="3"/>
  <c r="EL498" i="3"/>
  <c r="EL490" i="3"/>
  <c r="EL482" i="3"/>
  <c r="EL470" i="3"/>
  <c r="EL466" i="3"/>
  <c r="EL458" i="3"/>
  <c r="EL454" i="3"/>
  <c r="EL438" i="3"/>
  <c r="EL434" i="3"/>
  <c r="EL426" i="3"/>
  <c r="EL422" i="3"/>
  <c r="EN422" i="3"/>
  <c r="EL418" i="3"/>
  <c r="EL406" i="3"/>
  <c r="EN406" i="3"/>
  <c r="EL394" i="3"/>
  <c r="EN390" i="3"/>
  <c r="EL390" i="3"/>
  <c r="EL386" i="3"/>
  <c r="EL378" i="3"/>
  <c r="EL374" i="3"/>
  <c r="EN374" i="3"/>
  <c r="EN358" i="3"/>
  <c r="EL358" i="3"/>
  <c r="EL354" i="3"/>
  <c r="EL346" i="3"/>
  <c r="EL342" i="3"/>
  <c r="EN342" i="3"/>
  <c r="EL330" i="3"/>
  <c r="EL322" i="3"/>
  <c r="ES318" i="3"/>
  <c r="EN318" i="3"/>
  <c r="EL314" i="3"/>
  <c r="ES310" i="3"/>
  <c r="EL310" i="3"/>
  <c r="EN310" i="3"/>
  <c r="EL306" i="3"/>
  <c r="ES302" i="3"/>
  <c r="EN302" i="3"/>
  <c r="ES294" i="3"/>
  <c r="EL294" i="3"/>
  <c r="EN294" i="3"/>
  <c r="ES290" i="3"/>
  <c r="EL290" i="3"/>
  <c r="ES286" i="3"/>
  <c r="EN286" i="3"/>
  <c r="ES278" i="3"/>
  <c r="EN278" i="3"/>
  <c r="EL278" i="3"/>
  <c r="ES274" i="3"/>
  <c r="EL274" i="3"/>
  <c r="ES270" i="3"/>
  <c r="EN270" i="3"/>
  <c r="ES266" i="3"/>
  <c r="EL266" i="3"/>
  <c r="ES262" i="3"/>
  <c r="EL262" i="3"/>
  <c r="EN262" i="3"/>
  <c r="ES254" i="3"/>
  <c r="EN254" i="3"/>
  <c r="ES246" i="3"/>
  <c r="EL246" i="3"/>
  <c r="EN246" i="3"/>
  <c r="ES242" i="3"/>
  <c r="EL242" i="3"/>
  <c r="ES238" i="3"/>
  <c r="EN238" i="3"/>
  <c r="ES234" i="3"/>
  <c r="EL234" i="3"/>
  <c r="ES230" i="3"/>
  <c r="EL230" i="3"/>
  <c r="EN230" i="3"/>
  <c r="ES226" i="3"/>
  <c r="EL226" i="3"/>
  <c r="ES222" i="3"/>
  <c r="EN222" i="3"/>
  <c r="ES214" i="3"/>
  <c r="EN214" i="3"/>
  <c r="ES210" i="3"/>
  <c r="EL210" i="3"/>
  <c r="ES206" i="3"/>
  <c r="EN206" i="3"/>
  <c r="ES202" i="3"/>
  <c r="EL202" i="3"/>
  <c r="ES198" i="3"/>
  <c r="EN198" i="3"/>
  <c r="EL198" i="3"/>
  <c r="ES194" i="3"/>
  <c r="EL194" i="3"/>
  <c r="ES190" i="3"/>
  <c r="EN190" i="3"/>
  <c r="ES182" i="3"/>
  <c r="EL182" i="3"/>
  <c r="EN182" i="3"/>
  <c r="ES178" i="3"/>
  <c r="EL178" i="3"/>
  <c r="ES174" i="3"/>
  <c r="EN174" i="3"/>
  <c r="ES166" i="3"/>
  <c r="EN166" i="3"/>
  <c r="EL166" i="3"/>
  <c r="ES162" i="3"/>
  <c r="EL162" i="3"/>
  <c r="ES158" i="3"/>
  <c r="EN158" i="3"/>
  <c r="ES154" i="3"/>
  <c r="EL154" i="3"/>
  <c r="ES150" i="3"/>
  <c r="EL150" i="3"/>
  <c r="EN150" i="3"/>
  <c r="ES142" i="3"/>
  <c r="EN142" i="3"/>
  <c r="ES138" i="3"/>
  <c r="EL138" i="3"/>
  <c r="ES134" i="3"/>
  <c r="EN134" i="3"/>
  <c r="ES130" i="3"/>
  <c r="EL130" i="3"/>
  <c r="ES126" i="3"/>
  <c r="EN126" i="3"/>
  <c r="ES122" i="3"/>
  <c r="EL122" i="3"/>
  <c r="ES118" i="3"/>
  <c r="EL118" i="3"/>
  <c r="EN118" i="3"/>
  <c r="ES114" i="3"/>
  <c r="EL114" i="3"/>
  <c r="ES98" i="3"/>
  <c r="EL98" i="3"/>
  <c r="ES90" i="3"/>
  <c r="EL90" i="3"/>
  <c r="ES86" i="3"/>
  <c r="EL86" i="3"/>
  <c r="ES82" i="3"/>
  <c r="EL82" i="3"/>
  <c r="ES74" i="3"/>
  <c r="EL74" i="3"/>
  <c r="ES66" i="3"/>
  <c r="EL66" i="3"/>
  <c r="ES54" i="3"/>
  <c r="EL54" i="3"/>
  <c r="ES50" i="3"/>
  <c r="EL50" i="3"/>
  <c r="ES42" i="3"/>
  <c r="EL42" i="3"/>
  <c r="ES38" i="3"/>
  <c r="EL38" i="3"/>
  <c r="ES34" i="3"/>
  <c r="EL34" i="3"/>
  <c r="ES18" i="3"/>
  <c r="EN18" i="3"/>
  <c r="ES10" i="3"/>
  <c r="EN10" i="3"/>
  <c r="EN598" i="3"/>
  <c r="EN590" i="3"/>
  <c r="EN582" i="3"/>
  <c r="EN574" i="3"/>
  <c r="EN566" i="3"/>
  <c r="EN558" i="3"/>
  <c r="EN550" i="3"/>
  <c r="EN542" i="3"/>
  <c r="EN534" i="3"/>
  <c r="EN526" i="3"/>
  <c r="EN518" i="3"/>
  <c r="EN510" i="3"/>
  <c r="EN502" i="3"/>
  <c r="EN494" i="3"/>
  <c r="EN486" i="3"/>
  <c r="EN478" i="3"/>
  <c r="EN470" i="3"/>
  <c r="EN462" i="3"/>
  <c r="EN454" i="3"/>
  <c r="EN446" i="3"/>
  <c r="EN438" i="3"/>
  <c r="EN430" i="3"/>
  <c r="EN110" i="3"/>
  <c r="EN106" i="3"/>
  <c r="EN102" i="3"/>
  <c r="EN98" i="3"/>
  <c r="EN94" i="3"/>
  <c r="EN90" i="3"/>
  <c r="EN86" i="3"/>
  <c r="EN82" i="3"/>
  <c r="EN78" i="3"/>
  <c r="EN74" i="3"/>
  <c r="EP237" i="3"/>
  <c r="EP233" i="3"/>
  <c r="EP229" i="3"/>
  <c r="EP225" i="3"/>
  <c r="EP221" i="3"/>
  <c r="EP217" i="3"/>
  <c r="EP213" i="3"/>
  <c r="EP209" i="3"/>
  <c r="EP205" i="3"/>
  <c r="EP201" i="3"/>
  <c r="EP197" i="3"/>
  <c r="EP193" i="3"/>
  <c r="EP189" i="3"/>
  <c r="EP185" i="3"/>
  <c r="EP181" i="3"/>
  <c r="EP177" i="3"/>
  <c r="EP173" i="3"/>
  <c r="EP169" i="3"/>
  <c r="EP165" i="3"/>
  <c r="EP161" i="3"/>
  <c r="EP157" i="3"/>
  <c r="EP153" i="3"/>
  <c r="EP149" i="3"/>
  <c r="EP145" i="3"/>
  <c r="EP141" i="3"/>
  <c r="EP137" i="3"/>
  <c r="EP133" i="3"/>
  <c r="EP129" i="3"/>
  <c r="EP125" i="3"/>
  <c r="EP121" i="3"/>
  <c r="EP117" i="3"/>
  <c r="EP113" i="3"/>
  <c r="EP109" i="3"/>
  <c r="EP105" i="3"/>
  <c r="EP101" i="3"/>
  <c r="EP97" i="3"/>
  <c r="EP93" i="3"/>
  <c r="EP89" i="3"/>
  <c r="EP85" i="3"/>
  <c r="EP81" i="3"/>
  <c r="EP77" i="3"/>
  <c r="EP73" i="3"/>
  <c r="EP69" i="3"/>
  <c r="EP65" i="3"/>
  <c r="EP61" i="3"/>
  <c r="EP57" i="3"/>
  <c r="EP53" i="3"/>
  <c r="EP49" i="3"/>
  <c r="EP45" i="3"/>
  <c r="EP41" i="3"/>
  <c r="EP37" i="3"/>
  <c r="EP33" i="3"/>
  <c r="EP29" i="3"/>
  <c r="EP25" i="3"/>
  <c r="EP21" i="3"/>
  <c r="EN597" i="3"/>
  <c r="EN593" i="3"/>
  <c r="EN589" i="3"/>
  <c r="EN581" i="3"/>
  <c r="EN577" i="3"/>
  <c r="EN573" i="3"/>
  <c r="EN565" i="3"/>
  <c r="EN561" i="3"/>
  <c r="EN557" i="3"/>
  <c r="EN549" i="3"/>
  <c r="EN545" i="3"/>
  <c r="EN541" i="3"/>
  <c r="EN533" i="3"/>
  <c r="EN529" i="3"/>
  <c r="EN525" i="3"/>
  <c r="EN517" i="3"/>
  <c r="EN513" i="3"/>
  <c r="EN509" i="3"/>
  <c r="EN501" i="3"/>
  <c r="EN497" i="3"/>
  <c r="EN493" i="3"/>
  <c r="EN485" i="3"/>
  <c r="EN481" i="3"/>
  <c r="EN477" i="3"/>
  <c r="EN473" i="3"/>
  <c r="EN469" i="3"/>
  <c r="EN465" i="3"/>
  <c r="EN461" i="3"/>
  <c r="EN457" i="3"/>
  <c r="EN453" i="3"/>
  <c r="EN449" i="3"/>
  <c r="EN445" i="3"/>
  <c r="EN441" i="3"/>
  <c r="EN437" i="3"/>
  <c r="EN433" i="3"/>
  <c r="EN429" i="3"/>
  <c r="EN425" i="3"/>
  <c r="EN421" i="3"/>
  <c r="EN417" i="3"/>
  <c r="EN413" i="3"/>
  <c r="EN409" i="3"/>
  <c r="EN405" i="3"/>
  <c r="EN401" i="3"/>
  <c r="EN397" i="3"/>
  <c r="EN393" i="3"/>
  <c r="EN389" i="3"/>
  <c r="EN385" i="3"/>
  <c r="EN381" i="3"/>
  <c r="EN377" i="3"/>
  <c r="EN373" i="3"/>
  <c r="EN369" i="3"/>
  <c r="EN365" i="3"/>
  <c r="EN361" i="3"/>
  <c r="EN357" i="3"/>
  <c r="EN353" i="3"/>
  <c r="EN349" i="3"/>
  <c r="EN345" i="3"/>
  <c r="EN341" i="3"/>
  <c r="EN337" i="3"/>
  <c r="EN333" i="3"/>
  <c r="EN329" i="3"/>
  <c r="EN325" i="3"/>
  <c r="EN321" i="3"/>
  <c r="EN317" i="3"/>
  <c r="EN313" i="3"/>
  <c r="EN309" i="3"/>
  <c r="EN305" i="3"/>
  <c r="EN301" i="3"/>
  <c r="EN297" i="3"/>
  <c r="EN293" i="3"/>
  <c r="EN289" i="3"/>
  <c r="EN285" i="3"/>
  <c r="EN281" i="3"/>
  <c r="EN277" i="3"/>
  <c r="EN273" i="3"/>
  <c r="EN269" i="3"/>
  <c r="EN265" i="3"/>
  <c r="EN261" i="3"/>
  <c r="EN257" i="3"/>
  <c r="EN253" i="3"/>
  <c r="EN249" i="3"/>
  <c r="EN245" i="3"/>
  <c r="EN241" i="3"/>
  <c r="EN237" i="3"/>
  <c r="EN233" i="3"/>
  <c r="EN229" i="3"/>
  <c r="EN225" i="3"/>
  <c r="EN221" i="3"/>
  <c r="EN217" i="3"/>
  <c r="EN209" i="3"/>
  <c r="EN201" i="3"/>
  <c r="EN197" i="3"/>
  <c r="EN193" i="3"/>
  <c r="EN189" i="3"/>
  <c r="EN185" i="3"/>
  <c r="EN181" i="3"/>
  <c r="EN177" i="3"/>
  <c r="EN173" i="3"/>
  <c r="EN169" i="3"/>
  <c r="EN165" i="3"/>
  <c r="EN161" i="3"/>
  <c r="EN157" i="3"/>
  <c r="EN153" i="3"/>
  <c r="EN149" i="3"/>
  <c r="EN145" i="3"/>
  <c r="EN141" i="3"/>
  <c r="EN137" i="3"/>
  <c r="EN133" i="3"/>
  <c r="EN129" i="3"/>
  <c r="EN125" i="3"/>
  <c r="EN121" i="3"/>
  <c r="EN117" i="3"/>
  <c r="EN109" i="3"/>
  <c r="EN105" i="3"/>
  <c r="EN101" i="3"/>
  <c r="EN97" i="3"/>
  <c r="EN93" i="3"/>
  <c r="EN89" i="3"/>
  <c r="EN85" i="3"/>
  <c r="EN81" i="3"/>
  <c r="EN77" i="3"/>
  <c r="EN73" i="3"/>
  <c r="EN69" i="3"/>
  <c r="EN65" i="3"/>
  <c r="EN61" i="3"/>
  <c r="EN57" i="3"/>
  <c r="EN53" i="3"/>
  <c r="EN49" i="3"/>
  <c r="EN45" i="3"/>
  <c r="EN41" i="3"/>
  <c r="EN37" i="3"/>
  <c r="EN33" i="3"/>
  <c r="EN29" i="3"/>
  <c r="EN25" i="3"/>
  <c r="EN21" i="3"/>
  <c r="EN17" i="3"/>
  <c r="EN13" i="3"/>
  <c r="EN70" i="3"/>
  <c r="EN66" i="3"/>
  <c r="EN62" i="3"/>
  <c r="EN58" i="3"/>
  <c r="EN54" i="3"/>
  <c r="EN50" i="3"/>
  <c r="EN46" i="3"/>
  <c r="EN42" i="3"/>
  <c r="EN38" i="3"/>
  <c r="EN34" i="3"/>
  <c r="EN30" i="3"/>
  <c r="EN26" i="3"/>
  <c r="EN22" i="3"/>
  <c r="ER595" i="3"/>
  <c r="ER579" i="3"/>
  <c r="EP143" i="3"/>
  <c r="EP79" i="3"/>
  <c r="EN556" i="3"/>
  <c r="EN552" i="3"/>
  <c r="EN548" i="3"/>
  <c r="EN544" i="3"/>
  <c r="EN540" i="3"/>
  <c r="EN536" i="3"/>
  <c r="EN532" i="3"/>
  <c r="EN528" i="3"/>
  <c r="EN524" i="3"/>
  <c r="EN520" i="3"/>
  <c r="EN516" i="3"/>
  <c r="EN512" i="3"/>
  <c r="EN508" i="3"/>
  <c r="EN504" i="3"/>
  <c r="EN500" i="3"/>
  <c r="EN496" i="3"/>
  <c r="EN492" i="3"/>
  <c r="EN488" i="3"/>
  <c r="EN484" i="3"/>
  <c r="EN480" i="3"/>
  <c r="EN476" i="3"/>
  <c r="EN472" i="3"/>
  <c r="EN468" i="3"/>
  <c r="EN464" i="3"/>
  <c r="EN460" i="3"/>
  <c r="EN456" i="3"/>
  <c r="EN452" i="3"/>
  <c r="EN448" i="3"/>
  <c r="EN444" i="3"/>
  <c r="EN440" i="3"/>
  <c r="EN436" i="3"/>
  <c r="EN432" i="3"/>
  <c r="EN428" i="3"/>
  <c r="EL590" i="3"/>
  <c r="EL574" i="3"/>
  <c r="EL558" i="3"/>
  <c r="EL542" i="3"/>
  <c r="EL526" i="3"/>
  <c r="EL510" i="3"/>
  <c r="EL494" i="3"/>
  <c r="EL478" i="3"/>
  <c r="EL462" i="3"/>
  <c r="ER599" i="3"/>
  <c r="EN599" i="3"/>
  <c r="EP599" i="3"/>
  <c r="ES599" i="3"/>
  <c r="ET599" i="3"/>
  <c r="EU599" i="3"/>
  <c r="EN587" i="3"/>
  <c r="EP587" i="3"/>
  <c r="ES587" i="3"/>
  <c r="ET587" i="3"/>
  <c r="EU587" i="3"/>
  <c r="EN571" i="3"/>
  <c r="EP571" i="3"/>
  <c r="ES571" i="3"/>
  <c r="ET571" i="3"/>
  <c r="EU571" i="3"/>
  <c r="EN559" i="3"/>
  <c r="EP559" i="3"/>
  <c r="ES559" i="3"/>
  <c r="ET559" i="3"/>
  <c r="EU559" i="3"/>
  <c r="EN543" i="3"/>
  <c r="EP543" i="3"/>
  <c r="ES543" i="3"/>
  <c r="ET543" i="3"/>
  <c r="EU543" i="3"/>
  <c r="EN531" i="3"/>
  <c r="EP531" i="3"/>
  <c r="ES531" i="3"/>
  <c r="ET531" i="3"/>
  <c r="EU531" i="3"/>
  <c r="EP519" i="3"/>
  <c r="EN519" i="3"/>
  <c r="ES519" i="3"/>
  <c r="ET519" i="3"/>
  <c r="EU519" i="3"/>
  <c r="EN503" i="3"/>
  <c r="EP503" i="3"/>
  <c r="ES503" i="3"/>
  <c r="ET503" i="3"/>
  <c r="EU503" i="3"/>
  <c r="EN491" i="3"/>
  <c r="EP491" i="3"/>
  <c r="ES491" i="3"/>
  <c r="ET491" i="3"/>
  <c r="EU491" i="3"/>
  <c r="EN475" i="3"/>
  <c r="EP475" i="3"/>
  <c r="ES475" i="3"/>
  <c r="ET475" i="3"/>
  <c r="EU475" i="3"/>
  <c r="EN459" i="3"/>
  <c r="EP459" i="3"/>
  <c r="ER459" i="3"/>
  <c r="ES459" i="3"/>
  <c r="ET459" i="3"/>
  <c r="EU459" i="3"/>
  <c r="EN447" i="3"/>
  <c r="ER447" i="3"/>
  <c r="ES447" i="3"/>
  <c r="ET447" i="3"/>
  <c r="EU447" i="3"/>
  <c r="EV447" i="3"/>
  <c r="EN431" i="3"/>
  <c r="EP431" i="3"/>
  <c r="ER431" i="3"/>
  <c r="ES431" i="3"/>
  <c r="ET431" i="3"/>
  <c r="EU431" i="3"/>
  <c r="EV431" i="3"/>
  <c r="EN415" i="3"/>
  <c r="EP415" i="3"/>
  <c r="ER415" i="3"/>
  <c r="ES415" i="3"/>
  <c r="ET415" i="3"/>
  <c r="EU415" i="3"/>
  <c r="EV415" i="3"/>
  <c r="EP403" i="3"/>
  <c r="EN403" i="3"/>
  <c r="ER403" i="3"/>
  <c r="ES403" i="3"/>
  <c r="ET403" i="3"/>
  <c r="EU403" i="3"/>
  <c r="EV403" i="3"/>
  <c r="EP387" i="3"/>
  <c r="EN387" i="3"/>
  <c r="ER387" i="3"/>
  <c r="ES387" i="3"/>
  <c r="ET387" i="3"/>
  <c r="EU387" i="3"/>
  <c r="EV387" i="3"/>
  <c r="EP371" i="3"/>
  <c r="EN371" i="3"/>
  <c r="ER371" i="3"/>
  <c r="ES371" i="3"/>
  <c r="ET371" i="3"/>
  <c r="EU371" i="3"/>
  <c r="EV371" i="3"/>
  <c r="EP359" i="3"/>
  <c r="EN359" i="3"/>
  <c r="ER359" i="3"/>
  <c r="ES359" i="3"/>
  <c r="ET359" i="3"/>
  <c r="EU359" i="3"/>
  <c r="EV359" i="3"/>
  <c r="EP343" i="3"/>
  <c r="EN343" i="3"/>
  <c r="ER343" i="3"/>
  <c r="ES343" i="3"/>
  <c r="ET343" i="3"/>
  <c r="EU343" i="3"/>
  <c r="EV343" i="3"/>
  <c r="EN331" i="3"/>
  <c r="EP331" i="3"/>
  <c r="ER331" i="3"/>
  <c r="ES331" i="3"/>
  <c r="ET331" i="3"/>
  <c r="EU331" i="3"/>
  <c r="EV331" i="3"/>
  <c r="EN315" i="3"/>
  <c r="ER315" i="3"/>
  <c r="EP315" i="3"/>
  <c r="ES315" i="3"/>
  <c r="ET315" i="3"/>
  <c r="EU315" i="3"/>
  <c r="EV315" i="3"/>
  <c r="EN303" i="3"/>
  <c r="EP303" i="3"/>
  <c r="ER303" i="3"/>
  <c r="ET303" i="3"/>
  <c r="EU303" i="3"/>
  <c r="EV303" i="3"/>
  <c r="ES287" i="3"/>
  <c r="EN287" i="3"/>
  <c r="EP287" i="3"/>
  <c r="ER287" i="3"/>
  <c r="ET287" i="3"/>
  <c r="EU287" i="3"/>
  <c r="EV287" i="3"/>
  <c r="EP275" i="3"/>
  <c r="EN275" i="3"/>
  <c r="ER275" i="3"/>
  <c r="ET275" i="3"/>
  <c r="EU275" i="3"/>
  <c r="ES275" i="3"/>
  <c r="EV275" i="3"/>
  <c r="EP259" i="3"/>
  <c r="EN259" i="3"/>
  <c r="ER259" i="3"/>
  <c r="ES259" i="3"/>
  <c r="ET259" i="3"/>
  <c r="EU259" i="3"/>
  <c r="EV259" i="3"/>
  <c r="EP247" i="3"/>
  <c r="ES247" i="3"/>
  <c r="EN247" i="3"/>
  <c r="ER247" i="3"/>
  <c r="ET247" i="3"/>
  <c r="EU247" i="3"/>
  <c r="EV247" i="3"/>
  <c r="EP231" i="3"/>
  <c r="ES231" i="3"/>
  <c r="EN231" i="3"/>
  <c r="ER231" i="3"/>
  <c r="ET231" i="3"/>
  <c r="EU231" i="3"/>
  <c r="EV231" i="3"/>
  <c r="EN219" i="3"/>
  <c r="EP219" i="3"/>
  <c r="ER219" i="3"/>
  <c r="ET219" i="3"/>
  <c r="EU219" i="3"/>
  <c r="ES219" i="3"/>
  <c r="EV219" i="3"/>
  <c r="EN203" i="3"/>
  <c r="EP203" i="3"/>
  <c r="ER203" i="3"/>
  <c r="ET203" i="3"/>
  <c r="EU203" i="3"/>
  <c r="EV203" i="3"/>
  <c r="EN191" i="3"/>
  <c r="ES191" i="3"/>
  <c r="EP191" i="3"/>
  <c r="ER191" i="3"/>
  <c r="ET191" i="3"/>
  <c r="EU191" i="3"/>
  <c r="EV191" i="3"/>
  <c r="EN175" i="3"/>
  <c r="ES175" i="3"/>
  <c r="ER175" i="3"/>
  <c r="ET175" i="3"/>
  <c r="EU175" i="3"/>
  <c r="EP175" i="3"/>
  <c r="EV175" i="3"/>
  <c r="EN163" i="3"/>
  <c r="EP163" i="3"/>
  <c r="ER163" i="3"/>
  <c r="ES163" i="3"/>
  <c r="ET163" i="3"/>
  <c r="EU163" i="3"/>
  <c r="EV163" i="3"/>
  <c r="EN147" i="3"/>
  <c r="EP147" i="3"/>
  <c r="ER147" i="3"/>
  <c r="ET147" i="3"/>
  <c r="EU147" i="3"/>
  <c r="ES147" i="3"/>
  <c r="EV147" i="3"/>
  <c r="EN135" i="3"/>
  <c r="EP135" i="3"/>
  <c r="ES135" i="3"/>
  <c r="ER135" i="3"/>
  <c r="ET135" i="3"/>
  <c r="EU135" i="3"/>
  <c r="EV135" i="3"/>
  <c r="EN119" i="3"/>
  <c r="EP119" i="3"/>
  <c r="ES119" i="3"/>
  <c r="ER119" i="3"/>
  <c r="ET119" i="3"/>
  <c r="EU119" i="3"/>
  <c r="EV119" i="3"/>
  <c r="EN107" i="3"/>
  <c r="EP107" i="3"/>
  <c r="ER107" i="3"/>
  <c r="ET107" i="3"/>
  <c r="EU107" i="3"/>
  <c r="EV107" i="3"/>
  <c r="EN91" i="3"/>
  <c r="ER91" i="3"/>
  <c r="ET91" i="3"/>
  <c r="EU91" i="3"/>
  <c r="EP91" i="3"/>
  <c r="ES91" i="3"/>
  <c r="EV91" i="3"/>
  <c r="EN75" i="3"/>
  <c r="EP75" i="3"/>
  <c r="ER75" i="3"/>
  <c r="ET75" i="3"/>
  <c r="EU75" i="3"/>
  <c r="EV75" i="3"/>
  <c r="EN63" i="3"/>
  <c r="ES63" i="3"/>
  <c r="EP63" i="3"/>
  <c r="ER63" i="3"/>
  <c r="ET63" i="3"/>
  <c r="EU63" i="3"/>
  <c r="EV63" i="3"/>
  <c r="EN51" i="3"/>
  <c r="EP51" i="3"/>
  <c r="ER51" i="3"/>
  <c r="ET51" i="3"/>
  <c r="EU51" i="3"/>
  <c r="ES51" i="3"/>
  <c r="EV51" i="3"/>
  <c r="EN43" i="3"/>
  <c r="EP43" i="3"/>
  <c r="ER43" i="3"/>
  <c r="ET43" i="3"/>
  <c r="EU43" i="3"/>
  <c r="EV43" i="3"/>
  <c r="EN35" i="3"/>
  <c r="EP35" i="3"/>
  <c r="ER35" i="3"/>
  <c r="ES35" i="3"/>
  <c r="ET35" i="3"/>
  <c r="EU35" i="3"/>
  <c r="EV35" i="3"/>
  <c r="EN23" i="3"/>
  <c r="EP23" i="3"/>
  <c r="ES23" i="3"/>
  <c r="ER23" i="3"/>
  <c r="ET23" i="3"/>
  <c r="EU23" i="3"/>
  <c r="EV23" i="3"/>
  <c r="EN15" i="3"/>
  <c r="ES15" i="3"/>
  <c r="EP15" i="3"/>
  <c r="ER15" i="3"/>
  <c r="ET15" i="3"/>
  <c r="EU15" i="3"/>
  <c r="EV15" i="3"/>
  <c r="ES303" i="3"/>
  <c r="ES107" i="3"/>
  <c r="EN591" i="3"/>
  <c r="ER591" i="3"/>
  <c r="EP591" i="3"/>
  <c r="ES591" i="3"/>
  <c r="ET591" i="3"/>
  <c r="EU591" i="3"/>
  <c r="EN575" i="3"/>
  <c r="ER575" i="3"/>
  <c r="EP575" i="3"/>
  <c r="ES575" i="3"/>
  <c r="ET575" i="3"/>
  <c r="EU575" i="3"/>
  <c r="EN563" i="3"/>
  <c r="EP563" i="3"/>
  <c r="ES563" i="3"/>
  <c r="ET563" i="3"/>
  <c r="EU563" i="3"/>
  <c r="EN547" i="3"/>
  <c r="EP547" i="3"/>
  <c r="ES547" i="3"/>
  <c r="ET547" i="3"/>
  <c r="EU547" i="3"/>
  <c r="EN535" i="3"/>
  <c r="EP535" i="3"/>
  <c r="ES535" i="3"/>
  <c r="ET535" i="3"/>
  <c r="EU535" i="3"/>
  <c r="EN515" i="3"/>
  <c r="EP515" i="3"/>
  <c r="ES515" i="3"/>
  <c r="ET515" i="3"/>
  <c r="EU515" i="3"/>
  <c r="EN499" i="3"/>
  <c r="EP499" i="3"/>
  <c r="ES499" i="3"/>
  <c r="ET499" i="3"/>
  <c r="EU499" i="3"/>
  <c r="EN483" i="3"/>
  <c r="EP483" i="3"/>
  <c r="ES483" i="3"/>
  <c r="ET483" i="3"/>
  <c r="EU483" i="3"/>
  <c r="EP471" i="3"/>
  <c r="EN471" i="3"/>
  <c r="ES471" i="3"/>
  <c r="ET471" i="3"/>
  <c r="EU471" i="3"/>
  <c r="EP455" i="3"/>
  <c r="ER455" i="3"/>
  <c r="EN455" i="3"/>
  <c r="ES455" i="3"/>
  <c r="ET455" i="3"/>
  <c r="EU455" i="3"/>
  <c r="EN443" i="3"/>
  <c r="ER443" i="3"/>
  <c r="EP443" i="3"/>
  <c r="ES443" i="3"/>
  <c r="ET443" i="3"/>
  <c r="EU443" i="3"/>
  <c r="EV443" i="3"/>
  <c r="EN427" i="3"/>
  <c r="ER427" i="3"/>
  <c r="EP427" i="3"/>
  <c r="ES427" i="3"/>
  <c r="ET427" i="3"/>
  <c r="EU427" i="3"/>
  <c r="EV427" i="3"/>
  <c r="EN411" i="3"/>
  <c r="EP411" i="3"/>
  <c r="ER411" i="3"/>
  <c r="ES411" i="3"/>
  <c r="ET411" i="3"/>
  <c r="EU411" i="3"/>
  <c r="EV411" i="3"/>
  <c r="EN399" i="3"/>
  <c r="ER399" i="3"/>
  <c r="ES399" i="3"/>
  <c r="ET399" i="3"/>
  <c r="EU399" i="3"/>
  <c r="EV399" i="3"/>
  <c r="EN383" i="3"/>
  <c r="ER383" i="3"/>
  <c r="ES383" i="3"/>
  <c r="ET383" i="3"/>
  <c r="EU383" i="3"/>
  <c r="EV383" i="3"/>
  <c r="EN367" i="3"/>
  <c r="EP367" i="3"/>
  <c r="ER367" i="3"/>
  <c r="ES367" i="3"/>
  <c r="ET367" i="3"/>
  <c r="EU367" i="3"/>
  <c r="EV367" i="3"/>
  <c r="EP355" i="3"/>
  <c r="EN355" i="3"/>
  <c r="ER355" i="3"/>
  <c r="ES355" i="3"/>
  <c r="ET355" i="3"/>
  <c r="EU355" i="3"/>
  <c r="EV355" i="3"/>
  <c r="EP339" i="3"/>
  <c r="EN339" i="3"/>
  <c r="ER339" i="3"/>
  <c r="ES339" i="3"/>
  <c r="ET339" i="3"/>
  <c r="EU339" i="3"/>
  <c r="EV339" i="3"/>
  <c r="EP327" i="3"/>
  <c r="EN327" i="3"/>
  <c r="ER327" i="3"/>
  <c r="ES327" i="3"/>
  <c r="ET327" i="3"/>
  <c r="EU327" i="3"/>
  <c r="EV327" i="3"/>
  <c r="EP311" i="3"/>
  <c r="EN311" i="3"/>
  <c r="ER311" i="3"/>
  <c r="ET311" i="3"/>
  <c r="EU311" i="3"/>
  <c r="EV311" i="3"/>
  <c r="ES299" i="3"/>
  <c r="EN299" i="3"/>
  <c r="ER299" i="3"/>
  <c r="EP299" i="3"/>
  <c r="ET299" i="3"/>
  <c r="EU299" i="3"/>
  <c r="EV299" i="3"/>
  <c r="EN283" i="3"/>
  <c r="EP283" i="3"/>
  <c r="ER283" i="3"/>
  <c r="ET283" i="3"/>
  <c r="EU283" i="3"/>
  <c r="ES283" i="3"/>
  <c r="EV283" i="3"/>
  <c r="ES271" i="3"/>
  <c r="EN271" i="3"/>
  <c r="ER271" i="3"/>
  <c r="ET271" i="3"/>
  <c r="EU271" i="3"/>
  <c r="EV271" i="3"/>
  <c r="ES255" i="3"/>
  <c r="EN255" i="3"/>
  <c r="ER255" i="3"/>
  <c r="ET255" i="3"/>
  <c r="EU255" i="3"/>
  <c r="EV255" i="3"/>
  <c r="ES239" i="3"/>
  <c r="EN239" i="3"/>
  <c r="EP239" i="3"/>
  <c r="ER239" i="3"/>
  <c r="ET239" i="3"/>
  <c r="EU239" i="3"/>
  <c r="EV239" i="3"/>
  <c r="EP227" i="3"/>
  <c r="EN227" i="3"/>
  <c r="ER227" i="3"/>
  <c r="ES227" i="3"/>
  <c r="ET227" i="3"/>
  <c r="EU227" i="3"/>
  <c r="EV227" i="3"/>
  <c r="EN211" i="3"/>
  <c r="EP211" i="3"/>
  <c r="ER211" i="3"/>
  <c r="ET211" i="3"/>
  <c r="EU211" i="3"/>
  <c r="ES211" i="3"/>
  <c r="EV211" i="3"/>
  <c r="EN199" i="3"/>
  <c r="EP199" i="3"/>
  <c r="ES199" i="3"/>
  <c r="ER199" i="3"/>
  <c r="ET199" i="3"/>
  <c r="EU199" i="3"/>
  <c r="EV199" i="3"/>
  <c r="EN183" i="3"/>
  <c r="EP183" i="3"/>
  <c r="ES183" i="3"/>
  <c r="ER183" i="3"/>
  <c r="ET183" i="3"/>
  <c r="EU183" i="3"/>
  <c r="EV183" i="3"/>
  <c r="EN171" i="3"/>
  <c r="EP171" i="3"/>
  <c r="ER171" i="3"/>
  <c r="ET171" i="3"/>
  <c r="EU171" i="3"/>
  <c r="EV171" i="3"/>
  <c r="EN155" i="3"/>
  <c r="ER155" i="3"/>
  <c r="ET155" i="3"/>
  <c r="EU155" i="3"/>
  <c r="EP155" i="3"/>
  <c r="ES155" i="3"/>
  <c r="EV155" i="3"/>
  <c r="EN143" i="3"/>
  <c r="ES143" i="3"/>
  <c r="ER143" i="3"/>
  <c r="ET143" i="3"/>
  <c r="EU143" i="3"/>
  <c r="EV143" i="3"/>
  <c r="EN127" i="3"/>
  <c r="ES127" i="3"/>
  <c r="EP127" i="3"/>
  <c r="ER127" i="3"/>
  <c r="ET127" i="3"/>
  <c r="EU127" i="3"/>
  <c r="EV127" i="3"/>
  <c r="EN115" i="3"/>
  <c r="EP115" i="3"/>
  <c r="ER115" i="3"/>
  <c r="ET115" i="3"/>
  <c r="EU115" i="3"/>
  <c r="ES115" i="3"/>
  <c r="EV115" i="3"/>
  <c r="EN99" i="3"/>
  <c r="EP99" i="3"/>
  <c r="ER99" i="3"/>
  <c r="ES99" i="3"/>
  <c r="ET99" i="3"/>
  <c r="EU99" i="3"/>
  <c r="EV99" i="3"/>
  <c r="EN83" i="3"/>
  <c r="EP83" i="3"/>
  <c r="ER83" i="3"/>
  <c r="ET83" i="3"/>
  <c r="EU83" i="3"/>
  <c r="ES83" i="3"/>
  <c r="EV83" i="3"/>
  <c r="EN71" i="3"/>
  <c r="EP71" i="3"/>
  <c r="ES71" i="3"/>
  <c r="ER71" i="3"/>
  <c r="ET71" i="3"/>
  <c r="EU71" i="3"/>
  <c r="EV71" i="3"/>
  <c r="EN59" i="3"/>
  <c r="ER59" i="3"/>
  <c r="EP59" i="3"/>
  <c r="ET59" i="3"/>
  <c r="EU59" i="3"/>
  <c r="ES59" i="3"/>
  <c r="EV59" i="3"/>
  <c r="EN47" i="3"/>
  <c r="ES47" i="3"/>
  <c r="EP47" i="3"/>
  <c r="ER47" i="3"/>
  <c r="ET47" i="3"/>
  <c r="EU47" i="3"/>
  <c r="EV47" i="3"/>
  <c r="EN39" i="3"/>
  <c r="EP39" i="3"/>
  <c r="ES39" i="3"/>
  <c r="ER39" i="3"/>
  <c r="ET39" i="3"/>
  <c r="EU39" i="3"/>
  <c r="EV39" i="3"/>
  <c r="EN31" i="3"/>
  <c r="ES31" i="3"/>
  <c r="EP31" i="3"/>
  <c r="ER31" i="3"/>
  <c r="ET31" i="3"/>
  <c r="EU31" i="3"/>
  <c r="EV31" i="3"/>
  <c r="EN19" i="3"/>
  <c r="EP19" i="3"/>
  <c r="ER19" i="3"/>
  <c r="ET19" i="3"/>
  <c r="EU19" i="3"/>
  <c r="ES19" i="3"/>
  <c r="EV19" i="3"/>
  <c r="EN11" i="3"/>
  <c r="EP11" i="3"/>
  <c r="ER11" i="3"/>
  <c r="ET11" i="3"/>
  <c r="EU11" i="3"/>
  <c r="EV11" i="3"/>
  <c r="EP8" i="3"/>
  <c r="ES203" i="3"/>
  <c r="ES75" i="3"/>
  <c r="EP399" i="3"/>
  <c r="EP383" i="3"/>
  <c r="EP271" i="3"/>
  <c r="EP255" i="3"/>
  <c r="EN595" i="3"/>
  <c r="EP595" i="3"/>
  <c r="ES595" i="3"/>
  <c r="ET595" i="3"/>
  <c r="EU595" i="3"/>
  <c r="ER583" i="3"/>
  <c r="EP583" i="3"/>
  <c r="EN583" i="3"/>
  <c r="ES583" i="3"/>
  <c r="ET583" i="3"/>
  <c r="EU583" i="3"/>
  <c r="EN579" i="3"/>
  <c r="EP579" i="3"/>
  <c r="ES579" i="3"/>
  <c r="ET579" i="3"/>
  <c r="EU579" i="3"/>
  <c r="EN567" i="3"/>
  <c r="EP567" i="3"/>
  <c r="ES567" i="3"/>
  <c r="ET567" i="3"/>
  <c r="EU567" i="3"/>
  <c r="EN555" i="3"/>
  <c r="EP555" i="3"/>
  <c r="ES555" i="3"/>
  <c r="ET555" i="3"/>
  <c r="EU555" i="3"/>
  <c r="EP551" i="3"/>
  <c r="ES551" i="3"/>
  <c r="ET551" i="3"/>
  <c r="EN551" i="3"/>
  <c r="EU551" i="3"/>
  <c r="EN539" i="3"/>
  <c r="EP539" i="3"/>
  <c r="ES539" i="3"/>
  <c r="ET539" i="3"/>
  <c r="EU539" i="3"/>
  <c r="EN527" i="3"/>
  <c r="EP527" i="3"/>
  <c r="ES527" i="3"/>
  <c r="ET527" i="3"/>
  <c r="EU527" i="3"/>
  <c r="EN523" i="3"/>
  <c r="EP523" i="3"/>
  <c r="ES523" i="3"/>
  <c r="ET523" i="3"/>
  <c r="EU523" i="3"/>
  <c r="EN511" i="3"/>
  <c r="EP511" i="3"/>
  <c r="ES511" i="3"/>
  <c r="ET511" i="3"/>
  <c r="EU511" i="3"/>
  <c r="EN507" i="3"/>
  <c r="EP507" i="3"/>
  <c r="ES507" i="3"/>
  <c r="ET507" i="3"/>
  <c r="EU507" i="3"/>
  <c r="EN495" i="3"/>
  <c r="EP495" i="3"/>
  <c r="ES495" i="3"/>
  <c r="ET495" i="3"/>
  <c r="EU495" i="3"/>
  <c r="EP487" i="3"/>
  <c r="ES487" i="3"/>
  <c r="ET487" i="3"/>
  <c r="EN487" i="3"/>
  <c r="EU487" i="3"/>
  <c r="EN479" i="3"/>
  <c r="EP479" i="3"/>
  <c r="ES479" i="3"/>
  <c r="ET479" i="3"/>
  <c r="EU479" i="3"/>
  <c r="EN467" i="3"/>
  <c r="EP467" i="3"/>
  <c r="ES467" i="3"/>
  <c r="ET467" i="3"/>
  <c r="EU467" i="3"/>
  <c r="EN463" i="3"/>
  <c r="ER463" i="3"/>
  <c r="ES463" i="3"/>
  <c r="ET463" i="3"/>
  <c r="EU463" i="3"/>
  <c r="EN451" i="3"/>
  <c r="EP451" i="3"/>
  <c r="ER451" i="3"/>
  <c r="ES451" i="3"/>
  <c r="ET451" i="3"/>
  <c r="EU451" i="3"/>
  <c r="EV451" i="3"/>
  <c r="EP439" i="3"/>
  <c r="EN439" i="3"/>
  <c r="ER439" i="3"/>
  <c r="ES439" i="3"/>
  <c r="ET439" i="3"/>
  <c r="EU439" i="3"/>
  <c r="EV439" i="3"/>
  <c r="EN435" i="3"/>
  <c r="EP435" i="3"/>
  <c r="ER435" i="3"/>
  <c r="ES435" i="3"/>
  <c r="ET435" i="3"/>
  <c r="EU435" i="3"/>
  <c r="EV435" i="3"/>
  <c r="EP423" i="3"/>
  <c r="EN423" i="3"/>
  <c r="ER423" i="3"/>
  <c r="ES423" i="3"/>
  <c r="ET423" i="3"/>
  <c r="EU423" i="3"/>
  <c r="EV423" i="3"/>
  <c r="EP419" i="3"/>
  <c r="EN419" i="3"/>
  <c r="ER419" i="3"/>
  <c r="ES419" i="3"/>
  <c r="ET419" i="3"/>
  <c r="EU419" i="3"/>
  <c r="EV419" i="3"/>
  <c r="EP407" i="3"/>
  <c r="EN407" i="3"/>
  <c r="ER407" i="3"/>
  <c r="ES407" i="3"/>
  <c r="ET407" i="3"/>
  <c r="EU407" i="3"/>
  <c r="EV407" i="3"/>
  <c r="EN395" i="3"/>
  <c r="EP395" i="3"/>
  <c r="ER395" i="3"/>
  <c r="ES395" i="3"/>
  <c r="ET395" i="3"/>
  <c r="EU395" i="3"/>
  <c r="EV395" i="3"/>
  <c r="EP391" i="3"/>
  <c r="EN391" i="3"/>
  <c r="ER391" i="3"/>
  <c r="ES391" i="3"/>
  <c r="ET391" i="3"/>
  <c r="EU391" i="3"/>
  <c r="EV391" i="3"/>
  <c r="EN379" i="3"/>
  <c r="ER379" i="3"/>
  <c r="EP379" i="3"/>
  <c r="ES379" i="3"/>
  <c r="ET379" i="3"/>
  <c r="EU379" i="3"/>
  <c r="EV379" i="3"/>
  <c r="EP375" i="3"/>
  <c r="EN375" i="3"/>
  <c r="ER375" i="3"/>
  <c r="ES375" i="3"/>
  <c r="ET375" i="3"/>
  <c r="EU375" i="3"/>
  <c r="EV375" i="3"/>
  <c r="EN363" i="3"/>
  <c r="ER363" i="3"/>
  <c r="EP363" i="3"/>
  <c r="ES363" i="3"/>
  <c r="ET363" i="3"/>
  <c r="EU363" i="3"/>
  <c r="EV363" i="3"/>
  <c r="EN351" i="3"/>
  <c r="EP351" i="3"/>
  <c r="ER351" i="3"/>
  <c r="ES351" i="3"/>
  <c r="ET351" i="3"/>
  <c r="EU351" i="3"/>
  <c r="EV351" i="3"/>
  <c r="EN347" i="3"/>
  <c r="EP347" i="3"/>
  <c r="ER347" i="3"/>
  <c r="ES347" i="3"/>
  <c r="ET347" i="3"/>
  <c r="EU347" i="3"/>
  <c r="EV347" i="3"/>
  <c r="EN335" i="3"/>
  <c r="ER335" i="3"/>
  <c r="ES335" i="3"/>
  <c r="ET335" i="3"/>
  <c r="EU335" i="3"/>
  <c r="EV335" i="3"/>
  <c r="EP323" i="3"/>
  <c r="EN323" i="3"/>
  <c r="ER323" i="3"/>
  <c r="ES323" i="3"/>
  <c r="ET323" i="3"/>
  <c r="EU323" i="3"/>
  <c r="EV323" i="3"/>
  <c r="ES319" i="3"/>
  <c r="EN319" i="3"/>
  <c r="ER319" i="3"/>
  <c r="ET319" i="3"/>
  <c r="EU319" i="3"/>
  <c r="EV319" i="3"/>
  <c r="EP307" i="3"/>
  <c r="ES307" i="3"/>
  <c r="EN307" i="3"/>
  <c r="ER307" i="3"/>
  <c r="ET307" i="3"/>
  <c r="EU307" i="3"/>
  <c r="EV307" i="3"/>
  <c r="EP295" i="3"/>
  <c r="ES295" i="3"/>
  <c r="EN295" i="3"/>
  <c r="ER295" i="3"/>
  <c r="ET295" i="3"/>
  <c r="EU295" i="3"/>
  <c r="EV295" i="3"/>
  <c r="EP291" i="3"/>
  <c r="EN291" i="3"/>
  <c r="ER291" i="3"/>
  <c r="ES291" i="3"/>
  <c r="ET291" i="3"/>
  <c r="EU291" i="3"/>
  <c r="EV291" i="3"/>
  <c r="EP279" i="3"/>
  <c r="ES279" i="3"/>
  <c r="EN279" i="3"/>
  <c r="ER279" i="3"/>
  <c r="ET279" i="3"/>
  <c r="EU279" i="3"/>
  <c r="EV279" i="3"/>
  <c r="EN267" i="3"/>
  <c r="EP267" i="3"/>
  <c r="ER267" i="3"/>
  <c r="ET267" i="3"/>
  <c r="EU267" i="3"/>
  <c r="EV267" i="3"/>
  <c r="EP263" i="3"/>
  <c r="ES263" i="3"/>
  <c r="EN263" i="3"/>
  <c r="ER263" i="3"/>
  <c r="ET263" i="3"/>
  <c r="EU263" i="3"/>
  <c r="EV263" i="3"/>
  <c r="EN251" i="3"/>
  <c r="ER251" i="3"/>
  <c r="EP251" i="3"/>
  <c r="ET251" i="3"/>
  <c r="EU251" i="3"/>
  <c r="ES251" i="3"/>
  <c r="EV251" i="3"/>
  <c r="EP243" i="3"/>
  <c r="EN243" i="3"/>
  <c r="ER243" i="3"/>
  <c r="ET243" i="3"/>
  <c r="EU243" i="3"/>
  <c r="ES243" i="3"/>
  <c r="EV243" i="3"/>
  <c r="EN235" i="3"/>
  <c r="ER235" i="3"/>
  <c r="EP235" i="3"/>
  <c r="ET235" i="3"/>
  <c r="EU235" i="3"/>
  <c r="EV235" i="3"/>
  <c r="ES223" i="3"/>
  <c r="EN223" i="3"/>
  <c r="EP223" i="3"/>
  <c r="ER223" i="3"/>
  <c r="ET223" i="3"/>
  <c r="EU223" i="3"/>
  <c r="EV223" i="3"/>
  <c r="EN215" i="3"/>
  <c r="EP215" i="3"/>
  <c r="ES215" i="3"/>
  <c r="ER215" i="3"/>
  <c r="ET215" i="3"/>
  <c r="EU215" i="3"/>
  <c r="EV215" i="3"/>
  <c r="EN207" i="3"/>
  <c r="ES207" i="3"/>
  <c r="ER207" i="3"/>
  <c r="ET207" i="3"/>
  <c r="EU207" i="3"/>
  <c r="EV207" i="3"/>
  <c r="EN195" i="3"/>
  <c r="EP195" i="3"/>
  <c r="ER195" i="3"/>
  <c r="ES195" i="3"/>
  <c r="ET195" i="3"/>
  <c r="EU195" i="3"/>
  <c r="EV195" i="3"/>
  <c r="EN187" i="3"/>
  <c r="ER187" i="3"/>
  <c r="EP187" i="3"/>
  <c r="ET187" i="3"/>
  <c r="EU187" i="3"/>
  <c r="ES187" i="3"/>
  <c r="EV187" i="3"/>
  <c r="EN179" i="3"/>
  <c r="EP179" i="3"/>
  <c r="ER179" i="3"/>
  <c r="ET179" i="3"/>
  <c r="EU179" i="3"/>
  <c r="ES179" i="3"/>
  <c r="EV179" i="3"/>
  <c r="EN167" i="3"/>
  <c r="EP167" i="3"/>
  <c r="ES167" i="3"/>
  <c r="ER167" i="3"/>
  <c r="ET167" i="3"/>
  <c r="EU167" i="3"/>
  <c r="EV167" i="3"/>
  <c r="EN159" i="3"/>
  <c r="ES159" i="3"/>
  <c r="EP159" i="3"/>
  <c r="ER159" i="3"/>
  <c r="ET159" i="3"/>
  <c r="EU159" i="3"/>
  <c r="EV159" i="3"/>
  <c r="EN151" i="3"/>
  <c r="EP151" i="3"/>
  <c r="ES151" i="3"/>
  <c r="ER151" i="3"/>
  <c r="ET151" i="3"/>
  <c r="EU151" i="3"/>
  <c r="EV151" i="3"/>
  <c r="EN139" i="3"/>
  <c r="EP139" i="3"/>
  <c r="ER139" i="3"/>
  <c r="ET139" i="3"/>
  <c r="EU139" i="3"/>
  <c r="EV139" i="3"/>
  <c r="EN131" i="3"/>
  <c r="EP131" i="3"/>
  <c r="ER131" i="3"/>
  <c r="ES131" i="3"/>
  <c r="ET131" i="3"/>
  <c r="EU131" i="3"/>
  <c r="EV131" i="3"/>
  <c r="EN123" i="3"/>
  <c r="ER123" i="3"/>
  <c r="EP123" i="3"/>
  <c r="ET123" i="3"/>
  <c r="EU123" i="3"/>
  <c r="ES123" i="3"/>
  <c r="EV123" i="3"/>
  <c r="EN111" i="3"/>
  <c r="ES111" i="3"/>
  <c r="ER111" i="3"/>
  <c r="ET111" i="3"/>
  <c r="EU111" i="3"/>
  <c r="EP111" i="3"/>
  <c r="EV111" i="3"/>
  <c r="EN103" i="3"/>
  <c r="EP103" i="3"/>
  <c r="ES103" i="3"/>
  <c r="ER103" i="3"/>
  <c r="ET103" i="3"/>
  <c r="EU103" i="3"/>
  <c r="EV103" i="3"/>
  <c r="EN95" i="3"/>
  <c r="ES95" i="3"/>
  <c r="EP95" i="3"/>
  <c r="ER95" i="3"/>
  <c r="ET95" i="3"/>
  <c r="EU95" i="3"/>
  <c r="EV95" i="3"/>
  <c r="EN87" i="3"/>
  <c r="EP87" i="3"/>
  <c r="ES87" i="3"/>
  <c r="ER87" i="3"/>
  <c r="ET87" i="3"/>
  <c r="EU87" i="3"/>
  <c r="EV87" i="3"/>
  <c r="EN79" i="3"/>
  <c r="ES79" i="3"/>
  <c r="ER79" i="3"/>
  <c r="ET79" i="3"/>
  <c r="EU79" i="3"/>
  <c r="EV79" i="3"/>
  <c r="EN67" i="3"/>
  <c r="EP67" i="3"/>
  <c r="ER67" i="3"/>
  <c r="ES67" i="3"/>
  <c r="ET67" i="3"/>
  <c r="EU67" i="3"/>
  <c r="EV67" i="3"/>
  <c r="EN55" i="3"/>
  <c r="EP55" i="3"/>
  <c r="ES55" i="3"/>
  <c r="ER55" i="3"/>
  <c r="ET55" i="3"/>
  <c r="EU55" i="3"/>
  <c r="EV55" i="3"/>
  <c r="EN27" i="3"/>
  <c r="EP27" i="3"/>
  <c r="ER27" i="3"/>
  <c r="ET27" i="3"/>
  <c r="EU27" i="3"/>
  <c r="ES27" i="3"/>
  <c r="EV27" i="3"/>
  <c r="EY8" i="3"/>
  <c r="ES171" i="3"/>
  <c r="ES43" i="3"/>
  <c r="EN585" i="3"/>
  <c r="EN569" i="3"/>
  <c r="EN553" i="3"/>
  <c r="EN537" i="3"/>
  <c r="EN521" i="3"/>
  <c r="EN505" i="3"/>
  <c r="EN489" i="3"/>
  <c r="EP473" i="3"/>
  <c r="EP469" i="3"/>
  <c r="EP465" i="3"/>
  <c r="EP461" i="3"/>
  <c r="EP457" i="3"/>
  <c r="EP453" i="3"/>
  <c r="EP449" i="3"/>
  <c r="EP445" i="3"/>
  <c r="EP441" i="3"/>
  <c r="EP437" i="3"/>
  <c r="EP433" i="3"/>
  <c r="EP429" i="3"/>
  <c r="EP425" i="3"/>
  <c r="EP421" i="3"/>
  <c r="EP417" i="3"/>
  <c r="EP413" i="3"/>
  <c r="EP409" i="3"/>
  <c r="EP405" i="3"/>
  <c r="EP401" i="3"/>
  <c r="EP397" i="3"/>
  <c r="EP393" i="3"/>
  <c r="EP389" i="3"/>
  <c r="EP385" i="3"/>
  <c r="EP381" i="3"/>
  <c r="EP377" i="3"/>
  <c r="EP373" i="3"/>
  <c r="EP369" i="3"/>
  <c r="EP365" i="3"/>
  <c r="EP361" i="3"/>
  <c r="EP357" i="3"/>
  <c r="EP353" i="3"/>
  <c r="EP349" i="3"/>
  <c r="EP345" i="3"/>
  <c r="EP341" i="3"/>
  <c r="EP337" i="3"/>
  <c r="EP333" i="3"/>
  <c r="EP329" i="3"/>
  <c r="EP325" i="3"/>
  <c r="EP321" i="3"/>
  <c r="EP317" i="3"/>
  <c r="EP313" i="3"/>
  <c r="EP309" i="3"/>
  <c r="EP305" i="3"/>
  <c r="EP301" i="3"/>
  <c r="EP297" i="3"/>
  <c r="EP293" i="3"/>
  <c r="EP289" i="3"/>
  <c r="EP285" i="3"/>
  <c r="EP281" i="3"/>
  <c r="EP277" i="3"/>
  <c r="EP273" i="3"/>
  <c r="EP269" i="3"/>
  <c r="EP265" i="3"/>
  <c r="EP261" i="3"/>
  <c r="EP257" i="3"/>
  <c r="EP253" i="3"/>
  <c r="EP249" i="3"/>
  <c r="EP245" i="3"/>
  <c r="EP241" i="3"/>
  <c r="EN213" i="3"/>
  <c r="EN205" i="3"/>
  <c r="EL20" i="3"/>
  <c r="EL16" i="3"/>
  <c r="ER596" i="3"/>
  <c r="ER588" i="3"/>
  <c r="ER580" i="3"/>
  <c r="EP20" i="3"/>
  <c r="EN20" i="3"/>
  <c r="ER600" i="3"/>
  <c r="ER592" i="3"/>
  <c r="ER584" i="3"/>
  <c r="ER576" i="3"/>
  <c r="EL18" i="3"/>
  <c r="ER598" i="3"/>
  <c r="ER594" i="3"/>
  <c r="ER590" i="3"/>
  <c r="ER586" i="3"/>
  <c r="ER582" i="3"/>
  <c r="ER578" i="3"/>
  <c r="ER574" i="3"/>
  <c r="EB8" i="3"/>
  <c r="EG8" i="3"/>
  <c r="I17" i="1"/>
  <c r="EL8" i="3"/>
  <c r="EE8" i="3"/>
  <c r="EU8" i="3"/>
  <c r="G17" i="1"/>
  <c r="C17" i="1"/>
  <c r="EN8" i="3"/>
  <c r="J17" i="1"/>
  <c r="EW8" i="3"/>
  <c r="ES8" i="3"/>
  <c r="EZ8" i="3"/>
  <c r="EV8" i="3"/>
  <c r="ER8" i="3"/>
  <c r="H17" i="1"/>
  <c r="F17" i="1"/>
  <c r="E17" i="1"/>
  <c r="D17" i="1"/>
  <c r="EQ3" i="3" l="1"/>
  <c r="EQ4" i="3"/>
  <c r="EQ5" i="3"/>
  <c r="EQ6" i="3"/>
  <c r="EQ7" i="3"/>
  <c r="EO3" i="3"/>
  <c r="EO4" i="3"/>
  <c r="EO5" i="3"/>
  <c r="EO6" i="3"/>
  <c r="EO7" i="3"/>
  <c r="EM3" i="3"/>
  <c r="EM4" i="3"/>
  <c r="EM5" i="3"/>
  <c r="EM6" i="3"/>
  <c r="EM7" i="3"/>
  <c r="EK3" i="3"/>
  <c r="EK4" i="3"/>
  <c r="EK5" i="3"/>
  <c r="EK6" i="3"/>
  <c r="EK7" i="3"/>
  <c r="EJ3" i="3"/>
  <c r="ES3" i="3" s="1"/>
  <c r="EJ4" i="3"/>
  <c r="ER4" i="3" s="1"/>
  <c r="EJ5" i="3"/>
  <c r="EZ5" i="3" s="1"/>
  <c r="EJ6" i="3"/>
  <c r="EY6" i="3" s="1"/>
  <c r="EJ7" i="3"/>
  <c r="ES7" i="3" s="1"/>
  <c r="EU5" i="3" l="1"/>
  <c r="EW5" i="3"/>
  <c r="EY5" i="3"/>
  <c r="ET6" i="3"/>
  <c r="EV6" i="3"/>
  <c r="EX6" i="3"/>
  <c r="EZ6" i="3"/>
  <c r="ET5" i="3"/>
  <c r="EV5" i="3"/>
  <c r="EX5" i="3"/>
  <c r="EU6" i="3"/>
  <c r="EW6" i="3"/>
  <c r="ET3" i="3"/>
  <c r="EX3" i="3"/>
  <c r="EX4" i="3"/>
  <c r="EW4" i="3"/>
  <c r="EV4" i="3"/>
  <c r="ET4" i="3"/>
  <c r="EU4" i="3"/>
  <c r="EZ4" i="3"/>
  <c r="EY4" i="3"/>
  <c r="EY7" i="3"/>
  <c r="EZ7" i="3"/>
  <c r="ET7" i="3"/>
  <c r="EU7" i="3"/>
  <c r="EV7" i="3"/>
  <c r="EW7" i="3"/>
  <c r="EX7" i="3"/>
  <c r="EU3" i="3"/>
  <c r="EY3" i="3"/>
  <c r="EV3" i="3"/>
  <c r="EZ3" i="3"/>
  <c r="EW3" i="3"/>
  <c r="EN6" i="3"/>
  <c r="ER7" i="3"/>
  <c r="EN5" i="3"/>
  <c r="ES5" i="3"/>
  <c r="ES6" i="3"/>
  <c r="EN3" i="3"/>
  <c r="ER3" i="3"/>
  <c r="ES4" i="3"/>
  <c r="EL6" i="3"/>
  <c r="ER6" i="3"/>
  <c r="ER5" i="3"/>
  <c r="EL7" i="3"/>
  <c r="EP6" i="3"/>
  <c r="EL5" i="3"/>
  <c r="EP5" i="3"/>
  <c r="EL3" i="3"/>
  <c r="EP3" i="3"/>
  <c r="EN7" i="3"/>
  <c r="H41" i="1"/>
  <c r="EP7" i="3"/>
  <c r="G41" i="1"/>
  <c r="I41" i="1"/>
  <c r="EP4" i="3"/>
  <c r="E41" i="1"/>
  <c r="C41" i="1"/>
  <c r="EN4" i="3"/>
  <c r="EL4" i="3"/>
  <c r="F41" i="1"/>
  <c r="J41" i="1"/>
  <c r="D41" i="1"/>
  <c r="EF3" i="3"/>
  <c r="EF4" i="3"/>
  <c r="EF5" i="3"/>
  <c r="EF6" i="3"/>
  <c r="EF7" i="3"/>
  <c r="EA7" i="3"/>
  <c r="ED7" i="3"/>
  <c r="EH7" i="3"/>
  <c r="GE7" i="3"/>
  <c r="GF7" i="3"/>
  <c r="GG7" i="3"/>
  <c r="GH7" i="3"/>
  <c r="GI7" i="3"/>
  <c r="GJ7" i="3"/>
  <c r="GK7" i="3"/>
  <c r="GL7" i="3"/>
  <c r="GM7" i="3"/>
  <c r="GN7" i="3"/>
  <c r="EA6" i="3"/>
  <c r="ED6" i="3"/>
  <c r="EH6" i="3"/>
  <c r="GE6" i="3"/>
  <c r="GF6" i="3"/>
  <c r="GG6" i="3"/>
  <c r="GH6" i="3"/>
  <c r="GI6" i="3"/>
  <c r="GJ6" i="3"/>
  <c r="GK6" i="3"/>
  <c r="GL6" i="3"/>
  <c r="GM6" i="3"/>
  <c r="GN6" i="3"/>
  <c r="C45" i="1" l="1"/>
  <c r="H45" i="1"/>
  <c r="E45" i="1"/>
  <c r="G45" i="1"/>
  <c r="J45" i="1"/>
  <c r="F45" i="1"/>
  <c r="I45" i="1"/>
  <c r="D45" i="1"/>
  <c r="E43" i="1"/>
  <c r="EI6" i="3"/>
  <c r="F44" i="1"/>
  <c r="H43" i="1"/>
  <c r="I44" i="1"/>
  <c r="E44" i="1"/>
  <c r="J44" i="1"/>
  <c r="C44" i="1"/>
  <c r="G44" i="1"/>
  <c r="H44" i="1"/>
  <c r="D43" i="1"/>
  <c r="D44" i="1"/>
  <c r="I43" i="1"/>
  <c r="J43" i="1"/>
  <c r="G43" i="1"/>
  <c r="F43" i="1"/>
  <c r="C43" i="1"/>
  <c r="E42" i="1"/>
  <c r="I42" i="1"/>
  <c r="J42" i="1"/>
  <c r="C42" i="1"/>
  <c r="G42" i="1"/>
  <c r="D42" i="1"/>
  <c r="H42" i="1"/>
  <c r="F42" i="1"/>
  <c r="DZ6" i="3"/>
  <c r="EG7" i="3"/>
  <c r="DZ7" i="3"/>
  <c r="EB7" i="3"/>
  <c r="EI7" i="3"/>
  <c r="EE7" i="3"/>
  <c r="EE6" i="3"/>
  <c r="EG6" i="3"/>
  <c r="EB6" i="3"/>
  <c r="EH3" i="3"/>
  <c r="EH4" i="3"/>
  <c r="EH5" i="3"/>
  <c r="ED3" i="3"/>
  <c r="ED4" i="3"/>
  <c r="ED5" i="3"/>
  <c r="EA3" i="3"/>
  <c r="EA4" i="3"/>
  <c r="EA5" i="3"/>
  <c r="GN3" i="3"/>
  <c r="GN4" i="3"/>
  <c r="GN5" i="3"/>
  <c r="GM3" i="3"/>
  <c r="GM4" i="3"/>
  <c r="GM5" i="3"/>
  <c r="GL3" i="3"/>
  <c r="GL4" i="3"/>
  <c r="GL5" i="3"/>
  <c r="GK3" i="3"/>
  <c r="GK4" i="3"/>
  <c r="GK5" i="3"/>
  <c r="GJ3" i="3"/>
  <c r="GJ4" i="3"/>
  <c r="GJ5" i="3"/>
  <c r="GI3" i="3"/>
  <c r="GI4" i="3"/>
  <c r="GI5" i="3"/>
  <c r="GH3" i="3"/>
  <c r="GH4" i="3"/>
  <c r="GH5" i="3"/>
  <c r="GG3" i="3"/>
  <c r="GG4" i="3"/>
  <c r="GG5" i="3"/>
  <c r="GF3" i="3"/>
  <c r="GF4" i="3"/>
  <c r="GF5" i="3"/>
  <c r="GE3" i="3"/>
  <c r="GE4" i="3"/>
  <c r="GE5" i="3"/>
  <c r="DZ5" i="3" l="1"/>
  <c r="EB4" i="3"/>
  <c r="DZ4" i="3"/>
  <c r="EI5" i="3"/>
  <c r="EE5" i="3"/>
  <c r="DZ3" i="3"/>
  <c r="EE4" i="3"/>
  <c r="EE3" i="3"/>
  <c r="EB5" i="3"/>
  <c r="EB3" i="3"/>
  <c r="EI3" i="3"/>
  <c r="EG5" i="3"/>
  <c r="EG4" i="3"/>
  <c r="EG3" i="3"/>
  <c r="EI4" i="3"/>
  <c r="E48" i="1"/>
  <c r="I48" i="1"/>
  <c r="I49" i="1"/>
  <c r="I50" i="1"/>
  <c r="I51" i="1"/>
  <c r="I52" i="1"/>
  <c r="I53" i="1"/>
  <c r="I54" i="1"/>
  <c r="I55" i="1"/>
  <c r="I56" i="1"/>
  <c r="I57" i="1"/>
  <c r="E57" i="1"/>
  <c r="E56" i="1"/>
  <c r="E55" i="1"/>
  <c r="E54" i="1"/>
  <c r="E53" i="1"/>
  <c r="E52" i="1"/>
  <c r="E51" i="1"/>
  <c r="E50" i="1"/>
  <c r="E49" i="1"/>
  <c r="D29" i="1" l="1"/>
  <c r="E29" i="1"/>
  <c r="F29" i="1"/>
  <c r="C29" i="1"/>
  <c r="H29" i="1"/>
  <c r="I29" i="1"/>
  <c r="J29" i="1"/>
  <c r="G29" i="1"/>
  <c r="H38" i="1"/>
  <c r="I38" i="1"/>
  <c r="D38" i="1"/>
  <c r="J38" i="1"/>
  <c r="E38" i="1"/>
  <c r="G38" i="1"/>
  <c r="C38" i="1"/>
  <c r="F38" i="1"/>
  <c r="C36" i="1"/>
  <c r="F36" i="1"/>
  <c r="G36" i="1"/>
  <c r="E36" i="1"/>
  <c r="H36" i="1"/>
  <c r="I36" i="1"/>
  <c r="D36" i="1"/>
  <c r="J36" i="1"/>
  <c r="E37" i="1"/>
  <c r="C37" i="1"/>
  <c r="F37" i="1"/>
  <c r="D37" i="1"/>
  <c r="H37" i="1"/>
  <c r="I37" i="1"/>
  <c r="J37" i="1"/>
  <c r="G37" i="1"/>
  <c r="J32" i="1"/>
  <c r="I32" i="1"/>
  <c r="E32" i="1"/>
  <c r="I31" i="1"/>
  <c r="E31" i="1"/>
  <c r="I30" i="1"/>
  <c r="E30" i="1"/>
  <c r="H32" i="1"/>
  <c r="D32" i="1"/>
  <c r="H31" i="1"/>
  <c r="D31" i="1"/>
  <c r="H30" i="1"/>
  <c r="D30" i="1"/>
  <c r="G32" i="1"/>
  <c r="C32" i="1"/>
  <c r="G31" i="1"/>
  <c r="C31" i="1"/>
  <c r="G30" i="1"/>
  <c r="C30" i="1"/>
  <c r="F32" i="1"/>
  <c r="J31" i="1"/>
  <c r="F31" i="1"/>
  <c r="J30" i="1"/>
  <c r="F30" i="1"/>
  <c r="H48" i="1"/>
  <c r="H51" i="1"/>
  <c r="H49" i="1"/>
  <c r="H50" i="1"/>
  <c r="H53" i="1"/>
  <c r="H54" i="1"/>
  <c r="H57" i="1"/>
  <c r="H55" i="1"/>
  <c r="H52" i="1"/>
  <c r="H56" i="1"/>
  <c r="J23" i="1"/>
  <c r="I23" i="1"/>
  <c r="H23" i="1"/>
  <c r="G23" i="1"/>
  <c r="J14" i="1"/>
  <c r="I14" i="1"/>
  <c r="H14" i="1"/>
  <c r="G14" i="1"/>
  <c r="D23" i="1" l="1"/>
  <c r="E23" i="1"/>
  <c r="F23" i="1"/>
  <c r="C23" i="1"/>
  <c r="D48" i="1" l="1"/>
  <c r="D56" i="1"/>
  <c r="D54" i="1"/>
  <c r="D50" i="1"/>
  <c r="D53" i="1"/>
  <c r="D57" i="1"/>
  <c r="D52" i="1"/>
  <c r="D49" i="1"/>
  <c r="D55" i="1"/>
  <c r="D51" i="1"/>
  <c r="D14" i="1" l="1"/>
  <c r="E14" i="1"/>
  <c r="F14" i="1"/>
  <c r="C14" i="1"/>
  <c r="F3" i="10" l="1"/>
</calcChain>
</file>

<file path=xl/sharedStrings.xml><?xml version="1.0" encoding="utf-8"?>
<sst xmlns="http://schemas.openxmlformats.org/spreadsheetml/2006/main" count="847" uniqueCount="794">
  <si>
    <t>Q4</t>
  </si>
  <si>
    <t>Q3</t>
  </si>
  <si>
    <t>Q2</t>
  </si>
  <si>
    <t>Q1</t>
  </si>
  <si>
    <t>from Swindon Borough Council</t>
  </si>
  <si>
    <t>SERVICE</t>
  </si>
  <si>
    <t>PROVIDER</t>
  </si>
  <si>
    <t>SWINDON BOROUGH COUNCIL SUPPORTED HOUSING PROVIDER RETURN</t>
  </si>
  <si>
    <t>Name</t>
  </si>
  <si>
    <t>Ethnicity</t>
  </si>
  <si>
    <t>Disability</t>
  </si>
  <si>
    <t>Sexual Orientation</t>
  </si>
  <si>
    <t>Religion</t>
  </si>
  <si>
    <t>Sex</t>
  </si>
  <si>
    <t>Gender Identity</t>
  </si>
  <si>
    <t>Referral Source</t>
  </si>
  <si>
    <t>Former Service User?</t>
  </si>
  <si>
    <t>Reason for Rejection</t>
  </si>
  <si>
    <t>Start Date</t>
  </si>
  <si>
    <t>Date of Initial Assessment</t>
  </si>
  <si>
    <t>Registered with GP</t>
  </si>
  <si>
    <t>Registered with Dentist</t>
  </si>
  <si>
    <t>Date of Last Assessment</t>
  </si>
  <si>
    <t>Leaving Date</t>
  </si>
  <si>
    <t>Reason for Leaving</t>
  </si>
  <si>
    <t>Any Additional Information</t>
  </si>
  <si>
    <t>EET</t>
  </si>
  <si>
    <t>Follow Up Work</t>
  </si>
  <si>
    <t>Child Protection Category</t>
  </si>
  <si>
    <t>INSTRUCTIONS</t>
  </si>
  <si>
    <t>Please complete the data for each quarter on the same spreadsheet.  Please do not complete a separate return for each quarter.</t>
  </si>
  <si>
    <t>Please complete one spreadsheet for each service.</t>
  </si>
  <si>
    <t>Please complete the return within one month of the quarter ending.  The quarter dates are as follows:</t>
  </si>
  <si>
    <t>Therefore, the deadline for submitting the returns are:</t>
  </si>
  <si>
    <t>Referral Accepted/Rejected</t>
  </si>
  <si>
    <t>White British</t>
  </si>
  <si>
    <t>Yes</t>
  </si>
  <si>
    <t>Lesbian/Gay Women</t>
  </si>
  <si>
    <t>No religion</t>
  </si>
  <si>
    <t>Female</t>
  </si>
  <si>
    <t>Family Home</t>
  </si>
  <si>
    <t>Accepted</t>
  </si>
  <si>
    <t>NEET</t>
  </si>
  <si>
    <t>Education</t>
  </si>
  <si>
    <t>White Irish</t>
  </si>
  <si>
    <t>No</t>
  </si>
  <si>
    <t>Gay Man</t>
  </si>
  <si>
    <t>Hindu</t>
  </si>
  <si>
    <t>Male</t>
  </si>
  <si>
    <t>Rejected by Provider</t>
  </si>
  <si>
    <t>Employment</t>
  </si>
  <si>
    <t>White Polish</t>
  </si>
  <si>
    <t>Prefer not to say</t>
  </si>
  <si>
    <t>Bisexual</t>
  </si>
  <si>
    <t>Baha'i</t>
  </si>
  <si>
    <t>Youth Offending</t>
  </si>
  <si>
    <t>Prison</t>
  </si>
  <si>
    <t>Rejected by Applicant</t>
  </si>
  <si>
    <t>Training</t>
  </si>
  <si>
    <t>White Italian</t>
  </si>
  <si>
    <t>Hetrosexual/Straight</t>
  </si>
  <si>
    <t>Christian</t>
  </si>
  <si>
    <t>MARAC</t>
  </si>
  <si>
    <t>Rough Sleeping</t>
  </si>
  <si>
    <t>White Other</t>
  </si>
  <si>
    <t>Other</t>
  </si>
  <si>
    <t>Jewish</t>
  </si>
  <si>
    <t>Police</t>
  </si>
  <si>
    <t>Caribbean</t>
  </si>
  <si>
    <t>Buddhist</t>
  </si>
  <si>
    <t>Supported Housing</t>
  </si>
  <si>
    <t>African</t>
  </si>
  <si>
    <t>Sikh</t>
  </si>
  <si>
    <t>Black Other</t>
  </si>
  <si>
    <t>Muslim</t>
  </si>
  <si>
    <t>Mixed Heritage</t>
  </si>
  <si>
    <t>Indian</t>
  </si>
  <si>
    <t>Pakistani</t>
  </si>
  <si>
    <t>Bangladeshi</t>
  </si>
  <si>
    <t>Asian Other</t>
  </si>
  <si>
    <t>Chinese</t>
  </si>
  <si>
    <t>Gender the Same at Birth?</t>
  </si>
  <si>
    <t>Former Service User</t>
  </si>
  <si>
    <t>None</t>
  </si>
  <si>
    <t>Physical Abuse</t>
  </si>
  <si>
    <t>Emotional Abuse</t>
  </si>
  <si>
    <t>Sexual Abuse</t>
  </si>
  <si>
    <t>Neglect</t>
  </si>
  <si>
    <t>Date Referral was Received</t>
  </si>
  <si>
    <t>Child 1 Name</t>
  </si>
  <si>
    <t>Child 1 Protection Category</t>
  </si>
  <si>
    <t>Child 1 Age</t>
  </si>
  <si>
    <t>Child 2 Name</t>
  </si>
  <si>
    <t>Child 2 Age</t>
  </si>
  <si>
    <t>Child 2 Protection Category</t>
  </si>
  <si>
    <t>Child 3 Name</t>
  </si>
  <si>
    <t>Child 3 Age</t>
  </si>
  <si>
    <t>Child 3 Protection Category</t>
  </si>
  <si>
    <t>Private Tenant</t>
  </si>
  <si>
    <t>Social Tenant</t>
  </si>
  <si>
    <t>Home Owner</t>
  </si>
  <si>
    <t>Sofa Surfing</t>
  </si>
  <si>
    <t>Educational Level</t>
  </si>
  <si>
    <t>Entry Level</t>
  </si>
  <si>
    <t>Degree or Graduate Qualification</t>
  </si>
  <si>
    <t>A-Level/AS-Level</t>
  </si>
  <si>
    <t>GCSE A-C</t>
  </si>
  <si>
    <t>Benefits Claimed</t>
  </si>
  <si>
    <t>Pathway Plan</t>
  </si>
  <si>
    <t>Child 1 Registered with GP</t>
  </si>
  <si>
    <t>Child 1 Child in Need</t>
  </si>
  <si>
    <t>Child 1 Early Help Record and Plan</t>
  </si>
  <si>
    <t>Child 1 Attend School</t>
  </si>
  <si>
    <t>Child 1 Health Visitor</t>
  </si>
  <si>
    <t>Child 2 Child in Need</t>
  </si>
  <si>
    <t>Child 2 Early Help Record and Plan2</t>
  </si>
  <si>
    <t>Child 2 Registered with GP</t>
  </si>
  <si>
    <t>Child 2 Attend School</t>
  </si>
  <si>
    <t>Child 2 Health Visitor</t>
  </si>
  <si>
    <t>Child 3 Child in Need</t>
  </si>
  <si>
    <t>Child 3 Registered with GP</t>
  </si>
  <si>
    <t>Child 3 Early Help Record and Plan</t>
  </si>
  <si>
    <t>Child 3 Attend School</t>
  </si>
  <si>
    <t>Child 3 Health Visitor</t>
  </si>
  <si>
    <t>Pregnant</t>
  </si>
  <si>
    <t>Learning Disability</t>
  </si>
  <si>
    <t>County Durham</t>
  </si>
  <si>
    <t>Darlington</t>
  </si>
  <si>
    <t>Hartlepool</t>
  </si>
  <si>
    <t>Middlesbrough</t>
  </si>
  <si>
    <t>Northumberland</t>
  </si>
  <si>
    <t>Redcar and Cleveland</t>
  </si>
  <si>
    <t>Stockton-on-Tees</t>
  </si>
  <si>
    <t>Tyne and Wear (Met County)</t>
  </si>
  <si>
    <t>Gateshead</t>
  </si>
  <si>
    <t>Newcastle upon Tyne</t>
  </si>
  <si>
    <t>North Tyneside</t>
  </si>
  <si>
    <t>South Tyneside</t>
  </si>
  <si>
    <t>Sunderland</t>
  </si>
  <si>
    <t>Blackburn with Darwen</t>
  </si>
  <si>
    <t>Blackpool</t>
  </si>
  <si>
    <t>Cheshire East</t>
  </si>
  <si>
    <t>Cheshire West and Chester</t>
  </si>
  <si>
    <t>Halton</t>
  </si>
  <si>
    <t>Warrington</t>
  </si>
  <si>
    <t>Cumbria</t>
  </si>
  <si>
    <t>Allerdale</t>
  </si>
  <si>
    <t>Barrow-in-Furness</t>
  </si>
  <si>
    <t>Carlisle</t>
  </si>
  <si>
    <t>Copeland</t>
  </si>
  <si>
    <t>Eden</t>
  </si>
  <si>
    <t>South Lakeland</t>
  </si>
  <si>
    <t>Greater Manchester (Met County)</t>
  </si>
  <si>
    <t>Bolton</t>
  </si>
  <si>
    <t>Bury</t>
  </si>
  <si>
    <t>Manchester</t>
  </si>
  <si>
    <t>Oldham</t>
  </si>
  <si>
    <t>Rochdale</t>
  </si>
  <si>
    <t>Salford</t>
  </si>
  <si>
    <t>Stockport</t>
  </si>
  <si>
    <t>Tameside</t>
  </si>
  <si>
    <t>Trafford</t>
  </si>
  <si>
    <t>Wigan</t>
  </si>
  <si>
    <t>Lancashire</t>
  </si>
  <si>
    <t>Burnley</t>
  </si>
  <si>
    <t>Chorley</t>
  </si>
  <si>
    <t>Fylde</t>
  </si>
  <si>
    <t>Hyndburn</t>
  </si>
  <si>
    <t>Lancaster</t>
  </si>
  <si>
    <t>Pendle</t>
  </si>
  <si>
    <t>Preston</t>
  </si>
  <si>
    <t>Ribble Valley</t>
  </si>
  <si>
    <t>Rossendale</t>
  </si>
  <si>
    <t>South Ribble</t>
  </si>
  <si>
    <t>West Lancashire</t>
  </si>
  <si>
    <t>Wyre</t>
  </si>
  <si>
    <t>Merseyside (Met County)</t>
  </si>
  <si>
    <t>Knowsley</t>
  </si>
  <si>
    <t>Liverpool</t>
  </si>
  <si>
    <t>Sefton</t>
  </si>
  <si>
    <t>St. Helens</t>
  </si>
  <si>
    <t>Wirral</t>
  </si>
  <si>
    <t>East Riding of Yorkshire</t>
  </si>
  <si>
    <t>Kingston upon Hull, City of</t>
  </si>
  <si>
    <t>North East Lincolnshire</t>
  </si>
  <si>
    <t>North Lincolnshire</t>
  </si>
  <si>
    <t>York</t>
  </si>
  <si>
    <t>North Yorkshire</t>
  </si>
  <si>
    <t>Craven</t>
  </si>
  <si>
    <t>Hambleton</t>
  </si>
  <si>
    <t>Harrogate</t>
  </si>
  <si>
    <t>Richmondshire</t>
  </si>
  <si>
    <t>Ryedale</t>
  </si>
  <si>
    <t>Scarborough</t>
  </si>
  <si>
    <t>Selby</t>
  </si>
  <si>
    <t>South Yorkshire (Met County)</t>
  </si>
  <si>
    <t>Barnsley</t>
  </si>
  <si>
    <t>Doncaster</t>
  </si>
  <si>
    <t>Rotherham</t>
  </si>
  <si>
    <t>Sheffield</t>
  </si>
  <si>
    <t>West Yorkshire (Met County)</t>
  </si>
  <si>
    <t>Bradford</t>
  </si>
  <si>
    <t>Calderdale</t>
  </si>
  <si>
    <t>Kirklees</t>
  </si>
  <si>
    <t>Leeds</t>
  </si>
  <si>
    <t>Wakefield</t>
  </si>
  <si>
    <t>Derby</t>
  </si>
  <si>
    <t>Leicester</t>
  </si>
  <si>
    <t>Nottingham</t>
  </si>
  <si>
    <t>Rutland</t>
  </si>
  <si>
    <t>Derbyshire</t>
  </si>
  <si>
    <t>Amber Valley</t>
  </si>
  <si>
    <t>Bolsover</t>
  </si>
  <si>
    <t>Chesterfield</t>
  </si>
  <si>
    <t>Derbyshire Dales</t>
  </si>
  <si>
    <t>Erewash</t>
  </si>
  <si>
    <t>High Peak</t>
  </si>
  <si>
    <t>North East Derbyshire</t>
  </si>
  <si>
    <t>South Derbyshire</t>
  </si>
  <si>
    <t>Leicestershire</t>
  </si>
  <si>
    <t>Blaby</t>
  </si>
  <si>
    <t>Charnwood</t>
  </si>
  <si>
    <t>Harborough</t>
  </si>
  <si>
    <t>Hinckley and Bosworth</t>
  </si>
  <si>
    <t>Melton</t>
  </si>
  <si>
    <t>North West Leicestershire</t>
  </si>
  <si>
    <t>Oadby and Wigston</t>
  </si>
  <si>
    <t>Lincolnshire</t>
  </si>
  <si>
    <t>Boston</t>
  </si>
  <si>
    <t>East Lindsey</t>
  </si>
  <si>
    <t>Lincoln</t>
  </si>
  <si>
    <t>North Kesteven</t>
  </si>
  <si>
    <t>South Holland</t>
  </si>
  <si>
    <t>South Kesteven</t>
  </si>
  <si>
    <t>West Lindsey</t>
  </si>
  <si>
    <t>Northamptonshire</t>
  </si>
  <si>
    <t>Corby</t>
  </si>
  <si>
    <t>Daventry</t>
  </si>
  <si>
    <t>East Northamptonshire</t>
  </si>
  <si>
    <t>Kettering</t>
  </si>
  <si>
    <t>Northampton</t>
  </si>
  <si>
    <t>South Northamptonshire</t>
  </si>
  <si>
    <t>Wellingborough</t>
  </si>
  <si>
    <t>Nottinghamshire</t>
  </si>
  <si>
    <t>Ashfield</t>
  </si>
  <si>
    <t>Bassetlaw</t>
  </si>
  <si>
    <t>Broxtowe</t>
  </si>
  <si>
    <t>Gedling</t>
  </si>
  <si>
    <t>Mansfield</t>
  </si>
  <si>
    <t>Newark and Sherwood</t>
  </si>
  <si>
    <t>Rushcliffe</t>
  </si>
  <si>
    <t>Herefordshire, County of</t>
  </si>
  <si>
    <t>Shropshire</t>
  </si>
  <si>
    <t>Stoke-on-Trent</t>
  </si>
  <si>
    <t>Telford and Wrekin</t>
  </si>
  <si>
    <t>Staffordshire</t>
  </si>
  <si>
    <t>Cannock Chase</t>
  </si>
  <si>
    <t>East Staffordshire</t>
  </si>
  <si>
    <t>Lichfield</t>
  </si>
  <si>
    <t>Newcastle-under-Lyme</t>
  </si>
  <si>
    <t>South Staffordshire</t>
  </si>
  <si>
    <t>Stafford</t>
  </si>
  <si>
    <t>Staffordshire Moorlands</t>
  </si>
  <si>
    <t>Tamworth</t>
  </si>
  <si>
    <t>Warwickshire</t>
  </si>
  <si>
    <t>North Warwickshire</t>
  </si>
  <si>
    <t>Nuneaton and Bedworth</t>
  </si>
  <si>
    <t>Rugby</t>
  </si>
  <si>
    <t>Stratford-on-Avon</t>
  </si>
  <si>
    <t>Warwick</t>
  </si>
  <si>
    <t>West Midlands (Met County)</t>
  </si>
  <si>
    <t>Birmingham</t>
  </si>
  <si>
    <t>Coventry</t>
  </si>
  <si>
    <t>Dudley</t>
  </si>
  <si>
    <t>Sandwell</t>
  </si>
  <si>
    <t>Solihull</t>
  </si>
  <si>
    <t>Walsall</t>
  </si>
  <si>
    <t>Wolverhampton</t>
  </si>
  <si>
    <t>Worcestershire</t>
  </si>
  <si>
    <t>Bromsgrove</t>
  </si>
  <si>
    <t>Malvern Hills</t>
  </si>
  <si>
    <t>Redditch</t>
  </si>
  <si>
    <t>Worcester</t>
  </si>
  <si>
    <t>Wychavon</t>
  </si>
  <si>
    <t>Wyre Forest</t>
  </si>
  <si>
    <t>Bedford</t>
  </si>
  <si>
    <t>Central Bedfordshire</t>
  </si>
  <si>
    <t>Luton</t>
  </si>
  <si>
    <t>Peterborough</t>
  </si>
  <si>
    <t>Southend-on-Sea</t>
  </si>
  <si>
    <t>Thurrock</t>
  </si>
  <si>
    <t>Cambridgeshire</t>
  </si>
  <si>
    <t>Cambridge</t>
  </si>
  <si>
    <t>East Cambridgeshire</t>
  </si>
  <si>
    <t>Fenland</t>
  </si>
  <si>
    <t>Huntingdonshire</t>
  </si>
  <si>
    <t>South Cambridgeshire</t>
  </si>
  <si>
    <t>Essex</t>
  </si>
  <si>
    <t>Basildon</t>
  </si>
  <si>
    <t>Braintree</t>
  </si>
  <si>
    <t>Brentwood</t>
  </si>
  <si>
    <t>Castle Point</t>
  </si>
  <si>
    <t>Chelmsford</t>
  </si>
  <si>
    <t>Colchester</t>
  </si>
  <si>
    <t>Epping Forest</t>
  </si>
  <si>
    <t>Harlow</t>
  </si>
  <si>
    <t>Maldon</t>
  </si>
  <si>
    <t>Rochford</t>
  </si>
  <si>
    <t>Tendring</t>
  </si>
  <si>
    <t>Uttlesford</t>
  </si>
  <si>
    <t>Hertfordshire</t>
  </si>
  <si>
    <t>Broxbourne</t>
  </si>
  <si>
    <t>Dacorum</t>
  </si>
  <si>
    <t>East Hertfordshire</t>
  </si>
  <si>
    <t>Hertsmere</t>
  </si>
  <si>
    <t>North Hertfordshire</t>
  </si>
  <si>
    <t>St Albans</t>
  </si>
  <si>
    <t>Stevenage</t>
  </si>
  <si>
    <t>Three Rivers</t>
  </si>
  <si>
    <t>Watford</t>
  </si>
  <si>
    <t>Welwyn Hatfield</t>
  </si>
  <si>
    <t>Norfolk</t>
  </si>
  <si>
    <t>Breckland</t>
  </si>
  <si>
    <t>Broadland</t>
  </si>
  <si>
    <t>Great Yarmouth</t>
  </si>
  <si>
    <t>King's Lynn and West Norfolk</t>
  </si>
  <si>
    <t>North Norfolk</t>
  </si>
  <si>
    <t>Norwich</t>
  </si>
  <si>
    <t>South Norfolk</t>
  </si>
  <si>
    <t>Suffolk</t>
  </si>
  <si>
    <t>Babergh</t>
  </si>
  <si>
    <t>Ipswich</t>
  </si>
  <si>
    <t>Mid Suffolk</t>
  </si>
  <si>
    <t>St Edmundsbury</t>
  </si>
  <si>
    <t>Suffolk Coastal</t>
  </si>
  <si>
    <t>Waveney</t>
  </si>
  <si>
    <t>Camden</t>
  </si>
  <si>
    <t>City of London</t>
  </si>
  <si>
    <t>Hackney</t>
  </si>
  <si>
    <t>Hammersmith and Fulham</t>
  </si>
  <si>
    <t>Haringey</t>
  </si>
  <si>
    <t>Islington</t>
  </si>
  <si>
    <t>Kensington and Chelsea</t>
  </si>
  <si>
    <t>Lambeth</t>
  </si>
  <si>
    <t>Lewisham</t>
  </si>
  <si>
    <t>Newham</t>
  </si>
  <si>
    <t>Southwark</t>
  </si>
  <si>
    <t>Tower Hamlets</t>
  </si>
  <si>
    <t>Wandsworth</t>
  </si>
  <si>
    <t>Westminster</t>
  </si>
  <si>
    <t>Barking and Dagenham</t>
  </si>
  <si>
    <t>Barnet</t>
  </si>
  <si>
    <t>Bexley</t>
  </si>
  <si>
    <t>Brent</t>
  </si>
  <si>
    <t>Bromley</t>
  </si>
  <si>
    <t>Croydon</t>
  </si>
  <si>
    <t>Ealing</t>
  </si>
  <si>
    <t>Enfield</t>
  </si>
  <si>
    <t>Greenwich</t>
  </si>
  <si>
    <t>Harrow</t>
  </si>
  <si>
    <t>Havering</t>
  </si>
  <si>
    <t>Hillingdon</t>
  </si>
  <si>
    <t>Hounslow</t>
  </si>
  <si>
    <t>Kingston upon Thames</t>
  </si>
  <si>
    <t>Merton</t>
  </si>
  <si>
    <t>Redbridge</t>
  </si>
  <si>
    <t>Richmond upon Thames</t>
  </si>
  <si>
    <t>Sutton</t>
  </si>
  <si>
    <t>Waltham Forest</t>
  </si>
  <si>
    <t>Bracknell Forest</t>
  </si>
  <si>
    <t>Brighton and Hove</t>
  </si>
  <si>
    <t>Isle of Wight</t>
  </si>
  <si>
    <t>Medway</t>
  </si>
  <si>
    <t>Milton Keynes</t>
  </si>
  <si>
    <t>Portsmouth</t>
  </si>
  <si>
    <t>Reading</t>
  </si>
  <si>
    <t>Slough</t>
  </si>
  <si>
    <t>Southampton</t>
  </si>
  <si>
    <t>West Berkshire</t>
  </si>
  <si>
    <t>Windsor and Maidenhead</t>
  </si>
  <si>
    <t>Wokingham</t>
  </si>
  <si>
    <t>Buckinghamshire</t>
  </si>
  <si>
    <t>Aylesbury Vale</t>
  </si>
  <si>
    <t>Chiltern</t>
  </si>
  <si>
    <t>South Bucks</t>
  </si>
  <si>
    <t>Wycombe</t>
  </si>
  <si>
    <t>East Sussex</t>
  </si>
  <si>
    <t>Eastbourne</t>
  </si>
  <si>
    <t>Hastings</t>
  </si>
  <si>
    <t>Lewes</t>
  </si>
  <si>
    <t>Rother</t>
  </si>
  <si>
    <t>Wealden</t>
  </si>
  <si>
    <t>Hampshire</t>
  </si>
  <si>
    <t>Basingstoke and Deane</t>
  </si>
  <si>
    <t>East Hampshire</t>
  </si>
  <si>
    <t>Eastleigh</t>
  </si>
  <si>
    <t>Fareham</t>
  </si>
  <si>
    <t>Gosport</t>
  </si>
  <si>
    <t>Hart</t>
  </si>
  <si>
    <t>Havant</t>
  </si>
  <si>
    <t>New Forest</t>
  </si>
  <si>
    <t>Rushmoor</t>
  </si>
  <si>
    <t>Test Valley</t>
  </si>
  <si>
    <t>Winchester</t>
  </si>
  <si>
    <t>Kent</t>
  </si>
  <si>
    <t>Ashford</t>
  </si>
  <si>
    <t>Canterbury</t>
  </si>
  <si>
    <t>Dartford</t>
  </si>
  <si>
    <t>Dover</t>
  </si>
  <si>
    <t>Gravesham</t>
  </si>
  <si>
    <t>Maidstone</t>
  </si>
  <si>
    <t>Sevenoaks</t>
  </si>
  <si>
    <t>Shepway</t>
  </si>
  <si>
    <t>Swale</t>
  </si>
  <si>
    <t>Thanet</t>
  </si>
  <si>
    <t>Tonbridge and Malling</t>
  </si>
  <si>
    <t>Tunbridge Wells</t>
  </si>
  <si>
    <t>Oxfordshire</t>
  </si>
  <si>
    <t>Cherwell</t>
  </si>
  <si>
    <t>Oxford</t>
  </si>
  <si>
    <t>South Oxfordshire</t>
  </si>
  <si>
    <t>Vale of White Horse</t>
  </si>
  <si>
    <t>West Oxfordshire</t>
  </si>
  <si>
    <t>Surrey</t>
  </si>
  <si>
    <t>Elmbridge</t>
  </si>
  <si>
    <t>Epsom and Ewell</t>
  </si>
  <si>
    <t>Guildford</t>
  </si>
  <si>
    <t>Mole Valley</t>
  </si>
  <si>
    <t>Reigate and Banstead</t>
  </si>
  <si>
    <t>Runnymede</t>
  </si>
  <si>
    <t>Spelthorne</t>
  </si>
  <si>
    <t>Surrey Heath</t>
  </si>
  <si>
    <t>Tandridge</t>
  </si>
  <si>
    <t>Waverley</t>
  </si>
  <si>
    <t>Woking</t>
  </si>
  <si>
    <t>West Sussex</t>
  </si>
  <si>
    <t>Adur</t>
  </si>
  <si>
    <t>Arun</t>
  </si>
  <si>
    <t>Chichester</t>
  </si>
  <si>
    <t>Crawley</t>
  </si>
  <si>
    <t>Horsham</t>
  </si>
  <si>
    <t>Mid Sussex</t>
  </si>
  <si>
    <t>Worthing</t>
  </si>
  <si>
    <t>Bath and North East Somerset</t>
  </si>
  <si>
    <t>Bournemouth</t>
  </si>
  <si>
    <t>Bristol, City of</t>
  </si>
  <si>
    <t>Cornwall</t>
  </si>
  <si>
    <t>Isles of Scilly</t>
  </si>
  <si>
    <t>North Somerset</t>
  </si>
  <si>
    <t>Plymouth</t>
  </si>
  <si>
    <t>Poole</t>
  </si>
  <si>
    <t>South Gloucestershire</t>
  </si>
  <si>
    <t>Torbay</t>
  </si>
  <si>
    <t>Wiltshire</t>
  </si>
  <si>
    <t>Devon</t>
  </si>
  <si>
    <t>East Devon</t>
  </si>
  <si>
    <t>Exeter</t>
  </si>
  <si>
    <t>Mid Devon</t>
  </si>
  <si>
    <t>North Devon</t>
  </si>
  <si>
    <t>South Hams</t>
  </si>
  <si>
    <t>Teignbridge</t>
  </si>
  <si>
    <t>Torridge</t>
  </si>
  <si>
    <t>West Devon</t>
  </si>
  <si>
    <t>Dorset</t>
  </si>
  <si>
    <t>Christchurch</t>
  </si>
  <si>
    <t>East Dorset</t>
  </si>
  <si>
    <t>North Dorset</t>
  </si>
  <si>
    <t>Purbeck</t>
  </si>
  <si>
    <t>West Dorset</t>
  </si>
  <si>
    <t>Weymouth and Portland</t>
  </si>
  <si>
    <t>Gloucestershire</t>
  </si>
  <si>
    <t>Cheltenham</t>
  </si>
  <si>
    <t>Cotswold</t>
  </si>
  <si>
    <t>Forest of Dean</t>
  </si>
  <si>
    <t>Gloucester</t>
  </si>
  <si>
    <t>Stroud</t>
  </si>
  <si>
    <t>Tewkesbury</t>
  </si>
  <si>
    <t>Somerset</t>
  </si>
  <si>
    <t>Mendip</t>
  </si>
  <si>
    <t>Sedgemoor</t>
  </si>
  <si>
    <t>South Somerset</t>
  </si>
  <si>
    <t>Taunton Deane</t>
  </si>
  <si>
    <t>West Somerset</t>
  </si>
  <si>
    <t>Isle of Anglesey</t>
  </si>
  <si>
    <t>Gwynedd</t>
  </si>
  <si>
    <t>Conwy</t>
  </si>
  <si>
    <t>Denbighshire</t>
  </si>
  <si>
    <t>Flintshire</t>
  </si>
  <si>
    <t>Wrexham</t>
  </si>
  <si>
    <t>Powys</t>
  </si>
  <si>
    <t>Ceredigion</t>
  </si>
  <si>
    <t>Pembrokeshire</t>
  </si>
  <si>
    <t>Carmarthenshire</t>
  </si>
  <si>
    <t>Swansea</t>
  </si>
  <si>
    <t>Neath Port Talbot</t>
  </si>
  <si>
    <t>Bridgend</t>
  </si>
  <si>
    <t>The Vale of Glamorgan</t>
  </si>
  <si>
    <t>Cardiff</t>
  </si>
  <si>
    <t>Rhondda Cynon Taf</t>
  </si>
  <si>
    <t>Merthyr Tydfil</t>
  </si>
  <si>
    <t>Caerphilly</t>
  </si>
  <si>
    <t>Blaenau Gwent</t>
  </si>
  <si>
    <t>Torfaen</t>
  </si>
  <si>
    <t>Monmouthshire</t>
  </si>
  <si>
    <t>Newport</t>
  </si>
  <si>
    <t>Aberdeen City</t>
  </si>
  <si>
    <t>Aberdeenshire</t>
  </si>
  <si>
    <t>Angus</t>
  </si>
  <si>
    <t>Argyll and Bute</t>
  </si>
  <si>
    <t>Clackmannanshire</t>
  </si>
  <si>
    <t>Dumfries and Galloway</t>
  </si>
  <si>
    <t>Dundee City</t>
  </si>
  <si>
    <t>East Ayrshire</t>
  </si>
  <si>
    <t>East Dunbartonshire</t>
  </si>
  <si>
    <t>East Lothian</t>
  </si>
  <si>
    <t>East Renfrewshire</t>
  </si>
  <si>
    <t>City of Edinburgh</t>
  </si>
  <si>
    <t>Eilean Siar</t>
  </si>
  <si>
    <t>Falkirk</t>
  </si>
  <si>
    <t>Fife</t>
  </si>
  <si>
    <t>Glasgow City</t>
  </si>
  <si>
    <t>Highland</t>
  </si>
  <si>
    <t>Inverclyde</t>
  </si>
  <si>
    <t>Midlothian</t>
  </si>
  <si>
    <t>Moray</t>
  </si>
  <si>
    <t>North Ayrshire</t>
  </si>
  <si>
    <t>North Lanarkshire</t>
  </si>
  <si>
    <t>Orkney Islands</t>
  </si>
  <si>
    <t>Perth and Kinross</t>
  </si>
  <si>
    <t>Renfrewshire</t>
  </si>
  <si>
    <t>Scottish Borders</t>
  </si>
  <si>
    <t>Shetland Islands</t>
  </si>
  <si>
    <t>South Ayrshire</t>
  </si>
  <si>
    <t>South Lanarkshire</t>
  </si>
  <si>
    <t>Stirling</t>
  </si>
  <si>
    <t>West Dunbartonshire</t>
  </si>
  <si>
    <t>West Lothian</t>
  </si>
  <si>
    <r>
      <t>Forest Heath</t>
    </r>
    <r>
      <rPr>
        <vertAlign val="superscript"/>
        <sz val="10"/>
        <rFont val="Calibri"/>
        <family val="2"/>
        <scheme val="minor"/>
      </rPr>
      <t xml:space="preserve"> [1]</t>
    </r>
  </si>
  <si>
    <t>Self/Friends/Family</t>
  </si>
  <si>
    <t>Evicted</t>
  </si>
  <si>
    <t>Abandoned</t>
  </si>
  <si>
    <t>Died</t>
  </si>
  <si>
    <t>Offending</t>
  </si>
  <si>
    <t>Accessing Midwife Service</t>
  </si>
  <si>
    <t>Social Networks and Relationships</t>
  </si>
  <si>
    <t>Drug and Alcohol Misuse</t>
  </si>
  <si>
    <t>Physical Health</t>
  </si>
  <si>
    <t>Emotional and Mental Health</t>
  </si>
  <si>
    <t>Meaning Use of Time</t>
  </si>
  <si>
    <t>Managing Tenancy and Accommodation</t>
  </si>
  <si>
    <t>Managing Money and Personal Administration</t>
  </si>
  <si>
    <t>Self Care and Living Skills</t>
  </si>
  <si>
    <t>Motivation and Taking Responsibility</t>
  </si>
  <si>
    <t>from Swindon</t>
  </si>
  <si>
    <t>Eviction Notices Served</t>
  </si>
  <si>
    <t>Complaints Received</t>
  </si>
  <si>
    <t>Number of Units</t>
  </si>
  <si>
    <t>Lettable Void Days</t>
  </si>
  <si>
    <t>Unlettable Voids Days</t>
  </si>
  <si>
    <t>Completed by Employees</t>
  </si>
  <si>
    <t>Completed by Temporary or Agency Staff</t>
  </si>
  <si>
    <t>Current Local Authority</t>
  </si>
  <si>
    <t>Referral Decision</t>
  </si>
  <si>
    <t>% Void</t>
  </si>
  <si>
    <t>% Complete</t>
  </si>
  <si>
    <t>Moved to Social Housing</t>
  </si>
  <si>
    <t>Moved to Private Housing</t>
  </si>
  <si>
    <t>Moved to Supported Housing</t>
  </si>
  <si>
    <t>% Trained in Safeguarding</t>
  </si>
  <si>
    <t>% Trained in Outcome Star</t>
  </si>
  <si>
    <t>Current Living Status</t>
  </si>
  <si>
    <t>E10</t>
  </si>
  <si>
    <t>E9</t>
  </si>
  <si>
    <t>E8</t>
  </si>
  <si>
    <t>E7</t>
  </si>
  <si>
    <t>E6</t>
  </si>
  <si>
    <t>E5</t>
  </si>
  <si>
    <t>E4</t>
  </si>
  <si>
    <t>E3</t>
  </si>
  <si>
    <t>E2</t>
  </si>
  <si>
    <t>E1</t>
  </si>
  <si>
    <t>S10</t>
  </si>
  <si>
    <t>S9</t>
  </si>
  <si>
    <t>S8</t>
  </si>
  <si>
    <t>S7</t>
  </si>
  <si>
    <t>S6</t>
  </si>
  <si>
    <t>S5</t>
  </si>
  <si>
    <t>S4</t>
  </si>
  <si>
    <t>S3</t>
  </si>
  <si>
    <t>S2</t>
  </si>
  <si>
    <t>S1</t>
  </si>
  <si>
    <t>Date</t>
  </si>
  <si>
    <t>Client</t>
  </si>
  <si>
    <t>STAFF</t>
  </si>
  <si>
    <t>REFERRALS</t>
  </si>
  <si>
    <t>Number of Contracted Staff Hours</t>
  </si>
  <si>
    <t>STARTERS</t>
  </si>
  <si>
    <t>LEAVERS</t>
  </si>
  <si>
    <t>Self-Care and Living Skills</t>
  </si>
  <si>
    <t>Meaningful Use of Time</t>
  </si>
  <si>
    <t>New Local Authority</t>
  </si>
  <si>
    <t>Midwife</t>
  </si>
  <si>
    <t>Outreach</t>
  </si>
  <si>
    <t>Foster Care</t>
  </si>
  <si>
    <t>Supported Lodgings</t>
  </si>
  <si>
    <t>Data Referral Source</t>
  </si>
  <si>
    <t>Data Referral Decision</t>
  </si>
  <si>
    <t>Hospital</t>
  </si>
  <si>
    <t>Swindon</t>
  </si>
  <si>
    <t>Data Referral Quarter</t>
  </si>
  <si>
    <t>Data Start Date</t>
  </si>
  <si>
    <t>Data Referral Source Total</t>
  </si>
  <si>
    <t>Data Referral Decision Total</t>
  </si>
  <si>
    <t>Data Local Authority</t>
  </si>
  <si>
    <t>Data Local Authority Total</t>
  </si>
  <si>
    <t>Data GP Start</t>
  </si>
  <si>
    <t>Data GP Start Total</t>
  </si>
  <si>
    <t>GCSE D-G</t>
  </si>
  <si>
    <t>Certificate of Higher Education/HNC</t>
  </si>
  <si>
    <t>Diploma of Higher Education/HND</t>
  </si>
  <si>
    <t>Postgraduate Qualification/Masters Degree</t>
  </si>
  <si>
    <t>NVQ5/Doctorate</t>
  </si>
  <si>
    <t>Data Move On</t>
  </si>
  <si>
    <t>Data Leavers Date</t>
  </si>
  <si>
    <t>Data Move On Total</t>
  </si>
  <si>
    <t>Data GP End Total</t>
  </si>
  <si>
    <t>Data GP End</t>
  </si>
  <si>
    <t>Data EET End</t>
  </si>
  <si>
    <t>Registered with GP/Dentist</t>
  </si>
  <si>
    <t>Data EET End Total</t>
  </si>
  <si>
    <t>Start</t>
  </si>
  <si>
    <t>End</t>
  </si>
  <si>
    <t>2015/2016</t>
  </si>
  <si>
    <t>N/a</t>
  </si>
  <si>
    <t>Local Authority</t>
  </si>
  <si>
    <t>Please password protect the spreadsheet before sending and then send another email to the same email address with the password.  This is to comply with the Data Protection Act.</t>
  </si>
  <si>
    <t>Generic</t>
  </si>
  <si>
    <t>NAME OF PERSON SUBMITTING THIS FORM</t>
  </si>
  <si>
    <t>Adult Social Care</t>
  </si>
  <si>
    <t>Childrens Services</t>
  </si>
  <si>
    <t>Current Postcode</t>
  </si>
  <si>
    <t>Floating Support</t>
  </si>
  <si>
    <t>Resettlement Team</t>
  </si>
  <si>
    <t>Mental Health Services</t>
  </si>
  <si>
    <t>Drug and Alcohol Services</t>
  </si>
  <si>
    <t>Please read these instructions before completing this workbook.</t>
  </si>
  <si>
    <t>OUTCOMES STAR</t>
  </si>
  <si>
    <t>Child 4 Name</t>
  </si>
  <si>
    <t>Child 4 Age</t>
  </si>
  <si>
    <t>Child 4 Protection Category</t>
  </si>
  <si>
    <t>Child 4 Child in Need</t>
  </si>
  <si>
    <t>Child 4 Early Help Record and Plan</t>
  </si>
  <si>
    <t>Child 4 Registered with GP</t>
  </si>
  <si>
    <t>Child 4 Attend School</t>
  </si>
  <si>
    <t>Child 4 Health Visitor</t>
  </si>
  <si>
    <t>Child 5 Name</t>
  </si>
  <si>
    <t>Child 5 Age</t>
  </si>
  <si>
    <t>Child 5 Protection Category</t>
  </si>
  <si>
    <t>Child 5 Child in Need</t>
  </si>
  <si>
    <t>Child 5 Early Help Record and Plan</t>
  </si>
  <si>
    <t>Child 5 Registered with GP</t>
  </si>
  <si>
    <t>Child 5 Attend School</t>
  </si>
  <si>
    <t>Child 5 Health Visitor</t>
  </si>
  <si>
    <t>Child 6 Name</t>
  </si>
  <si>
    <t>Child 6 Age</t>
  </si>
  <si>
    <t>Child 6 Protection Category</t>
  </si>
  <si>
    <t>Child 6 Child in Need</t>
  </si>
  <si>
    <t>Child 6 Early Help Record and Plan</t>
  </si>
  <si>
    <t>Child 6 Registered with GP</t>
  </si>
  <si>
    <t>Child 6 Attend School</t>
  </si>
  <si>
    <t>Child 6 Health Visitor</t>
  </si>
  <si>
    <t>Child 7 Name</t>
  </si>
  <si>
    <t>Child 7 Age</t>
  </si>
  <si>
    <t>Child 7 Protection Category</t>
  </si>
  <si>
    <t>Child 7 Child in Need</t>
  </si>
  <si>
    <t>Child 7 Early Help Record and Plan</t>
  </si>
  <si>
    <t>Child 7 Registered with GP</t>
  </si>
  <si>
    <t>Child 7 Attend School</t>
  </si>
  <si>
    <t>Child 7 Health Visitor</t>
  </si>
  <si>
    <t>Emergency Room</t>
  </si>
  <si>
    <r>
      <t>Registered with GP</t>
    </r>
    <r>
      <rPr>
        <b/>
        <sz val="10"/>
        <color theme="5"/>
        <rFont val="Calibri"/>
        <family val="2"/>
        <scheme val="minor"/>
      </rPr>
      <t>2</t>
    </r>
  </si>
  <si>
    <r>
      <t>Registered with Dentist</t>
    </r>
    <r>
      <rPr>
        <b/>
        <sz val="10"/>
        <color theme="5"/>
        <rFont val="Calibri"/>
        <family val="2"/>
        <scheme val="minor"/>
      </rPr>
      <t>2</t>
    </r>
  </si>
  <si>
    <r>
      <t>EET</t>
    </r>
    <r>
      <rPr>
        <b/>
        <sz val="10"/>
        <color theme="5"/>
        <rFont val="Calibri"/>
        <family val="2"/>
        <scheme val="minor"/>
      </rPr>
      <t>2</t>
    </r>
  </si>
  <si>
    <r>
      <t>Educational Level</t>
    </r>
    <r>
      <rPr>
        <b/>
        <sz val="10"/>
        <color theme="5"/>
        <rFont val="Calibri"/>
        <family val="2"/>
        <scheme val="minor"/>
      </rPr>
      <t>2</t>
    </r>
  </si>
  <si>
    <r>
      <t>Benefits Claimed</t>
    </r>
    <r>
      <rPr>
        <b/>
        <sz val="10"/>
        <color theme="5"/>
        <rFont val="Calibri"/>
        <family val="2"/>
        <scheme val="minor"/>
      </rPr>
      <t>2</t>
    </r>
  </si>
  <si>
    <t>Maintained Independent Living</t>
  </si>
  <si>
    <t>Moved to Sheltered Housing</t>
  </si>
  <si>
    <t>Completed Program of Support</t>
  </si>
  <si>
    <t>GENERAL</t>
  </si>
  <si>
    <t>Number of Service Users</t>
  </si>
  <si>
    <t>Number of Leavers</t>
  </si>
  <si>
    <t>Positive</t>
  </si>
  <si>
    <t>Exit Form Issued</t>
  </si>
  <si>
    <t>Exit Form Received</t>
  </si>
  <si>
    <t>Date of Birth</t>
  </si>
  <si>
    <t>2016/2017</t>
  </si>
  <si>
    <t>Family Nurse Partnership</t>
  </si>
  <si>
    <t>Prison/Probation</t>
  </si>
  <si>
    <t>Housing Options Team</t>
  </si>
  <si>
    <t>Retired</t>
  </si>
  <si>
    <t>Client Stopped Engaging</t>
  </si>
  <si>
    <t>Data Motivation and Taking Responsibility Start 1516</t>
  </si>
  <si>
    <t>Data Self-Care and Living Skills Start 1516</t>
  </si>
  <si>
    <t>Data Managing Money and Personal Administration Start 1516</t>
  </si>
  <si>
    <t>Data Social Networks and Relationships Start 1516</t>
  </si>
  <si>
    <t>Data Drug and Alcohol Misuse Start 1516</t>
  </si>
  <si>
    <t>Data Physical Health Start 1516</t>
  </si>
  <si>
    <t>Data Emotional and Mental Health Start 1516</t>
  </si>
  <si>
    <t>Data Meaningful Use of Time Start 1516</t>
  </si>
  <si>
    <t>Data Managing Tenancy and Accommodation Start 1516</t>
  </si>
  <si>
    <t>Data Offending Start 1516</t>
  </si>
  <si>
    <t>Data Motivation and Taking Responsibility End 1516</t>
  </si>
  <si>
    <t>Data Self-Care and Living Skills End 1516</t>
  </si>
  <si>
    <t>Data Managing Money and Personal Administration End 1516</t>
  </si>
  <si>
    <t>Data Social Networks and Relationships End 1516</t>
  </si>
  <si>
    <t>Data Drug and Alcohol Misuse End 1516</t>
  </si>
  <si>
    <t>Data Physical Health End 1516</t>
  </si>
  <si>
    <t>Data Emotional and Mental Health End 1516</t>
  </si>
  <si>
    <t>Data Meaningful Use of Time End 1516</t>
  </si>
  <si>
    <t>Data Managing Tenancy and Accommodation End 1516</t>
  </si>
  <si>
    <t>Data Offending End 1516</t>
  </si>
  <si>
    <t>Data Motivation and Taking Responsibility Start 1617</t>
  </si>
  <si>
    <t>Data Self-Care and Living Skills Start 1617</t>
  </si>
  <si>
    <t>Data Managing Money and Personal Administration Start 1617</t>
  </si>
  <si>
    <t>Data Social Networks and Relationships Start 1617</t>
  </si>
  <si>
    <t>Data Drug and Alcohol Misuse Start 1617</t>
  </si>
  <si>
    <t>Data Physical Health Start 1617</t>
  </si>
  <si>
    <t>Data Emotional and Mental Health Start 1617</t>
  </si>
  <si>
    <t>Data Meaningful Use of Time Start 1617</t>
  </si>
  <si>
    <t>Data Managing Tenancy and Accommodation Start 1617</t>
  </si>
  <si>
    <t>Data Offending Start 1617</t>
  </si>
  <si>
    <t>Data Motivation and Taking Responsibility End 1617</t>
  </si>
  <si>
    <t>Data Self-Care and Living Skills End 1617</t>
  </si>
  <si>
    <t>Data Managing Money and Personal Administration End 1617</t>
  </si>
  <si>
    <t>Data Social Networks and Relationships End 1617</t>
  </si>
  <si>
    <t>Data Drug and Alcohol Misuse End 1617</t>
  </si>
  <si>
    <t>Data Physical Health End 1617</t>
  </si>
  <si>
    <t>Data Emotional and Mental Health End 1617</t>
  </si>
  <si>
    <t>Data Meaningful Use of Time End 1617</t>
  </si>
  <si>
    <t>Data Managing Tenancy and Accommodation End 1617</t>
  </si>
  <si>
    <t>Data Offending End 1617</t>
  </si>
  <si>
    <t>Data Number of Service Users Q1 1516</t>
  </si>
  <si>
    <t>Data Number of Service Users Q2 1516</t>
  </si>
  <si>
    <t>Data Number of Service Users Q3 15162</t>
  </si>
  <si>
    <t>Data Number of Service Users Q4 1516</t>
  </si>
  <si>
    <t>Data Number of Service Users Q1 1617</t>
  </si>
  <si>
    <t>Data Number of Service Users Q2 1617</t>
  </si>
  <si>
    <t>Data Number of Service Users Q3 1617</t>
  </si>
  <si>
    <t>Data Number of Service Users Q4 1617</t>
  </si>
  <si>
    <t>Data EET Start</t>
  </si>
  <si>
    <t>Data EET Start Total</t>
  </si>
  <si>
    <t>Data Exit Forms</t>
  </si>
  <si>
    <t>Data Exit Forms Total</t>
  </si>
  <si>
    <t>Data Average Stay Q1 1516</t>
  </si>
  <si>
    <t>Data Average Stay Q2 1516</t>
  </si>
  <si>
    <t>Data Average Stay Q3 1516</t>
  </si>
  <si>
    <t>Data Average Stay Q4 1516</t>
  </si>
  <si>
    <t>Data Average Stay Q1 1617</t>
  </si>
  <si>
    <t>Data Average Stay Q2 1617</t>
  </si>
  <si>
    <t>Data Average Stay Q3 1617</t>
  </si>
  <si>
    <t>Data Average Stay Q4 1617</t>
  </si>
  <si>
    <t>Average Length of Stay (Months)</t>
  </si>
  <si>
    <r>
      <t>Motivation and Taking Responsibility</t>
    </r>
    <r>
      <rPr>
        <b/>
        <sz val="10"/>
        <color theme="5"/>
        <rFont val="Calibri"/>
        <family val="2"/>
        <scheme val="minor"/>
      </rPr>
      <t>2</t>
    </r>
  </si>
  <si>
    <r>
      <t>Self-Care and Living Skills</t>
    </r>
    <r>
      <rPr>
        <b/>
        <sz val="10"/>
        <color theme="5"/>
        <rFont val="Calibri"/>
        <family val="2"/>
        <scheme val="minor"/>
      </rPr>
      <t>2</t>
    </r>
  </si>
  <si>
    <r>
      <t>Managing Money and Personal Administration</t>
    </r>
    <r>
      <rPr>
        <b/>
        <sz val="10"/>
        <color theme="5"/>
        <rFont val="Calibri"/>
        <family val="2"/>
        <scheme val="minor"/>
      </rPr>
      <t>2</t>
    </r>
  </si>
  <si>
    <r>
      <t>Social Networks and Relationships</t>
    </r>
    <r>
      <rPr>
        <b/>
        <sz val="10"/>
        <color theme="5"/>
        <rFont val="Calibri"/>
        <family val="2"/>
        <scheme val="minor"/>
      </rPr>
      <t>2</t>
    </r>
  </si>
  <si>
    <r>
      <t>Drug and Alcohol Misuse</t>
    </r>
    <r>
      <rPr>
        <b/>
        <sz val="10"/>
        <color theme="5"/>
        <rFont val="Calibri"/>
        <family val="2"/>
        <scheme val="minor"/>
      </rPr>
      <t>2</t>
    </r>
  </si>
  <si>
    <r>
      <t>Physical Health</t>
    </r>
    <r>
      <rPr>
        <b/>
        <sz val="10"/>
        <color theme="5"/>
        <rFont val="Calibri"/>
        <family val="2"/>
        <scheme val="minor"/>
      </rPr>
      <t>2</t>
    </r>
  </si>
  <si>
    <r>
      <t>Emotional and Mental Health</t>
    </r>
    <r>
      <rPr>
        <b/>
        <sz val="10"/>
        <color theme="5"/>
        <rFont val="Calibri"/>
        <family val="2"/>
        <scheme val="minor"/>
      </rPr>
      <t>2</t>
    </r>
  </si>
  <si>
    <r>
      <t>Meaningful Use of Time</t>
    </r>
    <r>
      <rPr>
        <b/>
        <sz val="10"/>
        <color theme="5"/>
        <rFont val="Calibri"/>
        <family val="2"/>
        <scheme val="minor"/>
      </rPr>
      <t>2</t>
    </r>
  </si>
  <si>
    <r>
      <t>Managing Tenancy and Accommodation</t>
    </r>
    <r>
      <rPr>
        <b/>
        <sz val="10"/>
        <color theme="5"/>
        <rFont val="Calibri"/>
        <family val="2"/>
        <scheme val="minor"/>
      </rPr>
      <t>2</t>
    </r>
  </si>
  <si>
    <r>
      <t>Offending</t>
    </r>
    <r>
      <rPr>
        <b/>
        <sz val="10"/>
        <color theme="5"/>
        <rFont val="Calibri"/>
        <family val="2"/>
        <scheme val="minor"/>
      </rPr>
      <t>2</t>
    </r>
  </si>
  <si>
    <t>In User Data, the table as already pre-populated with drop-down boxes and formulas.  Please avoid pasting information into these cells from other documents or worksheets as this could alter the drop-down tool.</t>
  </si>
  <si>
    <t>If you have any questions related to the return, please telephone Ian Stenner on 01793 466709 or email on istenner@swindon.gov.uk.</t>
  </si>
  <si>
    <t>Please send the completed return to Ian Stenner at istenner@swindon.gov.uk.</t>
  </si>
  <si>
    <t>Q1 1st of April to the 30th of June</t>
  </si>
  <si>
    <t>Q2 1st of July to the 30th of September</t>
  </si>
  <si>
    <t>Q3 1st of October to the 31st of December</t>
  </si>
  <si>
    <t>Q4 1st of January to the 31st of March</t>
  </si>
  <si>
    <t>Q1 31st of July</t>
  </si>
  <si>
    <t>Q2 31st of October</t>
  </si>
  <si>
    <t>Q3 31st of January</t>
  </si>
  <si>
    <t>Q4 30th of April</t>
  </si>
  <si>
    <t>In User Data, please complete the blue sections for every referral received; the purple section should be completed for every starter; the orange section should be completed for every child of every starter; the red section should be completed for every person who has been supported for three months or has left the service (this should be updated to be no less than three months old); the aqua section should be completed for every leaver and the green section should be completed for any follow-up work carried out after they have left or any relevant information known about the service user.</t>
  </si>
  <si>
    <t>Age</t>
  </si>
  <si>
    <t>Swindon Homebid</t>
  </si>
  <si>
    <t>Unknown</t>
  </si>
  <si>
    <t>Families First</t>
  </si>
  <si>
    <t>Moved in with Family or Friends</t>
  </si>
  <si>
    <t>Number of Starters</t>
  </si>
  <si>
    <t>Number of Referrals</t>
  </si>
  <si>
    <t>Service</t>
  </si>
  <si>
    <t>Version 2.8</t>
  </si>
  <si>
    <t>In Service Data, please complete all the coloured cells for the quarter you are submitting.  The white cells are locked and updated automatically from the User Data sheet.</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</si>
</sst>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dd/mm/yy;@"/>
    <numFmt numFmtId="165" formatCode="0.0"/>
    <numFmt numFmtId="166" formatCode="0.0%"/>
  </numFmts>
  <fonts count="21" x14ac:knownFonts="1">
    <font>
      <sz val="10"/>
      <name val="Arial"/>
      <family val="2"/>
    </font>
    <font>
      <sz val="11"/>
      <color theme="1"/>
      <name val="Calibri"/>
      <family val="2"/>
      <scheme val="minor"/>
    </font>
    <font>
      <sz val="11"/>
      <color theme="1"/>
      <name val="Calibri"/>
      <family val="2"/>
      <scheme val="minor"/>
    </font>
    <font>
      <sz val="10"/>
      <name val="Calibri"/>
      <family val="2"/>
      <scheme val="minor"/>
    </font>
    <font>
      <sz val="10"/>
      <color theme="0"/>
      <name val="Calibri"/>
      <family val="2"/>
      <scheme val="minor"/>
    </font>
    <font>
      <b/>
      <sz val="10"/>
      <name val="Calibri"/>
      <family val="2"/>
      <scheme val="minor"/>
    </font>
    <font>
      <b/>
      <u/>
      <sz val="10"/>
      <name val="Calibri"/>
      <family val="2"/>
      <scheme val="minor"/>
    </font>
    <font>
      <b/>
      <sz val="10"/>
      <color theme="1"/>
      <name val="Calibri"/>
      <family val="2"/>
      <scheme val="minor"/>
    </font>
    <font>
      <sz val="10"/>
      <color theme="1"/>
      <name val="Calibri"/>
      <family val="2"/>
      <scheme val="minor"/>
    </font>
    <font>
      <b/>
      <sz val="10"/>
      <color theme="0"/>
      <name val="Calibri"/>
      <family val="2"/>
      <scheme val="minor"/>
    </font>
    <font>
      <vertAlign val="superscript"/>
      <sz val="10"/>
      <name val="Calibri"/>
      <family val="2"/>
      <scheme val="minor"/>
    </font>
    <font>
      <sz val="10"/>
      <name val="Arial"/>
      <family val="2"/>
    </font>
    <font>
      <sz val="10"/>
      <color theme="4"/>
      <name val="Arial"/>
      <family val="2"/>
    </font>
    <font>
      <sz val="10"/>
      <color theme="0"/>
      <name val="Arial"/>
      <family val="2"/>
    </font>
    <font>
      <b/>
      <sz val="10"/>
      <name val="Arial"/>
      <family val="2"/>
    </font>
    <font>
      <sz val="10"/>
      <color theme="1"/>
      <name val="Calibri"/>
      <family val="2"/>
      <scheme val="minor"/>
    </font>
    <font>
      <u/>
      <sz val="10"/>
      <color theme="10"/>
      <name val="Arial"/>
      <family val="2"/>
    </font>
    <font>
      <sz val="10"/>
      <color theme="1"/>
      <name val="Calibri"/>
      <family val="2"/>
      <scheme val="minor"/>
    </font>
    <font>
      <sz val="10"/>
      <color rgb="FFFF0000"/>
      <name val="Arial"/>
      <family val="2"/>
    </font>
    <font>
      <b/>
      <sz val="10"/>
      <color theme="5"/>
      <name val="Calibri"/>
      <family val="2"/>
      <scheme val="minor"/>
    </font>
    <font>
      <sz val="10"/>
      <name val="Calibri"/>
      <family val="2"/>
      <scheme val="minor"/>
    </font>
  </fonts>
  <fills count="12">
    <fill>
      <patternFill patternType="none"/>
    </fill>
    <fill>
      <patternFill patternType="gray125"/>
    </fill>
    <fill>
      <patternFill patternType="solid">
        <fgColor theme="4" tint="0.79998168889431442"/>
        <bgColor indexed="64"/>
      </patternFill>
    </fill>
    <fill>
      <patternFill patternType="solid">
        <fgColor theme="7"/>
        <bgColor indexed="64"/>
      </patternFill>
    </fill>
    <fill>
      <patternFill patternType="solid">
        <fgColor theme="6"/>
        <bgColor indexed="64"/>
      </patternFill>
    </fill>
    <fill>
      <patternFill patternType="solid">
        <fgColor theme="8"/>
        <bgColor indexed="64"/>
      </patternFill>
    </fill>
    <fill>
      <patternFill patternType="solid">
        <fgColor theme="9"/>
        <bgColor indexed="64"/>
      </patternFill>
    </fill>
    <fill>
      <patternFill patternType="solid">
        <fgColor theme="0"/>
        <bgColor indexed="64"/>
      </patternFill>
    </fill>
    <fill>
      <patternFill patternType="solid">
        <fgColor theme="0" tint="-0.14999847407452621"/>
        <bgColor indexed="64"/>
      </patternFill>
    </fill>
    <fill>
      <patternFill patternType="solid">
        <fgColor theme="4"/>
        <bgColor indexed="64"/>
      </patternFill>
    </fill>
    <fill>
      <patternFill patternType="solid">
        <fgColor theme="5"/>
        <bgColor indexed="64"/>
      </patternFill>
    </fill>
    <fill>
      <patternFill patternType="solid">
        <fgColor theme="6" tint="0.79998168889431442"/>
        <bgColor indexed="64"/>
      </patternFill>
    </fill>
  </fills>
  <borders count="3">
    <border>
      <left/>
      <right/>
      <top/>
      <bottom/>
      <diagonal/>
    </border>
    <border>
      <left style="thin">
        <color indexed="64"/>
      </left>
      <right style="thin">
        <color indexed="64"/>
      </right>
      <top style="thin">
        <color indexed="64"/>
      </top>
      <bottom style="thin">
        <color indexed="64"/>
      </bottom>
      <diagonal/>
    </border>
    <border>
      <left style="thin">
        <color theme="0"/>
      </left>
      <right style="thin">
        <color theme="0"/>
      </right>
      <top/>
      <bottom style="thick">
        <color theme="0"/>
      </bottom>
      <diagonal/>
    </border>
  </borders>
  <cellStyleXfs count="8">
    <xf numFmtId="0" fontId="0" fillId="0" borderId="0"/>
    <xf numFmtId="0" fontId="2" fillId="0" borderId="0"/>
    <xf numFmtId="0" fontId="2" fillId="0" borderId="0"/>
    <xf numFmtId="9" fontId="11" fillId="0" borderId="0" applyFont="0" applyFill="0" applyBorder="0" applyAlignment="0" applyProtection="0"/>
    <xf numFmtId="0" fontId="16" fillId="0" borderId="0" applyNumberFormat="0" applyFill="0" applyBorder="0" applyAlignment="0" applyProtection="0"/>
    <xf numFmtId="0" fontId="1" fillId="0" borderId="0"/>
    <xf numFmtId="0" fontId="1" fillId="0" borderId="0"/>
    <xf numFmtId="0" fontId="1" fillId="0" borderId="0"/>
  </cellStyleXfs>
  <cellXfs count="110">
    <xf numFmtId="0" fontId="0" fillId="0" borderId="0" xfId="0"/>
    <xf numFmtId="0" fontId="3" fillId="0" borderId="0" xfId="0" applyFont="1" applyFill="1" applyBorder="1" applyAlignment="1" applyProtection="1">
      <alignment horizontal="center" vertical="center"/>
    </xf>
    <xf numFmtId="0" fontId="3" fillId="0" borderId="0" xfId="0" applyFont="1"/>
    <xf numFmtId="0" fontId="8" fillId="0" borderId="0" xfId="1" applyFont="1" applyFill="1" applyBorder="1" applyAlignment="1" applyProtection="1">
      <alignment horizontal="left" vertical="center"/>
      <protection locked="0"/>
    </xf>
    <xf numFmtId="1" fontId="8" fillId="0" borderId="0" xfId="1" applyNumberFormat="1" applyFont="1" applyFill="1" applyBorder="1" applyAlignment="1" applyProtection="1">
      <alignment horizontal="left" vertical="center"/>
      <protection locked="0"/>
    </xf>
    <xf numFmtId="164" fontId="8" fillId="0" borderId="0" xfId="1" applyNumberFormat="1" applyFont="1" applyFill="1" applyBorder="1" applyAlignment="1" applyProtection="1">
      <alignment horizontal="left" vertical="center"/>
      <protection locked="0"/>
    </xf>
    <xf numFmtId="14" fontId="8" fillId="0" borderId="0" xfId="1" applyNumberFormat="1" applyFont="1" applyFill="1" applyBorder="1" applyAlignment="1" applyProtection="1">
      <alignment horizontal="left" vertical="center"/>
      <protection locked="0"/>
    </xf>
    <xf numFmtId="0" fontId="8" fillId="0" borderId="0" xfId="2" applyFont="1" applyFill="1"/>
    <xf numFmtId="0" fontId="5" fillId="0" borderId="0" xfId="0" applyFont="1"/>
    <xf numFmtId="0" fontId="9" fillId="0" borderId="0" xfId="1" applyFont="1" applyFill="1" applyBorder="1" applyAlignment="1" applyProtection="1">
      <alignment horizontal="left" vertical="center" wrapText="1"/>
    </xf>
    <xf numFmtId="14" fontId="9" fillId="3" borderId="0" xfId="1" applyNumberFormat="1" applyFont="1" applyFill="1" applyBorder="1" applyAlignment="1" applyProtection="1">
      <alignment horizontal="left" vertical="center" wrapText="1"/>
    </xf>
    <xf numFmtId="0" fontId="9" fillId="3" borderId="0" xfId="1" applyFont="1" applyFill="1" applyBorder="1" applyAlignment="1" applyProtection="1">
      <alignment horizontal="left" vertical="center" wrapText="1"/>
    </xf>
    <xf numFmtId="14" fontId="9" fillId="5" borderId="0" xfId="1" applyNumberFormat="1" applyFont="1" applyFill="1" applyBorder="1" applyAlignment="1" applyProtection="1">
      <alignment horizontal="left" vertical="center" wrapText="1"/>
    </xf>
    <xf numFmtId="0" fontId="9" fillId="5" borderId="0" xfId="1" applyFont="1" applyFill="1" applyBorder="1" applyAlignment="1" applyProtection="1">
      <alignment horizontal="left" vertical="center" wrapText="1"/>
    </xf>
    <xf numFmtId="0" fontId="9" fillId="4" borderId="0" xfId="1" applyFont="1" applyFill="1" applyBorder="1" applyAlignment="1" applyProtection="1">
      <alignment horizontal="left" vertical="center" wrapText="1"/>
    </xf>
    <xf numFmtId="0" fontId="8" fillId="0" borderId="0" xfId="1" applyFont="1" applyFill="1" applyBorder="1" applyAlignment="1" applyProtection="1">
      <alignment horizontal="left" vertical="center"/>
    </xf>
    <xf numFmtId="14" fontId="8" fillId="0" borderId="0" xfId="1" applyNumberFormat="1" applyFont="1" applyFill="1" applyBorder="1" applyAlignment="1" applyProtection="1">
      <alignment horizontal="left" vertical="center"/>
    </xf>
    <xf numFmtId="0" fontId="5" fillId="0" borderId="0" xfId="0" applyFont="1" applyFill="1" applyBorder="1"/>
    <xf numFmtId="0" fontId="8" fillId="0" borderId="0" xfId="0" applyFont="1" applyFill="1" applyBorder="1" applyAlignment="1">
      <alignment horizontal="left" vertical="center"/>
    </xf>
    <xf numFmtId="0" fontId="3" fillId="0" borderId="0" xfId="0" applyFont="1" applyFill="1" applyBorder="1"/>
    <xf numFmtId="0" fontId="8" fillId="0" borderId="0" xfId="1" applyFont="1" applyFill="1" applyBorder="1" applyAlignment="1" applyProtection="1">
      <alignment horizontal="left" vertical="center" wrapText="1"/>
      <protection locked="0"/>
    </xf>
    <xf numFmtId="0" fontId="9" fillId="6" borderId="0" xfId="1" applyFont="1" applyFill="1" applyBorder="1" applyAlignment="1" applyProtection="1">
      <alignment horizontal="left" vertical="center" wrapText="1"/>
    </xf>
    <xf numFmtId="0" fontId="3" fillId="0" borderId="1" xfId="0" applyFont="1" applyFill="1" applyBorder="1" applyAlignment="1" applyProtection="1">
      <alignment horizontal="center" vertical="center"/>
    </xf>
    <xf numFmtId="0" fontId="4" fillId="0" borderId="0" xfId="0" applyFont="1" applyFill="1" applyBorder="1" applyAlignment="1" applyProtection="1">
      <alignment horizontal="center" vertical="center"/>
    </xf>
    <xf numFmtId="0" fontId="0" fillId="7" borderId="0" xfId="0" applyFill="1"/>
    <xf numFmtId="0" fontId="12" fillId="7" borderId="0" xfId="0" applyFont="1" applyFill="1"/>
    <xf numFmtId="0" fontId="0" fillId="7" borderId="0" xfId="0" applyFont="1" applyFill="1"/>
    <xf numFmtId="0" fontId="13" fillId="7" borderId="0" xfId="0" applyFont="1" applyFill="1" applyProtection="1">
      <protection hidden="1"/>
    </xf>
    <xf numFmtId="0" fontId="13" fillId="7" borderId="0" xfId="0" applyFont="1" applyFill="1" applyAlignment="1" applyProtection="1">
      <alignment horizontal="center"/>
      <protection hidden="1"/>
    </xf>
    <xf numFmtId="0" fontId="0" fillId="2" borderId="1" xfId="0" applyFill="1" applyBorder="1" applyProtection="1">
      <protection locked="0"/>
    </xf>
    <xf numFmtId="0" fontId="14" fillId="7" borderId="0" xfId="0" applyFont="1" applyFill="1"/>
    <xf numFmtId="9" fontId="3" fillId="0" borderId="1" xfId="3" applyFont="1" applyFill="1" applyBorder="1" applyAlignment="1" applyProtection="1">
      <alignment horizontal="center" vertical="center"/>
    </xf>
    <xf numFmtId="0" fontId="8" fillId="0" borderId="0" xfId="1" applyFont="1" applyFill="1" applyAlignment="1" applyProtection="1">
      <alignment horizontal="left" vertical="center"/>
    </xf>
    <xf numFmtId="0" fontId="5" fillId="8" borderId="0" xfId="1" applyFont="1" applyFill="1" applyAlignment="1" applyProtection="1">
      <alignment horizontal="left" vertical="center" wrapText="1"/>
    </xf>
    <xf numFmtId="0" fontId="3" fillId="0" borderId="0" xfId="0" applyFont="1" applyFill="1" applyBorder="1" applyAlignment="1" applyProtection="1">
      <alignment vertical="center"/>
    </xf>
    <xf numFmtId="0" fontId="5" fillId="0" borderId="0" xfId="0" applyFont="1" applyFill="1" applyBorder="1" applyAlignment="1" applyProtection="1">
      <alignment vertical="center"/>
    </xf>
    <xf numFmtId="0" fontId="6" fillId="0" borderId="0" xfId="0" applyFont="1" applyFill="1" applyBorder="1" applyAlignment="1" applyProtection="1">
      <alignment horizontal="center" vertical="center"/>
    </xf>
    <xf numFmtId="0" fontId="5"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xf>
    <xf numFmtId="0" fontId="5" fillId="0" borderId="0" xfId="0" applyFont="1" applyFill="1" applyBorder="1" applyAlignment="1" applyProtection="1">
      <alignment horizontal="left" vertical="center"/>
    </xf>
    <xf numFmtId="0" fontId="3" fillId="0" borderId="0" xfId="0" applyFont="1" applyFill="1" applyBorder="1" applyAlignment="1" applyProtection="1">
      <alignment horizontal="left" vertical="center" wrapText="1"/>
    </xf>
    <xf numFmtId="9" fontId="3" fillId="0" borderId="1" xfId="3" applyFont="1" applyFill="1" applyBorder="1" applyAlignment="1" applyProtection="1">
      <alignment horizontal="center" vertical="center" wrapText="1"/>
    </xf>
    <xf numFmtId="0" fontId="5" fillId="0" borderId="0" xfId="0" applyFont="1" applyFill="1" applyBorder="1" applyAlignment="1" applyProtection="1">
      <alignment vertical="center" shrinkToFit="1"/>
    </xf>
    <xf numFmtId="0" fontId="3" fillId="0" borderId="0" xfId="0" applyFont="1" applyFill="1" applyBorder="1" applyAlignment="1" applyProtection="1">
      <alignment horizontal="left" vertical="center" shrinkToFit="1"/>
    </xf>
    <xf numFmtId="0" fontId="8" fillId="0" borderId="0" xfId="1" applyNumberFormat="1" applyFont="1" applyFill="1" applyAlignment="1" applyProtection="1">
      <alignment horizontal="left" vertical="center"/>
    </xf>
    <xf numFmtId="0" fontId="5" fillId="8" borderId="0" xfId="1" applyFont="1" applyFill="1" applyBorder="1" applyAlignment="1" applyProtection="1">
      <alignment horizontal="left" vertical="center" wrapText="1"/>
    </xf>
    <xf numFmtId="0" fontId="15" fillId="0" borderId="0" xfId="1" applyNumberFormat="1" applyFont="1" applyFill="1" applyAlignment="1" applyProtection="1">
      <alignment horizontal="left" vertical="center"/>
    </xf>
    <xf numFmtId="0" fontId="3" fillId="0" borderId="0" xfId="0" applyFont="1" applyProtection="1">
      <protection locked="0"/>
    </xf>
    <xf numFmtId="0" fontId="0" fillId="0" borderId="0" xfId="0" applyProtection="1">
      <protection locked="0"/>
    </xf>
    <xf numFmtId="14" fontId="3" fillId="0" borderId="0" xfId="0" applyNumberFormat="1" applyFont="1" applyProtection="1">
      <protection locked="0"/>
    </xf>
    <xf numFmtId="0" fontId="3" fillId="0" borderId="0" xfId="1" applyFont="1" applyFill="1" applyAlignment="1" applyProtection="1">
      <alignment horizontal="left" vertical="center"/>
    </xf>
    <xf numFmtId="165" fontId="3" fillId="0" borderId="1" xfId="0" applyNumberFormat="1" applyFont="1" applyFill="1" applyBorder="1" applyAlignment="1" applyProtection="1">
      <alignment horizontal="center" vertical="center"/>
    </xf>
    <xf numFmtId="165" fontId="3" fillId="0" borderId="0" xfId="0" applyNumberFormat="1" applyFont="1" applyFill="1" applyBorder="1" applyAlignment="1" applyProtection="1">
      <alignment horizontal="center" vertical="center"/>
    </xf>
    <xf numFmtId="166" fontId="3" fillId="0" borderId="1" xfId="3" applyNumberFormat="1" applyFont="1" applyFill="1" applyBorder="1" applyAlignment="1" applyProtection="1">
      <alignment horizontal="center" vertical="center"/>
    </xf>
    <xf numFmtId="0" fontId="9" fillId="9" borderId="0" xfId="1" applyFont="1" applyFill="1" applyBorder="1" applyAlignment="1" applyProtection="1">
      <alignment horizontal="left" vertical="center" wrapText="1"/>
    </xf>
    <xf numFmtId="1" fontId="9" fillId="9" borderId="0" xfId="1" applyNumberFormat="1" applyFont="1" applyFill="1" applyBorder="1" applyAlignment="1" applyProtection="1">
      <alignment horizontal="left" vertical="center" wrapText="1"/>
    </xf>
    <xf numFmtId="14" fontId="9" fillId="9" borderId="0" xfId="1" applyNumberFormat="1" applyFont="1" applyFill="1" applyBorder="1" applyAlignment="1" applyProtection="1">
      <alignment horizontal="left" vertical="center" wrapText="1"/>
    </xf>
    <xf numFmtId="0" fontId="4" fillId="0" borderId="0" xfId="1" applyFont="1" applyFill="1" applyBorder="1" applyAlignment="1" applyProtection="1">
      <alignment horizontal="left" vertical="center"/>
    </xf>
    <xf numFmtId="0" fontId="9" fillId="0" borderId="0" xfId="1" applyFont="1" applyFill="1" applyBorder="1" applyAlignment="1" applyProtection="1">
      <alignment horizontal="left" vertical="center"/>
    </xf>
    <xf numFmtId="1" fontId="4" fillId="0" borderId="0" xfId="1" applyNumberFormat="1" applyFont="1" applyFill="1" applyBorder="1" applyAlignment="1" applyProtection="1">
      <alignment horizontal="left" vertical="center"/>
    </xf>
    <xf numFmtId="14" fontId="4" fillId="0" borderId="0" xfId="1" applyNumberFormat="1" applyFont="1" applyFill="1" applyBorder="1" applyAlignment="1" applyProtection="1">
      <alignment horizontal="left" vertical="center"/>
    </xf>
    <xf numFmtId="0" fontId="4" fillId="0" borderId="0" xfId="1" applyFont="1" applyFill="1" applyBorder="1" applyAlignment="1" applyProtection="1">
      <alignment horizontal="left" vertical="center" wrapText="1"/>
    </xf>
    <xf numFmtId="14" fontId="9" fillId="0" borderId="0" xfId="1" applyNumberFormat="1" applyFont="1" applyFill="1" applyBorder="1" applyAlignment="1" applyProtection="1">
      <alignment horizontal="left" vertical="center"/>
    </xf>
    <xf numFmtId="0" fontId="16" fillId="0" borderId="0" xfId="4" applyFill="1"/>
    <xf numFmtId="0" fontId="17" fillId="0" borderId="0" xfId="1" applyFont="1" applyFill="1" applyAlignment="1" applyProtection="1">
      <alignment horizontal="left" vertical="center"/>
      <protection locked="0"/>
    </xf>
    <xf numFmtId="0" fontId="9" fillId="6" borderId="2" xfId="1" applyNumberFormat="1" applyFont="1" applyFill="1" applyBorder="1" applyAlignment="1">
      <alignment horizontal="left" vertical="center" wrapText="1"/>
    </xf>
    <xf numFmtId="0" fontId="9" fillId="10" borderId="0" xfId="1" applyFont="1" applyFill="1" applyBorder="1" applyAlignment="1" applyProtection="1">
      <alignment horizontal="left" vertical="center" wrapText="1"/>
    </xf>
    <xf numFmtId="0" fontId="8" fillId="0" borderId="0" xfId="5" applyFont="1" applyFill="1" applyAlignment="1" applyProtection="1">
      <alignment horizontal="left" vertical="center"/>
      <protection locked="0"/>
    </xf>
    <xf numFmtId="14" fontId="8" fillId="0" borderId="0" xfId="5" applyNumberFormat="1" applyFont="1" applyFill="1" applyAlignment="1" applyProtection="1">
      <alignment horizontal="left" vertical="center"/>
      <protection locked="0"/>
    </xf>
    <xf numFmtId="0" fontId="3" fillId="0" borderId="0" xfId="5" applyFont="1" applyFill="1" applyAlignment="1" applyProtection="1">
      <alignment horizontal="left" vertical="center"/>
      <protection locked="0"/>
    </xf>
    <xf numFmtId="0" fontId="3" fillId="0" borderId="0" xfId="5" applyFont="1" applyFill="1" applyBorder="1" applyAlignment="1" applyProtection="1">
      <alignment horizontal="left" vertical="center" wrapText="1"/>
      <protection locked="0"/>
    </xf>
    <xf numFmtId="0" fontId="20" fillId="0" borderId="0" xfId="5" applyFont="1" applyFill="1" applyBorder="1" applyAlignment="1" applyProtection="1">
      <alignment horizontal="left" vertical="center" wrapText="1"/>
      <protection locked="0"/>
    </xf>
    <xf numFmtId="14" fontId="17" fillId="0" borderId="0" xfId="1" applyNumberFormat="1" applyFont="1" applyFill="1" applyAlignment="1" applyProtection="1">
      <alignment horizontal="left" vertical="center"/>
      <protection locked="0"/>
    </xf>
    <xf numFmtId="0" fontId="17" fillId="0" borderId="0" xfId="1" applyFont="1" applyFill="1" applyAlignment="1" applyProtection="1">
      <alignment horizontal="left" vertical="center"/>
    </xf>
    <xf numFmtId="0" fontId="17" fillId="0" borderId="0" xfId="1" applyNumberFormat="1" applyFont="1" applyFill="1" applyAlignment="1" applyProtection="1">
      <alignment horizontal="left" vertical="center"/>
    </xf>
    <xf numFmtId="0" fontId="20" fillId="0" borderId="0" xfId="1" applyNumberFormat="1" applyFont="1" applyFill="1" applyAlignment="1" applyProtection="1">
      <alignment horizontal="left" vertical="center"/>
    </xf>
    <xf numFmtId="0" fontId="3" fillId="0" borderId="0" xfId="5" applyFont="1" applyFill="1" applyAlignment="1" applyProtection="1">
      <alignment horizontal="left" vertical="center"/>
      <protection locked="0"/>
    </xf>
    <xf numFmtId="0" fontId="3" fillId="0" borderId="0" xfId="5" applyFont="1" applyFill="1" applyBorder="1" applyAlignment="1" applyProtection="1">
      <alignment horizontal="left" vertical="center" wrapText="1"/>
      <protection locked="0"/>
    </xf>
    <xf numFmtId="14" fontId="3" fillId="0" borderId="0" xfId="5" applyNumberFormat="1" applyFont="1" applyFill="1" applyAlignment="1" applyProtection="1">
      <alignment horizontal="left" vertical="center"/>
      <protection locked="0"/>
    </xf>
    <xf numFmtId="0" fontId="3" fillId="0" borderId="0" xfId="5" applyNumberFormat="1" applyFont="1" applyFill="1" applyAlignment="1" applyProtection="1">
      <alignment horizontal="left" vertical="center"/>
      <protection locked="0"/>
    </xf>
    <xf numFmtId="0" fontId="3" fillId="0" borderId="0" xfId="5" applyFont="1" applyFill="1" applyAlignment="1" applyProtection="1">
      <alignment horizontal="left" vertical="center" wrapText="1"/>
      <protection locked="0"/>
    </xf>
    <xf numFmtId="0" fontId="17" fillId="0" borderId="0" xfId="1" applyFont="1" applyFill="1" applyAlignment="1" applyProtection="1">
      <alignment horizontal="left" vertical="center" wrapText="1"/>
      <protection locked="0"/>
    </xf>
    <xf numFmtId="14" fontId="9" fillId="10" borderId="0" xfId="1" applyNumberFormat="1" applyFont="1" applyFill="1" applyBorder="1" applyAlignment="1" applyProtection="1">
      <alignment horizontal="left" vertical="center" wrapText="1"/>
    </xf>
    <xf numFmtId="14" fontId="3" fillId="0" borderId="0" xfId="5" applyNumberFormat="1" applyFont="1" applyFill="1" applyBorder="1" applyAlignment="1" applyProtection="1">
      <alignment horizontal="left" vertical="center" wrapText="1"/>
      <protection locked="0"/>
    </xf>
    <xf numFmtId="14" fontId="20" fillId="0" borderId="0" xfId="5" applyNumberFormat="1" applyFont="1" applyFill="1" applyBorder="1" applyAlignment="1" applyProtection="1">
      <alignment horizontal="left" vertical="center" wrapText="1"/>
      <protection locked="0"/>
    </xf>
    <xf numFmtId="0" fontId="3" fillId="0" borderId="0" xfId="1" applyNumberFormat="1" applyFont="1" applyFill="1" applyAlignment="1" applyProtection="1">
      <alignment horizontal="left" vertical="center"/>
    </xf>
    <xf numFmtId="0" fontId="8" fillId="0" borderId="0" xfId="1" applyFont="1" applyFill="1" applyAlignment="1" applyProtection="1">
      <alignment horizontal="left" vertical="center"/>
      <protection locked="0"/>
    </xf>
    <xf numFmtId="14" fontId="17" fillId="0" borderId="0" xfId="1" applyNumberFormat="1" applyFont="1" applyFill="1" applyBorder="1" applyAlignment="1" applyProtection="1">
      <alignment horizontal="left" vertical="center"/>
      <protection locked="0"/>
    </xf>
    <xf numFmtId="0" fontId="17" fillId="0" borderId="0" xfId="1" applyFont="1" applyFill="1" applyBorder="1" applyAlignment="1" applyProtection="1">
      <alignment horizontal="left" vertical="center"/>
      <protection locked="0"/>
    </xf>
    <xf numFmtId="0" fontId="17" fillId="0" borderId="0" xfId="1" applyNumberFormat="1" applyFont="1" applyFill="1" applyBorder="1" applyAlignment="1" applyProtection="1">
      <alignment horizontal="left" vertical="center"/>
    </xf>
    <xf numFmtId="1" fontId="3" fillId="0" borderId="1" xfId="3" applyNumberFormat="1" applyFont="1" applyFill="1" applyBorder="1" applyAlignment="1" applyProtection="1">
      <alignment horizontal="center" vertical="center"/>
    </xf>
    <xf numFmtId="14" fontId="8" fillId="0" borderId="0" xfId="1" applyNumberFormat="1" applyFont="1" applyFill="1" applyAlignment="1" applyProtection="1">
      <alignment horizontal="left" vertical="center"/>
      <protection locked="0"/>
    </xf>
    <xf numFmtId="0" fontId="8" fillId="0" borderId="0" xfId="1" applyNumberFormat="1" applyFont="1" applyFill="1" applyBorder="1" applyAlignment="1" applyProtection="1">
      <alignment horizontal="left" vertical="center"/>
      <protection locked="0"/>
    </xf>
    <xf numFmtId="0" fontId="8" fillId="0" borderId="0" xfId="1" applyNumberFormat="1" applyFont="1" applyFill="1" applyBorder="1" applyAlignment="1" applyProtection="1">
      <alignment horizontal="left" vertical="center"/>
    </xf>
    <xf numFmtId="0" fontId="8" fillId="0" borderId="0" xfId="2" applyFont="1" applyFill="1" applyAlignment="1">
      <alignment wrapText="1"/>
    </xf>
    <xf numFmtId="0" fontId="3" fillId="0" borderId="0" xfId="2" applyFont="1" applyFill="1" applyAlignment="1">
      <alignment wrapText="1"/>
    </xf>
    <xf numFmtId="0" fontId="7" fillId="0" borderId="0" xfId="2" applyFont="1" applyFill="1" applyAlignment="1">
      <alignment vertical="top"/>
    </xf>
    <xf numFmtId="0" fontId="8" fillId="0" borderId="0" xfId="2" applyFont="1" applyFill="1" applyAlignment="1">
      <alignment vertical="top"/>
    </xf>
    <xf numFmtId="14" fontId="0" fillId="0" borderId="1" xfId="0" applyNumberFormat="1" applyFill="1" applyBorder="1" applyAlignment="1">
      <alignment horizontal="left"/>
    </xf>
    <xf numFmtId="1" fontId="3" fillId="0" borderId="0" xfId="5" applyNumberFormat="1" applyFont="1" applyFill="1" applyBorder="1" applyAlignment="1" applyProtection="1">
      <alignment horizontal="left" vertical="center" wrapText="1"/>
      <protection locked="0"/>
    </xf>
    <xf numFmtId="0" fontId="18" fillId="7" borderId="0" xfId="0" applyFont="1" applyFill="1" applyProtection="1">
      <protection hidden="1"/>
    </xf>
    <xf numFmtId="0" fontId="3" fillId="0" borderId="0" xfId="0" applyFont="1" applyFill="1" applyBorder="1" applyAlignment="1" applyProtection="1">
      <alignment vertical="center" shrinkToFit="1"/>
    </xf>
    <xf numFmtId="0" fontId="0" fillId="0" borderId="0" xfId="0" applyAlignment="1" applyProtection="1">
      <alignment vertical="center"/>
      <protection locked="0"/>
    </xf>
    <xf numFmtId="0" fontId="18" fillId="7" borderId="0" xfId="0" applyFont="1" applyFill="1" applyAlignment="1" applyProtection="1">
      <alignment horizontal="center"/>
      <protection hidden="1"/>
    </xf>
    <xf numFmtId="1" fontId="3" fillId="2" borderId="1" xfId="0" applyNumberFormat="1" applyFont="1" applyFill="1" applyBorder="1" applyAlignment="1" applyProtection="1">
      <alignment horizontal="center" vertical="center"/>
      <protection locked="0"/>
    </xf>
    <xf numFmtId="1" fontId="3" fillId="11" borderId="1" xfId="0" applyNumberFormat="1" applyFont="1" applyFill="1" applyBorder="1" applyAlignment="1" applyProtection="1">
      <alignment horizontal="center" vertical="center"/>
      <protection locked="0"/>
    </xf>
    <xf numFmtId="9" fontId="3" fillId="2" borderId="1" xfId="3" applyNumberFormat="1" applyFont="1" applyFill="1" applyBorder="1" applyAlignment="1" applyProtection="1">
      <alignment horizontal="center" vertical="center" wrapText="1"/>
      <protection locked="0"/>
    </xf>
    <xf numFmtId="9" fontId="3" fillId="11" borderId="1" xfId="3" applyNumberFormat="1" applyFont="1" applyFill="1" applyBorder="1" applyAlignment="1" applyProtection="1">
      <alignment horizontal="center" vertical="center" wrapText="1"/>
      <protection locked="0"/>
    </xf>
    <xf numFmtId="0" fontId="5" fillId="0" borderId="0" xfId="0" applyFont="1" applyFill="1" applyBorder="1" applyAlignment="1" applyProtection="1">
      <alignment horizontal="center" vertical="center"/>
    </xf>
    <xf numFmtId="0" fontId="3" fillId="2" borderId="1" xfId="0" applyFont="1" applyFill="1" applyBorder="1" applyAlignment="1" applyProtection="1">
      <alignment horizontal="center" vertical="center"/>
      <protection locked="0"/>
    </xf>
  </cellXfs>
  <cellStyles count="8">
    <cellStyle name="Hyperlink" xfId="4" builtinId="8"/>
    <cellStyle name="Normal" xfId="0" builtinId="0"/>
    <cellStyle name="Normal 2" xfId="1"/>
    <cellStyle name="Normal 2 2" xfId="5"/>
    <cellStyle name="Normal 3" xfId="2"/>
    <cellStyle name="Normal 3 2" xfId="6"/>
    <cellStyle name="Normal 4" xfId="7"/>
    <cellStyle name="Percent" xfId="3" builtinId="5"/>
  </cellStyles>
  <dxfs count="394">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left" vertical="center" textRotation="0" wrapText="0" indent="0" justifyLastLine="0" shrinkToFit="0" readingOrder="0"/>
      <border diagonalUp="0" diagonalDown="0">
        <left/>
        <right/>
        <top/>
        <bottom/>
      </border>
      <protection locked="1" hidden="0"/>
    </dxf>
    <dxf>
      <font>
        <b val="0"/>
        <i val="0"/>
        <strike val="0"/>
        <condense val="0"/>
        <extend val="0"/>
        <outline val="0"/>
        <shadow val="0"/>
        <u val="none"/>
        <vertAlign val="baseline"/>
        <sz val="10"/>
        <color theme="1"/>
        <name val="Calibri"/>
        <scheme val="minor"/>
      </font>
      <numFmt numFmtId="0" formatCode="General"/>
      <fill>
        <patternFill patternType="none">
          <fgColor indexed="64"/>
          <bgColor auto="1"/>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left" vertical="center" textRotation="0" wrapText="0" indent="0" justifyLastLine="0" shrinkToFit="0" readingOrder="0"/>
      <border diagonalUp="0" diagonalDown="0">
        <left/>
        <right/>
        <top/>
        <bottom/>
      </border>
      <protection locked="1" hidden="0"/>
    </dxf>
    <dxf>
      <font>
        <b val="0"/>
        <i val="0"/>
        <strike val="0"/>
        <condense val="0"/>
        <extend val="0"/>
        <outline val="0"/>
        <shadow val="0"/>
        <u val="none"/>
        <vertAlign val="baseline"/>
        <sz val="10"/>
        <color theme="1"/>
        <name val="Calibri"/>
        <scheme val="minor"/>
      </font>
      <numFmt numFmtId="0" formatCode="General"/>
      <fill>
        <patternFill patternType="none">
          <fgColor indexed="64"/>
          <bgColor auto="1"/>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left" vertical="center" textRotation="0" wrapText="0" indent="0" justifyLastLine="0" shrinkToFit="0" readingOrder="0"/>
      <border diagonalUp="0" diagonalDown="0">
        <left/>
        <right/>
        <top/>
        <bottom/>
      </border>
      <protection locked="1" hidden="0"/>
    </dxf>
    <dxf>
      <font>
        <b val="0"/>
        <i val="0"/>
        <strike val="0"/>
        <condense val="0"/>
        <extend val="0"/>
        <outline val="0"/>
        <shadow val="0"/>
        <u val="none"/>
        <vertAlign val="baseline"/>
        <sz val="10"/>
        <color theme="1"/>
        <name val="Calibri"/>
        <scheme val="minor"/>
      </font>
      <numFmt numFmtId="0" formatCode="General"/>
      <fill>
        <patternFill patternType="none">
          <fgColor indexed="64"/>
          <bgColor auto="1"/>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left" vertical="center" textRotation="0" wrapText="0" indent="0" justifyLastLine="0" shrinkToFit="0" readingOrder="0"/>
      <border diagonalUp="0" diagonalDown="0">
        <left/>
        <right/>
        <top/>
        <bottom/>
      </border>
      <protection locked="1" hidden="0"/>
    </dxf>
    <dxf>
      <font>
        <b val="0"/>
        <i val="0"/>
        <strike val="0"/>
        <condense val="0"/>
        <extend val="0"/>
        <outline val="0"/>
        <shadow val="0"/>
        <u val="none"/>
        <vertAlign val="baseline"/>
        <sz val="10"/>
        <color theme="1"/>
        <name val="Calibri"/>
        <scheme val="minor"/>
      </font>
      <numFmt numFmtId="0" formatCode="General"/>
      <fill>
        <patternFill patternType="none">
          <fgColor indexed="64"/>
          <bgColor auto="1"/>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left" vertical="center" textRotation="0" wrapText="0" indent="0" justifyLastLine="0" shrinkToFit="0" readingOrder="0"/>
      <border diagonalUp="0" diagonalDown="0">
        <left/>
        <right/>
        <top/>
        <bottom/>
      </border>
      <protection locked="1" hidden="0"/>
    </dxf>
    <dxf>
      <font>
        <b val="0"/>
        <i val="0"/>
        <strike val="0"/>
        <condense val="0"/>
        <extend val="0"/>
        <outline val="0"/>
        <shadow val="0"/>
        <u val="none"/>
        <vertAlign val="baseline"/>
        <sz val="10"/>
        <color theme="1"/>
        <name val="Calibri"/>
        <scheme val="minor"/>
      </font>
      <numFmt numFmtId="0" formatCode="General"/>
      <fill>
        <patternFill patternType="none">
          <fgColor indexed="64"/>
          <bgColor auto="1"/>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left" vertical="center" textRotation="0" wrapText="0" indent="0" justifyLastLine="0" shrinkToFit="0" readingOrder="0"/>
      <border diagonalUp="0" diagonalDown="0">
        <left/>
        <right/>
        <top/>
        <bottom/>
      </border>
      <protection locked="1" hidden="0"/>
    </dxf>
    <dxf>
      <font>
        <b val="0"/>
        <i val="0"/>
        <strike val="0"/>
        <condense val="0"/>
        <extend val="0"/>
        <outline val="0"/>
        <shadow val="0"/>
        <u val="none"/>
        <vertAlign val="baseline"/>
        <sz val="10"/>
        <color theme="1"/>
        <name val="Calibri"/>
        <scheme val="minor"/>
      </font>
      <numFmt numFmtId="0" formatCode="General"/>
      <fill>
        <patternFill patternType="none">
          <fgColor indexed="64"/>
          <bgColor auto="1"/>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left" vertical="center" textRotation="0" wrapText="0" indent="0" justifyLastLine="0" shrinkToFit="0" readingOrder="0"/>
      <border diagonalUp="0" diagonalDown="0">
        <left/>
        <right/>
        <top/>
        <bottom/>
      </border>
      <protection locked="1" hidden="0"/>
    </dxf>
    <dxf>
      <font>
        <b val="0"/>
        <i val="0"/>
        <strike val="0"/>
        <condense val="0"/>
        <extend val="0"/>
        <outline val="0"/>
        <shadow val="0"/>
        <u val="none"/>
        <vertAlign val="baseline"/>
        <sz val="10"/>
        <color theme="1"/>
        <name val="Calibri"/>
        <scheme val="minor"/>
      </font>
      <numFmt numFmtId="0" formatCode="General"/>
      <fill>
        <patternFill patternType="none">
          <fgColor indexed="64"/>
          <bgColor auto="1"/>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left" vertical="center" textRotation="0" wrapText="0" indent="0" justifyLastLine="0" shrinkToFit="0" readingOrder="0"/>
      <border diagonalUp="0" diagonalDown="0">
        <left/>
        <right/>
        <top/>
        <bottom/>
      </border>
      <protection locked="1" hidden="0"/>
    </dxf>
    <dxf>
      <font>
        <b val="0"/>
        <i val="0"/>
        <strike val="0"/>
        <condense val="0"/>
        <extend val="0"/>
        <outline val="0"/>
        <shadow val="0"/>
        <u val="none"/>
        <vertAlign val="baseline"/>
        <sz val="10"/>
        <color theme="1"/>
        <name val="Calibri"/>
        <scheme val="minor"/>
      </font>
      <numFmt numFmtId="0" formatCode="General"/>
      <fill>
        <patternFill patternType="none">
          <fgColor indexed="64"/>
          <bgColor auto="1"/>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left" vertical="center" textRotation="0" wrapText="0" indent="0" justifyLastLine="0" shrinkToFit="0" readingOrder="0"/>
      <border diagonalUp="0" diagonalDown="0">
        <left/>
        <right/>
        <top/>
        <bottom/>
      </border>
      <protection locked="1" hidden="0"/>
    </dxf>
    <dxf>
      <font>
        <b val="0"/>
        <i val="0"/>
        <strike val="0"/>
        <condense val="0"/>
        <extend val="0"/>
        <outline val="0"/>
        <shadow val="0"/>
        <u val="none"/>
        <vertAlign val="baseline"/>
        <sz val="10"/>
        <color theme="1"/>
        <name val="Calibri"/>
        <scheme val="minor"/>
      </font>
      <numFmt numFmtId="0" formatCode="General"/>
      <fill>
        <patternFill patternType="none">
          <fgColor indexed="64"/>
          <bgColor auto="1"/>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left" vertical="center" textRotation="0" wrapText="0" indent="0" justifyLastLine="0" shrinkToFit="0" readingOrder="0"/>
      <border diagonalUp="0" diagonalDown="0">
        <left/>
        <right/>
        <top/>
        <bottom/>
      </border>
      <protection locked="1" hidden="0"/>
    </dxf>
    <dxf>
      <font>
        <b val="0"/>
        <i val="0"/>
        <strike val="0"/>
        <condense val="0"/>
        <extend val="0"/>
        <outline val="0"/>
        <shadow val="0"/>
        <u val="none"/>
        <vertAlign val="baseline"/>
        <sz val="10"/>
        <color theme="1"/>
        <name val="Calibri"/>
        <scheme val="minor"/>
      </font>
      <numFmt numFmtId="0" formatCode="General"/>
      <fill>
        <patternFill patternType="none">
          <fgColor indexed="64"/>
          <bgColor auto="1"/>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left" vertical="center" textRotation="0" wrapText="0" indent="0" justifyLastLine="0" shrinkToFit="0" readingOrder="0"/>
      <border diagonalUp="0" diagonalDown="0">
        <left/>
        <right/>
        <top/>
        <bottom/>
      </border>
      <protection locked="1" hidden="0"/>
    </dxf>
    <dxf>
      <font>
        <b val="0"/>
        <i val="0"/>
        <strike val="0"/>
        <condense val="0"/>
        <extend val="0"/>
        <outline val="0"/>
        <shadow val="0"/>
        <u val="none"/>
        <vertAlign val="baseline"/>
        <sz val="10"/>
        <color theme="1"/>
        <name val="Calibri"/>
        <scheme val="minor"/>
      </font>
      <numFmt numFmtId="0" formatCode="General"/>
      <fill>
        <patternFill patternType="none">
          <fgColor indexed="64"/>
          <bgColor auto="1"/>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left" vertical="center" textRotation="0" wrapText="0" indent="0" justifyLastLine="0" shrinkToFit="0" readingOrder="0"/>
      <border diagonalUp="0" diagonalDown="0">
        <left/>
        <right/>
        <top/>
        <bottom/>
      </border>
      <protection locked="1" hidden="0"/>
    </dxf>
    <dxf>
      <font>
        <b val="0"/>
        <i val="0"/>
        <strike val="0"/>
        <condense val="0"/>
        <extend val="0"/>
        <outline val="0"/>
        <shadow val="0"/>
        <u val="none"/>
        <vertAlign val="baseline"/>
        <sz val="10"/>
        <color theme="1"/>
        <name val="Calibri"/>
        <scheme val="minor"/>
      </font>
      <numFmt numFmtId="0" formatCode="General"/>
      <fill>
        <patternFill patternType="none">
          <fgColor indexed="64"/>
          <bgColor auto="1"/>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left" vertical="center" textRotation="0" wrapText="0" indent="0" justifyLastLine="0" shrinkToFit="0" readingOrder="0"/>
      <border diagonalUp="0" diagonalDown="0">
        <left/>
        <right/>
        <top/>
        <bottom/>
      </border>
      <protection locked="1" hidden="0"/>
    </dxf>
    <dxf>
      <font>
        <b val="0"/>
        <i val="0"/>
        <strike val="0"/>
        <condense val="0"/>
        <extend val="0"/>
        <outline val="0"/>
        <shadow val="0"/>
        <u val="none"/>
        <vertAlign val="baseline"/>
        <sz val="10"/>
        <color theme="1"/>
        <name val="Calibri"/>
        <scheme val="minor"/>
      </font>
      <numFmt numFmtId="0" formatCode="General"/>
      <fill>
        <patternFill patternType="none">
          <fgColor indexed="64"/>
          <bgColor auto="1"/>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left" vertical="center" textRotation="0" wrapText="0" indent="0" justifyLastLine="0" shrinkToFit="0" readingOrder="0"/>
      <border diagonalUp="0" diagonalDown="0">
        <left/>
        <right/>
        <top/>
        <bottom/>
      </border>
      <protection locked="1" hidden="0"/>
    </dxf>
    <dxf>
      <font>
        <b val="0"/>
        <i val="0"/>
        <strike val="0"/>
        <condense val="0"/>
        <extend val="0"/>
        <outline val="0"/>
        <shadow val="0"/>
        <u val="none"/>
        <vertAlign val="baseline"/>
        <sz val="10"/>
        <color theme="1"/>
        <name val="Calibri"/>
        <scheme val="minor"/>
      </font>
      <numFmt numFmtId="0" formatCode="General"/>
      <fill>
        <patternFill patternType="none">
          <fgColor indexed="64"/>
          <bgColor auto="1"/>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left" vertical="center" textRotation="0" wrapText="0" indent="0" justifyLastLine="0" shrinkToFit="0" readingOrder="0"/>
      <border diagonalUp="0" diagonalDown="0">
        <left/>
        <right/>
        <top/>
        <bottom/>
      </border>
      <protection locked="1" hidden="0"/>
    </dxf>
    <dxf>
      <font>
        <b val="0"/>
        <i val="0"/>
        <strike val="0"/>
        <condense val="0"/>
        <extend val="0"/>
        <outline val="0"/>
        <shadow val="0"/>
        <u val="none"/>
        <vertAlign val="baseline"/>
        <sz val="10"/>
        <color theme="1"/>
        <name val="Calibri"/>
        <scheme val="minor"/>
      </font>
      <numFmt numFmtId="0" formatCode="General"/>
      <fill>
        <patternFill patternType="none">
          <fgColor indexed="64"/>
          <bgColor auto="1"/>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left" vertical="center" textRotation="0" wrapText="0" indent="0" justifyLastLine="0" shrinkToFit="0" readingOrder="0"/>
      <border diagonalUp="0" diagonalDown="0">
        <left/>
        <right/>
        <top/>
        <bottom/>
      </border>
      <protection locked="1" hidden="0"/>
    </dxf>
    <dxf>
      <font>
        <b val="0"/>
        <i val="0"/>
        <strike val="0"/>
        <condense val="0"/>
        <extend val="0"/>
        <outline val="0"/>
        <shadow val="0"/>
        <u val="none"/>
        <vertAlign val="baseline"/>
        <sz val="10"/>
        <color theme="1"/>
        <name val="Calibri"/>
        <scheme val="minor"/>
      </font>
      <numFmt numFmtId="0" formatCode="General"/>
      <fill>
        <patternFill patternType="none">
          <fgColor indexed="64"/>
          <bgColor auto="1"/>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left" vertical="center" textRotation="0" wrapText="0" indent="0" justifyLastLine="0" shrinkToFit="0" readingOrder="0"/>
      <border diagonalUp="0" diagonalDown="0">
        <left/>
        <right/>
        <top/>
        <bottom/>
      </border>
      <protection locked="1" hidden="0"/>
    </dxf>
    <dxf>
      <font>
        <b val="0"/>
        <i val="0"/>
        <strike val="0"/>
        <condense val="0"/>
        <extend val="0"/>
        <outline val="0"/>
        <shadow val="0"/>
        <u val="none"/>
        <vertAlign val="baseline"/>
        <sz val="10"/>
        <color theme="1"/>
        <name val="Calibri"/>
        <scheme val="minor"/>
      </font>
      <numFmt numFmtId="0" formatCode="General"/>
      <fill>
        <patternFill patternType="none">
          <fgColor indexed="64"/>
          <bgColor auto="1"/>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left" vertical="center" textRotation="0" wrapText="0" indent="0" justifyLastLine="0" shrinkToFit="0" readingOrder="0"/>
      <border diagonalUp="0" diagonalDown="0">
        <left/>
        <right/>
        <top/>
        <bottom/>
      </border>
      <protection locked="1" hidden="0"/>
    </dxf>
    <dxf>
      <font>
        <b val="0"/>
        <i val="0"/>
        <strike val="0"/>
        <condense val="0"/>
        <extend val="0"/>
        <outline val="0"/>
        <shadow val="0"/>
        <u val="none"/>
        <vertAlign val="baseline"/>
        <sz val="10"/>
        <color theme="1"/>
        <name val="Calibri"/>
        <scheme val="minor"/>
      </font>
      <numFmt numFmtId="0" formatCode="General"/>
      <fill>
        <patternFill patternType="none">
          <fgColor indexed="64"/>
          <bgColor auto="1"/>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left" vertical="center" textRotation="0" wrapText="0" indent="0" justifyLastLine="0" shrinkToFit="0" readingOrder="0"/>
      <border diagonalUp="0" diagonalDown="0">
        <left/>
        <right/>
        <top/>
        <bottom/>
      </border>
      <protection locked="1" hidden="0"/>
    </dxf>
    <dxf>
      <font>
        <b val="0"/>
        <i val="0"/>
        <strike val="0"/>
        <condense val="0"/>
        <extend val="0"/>
        <outline val="0"/>
        <shadow val="0"/>
        <u val="none"/>
        <vertAlign val="baseline"/>
        <sz val="10"/>
        <color theme="1"/>
        <name val="Calibri"/>
        <scheme val="minor"/>
      </font>
      <numFmt numFmtId="0" formatCode="General"/>
      <fill>
        <patternFill patternType="none">
          <fgColor indexed="64"/>
          <bgColor auto="1"/>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left" vertical="center" textRotation="0" wrapText="0" indent="0" justifyLastLine="0" shrinkToFit="0" readingOrder="0"/>
      <border diagonalUp="0" diagonalDown="0">
        <left/>
        <right/>
        <top/>
        <bottom/>
      </border>
      <protection locked="1" hidden="0"/>
    </dxf>
    <dxf>
      <font>
        <b val="0"/>
        <i val="0"/>
        <strike val="0"/>
        <condense val="0"/>
        <extend val="0"/>
        <outline val="0"/>
        <shadow val="0"/>
        <u val="none"/>
        <vertAlign val="baseline"/>
        <sz val="10"/>
        <color theme="1"/>
        <name val="Calibri"/>
        <scheme val="minor"/>
      </font>
      <numFmt numFmtId="0" formatCode="General"/>
      <fill>
        <patternFill patternType="none">
          <fgColor indexed="64"/>
          <bgColor auto="1"/>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left" vertical="center" textRotation="0" wrapText="0" indent="0" justifyLastLine="0" shrinkToFit="0" readingOrder="0"/>
      <border diagonalUp="0" diagonalDown="0">
        <left/>
        <right/>
        <top/>
        <bottom/>
      </border>
      <protection locked="1" hidden="0"/>
    </dxf>
    <dxf>
      <font>
        <b val="0"/>
        <i val="0"/>
        <strike val="0"/>
        <condense val="0"/>
        <extend val="0"/>
        <outline val="0"/>
        <shadow val="0"/>
        <u val="none"/>
        <vertAlign val="baseline"/>
        <sz val="10"/>
        <color theme="1"/>
        <name val="Calibri"/>
        <scheme val="minor"/>
      </font>
      <numFmt numFmtId="0" formatCode="General"/>
      <fill>
        <patternFill patternType="none">
          <fgColor indexed="64"/>
          <bgColor auto="1"/>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left" vertical="center" textRotation="0" wrapText="0" indent="0" justifyLastLine="0" shrinkToFit="0" readingOrder="0"/>
      <border diagonalUp="0" diagonalDown="0">
        <left/>
        <right/>
        <top/>
        <bottom/>
      </border>
      <protection locked="1" hidden="0"/>
    </dxf>
    <dxf>
      <font>
        <b val="0"/>
        <i val="0"/>
        <strike val="0"/>
        <condense val="0"/>
        <extend val="0"/>
        <outline val="0"/>
        <shadow val="0"/>
        <u val="none"/>
        <vertAlign val="baseline"/>
        <sz val="10"/>
        <color theme="1"/>
        <name val="Calibri"/>
        <scheme val="minor"/>
      </font>
      <numFmt numFmtId="0" formatCode="General"/>
      <fill>
        <patternFill patternType="none">
          <fgColor indexed="64"/>
          <bgColor auto="1"/>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left" vertical="center" textRotation="0" wrapText="0" indent="0" justifyLastLine="0" shrinkToFit="0" readingOrder="0"/>
      <border diagonalUp="0" diagonalDown="0">
        <left/>
        <right/>
        <top/>
        <bottom/>
      </border>
      <protection locked="1" hidden="0"/>
    </dxf>
    <dxf>
      <font>
        <b val="0"/>
        <i val="0"/>
        <strike val="0"/>
        <condense val="0"/>
        <extend val="0"/>
        <outline val="0"/>
        <shadow val="0"/>
        <u val="none"/>
        <vertAlign val="baseline"/>
        <sz val="10"/>
        <color theme="1"/>
        <name val="Calibri"/>
        <scheme val="minor"/>
      </font>
      <numFmt numFmtId="0" formatCode="General"/>
      <fill>
        <patternFill patternType="none">
          <fgColor indexed="64"/>
          <bgColor auto="1"/>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left" vertical="center" textRotation="0" wrapText="0" indent="0" justifyLastLine="0" shrinkToFit="0" readingOrder="0"/>
      <border diagonalUp="0" diagonalDown="0">
        <left/>
        <right/>
        <top/>
        <bottom/>
      </border>
      <protection locked="1" hidden="0"/>
    </dxf>
    <dxf>
      <font>
        <b val="0"/>
        <i val="0"/>
        <strike val="0"/>
        <condense val="0"/>
        <extend val="0"/>
        <outline val="0"/>
        <shadow val="0"/>
        <u val="none"/>
        <vertAlign val="baseline"/>
        <sz val="10"/>
        <color theme="1"/>
        <name val="Calibri"/>
        <scheme val="minor"/>
      </font>
      <numFmt numFmtId="0" formatCode="General"/>
      <fill>
        <patternFill patternType="none">
          <fgColor indexed="64"/>
          <bgColor auto="1"/>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left" vertical="center" textRotation="0" wrapText="0" indent="0" justifyLastLine="0" shrinkToFit="0" readingOrder="0"/>
      <border diagonalUp="0" diagonalDown="0">
        <left/>
        <right/>
        <top/>
        <bottom/>
      </border>
      <protection locked="1" hidden="0"/>
    </dxf>
    <dxf>
      <font>
        <b val="0"/>
        <i val="0"/>
        <strike val="0"/>
        <condense val="0"/>
        <extend val="0"/>
        <outline val="0"/>
        <shadow val="0"/>
        <u val="none"/>
        <vertAlign val="baseline"/>
        <sz val="10"/>
        <color theme="1"/>
        <name val="Calibri"/>
        <scheme val="minor"/>
      </font>
      <numFmt numFmtId="0" formatCode="General"/>
      <fill>
        <patternFill patternType="none">
          <fgColor indexed="64"/>
          <bgColor auto="1"/>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left" vertical="center" textRotation="0" wrapText="0" indent="0" justifyLastLine="0" shrinkToFit="0" readingOrder="0"/>
      <border diagonalUp="0" diagonalDown="0">
        <left/>
        <right/>
        <top/>
        <bottom/>
      </border>
      <protection locked="1" hidden="0"/>
    </dxf>
    <dxf>
      <font>
        <b val="0"/>
        <i val="0"/>
        <strike val="0"/>
        <condense val="0"/>
        <extend val="0"/>
        <outline val="0"/>
        <shadow val="0"/>
        <u val="none"/>
        <vertAlign val="baseline"/>
        <sz val="10"/>
        <color theme="1"/>
        <name val="Calibri"/>
        <scheme val="minor"/>
      </font>
      <numFmt numFmtId="0" formatCode="General"/>
      <fill>
        <patternFill patternType="none">
          <fgColor indexed="64"/>
          <bgColor auto="1"/>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left" vertical="center" textRotation="0" wrapText="0" indent="0" justifyLastLine="0" shrinkToFit="0" readingOrder="0"/>
      <border diagonalUp="0" diagonalDown="0">
        <left/>
        <right/>
        <top/>
        <bottom/>
      </border>
      <protection locked="1" hidden="0"/>
    </dxf>
    <dxf>
      <font>
        <b val="0"/>
        <i val="0"/>
        <strike val="0"/>
        <condense val="0"/>
        <extend val="0"/>
        <outline val="0"/>
        <shadow val="0"/>
        <u val="none"/>
        <vertAlign val="baseline"/>
        <sz val="10"/>
        <color theme="1"/>
        <name val="Calibri"/>
        <scheme val="minor"/>
      </font>
      <numFmt numFmtId="0" formatCode="General"/>
      <fill>
        <patternFill patternType="none">
          <fgColor indexed="64"/>
          <bgColor auto="1"/>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left" vertical="center" textRotation="0" wrapText="0" indent="0" justifyLastLine="0" shrinkToFit="0" readingOrder="0"/>
      <border diagonalUp="0" diagonalDown="0">
        <left/>
        <right/>
        <top/>
        <bottom/>
      </border>
      <protection locked="1" hidden="0"/>
    </dxf>
    <dxf>
      <font>
        <b val="0"/>
        <i val="0"/>
        <strike val="0"/>
        <condense val="0"/>
        <extend val="0"/>
        <outline val="0"/>
        <shadow val="0"/>
        <u val="none"/>
        <vertAlign val="baseline"/>
        <sz val="10"/>
        <color theme="1"/>
        <name val="Calibri"/>
        <scheme val="minor"/>
      </font>
      <numFmt numFmtId="0" formatCode="General"/>
      <fill>
        <patternFill patternType="none">
          <fgColor indexed="64"/>
          <bgColor auto="1"/>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left" vertical="center" textRotation="0" wrapText="0" indent="0" justifyLastLine="0" shrinkToFit="0" readingOrder="0"/>
      <border diagonalUp="0" diagonalDown="0">
        <left/>
        <right/>
        <top/>
        <bottom/>
      </border>
      <protection locked="1" hidden="0"/>
    </dxf>
    <dxf>
      <font>
        <b val="0"/>
        <i val="0"/>
        <strike val="0"/>
        <condense val="0"/>
        <extend val="0"/>
        <outline val="0"/>
        <shadow val="0"/>
        <u val="none"/>
        <vertAlign val="baseline"/>
        <sz val="10"/>
        <color theme="1"/>
        <name val="Calibri"/>
        <scheme val="minor"/>
      </font>
      <numFmt numFmtId="0" formatCode="General"/>
      <fill>
        <patternFill patternType="none">
          <fgColor indexed="64"/>
          <bgColor auto="1"/>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left" vertical="center" textRotation="0" wrapText="0" indent="0" justifyLastLine="0" shrinkToFit="0" readingOrder="0"/>
      <border diagonalUp="0" diagonalDown="0">
        <left/>
        <right/>
        <top/>
        <bottom/>
      </border>
      <protection locked="1" hidden="0"/>
    </dxf>
    <dxf>
      <font>
        <b val="0"/>
        <i val="0"/>
        <strike val="0"/>
        <condense val="0"/>
        <extend val="0"/>
        <outline val="0"/>
        <shadow val="0"/>
        <u val="none"/>
        <vertAlign val="baseline"/>
        <sz val="10"/>
        <color theme="1"/>
        <name val="Calibri"/>
        <scheme val="minor"/>
      </font>
      <numFmt numFmtId="0" formatCode="General"/>
      <fill>
        <patternFill patternType="none">
          <fgColor indexed="64"/>
          <bgColor auto="1"/>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left" vertical="center" textRotation="0" wrapText="0" indent="0" justifyLastLine="0" shrinkToFit="0" readingOrder="0"/>
      <border diagonalUp="0" diagonalDown="0">
        <left/>
        <right/>
        <top/>
        <bottom/>
      </border>
      <protection locked="1" hidden="0"/>
    </dxf>
    <dxf>
      <font>
        <b val="0"/>
        <i val="0"/>
        <strike val="0"/>
        <condense val="0"/>
        <extend val="0"/>
        <outline val="0"/>
        <shadow val="0"/>
        <u val="none"/>
        <vertAlign val="baseline"/>
        <sz val="10"/>
        <color theme="1"/>
        <name val="Calibri"/>
        <scheme val="minor"/>
      </font>
      <numFmt numFmtId="0" formatCode="General"/>
      <fill>
        <patternFill patternType="none">
          <fgColor indexed="64"/>
          <bgColor auto="1"/>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left" vertical="center" textRotation="0" wrapText="0" indent="0" justifyLastLine="0" shrinkToFit="0" readingOrder="0"/>
      <border diagonalUp="0" diagonalDown="0">
        <left/>
        <right/>
        <top/>
        <bottom/>
      </border>
      <protection locked="1" hidden="0"/>
    </dxf>
    <dxf>
      <font>
        <b val="0"/>
        <i val="0"/>
        <strike val="0"/>
        <condense val="0"/>
        <extend val="0"/>
        <outline val="0"/>
        <shadow val="0"/>
        <u val="none"/>
        <vertAlign val="baseline"/>
        <sz val="10"/>
        <color theme="1"/>
        <name val="Calibri"/>
        <scheme val="minor"/>
      </font>
      <numFmt numFmtId="0" formatCode="General"/>
      <fill>
        <patternFill patternType="none">
          <fgColor indexed="64"/>
          <bgColor auto="1"/>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left" vertical="center" textRotation="0" wrapText="0" indent="0" justifyLastLine="0" shrinkToFit="0" readingOrder="0"/>
      <border diagonalUp="0" diagonalDown="0">
        <left/>
        <right/>
        <top/>
        <bottom/>
      </border>
      <protection locked="1" hidden="0"/>
    </dxf>
    <dxf>
      <font>
        <b val="0"/>
        <i val="0"/>
        <strike val="0"/>
        <condense val="0"/>
        <extend val="0"/>
        <outline val="0"/>
        <shadow val="0"/>
        <u val="none"/>
        <vertAlign val="baseline"/>
        <sz val="10"/>
        <color theme="1"/>
        <name val="Calibri"/>
        <scheme val="minor"/>
      </font>
      <numFmt numFmtId="0" formatCode="General"/>
      <fill>
        <patternFill patternType="none">
          <fgColor indexed="64"/>
          <bgColor auto="1"/>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left" vertical="center" textRotation="0" wrapText="0" indent="0" justifyLastLine="0" shrinkToFit="0" readingOrder="0"/>
      <border diagonalUp="0" diagonalDown="0">
        <left/>
        <right/>
        <top/>
        <bottom/>
      </border>
      <protection locked="1" hidden="0"/>
    </dxf>
    <dxf>
      <font>
        <b val="0"/>
        <i val="0"/>
        <strike val="0"/>
        <condense val="0"/>
        <extend val="0"/>
        <outline val="0"/>
        <shadow val="0"/>
        <u val="none"/>
        <vertAlign val="baseline"/>
        <sz val="10"/>
        <color theme="1"/>
        <name val="Calibri"/>
        <scheme val="minor"/>
      </font>
      <numFmt numFmtId="0" formatCode="General"/>
      <fill>
        <patternFill patternType="none">
          <fgColor indexed="64"/>
          <bgColor auto="1"/>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left" vertical="center" textRotation="0" wrapText="0" indent="0" justifyLastLine="0" shrinkToFit="0" readingOrder="0"/>
      <border diagonalUp="0" diagonalDown="0">
        <left/>
        <right/>
        <top/>
        <bottom/>
      </border>
      <protection locked="1" hidden="0"/>
    </dxf>
    <dxf>
      <font>
        <b val="0"/>
        <i val="0"/>
        <strike val="0"/>
        <condense val="0"/>
        <extend val="0"/>
        <outline val="0"/>
        <shadow val="0"/>
        <u val="none"/>
        <vertAlign val="baseline"/>
        <sz val="10"/>
        <color theme="1"/>
        <name val="Calibri"/>
        <scheme val="minor"/>
      </font>
      <numFmt numFmtId="0" formatCode="General"/>
      <fill>
        <patternFill patternType="none">
          <fgColor indexed="64"/>
          <bgColor auto="1"/>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left" vertical="center" textRotation="0" wrapText="0" indent="0" justifyLastLine="0" shrinkToFit="0" readingOrder="0"/>
      <border diagonalUp="0" diagonalDown="0">
        <left/>
        <right/>
        <top/>
        <bottom/>
      </border>
      <protection locked="1" hidden="0"/>
    </dxf>
    <dxf>
      <font>
        <b val="0"/>
        <i val="0"/>
        <strike val="0"/>
        <condense val="0"/>
        <extend val="0"/>
        <outline val="0"/>
        <shadow val="0"/>
        <u val="none"/>
        <vertAlign val="baseline"/>
        <sz val="10"/>
        <color theme="1"/>
        <name val="Calibri"/>
        <scheme val="minor"/>
      </font>
      <numFmt numFmtId="0" formatCode="General"/>
      <fill>
        <patternFill patternType="none">
          <fgColor indexed="64"/>
          <bgColor auto="1"/>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left" vertical="center" textRotation="0" wrapText="0" indent="0" justifyLastLine="0" shrinkToFit="0" readingOrder="0"/>
      <border diagonalUp="0" diagonalDown="0">
        <left/>
        <right/>
        <top/>
        <bottom/>
      </border>
      <protection locked="1" hidden="0"/>
    </dxf>
    <dxf>
      <font>
        <b val="0"/>
        <i val="0"/>
        <strike val="0"/>
        <condense val="0"/>
        <extend val="0"/>
        <outline val="0"/>
        <shadow val="0"/>
        <u val="none"/>
        <vertAlign val="baseline"/>
        <sz val="10"/>
        <color theme="1"/>
        <name val="Calibri"/>
        <scheme val="minor"/>
      </font>
      <numFmt numFmtId="0" formatCode="General"/>
      <fill>
        <patternFill patternType="none">
          <fgColor indexed="64"/>
          <bgColor auto="1"/>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left" vertical="center" textRotation="0" wrapText="0" indent="0" justifyLastLine="0" shrinkToFit="0" readingOrder="0"/>
      <border diagonalUp="0" diagonalDown="0">
        <left/>
        <right/>
        <top/>
        <bottom/>
      </border>
      <protection locked="1" hidden="0"/>
    </dxf>
    <dxf>
      <font>
        <b val="0"/>
        <i val="0"/>
        <strike val="0"/>
        <condense val="0"/>
        <extend val="0"/>
        <outline val="0"/>
        <shadow val="0"/>
        <u val="none"/>
        <vertAlign val="baseline"/>
        <sz val="10"/>
        <color theme="1"/>
        <name val="Calibri"/>
        <scheme val="minor"/>
      </font>
      <numFmt numFmtId="0" formatCode="General"/>
      <fill>
        <patternFill patternType="none">
          <fgColor indexed="64"/>
          <bgColor auto="1"/>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left" vertical="center" textRotation="0" wrapText="0" indent="0" justifyLastLine="0" shrinkToFit="0" readingOrder="0"/>
      <border diagonalUp="0" diagonalDown="0">
        <left/>
        <right/>
        <top/>
        <bottom/>
      </border>
      <protection locked="1" hidden="0"/>
    </dxf>
    <dxf>
      <font>
        <b val="0"/>
        <i val="0"/>
        <strike val="0"/>
        <condense val="0"/>
        <extend val="0"/>
        <outline val="0"/>
        <shadow val="0"/>
        <u val="none"/>
        <vertAlign val="baseline"/>
        <sz val="10"/>
        <color theme="1"/>
        <name val="Calibri"/>
        <scheme val="minor"/>
      </font>
      <numFmt numFmtId="0" formatCode="General"/>
      <fill>
        <patternFill patternType="none">
          <fgColor indexed="64"/>
          <bgColor auto="1"/>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left" vertical="center" textRotation="0" wrapText="0" indent="0" justifyLastLine="0" shrinkToFit="0" readingOrder="0"/>
      <border diagonalUp="0" diagonalDown="0">
        <left/>
        <right/>
        <top/>
        <bottom/>
      </border>
      <protection locked="1" hidden="0"/>
    </dxf>
    <dxf>
      <font>
        <b val="0"/>
        <i val="0"/>
        <strike val="0"/>
        <condense val="0"/>
        <extend val="0"/>
        <outline val="0"/>
        <shadow val="0"/>
        <u val="none"/>
        <vertAlign val="baseline"/>
        <sz val="10"/>
        <color theme="1"/>
        <name val="Calibri"/>
        <scheme val="minor"/>
      </font>
      <numFmt numFmtId="0" formatCode="General"/>
      <fill>
        <patternFill patternType="none">
          <fgColor indexed="64"/>
          <bgColor auto="1"/>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left" vertical="center" textRotation="0" wrapText="0" indent="0" justifyLastLine="0" shrinkToFit="0" readingOrder="0"/>
      <border diagonalUp="0" diagonalDown="0">
        <left/>
        <right/>
        <top/>
        <bottom/>
      </border>
      <protection locked="1" hidden="0"/>
    </dxf>
    <dxf>
      <font>
        <b val="0"/>
        <i val="0"/>
        <strike val="0"/>
        <condense val="0"/>
        <extend val="0"/>
        <outline val="0"/>
        <shadow val="0"/>
        <u val="none"/>
        <vertAlign val="baseline"/>
        <sz val="10"/>
        <color theme="1"/>
        <name val="Calibri"/>
        <scheme val="minor"/>
      </font>
      <numFmt numFmtId="0" formatCode="General"/>
      <fill>
        <patternFill patternType="none">
          <fgColor indexed="64"/>
          <bgColor indexed="65"/>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left" vertical="center" textRotation="0" wrapText="0" indent="0" justifyLastLine="0" shrinkToFit="0" readingOrder="0"/>
      <border diagonalUp="0" diagonalDown="0">
        <left/>
        <right/>
        <top/>
        <bottom/>
      </border>
      <protection locked="1" hidden="0"/>
    </dxf>
    <dxf>
      <font>
        <b val="0"/>
        <i val="0"/>
        <strike val="0"/>
        <condense val="0"/>
        <extend val="0"/>
        <outline val="0"/>
        <shadow val="0"/>
        <u val="none"/>
        <vertAlign val="baseline"/>
        <sz val="10"/>
        <color theme="1"/>
        <name val="Calibri"/>
        <scheme val="minor"/>
      </font>
      <numFmt numFmtId="0" formatCode="General"/>
      <fill>
        <patternFill patternType="none">
          <fgColor indexed="64"/>
          <bgColor indexed="65"/>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left" vertical="center" textRotation="0" wrapText="0" indent="0" justifyLastLine="0" shrinkToFit="0" readingOrder="0"/>
      <border diagonalUp="0" diagonalDown="0">
        <left/>
        <right/>
        <top/>
        <bottom/>
      </border>
      <protection locked="1" hidden="0"/>
    </dxf>
    <dxf>
      <font>
        <b val="0"/>
        <i val="0"/>
        <strike val="0"/>
        <condense val="0"/>
        <extend val="0"/>
        <outline val="0"/>
        <shadow val="0"/>
        <u val="none"/>
        <vertAlign val="baseline"/>
        <sz val="10"/>
        <color theme="1"/>
        <name val="Calibri"/>
        <scheme val="minor"/>
      </font>
      <numFmt numFmtId="0" formatCode="General"/>
      <fill>
        <patternFill patternType="none">
          <fgColor indexed="64"/>
          <bgColor indexed="65"/>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left" vertical="center" textRotation="0" wrapText="0" indent="0" justifyLastLine="0" shrinkToFit="0" readingOrder="0"/>
      <border diagonalUp="0" diagonalDown="0">
        <left/>
        <right/>
        <top/>
        <bottom/>
      </border>
      <protection locked="1" hidden="0"/>
    </dxf>
    <dxf>
      <font>
        <b val="0"/>
        <i val="0"/>
        <strike val="0"/>
        <condense val="0"/>
        <extend val="0"/>
        <outline val="0"/>
        <shadow val="0"/>
        <u val="none"/>
        <vertAlign val="baseline"/>
        <sz val="10"/>
        <color theme="1"/>
        <name val="Calibri"/>
        <scheme val="minor"/>
      </font>
      <numFmt numFmtId="0" formatCode="General"/>
      <fill>
        <patternFill patternType="none">
          <fgColor indexed="64"/>
          <bgColor indexed="65"/>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left" vertical="center" textRotation="0" wrapText="0" indent="0" justifyLastLine="0" shrinkToFit="0" readingOrder="0"/>
      <border diagonalUp="0" diagonalDown="0">
        <left/>
        <right/>
        <top/>
        <bottom/>
      </border>
      <protection locked="1" hidden="0"/>
    </dxf>
    <dxf>
      <font>
        <b val="0"/>
        <i val="0"/>
        <strike val="0"/>
        <condense val="0"/>
        <extend val="0"/>
        <outline val="0"/>
        <shadow val="0"/>
        <u val="none"/>
        <vertAlign val="baseline"/>
        <sz val="10"/>
        <color theme="1"/>
        <name val="Calibri"/>
        <scheme val="minor"/>
      </font>
      <numFmt numFmtId="0" formatCode="General"/>
      <fill>
        <patternFill patternType="none">
          <fgColor indexed="64"/>
          <bgColor indexed="65"/>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left" vertical="center" textRotation="0" wrapText="0" indent="0" justifyLastLine="0" shrinkToFit="0" readingOrder="0"/>
      <border diagonalUp="0" diagonalDown="0">
        <left/>
        <right/>
        <top/>
        <bottom/>
      </border>
      <protection locked="1" hidden="0"/>
    </dxf>
    <dxf>
      <font>
        <b val="0"/>
        <i val="0"/>
        <strike val="0"/>
        <condense val="0"/>
        <extend val="0"/>
        <outline val="0"/>
        <shadow val="0"/>
        <u val="none"/>
        <vertAlign val="baseline"/>
        <sz val="10"/>
        <color theme="1"/>
        <name val="Calibri"/>
        <scheme val="minor"/>
      </font>
      <numFmt numFmtId="0" formatCode="General"/>
      <fill>
        <patternFill patternType="none">
          <fgColor indexed="64"/>
          <bgColor indexed="65"/>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left" vertical="center" textRotation="0" wrapText="0" indent="0" justifyLastLine="0" shrinkToFit="0" readingOrder="0"/>
      <border diagonalUp="0" diagonalDown="0">
        <left/>
        <right/>
        <top/>
        <bottom/>
      </border>
      <protection locked="1" hidden="0"/>
    </dxf>
    <dxf>
      <font>
        <b val="0"/>
        <i val="0"/>
        <strike val="0"/>
        <condense val="0"/>
        <extend val="0"/>
        <outline val="0"/>
        <shadow val="0"/>
        <u val="none"/>
        <vertAlign val="baseline"/>
        <sz val="10"/>
        <color theme="1"/>
        <name val="Calibri"/>
        <scheme val="minor"/>
      </font>
      <numFmt numFmtId="0" formatCode="General"/>
      <fill>
        <patternFill patternType="none">
          <fgColor indexed="64"/>
          <bgColor indexed="65"/>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left" vertical="center" textRotation="0" wrapText="0" indent="0" justifyLastLine="0" shrinkToFit="0" readingOrder="0"/>
      <border diagonalUp="0" diagonalDown="0">
        <left/>
        <right/>
        <top/>
        <bottom/>
      </border>
      <protection locked="1" hidden="0"/>
    </dxf>
    <dxf>
      <font>
        <b val="0"/>
        <i val="0"/>
        <strike val="0"/>
        <condense val="0"/>
        <extend val="0"/>
        <outline val="0"/>
        <shadow val="0"/>
        <u val="none"/>
        <vertAlign val="baseline"/>
        <sz val="10"/>
        <color theme="1"/>
        <name val="Calibri"/>
        <scheme val="minor"/>
      </font>
      <numFmt numFmtId="0" formatCode="General"/>
      <fill>
        <patternFill patternType="none">
          <fgColor indexed="64"/>
          <bgColor indexed="65"/>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left" vertical="center" textRotation="0" wrapText="0" indent="0" justifyLastLine="0" shrinkToFit="0" readingOrder="0"/>
      <border diagonalUp="0" diagonalDown="0">
        <left/>
        <right/>
        <top/>
        <bottom/>
      </border>
      <protection locked="1" hidden="0"/>
    </dxf>
    <dxf>
      <font>
        <b val="0"/>
        <i val="0"/>
        <strike val="0"/>
        <condense val="0"/>
        <extend val="0"/>
        <outline val="0"/>
        <shadow val="0"/>
        <u val="none"/>
        <vertAlign val="baseline"/>
        <sz val="10"/>
        <color theme="1"/>
        <name val="Calibri"/>
        <scheme val="minor"/>
      </font>
      <numFmt numFmtId="0" formatCode="General"/>
      <fill>
        <patternFill patternType="none">
          <fgColor indexed="64"/>
          <bgColor indexed="65"/>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left" vertical="center" textRotation="0" wrapText="0" indent="0" justifyLastLine="0" shrinkToFit="0" readingOrder="0"/>
      <border diagonalUp="0" diagonalDown="0">
        <left/>
        <right/>
        <top/>
        <bottom/>
      </border>
      <protection locked="1" hidden="0"/>
    </dxf>
    <dxf>
      <font>
        <b val="0"/>
        <i val="0"/>
        <strike val="0"/>
        <condense val="0"/>
        <extend val="0"/>
        <outline val="0"/>
        <shadow val="0"/>
        <u val="none"/>
        <vertAlign val="baseline"/>
        <sz val="10"/>
        <color theme="1"/>
        <name val="Calibri"/>
        <scheme val="minor"/>
      </font>
      <numFmt numFmtId="0" formatCode="General"/>
      <fill>
        <patternFill patternType="none">
          <fgColor indexed="64"/>
          <bgColor indexed="65"/>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left" vertical="center" textRotation="0" wrapText="0" indent="0" justifyLastLine="0" shrinkToFit="0" readingOrder="0"/>
      <border diagonalUp="0" diagonalDown="0">
        <left/>
        <right/>
        <top/>
        <bottom/>
      </border>
      <protection locked="1" hidden="0"/>
    </dxf>
    <dxf>
      <font>
        <b val="0"/>
        <i val="0"/>
        <strike val="0"/>
        <condense val="0"/>
        <extend val="0"/>
        <outline val="0"/>
        <shadow val="0"/>
        <u val="none"/>
        <vertAlign val="baseline"/>
        <sz val="10"/>
        <color theme="1"/>
        <name val="Calibri"/>
        <scheme val="minor"/>
      </font>
      <numFmt numFmtId="0" formatCode="General"/>
      <fill>
        <patternFill patternType="none">
          <fgColor indexed="64"/>
          <bgColor auto="1"/>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left" vertical="center" textRotation="0" wrapText="0" indent="0" justifyLastLine="0" shrinkToFit="0" readingOrder="0"/>
      <border diagonalUp="0" diagonalDown="0">
        <left/>
        <right/>
        <top/>
        <bottom/>
      </border>
      <protection locked="1" hidden="0"/>
    </dxf>
    <dxf>
      <font>
        <b val="0"/>
        <i val="0"/>
        <strike val="0"/>
        <condense val="0"/>
        <extend val="0"/>
        <outline val="0"/>
        <shadow val="0"/>
        <u val="none"/>
        <vertAlign val="baseline"/>
        <sz val="10"/>
        <color theme="1"/>
        <name val="Calibri"/>
        <scheme val="minor"/>
      </font>
      <numFmt numFmtId="0" formatCode="General"/>
      <fill>
        <patternFill patternType="none">
          <fgColor indexed="64"/>
          <bgColor auto="1"/>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left" vertical="center" textRotation="0" wrapText="0" indent="0" justifyLastLine="0" shrinkToFit="0" readingOrder="0"/>
      <border diagonalUp="0" diagonalDown="0">
        <left/>
        <right/>
        <top/>
        <bottom/>
      </border>
      <protection locked="1" hidden="0"/>
    </dxf>
    <dxf>
      <font>
        <b val="0"/>
        <i val="0"/>
        <strike val="0"/>
        <condense val="0"/>
        <extend val="0"/>
        <outline val="0"/>
        <shadow val="0"/>
        <u val="none"/>
        <vertAlign val="baseline"/>
        <sz val="10"/>
        <color theme="1"/>
        <name val="Calibri"/>
        <scheme val="minor"/>
      </font>
      <numFmt numFmtId="0" formatCode="General"/>
      <fill>
        <patternFill patternType="none">
          <fgColor indexed="64"/>
          <bgColor auto="1"/>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left" vertical="center" textRotation="0" wrapText="0" indent="0" justifyLastLine="0" shrinkToFit="0" readingOrder="0"/>
      <border diagonalUp="0" diagonalDown="0">
        <left/>
        <right/>
        <top/>
        <bottom/>
      </border>
      <protection locked="1" hidden="0"/>
    </dxf>
    <dxf>
      <font>
        <b val="0"/>
        <i val="0"/>
        <strike val="0"/>
        <condense val="0"/>
        <extend val="0"/>
        <outline val="0"/>
        <shadow val="0"/>
        <u val="none"/>
        <vertAlign val="baseline"/>
        <sz val="10"/>
        <color theme="1"/>
        <name val="Calibri"/>
        <scheme val="minor"/>
      </font>
      <numFmt numFmtId="0" formatCode="General"/>
      <fill>
        <patternFill patternType="none">
          <fgColor indexed="64"/>
          <bgColor auto="1"/>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left" vertical="center" textRotation="0" wrapText="0" indent="0" justifyLastLine="0" shrinkToFit="0" readingOrder="0"/>
      <border diagonalUp="0" diagonalDown="0">
        <left/>
        <right/>
        <top/>
        <bottom/>
      </border>
      <protection locked="1" hidden="0"/>
    </dxf>
    <dxf>
      <font>
        <b val="0"/>
        <i val="0"/>
        <strike val="0"/>
        <condense val="0"/>
        <extend val="0"/>
        <outline val="0"/>
        <shadow val="0"/>
        <u val="none"/>
        <vertAlign val="baseline"/>
        <sz val="10"/>
        <color theme="1"/>
        <name val="Calibri"/>
        <scheme val="minor"/>
      </font>
      <numFmt numFmtId="0" formatCode="General"/>
      <fill>
        <patternFill patternType="none">
          <fgColor indexed="64"/>
          <bgColor auto="1"/>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left" vertical="center" textRotation="0" wrapText="0" indent="0" justifyLastLine="0" shrinkToFit="0" readingOrder="0"/>
      <border diagonalUp="0" diagonalDown="0">
        <left/>
        <right/>
        <top/>
        <bottom/>
      </border>
      <protection locked="1" hidden="0"/>
    </dxf>
    <dxf>
      <font>
        <b val="0"/>
        <i val="0"/>
        <strike val="0"/>
        <condense val="0"/>
        <extend val="0"/>
        <outline val="0"/>
        <shadow val="0"/>
        <u val="none"/>
        <vertAlign val="baseline"/>
        <sz val="10"/>
        <color theme="1"/>
        <name val="Calibri"/>
        <scheme val="minor"/>
      </font>
      <numFmt numFmtId="0" formatCode="General"/>
      <fill>
        <patternFill patternType="none">
          <fgColor indexed="64"/>
          <bgColor auto="1"/>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left" vertical="center" textRotation="0" wrapText="0" indent="0" justifyLastLine="0" shrinkToFit="0" readingOrder="0"/>
      <border diagonalUp="0" diagonalDown="0">
        <left/>
        <right/>
        <top/>
        <bottom/>
      </border>
      <protection locked="1" hidden="0"/>
    </dxf>
    <dxf>
      <font>
        <b val="0"/>
        <i val="0"/>
        <strike val="0"/>
        <condense val="0"/>
        <extend val="0"/>
        <outline val="0"/>
        <shadow val="0"/>
        <u val="none"/>
        <vertAlign val="baseline"/>
        <sz val="10"/>
        <color theme="1"/>
        <name val="Calibri"/>
        <scheme val="minor"/>
      </font>
      <numFmt numFmtId="0" formatCode="General"/>
      <fill>
        <patternFill patternType="none">
          <fgColor indexed="64"/>
          <bgColor indexed="65"/>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left" vertical="center" textRotation="0" wrapText="0" indent="0" justifyLastLine="0" shrinkToFit="0" readingOrder="0"/>
      <border diagonalUp="0" diagonalDown="0">
        <left/>
        <right/>
        <top/>
        <bottom/>
      </border>
      <protection locked="1" hidden="0"/>
    </dxf>
    <dxf>
      <font>
        <b val="0"/>
        <i val="0"/>
        <strike val="0"/>
        <condense val="0"/>
        <extend val="0"/>
        <outline val="0"/>
        <shadow val="0"/>
        <u val="none"/>
        <vertAlign val="baseline"/>
        <sz val="10"/>
        <color theme="1"/>
        <name val="Calibri"/>
        <scheme val="minor"/>
      </font>
      <numFmt numFmtId="0" formatCode="General"/>
      <fill>
        <patternFill patternType="none">
          <fgColor indexed="64"/>
          <bgColor auto="1"/>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left" vertical="center" textRotation="0" wrapText="0" indent="0" justifyLastLine="0" shrinkToFit="0" readingOrder="0"/>
      <border diagonalUp="0" diagonalDown="0">
        <left/>
        <right/>
        <top/>
        <bottom/>
      </border>
      <protection locked="1" hidden="0"/>
    </dxf>
    <dxf>
      <font>
        <b val="0"/>
        <i val="0"/>
        <strike val="0"/>
        <condense val="0"/>
        <extend val="0"/>
        <outline val="0"/>
        <shadow val="0"/>
        <u val="none"/>
        <vertAlign val="baseline"/>
        <sz val="10"/>
        <color theme="1"/>
        <name val="Calibri"/>
        <scheme val="minor"/>
      </font>
      <numFmt numFmtId="0" formatCode="General"/>
      <fill>
        <patternFill patternType="none">
          <fgColor indexed="64"/>
          <bgColor auto="1"/>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left" vertical="center" textRotation="0" wrapText="0" indent="0" justifyLastLine="0" shrinkToFit="0" readingOrder="0"/>
      <border diagonalUp="0" diagonalDown="0">
        <left/>
        <right/>
        <top/>
        <bottom/>
      </border>
      <protection locked="1" hidden="0"/>
    </dxf>
    <dxf>
      <font>
        <b val="0"/>
        <i val="0"/>
        <strike val="0"/>
        <condense val="0"/>
        <extend val="0"/>
        <outline val="0"/>
        <shadow val="0"/>
        <u val="none"/>
        <vertAlign val="baseline"/>
        <sz val="10"/>
        <color theme="1"/>
        <name val="Calibri"/>
        <scheme val="minor"/>
      </font>
      <numFmt numFmtId="0" formatCode="General"/>
      <fill>
        <patternFill patternType="none">
          <fgColor indexed="64"/>
          <bgColor auto="1"/>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left" vertical="center" textRotation="0" wrapText="0" indent="0" justifyLastLine="0" shrinkToFit="0" readingOrder="0"/>
      <border diagonalUp="0" diagonalDown="0">
        <left/>
        <right/>
        <top/>
        <bottom/>
      </border>
      <protection locked="1" hidden="0"/>
    </dxf>
    <dxf>
      <font>
        <b val="0"/>
        <i val="0"/>
        <strike val="0"/>
        <condense val="0"/>
        <extend val="0"/>
        <outline val="0"/>
        <shadow val="0"/>
        <u val="none"/>
        <vertAlign val="baseline"/>
        <sz val="10"/>
        <color theme="1"/>
        <name val="Calibri"/>
        <scheme val="minor"/>
      </font>
      <numFmt numFmtId="0" formatCode="General"/>
      <fill>
        <patternFill patternType="none">
          <fgColor indexed="64"/>
          <bgColor auto="1"/>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left" vertical="center" textRotation="0" wrapText="0" indent="0" justifyLastLine="0" shrinkToFit="0" readingOrder="0"/>
      <border diagonalUp="0" diagonalDown="0">
        <left/>
        <right/>
        <top/>
        <bottom/>
      </border>
      <protection locked="1" hidden="0"/>
    </dxf>
    <dxf>
      <font>
        <b val="0"/>
        <i val="0"/>
        <strike val="0"/>
        <condense val="0"/>
        <extend val="0"/>
        <outline val="0"/>
        <shadow val="0"/>
        <u val="none"/>
        <vertAlign val="baseline"/>
        <sz val="10"/>
        <color theme="1"/>
        <name val="Calibri"/>
        <scheme val="minor"/>
      </font>
      <numFmt numFmtId="0" formatCode="General"/>
      <fill>
        <patternFill patternType="none">
          <fgColor indexed="64"/>
          <bgColor auto="1"/>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left" vertical="center" textRotation="0" wrapText="0" indent="0" justifyLastLine="0" shrinkToFit="0" readingOrder="0"/>
      <border diagonalUp="0" diagonalDown="0">
        <left/>
        <right/>
        <top/>
        <bottom/>
      </border>
      <protection locked="1" hidden="0"/>
    </dxf>
    <dxf>
      <font>
        <b val="0"/>
        <i val="0"/>
        <strike val="0"/>
        <condense val="0"/>
        <extend val="0"/>
        <outline val="0"/>
        <shadow val="0"/>
        <u val="none"/>
        <vertAlign val="baseline"/>
        <sz val="10"/>
        <color theme="1"/>
        <name val="Calibri"/>
        <scheme val="minor"/>
      </font>
      <numFmt numFmtId="0" formatCode="General"/>
      <fill>
        <patternFill patternType="none">
          <fgColor indexed="64"/>
          <bgColor auto="1"/>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left" vertical="center" textRotation="0" wrapText="0" indent="0" justifyLastLine="0" shrinkToFit="0" readingOrder="0"/>
      <border diagonalUp="0" diagonalDown="0">
        <left/>
        <right/>
        <top/>
        <bottom/>
      </border>
      <protection locked="1" hidden="0"/>
    </dxf>
    <dxf>
      <font>
        <b val="0"/>
        <i val="0"/>
        <strike val="0"/>
        <condense val="0"/>
        <extend val="0"/>
        <outline val="0"/>
        <shadow val="0"/>
        <u val="none"/>
        <vertAlign val="baseline"/>
        <sz val="10"/>
        <color theme="1"/>
        <name val="Calibri"/>
        <scheme val="minor"/>
      </font>
      <numFmt numFmtId="0" formatCode="General"/>
      <fill>
        <patternFill patternType="none">
          <fgColor indexed="64"/>
          <bgColor auto="1"/>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left" vertical="center" textRotation="0" wrapText="0" indent="0" justifyLastLine="0" shrinkToFit="0" readingOrder="0"/>
      <border diagonalUp="0" diagonalDown="0">
        <left/>
        <right/>
        <top/>
        <bottom/>
      </border>
      <protection locked="1" hidden="0"/>
    </dxf>
    <dxf>
      <font>
        <b val="0"/>
        <i val="0"/>
        <strike val="0"/>
        <condense val="0"/>
        <extend val="0"/>
        <outline val="0"/>
        <shadow val="0"/>
        <u val="none"/>
        <vertAlign val="baseline"/>
        <sz val="10"/>
        <color theme="1"/>
        <name val="Calibri"/>
        <scheme val="minor"/>
      </font>
      <numFmt numFmtId="0" formatCode="General"/>
      <fill>
        <patternFill patternType="none">
          <fgColor indexed="64"/>
          <bgColor auto="1"/>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left" vertical="center" textRotation="0" wrapText="0" indent="0" justifyLastLine="0" shrinkToFit="0" readingOrder="0"/>
      <border diagonalUp="0" diagonalDown="0">
        <left/>
        <right/>
        <top/>
        <bottom/>
      </border>
      <protection locked="1" hidden="0"/>
    </dxf>
    <dxf>
      <font>
        <b val="0"/>
        <i val="0"/>
        <strike val="0"/>
        <condense val="0"/>
        <extend val="0"/>
        <outline val="0"/>
        <shadow val="0"/>
        <u val="none"/>
        <vertAlign val="baseline"/>
        <sz val="10"/>
        <color theme="1"/>
        <name val="Calibri"/>
        <scheme val="minor"/>
      </font>
      <numFmt numFmtId="0" formatCode="General"/>
      <fill>
        <patternFill patternType="none">
          <fgColor indexed="64"/>
          <bgColor auto="1"/>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left" vertical="center" textRotation="0" wrapText="0" indent="0" justifyLastLine="0" shrinkToFit="0" readingOrder="0"/>
      <border diagonalUp="0" diagonalDown="0">
        <left/>
        <right/>
        <top/>
        <bottom/>
      </border>
      <protection locked="1" hidden="0"/>
    </dxf>
    <dxf>
      <font>
        <strike val="0"/>
        <outline val="0"/>
        <shadow val="0"/>
        <u val="none"/>
        <vertAlign val="baseline"/>
        <sz val="10"/>
        <name val="Calibri"/>
        <scheme val="minor"/>
      </font>
      <numFmt numFmtId="0" formatCode="General"/>
      <protection locked="1" hidden="0"/>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left" vertical="center" textRotation="0" wrapText="0" indent="0" justifyLastLine="0" shrinkToFit="0" readingOrder="0"/>
      <border diagonalUp="0" diagonalDown="0">
        <left/>
        <right/>
        <top/>
        <bottom/>
      </border>
      <protection locked="1" hidden="0"/>
    </dxf>
    <dxf>
      <font>
        <b val="0"/>
        <i val="0"/>
        <strike val="0"/>
        <condense val="0"/>
        <extend val="0"/>
        <outline val="0"/>
        <shadow val="0"/>
        <u val="none"/>
        <vertAlign val="baseline"/>
        <sz val="10"/>
        <color theme="1"/>
        <name val="Calibri"/>
        <scheme val="minor"/>
      </font>
      <numFmt numFmtId="0" formatCode="General"/>
      <fill>
        <patternFill patternType="none">
          <fgColor indexed="64"/>
          <bgColor auto="1"/>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left" vertical="center" textRotation="0" wrapText="0" indent="0" justifyLastLine="0" shrinkToFit="0" readingOrder="0"/>
      <border diagonalUp="0" diagonalDown="0">
        <left/>
        <right/>
        <top/>
        <bottom/>
      </border>
      <protection locked="1" hidden="0"/>
    </dxf>
    <dxf>
      <font>
        <b val="0"/>
        <i val="0"/>
        <strike val="0"/>
        <condense val="0"/>
        <extend val="0"/>
        <outline val="0"/>
        <shadow val="0"/>
        <u val="none"/>
        <vertAlign val="baseline"/>
        <sz val="10"/>
        <color theme="1"/>
        <name val="Calibri"/>
        <scheme val="minor"/>
      </font>
      <numFmt numFmtId="0" formatCode="General"/>
      <fill>
        <patternFill patternType="none">
          <fgColor indexed="64"/>
          <bgColor auto="1"/>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0"/>
        <color theme="1"/>
        <name val="Microsoft Sans Serif"/>
        <scheme val="none"/>
      </font>
      <numFmt numFmtId="0" formatCode="General"/>
      <fill>
        <patternFill patternType="none">
          <fgColor indexed="64"/>
          <bgColor indexed="65"/>
        </patternFill>
      </fill>
      <alignment horizontal="left" vertical="center" textRotation="0" wrapText="0" indent="0" justifyLastLine="0" shrinkToFit="0" readingOrder="0"/>
      <border diagonalUp="0" diagonalDown="0" outline="0">
        <left/>
        <right/>
        <top/>
        <bottom/>
      </border>
      <protection locked="0" hidden="0"/>
    </dxf>
    <dxf>
      <numFmt numFmtId="0" formatCode="General"/>
    </dxf>
    <dxf>
      <font>
        <b val="0"/>
        <i val="0"/>
        <strike val="0"/>
        <condense val="0"/>
        <extend val="0"/>
        <outline val="0"/>
        <shadow val="0"/>
        <u val="none"/>
        <vertAlign val="baseline"/>
        <sz val="10"/>
        <color theme="1"/>
        <name val="Microsoft Sans Serif"/>
        <scheme val="none"/>
      </font>
      <numFmt numFmtId="0" formatCode="General"/>
      <fill>
        <patternFill patternType="none">
          <fgColor indexed="64"/>
          <bgColor indexed="65"/>
        </patternFill>
      </fill>
      <alignment horizontal="left" vertical="center" textRotation="0" wrapText="0" indent="0" justifyLastLine="0" shrinkToFit="0" readingOrder="0"/>
      <border diagonalUp="0" diagonalDown="0" outline="0">
        <left/>
        <right/>
        <top/>
        <bottom/>
      </border>
      <protection locked="0" hidden="0"/>
    </dxf>
    <dxf>
      <numFmt numFmtId="0" formatCode="General"/>
    </dxf>
    <dxf>
      <font>
        <b val="0"/>
        <i val="0"/>
        <strike val="0"/>
        <condense val="0"/>
        <extend val="0"/>
        <outline val="0"/>
        <shadow val="0"/>
        <u val="none"/>
        <vertAlign val="baseline"/>
        <sz val="10"/>
        <color theme="1"/>
        <name val="Microsoft Sans Serif"/>
        <scheme val="none"/>
      </font>
      <numFmt numFmtId="0" formatCode="General"/>
      <fill>
        <patternFill patternType="none">
          <fgColor indexed="64"/>
          <bgColor indexed="65"/>
        </patternFill>
      </fill>
      <alignment horizontal="left" vertical="center" textRotation="0" wrapText="0" indent="0" justifyLastLine="0" shrinkToFit="0" readingOrder="0"/>
      <border diagonalUp="0" diagonalDown="0" outline="0">
        <left/>
        <right/>
        <top/>
        <bottom/>
      </border>
      <protection locked="0" hidden="0"/>
    </dxf>
    <dxf>
      <numFmt numFmtId="0" formatCode="General"/>
    </dxf>
    <dxf>
      <font>
        <b val="0"/>
        <i val="0"/>
        <strike val="0"/>
        <condense val="0"/>
        <extend val="0"/>
        <outline val="0"/>
        <shadow val="0"/>
        <u val="none"/>
        <vertAlign val="baseline"/>
        <sz val="10"/>
        <color theme="1"/>
        <name val="Microsoft Sans Serif"/>
        <scheme val="none"/>
      </font>
      <numFmt numFmtId="0" formatCode="General"/>
      <fill>
        <patternFill patternType="none">
          <fgColor indexed="64"/>
          <bgColor indexed="65"/>
        </patternFill>
      </fill>
      <alignment horizontal="left" vertical="center" textRotation="0" wrapText="0" indent="0" justifyLastLine="0" shrinkToFit="0" readingOrder="0"/>
      <border diagonalUp="0" diagonalDown="0" outline="0">
        <left/>
        <right/>
        <top/>
        <bottom/>
      </border>
      <protection locked="0" hidden="0"/>
    </dxf>
    <dxf>
      <numFmt numFmtId="0" formatCode="General"/>
    </dxf>
    <dxf>
      <font>
        <b val="0"/>
        <i val="0"/>
        <strike val="0"/>
        <condense val="0"/>
        <extend val="0"/>
        <outline val="0"/>
        <shadow val="0"/>
        <u val="none"/>
        <vertAlign val="baseline"/>
        <sz val="10"/>
        <color theme="1"/>
        <name val="Microsoft Sans Serif"/>
        <scheme val="none"/>
      </font>
      <numFmt numFmtId="0" formatCode="General"/>
      <fill>
        <patternFill patternType="none">
          <fgColor indexed="64"/>
          <bgColor indexed="65"/>
        </patternFill>
      </fill>
      <alignment horizontal="left" vertical="center" textRotation="0" wrapText="0" indent="0" justifyLastLine="0" shrinkToFit="0" readingOrder="0"/>
      <border diagonalUp="0" diagonalDown="0" outline="0">
        <left/>
        <right/>
        <top/>
        <bottom/>
      </border>
      <protection locked="0" hidden="0"/>
    </dxf>
    <dxf>
      <numFmt numFmtId="0" formatCode="General"/>
    </dxf>
    <dxf>
      <font>
        <b val="0"/>
        <i val="0"/>
        <strike val="0"/>
        <condense val="0"/>
        <extend val="0"/>
        <outline val="0"/>
        <shadow val="0"/>
        <u val="none"/>
        <vertAlign val="baseline"/>
        <sz val="10"/>
        <color theme="1"/>
        <name val="Microsoft Sans Serif"/>
        <scheme val="none"/>
      </font>
      <numFmt numFmtId="0" formatCode="General"/>
      <fill>
        <patternFill patternType="none">
          <fgColor indexed="64"/>
          <bgColor indexed="65"/>
        </patternFill>
      </fill>
      <alignment horizontal="left" vertical="center" textRotation="0" wrapText="0" indent="0" justifyLastLine="0" shrinkToFit="0" readingOrder="0"/>
      <border diagonalUp="0" diagonalDown="0" outline="0">
        <left/>
        <right/>
        <top/>
        <bottom/>
      </border>
      <protection locked="0" hidden="0"/>
    </dxf>
    <dxf>
      <numFmt numFmtId="0" formatCode="General"/>
    </dxf>
    <dxf>
      <font>
        <b val="0"/>
        <i val="0"/>
        <strike val="0"/>
        <condense val="0"/>
        <extend val="0"/>
        <outline val="0"/>
        <shadow val="0"/>
        <u val="none"/>
        <vertAlign val="baseline"/>
        <sz val="10"/>
        <color theme="1"/>
        <name val="Microsoft Sans Serif"/>
        <scheme val="none"/>
      </font>
      <numFmt numFmtId="0" formatCode="General"/>
      <fill>
        <patternFill patternType="none">
          <fgColor indexed="64"/>
          <bgColor indexed="65"/>
        </patternFill>
      </fill>
      <alignment horizontal="left" vertical="center" textRotation="0" wrapText="0" indent="0" justifyLastLine="0" shrinkToFit="0" readingOrder="0"/>
      <border diagonalUp="0" diagonalDown="0" outline="0">
        <left/>
        <right/>
        <top/>
        <bottom/>
      </border>
      <protection locked="0" hidden="0"/>
    </dxf>
    <dxf>
      <numFmt numFmtId="0" formatCode="General"/>
    </dxf>
    <dxf>
      <font>
        <b val="0"/>
        <i val="0"/>
        <strike val="0"/>
        <condense val="0"/>
        <extend val="0"/>
        <outline val="0"/>
        <shadow val="0"/>
        <u val="none"/>
        <vertAlign val="baseline"/>
        <sz val="10"/>
        <color theme="1"/>
        <name val="Microsoft Sans Serif"/>
        <scheme val="none"/>
      </font>
      <numFmt numFmtId="0" formatCode="General"/>
      <fill>
        <patternFill patternType="none">
          <fgColor indexed="64"/>
          <bgColor indexed="65"/>
        </patternFill>
      </fill>
      <alignment horizontal="left" vertical="center" textRotation="0" wrapText="0" indent="0" justifyLastLine="0" shrinkToFit="0" readingOrder="0"/>
      <border diagonalUp="0" diagonalDown="0" outline="0">
        <left/>
        <right/>
        <top/>
        <bottom/>
      </border>
      <protection locked="0" hidden="0"/>
    </dxf>
    <dxf>
      <numFmt numFmtId="0" formatCode="General"/>
    </dxf>
    <dxf>
      <font>
        <b val="0"/>
        <i val="0"/>
        <strike val="0"/>
        <condense val="0"/>
        <extend val="0"/>
        <outline val="0"/>
        <shadow val="0"/>
        <u val="none"/>
        <vertAlign val="baseline"/>
        <sz val="10"/>
        <color theme="1"/>
        <name val="Microsoft Sans Serif"/>
        <scheme val="none"/>
      </font>
      <numFmt numFmtId="0" formatCode="General"/>
      <fill>
        <patternFill patternType="none">
          <fgColor indexed="64"/>
          <bgColor indexed="65"/>
        </patternFill>
      </fill>
      <alignment horizontal="left" vertical="center" textRotation="0" wrapText="0" indent="0" justifyLastLine="0" shrinkToFit="0" readingOrder="0"/>
      <border diagonalUp="0" diagonalDown="0" outline="0">
        <left/>
        <right/>
        <top/>
        <bottom/>
      </border>
      <protection locked="0" hidden="0"/>
    </dxf>
    <dxf>
      <font>
        <b val="0"/>
        <i val="0"/>
        <strike val="0"/>
        <condense val="0"/>
        <extend val="0"/>
        <outline val="0"/>
        <shadow val="0"/>
        <u val="none"/>
        <vertAlign val="baseline"/>
        <sz val="10"/>
        <color theme="1"/>
        <name val="Calibri"/>
        <scheme val="minor"/>
      </font>
      <fill>
        <patternFill patternType="none">
          <fgColor indexed="64"/>
          <bgColor auto="1"/>
        </patternFill>
      </fill>
      <alignment horizontal="left" vertical="center" textRotation="0" wrapText="1" indent="0" justifyLastLine="0" shrinkToFit="0" readingOrder="0"/>
      <protection locked="0" hidden="0"/>
    </dxf>
    <dxf>
      <font>
        <b val="0"/>
        <i val="0"/>
        <strike val="0"/>
        <condense val="0"/>
        <extend val="0"/>
        <outline val="0"/>
        <shadow val="0"/>
        <u val="none"/>
        <vertAlign val="baseline"/>
        <sz val="10"/>
        <color theme="1"/>
        <name val="Microsoft Sans Serif"/>
        <scheme val="none"/>
      </font>
      <numFmt numFmtId="0" formatCode="General"/>
      <fill>
        <patternFill patternType="none">
          <fgColor indexed="64"/>
          <bgColor indexed="65"/>
        </patternFill>
      </fill>
      <alignment horizontal="left" vertical="center" textRotation="0" wrapText="0" indent="0" justifyLastLine="0" shrinkToFit="0" readingOrder="0"/>
      <border diagonalUp="0" diagonalDown="0" outline="0">
        <left/>
        <right/>
        <top/>
        <bottom/>
      </border>
      <protection locked="0" hidden="0"/>
    </dxf>
    <dxf>
      <font>
        <b val="0"/>
        <i val="0"/>
        <strike val="0"/>
        <condense val="0"/>
        <extend val="0"/>
        <outline val="0"/>
        <shadow val="0"/>
        <u val="none"/>
        <vertAlign val="baseline"/>
        <sz val="10"/>
        <color theme="1"/>
        <name val="Calibri"/>
        <scheme val="minor"/>
      </font>
      <fill>
        <patternFill patternType="none">
          <fgColor indexed="64"/>
          <bgColor auto="1"/>
        </patternFill>
      </fill>
      <alignment horizontal="left" vertical="center" textRotation="0" wrapText="1" indent="0" justifyLastLine="0" shrinkToFit="0" readingOrder="0"/>
      <protection locked="0" hidden="0"/>
    </dxf>
    <dxf>
      <font>
        <b val="0"/>
        <i val="0"/>
        <strike val="0"/>
        <condense val="0"/>
        <extend val="0"/>
        <outline val="0"/>
        <shadow val="0"/>
        <u val="none"/>
        <vertAlign val="baseline"/>
        <sz val="10"/>
        <color theme="1"/>
        <name val="Microsoft Sans Serif"/>
        <scheme val="none"/>
      </font>
      <numFmt numFmtId="0" formatCode="General"/>
      <fill>
        <patternFill patternType="none">
          <fgColor indexed="64"/>
          <bgColor indexed="65"/>
        </patternFill>
      </fill>
      <alignment horizontal="left" vertical="center" textRotation="0" wrapText="0" indent="0" justifyLastLine="0" shrinkToFit="0" readingOrder="0"/>
      <border diagonalUp="0" diagonalDown="0" outline="0">
        <left/>
        <right/>
        <top/>
        <bottom/>
      </border>
      <protection locked="0" hidden="0"/>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left" vertical="center" textRotation="0" wrapText="1" indent="0" justifyLastLine="0" shrinkToFit="0" readingOrder="0"/>
      <protection locked="0" hidden="0"/>
    </dxf>
    <dxf>
      <font>
        <b val="0"/>
        <i val="0"/>
        <strike val="0"/>
        <condense val="0"/>
        <extend val="0"/>
        <outline val="0"/>
        <shadow val="0"/>
        <u val="none"/>
        <vertAlign val="baseline"/>
        <sz val="10"/>
        <color theme="1"/>
        <name val="Microsoft Sans Serif"/>
        <scheme val="none"/>
      </font>
      <numFmt numFmtId="0" formatCode="General"/>
      <fill>
        <patternFill patternType="none">
          <fgColor indexed="64"/>
          <bgColor indexed="65"/>
        </patternFill>
      </fill>
      <alignment horizontal="left" vertical="center" textRotation="0" wrapText="0" indent="0" justifyLastLine="0" shrinkToFit="0" readingOrder="0"/>
      <border diagonalUp="0" diagonalDown="0" outline="0">
        <left/>
        <right/>
        <top/>
        <bottom/>
      </border>
      <protection locked="0" hidden="0"/>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left" vertical="center" textRotation="0" wrapText="1" indent="0" justifyLastLine="0" shrinkToFit="0" readingOrder="0"/>
      <protection locked="0" hidden="0"/>
    </dxf>
    <dxf>
      <font>
        <b val="0"/>
        <i val="0"/>
        <strike val="0"/>
        <condense val="0"/>
        <extend val="0"/>
        <outline val="0"/>
        <shadow val="0"/>
        <u val="none"/>
        <vertAlign val="baseline"/>
        <sz val="10"/>
        <color theme="1"/>
        <name val="Microsoft Sans Serif"/>
        <scheme val="none"/>
      </font>
      <numFmt numFmtId="0" formatCode="General"/>
      <fill>
        <patternFill patternType="none">
          <fgColor indexed="64"/>
          <bgColor indexed="65"/>
        </patternFill>
      </fill>
      <alignment horizontal="left" vertical="center" textRotation="0" wrapText="0" indent="0" justifyLastLine="0" shrinkToFit="0" readingOrder="0"/>
      <border diagonalUp="0" diagonalDown="0" outline="0">
        <left/>
        <right/>
        <top/>
        <bottom/>
      </border>
      <protection locked="0" hidden="0"/>
    </dxf>
    <dxf>
      <font>
        <strike val="0"/>
        <outline val="0"/>
        <shadow val="0"/>
        <u val="none"/>
        <vertAlign val="baseline"/>
        <sz val="10"/>
        <name val="Calibri"/>
        <scheme val="minor"/>
      </font>
      <protection locked="0" hidden="0"/>
    </dxf>
    <dxf>
      <font>
        <b val="0"/>
        <i val="0"/>
        <strike val="0"/>
        <condense val="0"/>
        <extend val="0"/>
        <outline val="0"/>
        <shadow val="0"/>
        <u val="none"/>
        <vertAlign val="baseline"/>
        <sz val="10"/>
        <color theme="1"/>
        <name val="Microsoft Sans Serif"/>
        <scheme val="none"/>
      </font>
      <numFmt numFmtId="0" formatCode="General"/>
      <fill>
        <patternFill patternType="none">
          <fgColor indexed="64"/>
          <bgColor indexed="65"/>
        </patternFill>
      </fill>
      <alignment horizontal="left" vertical="center" textRotation="0" wrapText="0" indent="0" justifyLastLine="0" shrinkToFit="0" readingOrder="0"/>
      <border diagonalUp="0" diagonalDown="0" outline="0">
        <left/>
        <right/>
        <top/>
        <bottom/>
      </border>
      <protection locked="0" hidden="0"/>
    </dxf>
    <dxf>
      <font>
        <b val="0"/>
        <i val="0"/>
        <strike val="0"/>
        <condense val="0"/>
        <extend val="0"/>
        <outline val="0"/>
        <shadow val="0"/>
        <u val="none"/>
        <vertAlign val="baseline"/>
        <sz val="10"/>
        <color theme="1"/>
        <name val="Calibri"/>
        <scheme val="minor"/>
      </font>
      <fill>
        <patternFill patternType="none">
          <fgColor indexed="64"/>
          <bgColor auto="1"/>
        </patternFill>
      </fill>
      <alignment horizontal="left" vertical="center" textRotation="0" wrapText="0" indent="0" justifyLastLine="0" shrinkToFit="0" readingOrder="0"/>
      <protection locked="0" hidden="0"/>
    </dxf>
    <dxf>
      <font>
        <b val="0"/>
        <i val="0"/>
        <strike val="0"/>
        <condense val="0"/>
        <extend val="0"/>
        <outline val="0"/>
        <shadow val="0"/>
        <u val="none"/>
        <vertAlign val="baseline"/>
        <sz val="10"/>
        <color theme="1"/>
        <name val="Microsoft Sans Serif"/>
        <scheme val="none"/>
      </font>
      <numFmt numFmtId="0" formatCode="General"/>
      <fill>
        <patternFill patternType="none">
          <fgColor indexed="64"/>
          <bgColor indexed="65"/>
        </patternFill>
      </fill>
      <alignment horizontal="left" vertical="center" textRotation="0" wrapText="0" indent="0" justifyLastLine="0" shrinkToFit="0" readingOrder="0"/>
      <border diagonalUp="0" diagonalDown="0" outline="0">
        <left/>
        <right/>
        <top/>
        <bottom/>
      </border>
      <protection locked="0" hidden="0"/>
    </dxf>
    <dxf>
      <font>
        <b val="0"/>
        <i val="0"/>
        <strike val="0"/>
        <condense val="0"/>
        <extend val="0"/>
        <outline val="0"/>
        <shadow val="0"/>
        <u val="none"/>
        <vertAlign val="baseline"/>
        <sz val="10"/>
        <color theme="1"/>
        <name val="Calibri"/>
        <scheme val="minor"/>
      </font>
      <numFmt numFmtId="19" formatCode="dd/mm/yyyy"/>
      <fill>
        <patternFill patternType="none">
          <fgColor indexed="64"/>
          <bgColor auto="1"/>
        </patternFill>
      </fill>
      <alignment horizontal="left" vertical="center" textRotation="0" wrapText="0" indent="0" justifyLastLine="0" shrinkToFit="0" readingOrder="0"/>
      <protection locked="0" hidden="0"/>
    </dxf>
    <dxf>
      <font>
        <b val="0"/>
        <i val="0"/>
        <strike val="0"/>
        <condense val="0"/>
        <extend val="0"/>
        <outline val="0"/>
        <shadow val="0"/>
        <u val="none"/>
        <vertAlign val="baseline"/>
        <sz val="10"/>
        <color theme="1"/>
        <name val="Microsoft Sans Serif"/>
        <scheme val="none"/>
      </font>
      <numFmt numFmtId="0" formatCode="General"/>
      <fill>
        <patternFill patternType="none">
          <fgColor indexed="64"/>
          <bgColor indexed="65"/>
        </patternFill>
      </fill>
      <alignment horizontal="left" vertical="center" textRotation="0" wrapText="0" indent="0" justifyLastLine="0" shrinkToFit="0" readingOrder="0"/>
      <border diagonalUp="0" diagonalDown="0" outline="0">
        <left/>
        <right/>
        <top/>
        <bottom/>
      </border>
      <protection locked="0" hidden="0"/>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left" vertical="center" textRotation="0" wrapText="0" indent="0" justifyLastLine="0" shrinkToFit="0" readingOrder="0"/>
      <protection locked="0" hidden="0"/>
    </dxf>
    <dxf>
      <font>
        <b val="0"/>
        <i val="0"/>
        <strike val="0"/>
        <condense val="0"/>
        <extend val="0"/>
        <outline val="0"/>
        <shadow val="0"/>
        <u val="none"/>
        <vertAlign val="baseline"/>
        <sz val="10"/>
        <color theme="1"/>
        <name val="Microsoft Sans Serif"/>
        <scheme val="none"/>
      </font>
      <numFmt numFmtId="0" formatCode="General"/>
      <fill>
        <patternFill patternType="none">
          <fgColor indexed="64"/>
          <bgColor indexed="65"/>
        </patternFill>
      </fill>
      <alignment horizontal="left" vertical="center" textRotation="0" wrapText="0" indent="0" justifyLastLine="0" shrinkToFit="0" readingOrder="0"/>
      <border diagonalUp="0" diagonalDown="0" outline="0">
        <left/>
        <right/>
        <top/>
        <bottom/>
      </border>
      <protection locked="0" hidden="0"/>
    </dxf>
    <dxf>
      <font>
        <b val="0"/>
        <i val="0"/>
        <strike val="0"/>
        <condense val="0"/>
        <extend val="0"/>
        <outline val="0"/>
        <shadow val="0"/>
        <u val="none"/>
        <vertAlign val="baseline"/>
        <sz val="10"/>
        <color theme="1"/>
        <name val="Calibri"/>
        <scheme val="minor"/>
      </font>
      <numFmt numFmtId="0" formatCode="General"/>
      <fill>
        <patternFill patternType="none">
          <fgColor indexed="64"/>
          <bgColor indexed="65"/>
        </patternFill>
      </fill>
      <alignment horizontal="left" vertical="center" textRotation="0" wrapText="0" indent="0" justifyLastLine="0" shrinkToFit="0" readingOrder="0"/>
      <protection locked="0" hidden="0"/>
    </dxf>
    <dxf>
      <font>
        <b val="0"/>
        <i val="0"/>
        <strike val="0"/>
        <condense val="0"/>
        <extend val="0"/>
        <outline val="0"/>
        <shadow val="0"/>
        <u val="none"/>
        <vertAlign val="baseline"/>
        <sz val="10"/>
        <color theme="1"/>
        <name val="Microsoft Sans Serif"/>
        <scheme val="none"/>
      </font>
      <numFmt numFmtId="0" formatCode="General"/>
      <fill>
        <patternFill patternType="none">
          <fgColor indexed="64"/>
          <bgColor indexed="65"/>
        </patternFill>
      </fill>
      <alignment horizontal="left" vertical="center" textRotation="0" wrapText="0" indent="0" justifyLastLine="0" shrinkToFit="0" readingOrder="0"/>
      <border diagonalUp="0" diagonalDown="0" outline="0">
        <left/>
        <right/>
        <top/>
        <bottom/>
      </border>
      <protection locked="0" hidden="0"/>
    </dxf>
    <dxf>
      <font>
        <b val="0"/>
        <i val="0"/>
        <strike val="0"/>
        <condense val="0"/>
        <extend val="0"/>
        <outline val="0"/>
        <shadow val="0"/>
        <u val="none"/>
        <vertAlign val="baseline"/>
        <sz val="10"/>
        <color theme="1"/>
        <name val="Calibri"/>
        <scheme val="minor"/>
      </font>
      <numFmt numFmtId="0" formatCode="General"/>
      <fill>
        <patternFill patternType="none">
          <fgColor indexed="64"/>
          <bgColor indexed="65"/>
        </patternFill>
      </fill>
      <alignment horizontal="left" vertical="center" textRotation="0" wrapText="0" indent="0" justifyLastLine="0" shrinkToFit="0" readingOrder="0"/>
      <protection locked="0" hidden="0"/>
    </dxf>
    <dxf>
      <font>
        <b val="0"/>
        <i val="0"/>
        <strike val="0"/>
        <condense val="0"/>
        <extend val="0"/>
        <outline val="0"/>
        <shadow val="0"/>
        <u val="none"/>
        <vertAlign val="baseline"/>
        <sz val="10"/>
        <color theme="1"/>
        <name val="Microsoft Sans Serif"/>
        <scheme val="none"/>
      </font>
      <numFmt numFmtId="0" formatCode="General"/>
      <fill>
        <patternFill patternType="none">
          <fgColor indexed="64"/>
          <bgColor indexed="65"/>
        </patternFill>
      </fill>
      <alignment horizontal="left" vertical="center" textRotation="0" wrapText="0" indent="0" justifyLastLine="0" shrinkToFit="0" readingOrder="0"/>
      <border diagonalUp="0" diagonalDown="0" outline="0">
        <left/>
        <right/>
        <top/>
        <bottom/>
      </border>
      <protection locked="0" hidden="0"/>
    </dxf>
    <dxf>
      <font>
        <b val="0"/>
        <i val="0"/>
        <strike val="0"/>
        <condense val="0"/>
        <extend val="0"/>
        <outline val="0"/>
        <shadow val="0"/>
        <u val="none"/>
        <vertAlign val="baseline"/>
        <sz val="10"/>
        <color theme="1"/>
        <name val="Calibri"/>
        <scheme val="minor"/>
      </font>
      <numFmt numFmtId="0" formatCode="General"/>
      <fill>
        <patternFill patternType="none">
          <fgColor indexed="64"/>
          <bgColor indexed="65"/>
        </patternFill>
      </fill>
      <alignment horizontal="left" vertical="center" textRotation="0" wrapText="0" indent="0" justifyLastLine="0" shrinkToFit="0" readingOrder="0"/>
      <protection locked="0" hidden="0"/>
    </dxf>
    <dxf>
      <font>
        <b val="0"/>
        <i val="0"/>
        <strike val="0"/>
        <condense val="0"/>
        <extend val="0"/>
        <outline val="0"/>
        <shadow val="0"/>
        <u val="none"/>
        <vertAlign val="baseline"/>
        <sz val="10"/>
        <color theme="1"/>
        <name val="Microsoft Sans Serif"/>
        <scheme val="none"/>
      </font>
      <numFmt numFmtId="0" formatCode="General"/>
      <fill>
        <patternFill patternType="none">
          <fgColor indexed="64"/>
          <bgColor indexed="65"/>
        </patternFill>
      </fill>
      <alignment horizontal="left" vertical="center" textRotation="0" wrapText="0" indent="0" justifyLastLine="0" shrinkToFit="0" readingOrder="0"/>
      <border diagonalUp="0" diagonalDown="0" outline="0">
        <left/>
        <right/>
        <top/>
        <bottom/>
      </border>
      <protection locked="0" hidden="0"/>
    </dxf>
    <dxf>
      <font>
        <b val="0"/>
        <i val="0"/>
        <strike val="0"/>
        <condense val="0"/>
        <extend val="0"/>
        <outline val="0"/>
        <shadow val="0"/>
        <u val="none"/>
        <vertAlign val="baseline"/>
        <sz val="10"/>
        <color theme="1"/>
        <name val="Calibri"/>
        <scheme val="minor"/>
      </font>
      <numFmt numFmtId="0" formatCode="General"/>
      <fill>
        <patternFill patternType="none">
          <fgColor indexed="64"/>
          <bgColor indexed="65"/>
        </patternFill>
      </fill>
      <alignment horizontal="left" vertical="center" textRotation="0" wrapText="0" indent="0" justifyLastLine="0" shrinkToFit="0" readingOrder="0"/>
      <protection locked="0" hidden="0"/>
    </dxf>
    <dxf>
      <font>
        <b val="0"/>
        <i val="0"/>
        <strike val="0"/>
        <condense val="0"/>
        <extend val="0"/>
        <outline val="0"/>
        <shadow val="0"/>
        <u val="none"/>
        <vertAlign val="baseline"/>
        <sz val="10"/>
        <color theme="1"/>
        <name val="Microsoft Sans Serif"/>
        <scheme val="none"/>
      </font>
      <numFmt numFmtId="0" formatCode="General"/>
      <fill>
        <patternFill patternType="none">
          <fgColor indexed="64"/>
          <bgColor indexed="65"/>
        </patternFill>
      </fill>
      <alignment horizontal="left" vertical="center" textRotation="0" wrapText="0" indent="0" justifyLastLine="0" shrinkToFit="0" readingOrder="0"/>
      <border diagonalUp="0" diagonalDown="0" outline="0">
        <left/>
        <right/>
        <top/>
        <bottom/>
      </border>
      <protection locked="0" hidden="0"/>
    </dxf>
    <dxf>
      <font>
        <b val="0"/>
        <i val="0"/>
        <strike val="0"/>
        <condense val="0"/>
        <extend val="0"/>
        <outline val="0"/>
        <shadow val="0"/>
        <u val="none"/>
        <vertAlign val="baseline"/>
        <sz val="10"/>
        <color theme="1"/>
        <name val="Calibri"/>
        <scheme val="minor"/>
      </font>
      <numFmt numFmtId="0" formatCode="General"/>
      <fill>
        <patternFill patternType="none">
          <fgColor indexed="64"/>
          <bgColor indexed="65"/>
        </patternFill>
      </fill>
      <alignment horizontal="left" vertical="center" textRotation="0" wrapText="0" indent="0" justifyLastLine="0" shrinkToFit="0" readingOrder="0"/>
      <protection locked="0" hidden="0"/>
    </dxf>
    <dxf>
      <font>
        <b val="0"/>
        <i val="0"/>
        <strike val="0"/>
        <condense val="0"/>
        <extend val="0"/>
        <outline val="0"/>
        <shadow val="0"/>
        <u val="none"/>
        <vertAlign val="baseline"/>
        <sz val="10"/>
        <color theme="1"/>
        <name val="Microsoft Sans Serif"/>
        <scheme val="none"/>
      </font>
      <numFmt numFmtId="0" formatCode="General"/>
      <fill>
        <patternFill patternType="none">
          <fgColor indexed="64"/>
          <bgColor indexed="65"/>
        </patternFill>
      </fill>
      <alignment horizontal="left" vertical="center" textRotation="0" wrapText="0" indent="0" justifyLastLine="0" shrinkToFit="0" readingOrder="0"/>
      <border diagonalUp="0" diagonalDown="0" outline="0">
        <left/>
        <right/>
        <top/>
        <bottom/>
      </border>
      <protection locked="0" hidden="0"/>
    </dxf>
    <dxf>
      <font>
        <b val="0"/>
        <i val="0"/>
        <strike val="0"/>
        <condense val="0"/>
        <extend val="0"/>
        <outline val="0"/>
        <shadow val="0"/>
        <u val="none"/>
        <vertAlign val="baseline"/>
        <sz val="10"/>
        <color theme="1"/>
        <name val="Calibri"/>
        <scheme val="minor"/>
      </font>
      <numFmt numFmtId="0" formatCode="General"/>
      <fill>
        <patternFill patternType="none">
          <fgColor indexed="64"/>
          <bgColor indexed="65"/>
        </patternFill>
      </fill>
      <alignment horizontal="left" vertical="center" textRotation="0" wrapText="0" indent="0" justifyLastLine="0" shrinkToFit="0" readingOrder="0"/>
      <protection locked="0" hidden="0"/>
    </dxf>
    <dxf>
      <font>
        <b val="0"/>
        <i val="0"/>
        <strike val="0"/>
        <condense val="0"/>
        <extend val="0"/>
        <outline val="0"/>
        <shadow val="0"/>
        <u val="none"/>
        <vertAlign val="baseline"/>
        <sz val="10"/>
        <color theme="1"/>
        <name val="Microsoft Sans Serif"/>
        <scheme val="none"/>
      </font>
      <numFmt numFmtId="0" formatCode="General"/>
      <fill>
        <patternFill patternType="none">
          <fgColor indexed="64"/>
          <bgColor indexed="65"/>
        </patternFill>
      </fill>
      <alignment horizontal="left" vertical="center" textRotation="0" wrapText="0" indent="0" justifyLastLine="0" shrinkToFit="0" readingOrder="0"/>
      <border diagonalUp="0" diagonalDown="0" outline="0">
        <left/>
        <right/>
        <top/>
        <bottom/>
      </border>
      <protection locked="0" hidden="0"/>
    </dxf>
    <dxf>
      <font>
        <b val="0"/>
        <i val="0"/>
        <strike val="0"/>
        <condense val="0"/>
        <extend val="0"/>
        <outline val="0"/>
        <shadow val="0"/>
        <u val="none"/>
        <vertAlign val="baseline"/>
        <sz val="10"/>
        <color theme="1"/>
        <name val="Calibri"/>
        <scheme val="minor"/>
      </font>
      <numFmt numFmtId="0" formatCode="General"/>
      <fill>
        <patternFill patternType="none">
          <fgColor indexed="64"/>
          <bgColor indexed="65"/>
        </patternFill>
      </fill>
      <alignment horizontal="left" vertical="center" textRotation="0" wrapText="0" indent="0" justifyLastLine="0" shrinkToFit="0" readingOrder="0"/>
      <protection locked="0" hidden="0"/>
    </dxf>
    <dxf>
      <font>
        <b val="0"/>
        <i val="0"/>
        <strike val="0"/>
        <condense val="0"/>
        <extend val="0"/>
        <outline val="0"/>
        <shadow val="0"/>
        <u val="none"/>
        <vertAlign val="baseline"/>
        <sz val="10"/>
        <color theme="1"/>
        <name val="Microsoft Sans Serif"/>
        <scheme val="none"/>
      </font>
      <numFmt numFmtId="0" formatCode="General"/>
      <fill>
        <patternFill patternType="none">
          <fgColor indexed="64"/>
          <bgColor indexed="65"/>
        </patternFill>
      </fill>
      <alignment horizontal="left" vertical="center" textRotation="0" wrapText="0" indent="0" justifyLastLine="0" shrinkToFit="0" readingOrder="0"/>
      <border diagonalUp="0" diagonalDown="0" outline="0">
        <left/>
        <right/>
        <top/>
        <bottom/>
      </border>
      <protection locked="0" hidden="0"/>
    </dxf>
    <dxf>
      <font>
        <b val="0"/>
        <i val="0"/>
        <strike val="0"/>
        <condense val="0"/>
        <extend val="0"/>
        <outline val="0"/>
        <shadow val="0"/>
        <u val="none"/>
        <vertAlign val="baseline"/>
        <sz val="10"/>
        <color theme="1"/>
        <name val="Calibri"/>
        <scheme val="minor"/>
      </font>
      <numFmt numFmtId="0" formatCode="General"/>
      <fill>
        <patternFill patternType="none">
          <fgColor indexed="64"/>
          <bgColor indexed="65"/>
        </patternFill>
      </fill>
      <alignment horizontal="left" vertical="center" textRotation="0" wrapText="0" indent="0" justifyLastLine="0" shrinkToFit="0" readingOrder="0"/>
      <protection locked="0" hidden="0"/>
    </dxf>
    <dxf>
      <font>
        <b val="0"/>
        <i val="0"/>
        <strike val="0"/>
        <condense val="0"/>
        <extend val="0"/>
        <outline val="0"/>
        <shadow val="0"/>
        <u val="none"/>
        <vertAlign val="baseline"/>
        <sz val="10"/>
        <color theme="1"/>
        <name val="Microsoft Sans Serif"/>
        <scheme val="none"/>
      </font>
      <numFmt numFmtId="0" formatCode="General"/>
      <fill>
        <patternFill patternType="none">
          <fgColor indexed="64"/>
          <bgColor indexed="65"/>
        </patternFill>
      </fill>
      <alignment horizontal="left" vertical="center" textRotation="0" wrapText="0" indent="0" justifyLastLine="0" shrinkToFit="0" readingOrder="0"/>
      <border diagonalUp="0" diagonalDown="0" outline="0">
        <left/>
        <right/>
        <top/>
        <bottom/>
      </border>
      <protection locked="0" hidden="0"/>
    </dxf>
    <dxf>
      <font>
        <b val="0"/>
        <i val="0"/>
        <strike val="0"/>
        <condense val="0"/>
        <extend val="0"/>
        <outline val="0"/>
        <shadow val="0"/>
        <u val="none"/>
        <vertAlign val="baseline"/>
        <sz val="10"/>
        <color theme="1"/>
        <name val="Calibri"/>
        <scheme val="minor"/>
      </font>
      <numFmt numFmtId="0" formatCode="General"/>
      <fill>
        <patternFill patternType="none">
          <fgColor indexed="64"/>
          <bgColor indexed="65"/>
        </patternFill>
      </fill>
      <alignment horizontal="left" vertical="center" textRotation="0" wrapText="0" indent="0" justifyLastLine="0" shrinkToFit="0" readingOrder="0"/>
      <protection locked="0" hidden="0"/>
    </dxf>
    <dxf>
      <font>
        <b val="0"/>
        <i val="0"/>
        <strike val="0"/>
        <condense val="0"/>
        <extend val="0"/>
        <outline val="0"/>
        <shadow val="0"/>
        <u val="none"/>
        <vertAlign val="baseline"/>
        <sz val="10"/>
        <color theme="1"/>
        <name val="Microsoft Sans Serif"/>
        <scheme val="none"/>
      </font>
      <numFmt numFmtId="0" formatCode="General"/>
      <fill>
        <patternFill patternType="none">
          <fgColor indexed="64"/>
          <bgColor indexed="65"/>
        </patternFill>
      </fill>
      <alignment horizontal="left" vertical="center" textRotation="0" wrapText="0" indent="0" justifyLastLine="0" shrinkToFit="0" readingOrder="0"/>
      <border diagonalUp="0" diagonalDown="0" outline="0">
        <left/>
        <right/>
        <top/>
        <bottom/>
      </border>
      <protection locked="0" hidden="0"/>
    </dxf>
    <dxf>
      <font>
        <b val="0"/>
        <i val="0"/>
        <strike val="0"/>
        <condense val="0"/>
        <extend val="0"/>
        <outline val="0"/>
        <shadow val="0"/>
        <u val="none"/>
        <vertAlign val="baseline"/>
        <sz val="10"/>
        <color theme="1"/>
        <name val="Calibri"/>
        <scheme val="minor"/>
      </font>
      <numFmt numFmtId="0" formatCode="General"/>
      <fill>
        <patternFill patternType="none">
          <fgColor indexed="64"/>
          <bgColor indexed="65"/>
        </patternFill>
      </fill>
      <alignment horizontal="left" vertical="center" textRotation="0" wrapText="0" indent="0" justifyLastLine="0" shrinkToFit="0" readingOrder="0"/>
      <protection locked="0" hidden="0"/>
    </dxf>
    <dxf>
      <font>
        <b val="0"/>
        <i val="0"/>
        <strike val="0"/>
        <condense val="0"/>
        <extend val="0"/>
        <outline val="0"/>
        <shadow val="0"/>
        <u val="none"/>
        <vertAlign val="baseline"/>
        <sz val="10"/>
        <color theme="1"/>
        <name val="Microsoft Sans Serif"/>
        <scheme val="none"/>
      </font>
      <numFmt numFmtId="0" formatCode="General"/>
      <fill>
        <patternFill patternType="none">
          <fgColor indexed="64"/>
          <bgColor indexed="65"/>
        </patternFill>
      </fill>
      <alignment horizontal="left" vertical="center" textRotation="0" wrapText="0" indent="0" justifyLastLine="0" shrinkToFit="0" readingOrder="0"/>
      <border diagonalUp="0" diagonalDown="0" outline="0">
        <left/>
        <right/>
        <top/>
        <bottom/>
      </border>
      <protection locked="0" hidden="0"/>
    </dxf>
    <dxf>
      <font>
        <b val="0"/>
        <i val="0"/>
        <strike val="0"/>
        <condense val="0"/>
        <extend val="0"/>
        <outline val="0"/>
        <shadow val="0"/>
        <u val="none"/>
        <vertAlign val="baseline"/>
        <sz val="10"/>
        <color theme="1"/>
        <name val="Calibri"/>
        <scheme val="minor"/>
      </font>
      <numFmt numFmtId="0" formatCode="General"/>
      <fill>
        <patternFill patternType="none">
          <fgColor indexed="64"/>
          <bgColor indexed="65"/>
        </patternFill>
      </fill>
      <alignment horizontal="left" vertical="center" textRotation="0" wrapText="0" indent="0" justifyLastLine="0" shrinkToFit="0" readingOrder="0"/>
      <protection locked="0" hidden="0"/>
    </dxf>
    <dxf>
      <font>
        <b val="0"/>
        <i val="0"/>
        <strike val="0"/>
        <condense val="0"/>
        <extend val="0"/>
        <outline val="0"/>
        <shadow val="0"/>
        <u val="none"/>
        <vertAlign val="baseline"/>
        <sz val="10"/>
        <color theme="1"/>
        <name val="Microsoft Sans Serif"/>
        <scheme val="none"/>
      </font>
      <numFmt numFmtId="0" formatCode="General"/>
      <fill>
        <patternFill patternType="none">
          <fgColor indexed="64"/>
          <bgColor indexed="65"/>
        </patternFill>
      </fill>
      <alignment horizontal="left" vertical="center" textRotation="0" wrapText="0" indent="0" justifyLastLine="0" shrinkToFit="0" readingOrder="0"/>
      <border diagonalUp="0" diagonalDown="0" outline="0">
        <left/>
        <right/>
        <top/>
        <bottom/>
      </border>
      <protection locked="0" hidden="0"/>
    </dxf>
    <dxf>
      <font>
        <b val="0"/>
        <i val="0"/>
        <strike val="0"/>
        <condense val="0"/>
        <extend val="0"/>
        <outline val="0"/>
        <shadow val="0"/>
        <u val="none"/>
        <vertAlign val="baseline"/>
        <sz val="10"/>
        <color theme="1"/>
        <name val="Calibri"/>
        <scheme val="minor"/>
      </font>
      <numFmt numFmtId="0" formatCode="General"/>
      <fill>
        <patternFill patternType="none">
          <fgColor indexed="64"/>
          <bgColor indexed="65"/>
        </patternFill>
      </fill>
      <alignment horizontal="left" vertical="center" textRotation="0" wrapText="0" indent="0" justifyLastLine="0" shrinkToFit="0" readingOrder="0"/>
      <protection locked="0" hidden="0"/>
    </dxf>
    <dxf>
      <font>
        <b val="0"/>
        <i val="0"/>
        <strike val="0"/>
        <condense val="0"/>
        <extend val="0"/>
        <outline val="0"/>
        <shadow val="0"/>
        <u val="none"/>
        <vertAlign val="baseline"/>
        <sz val="10"/>
        <color theme="1"/>
        <name val="Microsoft Sans Serif"/>
        <scheme val="none"/>
      </font>
      <numFmt numFmtId="0" formatCode="General"/>
      <fill>
        <patternFill patternType="none">
          <fgColor indexed="64"/>
          <bgColor indexed="65"/>
        </patternFill>
      </fill>
      <alignment horizontal="left" vertical="center" textRotation="0" wrapText="0" indent="0" justifyLastLine="0" shrinkToFit="0" readingOrder="0"/>
      <border diagonalUp="0" diagonalDown="0" outline="0">
        <left/>
        <right/>
        <top/>
        <bottom/>
      </border>
      <protection locked="0" hidden="0"/>
    </dxf>
    <dxf>
      <font>
        <b val="0"/>
        <i val="0"/>
        <strike val="0"/>
        <condense val="0"/>
        <extend val="0"/>
        <outline val="0"/>
        <shadow val="0"/>
        <u val="none"/>
        <vertAlign val="baseline"/>
        <sz val="10"/>
        <color theme="1"/>
        <name val="Calibri"/>
        <scheme val="minor"/>
      </font>
      <numFmt numFmtId="0" formatCode="General"/>
      <fill>
        <patternFill patternType="none">
          <fgColor indexed="64"/>
          <bgColor indexed="65"/>
        </patternFill>
      </fill>
      <alignment horizontal="left" vertical="center" textRotation="0" wrapText="0" indent="0" justifyLastLine="0" shrinkToFit="0" readingOrder="0"/>
      <protection locked="0" hidden="0"/>
    </dxf>
    <dxf>
      <font>
        <b val="0"/>
        <i val="0"/>
        <strike val="0"/>
        <condense val="0"/>
        <extend val="0"/>
        <outline val="0"/>
        <shadow val="0"/>
        <u val="none"/>
        <vertAlign val="baseline"/>
        <sz val="10"/>
        <color theme="1"/>
        <name val="Microsoft Sans Serif"/>
        <scheme val="none"/>
      </font>
      <numFmt numFmtId="0" formatCode="General"/>
      <fill>
        <patternFill patternType="none">
          <fgColor indexed="64"/>
          <bgColor indexed="65"/>
        </patternFill>
      </fill>
      <alignment horizontal="left" vertical="center" textRotation="0" wrapText="0" indent="0" justifyLastLine="0" shrinkToFit="0" readingOrder="0"/>
      <border diagonalUp="0" diagonalDown="0" outline="0">
        <left/>
        <right/>
        <top/>
        <bottom/>
      </border>
      <protection locked="0" hidden="0"/>
    </dxf>
    <dxf>
      <font>
        <b val="0"/>
        <i val="0"/>
        <strike val="0"/>
        <condense val="0"/>
        <extend val="0"/>
        <outline val="0"/>
        <shadow val="0"/>
        <u val="none"/>
        <vertAlign val="baseline"/>
        <sz val="10"/>
        <color theme="1"/>
        <name val="Calibri"/>
        <scheme val="minor"/>
      </font>
      <numFmt numFmtId="0" formatCode="General"/>
      <fill>
        <patternFill patternType="none">
          <fgColor indexed="64"/>
          <bgColor indexed="65"/>
        </patternFill>
      </fill>
      <alignment horizontal="left" vertical="center" textRotation="0" wrapText="0" indent="0" justifyLastLine="0" shrinkToFit="0" readingOrder="0"/>
      <protection locked="0" hidden="0"/>
    </dxf>
    <dxf>
      <font>
        <b val="0"/>
        <i val="0"/>
        <strike val="0"/>
        <condense val="0"/>
        <extend val="0"/>
        <outline val="0"/>
        <shadow val="0"/>
        <u val="none"/>
        <vertAlign val="baseline"/>
        <sz val="10"/>
        <color theme="1"/>
        <name val="Microsoft Sans Serif"/>
        <scheme val="none"/>
      </font>
      <numFmt numFmtId="0" formatCode="General"/>
      <fill>
        <patternFill patternType="none">
          <fgColor indexed="64"/>
          <bgColor indexed="65"/>
        </patternFill>
      </fill>
      <alignment horizontal="left" vertical="center" textRotation="0" wrapText="0" indent="0" justifyLastLine="0" shrinkToFit="0" readingOrder="0"/>
      <border diagonalUp="0" diagonalDown="0" outline="0">
        <left/>
        <right/>
        <top/>
        <bottom/>
      </border>
      <protection locked="0" hidden="0"/>
    </dxf>
    <dxf>
      <font>
        <b val="0"/>
        <i val="0"/>
        <strike val="0"/>
        <condense val="0"/>
        <extend val="0"/>
        <outline val="0"/>
        <shadow val="0"/>
        <u val="none"/>
        <vertAlign val="baseline"/>
        <sz val="10"/>
        <color theme="1"/>
        <name val="Calibri"/>
        <scheme val="minor"/>
      </font>
      <numFmt numFmtId="0" formatCode="General"/>
      <fill>
        <patternFill patternType="none">
          <fgColor indexed="64"/>
          <bgColor indexed="65"/>
        </patternFill>
      </fill>
      <alignment horizontal="left" vertical="center" textRotation="0" wrapText="0" indent="0" justifyLastLine="0" shrinkToFit="0" readingOrder="0"/>
      <protection locked="0" hidden="0"/>
    </dxf>
    <dxf>
      <font>
        <b val="0"/>
        <i val="0"/>
        <strike val="0"/>
        <condense val="0"/>
        <extend val="0"/>
        <outline val="0"/>
        <shadow val="0"/>
        <u val="none"/>
        <vertAlign val="baseline"/>
        <sz val="10"/>
        <color theme="1"/>
        <name val="Microsoft Sans Serif"/>
        <scheme val="none"/>
      </font>
      <numFmt numFmtId="0" formatCode="General"/>
      <fill>
        <patternFill patternType="none">
          <fgColor indexed="64"/>
          <bgColor indexed="65"/>
        </patternFill>
      </fill>
      <alignment horizontal="left" vertical="center" textRotation="0" wrapText="0" indent="0" justifyLastLine="0" shrinkToFit="0" readingOrder="0"/>
      <border diagonalUp="0" diagonalDown="0" outline="0">
        <left/>
        <right/>
        <top/>
        <bottom/>
      </border>
      <protection locked="0" hidden="0"/>
    </dxf>
    <dxf>
      <font>
        <b val="0"/>
        <i val="0"/>
        <strike val="0"/>
        <condense val="0"/>
        <extend val="0"/>
        <outline val="0"/>
        <shadow val="0"/>
        <u val="none"/>
        <vertAlign val="baseline"/>
        <sz val="10"/>
        <color theme="1"/>
        <name val="Calibri"/>
        <scheme val="minor"/>
      </font>
      <numFmt numFmtId="19" formatCode="dd/mm/yyyy"/>
      <fill>
        <patternFill patternType="none">
          <fgColor indexed="64"/>
          <bgColor auto="1"/>
        </patternFill>
      </fill>
      <alignment horizontal="left" vertical="center" textRotation="0" wrapText="0" indent="0" justifyLastLine="0" shrinkToFit="0" readingOrder="0"/>
      <protection locked="0" hidden="0"/>
    </dxf>
    <dxf>
      <font>
        <b val="0"/>
        <i val="0"/>
        <strike val="0"/>
        <condense val="0"/>
        <extend val="0"/>
        <outline val="0"/>
        <shadow val="0"/>
        <u val="none"/>
        <vertAlign val="baseline"/>
        <sz val="10"/>
        <color theme="1"/>
        <name val="Microsoft Sans Serif"/>
        <scheme val="none"/>
      </font>
      <numFmt numFmtId="0" formatCode="General"/>
      <fill>
        <patternFill patternType="none">
          <fgColor indexed="64"/>
          <bgColor indexed="65"/>
        </patternFill>
      </fill>
      <alignment horizontal="left" vertical="center" textRotation="0" wrapText="0" indent="0" justifyLastLine="0" shrinkToFit="0" readingOrder="0"/>
      <border diagonalUp="0" diagonalDown="0" outline="0">
        <left/>
        <right/>
        <top/>
        <bottom/>
      </border>
      <protection locked="0" hidden="0"/>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left" vertical="center" textRotation="0" wrapText="0" indent="0" justifyLastLine="0" shrinkToFit="0" readingOrder="0"/>
      <protection locked="0" hidden="0"/>
    </dxf>
    <dxf>
      <font>
        <b val="0"/>
        <i val="0"/>
        <strike val="0"/>
        <condense val="0"/>
        <extend val="0"/>
        <outline val="0"/>
        <shadow val="0"/>
        <u val="none"/>
        <vertAlign val="baseline"/>
        <sz val="10"/>
        <color theme="1"/>
        <name val="Microsoft Sans Serif"/>
        <scheme val="none"/>
      </font>
      <numFmt numFmtId="0" formatCode="General"/>
      <fill>
        <patternFill patternType="none">
          <fgColor indexed="64"/>
          <bgColor indexed="65"/>
        </patternFill>
      </fill>
      <alignment horizontal="left" vertical="center" textRotation="0" wrapText="0" indent="0" justifyLastLine="0" shrinkToFit="0" readingOrder="0"/>
      <border diagonalUp="0" diagonalDown="0" outline="0">
        <left/>
        <right/>
        <top/>
        <bottom/>
      </border>
      <protection locked="0" hidden="0"/>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left" vertical="center" textRotation="0" wrapText="0" indent="0" justifyLastLine="0" shrinkToFit="0" readingOrder="0"/>
      <protection locked="0" hidden="0"/>
    </dxf>
    <dxf>
      <font>
        <b val="0"/>
        <i val="0"/>
        <strike val="0"/>
        <condense val="0"/>
        <extend val="0"/>
        <outline val="0"/>
        <shadow val="0"/>
        <u val="none"/>
        <vertAlign val="baseline"/>
        <sz val="10"/>
        <color theme="1"/>
        <name val="Microsoft Sans Serif"/>
        <scheme val="none"/>
      </font>
      <numFmt numFmtId="0" formatCode="General"/>
      <fill>
        <patternFill patternType="none">
          <fgColor indexed="64"/>
          <bgColor indexed="65"/>
        </patternFill>
      </fill>
      <alignment horizontal="left" vertical="center" textRotation="0" wrapText="0" indent="0" justifyLastLine="0" shrinkToFit="0" readingOrder="0"/>
      <border diagonalUp="0" diagonalDown="0" outline="0">
        <left/>
        <right/>
        <top/>
        <bottom/>
      </border>
      <protection locked="0" hidden="0"/>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left" vertical="center" textRotation="0" wrapText="0" indent="0" justifyLastLine="0" shrinkToFit="0" readingOrder="0"/>
      <protection locked="0" hidden="0"/>
    </dxf>
    <dxf>
      <font>
        <b val="0"/>
        <i val="0"/>
        <strike val="0"/>
        <condense val="0"/>
        <extend val="0"/>
        <outline val="0"/>
        <shadow val="0"/>
        <u val="none"/>
        <vertAlign val="baseline"/>
        <sz val="10"/>
        <color theme="1"/>
        <name val="Microsoft Sans Serif"/>
        <scheme val="none"/>
      </font>
      <numFmt numFmtId="0" formatCode="General"/>
      <fill>
        <patternFill patternType="none">
          <fgColor indexed="64"/>
          <bgColor indexed="65"/>
        </patternFill>
      </fill>
      <alignment horizontal="left" vertical="center" textRotation="0" wrapText="0" indent="0" justifyLastLine="0" shrinkToFit="0" readingOrder="0"/>
      <border diagonalUp="0" diagonalDown="0" outline="0">
        <left/>
        <right/>
        <top/>
        <bottom/>
      </border>
      <protection locked="0" hidden="0"/>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left" vertical="center" textRotation="0" wrapText="0" indent="0" justifyLastLine="0" shrinkToFit="0" readingOrder="0"/>
      <protection locked="0" hidden="0"/>
    </dxf>
    <dxf>
      <font>
        <b val="0"/>
        <i val="0"/>
        <strike val="0"/>
        <condense val="0"/>
        <extend val="0"/>
        <outline val="0"/>
        <shadow val="0"/>
        <u val="none"/>
        <vertAlign val="baseline"/>
        <sz val="10"/>
        <color theme="1"/>
        <name val="Microsoft Sans Serif"/>
        <scheme val="none"/>
      </font>
      <numFmt numFmtId="0" formatCode="General"/>
      <fill>
        <patternFill patternType="none">
          <fgColor indexed="64"/>
          <bgColor indexed="65"/>
        </patternFill>
      </fill>
      <alignment horizontal="left" vertical="center" textRotation="0" wrapText="0" indent="0" justifyLastLine="0" shrinkToFit="0" readingOrder="0"/>
      <border diagonalUp="0" diagonalDown="0" outline="0">
        <left/>
        <right/>
        <top/>
        <bottom/>
      </border>
      <protection locked="0" hidden="0"/>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left" vertical="center" textRotation="0" wrapText="0" indent="0" justifyLastLine="0" shrinkToFit="0" readingOrder="0"/>
      <protection locked="0" hidden="0"/>
    </dxf>
    <dxf>
      <font>
        <b val="0"/>
        <i val="0"/>
        <strike val="0"/>
        <condense val="0"/>
        <extend val="0"/>
        <outline val="0"/>
        <shadow val="0"/>
        <u val="none"/>
        <vertAlign val="baseline"/>
        <sz val="10"/>
        <color theme="1"/>
        <name val="Microsoft Sans Serif"/>
        <scheme val="none"/>
      </font>
      <numFmt numFmtId="0" formatCode="General"/>
      <fill>
        <patternFill patternType="none">
          <fgColor indexed="64"/>
          <bgColor indexed="65"/>
        </patternFill>
      </fill>
      <alignment horizontal="left" vertical="center" textRotation="0" wrapText="0" indent="0" justifyLastLine="0" shrinkToFit="0" readingOrder="0"/>
      <border diagonalUp="0" diagonalDown="0" outline="0">
        <left/>
        <right/>
        <top/>
        <bottom/>
      </border>
      <protection locked="0" hidden="0"/>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left" vertical="center" textRotation="0" wrapText="0" indent="0" justifyLastLine="0" shrinkToFit="0" readingOrder="0"/>
      <protection locked="0" hidden="0"/>
    </dxf>
    <dxf>
      <font>
        <b val="0"/>
        <i val="0"/>
        <strike val="0"/>
        <condense val="0"/>
        <extend val="0"/>
        <outline val="0"/>
        <shadow val="0"/>
        <u val="none"/>
        <vertAlign val="baseline"/>
        <sz val="10"/>
        <color theme="1"/>
        <name val="Microsoft Sans Serif"/>
        <scheme val="none"/>
      </font>
      <numFmt numFmtId="0" formatCode="General"/>
      <fill>
        <patternFill patternType="none">
          <fgColor indexed="64"/>
          <bgColor indexed="65"/>
        </patternFill>
      </fill>
      <alignment horizontal="left" vertical="center" textRotation="0" wrapText="0" indent="0" justifyLastLine="0" shrinkToFit="0" readingOrder="0"/>
      <border diagonalUp="0" diagonalDown="0" outline="0">
        <left/>
        <right/>
        <top/>
        <bottom/>
      </border>
      <protection locked="0" hidden="0"/>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left" vertical="center" textRotation="0" wrapText="0" indent="0" justifyLastLine="0" shrinkToFit="0" readingOrder="0"/>
      <protection locked="0" hidden="0"/>
    </dxf>
    <dxf>
      <font>
        <b val="0"/>
        <i val="0"/>
        <strike val="0"/>
        <condense val="0"/>
        <extend val="0"/>
        <outline val="0"/>
        <shadow val="0"/>
        <u val="none"/>
        <vertAlign val="baseline"/>
        <sz val="10"/>
        <color theme="1"/>
        <name val="Microsoft Sans Serif"/>
        <scheme val="none"/>
      </font>
      <numFmt numFmtId="0" formatCode="General"/>
      <fill>
        <patternFill patternType="none">
          <fgColor indexed="64"/>
          <bgColor indexed="65"/>
        </patternFill>
      </fill>
      <alignment horizontal="left" vertical="center" textRotation="0" wrapText="0" indent="0" justifyLastLine="0" shrinkToFit="0" readingOrder="0"/>
      <border diagonalUp="0" diagonalDown="0" outline="0">
        <left/>
        <right/>
        <top/>
        <bottom/>
      </border>
      <protection locked="0" hidden="0"/>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left" vertical="center" textRotation="0" wrapText="0" indent="0" justifyLastLine="0" shrinkToFit="0" readingOrder="0"/>
      <protection locked="0" hidden="0"/>
    </dxf>
    <dxf>
      <font>
        <b val="0"/>
        <i val="0"/>
        <strike val="0"/>
        <condense val="0"/>
        <extend val="0"/>
        <outline val="0"/>
        <shadow val="0"/>
        <u val="none"/>
        <vertAlign val="baseline"/>
        <sz val="10"/>
        <color theme="1"/>
        <name val="Microsoft Sans Serif"/>
        <scheme val="none"/>
      </font>
      <numFmt numFmtId="0" formatCode="General"/>
      <fill>
        <patternFill patternType="none">
          <fgColor indexed="64"/>
          <bgColor indexed="65"/>
        </patternFill>
      </fill>
      <alignment horizontal="left" vertical="center" textRotation="0" wrapText="0" indent="0" justifyLastLine="0" shrinkToFit="0" readingOrder="0"/>
      <border diagonalUp="0" diagonalDown="0" outline="0">
        <left/>
        <right/>
        <top/>
        <bottom/>
      </border>
      <protection locked="0" hidden="0"/>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left" vertical="center" textRotation="0" wrapText="0" indent="0" justifyLastLine="0" shrinkToFit="0" readingOrder="0"/>
      <protection locked="0" hidden="0"/>
    </dxf>
    <dxf>
      <font>
        <b val="0"/>
        <i val="0"/>
        <strike val="0"/>
        <condense val="0"/>
        <extend val="0"/>
        <outline val="0"/>
        <shadow val="0"/>
        <u val="none"/>
        <vertAlign val="baseline"/>
        <sz val="10"/>
        <color theme="1"/>
        <name val="Microsoft Sans Serif"/>
        <scheme val="none"/>
      </font>
      <numFmt numFmtId="0" formatCode="General"/>
      <fill>
        <patternFill patternType="none">
          <fgColor indexed="64"/>
          <bgColor indexed="65"/>
        </patternFill>
      </fill>
      <alignment horizontal="left" vertical="center" textRotation="0" wrapText="0" indent="0" justifyLastLine="0" shrinkToFit="0" readingOrder="0"/>
      <border diagonalUp="0" diagonalDown="0" outline="0">
        <left/>
        <right/>
        <top/>
        <bottom/>
      </border>
      <protection locked="0" hidden="0"/>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left" vertical="center" textRotation="0" wrapText="0" indent="0" justifyLastLine="0" shrinkToFit="0" readingOrder="0"/>
      <protection locked="0" hidden="0"/>
    </dxf>
    <dxf>
      <font>
        <b val="0"/>
        <i val="0"/>
        <strike val="0"/>
        <condense val="0"/>
        <extend val="0"/>
        <outline val="0"/>
        <shadow val="0"/>
        <u val="none"/>
        <vertAlign val="baseline"/>
        <sz val="10"/>
        <color theme="1"/>
        <name val="Microsoft Sans Serif"/>
        <scheme val="none"/>
      </font>
      <numFmt numFmtId="0" formatCode="General"/>
      <fill>
        <patternFill patternType="none">
          <fgColor indexed="64"/>
          <bgColor indexed="65"/>
        </patternFill>
      </fill>
      <alignment horizontal="left" vertical="center" textRotation="0" wrapText="0" indent="0" justifyLastLine="0" shrinkToFit="0" readingOrder="0"/>
      <border diagonalUp="0" diagonalDown="0" outline="0">
        <left/>
        <right/>
        <top/>
        <bottom/>
      </border>
      <protection locked="0" hidden="0"/>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left" vertical="center" textRotation="0" wrapText="0" indent="0" justifyLastLine="0" shrinkToFit="0" readingOrder="0"/>
      <protection locked="0" hidden="0"/>
    </dxf>
    <dxf>
      <font>
        <b val="0"/>
        <i val="0"/>
        <strike val="0"/>
        <condense val="0"/>
        <extend val="0"/>
        <outline val="0"/>
        <shadow val="0"/>
        <u val="none"/>
        <vertAlign val="baseline"/>
        <sz val="10"/>
        <color theme="1"/>
        <name val="Microsoft Sans Serif"/>
        <scheme val="none"/>
      </font>
      <numFmt numFmtId="0" formatCode="General"/>
      <fill>
        <patternFill patternType="none">
          <fgColor indexed="64"/>
          <bgColor indexed="65"/>
        </patternFill>
      </fill>
      <alignment horizontal="left" vertical="center" textRotation="0" wrapText="0" indent="0" justifyLastLine="0" shrinkToFit="0" readingOrder="0"/>
      <border diagonalUp="0" diagonalDown="0" outline="0">
        <left/>
        <right/>
        <top/>
        <bottom/>
      </border>
      <protection locked="0" hidden="0"/>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left" vertical="center" textRotation="0" wrapText="0" indent="0" justifyLastLine="0" shrinkToFit="0" readingOrder="0"/>
      <protection locked="0" hidden="0"/>
    </dxf>
    <dxf>
      <font>
        <b val="0"/>
        <i val="0"/>
        <strike val="0"/>
        <condense val="0"/>
        <extend val="0"/>
        <outline val="0"/>
        <shadow val="0"/>
        <u val="none"/>
        <vertAlign val="baseline"/>
        <sz val="10"/>
        <color theme="1"/>
        <name val="Microsoft Sans Serif"/>
        <scheme val="none"/>
      </font>
      <numFmt numFmtId="0" formatCode="General"/>
      <fill>
        <patternFill patternType="none">
          <fgColor indexed="64"/>
          <bgColor indexed="65"/>
        </patternFill>
      </fill>
      <alignment horizontal="left" vertical="center" textRotation="0" wrapText="0" indent="0" justifyLastLine="0" shrinkToFit="0" readingOrder="0"/>
      <border diagonalUp="0" diagonalDown="0" outline="0">
        <left/>
        <right/>
        <top/>
        <bottom/>
      </border>
      <protection locked="0" hidden="0"/>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left" vertical="center" textRotation="0" wrapText="0" indent="0" justifyLastLine="0" shrinkToFit="0" readingOrder="0"/>
      <protection locked="0" hidden="0"/>
    </dxf>
    <dxf>
      <font>
        <b val="0"/>
        <i val="0"/>
        <strike val="0"/>
        <condense val="0"/>
        <extend val="0"/>
        <outline val="0"/>
        <shadow val="0"/>
        <u val="none"/>
        <vertAlign val="baseline"/>
        <sz val="10"/>
        <color theme="1"/>
        <name val="Microsoft Sans Serif"/>
        <scheme val="none"/>
      </font>
      <numFmt numFmtId="0" formatCode="General"/>
      <fill>
        <patternFill patternType="none">
          <fgColor indexed="64"/>
          <bgColor indexed="65"/>
        </patternFill>
      </fill>
      <alignment horizontal="left" vertical="center" textRotation="0" wrapText="0" indent="0" justifyLastLine="0" shrinkToFit="0" readingOrder="0"/>
      <border diagonalUp="0" diagonalDown="0" outline="0">
        <left/>
        <right/>
        <top/>
        <bottom/>
      </border>
      <protection locked="0" hidden="0"/>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left" vertical="center" textRotation="0" wrapText="0" indent="0" justifyLastLine="0" shrinkToFit="0" readingOrder="0"/>
      <protection locked="0" hidden="0"/>
    </dxf>
    <dxf>
      <font>
        <b val="0"/>
        <i val="0"/>
        <strike val="0"/>
        <condense val="0"/>
        <extend val="0"/>
        <outline val="0"/>
        <shadow val="0"/>
        <u val="none"/>
        <vertAlign val="baseline"/>
        <sz val="10"/>
        <color theme="1"/>
        <name val="Microsoft Sans Serif"/>
        <scheme val="none"/>
      </font>
      <numFmt numFmtId="0" formatCode="General"/>
      <fill>
        <patternFill patternType="none">
          <fgColor indexed="64"/>
          <bgColor indexed="65"/>
        </patternFill>
      </fill>
      <alignment horizontal="left" vertical="center" textRotation="0" wrapText="0" indent="0" justifyLastLine="0" shrinkToFit="0" readingOrder="0"/>
      <border diagonalUp="0" diagonalDown="0" outline="0">
        <left/>
        <right/>
        <top/>
        <bottom/>
      </border>
      <protection locked="0" hidden="0"/>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left" vertical="center" textRotation="0" wrapText="0" indent="0" justifyLastLine="0" shrinkToFit="0" readingOrder="0"/>
      <protection locked="0" hidden="0"/>
    </dxf>
    <dxf>
      <font>
        <b val="0"/>
        <i val="0"/>
        <strike val="0"/>
        <condense val="0"/>
        <extend val="0"/>
        <outline val="0"/>
        <shadow val="0"/>
        <u val="none"/>
        <vertAlign val="baseline"/>
        <sz val="10"/>
        <color theme="1"/>
        <name val="Microsoft Sans Serif"/>
        <scheme val="none"/>
      </font>
      <numFmt numFmtId="0" formatCode="General"/>
      <fill>
        <patternFill patternType="none">
          <fgColor indexed="64"/>
          <bgColor indexed="65"/>
        </patternFill>
      </fill>
      <alignment horizontal="left" vertical="center" textRotation="0" wrapText="0" indent="0" justifyLastLine="0" shrinkToFit="0" readingOrder="0"/>
      <border diagonalUp="0" diagonalDown="0" outline="0">
        <left/>
        <right/>
        <top/>
        <bottom/>
      </border>
      <protection locked="0" hidden="0"/>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left" vertical="center" textRotation="0" wrapText="0" indent="0" justifyLastLine="0" shrinkToFit="0" readingOrder="0"/>
      <protection locked="0" hidden="0"/>
    </dxf>
    <dxf>
      <font>
        <b val="0"/>
        <i val="0"/>
        <strike val="0"/>
        <condense val="0"/>
        <extend val="0"/>
        <outline val="0"/>
        <shadow val="0"/>
        <u val="none"/>
        <vertAlign val="baseline"/>
        <sz val="10"/>
        <color theme="1"/>
        <name val="Microsoft Sans Serif"/>
        <scheme val="none"/>
      </font>
      <numFmt numFmtId="0" formatCode="General"/>
      <fill>
        <patternFill patternType="none">
          <fgColor indexed="64"/>
          <bgColor indexed="65"/>
        </patternFill>
      </fill>
      <alignment horizontal="left" vertical="center" textRotation="0" wrapText="0" indent="0" justifyLastLine="0" shrinkToFit="0" readingOrder="0"/>
      <border diagonalUp="0" diagonalDown="0" outline="0">
        <left/>
        <right/>
        <top/>
        <bottom/>
      </border>
      <protection locked="0" hidden="0"/>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left" vertical="center" textRotation="0" wrapText="0" indent="0" justifyLastLine="0" shrinkToFit="0" readingOrder="0"/>
      <protection locked="0" hidden="0"/>
    </dxf>
    <dxf>
      <font>
        <b val="0"/>
        <i val="0"/>
        <strike val="0"/>
        <condense val="0"/>
        <extend val="0"/>
        <outline val="0"/>
        <shadow val="0"/>
        <u val="none"/>
        <vertAlign val="baseline"/>
        <sz val="10"/>
        <color theme="1"/>
        <name val="Microsoft Sans Serif"/>
        <scheme val="none"/>
      </font>
      <numFmt numFmtId="0" formatCode="General"/>
      <fill>
        <patternFill patternType="none">
          <fgColor indexed="64"/>
          <bgColor indexed="65"/>
        </patternFill>
      </fill>
      <alignment horizontal="left" vertical="center" textRotation="0" wrapText="0" indent="0" justifyLastLine="0" shrinkToFit="0" readingOrder="0"/>
      <border diagonalUp="0" diagonalDown="0" outline="0">
        <left/>
        <right/>
        <top/>
        <bottom/>
      </border>
      <protection locked="0" hidden="0"/>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left" vertical="center" textRotation="0" wrapText="0" indent="0" justifyLastLine="0" shrinkToFit="0" readingOrder="0"/>
      <protection locked="0" hidden="0"/>
    </dxf>
    <dxf>
      <font>
        <b val="0"/>
        <i val="0"/>
        <strike val="0"/>
        <condense val="0"/>
        <extend val="0"/>
        <outline val="0"/>
        <shadow val="0"/>
        <u val="none"/>
        <vertAlign val="baseline"/>
        <sz val="10"/>
        <color theme="1"/>
        <name val="Microsoft Sans Serif"/>
        <scheme val="none"/>
      </font>
      <numFmt numFmtId="0" formatCode="General"/>
      <fill>
        <patternFill patternType="none">
          <fgColor indexed="64"/>
          <bgColor indexed="65"/>
        </patternFill>
      </fill>
      <alignment horizontal="left" vertical="center" textRotation="0" wrapText="0" indent="0" justifyLastLine="0" shrinkToFit="0" readingOrder="0"/>
      <border diagonalUp="0" diagonalDown="0" outline="0">
        <left/>
        <right/>
        <top/>
        <bottom/>
      </border>
      <protection locked="0" hidden="0"/>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left" vertical="center" textRotation="0" wrapText="0" indent="0" justifyLastLine="0" shrinkToFit="0" readingOrder="0"/>
      <protection locked="0" hidden="0"/>
    </dxf>
    <dxf>
      <font>
        <b val="0"/>
        <i val="0"/>
        <strike val="0"/>
        <condense val="0"/>
        <extend val="0"/>
        <outline val="0"/>
        <shadow val="0"/>
        <u val="none"/>
        <vertAlign val="baseline"/>
        <sz val="10"/>
        <color theme="1"/>
        <name val="Microsoft Sans Serif"/>
        <scheme val="none"/>
      </font>
      <numFmt numFmtId="0" formatCode="General"/>
      <fill>
        <patternFill patternType="none">
          <fgColor indexed="64"/>
          <bgColor indexed="65"/>
        </patternFill>
      </fill>
      <alignment horizontal="left" vertical="center" textRotation="0" wrapText="0" indent="0" justifyLastLine="0" shrinkToFit="0" readingOrder="0"/>
      <border diagonalUp="0" diagonalDown="0" outline="0">
        <left/>
        <right/>
        <top/>
        <bottom/>
      </border>
      <protection locked="0" hidden="0"/>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left" vertical="center" textRotation="0" wrapText="0" indent="0" justifyLastLine="0" shrinkToFit="0" readingOrder="0"/>
      <protection locked="0" hidden="0"/>
    </dxf>
    <dxf>
      <font>
        <b val="0"/>
        <i val="0"/>
        <strike val="0"/>
        <condense val="0"/>
        <extend val="0"/>
        <outline val="0"/>
        <shadow val="0"/>
        <u val="none"/>
        <vertAlign val="baseline"/>
        <sz val="10"/>
        <color theme="1"/>
        <name val="Microsoft Sans Serif"/>
        <scheme val="none"/>
      </font>
      <numFmt numFmtId="0" formatCode="General"/>
      <fill>
        <patternFill patternType="none">
          <fgColor indexed="64"/>
          <bgColor indexed="65"/>
        </patternFill>
      </fill>
      <alignment horizontal="left" vertical="center" textRotation="0" wrapText="0" indent="0" justifyLastLine="0" shrinkToFit="0" readingOrder="0"/>
      <border diagonalUp="0" diagonalDown="0" outline="0">
        <left/>
        <right/>
        <top/>
        <bottom/>
      </border>
      <protection locked="0" hidden="0"/>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left" vertical="center" textRotation="0" wrapText="0" indent="0" justifyLastLine="0" shrinkToFit="0" readingOrder="0"/>
      <protection locked="0" hidden="0"/>
    </dxf>
    <dxf>
      <font>
        <b val="0"/>
        <i val="0"/>
        <strike val="0"/>
        <condense val="0"/>
        <extend val="0"/>
        <outline val="0"/>
        <shadow val="0"/>
        <u val="none"/>
        <vertAlign val="baseline"/>
        <sz val="10"/>
        <color theme="1"/>
        <name val="Microsoft Sans Serif"/>
        <scheme val="none"/>
      </font>
      <numFmt numFmtId="0" formatCode="General"/>
      <fill>
        <patternFill patternType="none">
          <fgColor indexed="64"/>
          <bgColor indexed="65"/>
        </patternFill>
      </fill>
      <alignment horizontal="left" vertical="center" textRotation="0" wrapText="0" indent="0" justifyLastLine="0" shrinkToFit="0" readingOrder="0"/>
      <border diagonalUp="0" diagonalDown="0" outline="0">
        <left/>
        <right/>
        <top/>
        <bottom/>
      </border>
      <protection locked="0" hidden="0"/>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left" vertical="center" textRotation="0" wrapText="0" indent="0" justifyLastLine="0" shrinkToFit="0" readingOrder="0"/>
      <protection locked="0" hidden="0"/>
    </dxf>
    <dxf>
      <font>
        <b val="0"/>
        <i val="0"/>
        <strike val="0"/>
        <condense val="0"/>
        <extend val="0"/>
        <outline val="0"/>
        <shadow val="0"/>
        <u val="none"/>
        <vertAlign val="baseline"/>
        <sz val="10"/>
        <color theme="1"/>
        <name val="Microsoft Sans Serif"/>
        <scheme val="none"/>
      </font>
      <numFmt numFmtId="0" formatCode="General"/>
      <fill>
        <patternFill patternType="none">
          <fgColor indexed="64"/>
          <bgColor indexed="65"/>
        </patternFill>
      </fill>
      <alignment horizontal="left" vertical="center" textRotation="0" wrapText="0" indent="0" justifyLastLine="0" shrinkToFit="0" readingOrder="0"/>
      <border diagonalUp="0" diagonalDown="0" outline="0">
        <left/>
        <right/>
        <top/>
        <bottom/>
      </border>
      <protection locked="0" hidden="0"/>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left" vertical="center" textRotation="0" wrapText="0" indent="0" justifyLastLine="0" shrinkToFit="0" readingOrder="0"/>
      <protection locked="0" hidden="0"/>
    </dxf>
    <dxf>
      <font>
        <b val="0"/>
        <i val="0"/>
        <strike val="0"/>
        <condense val="0"/>
        <extend val="0"/>
        <outline val="0"/>
        <shadow val="0"/>
        <u val="none"/>
        <vertAlign val="baseline"/>
        <sz val="10"/>
        <color theme="1"/>
        <name val="Microsoft Sans Serif"/>
        <scheme val="none"/>
      </font>
      <numFmt numFmtId="0" formatCode="General"/>
      <fill>
        <patternFill patternType="none">
          <fgColor indexed="64"/>
          <bgColor indexed="65"/>
        </patternFill>
      </fill>
      <alignment horizontal="left" vertical="center" textRotation="0" wrapText="0" indent="0" justifyLastLine="0" shrinkToFit="0" readingOrder="0"/>
      <border diagonalUp="0" diagonalDown="0" outline="0">
        <left/>
        <right/>
        <top/>
        <bottom/>
      </border>
      <protection locked="0" hidden="0"/>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left" vertical="center" textRotation="0" wrapText="0" indent="0" justifyLastLine="0" shrinkToFit="0" readingOrder="0"/>
      <protection locked="0" hidden="0"/>
    </dxf>
    <dxf>
      <font>
        <b val="0"/>
        <i val="0"/>
        <strike val="0"/>
        <condense val="0"/>
        <extend val="0"/>
        <outline val="0"/>
        <shadow val="0"/>
        <u val="none"/>
        <vertAlign val="baseline"/>
        <sz val="10"/>
        <color theme="1"/>
        <name val="Microsoft Sans Serif"/>
        <scheme val="none"/>
      </font>
      <numFmt numFmtId="0" formatCode="General"/>
      <fill>
        <patternFill patternType="none">
          <fgColor indexed="64"/>
          <bgColor indexed="65"/>
        </patternFill>
      </fill>
      <alignment horizontal="left" vertical="center" textRotation="0" wrapText="0" indent="0" justifyLastLine="0" shrinkToFit="0" readingOrder="0"/>
      <border diagonalUp="0" diagonalDown="0" outline="0">
        <left/>
        <right/>
        <top/>
        <bottom/>
      </border>
      <protection locked="0" hidden="0"/>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left" vertical="center" textRotation="0" wrapText="0" indent="0" justifyLastLine="0" shrinkToFit="0" readingOrder="0"/>
      <protection locked="0" hidden="0"/>
    </dxf>
    <dxf>
      <font>
        <b val="0"/>
        <i val="0"/>
        <strike val="0"/>
        <condense val="0"/>
        <extend val="0"/>
        <outline val="0"/>
        <shadow val="0"/>
        <u val="none"/>
        <vertAlign val="baseline"/>
        <sz val="10"/>
        <color theme="1"/>
        <name val="Microsoft Sans Serif"/>
        <scheme val="none"/>
      </font>
      <numFmt numFmtId="0" formatCode="General"/>
      <fill>
        <patternFill patternType="none">
          <fgColor indexed="64"/>
          <bgColor indexed="65"/>
        </patternFill>
      </fill>
      <alignment horizontal="left" vertical="center" textRotation="0" wrapText="0" indent="0" justifyLastLine="0" shrinkToFit="0" readingOrder="0"/>
      <border diagonalUp="0" diagonalDown="0" outline="0">
        <left/>
        <right/>
        <top/>
        <bottom/>
      </border>
      <protection locked="0" hidden="0"/>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left" vertical="center" textRotation="0" wrapText="0" indent="0" justifyLastLine="0" shrinkToFit="0" readingOrder="0"/>
      <protection locked="0" hidden="0"/>
    </dxf>
    <dxf>
      <font>
        <b val="0"/>
        <i val="0"/>
        <strike val="0"/>
        <condense val="0"/>
        <extend val="0"/>
        <outline val="0"/>
        <shadow val="0"/>
        <u val="none"/>
        <vertAlign val="baseline"/>
        <sz val="10"/>
        <color theme="1"/>
        <name val="Microsoft Sans Serif"/>
        <scheme val="none"/>
      </font>
      <numFmt numFmtId="0" formatCode="General"/>
      <fill>
        <patternFill patternType="none">
          <fgColor indexed="64"/>
          <bgColor indexed="65"/>
        </patternFill>
      </fill>
      <alignment horizontal="left" vertical="center" textRotation="0" wrapText="0" indent="0" justifyLastLine="0" shrinkToFit="0" readingOrder="0"/>
      <border diagonalUp="0" diagonalDown="0" outline="0">
        <left/>
        <right/>
        <top/>
        <bottom/>
      </border>
      <protection locked="0" hidden="0"/>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left" vertical="center" textRotation="0" wrapText="0" indent="0" justifyLastLine="0" shrinkToFit="0" readingOrder="0"/>
      <protection locked="0" hidden="0"/>
    </dxf>
    <dxf>
      <font>
        <b val="0"/>
        <i val="0"/>
        <strike val="0"/>
        <condense val="0"/>
        <extend val="0"/>
        <outline val="0"/>
        <shadow val="0"/>
        <u val="none"/>
        <vertAlign val="baseline"/>
        <sz val="10"/>
        <color theme="1"/>
        <name val="Microsoft Sans Serif"/>
        <scheme val="none"/>
      </font>
      <numFmt numFmtId="0" formatCode="General"/>
      <fill>
        <patternFill patternType="none">
          <fgColor indexed="64"/>
          <bgColor indexed="65"/>
        </patternFill>
      </fill>
      <alignment horizontal="left" vertical="center" textRotation="0" wrapText="0" indent="0" justifyLastLine="0" shrinkToFit="0" readingOrder="0"/>
      <border diagonalUp="0" diagonalDown="0" outline="0">
        <left/>
        <right/>
        <top/>
        <bottom/>
      </border>
      <protection locked="0" hidden="0"/>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left" vertical="center" textRotation="0" wrapText="0" indent="0" justifyLastLine="0" shrinkToFit="0" readingOrder="0"/>
      <protection locked="0" hidden="0"/>
    </dxf>
    <dxf>
      <font>
        <b val="0"/>
        <i val="0"/>
        <strike val="0"/>
        <condense val="0"/>
        <extend val="0"/>
        <outline val="0"/>
        <shadow val="0"/>
        <u val="none"/>
        <vertAlign val="baseline"/>
        <sz val="10"/>
        <color theme="1"/>
        <name val="Microsoft Sans Serif"/>
        <scheme val="none"/>
      </font>
      <numFmt numFmtId="0" formatCode="General"/>
      <fill>
        <patternFill patternType="none">
          <fgColor indexed="64"/>
          <bgColor indexed="65"/>
        </patternFill>
      </fill>
      <alignment horizontal="left" vertical="center" textRotation="0" wrapText="0" indent="0" justifyLastLine="0" shrinkToFit="0" readingOrder="0"/>
      <border diagonalUp="0" diagonalDown="0" outline="0">
        <left/>
        <right/>
        <top/>
        <bottom/>
      </border>
      <protection locked="0" hidden="0"/>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left" vertical="center" textRotation="0" wrapText="0" indent="0" justifyLastLine="0" shrinkToFit="0" readingOrder="0"/>
      <protection locked="0" hidden="0"/>
    </dxf>
    <dxf>
      <font>
        <b val="0"/>
        <i val="0"/>
        <strike val="0"/>
        <condense val="0"/>
        <extend val="0"/>
        <outline val="0"/>
        <shadow val="0"/>
        <u val="none"/>
        <vertAlign val="baseline"/>
        <sz val="10"/>
        <color theme="1"/>
        <name val="Microsoft Sans Serif"/>
        <scheme val="none"/>
      </font>
      <numFmt numFmtId="0" formatCode="General"/>
      <fill>
        <patternFill patternType="none">
          <fgColor indexed="64"/>
          <bgColor indexed="65"/>
        </patternFill>
      </fill>
      <alignment horizontal="left" vertical="center" textRotation="0" wrapText="0" indent="0" justifyLastLine="0" shrinkToFit="0" readingOrder="0"/>
      <border diagonalUp="0" diagonalDown="0" outline="0">
        <left/>
        <right/>
        <top/>
        <bottom/>
      </border>
      <protection locked="0" hidden="0"/>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left" vertical="center" textRotation="0" wrapText="0" indent="0" justifyLastLine="0" shrinkToFit="0" readingOrder="0"/>
      <protection locked="0" hidden="0"/>
    </dxf>
    <dxf>
      <font>
        <b val="0"/>
        <i val="0"/>
        <strike val="0"/>
        <condense val="0"/>
        <extend val="0"/>
        <outline val="0"/>
        <shadow val="0"/>
        <u val="none"/>
        <vertAlign val="baseline"/>
        <sz val="10"/>
        <color theme="1"/>
        <name val="Microsoft Sans Serif"/>
        <scheme val="none"/>
      </font>
      <numFmt numFmtId="0" formatCode="General"/>
      <fill>
        <patternFill patternType="none">
          <fgColor indexed="64"/>
          <bgColor indexed="65"/>
        </patternFill>
      </fill>
      <alignment horizontal="left" vertical="center" textRotation="0" wrapText="0" indent="0" justifyLastLine="0" shrinkToFit="0" readingOrder="0"/>
      <border diagonalUp="0" diagonalDown="0" outline="0">
        <left/>
        <right/>
        <top/>
        <bottom/>
      </border>
      <protection locked="0" hidden="0"/>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left" vertical="center" textRotation="0" wrapText="0" indent="0" justifyLastLine="0" shrinkToFit="0" readingOrder="0"/>
      <protection locked="0" hidden="0"/>
    </dxf>
    <dxf>
      <font>
        <b val="0"/>
        <i val="0"/>
        <strike val="0"/>
        <condense val="0"/>
        <extend val="0"/>
        <outline val="0"/>
        <shadow val="0"/>
        <u val="none"/>
        <vertAlign val="baseline"/>
        <sz val="10"/>
        <color theme="1"/>
        <name val="Microsoft Sans Serif"/>
        <scheme val="none"/>
      </font>
      <numFmt numFmtId="0" formatCode="General"/>
      <fill>
        <patternFill patternType="none">
          <fgColor indexed="64"/>
          <bgColor indexed="65"/>
        </patternFill>
      </fill>
      <alignment horizontal="left" vertical="center" textRotation="0" wrapText="0" indent="0" justifyLastLine="0" shrinkToFit="0" readingOrder="0"/>
      <border diagonalUp="0" diagonalDown="0" outline="0">
        <left/>
        <right/>
        <top/>
        <bottom/>
      </border>
      <protection locked="0" hidden="0"/>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left" vertical="center" textRotation="0" wrapText="0" indent="0" justifyLastLine="0" shrinkToFit="0" readingOrder="0"/>
      <protection locked="0" hidden="0"/>
    </dxf>
    <dxf>
      <font>
        <b val="0"/>
        <i val="0"/>
        <strike val="0"/>
        <condense val="0"/>
        <extend val="0"/>
        <outline val="0"/>
        <shadow val="0"/>
        <u val="none"/>
        <vertAlign val="baseline"/>
        <sz val="10"/>
        <color theme="1"/>
        <name val="Microsoft Sans Serif"/>
        <scheme val="none"/>
      </font>
      <numFmt numFmtId="0" formatCode="General"/>
      <fill>
        <patternFill patternType="none">
          <fgColor indexed="64"/>
          <bgColor indexed="65"/>
        </patternFill>
      </fill>
      <alignment horizontal="left" vertical="center" textRotation="0" wrapText="0" indent="0" justifyLastLine="0" shrinkToFit="0" readingOrder="0"/>
      <border diagonalUp="0" diagonalDown="0" outline="0">
        <left/>
        <right/>
        <top/>
        <bottom/>
      </border>
      <protection locked="0" hidden="0"/>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left" vertical="center" textRotation="0" wrapText="0" indent="0" justifyLastLine="0" shrinkToFit="0" readingOrder="0"/>
      <protection locked="0" hidden="0"/>
    </dxf>
    <dxf>
      <font>
        <b val="0"/>
        <i val="0"/>
        <strike val="0"/>
        <condense val="0"/>
        <extend val="0"/>
        <outline val="0"/>
        <shadow val="0"/>
        <u val="none"/>
        <vertAlign val="baseline"/>
        <sz val="10"/>
        <color theme="1"/>
        <name val="Microsoft Sans Serif"/>
        <scheme val="none"/>
      </font>
      <numFmt numFmtId="0" formatCode="General"/>
      <fill>
        <patternFill patternType="none">
          <fgColor indexed="64"/>
          <bgColor indexed="65"/>
        </patternFill>
      </fill>
      <alignment horizontal="left" vertical="center" textRotation="0" wrapText="0" indent="0" justifyLastLine="0" shrinkToFit="0" readingOrder="0"/>
      <border diagonalUp="0" diagonalDown="0" outline="0">
        <left/>
        <right/>
        <top/>
        <bottom/>
      </border>
      <protection locked="0" hidden="0"/>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left" vertical="center" textRotation="0" wrapText="0" indent="0" justifyLastLine="0" shrinkToFit="0" readingOrder="0"/>
      <protection locked="0" hidden="0"/>
    </dxf>
    <dxf>
      <font>
        <b val="0"/>
        <i val="0"/>
        <strike val="0"/>
        <condense val="0"/>
        <extend val="0"/>
        <outline val="0"/>
        <shadow val="0"/>
        <u val="none"/>
        <vertAlign val="baseline"/>
        <sz val="10"/>
        <color theme="1"/>
        <name val="Microsoft Sans Serif"/>
        <scheme val="none"/>
      </font>
      <numFmt numFmtId="0" formatCode="General"/>
      <fill>
        <patternFill patternType="none">
          <fgColor indexed="64"/>
          <bgColor indexed="65"/>
        </patternFill>
      </fill>
      <alignment horizontal="left" vertical="center" textRotation="0" wrapText="0" indent="0" justifyLastLine="0" shrinkToFit="0" readingOrder="0"/>
      <border diagonalUp="0" diagonalDown="0" outline="0">
        <left/>
        <right/>
        <top/>
        <bottom/>
      </border>
      <protection locked="0" hidden="0"/>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left" vertical="center" textRotation="0" wrapText="0" indent="0" justifyLastLine="0" shrinkToFit="0" readingOrder="0"/>
      <protection locked="0" hidden="0"/>
    </dxf>
    <dxf>
      <font>
        <b val="0"/>
        <i val="0"/>
        <strike val="0"/>
        <condense val="0"/>
        <extend val="0"/>
        <outline val="0"/>
        <shadow val="0"/>
        <u val="none"/>
        <vertAlign val="baseline"/>
        <sz val="10"/>
        <color theme="1"/>
        <name val="Microsoft Sans Serif"/>
        <scheme val="none"/>
      </font>
      <numFmt numFmtId="0" formatCode="General"/>
      <fill>
        <patternFill patternType="none">
          <fgColor indexed="64"/>
          <bgColor indexed="65"/>
        </patternFill>
      </fill>
      <alignment horizontal="left" vertical="center" textRotation="0" wrapText="0" indent="0" justifyLastLine="0" shrinkToFit="0" readingOrder="0"/>
      <border diagonalUp="0" diagonalDown="0" outline="0">
        <left/>
        <right/>
        <top/>
        <bottom/>
      </border>
      <protection locked="0" hidden="0"/>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left" vertical="center" textRotation="0" wrapText="0" indent="0" justifyLastLine="0" shrinkToFit="0" readingOrder="0"/>
      <protection locked="0" hidden="0"/>
    </dxf>
    <dxf>
      <font>
        <b val="0"/>
        <i val="0"/>
        <strike val="0"/>
        <condense val="0"/>
        <extend val="0"/>
        <outline val="0"/>
        <shadow val="0"/>
        <u val="none"/>
        <vertAlign val="baseline"/>
        <sz val="10"/>
        <color theme="1"/>
        <name val="Microsoft Sans Serif"/>
        <scheme val="none"/>
      </font>
      <numFmt numFmtId="0" formatCode="General"/>
      <fill>
        <patternFill patternType="none">
          <fgColor indexed="64"/>
          <bgColor indexed="65"/>
        </patternFill>
      </fill>
      <alignment horizontal="left" vertical="center" textRotation="0" wrapText="0" indent="0" justifyLastLine="0" shrinkToFit="0" readingOrder="0"/>
      <border diagonalUp="0" diagonalDown="0" outline="0">
        <left/>
        <right/>
        <top/>
        <bottom/>
      </border>
      <protection locked="0" hidden="0"/>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left" vertical="center" textRotation="0" wrapText="0" indent="0" justifyLastLine="0" shrinkToFit="0" readingOrder="0"/>
      <protection locked="0" hidden="0"/>
    </dxf>
    <dxf>
      <font>
        <b val="0"/>
        <i val="0"/>
        <strike val="0"/>
        <condense val="0"/>
        <extend val="0"/>
        <outline val="0"/>
        <shadow val="0"/>
        <u val="none"/>
        <vertAlign val="baseline"/>
        <sz val="10"/>
        <color theme="1"/>
        <name val="Microsoft Sans Serif"/>
        <scheme val="none"/>
      </font>
      <numFmt numFmtId="0" formatCode="General"/>
      <fill>
        <patternFill patternType="none">
          <fgColor indexed="64"/>
          <bgColor indexed="65"/>
        </patternFill>
      </fill>
      <alignment horizontal="left" vertical="center" textRotation="0" wrapText="0" indent="0" justifyLastLine="0" shrinkToFit="0" readingOrder="0"/>
      <border diagonalUp="0" diagonalDown="0" outline="0">
        <left/>
        <right/>
        <top/>
        <bottom/>
      </border>
      <protection locked="0" hidden="0"/>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left" vertical="center" textRotation="0" wrapText="0" indent="0" justifyLastLine="0" shrinkToFit="0" readingOrder="0"/>
      <protection locked="0" hidden="0"/>
    </dxf>
    <dxf>
      <font>
        <b val="0"/>
        <i val="0"/>
        <strike val="0"/>
        <condense val="0"/>
        <extend val="0"/>
        <outline val="0"/>
        <shadow val="0"/>
        <u val="none"/>
        <vertAlign val="baseline"/>
        <sz val="10"/>
        <color theme="1"/>
        <name val="Microsoft Sans Serif"/>
        <scheme val="none"/>
      </font>
      <numFmt numFmtId="0" formatCode="General"/>
      <fill>
        <patternFill patternType="none">
          <fgColor indexed="64"/>
          <bgColor indexed="65"/>
        </patternFill>
      </fill>
      <alignment horizontal="left" vertical="center" textRotation="0" wrapText="0" indent="0" justifyLastLine="0" shrinkToFit="0" readingOrder="0"/>
      <border diagonalUp="0" diagonalDown="0" outline="0">
        <left/>
        <right/>
        <top/>
        <bottom/>
      </border>
      <protection locked="0" hidden="0"/>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left" vertical="center" textRotation="0" wrapText="0" indent="0" justifyLastLine="0" shrinkToFit="0" readingOrder="0"/>
      <protection locked="0" hidden="0"/>
    </dxf>
    <dxf>
      <font>
        <b val="0"/>
        <i val="0"/>
        <strike val="0"/>
        <condense val="0"/>
        <extend val="0"/>
        <outline val="0"/>
        <shadow val="0"/>
        <u val="none"/>
        <vertAlign val="baseline"/>
        <sz val="10"/>
        <color theme="1"/>
        <name val="Microsoft Sans Serif"/>
        <scheme val="none"/>
      </font>
      <numFmt numFmtId="0" formatCode="General"/>
      <fill>
        <patternFill patternType="none">
          <fgColor indexed="64"/>
          <bgColor indexed="65"/>
        </patternFill>
      </fill>
      <alignment horizontal="left" vertical="center" textRotation="0" wrapText="0" indent="0" justifyLastLine="0" shrinkToFit="0" readingOrder="0"/>
      <border diagonalUp="0" diagonalDown="0" outline="0">
        <left/>
        <right/>
        <top/>
        <bottom/>
      </border>
      <protection locked="0" hidden="0"/>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left" vertical="center" textRotation="0" wrapText="0" indent="0" justifyLastLine="0" shrinkToFit="0" readingOrder="0"/>
      <protection locked="0" hidden="0"/>
    </dxf>
    <dxf>
      <font>
        <b val="0"/>
        <i val="0"/>
        <strike val="0"/>
        <condense val="0"/>
        <extend val="0"/>
        <outline val="0"/>
        <shadow val="0"/>
        <u val="none"/>
        <vertAlign val="baseline"/>
        <sz val="10"/>
        <color theme="1"/>
        <name val="Microsoft Sans Serif"/>
        <scheme val="none"/>
      </font>
      <numFmt numFmtId="0" formatCode="General"/>
      <fill>
        <patternFill patternType="none">
          <fgColor indexed="64"/>
          <bgColor indexed="65"/>
        </patternFill>
      </fill>
      <alignment horizontal="left" vertical="center" textRotation="0" wrapText="0" indent="0" justifyLastLine="0" shrinkToFit="0" readingOrder="0"/>
      <border diagonalUp="0" diagonalDown="0" outline="0">
        <left/>
        <right/>
        <top/>
        <bottom/>
      </border>
      <protection locked="0" hidden="0"/>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left" vertical="center" textRotation="0" wrapText="0" indent="0" justifyLastLine="0" shrinkToFit="0" readingOrder="0"/>
      <protection locked="0" hidden="0"/>
    </dxf>
    <dxf>
      <font>
        <b val="0"/>
        <i val="0"/>
        <strike val="0"/>
        <condense val="0"/>
        <extend val="0"/>
        <outline val="0"/>
        <shadow val="0"/>
        <u val="none"/>
        <vertAlign val="baseline"/>
        <sz val="10"/>
        <color theme="1"/>
        <name val="Microsoft Sans Serif"/>
        <scheme val="none"/>
      </font>
      <numFmt numFmtId="0" formatCode="General"/>
      <fill>
        <patternFill patternType="none">
          <fgColor indexed="64"/>
          <bgColor indexed="65"/>
        </patternFill>
      </fill>
      <alignment horizontal="left" vertical="center" textRotation="0" wrapText="0" indent="0" justifyLastLine="0" shrinkToFit="0" readingOrder="0"/>
      <border diagonalUp="0" diagonalDown="0" outline="0">
        <left/>
        <right/>
        <top/>
        <bottom/>
      </border>
      <protection locked="0" hidden="0"/>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left" vertical="center" textRotation="0" wrapText="0" indent="0" justifyLastLine="0" shrinkToFit="0" readingOrder="0"/>
      <protection locked="0" hidden="0"/>
    </dxf>
    <dxf>
      <font>
        <b val="0"/>
        <i val="0"/>
        <strike val="0"/>
        <condense val="0"/>
        <extend val="0"/>
        <outline val="0"/>
        <shadow val="0"/>
        <u val="none"/>
        <vertAlign val="baseline"/>
        <sz val="10"/>
        <color theme="1"/>
        <name val="Microsoft Sans Serif"/>
        <scheme val="none"/>
      </font>
      <numFmt numFmtId="0" formatCode="General"/>
      <fill>
        <patternFill patternType="none">
          <fgColor indexed="64"/>
          <bgColor indexed="65"/>
        </patternFill>
      </fill>
      <alignment horizontal="left" vertical="center" textRotation="0" wrapText="0" indent="0" justifyLastLine="0" shrinkToFit="0" readingOrder="0"/>
      <border diagonalUp="0" diagonalDown="0" outline="0">
        <left/>
        <right/>
        <top/>
        <bottom/>
      </border>
      <protection locked="0" hidden="0"/>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left" vertical="center" textRotation="0" wrapText="0" indent="0" justifyLastLine="0" shrinkToFit="0" readingOrder="0"/>
      <protection locked="0" hidden="0"/>
    </dxf>
    <dxf>
      <font>
        <b val="0"/>
        <i val="0"/>
        <strike val="0"/>
        <condense val="0"/>
        <extend val="0"/>
        <outline val="0"/>
        <shadow val="0"/>
        <u val="none"/>
        <vertAlign val="baseline"/>
        <sz val="10"/>
        <color theme="1"/>
        <name val="Microsoft Sans Serif"/>
        <scheme val="none"/>
      </font>
      <numFmt numFmtId="0" formatCode="General"/>
      <fill>
        <patternFill patternType="none">
          <fgColor indexed="64"/>
          <bgColor indexed="65"/>
        </patternFill>
      </fill>
      <alignment horizontal="left" vertical="center" textRotation="0" wrapText="0" indent="0" justifyLastLine="0" shrinkToFit="0" readingOrder="0"/>
      <border diagonalUp="0" diagonalDown="0" outline="0">
        <left/>
        <right/>
        <top/>
        <bottom/>
      </border>
      <protection locked="0" hidden="0"/>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left" vertical="center" textRotation="0" wrapText="0" indent="0" justifyLastLine="0" shrinkToFit="0" readingOrder="0"/>
      <protection locked="0" hidden="0"/>
    </dxf>
    <dxf>
      <font>
        <b val="0"/>
        <i val="0"/>
        <strike val="0"/>
        <condense val="0"/>
        <extend val="0"/>
        <outline val="0"/>
        <shadow val="0"/>
        <u val="none"/>
        <vertAlign val="baseline"/>
        <sz val="10"/>
        <color theme="1"/>
        <name val="Microsoft Sans Serif"/>
        <scheme val="none"/>
      </font>
      <numFmt numFmtId="0" formatCode="General"/>
      <fill>
        <patternFill patternType="none">
          <fgColor indexed="64"/>
          <bgColor indexed="65"/>
        </patternFill>
      </fill>
      <alignment horizontal="left" vertical="center" textRotation="0" wrapText="0" indent="0" justifyLastLine="0" shrinkToFit="0" readingOrder="0"/>
      <border diagonalUp="0" diagonalDown="0" outline="0">
        <left/>
        <right/>
        <top/>
        <bottom/>
      </border>
      <protection locked="0" hidden="0"/>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left" vertical="center" textRotation="0" wrapText="0" indent="0" justifyLastLine="0" shrinkToFit="0" readingOrder="0"/>
      <protection locked="0" hidden="0"/>
    </dxf>
    <dxf>
      <font>
        <b val="0"/>
        <i val="0"/>
        <strike val="0"/>
        <condense val="0"/>
        <extend val="0"/>
        <outline val="0"/>
        <shadow val="0"/>
        <u val="none"/>
        <vertAlign val="baseline"/>
        <sz val="10"/>
        <color theme="1"/>
        <name val="Microsoft Sans Serif"/>
        <scheme val="none"/>
      </font>
      <numFmt numFmtId="0" formatCode="General"/>
      <fill>
        <patternFill patternType="none">
          <fgColor indexed="64"/>
          <bgColor indexed="65"/>
        </patternFill>
      </fill>
      <alignment horizontal="left" vertical="center" textRotation="0" wrapText="0" indent="0" justifyLastLine="0" shrinkToFit="0" readingOrder="0"/>
      <border diagonalUp="0" diagonalDown="0" outline="0">
        <left/>
        <right/>
        <top/>
        <bottom/>
      </border>
      <protection locked="0" hidden="0"/>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left" vertical="center" textRotation="0" wrapText="0" indent="0" justifyLastLine="0" shrinkToFit="0" readingOrder="0"/>
      <protection locked="0" hidden="0"/>
    </dxf>
    <dxf>
      <font>
        <b val="0"/>
        <i val="0"/>
        <strike val="0"/>
        <condense val="0"/>
        <extend val="0"/>
        <outline val="0"/>
        <shadow val="0"/>
        <u val="none"/>
        <vertAlign val="baseline"/>
        <sz val="10"/>
        <color theme="1"/>
        <name val="Microsoft Sans Serif"/>
        <scheme val="none"/>
      </font>
      <numFmt numFmtId="0" formatCode="General"/>
      <fill>
        <patternFill patternType="none">
          <fgColor indexed="64"/>
          <bgColor indexed="65"/>
        </patternFill>
      </fill>
      <alignment horizontal="left" vertical="center" textRotation="0" wrapText="0" indent="0" justifyLastLine="0" shrinkToFit="0" readingOrder="0"/>
      <border diagonalUp="0" diagonalDown="0" outline="0">
        <left/>
        <right/>
        <top/>
        <bottom/>
      </border>
      <protection locked="0" hidden="0"/>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left" vertical="center" textRotation="0" wrapText="0" indent="0" justifyLastLine="0" shrinkToFit="0" readingOrder="0"/>
      <protection locked="0" hidden="0"/>
    </dxf>
    <dxf>
      <font>
        <b val="0"/>
        <i val="0"/>
        <strike val="0"/>
        <condense val="0"/>
        <extend val="0"/>
        <outline val="0"/>
        <shadow val="0"/>
        <u val="none"/>
        <vertAlign val="baseline"/>
        <sz val="10"/>
        <color theme="1"/>
        <name val="Microsoft Sans Serif"/>
        <scheme val="none"/>
      </font>
      <numFmt numFmtId="0" formatCode="General"/>
      <fill>
        <patternFill patternType="none">
          <fgColor indexed="64"/>
          <bgColor indexed="65"/>
        </patternFill>
      </fill>
      <alignment horizontal="left" vertical="center" textRotation="0" wrapText="0" indent="0" justifyLastLine="0" shrinkToFit="0" readingOrder="0"/>
      <border diagonalUp="0" diagonalDown="0" outline="0">
        <left/>
        <right/>
        <top/>
        <bottom/>
      </border>
      <protection locked="0" hidden="0"/>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left" vertical="center" textRotation="0" wrapText="0" indent="0" justifyLastLine="0" shrinkToFit="0" readingOrder="0"/>
      <protection locked="0" hidden="0"/>
    </dxf>
    <dxf>
      <font>
        <b val="0"/>
        <i val="0"/>
        <strike val="0"/>
        <condense val="0"/>
        <extend val="0"/>
        <outline val="0"/>
        <shadow val="0"/>
        <u val="none"/>
        <vertAlign val="baseline"/>
        <sz val="10"/>
        <color theme="1"/>
        <name val="Microsoft Sans Serif"/>
        <scheme val="none"/>
      </font>
      <numFmt numFmtId="0" formatCode="General"/>
      <fill>
        <patternFill patternType="none">
          <fgColor indexed="64"/>
          <bgColor indexed="65"/>
        </patternFill>
      </fill>
      <alignment horizontal="left" vertical="center" textRotation="0" wrapText="0" indent="0" justifyLastLine="0" shrinkToFit="0" readingOrder="0"/>
      <border diagonalUp="0" diagonalDown="0" outline="0">
        <left/>
        <right/>
        <top/>
        <bottom/>
      </border>
      <protection locked="0" hidden="0"/>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left" vertical="center" textRotation="0" wrapText="0" indent="0" justifyLastLine="0" shrinkToFit="0" readingOrder="0"/>
      <protection locked="0" hidden="0"/>
    </dxf>
    <dxf>
      <font>
        <b val="0"/>
        <i val="0"/>
        <strike val="0"/>
        <condense val="0"/>
        <extend val="0"/>
        <outline val="0"/>
        <shadow val="0"/>
        <u val="none"/>
        <vertAlign val="baseline"/>
        <sz val="10"/>
        <color theme="1"/>
        <name val="Microsoft Sans Serif"/>
        <scheme val="none"/>
      </font>
      <numFmt numFmtId="0" formatCode="General"/>
      <fill>
        <patternFill patternType="none">
          <fgColor indexed="64"/>
          <bgColor indexed="65"/>
        </patternFill>
      </fill>
      <alignment horizontal="left" vertical="center" textRotation="0" wrapText="0" indent="0" justifyLastLine="0" shrinkToFit="0" readingOrder="0"/>
      <border diagonalUp="0" diagonalDown="0" outline="0">
        <left/>
        <right/>
        <top/>
        <bottom/>
      </border>
      <protection locked="0" hidden="0"/>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left" vertical="center" textRotation="0" wrapText="0" indent="0" justifyLastLine="0" shrinkToFit="0" readingOrder="0"/>
      <protection locked="0" hidden="0"/>
    </dxf>
    <dxf>
      <font>
        <b val="0"/>
        <i val="0"/>
        <strike val="0"/>
        <condense val="0"/>
        <extend val="0"/>
        <outline val="0"/>
        <shadow val="0"/>
        <u val="none"/>
        <vertAlign val="baseline"/>
        <sz val="10"/>
        <color theme="1"/>
        <name val="Microsoft Sans Serif"/>
        <scheme val="none"/>
      </font>
      <numFmt numFmtId="0" formatCode="General"/>
      <fill>
        <patternFill patternType="none">
          <fgColor indexed="64"/>
          <bgColor indexed="65"/>
        </patternFill>
      </fill>
      <alignment horizontal="left" vertical="center" textRotation="0" wrapText="0" indent="0" justifyLastLine="0" shrinkToFit="0" readingOrder="0"/>
      <border diagonalUp="0" diagonalDown="0" outline="0">
        <left/>
        <right/>
        <top/>
        <bottom/>
      </border>
      <protection locked="0" hidden="0"/>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left" vertical="center" textRotation="0" wrapText="0" indent="0" justifyLastLine="0" shrinkToFit="0" readingOrder="0"/>
      <protection locked="0" hidden="0"/>
    </dxf>
    <dxf>
      <font>
        <b val="0"/>
        <i val="0"/>
        <strike val="0"/>
        <condense val="0"/>
        <extend val="0"/>
        <outline val="0"/>
        <shadow val="0"/>
        <u val="none"/>
        <vertAlign val="baseline"/>
        <sz val="10"/>
        <color theme="1"/>
        <name val="Microsoft Sans Serif"/>
        <scheme val="none"/>
      </font>
      <numFmt numFmtId="0" formatCode="General"/>
      <fill>
        <patternFill patternType="none">
          <fgColor indexed="64"/>
          <bgColor indexed="65"/>
        </patternFill>
      </fill>
      <alignment horizontal="left" vertical="center" textRotation="0" wrapText="0" indent="0" justifyLastLine="0" shrinkToFit="0" readingOrder="0"/>
      <border diagonalUp="0" diagonalDown="0" outline="0">
        <left/>
        <right/>
        <top/>
        <bottom/>
      </border>
      <protection locked="0" hidden="0"/>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left" vertical="center" textRotation="0" wrapText="0" indent="0" justifyLastLine="0" shrinkToFit="0" readingOrder="0"/>
      <protection locked="0" hidden="0"/>
    </dxf>
    <dxf>
      <font>
        <b val="0"/>
        <i val="0"/>
        <strike val="0"/>
        <condense val="0"/>
        <extend val="0"/>
        <outline val="0"/>
        <shadow val="0"/>
        <u val="none"/>
        <vertAlign val="baseline"/>
        <sz val="10"/>
        <color theme="1"/>
        <name val="Microsoft Sans Serif"/>
        <scheme val="none"/>
      </font>
      <numFmt numFmtId="0" formatCode="General"/>
      <fill>
        <patternFill patternType="none">
          <fgColor indexed="64"/>
          <bgColor indexed="65"/>
        </patternFill>
      </fill>
      <alignment horizontal="left" vertical="center" textRotation="0" wrapText="0" indent="0" justifyLastLine="0" shrinkToFit="0" readingOrder="0"/>
      <border diagonalUp="0" diagonalDown="0" outline="0">
        <left/>
        <right/>
        <top/>
        <bottom/>
      </border>
      <protection locked="0" hidden="0"/>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left" vertical="center" textRotation="0" wrapText="0" indent="0" justifyLastLine="0" shrinkToFit="0" readingOrder="0"/>
      <protection locked="0" hidden="0"/>
    </dxf>
    <dxf>
      <font>
        <b val="0"/>
        <i val="0"/>
        <strike val="0"/>
        <condense val="0"/>
        <extend val="0"/>
        <outline val="0"/>
        <shadow val="0"/>
        <u val="none"/>
        <vertAlign val="baseline"/>
        <sz val="10"/>
        <color theme="1"/>
        <name val="Microsoft Sans Serif"/>
        <scheme val="none"/>
      </font>
      <numFmt numFmtId="0" formatCode="General"/>
      <fill>
        <patternFill patternType="none">
          <fgColor indexed="64"/>
          <bgColor indexed="65"/>
        </patternFill>
      </fill>
      <alignment horizontal="left" vertical="center" textRotation="0" wrapText="0" indent="0" justifyLastLine="0" shrinkToFit="0" readingOrder="0"/>
      <border diagonalUp="0" diagonalDown="0" outline="0">
        <left/>
        <right/>
        <top/>
        <bottom/>
      </border>
      <protection locked="0" hidden="0"/>
    </dxf>
    <dxf>
      <font>
        <sz val="10"/>
        <color theme="1"/>
        <name val="Calibri"/>
        <scheme val="minor"/>
      </font>
      <fill>
        <patternFill patternType="none">
          <fgColor indexed="64"/>
          <bgColor indexed="65"/>
        </patternFill>
      </fill>
      <alignment horizontal="left" vertical="center" textRotation="0" wrapText="0" indent="0" justifyLastLine="0" shrinkToFit="0" readingOrder="0"/>
      <protection locked="0" hidden="0"/>
    </dxf>
    <dxf>
      <font>
        <b val="0"/>
        <i val="0"/>
        <strike val="0"/>
        <condense val="0"/>
        <extend val="0"/>
        <outline val="0"/>
        <shadow val="0"/>
        <u val="none"/>
        <vertAlign val="baseline"/>
        <sz val="10"/>
        <color theme="1"/>
        <name val="Microsoft Sans Serif"/>
        <scheme val="none"/>
      </font>
      <numFmt numFmtId="0" formatCode="General"/>
      <fill>
        <patternFill patternType="none">
          <fgColor indexed="64"/>
          <bgColor indexed="65"/>
        </patternFill>
      </fill>
      <alignment horizontal="left" vertical="center" textRotation="0" wrapText="0" indent="0" justifyLastLine="0" shrinkToFit="0" readingOrder="0"/>
      <border diagonalUp="0" diagonalDown="0" outline="0">
        <left/>
        <right/>
        <top/>
        <bottom/>
      </border>
      <protection locked="0" hidden="0"/>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left" vertical="center" textRotation="0" wrapText="0" indent="0" justifyLastLine="0" shrinkToFit="0" readingOrder="0"/>
      <protection locked="0" hidden="0"/>
    </dxf>
    <dxf>
      <font>
        <b val="0"/>
        <i val="0"/>
        <strike val="0"/>
        <condense val="0"/>
        <extend val="0"/>
        <outline val="0"/>
        <shadow val="0"/>
        <u val="none"/>
        <vertAlign val="baseline"/>
        <sz val="10"/>
        <color theme="1"/>
        <name val="Microsoft Sans Serif"/>
        <scheme val="none"/>
      </font>
      <numFmt numFmtId="0" formatCode="General"/>
      <fill>
        <patternFill patternType="none">
          <fgColor indexed="64"/>
          <bgColor indexed="65"/>
        </patternFill>
      </fill>
      <alignment horizontal="left" vertical="center" textRotation="0" wrapText="0" indent="0" justifyLastLine="0" shrinkToFit="0" readingOrder="0"/>
      <border diagonalUp="0" diagonalDown="0" outline="0">
        <left/>
        <right/>
        <top/>
        <bottom/>
      </border>
      <protection locked="0" hidden="0"/>
    </dxf>
    <dxf>
      <font>
        <sz val="10"/>
        <color theme="1"/>
        <name val="Calibri"/>
        <scheme val="minor"/>
      </font>
      <fill>
        <patternFill patternType="none">
          <fgColor indexed="64"/>
          <bgColor indexed="65"/>
        </patternFill>
      </fill>
      <alignment horizontal="left" vertical="center" textRotation="0" wrapText="0" indent="0" justifyLastLine="0" shrinkToFit="0" readingOrder="0"/>
      <protection locked="0" hidden="0"/>
    </dxf>
    <dxf>
      <font>
        <b val="0"/>
        <i val="0"/>
        <strike val="0"/>
        <condense val="0"/>
        <extend val="0"/>
        <outline val="0"/>
        <shadow val="0"/>
        <u val="none"/>
        <vertAlign val="baseline"/>
        <sz val="10"/>
        <color theme="1"/>
        <name val="Microsoft Sans Serif"/>
        <scheme val="none"/>
      </font>
      <numFmt numFmtId="0" formatCode="General"/>
      <fill>
        <patternFill patternType="none">
          <fgColor indexed="64"/>
          <bgColor indexed="65"/>
        </patternFill>
      </fill>
      <alignment horizontal="left" vertical="center" textRotation="0" wrapText="0" indent="0" justifyLastLine="0" shrinkToFit="0" readingOrder="0"/>
      <border diagonalUp="0" diagonalDown="0" outline="0">
        <left/>
        <right/>
        <top/>
        <bottom/>
      </border>
      <protection locked="0" hidden="0"/>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left" vertical="center" textRotation="0" wrapText="0" indent="0" justifyLastLine="0" shrinkToFit="0" readingOrder="0"/>
      <protection locked="0" hidden="0"/>
    </dxf>
    <dxf>
      <font>
        <b val="0"/>
        <i val="0"/>
        <strike val="0"/>
        <condense val="0"/>
        <extend val="0"/>
        <outline val="0"/>
        <shadow val="0"/>
        <u val="none"/>
        <vertAlign val="baseline"/>
        <sz val="10"/>
        <color theme="1"/>
        <name val="Microsoft Sans Serif"/>
        <scheme val="none"/>
      </font>
      <numFmt numFmtId="0" formatCode="General"/>
      <fill>
        <patternFill patternType="none">
          <fgColor indexed="64"/>
          <bgColor indexed="65"/>
        </patternFill>
      </fill>
      <alignment horizontal="left" vertical="center" textRotation="0" wrapText="0" indent="0" justifyLastLine="0" shrinkToFit="0" readingOrder="0"/>
      <border diagonalUp="0" diagonalDown="0" outline="0">
        <left/>
        <right/>
        <top/>
        <bottom/>
      </border>
      <protection locked="0" hidden="0"/>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left" vertical="center" textRotation="0" wrapText="0" indent="0" justifyLastLine="0" shrinkToFit="0" readingOrder="0"/>
      <protection locked="0" hidden="0"/>
    </dxf>
    <dxf>
      <font>
        <b val="0"/>
        <i val="0"/>
        <strike val="0"/>
        <condense val="0"/>
        <extend val="0"/>
        <outline val="0"/>
        <shadow val="0"/>
        <u val="none"/>
        <vertAlign val="baseline"/>
        <sz val="10"/>
        <color theme="1"/>
        <name val="Microsoft Sans Serif"/>
        <scheme val="none"/>
      </font>
      <numFmt numFmtId="0" formatCode="General"/>
      <fill>
        <patternFill patternType="none">
          <fgColor indexed="64"/>
          <bgColor indexed="65"/>
        </patternFill>
      </fill>
      <alignment horizontal="left" vertical="center" textRotation="0" wrapText="0" indent="0" justifyLastLine="0" shrinkToFit="0" readingOrder="0"/>
      <border diagonalUp="0" diagonalDown="0" outline="0">
        <left/>
        <right/>
        <top/>
        <bottom/>
      </border>
      <protection locked="0" hidden="0"/>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left" vertical="center" textRotation="0" wrapText="0" indent="0" justifyLastLine="0" shrinkToFit="0" readingOrder="0"/>
      <protection locked="0" hidden="0"/>
    </dxf>
    <dxf>
      <font>
        <b val="0"/>
        <i val="0"/>
        <strike val="0"/>
        <condense val="0"/>
        <extend val="0"/>
        <outline val="0"/>
        <shadow val="0"/>
        <u val="none"/>
        <vertAlign val="baseline"/>
        <sz val="10"/>
        <color theme="1"/>
        <name val="Microsoft Sans Serif"/>
        <scheme val="none"/>
      </font>
      <numFmt numFmtId="0" formatCode="General"/>
      <fill>
        <patternFill patternType="none">
          <fgColor indexed="64"/>
          <bgColor indexed="65"/>
        </patternFill>
      </fill>
      <alignment horizontal="left" vertical="center" textRotation="0" wrapText="0" indent="0" justifyLastLine="0" shrinkToFit="0" readingOrder="0"/>
      <border diagonalUp="0" diagonalDown="0" outline="0">
        <left/>
        <right/>
        <top/>
        <bottom/>
      </border>
      <protection locked="0" hidden="0"/>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left" vertical="center" textRotation="0" wrapText="0" indent="0" justifyLastLine="0" shrinkToFit="0" readingOrder="0"/>
      <protection locked="0" hidden="0"/>
    </dxf>
    <dxf>
      <font>
        <b val="0"/>
        <i val="0"/>
        <strike val="0"/>
        <condense val="0"/>
        <extend val="0"/>
        <outline val="0"/>
        <shadow val="0"/>
        <u val="none"/>
        <vertAlign val="baseline"/>
        <sz val="10"/>
        <color theme="1"/>
        <name val="Microsoft Sans Serif"/>
        <scheme val="none"/>
      </font>
      <numFmt numFmtId="0" formatCode="General"/>
      <fill>
        <patternFill patternType="none">
          <fgColor indexed="64"/>
          <bgColor indexed="65"/>
        </patternFill>
      </fill>
      <alignment horizontal="left" vertical="center" textRotation="0" wrapText="0" indent="0" justifyLastLine="0" shrinkToFit="0" readingOrder="0"/>
      <border diagonalUp="0" diagonalDown="0" outline="0">
        <left/>
        <right/>
        <top/>
        <bottom/>
      </border>
      <protection locked="0" hidden="0"/>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left" vertical="center" textRotation="0" wrapText="0" indent="0" justifyLastLine="0" shrinkToFit="0" readingOrder="0"/>
      <protection locked="0" hidden="0"/>
    </dxf>
    <dxf>
      <font>
        <b val="0"/>
        <i val="0"/>
        <strike val="0"/>
        <condense val="0"/>
        <extend val="0"/>
        <outline val="0"/>
        <shadow val="0"/>
        <u val="none"/>
        <vertAlign val="baseline"/>
        <sz val="10"/>
        <color theme="1"/>
        <name val="Microsoft Sans Serif"/>
        <scheme val="none"/>
      </font>
      <numFmt numFmtId="0" formatCode="General"/>
      <fill>
        <patternFill patternType="none">
          <fgColor indexed="64"/>
          <bgColor indexed="65"/>
        </patternFill>
      </fill>
      <alignment horizontal="left" vertical="center" textRotation="0" wrapText="0" indent="0" justifyLastLine="0" shrinkToFit="0" readingOrder="0"/>
      <border diagonalUp="0" diagonalDown="0" outline="0">
        <left/>
        <right/>
        <top/>
        <bottom/>
      </border>
      <protection locked="0" hidden="0"/>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left" vertical="center" textRotation="0" wrapText="0" indent="0" justifyLastLine="0" shrinkToFit="0" readingOrder="0"/>
      <protection locked="0" hidden="0"/>
    </dxf>
    <dxf>
      <font>
        <b val="0"/>
        <i val="0"/>
        <strike val="0"/>
        <condense val="0"/>
        <extend val="0"/>
        <outline val="0"/>
        <shadow val="0"/>
        <u val="none"/>
        <vertAlign val="baseline"/>
        <sz val="10"/>
        <color theme="1"/>
        <name val="Microsoft Sans Serif"/>
        <scheme val="none"/>
      </font>
      <numFmt numFmtId="0" formatCode="General"/>
      <fill>
        <patternFill patternType="none">
          <fgColor indexed="64"/>
          <bgColor indexed="65"/>
        </patternFill>
      </fill>
      <alignment horizontal="left" vertical="center" textRotation="0" wrapText="0" indent="0" justifyLastLine="0" shrinkToFit="0" readingOrder="0"/>
      <border diagonalUp="0" diagonalDown="0" outline="0">
        <left/>
        <right/>
        <top/>
        <bottom/>
      </border>
      <protection locked="0" hidden="0"/>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left" vertical="center" textRotation="0" wrapText="0" indent="0" justifyLastLine="0" shrinkToFit="0" readingOrder="0"/>
      <protection locked="0" hidden="0"/>
    </dxf>
    <dxf>
      <font>
        <b val="0"/>
        <i val="0"/>
        <strike val="0"/>
        <condense val="0"/>
        <extend val="0"/>
        <outline val="0"/>
        <shadow val="0"/>
        <u val="none"/>
        <vertAlign val="baseline"/>
        <sz val="10"/>
        <color theme="1"/>
        <name val="Microsoft Sans Serif"/>
        <scheme val="none"/>
      </font>
      <numFmt numFmtId="0" formatCode="General"/>
      <fill>
        <patternFill patternType="none">
          <fgColor indexed="64"/>
          <bgColor indexed="65"/>
        </patternFill>
      </fill>
      <alignment horizontal="left" vertical="center" textRotation="0" wrapText="0" indent="0" justifyLastLine="0" shrinkToFit="0" readingOrder="0"/>
      <border diagonalUp="0" diagonalDown="0" outline="0">
        <left/>
        <right/>
        <top/>
        <bottom/>
      </border>
      <protection locked="0" hidden="0"/>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left" vertical="center" textRotation="0" wrapText="0" indent="0" justifyLastLine="0" shrinkToFit="0" readingOrder="0"/>
      <protection locked="0" hidden="0"/>
    </dxf>
    <dxf>
      <font>
        <b val="0"/>
        <i val="0"/>
        <strike val="0"/>
        <condense val="0"/>
        <extend val="0"/>
        <outline val="0"/>
        <shadow val="0"/>
        <u val="none"/>
        <vertAlign val="baseline"/>
        <sz val="10"/>
        <color theme="1"/>
        <name val="Microsoft Sans Serif"/>
        <scheme val="none"/>
      </font>
      <numFmt numFmtId="0" formatCode="General"/>
      <fill>
        <patternFill patternType="none">
          <fgColor indexed="64"/>
          <bgColor indexed="65"/>
        </patternFill>
      </fill>
      <alignment horizontal="left" vertical="center" textRotation="0" wrapText="0" indent="0" justifyLastLine="0" shrinkToFit="0" readingOrder="0"/>
      <border diagonalUp="0" diagonalDown="0" outline="0">
        <left/>
        <right/>
        <top/>
        <bottom/>
      </border>
      <protection locked="0" hidden="0"/>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left" vertical="center" textRotation="0" wrapText="0" indent="0" justifyLastLine="0" shrinkToFit="0" readingOrder="0"/>
      <protection locked="0" hidden="0"/>
    </dxf>
    <dxf>
      <font>
        <b val="0"/>
        <i val="0"/>
        <strike val="0"/>
        <condense val="0"/>
        <extend val="0"/>
        <outline val="0"/>
        <shadow val="0"/>
        <u val="none"/>
        <vertAlign val="baseline"/>
        <sz val="10"/>
        <color theme="1"/>
        <name val="Microsoft Sans Serif"/>
        <scheme val="none"/>
      </font>
      <numFmt numFmtId="0" formatCode="General"/>
      <fill>
        <patternFill patternType="none">
          <fgColor indexed="64"/>
          <bgColor indexed="65"/>
        </patternFill>
      </fill>
      <alignment horizontal="left" vertical="center" textRotation="0" wrapText="0" indent="0" justifyLastLine="0" shrinkToFit="0" readingOrder="0"/>
      <border diagonalUp="0" diagonalDown="0" outline="0">
        <left/>
        <right/>
        <top/>
        <bottom/>
      </border>
      <protection locked="0" hidden="0"/>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left" vertical="center" textRotation="0" wrapText="0" indent="0" justifyLastLine="0" shrinkToFit="0" readingOrder="0"/>
      <protection locked="0" hidden="0"/>
    </dxf>
    <dxf>
      <font>
        <b val="0"/>
        <i val="0"/>
        <strike val="0"/>
        <condense val="0"/>
        <extend val="0"/>
        <outline val="0"/>
        <shadow val="0"/>
        <u val="none"/>
        <vertAlign val="baseline"/>
        <sz val="10"/>
        <color theme="1"/>
        <name val="Microsoft Sans Serif"/>
        <scheme val="none"/>
      </font>
      <numFmt numFmtId="0" formatCode="General"/>
      <fill>
        <patternFill patternType="none">
          <fgColor indexed="64"/>
          <bgColor indexed="65"/>
        </patternFill>
      </fill>
      <alignment horizontal="left" vertical="center" textRotation="0" wrapText="0" indent="0" justifyLastLine="0" shrinkToFit="0" readingOrder="0"/>
      <border diagonalUp="0" diagonalDown="0" outline="0">
        <left/>
        <right/>
        <top/>
        <bottom/>
      </border>
      <protection locked="0" hidden="0"/>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left" vertical="center" textRotation="0" wrapText="0" indent="0" justifyLastLine="0" shrinkToFit="0" readingOrder="0"/>
      <protection locked="0" hidden="0"/>
    </dxf>
    <dxf>
      <font>
        <b val="0"/>
        <i val="0"/>
        <strike val="0"/>
        <condense val="0"/>
        <extend val="0"/>
        <outline val="0"/>
        <shadow val="0"/>
        <u val="none"/>
        <vertAlign val="baseline"/>
        <sz val="10"/>
        <color theme="1"/>
        <name val="Microsoft Sans Serif"/>
        <scheme val="none"/>
      </font>
      <numFmt numFmtId="0" formatCode="General"/>
      <fill>
        <patternFill patternType="none">
          <fgColor indexed="64"/>
          <bgColor indexed="65"/>
        </patternFill>
      </fill>
      <alignment horizontal="left" vertical="center" textRotation="0" wrapText="0" indent="0" justifyLastLine="0" shrinkToFit="0" readingOrder="0"/>
      <border diagonalUp="0" diagonalDown="0" outline="0">
        <left/>
        <right/>
        <top/>
        <bottom/>
      </border>
      <protection locked="0" hidden="0"/>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left" vertical="center" textRotation="0" wrapText="0" indent="0" justifyLastLine="0" shrinkToFit="0" readingOrder="0"/>
      <protection locked="0" hidden="0"/>
    </dxf>
    <dxf>
      <font>
        <b val="0"/>
        <i val="0"/>
        <strike val="0"/>
        <condense val="0"/>
        <extend val="0"/>
        <outline val="0"/>
        <shadow val="0"/>
        <u val="none"/>
        <vertAlign val="baseline"/>
        <sz val="10"/>
        <color theme="1"/>
        <name val="Microsoft Sans Serif"/>
        <scheme val="none"/>
      </font>
      <numFmt numFmtId="0" formatCode="General"/>
      <fill>
        <patternFill patternType="none">
          <fgColor indexed="64"/>
          <bgColor indexed="65"/>
        </patternFill>
      </fill>
      <alignment horizontal="left" vertical="center" textRotation="0" wrapText="0" indent="0" justifyLastLine="0" shrinkToFit="0" readingOrder="0"/>
      <border diagonalUp="0" diagonalDown="0" outline="0">
        <left/>
        <right/>
        <top/>
        <bottom/>
      </border>
      <protection locked="0" hidden="0"/>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left" vertical="center" textRotation="0" wrapText="0" indent="0" justifyLastLine="0" shrinkToFit="0" readingOrder="0"/>
      <protection locked="0" hidden="0"/>
    </dxf>
    <dxf>
      <font>
        <b val="0"/>
        <i val="0"/>
        <strike val="0"/>
        <condense val="0"/>
        <extend val="0"/>
        <outline val="0"/>
        <shadow val="0"/>
        <u val="none"/>
        <vertAlign val="baseline"/>
        <sz val="10"/>
        <color theme="1"/>
        <name val="Microsoft Sans Serif"/>
        <scheme val="none"/>
      </font>
      <numFmt numFmtId="0" formatCode="General"/>
      <fill>
        <patternFill patternType="none">
          <fgColor indexed="64"/>
          <bgColor indexed="65"/>
        </patternFill>
      </fill>
      <alignment horizontal="left" vertical="center" textRotation="0" wrapText="0" indent="0" justifyLastLine="0" shrinkToFit="0" readingOrder="0"/>
      <border diagonalUp="0" diagonalDown="0" outline="0">
        <left/>
        <right/>
        <top/>
        <bottom/>
      </border>
      <protection locked="0" hidden="0"/>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left" vertical="center" textRotation="0" wrapText="0" indent="0" justifyLastLine="0" shrinkToFit="0" readingOrder="0"/>
      <protection locked="0" hidden="0"/>
    </dxf>
    <dxf>
      <font>
        <b val="0"/>
        <i val="0"/>
        <strike val="0"/>
        <condense val="0"/>
        <extend val="0"/>
        <outline val="0"/>
        <shadow val="0"/>
        <u val="none"/>
        <vertAlign val="baseline"/>
        <sz val="10"/>
        <color theme="1"/>
        <name val="Microsoft Sans Serif"/>
        <scheme val="none"/>
      </font>
      <numFmt numFmtId="0" formatCode="General"/>
      <fill>
        <patternFill patternType="none">
          <fgColor indexed="64"/>
          <bgColor indexed="65"/>
        </patternFill>
      </fill>
      <alignment horizontal="left" vertical="center" textRotation="0" wrapText="0" indent="0" justifyLastLine="0" shrinkToFit="0" readingOrder="0"/>
      <border diagonalUp="0" diagonalDown="0" outline="0">
        <left/>
        <right/>
        <top/>
        <bottom/>
      </border>
      <protection locked="0" hidden="0"/>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left" vertical="center" textRotation="0" wrapText="0" indent="0" justifyLastLine="0" shrinkToFit="0" readingOrder="0"/>
      <protection locked="0" hidden="0"/>
    </dxf>
    <dxf>
      <font>
        <b val="0"/>
        <i val="0"/>
        <strike val="0"/>
        <condense val="0"/>
        <extend val="0"/>
        <outline val="0"/>
        <shadow val="0"/>
        <u val="none"/>
        <vertAlign val="baseline"/>
        <sz val="10"/>
        <color theme="1"/>
        <name val="Microsoft Sans Serif"/>
        <scheme val="none"/>
      </font>
      <numFmt numFmtId="0" formatCode="General"/>
      <fill>
        <patternFill patternType="none">
          <fgColor indexed="64"/>
          <bgColor indexed="65"/>
        </patternFill>
      </fill>
      <alignment horizontal="left" vertical="center" textRotation="0" wrapText="0" indent="0" justifyLastLine="0" shrinkToFit="0" readingOrder="0"/>
      <border diagonalUp="0" diagonalDown="0" outline="0">
        <left/>
        <right/>
        <top/>
        <bottom/>
      </border>
      <protection locked="0" hidden="0"/>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left" vertical="center" textRotation="0" wrapText="0" indent="0" justifyLastLine="0" shrinkToFit="0" readingOrder="0"/>
      <protection locked="0" hidden="0"/>
    </dxf>
    <dxf>
      <font>
        <b val="0"/>
        <i val="0"/>
        <strike val="0"/>
        <condense val="0"/>
        <extend val="0"/>
        <outline val="0"/>
        <shadow val="0"/>
        <u val="none"/>
        <vertAlign val="baseline"/>
        <sz val="10"/>
        <color theme="1"/>
        <name val="Microsoft Sans Serif"/>
        <scheme val="none"/>
      </font>
      <numFmt numFmtId="0" formatCode="General"/>
      <fill>
        <patternFill patternType="none">
          <fgColor indexed="64"/>
          <bgColor indexed="65"/>
        </patternFill>
      </fill>
      <alignment horizontal="left" vertical="center" textRotation="0" wrapText="0" indent="0" justifyLastLine="0" shrinkToFit="0" readingOrder="0"/>
      <border diagonalUp="0" diagonalDown="0" outline="0">
        <left/>
        <right/>
        <top/>
        <bottom/>
      </border>
      <protection locked="0" hidden="0"/>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left" vertical="center" textRotation="0" wrapText="0" indent="0" justifyLastLine="0" shrinkToFit="0" readingOrder="0"/>
      <protection locked="0" hidden="0"/>
    </dxf>
    <dxf>
      <font>
        <b val="0"/>
        <i val="0"/>
        <strike val="0"/>
        <condense val="0"/>
        <extend val="0"/>
        <outline val="0"/>
        <shadow val="0"/>
        <u val="none"/>
        <vertAlign val="baseline"/>
        <sz val="10"/>
        <color theme="1"/>
        <name val="Microsoft Sans Serif"/>
        <scheme val="none"/>
      </font>
      <numFmt numFmtId="0" formatCode="General"/>
      <fill>
        <patternFill patternType="none">
          <fgColor indexed="64"/>
          <bgColor indexed="65"/>
        </patternFill>
      </fill>
      <alignment horizontal="left" vertical="center" textRotation="0" wrapText="0" indent="0" justifyLastLine="0" shrinkToFit="0" readingOrder="0"/>
      <border diagonalUp="0" diagonalDown="0" outline="0">
        <left/>
        <right/>
        <top/>
        <bottom/>
      </border>
      <protection locked="0" hidden="0"/>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left" vertical="center" textRotation="0" wrapText="0" indent="0" justifyLastLine="0" shrinkToFit="0" readingOrder="0"/>
      <protection locked="0" hidden="0"/>
    </dxf>
    <dxf>
      <font>
        <b val="0"/>
        <i val="0"/>
        <strike val="0"/>
        <condense val="0"/>
        <extend val="0"/>
        <outline val="0"/>
        <shadow val="0"/>
        <u val="none"/>
        <vertAlign val="baseline"/>
        <sz val="10"/>
        <color theme="1"/>
        <name val="Microsoft Sans Serif"/>
        <scheme val="none"/>
      </font>
      <numFmt numFmtId="0" formatCode="General"/>
      <fill>
        <patternFill patternType="none">
          <fgColor indexed="64"/>
          <bgColor indexed="65"/>
        </patternFill>
      </fill>
      <alignment horizontal="left" vertical="center" textRotation="0" wrapText="0" indent="0" justifyLastLine="0" shrinkToFit="0" readingOrder="0"/>
      <border diagonalUp="0" diagonalDown="0" outline="0">
        <left/>
        <right/>
        <top/>
        <bottom/>
      </border>
      <protection locked="0" hidden="0"/>
    </dxf>
    <dxf>
      <font>
        <b val="0"/>
        <i val="0"/>
        <strike val="0"/>
        <condense val="0"/>
        <extend val="0"/>
        <outline val="0"/>
        <shadow val="0"/>
        <u val="none"/>
        <vertAlign val="baseline"/>
        <sz val="10"/>
        <color theme="1"/>
        <name val="Calibri"/>
        <scheme val="minor"/>
      </font>
      <numFmt numFmtId="19" formatCode="dd/mm/yyyy"/>
      <fill>
        <patternFill patternType="none">
          <fgColor indexed="64"/>
          <bgColor indexed="65"/>
        </patternFill>
      </fill>
      <alignment horizontal="left" vertical="center" textRotation="0" wrapText="0" indent="0" justifyLastLine="0" shrinkToFit="0" readingOrder="0"/>
      <protection locked="0" hidden="0"/>
    </dxf>
    <dxf>
      <font>
        <b val="0"/>
        <i val="0"/>
        <strike val="0"/>
        <condense val="0"/>
        <extend val="0"/>
        <outline val="0"/>
        <shadow val="0"/>
        <u val="none"/>
        <vertAlign val="baseline"/>
        <sz val="10"/>
        <color theme="1"/>
        <name val="Microsoft Sans Serif"/>
        <scheme val="none"/>
      </font>
      <numFmt numFmtId="0" formatCode="General"/>
      <fill>
        <patternFill patternType="none">
          <fgColor indexed="64"/>
          <bgColor indexed="65"/>
        </patternFill>
      </fill>
      <alignment horizontal="left" vertical="center" textRotation="0" wrapText="0" indent="0" justifyLastLine="0" shrinkToFit="0" readingOrder="0"/>
      <border diagonalUp="0" diagonalDown="0" outline="0">
        <left/>
        <right/>
        <top/>
        <bottom/>
      </border>
      <protection locked="0" hidden="0"/>
    </dxf>
    <dxf>
      <font>
        <b val="0"/>
        <i val="0"/>
        <strike val="0"/>
        <condense val="0"/>
        <extend val="0"/>
        <outline val="0"/>
        <shadow val="0"/>
        <u val="none"/>
        <vertAlign val="baseline"/>
        <sz val="10"/>
        <color theme="1"/>
        <name val="Calibri"/>
        <scheme val="minor"/>
      </font>
      <numFmt numFmtId="19" formatCode="dd/mm/yyyy"/>
      <fill>
        <patternFill patternType="none">
          <fgColor indexed="64"/>
          <bgColor indexed="65"/>
        </patternFill>
      </fill>
      <alignment horizontal="left" vertical="center" textRotation="0" wrapText="0" indent="0" justifyLastLine="0" shrinkToFit="0" readingOrder="0"/>
      <protection locked="0" hidden="0"/>
    </dxf>
    <dxf>
      <font>
        <strike val="0"/>
        <outline val="0"/>
        <shadow val="0"/>
        <u val="none"/>
        <vertAlign val="baseline"/>
        <sz val="10"/>
        <name val="Calibri"/>
        <scheme val="minor"/>
      </font>
      <alignment horizontal="left" vertical="center" textRotation="0" wrapText="1" indent="0" justifyLastLine="0" shrinkToFit="0" readingOrder="0"/>
      <protection locked="0" hidden="0"/>
    </dxf>
    <dxf>
      <font>
        <strike val="0"/>
        <outline val="0"/>
        <shadow val="0"/>
        <u val="none"/>
        <vertAlign val="baseline"/>
        <sz val="10"/>
        <name val="Calibri"/>
        <scheme val="minor"/>
      </font>
      <alignment vertical="center" textRotation="0" indent="0" justifyLastLine="0" shrinkToFit="0" readingOrder="0"/>
      <protection locked="0" hidden="0"/>
    </dxf>
    <dxf>
      <font>
        <b val="0"/>
        <i val="0"/>
        <strike val="0"/>
        <condense val="0"/>
        <extend val="0"/>
        <outline val="0"/>
        <shadow val="0"/>
        <u val="none"/>
        <vertAlign val="baseline"/>
        <sz val="10"/>
        <color theme="1"/>
        <name val="Microsoft Sans Serif"/>
        <scheme val="none"/>
      </font>
      <numFmt numFmtId="0" formatCode="General"/>
      <fill>
        <patternFill patternType="none">
          <fgColor indexed="64"/>
          <bgColor indexed="65"/>
        </patternFill>
      </fill>
      <alignment horizontal="left" vertical="center" textRotation="0" wrapText="0" indent="0" justifyLastLine="0" shrinkToFit="0" readingOrder="0"/>
      <border diagonalUp="0" diagonalDown="0" outline="0">
        <left/>
        <right/>
        <top/>
        <bottom/>
      </border>
      <protection locked="0" hidden="0"/>
    </dxf>
    <dxf>
      <font>
        <b val="0"/>
        <i val="0"/>
        <strike val="0"/>
        <condense val="0"/>
        <extend val="0"/>
        <outline val="0"/>
        <shadow val="0"/>
        <u val="none"/>
        <vertAlign val="baseline"/>
        <sz val="10"/>
        <color theme="1"/>
        <name val="Calibri"/>
        <scheme val="minor"/>
      </font>
      <fill>
        <patternFill patternType="none">
          <fgColor indexed="64"/>
          <bgColor auto="1"/>
        </patternFill>
      </fill>
      <alignment horizontal="left" vertical="center" textRotation="0" wrapText="0" indent="0" justifyLastLine="0" shrinkToFit="0" readingOrder="0"/>
      <protection locked="0" hidden="0"/>
    </dxf>
    <dxf>
      <font>
        <b val="0"/>
        <i val="0"/>
        <strike val="0"/>
        <condense val="0"/>
        <extend val="0"/>
        <outline val="0"/>
        <shadow val="0"/>
        <u val="none"/>
        <vertAlign val="baseline"/>
        <sz val="10"/>
        <color theme="1"/>
        <name val="Calibri"/>
        <scheme val="minor"/>
      </font>
      <numFmt numFmtId="19" formatCode="dd/mm/yyyy"/>
      <fill>
        <patternFill patternType="none">
          <fgColor indexed="64"/>
          <bgColor indexed="65"/>
        </patternFill>
      </fill>
      <alignment horizontal="left" vertical="center" textRotation="0" wrapText="0" indent="0" justifyLastLine="0" shrinkToFit="0" readingOrder="0"/>
      <protection locked="0" hidden="0"/>
    </dxf>
    <dxf>
      <font>
        <b val="0"/>
        <i val="0"/>
        <strike val="0"/>
        <condense val="0"/>
        <extend val="0"/>
        <outline val="0"/>
        <shadow val="0"/>
        <u val="none"/>
        <vertAlign val="baseline"/>
        <sz val="10"/>
        <color theme="1"/>
        <name val="Microsoft Sans Serif"/>
        <scheme val="none"/>
      </font>
      <numFmt numFmtId="0" formatCode="General"/>
      <fill>
        <patternFill patternType="none">
          <fgColor indexed="64"/>
          <bgColor indexed="65"/>
        </patternFill>
      </fill>
      <alignment horizontal="left" vertical="center" textRotation="0" wrapText="0" indent="0" justifyLastLine="0" shrinkToFit="0" readingOrder="0"/>
      <border diagonalUp="0" diagonalDown="0" outline="0">
        <left/>
        <right/>
        <top/>
        <bottom/>
      </border>
      <protection locked="0" hidden="0"/>
    </dxf>
    <dxf>
      <font>
        <strike val="0"/>
        <outline val="0"/>
        <shadow val="0"/>
        <u val="none"/>
        <vertAlign val="baseline"/>
        <sz val="10"/>
        <color theme="1"/>
        <name val="Calibri"/>
        <scheme val="minor"/>
      </font>
      <fill>
        <patternFill patternType="none">
          <fgColor indexed="64"/>
          <bgColor indexed="65"/>
        </patternFill>
      </fill>
      <alignment horizontal="left" vertical="center" textRotation="0" wrapText="0" indent="0" justifyLastLine="0" shrinkToFit="0" readingOrder="0"/>
      <protection locked="0" hidden="0"/>
    </dxf>
    <dxf>
      <font>
        <b val="0"/>
        <i val="0"/>
        <strike val="0"/>
        <condense val="0"/>
        <extend val="0"/>
        <outline val="0"/>
        <shadow val="0"/>
        <u val="none"/>
        <vertAlign val="baseline"/>
        <sz val="10"/>
        <color theme="1"/>
        <name val="Microsoft Sans Serif"/>
        <scheme val="none"/>
      </font>
      <numFmt numFmtId="0" formatCode="General"/>
      <fill>
        <patternFill patternType="none">
          <fgColor indexed="64"/>
          <bgColor indexed="65"/>
        </patternFill>
      </fill>
      <alignment horizontal="left" vertical="center" textRotation="0" wrapText="0" indent="0" justifyLastLine="0" shrinkToFit="0" readingOrder="0"/>
      <border diagonalUp="0" diagonalDown="0" outline="0">
        <left/>
        <right/>
        <top/>
        <bottom/>
      </border>
      <protection locked="0" hidden="0"/>
    </dxf>
    <dxf>
      <font>
        <strike val="0"/>
        <outline val="0"/>
        <shadow val="0"/>
        <u val="none"/>
        <vertAlign val="baseline"/>
        <sz val="10"/>
        <color theme="1"/>
        <name val="Calibri"/>
        <scheme val="minor"/>
      </font>
      <fill>
        <patternFill patternType="none">
          <fgColor indexed="64"/>
          <bgColor indexed="65"/>
        </patternFill>
      </fill>
      <alignment horizontal="left" vertical="center" textRotation="0" wrapText="0" indent="0" justifyLastLine="0" shrinkToFit="0" readingOrder="0"/>
      <protection locked="0" hidden="0"/>
    </dxf>
    <dxf>
      <font>
        <b val="0"/>
        <i val="0"/>
        <strike val="0"/>
        <condense val="0"/>
        <extend val="0"/>
        <outline val="0"/>
        <shadow val="0"/>
        <u val="none"/>
        <vertAlign val="baseline"/>
        <sz val="10"/>
        <color theme="1"/>
        <name val="Microsoft Sans Serif"/>
        <scheme val="none"/>
      </font>
      <numFmt numFmtId="0" formatCode="General"/>
      <fill>
        <patternFill patternType="none">
          <fgColor indexed="64"/>
          <bgColor indexed="65"/>
        </patternFill>
      </fill>
      <alignment horizontal="left" vertical="center" textRotation="0" wrapText="0" indent="0" justifyLastLine="0" shrinkToFit="0" readingOrder="0"/>
      <border diagonalUp="0" diagonalDown="0" outline="0">
        <left/>
        <right/>
        <top/>
        <bottom/>
      </border>
      <protection locked="0" hidden="0"/>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left" vertical="center" textRotation="0" wrapText="1" indent="0" justifyLastLine="0" shrinkToFit="0" readingOrder="0"/>
      <protection locked="0" hidden="0"/>
    </dxf>
    <dxf>
      <font>
        <b val="0"/>
        <i val="0"/>
        <strike val="0"/>
        <condense val="0"/>
        <extend val="0"/>
        <outline val="0"/>
        <shadow val="0"/>
        <u val="none"/>
        <vertAlign val="baseline"/>
        <sz val="10"/>
        <color theme="1"/>
        <name val="Microsoft Sans Serif"/>
        <scheme val="none"/>
      </font>
      <numFmt numFmtId="0" formatCode="General"/>
      <fill>
        <patternFill patternType="none">
          <fgColor indexed="64"/>
          <bgColor indexed="65"/>
        </patternFill>
      </fill>
      <alignment horizontal="left" vertical="center" textRotation="0" wrapText="0" indent="0" justifyLastLine="0" shrinkToFit="0" readingOrder="0"/>
      <border diagonalUp="0" diagonalDown="0" outline="0">
        <left/>
        <right/>
        <top/>
        <bottom/>
      </border>
      <protection locked="0" hidden="0"/>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left" vertical="center" textRotation="0" wrapText="0" indent="0" justifyLastLine="0" shrinkToFit="0" readingOrder="0"/>
      <protection locked="0" hidden="0"/>
    </dxf>
    <dxf>
      <font>
        <strike val="0"/>
        <outline val="0"/>
        <shadow val="0"/>
        <u val="none"/>
        <vertAlign val="baseline"/>
        <sz val="10"/>
        <name val="Calibri"/>
        <scheme val="minor"/>
      </font>
      <protection locked="0" hidden="0"/>
    </dxf>
    <dxf>
      <font>
        <strike val="0"/>
        <outline val="0"/>
        <shadow val="0"/>
        <u val="none"/>
        <vertAlign val="baseline"/>
        <sz val="10"/>
        <name val="Calibri"/>
        <scheme val="minor"/>
      </font>
      <protection locked="0" hidden="0"/>
    </dxf>
    <dxf>
      <font>
        <b val="0"/>
        <i val="0"/>
        <strike val="0"/>
        <condense val="0"/>
        <extend val="0"/>
        <outline val="0"/>
        <shadow val="0"/>
        <u val="none"/>
        <vertAlign val="baseline"/>
        <sz val="10"/>
        <color theme="1"/>
        <name val="Microsoft Sans Serif"/>
        <scheme val="none"/>
      </font>
      <numFmt numFmtId="0" formatCode="General"/>
      <fill>
        <patternFill patternType="none">
          <fgColor indexed="64"/>
          <bgColor indexed="65"/>
        </patternFill>
      </fill>
      <alignment horizontal="left" vertical="center" textRotation="0" wrapText="0" indent="0" justifyLastLine="0" shrinkToFit="0" readingOrder="0"/>
      <border diagonalUp="0" diagonalDown="0" outline="0">
        <left/>
        <right/>
        <top/>
        <bottom/>
      </border>
      <protection locked="0" hidden="0"/>
    </dxf>
    <dxf>
      <font>
        <b val="0"/>
        <i val="0"/>
        <strike val="0"/>
        <condense val="0"/>
        <extend val="0"/>
        <outline val="0"/>
        <shadow val="0"/>
        <u val="none"/>
        <vertAlign val="baseline"/>
        <sz val="10"/>
        <color theme="1"/>
        <name val="Calibri"/>
        <scheme val="minor"/>
      </font>
      <numFmt numFmtId="1" formatCode="0"/>
      <fill>
        <patternFill patternType="none">
          <fgColor indexed="64"/>
          <bgColor indexed="65"/>
        </patternFill>
      </fill>
      <alignment horizontal="left" vertical="center" textRotation="0" wrapText="0" indent="0" justifyLastLine="0" shrinkToFit="0" readingOrder="0"/>
      <protection locked="0" hidden="0"/>
    </dxf>
    <dxf>
      <font>
        <b val="0"/>
        <i val="0"/>
        <strike val="0"/>
        <condense val="0"/>
        <extend val="0"/>
        <outline val="0"/>
        <shadow val="0"/>
        <u val="none"/>
        <vertAlign val="baseline"/>
        <sz val="10"/>
        <color theme="1"/>
        <name val="Microsoft Sans Serif"/>
        <scheme val="none"/>
      </font>
      <numFmt numFmtId="0" formatCode="General"/>
      <fill>
        <patternFill patternType="none">
          <fgColor indexed="64"/>
          <bgColor indexed="65"/>
        </patternFill>
      </fill>
      <alignment horizontal="left" vertical="center" textRotation="0" wrapText="0" indent="0" justifyLastLine="0" shrinkToFit="0" readingOrder="0"/>
      <border diagonalUp="0" diagonalDown="0" outline="0">
        <left/>
        <right/>
        <top/>
        <bottom/>
      </border>
      <protection locked="0" hidden="0"/>
    </dxf>
    <dxf>
      <font>
        <strike val="0"/>
        <outline val="0"/>
        <shadow val="0"/>
        <u val="none"/>
        <vertAlign val="baseline"/>
        <sz val="10"/>
        <name val="Calibri"/>
        <scheme val="minor"/>
      </font>
      <numFmt numFmtId="19" formatCode="dd/mm/yyyy"/>
      <protection locked="0" hidden="0"/>
    </dxf>
    <dxf>
      <font>
        <b val="0"/>
        <i val="0"/>
        <strike val="0"/>
        <condense val="0"/>
        <extend val="0"/>
        <outline val="0"/>
        <shadow val="0"/>
        <u val="none"/>
        <vertAlign val="baseline"/>
        <sz val="10"/>
        <color theme="1"/>
        <name val="Microsoft Sans Serif"/>
        <scheme val="none"/>
      </font>
      <numFmt numFmtId="0" formatCode="General"/>
      <fill>
        <patternFill patternType="none">
          <fgColor indexed="64"/>
          <bgColor indexed="65"/>
        </patternFill>
      </fill>
      <alignment horizontal="left" vertical="center" textRotation="0" wrapText="0" indent="0" justifyLastLine="0" shrinkToFit="0" readingOrder="0"/>
      <border diagonalUp="0" diagonalDown="0" outline="0">
        <left/>
        <right/>
        <top/>
        <bottom/>
      </border>
      <protection locked="0" hidden="0"/>
    </dxf>
    <dxf>
      <font>
        <b val="0"/>
        <i val="0"/>
        <strike val="0"/>
        <condense val="0"/>
        <extend val="0"/>
        <outline val="0"/>
        <shadow val="0"/>
        <u val="none"/>
        <vertAlign val="baseline"/>
        <sz val="10"/>
        <color theme="1"/>
        <name val="Calibri"/>
        <scheme val="minor"/>
      </font>
      <fill>
        <patternFill patternType="none">
          <fgColor indexed="64"/>
          <bgColor auto="1"/>
        </patternFill>
      </fill>
      <alignment horizontal="left" vertical="center" textRotation="0" wrapText="0" indent="0" justifyLastLine="0" shrinkToFit="0" readingOrder="0"/>
      <protection locked="0" hidden="0"/>
    </dxf>
    <dxf>
      <font>
        <b val="0"/>
        <i val="0"/>
        <strike val="0"/>
        <condense val="0"/>
        <extend val="0"/>
        <outline val="0"/>
        <shadow val="0"/>
        <u val="none"/>
        <vertAlign val="baseline"/>
        <sz val="10"/>
        <color theme="1"/>
        <name val="Microsoft Sans Serif"/>
        <scheme val="none"/>
      </font>
      <numFmt numFmtId="0" formatCode="General"/>
      <fill>
        <patternFill patternType="none">
          <fgColor indexed="64"/>
          <bgColor indexed="65"/>
        </patternFill>
      </fill>
      <alignment horizontal="left" vertical="center" textRotation="0" wrapText="0" indent="0" justifyLastLine="0" shrinkToFit="0" readingOrder="0"/>
      <border diagonalUp="0" diagonalDown="0" outline="0">
        <left/>
        <right/>
        <top/>
        <bottom/>
      </border>
      <protection locked="0" hidden="0"/>
    </dxf>
    <dxf>
      <font>
        <b val="0"/>
        <i val="0"/>
        <strike val="0"/>
        <condense val="0"/>
        <extend val="0"/>
        <outline val="0"/>
        <shadow val="0"/>
        <u val="none"/>
        <vertAlign val="baseline"/>
        <sz val="10"/>
        <color theme="1"/>
        <name val="Calibri"/>
        <scheme val="minor"/>
      </font>
      <fill>
        <patternFill patternType="none">
          <fgColor indexed="64"/>
          <bgColor auto="1"/>
        </patternFill>
      </fill>
      <alignment horizontal="left" vertical="center" textRotation="0" wrapText="0" indent="0" justifyLastLine="0" shrinkToFit="0" readingOrder="0"/>
      <protection locked="0" hidden="0"/>
    </dxf>
    <dxf>
      <font>
        <b val="0"/>
        <i val="0"/>
        <strike val="0"/>
        <condense val="0"/>
        <extend val="0"/>
        <outline val="0"/>
        <shadow val="0"/>
        <u val="none"/>
        <vertAlign val="baseline"/>
        <sz val="10"/>
        <color theme="1"/>
        <name val="Microsoft Sans Serif"/>
        <scheme val="none"/>
      </font>
      <numFmt numFmtId="0" formatCode="General"/>
      <fill>
        <patternFill patternType="none">
          <fgColor indexed="64"/>
          <bgColor indexed="65"/>
        </patternFill>
      </fill>
      <alignment horizontal="left" vertical="center" textRotation="0" wrapText="0" indent="0" justifyLastLine="0" shrinkToFit="0" readingOrder="0"/>
      <border diagonalUp="0" diagonalDown="0" outline="0">
        <left/>
        <right/>
        <top/>
        <bottom/>
      </border>
      <protection locked="0" hidden="0"/>
    </dxf>
    <dxf>
      <font>
        <b val="0"/>
        <i val="0"/>
        <strike val="0"/>
        <condense val="0"/>
        <extend val="0"/>
        <outline val="0"/>
        <shadow val="0"/>
        <u val="none"/>
        <vertAlign val="baseline"/>
        <sz val="10"/>
        <color theme="1"/>
        <name val="Calibri"/>
        <scheme val="minor"/>
      </font>
      <fill>
        <patternFill patternType="none">
          <fgColor indexed="64"/>
          <bgColor auto="1"/>
        </patternFill>
      </fill>
      <alignment horizontal="left" vertical="center" textRotation="0" wrapText="0" indent="0" justifyLastLine="0" shrinkToFit="0" readingOrder="0"/>
      <protection locked="0" hidden="0"/>
    </dxf>
    <dxf>
      <font>
        <b val="0"/>
        <i val="0"/>
        <strike val="0"/>
        <condense val="0"/>
        <extend val="0"/>
        <outline val="0"/>
        <shadow val="0"/>
        <u val="none"/>
        <vertAlign val="baseline"/>
        <sz val="10"/>
        <color theme="1"/>
        <name val="Microsoft Sans Serif"/>
        <scheme val="none"/>
      </font>
      <numFmt numFmtId="0" formatCode="General"/>
      <fill>
        <patternFill patternType="none">
          <fgColor indexed="64"/>
          <bgColor indexed="65"/>
        </patternFill>
      </fill>
      <alignment horizontal="left" vertical="center" textRotation="0" wrapText="0" indent="0" justifyLastLine="0" shrinkToFit="0" readingOrder="0"/>
      <border diagonalUp="0" diagonalDown="0" outline="0">
        <left/>
        <right/>
        <top/>
        <bottom/>
      </border>
      <protection locked="0" hidden="0"/>
    </dxf>
    <dxf>
      <font>
        <b val="0"/>
        <i val="0"/>
        <strike val="0"/>
        <condense val="0"/>
        <extend val="0"/>
        <outline val="0"/>
        <shadow val="0"/>
        <u val="none"/>
        <vertAlign val="baseline"/>
        <sz val="10"/>
        <color theme="1"/>
        <name val="Calibri"/>
        <scheme val="minor"/>
      </font>
      <fill>
        <patternFill patternType="none">
          <fgColor indexed="64"/>
          <bgColor auto="1"/>
        </patternFill>
      </fill>
      <alignment horizontal="left" vertical="center" textRotation="0" wrapText="0" indent="0" justifyLastLine="0" shrinkToFit="0" readingOrder="0"/>
      <protection locked="0" hidden="0"/>
    </dxf>
    <dxf>
      <font>
        <b val="0"/>
        <i val="0"/>
        <strike val="0"/>
        <condense val="0"/>
        <extend val="0"/>
        <outline val="0"/>
        <shadow val="0"/>
        <u val="none"/>
        <vertAlign val="baseline"/>
        <sz val="10"/>
        <color theme="1"/>
        <name val="Microsoft Sans Serif"/>
        <scheme val="none"/>
      </font>
      <numFmt numFmtId="0" formatCode="General"/>
      <fill>
        <patternFill patternType="none">
          <fgColor indexed="64"/>
          <bgColor indexed="65"/>
        </patternFill>
      </fill>
      <alignment horizontal="left" vertical="center" textRotation="0" wrapText="0" indent="0" justifyLastLine="0" shrinkToFit="0" readingOrder="0"/>
      <border diagonalUp="0" diagonalDown="0" outline="0">
        <left/>
        <right/>
        <top/>
        <bottom/>
      </border>
      <protection locked="0" hidden="0"/>
    </dxf>
    <dxf>
      <font>
        <b val="0"/>
        <i val="0"/>
        <strike val="0"/>
        <condense val="0"/>
        <extend val="0"/>
        <outline val="0"/>
        <shadow val="0"/>
        <u val="none"/>
        <vertAlign val="baseline"/>
        <sz val="10"/>
        <color theme="1"/>
        <name val="Calibri"/>
        <scheme val="minor"/>
      </font>
      <numFmt numFmtId="0" formatCode="General"/>
      <fill>
        <patternFill patternType="none">
          <fgColor indexed="64"/>
          <bgColor indexed="65"/>
        </patternFill>
      </fill>
      <alignment horizontal="left" vertical="center" textRotation="0" wrapText="0" indent="0" justifyLastLine="0" shrinkToFit="0" readingOrder="0"/>
      <protection locked="0" hidden="0"/>
    </dxf>
    <dxf>
      <font>
        <b val="0"/>
        <i val="0"/>
        <strike val="0"/>
        <condense val="0"/>
        <extend val="0"/>
        <outline val="0"/>
        <shadow val="0"/>
        <u val="none"/>
        <vertAlign val="baseline"/>
        <sz val="10"/>
        <color theme="1"/>
        <name val="Microsoft Sans Serif"/>
        <scheme val="none"/>
      </font>
      <numFmt numFmtId="0" formatCode="General"/>
      <fill>
        <patternFill patternType="none">
          <fgColor indexed="64"/>
          <bgColor indexed="65"/>
        </patternFill>
      </fill>
      <alignment horizontal="left" vertical="center" textRotation="0" wrapText="0" indent="0" justifyLastLine="0" shrinkToFit="0" readingOrder="0"/>
      <border diagonalUp="0" diagonalDown="0" outline="0">
        <left/>
        <right/>
        <top/>
        <bottom/>
      </border>
      <protection locked="0" hidden="0"/>
    </dxf>
    <dxf>
      <font>
        <b val="0"/>
        <i val="0"/>
        <strike val="0"/>
        <condense val="0"/>
        <extend val="0"/>
        <outline val="0"/>
        <shadow val="0"/>
        <u val="none"/>
        <vertAlign val="baseline"/>
        <sz val="10"/>
        <color theme="1"/>
        <name val="Calibri"/>
        <scheme val="minor"/>
      </font>
      <numFmt numFmtId="0" formatCode="General"/>
      <fill>
        <patternFill patternType="none">
          <fgColor indexed="64"/>
          <bgColor auto="1"/>
        </patternFill>
      </fill>
      <alignment horizontal="left" vertical="center" textRotation="0" wrapText="0" indent="0" justifyLastLine="0" shrinkToFit="0" readingOrder="0"/>
      <protection locked="0" hidden="0"/>
    </dxf>
    <dxf>
      <font>
        <strike val="0"/>
        <outline val="0"/>
        <shadow val="0"/>
        <u val="none"/>
        <vertAlign val="baseline"/>
        <sz val="10"/>
        <name val="Calibri"/>
        <scheme val="minor"/>
      </font>
      <protection locked="1" hidden="0"/>
    </dxf>
    <dxf>
      <border diagonalUp="0" diagonalDown="0">
        <left/>
        <right/>
        <top/>
        <bottom style="dotted">
          <color indexed="64"/>
        </bottom>
      </border>
    </dxf>
    <dxf>
      <font>
        <b val="0"/>
        <i val="0"/>
        <strike val="0"/>
        <condense val="0"/>
        <extend val="0"/>
        <outline val="0"/>
        <shadow val="0"/>
        <u val="none"/>
        <vertAlign val="baseline"/>
        <sz val="10"/>
        <color theme="1"/>
        <name val="Calibri"/>
        <scheme val="minor"/>
      </font>
      <fill>
        <patternFill patternType="none">
          <fgColor indexed="64"/>
          <bgColor auto="1"/>
        </patternFill>
      </fill>
      <alignment horizontal="left" vertical="center" textRotation="0" wrapText="0" indent="0" justifyLastLine="0" shrinkToFit="0" readingOrder="0"/>
      <protection locked="1" hidden="0"/>
    </dxf>
    <dxf>
      <font>
        <b/>
        <i val="0"/>
        <strike val="0"/>
        <condense val="0"/>
        <extend val="0"/>
        <outline val="0"/>
        <shadow val="0"/>
        <u val="none"/>
        <vertAlign val="baseline"/>
        <sz val="10"/>
        <color theme="0"/>
        <name val="Calibri"/>
        <scheme val="minor"/>
      </font>
      <fill>
        <patternFill patternType="none">
          <fgColor indexed="64"/>
          <bgColor auto="1"/>
        </patternFill>
      </fill>
      <alignment horizontal="left" vertical="center" textRotation="0" wrapText="1" indent="0" justifyLastLine="0" shrinkToFit="0" readingOrder="0"/>
      <protection locked="1" hidden="0"/>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Outcome Star</a:t>
            </a:r>
          </a:p>
        </c:rich>
      </c:tx>
      <c:overlay val="0"/>
    </c:title>
    <c:autoTitleDeleted val="0"/>
    <c:plotArea>
      <c:layout/>
      <c:radarChart>
        <c:radarStyle val="marker"/>
        <c:varyColors val="0"/>
        <c:ser>
          <c:idx val="0"/>
          <c:order val="0"/>
          <c:tx>
            <c:v>Starting Assessment</c:v>
          </c:tx>
          <c:marker>
            <c:symbol val="none"/>
          </c:marker>
          <c:cat>
            <c:strRef>
              <c:f>'User Data'!$V$2:$AE$2</c:f>
              <c:strCache>
                <c:ptCount val="10"/>
                <c:pt idx="0">
                  <c:v>Motivation and Taking Responsibility</c:v>
                </c:pt>
                <c:pt idx="1">
                  <c:v>Self-Care and Living Skills</c:v>
                </c:pt>
                <c:pt idx="2">
                  <c:v>Managing Money and Personal Administration</c:v>
                </c:pt>
                <c:pt idx="3">
                  <c:v>Social Networks and Relationships</c:v>
                </c:pt>
                <c:pt idx="4">
                  <c:v>Drug and Alcohol Misuse</c:v>
                </c:pt>
                <c:pt idx="5">
                  <c:v>Physical Health</c:v>
                </c:pt>
                <c:pt idx="6">
                  <c:v>Emotional and Mental Health</c:v>
                </c:pt>
                <c:pt idx="7">
                  <c:v>Meaningful Use of Time</c:v>
                </c:pt>
                <c:pt idx="8">
                  <c:v>Managing Tenancy and Accommodation</c:v>
                </c:pt>
                <c:pt idx="9">
                  <c:v>Offending</c:v>
                </c:pt>
              </c:strCache>
            </c:strRef>
          </c:cat>
          <c:val>
            <c:numRef>
              <c:f>'Outcomes Star'!$B$5:$K$5</c:f>
              <c:numCache>
                <c:formatCode>General</c:formatCode>
                <c:ptCount val="10"/>
                <c:pt idx="0">
                  <c:v>#N/A</c:v>
                </c:pt>
                <c:pt idx="1">
                  <c:v>#N/A</c:v>
                </c:pt>
                <c:pt idx="2">
                  <c:v>#N/A</c:v>
                </c:pt>
                <c:pt idx="3">
                  <c:v>#N/A</c:v>
                </c:pt>
                <c:pt idx="4">
                  <c:v>#N/A</c:v>
                </c:pt>
                <c:pt idx="5">
                  <c:v>#N/A</c:v>
                </c:pt>
                <c:pt idx="6">
                  <c:v>#N/A</c:v>
                </c:pt>
                <c:pt idx="7">
                  <c:v>#N/A</c:v>
                </c:pt>
                <c:pt idx="8">
                  <c:v>#N/A</c:v>
                </c:pt>
                <c:pt idx="9">
                  <c:v>#N/A</c:v>
                </c:pt>
              </c:numCache>
            </c:numRef>
          </c:val>
        </c:ser>
        <c:ser>
          <c:idx val="1"/>
          <c:order val="1"/>
          <c:tx>
            <c:v>Last Assessment</c:v>
          </c:tx>
          <c:marker>
            <c:symbol val="none"/>
          </c:marker>
          <c:cat>
            <c:strRef>
              <c:f>'User Data'!$V$2:$AE$2</c:f>
              <c:strCache>
                <c:ptCount val="10"/>
                <c:pt idx="0">
                  <c:v>Motivation and Taking Responsibility</c:v>
                </c:pt>
                <c:pt idx="1">
                  <c:v>Self-Care and Living Skills</c:v>
                </c:pt>
                <c:pt idx="2">
                  <c:v>Managing Money and Personal Administration</c:v>
                </c:pt>
                <c:pt idx="3">
                  <c:v>Social Networks and Relationships</c:v>
                </c:pt>
                <c:pt idx="4">
                  <c:v>Drug and Alcohol Misuse</c:v>
                </c:pt>
                <c:pt idx="5">
                  <c:v>Physical Health</c:v>
                </c:pt>
                <c:pt idx="6">
                  <c:v>Emotional and Mental Health</c:v>
                </c:pt>
                <c:pt idx="7">
                  <c:v>Meaningful Use of Time</c:v>
                </c:pt>
                <c:pt idx="8">
                  <c:v>Managing Tenancy and Accommodation</c:v>
                </c:pt>
                <c:pt idx="9">
                  <c:v>Offending</c:v>
                </c:pt>
              </c:strCache>
            </c:strRef>
          </c:cat>
          <c:val>
            <c:numRef>
              <c:f>'Outcomes Star'!$L$5:$U$5</c:f>
              <c:numCache>
                <c:formatCode>General</c:formatCode>
                <c:ptCount val="10"/>
                <c:pt idx="0">
                  <c:v>#N/A</c:v>
                </c:pt>
                <c:pt idx="1">
                  <c:v>#N/A</c:v>
                </c:pt>
                <c:pt idx="2">
                  <c:v>#N/A</c:v>
                </c:pt>
                <c:pt idx="3">
                  <c:v>#N/A</c:v>
                </c:pt>
                <c:pt idx="4">
                  <c:v>#N/A</c:v>
                </c:pt>
                <c:pt idx="5">
                  <c:v>#N/A</c:v>
                </c:pt>
                <c:pt idx="6">
                  <c:v>#N/A</c:v>
                </c:pt>
                <c:pt idx="7">
                  <c:v>#N/A</c:v>
                </c:pt>
                <c:pt idx="8">
                  <c:v>#N/A</c:v>
                </c:pt>
                <c:pt idx="9">
                  <c:v>#N/A</c:v>
                </c:pt>
              </c:numCache>
            </c:numRef>
          </c:val>
        </c:ser>
        <c:dLbls>
          <c:showLegendKey val="0"/>
          <c:showVal val="0"/>
          <c:showCatName val="0"/>
          <c:showSerName val="0"/>
          <c:showPercent val="0"/>
          <c:showBubbleSize val="0"/>
        </c:dLbls>
        <c:axId val="95660288"/>
        <c:axId val="95678464"/>
      </c:radarChart>
      <c:catAx>
        <c:axId val="95660288"/>
        <c:scaling>
          <c:orientation val="minMax"/>
        </c:scaling>
        <c:delete val="0"/>
        <c:axPos val="b"/>
        <c:majorGridlines/>
        <c:majorTickMark val="out"/>
        <c:minorTickMark val="none"/>
        <c:tickLblPos val="nextTo"/>
        <c:crossAx val="95678464"/>
        <c:crosses val="autoZero"/>
        <c:auto val="1"/>
        <c:lblAlgn val="ctr"/>
        <c:lblOffset val="100"/>
        <c:noMultiLvlLbl val="0"/>
      </c:catAx>
      <c:valAx>
        <c:axId val="95678464"/>
        <c:scaling>
          <c:orientation val="minMax"/>
          <c:max val="10"/>
          <c:min val="0"/>
        </c:scaling>
        <c:delete val="0"/>
        <c:axPos val="l"/>
        <c:majorGridlines/>
        <c:numFmt formatCode="General" sourceLinked="1"/>
        <c:majorTickMark val="cross"/>
        <c:minorTickMark val="none"/>
        <c:tickLblPos val="nextTo"/>
        <c:crossAx val="95660288"/>
        <c:crosses val="autoZero"/>
        <c:crossBetween val="between"/>
      </c:valAx>
    </c:plotArea>
    <c:legend>
      <c:legendPos val="b"/>
      <c:overlay val="0"/>
    </c:legend>
    <c:plotVisOnly val="1"/>
    <c:dispBlanksAs val="gap"/>
    <c:showDLblsOverMax val="0"/>
  </c:chart>
  <c:spPr>
    <a:ln>
      <a:noFill/>
    </a:ln>
  </c:sp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2024062</xdr:colOff>
      <xdr:row>5</xdr:row>
      <xdr:rowOff>95250</xdr:rowOff>
    </xdr:from>
    <xdr:to>
      <xdr:col>6</xdr:col>
      <xdr:colOff>11906</xdr:colOff>
      <xdr:row>43</xdr:row>
      <xdr:rowOff>130968</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ables/table1.xml><?xml version="1.0" encoding="utf-8"?>
<table xmlns="http://schemas.openxmlformats.org/spreadsheetml/2006/main" id="1" name="Table1" displayName="Table1" ref="B2:GN600" headerRowDxfId="388" dataDxfId="387" totalsRowDxfId="385" tableBorderDxfId="386" headerRowCellStyle="Normal 2" dataCellStyle="Normal 2">
  <tableColumns count="195">
    <tableColumn id="1" name="Service" totalsRowLabel="Total" dataDxfId="384" totalsRowDxfId="383" dataCellStyle="Normal 2">
      <calculatedColumnFormula>+'Service Data'!$C$5:$C$5</calculatedColumnFormula>
    </tableColumn>
    <tableColumn id="195" name="Name" dataDxfId="382" totalsRowDxfId="381" dataCellStyle="Normal 2"/>
    <tableColumn id="7" name="Ethnicity" dataDxfId="380" totalsRowDxfId="379" dataCellStyle="Normal 2"/>
    <tableColumn id="8" name="Disability" dataDxfId="378" totalsRowDxfId="377" dataCellStyle="Normal 2"/>
    <tableColumn id="10" name="Sexual Orientation" dataDxfId="376" totalsRowDxfId="375" dataCellStyle="Normal 2"/>
    <tableColumn id="9" name="Religion" dataDxfId="374" totalsRowDxfId="373" dataCellStyle="Normal 2"/>
    <tableColumn id="2" name="Date of Birth" dataDxfId="372" totalsRowDxfId="371"/>
    <tableColumn id="194" name="Age" dataDxfId="370" totalsRowDxfId="369" dataCellStyle="Normal 2">
      <calculatedColumnFormula>IF(Table1[[#This Row],[Date of Birth]]="","",SUM(TODAY()-Table1[[#This Row],[Date of Birth]])/365)</calculatedColumnFormula>
    </tableColumn>
    <tableColumn id="3" name="Sex" dataDxfId="368"/>
    <tableColumn id="38" name="Gender the Same at Birth?" dataDxfId="367"/>
    <tableColumn id="12" name="Current Local Authority" dataDxfId="366" totalsRowDxfId="365" dataCellStyle="Normal 2"/>
    <tableColumn id="141" name="Current Postcode" dataDxfId="364" totalsRowDxfId="363" dataCellStyle="Normal 2 2"/>
    <tableColumn id="6" name="Current Living Status" dataDxfId="362" totalsRowDxfId="361" dataCellStyle="Normal 2"/>
    <tableColumn id="34" name="Former Service User?" dataDxfId="360" totalsRowDxfId="359" dataCellStyle="Normal 2"/>
    <tableColumn id="36" name="Date Referral was Received" dataDxfId="358" dataCellStyle="Normal 2"/>
    <tableColumn id="11" name="Referral Source" dataDxfId="357" totalsRowDxfId="356" dataCellStyle="Normal 2"/>
    <tableColumn id="4" name="Referral Decision" dataDxfId="355"/>
    <tableColumn id="5" name="Reason for Rejection" dataDxfId="354"/>
    <tableColumn id="13" name="Start Date" dataDxfId="353" totalsRowDxfId="352" dataCellStyle="Normal 2"/>
    <tableColumn id="14" name="Date of Initial Assessment" dataDxfId="351" totalsRowDxfId="350" dataCellStyle="Normal 2"/>
    <tableColumn id="15" name="Motivation and Taking Responsibility" dataDxfId="349" totalsRowDxfId="348" dataCellStyle="Normal 2"/>
    <tableColumn id="16" name="Self-Care and Living Skills" dataDxfId="347" totalsRowDxfId="346" dataCellStyle="Normal 2"/>
    <tableColumn id="17" name="Managing Money and Personal Administration" dataDxfId="345" totalsRowDxfId="344" dataCellStyle="Normal 2"/>
    <tableColumn id="18" name="Social Networks and Relationships" dataDxfId="343" totalsRowDxfId="342" dataCellStyle="Normal 2"/>
    <tableColumn id="19" name="Drug and Alcohol Misuse" dataDxfId="341" totalsRowDxfId="340" dataCellStyle="Normal 2"/>
    <tableColumn id="20" name="Physical Health" dataDxfId="339" totalsRowDxfId="338" dataCellStyle="Normal 2"/>
    <tableColumn id="21" name="Emotional and Mental Health" dataDxfId="337" totalsRowDxfId="336" dataCellStyle="Normal 2"/>
    <tableColumn id="41" name="Meaningful Use of Time" dataDxfId="335" totalsRowDxfId="334" dataCellStyle="Normal 2"/>
    <tableColumn id="40" name="Managing Tenancy and Accommodation" dataDxfId="333" totalsRowDxfId="332" dataCellStyle="Normal 2"/>
    <tableColumn id="62" name="Offending" dataDxfId="331" totalsRowDxfId="330" dataCellStyle="Normal 2"/>
    <tableColumn id="44" name="Registered with GP" dataDxfId="329" totalsRowDxfId="328" dataCellStyle="Normal 2"/>
    <tableColumn id="45" name="Registered with Dentist" dataDxfId="327" totalsRowDxfId="326" dataCellStyle="Normal 2"/>
    <tableColumn id="79" name="Pregnant" dataDxfId="325" totalsRowDxfId="324" dataCellStyle="Normal 2"/>
    <tableColumn id="80" name="Accessing Midwife Service" dataDxfId="323" totalsRowDxfId="322" dataCellStyle="Normal 2"/>
    <tableColumn id="81" name="Learning Disability" dataDxfId="321" totalsRowDxfId="320" dataCellStyle="Normal 2"/>
    <tableColumn id="46" name="EET" dataDxfId="319" totalsRowDxfId="318" dataCellStyle="Normal 2"/>
    <tableColumn id="37" name="Educational Level" dataDxfId="317" totalsRowDxfId="316" dataCellStyle="Normal 2"/>
    <tableColumn id="58" name="Benefits Claimed" dataDxfId="315" totalsRowDxfId="314" dataCellStyle="Normal 2"/>
    <tableColumn id="52" name="Child 1 Name" dataDxfId="313" totalsRowDxfId="312" dataCellStyle="Normal 2"/>
    <tableColumn id="39" name="Child 1 Age" dataDxfId="311" totalsRowDxfId="310" dataCellStyle="Normal 2"/>
    <tableColumn id="53" name="Child 1 Protection Category" dataDxfId="309" totalsRowDxfId="308" dataCellStyle="Normal 2"/>
    <tableColumn id="64" name="Child 1 Child in Need" dataDxfId="307" totalsRowDxfId="306" dataCellStyle="Normal 2"/>
    <tableColumn id="65" name="Child 1 Early Help Record and Plan" dataDxfId="305" totalsRowDxfId="304" dataCellStyle="Normal 2"/>
    <tableColumn id="63" name="Child 1 Registered with GP" dataDxfId="303" totalsRowDxfId="302" dataCellStyle="Normal 2"/>
    <tableColumn id="67" name="Child 1 Attend School" dataDxfId="301" totalsRowDxfId="300" dataCellStyle="Normal 2"/>
    <tableColumn id="68" name="Child 1 Health Visitor" dataDxfId="299" totalsRowDxfId="298" dataCellStyle="Normal 2"/>
    <tableColumn id="50" name="Child 2 Name" dataDxfId="297" totalsRowDxfId="296" dataCellStyle="Normal 2"/>
    <tableColumn id="51" name="Child 2 Age" dataDxfId="295" totalsRowDxfId="294" dataCellStyle="Normal 2"/>
    <tableColumn id="54" name="Child 2 Protection Category" dataDxfId="293" totalsRowDxfId="292" dataCellStyle="Normal 2"/>
    <tableColumn id="69" name="Child 2 Child in Need" dataDxfId="291" totalsRowDxfId="290" dataCellStyle="Normal 2"/>
    <tableColumn id="70" name="Child 2 Early Help Record and Plan2" dataDxfId="289" totalsRowDxfId="288" dataCellStyle="Normal 2"/>
    <tableColumn id="71" name="Child 2 Registered with GP" dataDxfId="287" totalsRowDxfId="286" dataCellStyle="Normal 2"/>
    <tableColumn id="72" name="Child 2 Attend School" dataDxfId="285" totalsRowDxfId="284" dataCellStyle="Normal 2"/>
    <tableColumn id="73" name="Child 2 Health Visitor" dataDxfId="283" totalsRowDxfId="282" dataCellStyle="Normal 2"/>
    <tableColumn id="55" name="Child 3 Name" dataDxfId="281" totalsRowDxfId="280" dataCellStyle="Normal 2"/>
    <tableColumn id="56" name="Child 3 Age" dataDxfId="279" totalsRowDxfId="278" dataCellStyle="Normal 2"/>
    <tableColumn id="57" name="Child 3 Protection Category" dataDxfId="277" totalsRowDxfId="276" dataCellStyle="Normal 2"/>
    <tableColumn id="74" name="Child 3 Child in Need" dataDxfId="275" totalsRowDxfId="274" dataCellStyle="Normal 2"/>
    <tableColumn id="75" name="Child 3 Early Help Record and Plan" dataDxfId="273" totalsRowDxfId="272" dataCellStyle="Normal 2"/>
    <tableColumn id="76" name="Child 3 Registered with GP" dataDxfId="271" totalsRowDxfId="270" dataCellStyle="Normal 2"/>
    <tableColumn id="77" name="Child 3 Attend School" dataDxfId="269" totalsRowDxfId="268" dataCellStyle="Normal 2"/>
    <tableColumn id="78" name="Child 3 Health Visitor" dataDxfId="267" totalsRowDxfId="266" dataCellStyle="Normal 2"/>
    <tableColumn id="143" name="Child 4 Name" dataDxfId="265" totalsRowDxfId="264" dataCellStyle="Normal 2"/>
    <tableColumn id="144" name="Child 4 Age" dataDxfId="263" totalsRowDxfId="262" dataCellStyle="Normal 2"/>
    <tableColumn id="145" name="Child 4 Protection Category" dataDxfId="261" totalsRowDxfId="260" dataCellStyle="Normal 2"/>
    <tableColumn id="146" name="Child 4 Child in Need" dataDxfId="259" totalsRowDxfId="258" dataCellStyle="Normal 2"/>
    <tableColumn id="147" name="Child 4 Early Help Record and Plan" dataDxfId="257" totalsRowDxfId="256" dataCellStyle="Normal 2"/>
    <tableColumn id="148" name="Child 4 Registered with GP" dataDxfId="255" totalsRowDxfId="254" dataCellStyle="Normal 2"/>
    <tableColumn id="149" name="Child 4 Attend School" dataDxfId="253" totalsRowDxfId="252" dataCellStyle="Normal 2"/>
    <tableColumn id="150" name="Child 4 Health Visitor" dataDxfId="251" totalsRowDxfId="250" dataCellStyle="Normal 2"/>
    <tableColumn id="151" name="Child 5 Name" dataDxfId="249" totalsRowDxfId="248" dataCellStyle="Normal 2"/>
    <tableColumn id="152" name="Child 5 Age" dataDxfId="247" totalsRowDxfId="246" dataCellStyle="Normal 2"/>
    <tableColumn id="153" name="Child 5 Protection Category" dataDxfId="245" totalsRowDxfId="244" dataCellStyle="Normal 2"/>
    <tableColumn id="154" name="Child 5 Child in Need" dataDxfId="243" totalsRowDxfId="242" dataCellStyle="Normal 2"/>
    <tableColumn id="155" name="Child 5 Early Help Record and Plan" dataDxfId="241" totalsRowDxfId="240" dataCellStyle="Normal 2"/>
    <tableColumn id="156" name="Child 5 Registered with GP" dataDxfId="239" totalsRowDxfId="238" dataCellStyle="Normal 2"/>
    <tableColumn id="157" name="Child 5 Attend School" dataDxfId="237" totalsRowDxfId="236" dataCellStyle="Normal 2"/>
    <tableColumn id="158" name="Child 5 Health Visitor" dataDxfId="235" totalsRowDxfId="234" dataCellStyle="Normal 2"/>
    <tableColumn id="159" name="Child 6 Name" dataDxfId="233" totalsRowDxfId="232" dataCellStyle="Normal 2"/>
    <tableColumn id="160" name="Child 6 Age" dataDxfId="231" totalsRowDxfId="230" dataCellStyle="Normal 2"/>
    <tableColumn id="161" name="Child 6 Protection Category" dataDxfId="229" totalsRowDxfId="228" dataCellStyle="Normal 2"/>
    <tableColumn id="162" name="Child 6 Child in Need" dataDxfId="227" totalsRowDxfId="226" dataCellStyle="Normal 2"/>
    <tableColumn id="163" name="Child 6 Early Help Record and Plan" dataDxfId="225" totalsRowDxfId="224" dataCellStyle="Normal 2"/>
    <tableColumn id="164" name="Child 6 Registered with GP" dataDxfId="223" totalsRowDxfId="222" dataCellStyle="Normal 2"/>
    <tableColumn id="165" name="Child 6 Attend School" dataDxfId="221" totalsRowDxfId="220" dataCellStyle="Normal 2"/>
    <tableColumn id="166" name="Child 6 Health Visitor" dataDxfId="219" totalsRowDxfId="218" dataCellStyle="Normal 2"/>
    <tableColumn id="167" name="Child 7 Name" dataDxfId="217" totalsRowDxfId="216" dataCellStyle="Normal 2"/>
    <tableColumn id="168" name="Child 7 Age" dataDxfId="215" totalsRowDxfId="214" dataCellStyle="Normal 2"/>
    <tableColumn id="169" name="Child 7 Protection Category" dataDxfId="213" totalsRowDxfId="212" dataCellStyle="Normal 2"/>
    <tableColumn id="170" name="Child 7 Child in Need" dataDxfId="211" totalsRowDxfId="210" dataCellStyle="Normal 2"/>
    <tableColumn id="171" name="Child 7 Early Help Record and Plan" dataDxfId="209" totalsRowDxfId="208" dataCellStyle="Normal 2"/>
    <tableColumn id="172" name="Child 7 Registered with GP" dataDxfId="207" totalsRowDxfId="206" dataCellStyle="Normal 2"/>
    <tableColumn id="173" name="Child 7 Attend School" dataDxfId="205" totalsRowDxfId="204" dataCellStyle="Normal 2"/>
    <tableColumn id="174" name="Child 7 Health Visitor" dataDxfId="203" totalsRowDxfId="202" dataCellStyle="Normal 2"/>
    <tableColumn id="22" name="Date of Last Assessment" dataDxfId="201" totalsRowDxfId="200" dataCellStyle="Normal 2">
      <calculatedColumnFormula>IF(U3="","",U3)</calculatedColumnFormula>
    </tableColumn>
    <tableColumn id="23" name="Motivation and Taking Responsibility2" dataDxfId="199" totalsRowDxfId="198" dataCellStyle="Normal 2">
      <calculatedColumnFormula>IF(V3="","",V3)</calculatedColumnFormula>
    </tableColumn>
    <tableColumn id="24" name="Self-Care and Living Skills2" dataDxfId="197" totalsRowDxfId="196" dataCellStyle="Normal 2">
      <calculatedColumnFormula>IF(W3="","",W3)</calculatedColumnFormula>
    </tableColumn>
    <tableColumn id="25" name="Managing Money and Personal Administration2" dataDxfId="195" totalsRowDxfId="194" dataCellStyle="Normal 2">
      <calculatedColumnFormula>IF(X3="","",X3)</calculatedColumnFormula>
    </tableColumn>
    <tableColumn id="26" name="Social Networks and Relationships2" dataDxfId="193" totalsRowDxfId="192" dataCellStyle="Normal 2">
      <calculatedColumnFormula>IF(Y3="","",Y3)</calculatedColumnFormula>
    </tableColumn>
    <tableColumn id="27" name="Drug and Alcohol Misuse2" dataDxfId="191" totalsRowDxfId="190" dataCellStyle="Normal 2">
      <calculatedColumnFormula>IF(Z3="","",Z3)</calculatedColumnFormula>
    </tableColumn>
    <tableColumn id="28" name="Physical Health2" dataDxfId="189" totalsRowDxfId="188" dataCellStyle="Normal 2">
      <calculatedColumnFormula>IF(AA3="","",AA3)</calculatedColumnFormula>
    </tableColumn>
    <tableColumn id="29" name="Emotional and Mental Health2" dataDxfId="187" totalsRowDxfId="186" dataCellStyle="Normal 2">
      <calculatedColumnFormula>IF(AB3="","",AB3)</calculatedColumnFormula>
    </tableColumn>
    <tableColumn id="42" name="Meaningful Use of Time2" dataDxfId="185" totalsRowDxfId="184" dataCellStyle="Normal 2">
      <calculatedColumnFormula>IF(AC3="","",AC3)</calculatedColumnFormula>
    </tableColumn>
    <tableColumn id="43" name="Managing Tenancy and Accommodation2" dataDxfId="183" totalsRowDxfId="182" dataCellStyle="Normal 2">
      <calculatedColumnFormula>IF(AD3="","",AD3)</calculatedColumnFormula>
    </tableColumn>
    <tableColumn id="66" name="Offending2" dataDxfId="181" totalsRowDxfId="180" dataCellStyle="Normal 2">
      <calculatedColumnFormula>IF(AE3="","",AE3)</calculatedColumnFormula>
    </tableColumn>
    <tableColumn id="47" name="Registered with GP2" dataDxfId="179" totalsRowDxfId="178" dataCellStyle="Normal 2">
      <calculatedColumnFormula>IF(AF3="","",AF3)</calculatedColumnFormula>
    </tableColumn>
    <tableColumn id="48" name="Registered with Dentist2" dataDxfId="177" totalsRowDxfId="176" dataCellStyle="Normal 2">
      <calculatedColumnFormula>IF(AG3="","",AG3)</calculatedColumnFormula>
    </tableColumn>
    <tableColumn id="49" name="EET2" dataDxfId="175" totalsRowDxfId="174" dataCellStyle="Normal 2">
      <calculatedColumnFormula>IF(AK3="","",AK3)</calculatedColumnFormula>
    </tableColumn>
    <tableColumn id="59" name="Educational Level2" dataDxfId="173" totalsRowDxfId="172" dataCellStyle="Normal 2">
      <calculatedColumnFormula>IF(AL3="","",AL3)</calculatedColumnFormula>
    </tableColumn>
    <tableColumn id="60" name="Benefits Claimed2" dataDxfId="171" totalsRowDxfId="170" dataCellStyle="Normal 2">
      <calculatedColumnFormula>IF(AM3="","",AM3)</calculatedColumnFormula>
    </tableColumn>
    <tableColumn id="61" name="Pathway Plan" dataDxfId="169" totalsRowDxfId="168" dataCellStyle="Normal 2"/>
    <tableColumn id="30" name="Leaving Date" dataDxfId="167" totalsRowDxfId="166" dataCellStyle="Normal 2"/>
    <tableColumn id="31" name="Reason for Leaving" dataDxfId="165" totalsRowDxfId="164" dataCellStyle="Normal 2"/>
    <tableColumn id="35" name="New Local Authority" dataDxfId="163" totalsRowDxfId="162"/>
    <tableColumn id="142" name="Exit Form Issued" dataDxfId="161" totalsRowDxfId="160" dataCellStyle="Normal 2 2"/>
    <tableColumn id="175" name="Exit Form Received" dataDxfId="159" totalsRowDxfId="158" dataCellStyle="Normal 2 2"/>
    <tableColumn id="32" name="Any Additional Information" dataDxfId="157" totalsRowDxfId="156" dataCellStyle="Normal 2"/>
    <tableColumn id="33" name="Follow Up Work" totalsRowFunction="count" dataDxfId="155" totalsRowDxfId="154" dataCellStyle="Normal 2"/>
    <tableColumn id="181" name="Data Number of Service Users Q1 1516" dataDxfId="153" totalsRowDxfId="152">
      <calculatedColumnFormula>IF(Table1[Start Date]="","",IF(Table1[Start Date]&gt;42185,"",IF(AND(Table1[Leaving Date]&gt;1,Table1[Leaving Date]&lt;42095),"",1)))</calculatedColumnFormula>
    </tableColumn>
    <tableColumn id="182" name="Data Number of Service Users Q2 1516" dataDxfId="151" totalsRowDxfId="150">
      <calculatedColumnFormula>IF(Table1[Start Date]="","",IF(Table1[Start Date]&gt;42277,"",IF(AND(Table1[Leaving Date]&gt;1,Table1[Leaving Date]&lt;42186),"",1)))</calculatedColumnFormula>
    </tableColumn>
    <tableColumn id="183" name="Data Number of Service Users Q3 15162" dataDxfId="149" totalsRowDxfId="148">
      <calculatedColumnFormula>IF(Table1[Start Date]="","",IF(Table1[Start Date]&gt;42369,"",IF(AND(Table1[Leaving Date]&gt;1,Table1[Leaving Date]&lt;42278),"",1)))</calculatedColumnFormula>
    </tableColumn>
    <tableColumn id="184" name="Data Number of Service Users Q4 1516" dataDxfId="147" totalsRowDxfId="146">
      <calculatedColumnFormula>IF(Table1[Start Date]="","",IF(Table1[Start Date]&gt;42460,"",IF(AND(Table1[Leaving Date]&gt;1,Table1[Leaving Date]&lt;42370),"",1)))</calculatedColumnFormula>
    </tableColumn>
    <tableColumn id="185" name="Data Number of Service Users Q1 1617" dataDxfId="145" totalsRowDxfId="144">
      <calculatedColumnFormula>IF(Table1[Start Date]="","",IF(Table1[Start Date]&gt;42551,"",IF(AND(Table1[Leaving Date]&gt;1,Table1[Leaving Date]&lt;42461),"",1)))</calculatedColumnFormula>
    </tableColumn>
    <tableColumn id="186" name="Data Number of Service Users Q2 1617" dataDxfId="143" totalsRowDxfId="142">
      <calculatedColumnFormula>IF(Table1[Start Date]="","",IF(Table1[Start Date]&gt;42643,"",IF(AND(Table1[Leaving Date]&gt;1,Table1[Leaving Date]&lt;42552),"",1)))</calculatedColumnFormula>
    </tableColumn>
    <tableColumn id="187" name="Data Number of Service Users Q3 1617" dataDxfId="141" totalsRowDxfId="140">
      <calculatedColumnFormula>IF(Table1[Start Date]="","",IF(Table1[Start Date]&gt;42735,"",IF(AND(Table1[Leaving Date]&gt;1,Table1[Leaving Date]&lt;42644),"",1)))</calculatedColumnFormula>
    </tableColumn>
    <tableColumn id="188" name="Data Number of Service Users Q4 1617" dataDxfId="139" totalsRowDxfId="138">
      <calculatedColumnFormula>IF(Table1[Start Date]="","",IF(Table1[Start Date]&gt;42825,"",IF(AND(Table1[Leaving Date]&gt;1,Table1[Leaving Date]&lt;42736),"",1)))</calculatedColumnFormula>
    </tableColumn>
    <tableColumn id="83" name="Data Referral Quarter" dataDxfId="137" totalsRowDxfId="136" dataCellStyle="Normal 2">
      <calculatedColumnFormula>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calculatedColumnFormula>
    </tableColumn>
    <tableColumn id="84" name="Data Referral Source" dataDxfId="135" totalsRowDxfId="134" dataCellStyle="Normal 2">
      <calculatedColumnFormula>VLOOKUP(Table1[Referral Source],Lists!$G$2:$H$20,2,FALSE)</calculatedColumnFormula>
    </tableColumn>
    <tableColumn id="86" name="Data Referral Source Total" dataDxfId="133" totalsRowDxfId="132">
      <calculatedColumnFormula>SUM(Table1[Data Referral Quarter]+Table1[Data Referral Source])</calculatedColumnFormula>
    </tableColumn>
    <tableColumn id="85" name="Data Referral Decision" dataDxfId="131" totalsRowDxfId="130" dataCellStyle="Normal 2">
      <calculatedColumnFormula>IF(Table1[Referral Decision]="Accepted",100,IF(Table1[Referral Decision]="Rejected by Provider",200,IF(Table1[Referral Decision]="Rejected by Applicant",300)))</calculatedColumnFormula>
    </tableColumn>
    <tableColumn id="82" name="Data Referral Decision Total" dataDxfId="129" totalsRowDxfId="128" dataCellStyle="Normal 2">
      <calculatedColumnFormula>SUM(Table1[Data Referral Quarter]+Table1[Data Referral Decision])</calculatedColumnFormula>
    </tableColumn>
    <tableColumn id="87" name="Data Start Date" dataDxfId="127" totalsRowDxfId="126" dataCellStyle="Normal 2">
      <calculatedColumnFormula>IF(Table1[Start Date]&gt;42735,8000,IF(Table1[Start Date]&gt;42643,7000,IF(Table1[Start Date]&gt;42551,6000,IF(Table1[Start Date]&gt;42460,5000,IF(Table1[Start Date]&gt;42369,4000,IF(Table1[Start Date]&gt;42277,3000,IF(Table1[Start Date]&gt;42185,2000,IF(Table1[Start Date]&gt;42094,1000))))))))</calculatedColumnFormula>
    </tableColumn>
    <tableColumn id="88" name="Data Local Authority" dataDxfId="125" totalsRowDxfId="124" dataCellStyle="Normal 2">
      <calculatedColumnFormula>IF(Table1[Start Date]="","",IF(Table1[Current Local Authority]="Swindon",1,"2"))</calculatedColumnFormula>
    </tableColumn>
    <tableColumn id="89" name="Data Local Authority Total" dataDxfId="123" totalsRowDxfId="122" dataCellStyle="Normal 2">
      <calculatedColumnFormula>SUM(Table1[Data Start Date]+Table1[Data Local Authority])</calculatedColumnFormula>
    </tableColumn>
    <tableColumn id="90" name="Data GP Start" dataDxfId="121" totalsRowDxfId="120" dataCellStyle="Normal 2">
      <calculatedColumnFormula>IF(Table1[Registered with GP]="Yes",1,0)</calculatedColumnFormula>
    </tableColumn>
    <tableColumn id="91" name="Data GP Start Total" dataDxfId="119" totalsRowDxfId="118" dataCellStyle="Normal 2">
      <calculatedColumnFormula>SUM(Table1[Data Start Date]+Table1[Data GP Start])</calculatedColumnFormula>
    </tableColumn>
    <tableColumn id="92" name="Data EET Start" dataDxfId="117" totalsRowDxfId="116" dataCellStyle="Normal 2">
      <calculatedColumnFormula>IF(Table1[EET]="NEET",1,IF(Table1[EET]="Education",2,IF(Table1[EET]="Employment",2,IF(Table1[EET]="Training",2,IF(Table1[EET]="Retired",3,"")))))</calculatedColumnFormula>
    </tableColumn>
    <tableColumn id="93" name="Data EET Start Total" dataDxfId="115" totalsRowDxfId="114" dataCellStyle="Normal 2">
      <calculatedColumnFormula>Table1[Data Start Date]+Table1[Data EET Start]</calculatedColumnFormula>
    </tableColumn>
    <tableColumn id="100" name="Data Leavers Date" dataDxfId="113" totalsRowDxfId="112" dataCellStyle="Normal 2">
      <calculatedColumnFormula>IF(Table1[Leaving Date]&gt;42735,8000,IF(Table1[Leaving Date]&gt;42643,7000,IF(Table1[Leaving Date]&gt;42551,6000,IF(Table1[Leaving Date]&gt;42460,5000,IF(Table1[Leaving Date]&gt;42369,4000,IF(Table1[Leaving Date]&gt;42277,3000,IF(Table1[Leaving Date]&gt;42185,2000,IF(Table1[Leaving Date]&gt;42094,1000))))))))</calculatedColumnFormula>
    </tableColumn>
    <tableColumn id="99" name="Data Move On" dataDxfId="111" totalsRowDxfId="110" dataCellStyle="Normal 2">
      <calculatedColumnFormula>VLOOKUP(Table1[Reason for Leaving],Lists!$T$2:$U$15,2,FALSE)</calculatedColumnFormula>
    </tableColumn>
    <tableColumn id="101" name="Data Move On Total" dataDxfId="109" totalsRowDxfId="108" dataCellStyle="Normal 2">
      <calculatedColumnFormula>SUM(Table1[Data Leavers Date]+Table1[Data Move On])</calculatedColumnFormula>
    </tableColumn>
    <tableColumn id="102" name="Data GP End" dataDxfId="107" totalsRowDxfId="106" dataCellStyle="Normal 2">
      <calculatedColumnFormula>IF(Table1[Registered with GP2]="Yes",1,IF(Table1[Registered with GP2]="No",0,IF(Table1[Registered with GP]="Yes",1,IF(Table1[Registered with GP]="No",0))))</calculatedColumnFormula>
    </tableColumn>
    <tableColumn id="103" name="Data GP End Total" dataDxfId="105" totalsRowDxfId="104" dataCellStyle="Normal 2">
      <calculatedColumnFormula>SUM(Table1[Data Leavers Date]+Table1[Data GP End])</calculatedColumnFormula>
    </tableColumn>
    <tableColumn id="104" name="Data EET End" dataDxfId="103" totalsRowDxfId="102" dataCellStyle="Normal 2">
      <calculatedColumnFormula>IF(Table1[EET2]="NEET",1,IF(Table1[EET2]="Employment",2,IF(Table1[EET2]="Education",2,IF(Table1[EET2]="Training",2,IF(Table1[EET2]="Retired",3,IF(Table1[EET]="NEET",1,IF(Table1[EET]="Employment",2,IF(Table1[EET]="Education",2,IF(Table1[EET]="Training",2,IF(Table1[EET]="Retired",3,""))))))))))</calculatedColumnFormula>
    </tableColumn>
    <tableColumn id="105" name="Data EET End Total" dataDxfId="101" totalsRowDxfId="100" dataCellStyle="Normal 2">
      <calculatedColumnFormula>+Table1[[#This Row],[Data Leavers Date]]+Table1[[#This Row],[Data EET End]]</calculatedColumnFormula>
    </tableColumn>
    <tableColumn id="94" name="Data Exit Forms" dataDxfId="99" totalsRowDxfId="98" dataCellStyle="Normal 2">
      <calculatedColumnFormula>IF(Table1[Exit Form Received]="Yes",1,0)</calculatedColumnFormula>
    </tableColumn>
    <tableColumn id="95" name="Data Exit Forms Total" dataDxfId="97" totalsRowDxfId="96" dataCellStyle="Normal 2">
      <calculatedColumnFormula>+Table1[[#This Row],[Data Leavers Date]]+Table1[[#This Row],[Data Exit Forms]]</calculatedColumnFormula>
    </tableColumn>
    <tableColumn id="96" name="Data Average Stay Q1 1516" dataDxfId="95" totalsRowDxfId="94" dataCellStyle="Normal 2">
      <calculatedColumnFormula>IF(Table1[Data Leavers Date]=1000,SUM(Table1[Leaving Date]-Table1[Start Date]),"")</calculatedColumnFormula>
    </tableColumn>
    <tableColumn id="193" name="Data Average Stay Q2 1516" dataDxfId="93" totalsRowDxfId="92" dataCellStyle="Normal 2">
      <calculatedColumnFormula>IF(Table1[Data Leavers Date]=2000,SUM(Table1[Leaving Date]-Table1[Start Date]),"")</calculatedColumnFormula>
    </tableColumn>
    <tableColumn id="98" name="Data Average Stay Q3 1516" dataDxfId="91" totalsRowDxfId="90" dataCellStyle="Normal 2">
      <calculatedColumnFormula>IF(Table1[Data Leavers Date]=3000,SUM(Table1[Leaving Date]-Table1[Start Date]),"")</calculatedColumnFormula>
    </tableColumn>
    <tableColumn id="189" name="Data Average Stay Q4 1516" dataDxfId="89" totalsRowDxfId="88" dataCellStyle="Normal 2">
      <calculatedColumnFormula>IF(Table1[Data Leavers Date]=4000,SUM(Table1[Leaving Date]-Table1[Start Date]),"")</calculatedColumnFormula>
    </tableColumn>
    <tableColumn id="190" name="Data Average Stay Q1 1617" dataDxfId="87" totalsRowDxfId="86" dataCellStyle="Normal 2">
      <calculatedColumnFormula>IF(Table1[Data Leavers Date]=5000,SUM(Table1[Leaving Date]-Table1[Start Date]),"")</calculatedColumnFormula>
    </tableColumn>
    <tableColumn id="191" name="Data Average Stay Q2 1617" dataDxfId="85" totalsRowDxfId="84" dataCellStyle="Normal 2">
      <calculatedColumnFormula>IF(Table1[Data Leavers Date]=6000,SUM(Table1[Leaving Date]-Table1[Start Date]),"")</calculatedColumnFormula>
    </tableColumn>
    <tableColumn id="192" name="Data Average Stay Q3 1617" dataDxfId="83" totalsRowDxfId="82" dataCellStyle="Normal 2">
      <calculatedColumnFormula>IF(Table1[Data Leavers Date]=7000,SUM(Table1[Leaving Date]-Table1[Start Date]),"")</calculatedColumnFormula>
    </tableColumn>
    <tableColumn id="97" name="Data Average Stay Q4 1617" dataDxfId="81" totalsRowDxfId="80" dataCellStyle="Normal 2">
      <calculatedColumnFormula>IF(Table1[Data Leavers Date]=8000,SUM(Table1[Leaving Date]-Table1[Start Date]),"")</calculatedColumnFormula>
    </tableColumn>
    <tableColumn id="111" name="Data Motivation and Taking Responsibility Start 1516" dataDxfId="79" totalsRowDxfId="78" dataCellStyle="Normal 2">
      <calculatedColumnFormula>IF(Table1[Date of Initial Assessment]="","",IF(AND(Table1[Start Date]&gt;42094,Table1[Start Date]&lt;42461),Table1[Motivation and Taking Responsibility],""))</calculatedColumnFormula>
    </tableColumn>
    <tableColumn id="112" name="Data Self-Care and Living Skills Start 1516" dataDxfId="77" totalsRowDxfId="76" dataCellStyle="Normal 2">
      <calculatedColumnFormula>IF(Table1[Date of Initial Assessment]="","",IF(AND(Table1[Start Date]&gt;42094,Table1[Start Date]&lt;42461),Table1[Self-Care and Living Skills],""))</calculatedColumnFormula>
    </tableColumn>
    <tableColumn id="113" name="Data Managing Money and Personal Administration Start 1516" dataDxfId="75" totalsRowDxfId="74" dataCellStyle="Normal 2">
      <calculatedColumnFormula>IF(Table1[Date of Initial Assessment]="","",IF(AND(Table1[Start Date]&gt;42094,Table1[Start Date]&lt;42461),Table1[Managing Money and Personal Administration],""))</calculatedColumnFormula>
    </tableColumn>
    <tableColumn id="114" name="Data Social Networks and Relationships Start 1516" dataDxfId="73" totalsRowDxfId="72" dataCellStyle="Normal 2">
      <calculatedColumnFormula>IF(Table1[Date of Initial Assessment]="","",IF(AND(Table1[Start Date]&gt;42094,Table1[Start Date]&lt;42461),Table1[Social Networks and Relationships],""))</calculatedColumnFormula>
    </tableColumn>
    <tableColumn id="115" name="Data Drug and Alcohol Misuse Start 1516" dataDxfId="71" totalsRowDxfId="70" dataCellStyle="Normal 2">
      <calculatedColumnFormula>IF(Table1[Date of Initial Assessment]="","",IF(AND(Table1[Start Date]&gt;42094,Table1[Start Date]&lt;42461),Table1[Drug and Alcohol Misuse],""))</calculatedColumnFormula>
    </tableColumn>
    <tableColumn id="116" name="Data Physical Health Start 1516" dataDxfId="69" totalsRowDxfId="68" dataCellStyle="Normal 2">
      <calculatedColumnFormula>IF(Table1[Date of Initial Assessment]="","",IF(AND(Table1[Start Date]&gt;42094,Table1[Start Date]&lt;42461),Table1[Physical Health],""))</calculatedColumnFormula>
    </tableColumn>
    <tableColumn id="117" name="Data Emotional and Mental Health Start 1516" dataDxfId="67" totalsRowDxfId="66" dataCellStyle="Normal 2">
      <calculatedColumnFormula>IF(Table1[Date of Initial Assessment]="","",IF(AND(Table1[Start Date]&gt;42094,Table1[Start Date]&lt;42461),Table1[Emotional and Mental Health],""))</calculatedColumnFormula>
    </tableColumn>
    <tableColumn id="118" name="Data Meaningful Use of Time Start 1516" dataDxfId="65" totalsRowDxfId="64" dataCellStyle="Normal 2">
      <calculatedColumnFormula>IF(Table1[Date of Initial Assessment]="","",IF(AND(Table1[Start Date]&gt;42094,Table1[Start Date]&lt;42461),Table1[Meaningful Use of Time],""))</calculatedColumnFormula>
    </tableColumn>
    <tableColumn id="119" name="Data Managing Tenancy and Accommodation Start 1516" dataDxfId="63" totalsRowDxfId="62" dataCellStyle="Normal 2">
      <calculatedColumnFormula>IF(Table1[Date of Initial Assessment]="","",IF(AND(Table1[Start Date]&gt;42094,Table1[Start Date]&lt;42461),Table1[Managing Tenancy and Accommodation],""))</calculatedColumnFormula>
    </tableColumn>
    <tableColumn id="120" name="Data Offending Start 1516" dataDxfId="61" totalsRowDxfId="60" dataCellStyle="Normal 2">
      <calculatedColumnFormula>IF(Table1[Date of Initial Assessment]="","",IF(AND(Table1[Start Date]&gt;42094,Table1[Start Date]&lt;42461),Table1[Offending],""))</calculatedColumnFormula>
    </tableColumn>
    <tableColumn id="121" name="Data Motivation and Taking Responsibility End 1516" dataDxfId="59" totalsRowDxfId="58" dataCellStyle="Normal 2">
      <calculatedColumnFormula>IF(Table1[Leaving Date]="","",IF(Table1[Date of Initial Assessment]="","",IF(AND(Table1[Leaving Date]&gt;42094,Table1[Leaving Date]&lt;42461),IF(Table1[Date of Last Assessment]="",Table1[Motivation and Taking Responsibility],Table1[Motivation and Taking Responsibility2]),"")))</calculatedColumnFormula>
    </tableColumn>
    <tableColumn id="122" name="Data Self-Care and Living Skills End 1516" dataDxfId="57" totalsRowDxfId="56" dataCellStyle="Normal 2">
      <calculatedColumnFormula>IF(Table1[Leaving Date]="","",IF(Table1[Date of Initial Assessment]="","",IF(AND(Table1[Leaving Date]&gt;42094,Table1[Leaving Date]&lt;42461),IF(Table1[Date of Last Assessment]="",Table1[Self-Care and Living Skills],Table1[Self-Care and Living Skills2]),"")))</calculatedColumnFormula>
    </tableColumn>
    <tableColumn id="123" name="Data Managing Money and Personal Administration End 1516" dataDxfId="55" totalsRowDxfId="54" dataCellStyle="Normal 2">
      <calculatedColumnFormula>IF(Table1[Leaving Date]="","",IF(Table1[Date of Initial Assessment]="","",IF(AND(Table1[Leaving Date]&gt;42094,Table1[Leaving Date]&lt;42461),IF(Table1[Date of Last Assessment]="",Table1[Managing Money and Personal Administration],Table1[Managing Money and Personal Administration2]),"")))</calculatedColumnFormula>
    </tableColumn>
    <tableColumn id="124" name="Data Social Networks and Relationships End 1516" dataDxfId="53" totalsRowDxfId="52" dataCellStyle="Normal 2">
      <calculatedColumnFormula>IF(Table1[Leaving Date]="","",IF(Table1[Date of Initial Assessment]="","",IF(AND(Table1[Leaving Date]&gt;42094,Table1[Leaving Date]&lt;42461),IF(Table1[Date of Last Assessment]="",Table1[Social Networks and Relationships],Table1[Social Networks and Relationships2]),"")))</calculatedColumnFormula>
    </tableColumn>
    <tableColumn id="125" name="Data Drug and Alcohol Misuse End 1516" dataDxfId="51" totalsRowDxfId="50" dataCellStyle="Normal 2">
      <calculatedColumnFormula>IF(Table1[Leaving Date]="","",IF(Table1[Date of Initial Assessment]="","",IF(AND(Table1[Leaving Date]&gt;42094,Table1[Leaving Date]&lt;42461),IF(Table1[Date of Last Assessment]="",Table1[Drug and Alcohol Misuse],Table1[Drug and Alcohol Misuse2]),"")))</calculatedColumnFormula>
    </tableColumn>
    <tableColumn id="126" name="Data Physical Health End 1516" dataDxfId="49" totalsRowDxfId="48" dataCellStyle="Normal 2">
      <calculatedColumnFormula>IF(Table1[Leaving Date]="","",IF(Table1[Date of Initial Assessment]="","",IF(AND(Table1[Leaving Date]&gt;42094,Table1[Leaving Date]&lt;42461),IF(Table1[Date of Last Assessment]="",Table1[Physical Health],Table1[Physical Health2]),"")))</calculatedColumnFormula>
    </tableColumn>
    <tableColumn id="127" name="Data Emotional and Mental Health End 1516" dataDxfId="47" totalsRowDxfId="46" dataCellStyle="Normal 2">
      <calculatedColumnFormula>IF(Table1[Leaving Date]="","",IF(Table1[Date of Initial Assessment]="","",IF(AND(Table1[Leaving Date]&gt;42094,Table1[Leaving Date]&lt;42461),IF(Table1[Date of Last Assessment]="",Table1[Emotional and Mental Health],Table1[Emotional and Mental Health2]),"")))</calculatedColumnFormula>
    </tableColumn>
    <tableColumn id="128" name="Data Meaningful Use of Time End 1516" dataDxfId="45" totalsRowDxfId="44" dataCellStyle="Normal 2">
      <calculatedColumnFormula>IF(Table1[Leaving Date]="","",IF(Table1[Date of Initial Assessment]="","",IF(AND(Table1[Leaving Date]&gt;42094,Table1[Leaving Date]&lt;42461),IF(Table1[Date of Last Assessment]="",Table1[Meaningful Use of Time],Table1[Meaningful Use of Time2]),"")))</calculatedColumnFormula>
    </tableColumn>
    <tableColumn id="129" name="Data Managing Tenancy and Accommodation End 1516" dataDxfId="43" totalsRowDxfId="42" dataCellStyle="Normal 2">
      <calculatedColumnFormula>IF(Table1[Leaving Date]="","",IF(Table1[Date of Initial Assessment]="","",IF(AND(Table1[Leaving Date]&gt;42094,Table1[Leaving Date]&lt;42461),IF(Table1[Date of Last Assessment]="",Table1[Managing Tenancy and Accommodation],Table1[Managing Tenancy and Accommodation2]),"")))</calculatedColumnFormula>
    </tableColumn>
    <tableColumn id="130" name="Data Offending End 1516" dataDxfId="41" totalsRowDxfId="40" dataCellStyle="Normal 2">
      <calculatedColumnFormula>IF(Table1[Leaving Date]="","",IF(Table1[Date of Initial Assessment]="","",IF(AND(Table1[Leaving Date]&gt;42094,Table1[Leaving Date]&lt;42461),IF(Table1[Date of Last Assessment]="",Table1[Offending],Table1[Offending2]),"")))</calculatedColumnFormula>
    </tableColumn>
    <tableColumn id="131" name="Data Motivation and Taking Responsibility Start 1617" dataDxfId="39" totalsRowDxfId="38" dataCellStyle="Normal 2">
      <calculatedColumnFormula>IF(Table1[Date of Initial Assessment]="","",IF(AND(Table1[Start Date]&gt;42460,Table1[Start Date]&lt;42826),Table1[Motivation and Taking Responsibility],""))</calculatedColumnFormula>
    </tableColumn>
    <tableColumn id="132" name="Data Self-Care and Living Skills Start 1617" dataDxfId="37" totalsRowDxfId="36" dataCellStyle="Normal 2">
      <calculatedColumnFormula>IF(Table1[Date of Initial Assessment]="","",IF(AND(Table1[Start Date]&gt;42460,Table1[Start Date]&lt;42826),Table1[Self-Care and Living Skills],""))</calculatedColumnFormula>
    </tableColumn>
    <tableColumn id="133" name="Data Managing Money and Personal Administration Start 1617" dataDxfId="35" totalsRowDxfId="34" dataCellStyle="Normal 2">
      <calculatedColumnFormula>IF(Table1[Date of Initial Assessment]="","",IF(AND(Table1[Start Date]&gt;42460,Table1[Start Date]&lt;42826),Table1[Managing Money and Personal Administration],""))</calculatedColumnFormula>
    </tableColumn>
    <tableColumn id="134" name="Data Social Networks and Relationships Start 1617" dataDxfId="33" totalsRowDxfId="32" dataCellStyle="Normal 2">
      <calculatedColumnFormula>IF(Table1[Date of Initial Assessment]="","",IF(AND(Table1[Start Date]&gt;42460,Table1[Start Date]&lt;42826),Table1[Social Networks and Relationships],""))</calculatedColumnFormula>
    </tableColumn>
    <tableColumn id="135" name="Data Drug and Alcohol Misuse Start 1617" dataDxfId="31" totalsRowDxfId="30" dataCellStyle="Normal 2">
      <calculatedColumnFormula>IF(Table1[Date of Initial Assessment]="","",IF(AND(Table1[Start Date]&gt;42460,Table1[Start Date]&lt;42826),Table1[Drug and Alcohol Misuse],""))</calculatedColumnFormula>
    </tableColumn>
    <tableColumn id="136" name="Data Physical Health Start 1617" dataDxfId="29" totalsRowDxfId="28" dataCellStyle="Normal 2">
      <calculatedColumnFormula>IF(Table1[Date of Initial Assessment]="","",IF(AND(Table1[Start Date]&gt;42460,Table1[Start Date]&lt;42826),Table1[Physical Health],""))</calculatedColumnFormula>
    </tableColumn>
    <tableColumn id="137" name="Data Emotional and Mental Health Start 1617" dataDxfId="27" totalsRowDxfId="26" dataCellStyle="Normal 2">
      <calculatedColumnFormula>IF(Table1[Date of Initial Assessment]="","",IF(AND(Table1[Start Date]&gt;42460,Table1[Start Date]&lt;42826),Table1[Emotional and Mental Health],""))</calculatedColumnFormula>
    </tableColumn>
    <tableColumn id="138" name="Data Meaningful Use of Time Start 1617" dataDxfId="25" totalsRowDxfId="24" dataCellStyle="Normal 2">
      <calculatedColumnFormula>IF(Table1[Date of Initial Assessment]="","",IF(AND(Table1[Start Date]&gt;42460,Table1[Start Date]&lt;42826),Table1[Meaningful Use of Time],""))</calculatedColumnFormula>
    </tableColumn>
    <tableColumn id="139" name="Data Managing Tenancy and Accommodation Start 1617" dataDxfId="23" totalsRowDxfId="22" dataCellStyle="Normal 2">
      <calculatedColumnFormula>IF(Table1[Date of Initial Assessment]="","",IF(AND(Table1[Start Date]&gt;42460,Table1[Start Date]&lt;42826),Table1[Managing Tenancy and Accommodation],""))</calculatedColumnFormula>
    </tableColumn>
    <tableColumn id="140" name="Data Offending Start 1617" dataDxfId="21" totalsRowDxfId="20" dataCellStyle="Normal 2">
      <calculatedColumnFormula>IF(Table1[Date of Initial Assessment]="","",IF(AND(Table1[Start Date]&gt;42460,Table1[Start Date]&lt;42826),Table1[Offending],""))</calculatedColumnFormula>
    </tableColumn>
    <tableColumn id="106" name="Data Motivation and Taking Responsibility End 1617" dataDxfId="19" totalsRowDxfId="18" dataCellStyle="Normal 2">
      <calculatedColumnFormula>IF(Table1[Leaving Date]="","",IF(AND(Table1[Leaving Date]&gt;42460,Table1[Leaving Date]&lt;42826),IF(Table1[Date of Last Assessment]="",Table1[Motivation and Taking Responsibility],Table1[Motivation and Taking Responsibility2]),""))</calculatedColumnFormula>
    </tableColumn>
    <tableColumn id="107" name="Data Self-Care and Living Skills End 1617" dataDxfId="17" totalsRowDxfId="16" dataCellStyle="Normal 2">
      <calculatedColumnFormula>IF(Table1[Leaving Date]="","",IF(AND(Table1[Leaving Date]&gt;42460,Table1[Leaving Date]&lt;42826),IF(Table1[Date of Last Assessment]="",Table1[Self-Care and Living Skills],Table1[Self-Care and Living Skills2]),""))</calculatedColumnFormula>
    </tableColumn>
    <tableColumn id="108" name="Data Managing Money and Personal Administration End 1617" dataDxfId="15" totalsRowDxfId="14" dataCellStyle="Normal 2">
      <calculatedColumnFormula>IF(Table1[Leaving Date]="","",IF(AND(Table1[Leaving Date]&gt;42460,Table1[Leaving Date]&lt;42826),IF(Table1[Date of Last Assessment]="",Table1[Managing Money and Personal Administration],Table1[Managing Money and Personal Administration2]),""))</calculatedColumnFormula>
    </tableColumn>
    <tableColumn id="109" name="Data Social Networks and Relationships End 1617" dataDxfId="13" totalsRowDxfId="12" dataCellStyle="Normal 2">
      <calculatedColumnFormula>IF(Table1[Leaving Date]="","",IF(AND(Table1[Leaving Date]&gt;42460,Table1[Leaving Date]&lt;42826),IF(Table1[Date of Last Assessment]="",Table1[Social Networks and Relationships],Table1[Social Networks and Relationships2]),""))</calculatedColumnFormula>
    </tableColumn>
    <tableColumn id="110" name="Data Drug and Alcohol Misuse End 1617" dataDxfId="11" totalsRowDxfId="10" dataCellStyle="Normal 2">
      <calculatedColumnFormula>IF(Table1[Leaving Date]="","",IF(AND(Table1[Leaving Date]&gt;42460,Table1[Leaving Date]&lt;42826),IF(Table1[Date of Last Assessment]="",Table1[Drug and Alcohol Misuse],Table1[Drug and Alcohol Misuse2]),""))</calculatedColumnFormula>
    </tableColumn>
    <tableColumn id="176" name="Data Physical Health End 1617" dataDxfId="9" totalsRowDxfId="8" dataCellStyle="Normal 2">
      <calculatedColumnFormula>IF(Table1[Leaving Date]="","",IF(AND(Table1[Leaving Date]&gt;42460,Table1[Leaving Date]&lt;42826),IF(Table1[Date of Last Assessment]="",Table1[Physical Health],Table1[Physical Health2]),""))</calculatedColumnFormula>
    </tableColumn>
    <tableColumn id="177" name="Data Emotional and Mental Health End 1617" dataDxfId="7" totalsRowDxfId="6" dataCellStyle="Normal 2">
      <calculatedColumnFormula>IF(Table1[Leaving Date]="","",IF(AND(Table1[Leaving Date]&gt;42460,Table1[Leaving Date]&lt;42826),IF(Table1[Date of Last Assessment]="",Table1[Emotional and Mental Health],Table1[Emotional and Mental Health2]),""))</calculatedColumnFormula>
    </tableColumn>
    <tableColumn id="178" name="Data Meaningful Use of Time End 1617" dataDxfId="5" totalsRowDxfId="4" dataCellStyle="Normal 2">
      <calculatedColumnFormula>IF(Table1[Leaving Date]="","",IF(AND(Table1[Leaving Date]&gt;42460,Table1[Leaving Date]&lt;42826),IF(Table1[Date of Last Assessment]="",Table1[Meaningful Use of Time],Table1[Meaningful Use of Time2]),""))</calculatedColumnFormula>
    </tableColumn>
    <tableColumn id="179" name="Data Managing Tenancy and Accommodation End 1617" dataDxfId="3" totalsRowDxfId="2" dataCellStyle="Normal 2">
      <calculatedColumnFormula>IF(Table1[Leaving Date]="","",IF(AND(Table1[Leaving Date]&gt;42460,Table1[Leaving Date]&lt;42826),IF(Table1[Date of Last Assessment]="",Table1[Managing Tenancy and Accommodation],Table1[Managing Tenancy and Accommodation2]),""))</calculatedColumnFormula>
    </tableColumn>
    <tableColumn id="180" name="Data Offending End 1617" dataDxfId="1" totalsRowDxfId="0" dataCellStyle="Normal 2">
      <calculatedColumnFormula>IF(Table1[Leaving Date]="","",IF(AND(Table1[Leaving Date]&gt;42460,Table1[Leaving Date]&lt;42826),IF(Table1[Date of Last Assessment]="",Table1[Offending],Table1[Offending2]),""))</calculatedColumnFormula>
    </tableColumn>
  </tableColumns>
  <tableStyleInfo name="TableStyleMedium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G25"/>
  <sheetViews>
    <sheetView showGridLines="0" showRowColHeaders="0" tabSelected="1" zoomScale="90" zoomScaleNormal="90" workbookViewId="0">
      <selection activeCell="C18" sqref="C18"/>
    </sheetView>
  </sheetViews>
  <sheetFormatPr defaultRowHeight="12.75" x14ac:dyDescent="0.2"/>
  <cols>
    <col min="1" max="1" width="9.140625" style="7"/>
    <col min="2" max="2" width="9.140625" style="97"/>
    <col min="3" max="3" width="162.5703125" style="94" customWidth="1"/>
    <col min="4" max="16384" width="9.140625" style="7"/>
  </cols>
  <sheetData>
    <row r="2" spans="2:3" x14ac:dyDescent="0.2">
      <c r="B2" s="96" t="s">
        <v>29</v>
      </c>
    </row>
    <row r="3" spans="2:3" x14ac:dyDescent="0.2">
      <c r="B3" s="96" t="s">
        <v>645</v>
      </c>
    </row>
    <row r="5" spans="2:3" x14ac:dyDescent="0.2">
      <c r="B5" s="97">
        <v>1</v>
      </c>
      <c r="C5" s="94" t="s">
        <v>30</v>
      </c>
    </row>
    <row r="6" spans="2:3" x14ac:dyDescent="0.2">
      <c r="B6" s="97">
        <v>2</v>
      </c>
      <c r="C6" s="94" t="s">
        <v>31</v>
      </c>
    </row>
    <row r="7" spans="2:3" x14ac:dyDescent="0.2">
      <c r="B7" s="97">
        <v>3</v>
      </c>
      <c r="C7" s="94" t="s">
        <v>32</v>
      </c>
    </row>
    <row r="8" spans="2:3" x14ac:dyDescent="0.2">
      <c r="C8" s="94" t="s">
        <v>775</v>
      </c>
    </row>
    <row r="9" spans="2:3" x14ac:dyDescent="0.2">
      <c r="C9" s="94" t="s">
        <v>776</v>
      </c>
    </row>
    <row r="10" spans="2:3" x14ac:dyDescent="0.2">
      <c r="C10" s="94" t="s">
        <v>777</v>
      </c>
    </row>
    <row r="11" spans="2:3" x14ac:dyDescent="0.2">
      <c r="C11" s="94" t="s">
        <v>778</v>
      </c>
    </row>
    <row r="12" spans="2:3" x14ac:dyDescent="0.2">
      <c r="C12" s="94" t="s">
        <v>33</v>
      </c>
    </row>
    <row r="13" spans="2:3" x14ac:dyDescent="0.2">
      <c r="C13" s="94" t="s">
        <v>779</v>
      </c>
    </row>
    <row r="14" spans="2:3" x14ac:dyDescent="0.2">
      <c r="C14" s="94" t="s">
        <v>780</v>
      </c>
    </row>
    <row r="15" spans="2:3" x14ac:dyDescent="0.2">
      <c r="C15" s="94" t="s">
        <v>781</v>
      </c>
    </row>
    <row r="16" spans="2:3" x14ac:dyDescent="0.2">
      <c r="C16" s="94" t="s">
        <v>782</v>
      </c>
    </row>
    <row r="17" spans="2:7" x14ac:dyDescent="0.2">
      <c r="B17" s="97">
        <v>4</v>
      </c>
      <c r="C17" s="94" t="s">
        <v>793</v>
      </c>
    </row>
    <row r="18" spans="2:7" ht="25.5" x14ac:dyDescent="0.2">
      <c r="B18" s="97">
        <v>5</v>
      </c>
      <c r="C18" s="94" t="s">
        <v>772</v>
      </c>
    </row>
    <row r="19" spans="2:7" ht="51" x14ac:dyDescent="0.2">
      <c r="B19" s="97">
        <v>6</v>
      </c>
      <c r="C19" s="94" t="s">
        <v>783</v>
      </c>
    </row>
    <row r="20" spans="2:7" x14ac:dyDescent="0.2">
      <c r="B20" s="97">
        <v>7</v>
      </c>
      <c r="C20" s="95" t="s">
        <v>774</v>
      </c>
    </row>
    <row r="21" spans="2:7" x14ac:dyDescent="0.2">
      <c r="B21" s="97">
        <v>8</v>
      </c>
      <c r="C21" s="94" t="s">
        <v>635</v>
      </c>
    </row>
    <row r="23" spans="2:7" x14ac:dyDescent="0.2">
      <c r="C23" s="94" t="s">
        <v>773</v>
      </c>
    </row>
    <row r="24" spans="2:7" x14ac:dyDescent="0.2">
      <c r="G24" s="63"/>
    </row>
    <row r="25" spans="2:7" x14ac:dyDescent="0.2">
      <c r="C25" s="94" t="s">
        <v>792</v>
      </c>
    </row>
  </sheetData>
  <sheetProtection password="CBE0" sheet="1" objects="1" scenarios="1" selectLockedCells="1" selectUnlockedCells="1"/>
  <pageMargins left="0.7" right="0.7" top="0.75" bottom="0.75" header="0.3" footer="0.3"/>
  <pageSetup paperSize="9" orientation="portrait" horizontalDpi="300"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J65"/>
  <sheetViews>
    <sheetView showGridLines="0" topLeftCell="A31" zoomScale="80" zoomScaleNormal="80" workbookViewId="0">
      <selection activeCell="C4" sqref="C4:F4"/>
    </sheetView>
  </sheetViews>
  <sheetFormatPr defaultRowHeight="17.100000000000001" customHeight="1" x14ac:dyDescent="0.2"/>
  <cols>
    <col min="1" max="1" width="9.140625" style="1"/>
    <col min="2" max="2" width="50.7109375" style="34" customWidth="1"/>
    <col min="3" max="6" width="12.7109375" style="1" customWidth="1"/>
    <col min="7" max="10" width="12.7109375" style="34" customWidth="1"/>
    <col min="11" max="16384" width="9.140625" style="34"/>
  </cols>
  <sheetData>
    <row r="2" spans="1:10" ht="17.100000000000001" customHeight="1" x14ac:dyDescent="0.2">
      <c r="A2" s="34"/>
      <c r="B2" s="35" t="s">
        <v>7</v>
      </c>
      <c r="C2" s="36"/>
      <c r="D2" s="36"/>
      <c r="E2" s="36"/>
      <c r="F2" s="36"/>
    </row>
    <row r="3" spans="1:10" ht="17.100000000000001" customHeight="1" x14ac:dyDescent="0.2">
      <c r="B3" s="35"/>
      <c r="C3" s="37"/>
      <c r="D3" s="37"/>
      <c r="E3" s="37"/>
      <c r="F3" s="37"/>
    </row>
    <row r="4" spans="1:10" ht="17.100000000000001" customHeight="1" x14ac:dyDescent="0.2">
      <c r="B4" s="35" t="s">
        <v>6</v>
      </c>
      <c r="C4" s="109"/>
      <c r="D4" s="109"/>
      <c r="E4" s="109"/>
      <c r="F4" s="109"/>
    </row>
    <row r="5" spans="1:10" ht="17.100000000000001" customHeight="1" x14ac:dyDescent="0.2">
      <c r="B5" s="35" t="s">
        <v>5</v>
      </c>
      <c r="C5" s="109"/>
      <c r="D5" s="109"/>
      <c r="E5" s="109"/>
      <c r="F5" s="109"/>
    </row>
    <row r="6" spans="1:10" ht="17.100000000000001" customHeight="1" x14ac:dyDescent="0.2">
      <c r="B6" s="35" t="s">
        <v>637</v>
      </c>
      <c r="C6" s="109"/>
      <c r="D6" s="109"/>
      <c r="E6" s="109"/>
      <c r="F6" s="109"/>
    </row>
    <row r="7" spans="1:10" ht="17.100000000000001" customHeight="1" x14ac:dyDescent="0.2">
      <c r="B7" s="35"/>
    </row>
    <row r="8" spans="1:10" ht="17.100000000000001" customHeight="1" x14ac:dyDescent="0.2">
      <c r="B8" s="35"/>
      <c r="C8" s="108" t="s">
        <v>632</v>
      </c>
      <c r="D8" s="108"/>
      <c r="E8" s="108"/>
      <c r="F8" s="108"/>
      <c r="G8" s="108" t="s">
        <v>695</v>
      </c>
      <c r="H8" s="108"/>
      <c r="I8" s="108"/>
      <c r="J8" s="108"/>
    </row>
    <row r="9" spans="1:10" ht="17.100000000000001" customHeight="1" x14ac:dyDescent="0.2">
      <c r="C9" s="37" t="s">
        <v>3</v>
      </c>
      <c r="D9" s="37" t="s">
        <v>2</v>
      </c>
      <c r="E9" s="37" t="s">
        <v>1</v>
      </c>
      <c r="F9" s="37" t="s">
        <v>0</v>
      </c>
      <c r="G9" s="37" t="s">
        <v>3</v>
      </c>
      <c r="H9" s="37" t="s">
        <v>2</v>
      </c>
      <c r="I9" s="37" t="s">
        <v>1</v>
      </c>
      <c r="J9" s="37" t="s">
        <v>0</v>
      </c>
    </row>
    <row r="10" spans="1:10" ht="17.100000000000001" customHeight="1" x14ac:dyDescent="0.2">
      <c r="B10" s="35" t="s">
        <v>688</v>
      </c>
      <c r="C10" s="37"/>
      <c r="D10" s="37"/>
      <c r="E10" s="37"/>
      <c r="F10" s="37"/>
      <c r="G10" s="37"/>
      <c r="H10" s="37"/>
      <c r="I10" s="37"/>
      <c r="J10" s="37"/>
    </row>
    <row r="11" spans="1:10" ht="17.100000000000001" customHeight="1" x14ac:dyDescent="0.2">
      <c r="B11" s="34" t="s">
        <v>556</v>
      </c>
      <c r="C11" s="104"/>
      <c r="D11" s="104"/>
      <c r="E11" s="104"/>
      <c r="F11" s="104"/>
      <c r="G11" s="105"/>
      <c r="H11" s="105"/>
      <c r="I11" s="105"/>
      <c r="J11" s="105"/>
    </row>
    <row r="12" spans="1:10" ht="17.100000000000001" customHeight="1" x14ac:dyDescent="0.2">
      <c r="B12" s="38" t="s">
        <v>557</v>
      </c>
      <c r="C12" s="104"/>
      <c r="D12" s="104"/>
      <c r="E12" s="104"/>
      <c r="F12" s="104"/>
      <c r="G12" s="105"/>
      <c r="H12" s="105"/>
      <c r="I12" s="105"/>
      <c r="J12" s="105"/>
    </row>
    <row r="13" spans="1:10" ht="17.100000000000001" customHeight="1" x14ac:dyDescent="0.2">
      <c r="B13" s="38" t="s">
        <v>558</v>
      </c>
      <c r="C13" s="104"/>
      <c r="D13" s="104"/>
      <c r="E13" s="104"/>
      <c r="F13" s="104"/>
      <c r="G13" s="105"/>
      <c r="H13" s="105"/>
      <c r="I13" s="105"/>
      <c r="J13" s="105"/>
    </row>
    <row r="14" spans="1:10" ht="17.100000000000001" customHeight="1" x14ac:dyDescent="0.2">
      <c r="B14" s="38" t="s">
        <v>563</v>
      </c>
      <c r="C14" s="53" t="e">
        <f t="shared" ref="C14:J14" si="0">SUM(C12:C13)/(C11*91)</f>
        <v>#DIV/0!</v>
      </c>
      <c r="D14" s="53" t="e">
        <f t="shared" si="0"/>
        <v>#DIV/0!</v>
      </c>
      <c r="E14" s="53" t="e">
        <f t="shared" si="0"/>
        <v>#DIV/0!</v>
      </c>
      <c r="F14" s="53" t="e">
        <f t="shared" si="0"/>
        <v>#DIV/0!</v>
      </c>
      <c r="G14" s="53" t="e">
        <f t="shared" si="0"/>
        <v>#DIV/0!</v>
      </c>
      <c r="H14" s="53" t="e">
        <f t="shared" si="0"/>
        <v>#DIV/0!</v>
      </c>
      <c r="I14" s="53" t="e">
        <f t="shared" si="0"/>
        <v>#DIV/0!</v>
      </c>
      <c r="J14" s="53" t="e">
        <f t="shared" si="0"/>
        <v>#DIV/0!</v>
      </c>
    </row>
    <row r="15" spans="1:10" ht="17.100000000000001" customHeight="1" x14ac:dyDescent="0.2">
      <c r="B15" s="38" t="s">
        <v>554</v>
      </c>
      <c r="C15" s="104"/>
      <c r="D15" s="104"/>
      <c r="E15" s="104"/>
      <c r="F15" s="104"/>
      <c r="G15" s="105"/>
      <c r="H15" s="105"/>
      <c r="I15" s="105"/>
      <c r="J15" s="105"/>
    </row>
    <row r="16" spans="1:10" ht="17.100000000000001" customHeight="1" x14ac:dyDescent="0.2">
      <c r="B16" s="38" t="s">
        <v>555</v>
      </c>
      <c r="C16" s="104"/>
      <c r="D16" s="104"/>
      <c r="E16" s="104"/>
      <c r="F16" s="104"/>
      <c r="G16" s="105"/>
      <c r="H16" s="105"/>
      <c r="I16" s="105"/>
      <c r="J16" s="105"/>
    </row>
    <row r="17" spans="2:10" ht="17.100000000000001" customHeight="1" x14ac:dyDescent="0.2">
      <c r="B17" s="38" t="s">
        <v>689</v>
      </c>
      <c r="C17" s="22">
        <f>COUNTIF('User Data'!DP:DP,1)</f>
        <v>0</v>
      </c>
      <c r="D17" s="22">
        <f>COUNTIF('User Data'!DQ:DQ,1)</f>
        <v>0</v>
      </c>
      <c r="E17" s="22">
        <f>COUNTIF('User Data'!DR:DR,1)</f>
        <v>0</v>
      </c>
      <c r="F17" s="22">
        <f>COUNTIF('User Data'!DS:DS,1)</f>
        <v>0</v>
      </c>
      <c r="G17" s="22">
        <f>COUNTIF('User Data'!DT:DT,1)</f>
        <v>0</v>
      </c>
      <c r="H17" s="22">
        <f>COUNTIF('User Data'!DU:DU,1)</f>
        <v>0</v>
      </c>
      <c r="I17" s="22">
        <f>COUNTIF('User Data'!DV:DV,1)</f>
        <v>0</v>
      </c>
      <c r="J17" s="22">
        <f>COUNTIF('User Data'!DW:DW,1)</f>
        <v>0</v>
      </c>
    </row>
    <row r="18" spans="2:10" ht="17.100000000000001" customHeight="1" x14ac:dyDescent="0.2">
      <c r="B18" s="38"/>
      <c r="G18" s="1"/>
      <c r="H18" s="1"/>
      <c r="I18" s="1"/>
      <c r="J18" s="1"/>
    </row>
    <row r="19" spans="2:10" ht="17.100000000000001" customHeight="1" x14ac:dyDescent="0.2">
      <c r="B19" s="39" t="s">
        <v>593</v>
      </c>
      <c r="G19" s="1"/>
      <c r="H19" s="1"/>
      <c r="I19" s="1"/>
      <c r="J19" s="1"/>
    </row>
    <row r="20" spans="2:10" ht="17.100000000000001" customHeight="1" x14ac:dyDescent="0.2">
      <c r="B20" s="34" t="s">
        <v>595</v>
      </c>
      <c r="C20" s="104"/>
      <c r="D20" s="104"/>
      <c r="E20" s="104"/>
      <c r="F20" s="104"/>
      <c r="G20" s="105"/>
      <c r="H20" s="105"/>
      <c r="I20" s="105"/>
      <c r="J20" s="105"/>
    </row>
    <row r="21" spans="2:10" ht="17.100000000000001" customHeight="1" x14ac:dyDescent="0.2">
      <c r="B21" s="40" t="s">
        <v>559</v>
      </c>
      <c r="C21" s="104"/>
      <c r="D21" s="104"/>
      <c r="E21" s="104"/>
      <c r="F21" s="104"/>
      <c r="G21" s="105"/>
      <c r="H21" s="105"/>
      <c r="I21" s="105"/>
      <c r="J21" s="105"/>
    </row>
    <row r="22" spans="2:10" ht="17.100000000000001" customHeight="1" x14ac:dyDescent="0.2">
      <c r="B22" s="40" t="s">
        <v>560</v>
      </c>
      <c r="C22" s="104"/>
      <c r="D22" s="104"/>
      <c r="E22" s="104"/>
      <c r="F22" s="104"/>
      <c r="G22" s="105"/>
      <c r="H22" s="105"/>
      <c r="I22" s="105"/>
      <c r="J22" s="105"/>
    </row>
    <row r="23" spans="2:10" ht="17.100000000000001" customHeight="1" x14ac:dyDescent="0.2">
      <c r="B23" s="40" t="s">
        <v>564</v>
      </c>
      <c r="C23" s="41" t="e">
        <f>SUM(C21:C22)/C20</f>
        <v>#DIV/0!</v>
      </c>
      <c r="D23" s="41" t="e">
        <f t="shared" ref="D23:F23" si="1">SUM(D21:D22)/D20</f>
        <v>#DIV/0!</v>
      </c>
      <c r="E23" s="41" t="e">
        <f t="shared" si="1"/>
        <v>#DIV/0!</v>
      </c>
      <c r="F23" s="41" t="e">
        <f t="shared" si="1"/>
        <v>#DIV/0!</v>
      </c>
      <c r="G23" s="41" t="e">
        <f>SUM(G21:G22)/G20</f>
        <v>#DIV/0!</v>
      </c>
      <c r="H23" s="41" t="e">
        <f t="shared" ref="H23:J23" si="2">SUM(H21:H22)/H20</f>
        <v>#DIV/0!</v>
      </c>
      <c r="I23" s="41" t="e">
        <f t="shared" si="2"/>
        <v>#DIV/0!</v>
      </c>
      <c r="J23" s="41" t="e">
        <f t="shared" si="2"/>
        <v>#DIV/0!</v>
      </c>
    </row>
    <row r="24" spans="2:10" ht="17.100000000000001" customHeight="1" x14ac:dyDescent="0.2">
      <c r="B24" s="40" t="s">
        <v>568</v>
      </c>
      <c r="C24" s="106"/>
      <c r="D24" s="106"/>
      <c r="E24" s="106"/>
      <c r="F24" s="106"/>
      <c r="G24" s="107"/>
      <c r="H24" s="107"/>
      <c r="I24" s="107"/>
      <c r="J24" s="107"/>
    </row>
    <row r="25" spans="2:10" ht="17.100000000000001" customHeight="1" x14ac:dyDescent="0.2">
      <c r="B25" s="40" t="s">
        <v>569</v>
      </c>
      <c r="C25" s="106"/>
      <c r="D25" s="106"/>
      <c r="E25" s="106"/>
      <c r="F25" s="106"/>
      <c r="G25" s="107"/>
      <c r="H25" s="107"/>
      <c r="I25" s="107"/>
      <c r="J25" s="107"/>
    </row>
    <row r="26" spans="2:10" ht="17.100000000000001" customHeight="1" x14ac:dyDescent="0.2">
      <c r="B26" s="38"/>
      <c r="G26" s="1"/>
      <c r="H26" s="1"/>
      <c r="I26" s="1"/>
      <c r="J26" s="1"/>
    </row>
    <row r="27" spans="2:10" ht="17.100000000000001" customHeight="1" x14ac:dyDescent="0.2">
      <c r="B27" s="42" t="s">
        <v>594</v>
      </c>
      <c r="C27" s="23"/>
      <c r="D27" s="23"/>
      <c r="E27" s="23"/>
      <c r="F27" s="23"/>
      <c r="G27" s="23"/>
      <c r="H27" s="23"/>
      <c r="I27" s="23"/>
      <c r="J27" s="23"/>
    </row>
    <row r="28" spans="2:10" ht="17.100000000000001" customHeight="1" x14ac:dyDescent="0.2">
      <c r="B28" s="101" t="s">
        <v>790</v>
      </c>
      <c r="C28" s="22">
        <f>COUNTIF('User Data'!DX:DX,"=1000")</f>
        <v>0</v>
      </c>
      <c r="D28" s="22">
        <f>COUNTIF('User Data'!DX:DX,"=2000")</f>
        <v>0</v>
      </c>
      <c r="E28" s="22">
        <f>COUNTIF('User Data'!DX:DX,"=3000")</f>
        <v>0</v>
      </c>
      <c r="F28" s="22">
        <f>COUNTIF('User Data'!DX:DX,"=4000")</f>
        <v>0</v>
      </c>
      <c r="G28" s="22">
        <f>COUNTIF('User Data'!DX:DX,"=5000")</f>
        <v>0</v>
      </c>
      <c r="H28" s="22">
        <f>COUNTIF('User Data'!DX:DX,"=6000")</f>
        <v>0</v>
      </c>
      <c r="I28" s="22">
        <f>COUNTIF('User Data'!DX:DX,"=7000")</f>
        <v>0</v>
      </c>
      <c r="J28" s="22">
        <f>COUNTIF('User Data'!DX:DX,"=8000")</f>
        <v>0</v>
      </c>
    </row>
    <row r="29" spans="2:10" ht="17.100000000000001" customHeight="1" x14ac:dyDescent="0.2">
      <c r="B29" s="43" t="s">
        <v>4</v>
      </c>
      <c r="C29" s="31" t="e">
        <f>COUNTIF('User Data'!DZ:DZ,"=1001")/C28</f>
        <v>#DIV/0!</v>
      </c>
      <c r="D29" s="31" t="e">
        <f>COUNTIF('User Data'!DZ:DZ,"=2001")/D28</f>
        <v>#DIV/0!</v>
      </c>
      <c r="E29" s="31" t="e">
        <f>COUNTIF('User Data'!DZ:DZ,"=3001")/E28</f>
        <v>#DIV/0!</v>
      </c>
      <c r="F29" s="31" t="e">
        <f>COUNTIF('User Data'!DZ:DZ,"=4001")/F28</f>
        <v>#DIV/0!</v>
      </c>
      <c r="G29" s="31" t="e">
        <f>COUNTIF('User Data'!DZ:DZ,"=5001")/G28</f>
        <v>#DIV/0!</v>
      </c>
      <c r="H29" s="31" t="e">
        <f>COUNTIF('User Data'!DZ:DZ,"=6001")/H28</f>
        <v>#DIV/0!</v>
      </c>
      <c r="I29" s="31" t="e">
        <f>COUNTIF('User Data'!DZ:DZ,"=7001")/I28</f>
        <v>#DIV/0!</v>
      </c>
      <c r="J29" s="31" t="e">
        <f>COUNTIF('User Data'!DZ:DZ,"=8001")/J28</f>
        <v>#DIV/0!</v>
      </c>
    </row>
    <row r="30" spans="2:10" ht="17.100000000000001" customHeight="1" x14ac:dyDescent="0.2">
      <c r="B30" s="43" t="s">
        <v>41</v>
      </c>
      <c r="C30" s="31" t="e">
        <f>COUNTIF('User Data'!EB:EB,"=1100")/C28</f>
        <v>#DIV/0!</v>
      </c>
      <c r="D30" s="31" t="e">
        <f>COUNTIF('User Data'!EB:EB,"=2100")/D28</f>
        <v>#DIV/0!</v>
      </c>
      <c r="E30" s="31" t="e">
        <f>COUNTIF('User Data'!EB:EB,"=3100")/E28</f>
        <v>#DIV/0!</v>
      </c>
      <c r="F30" s="31" t="e">
        <f>COUNTIF('User Data'!EB:EB,"=4100")/F28</f>
        <v>#DIV/0!</v>
      </c>
      <c r="G30" s="31" t="e">
        <f>COUNTIF('User Data'!EB:EB,"=5100")/G28</f>
        <v>#DIV/0!</v>
      </c>
      <c r="H30" s="31" t="e">
        <f>COUNTIF('User Data'!EB:EB,"=6100")/H28</f>
        <v>#DIV/0!</v>
      </c>
      <c r="I30" s="31" t="e">
        <f>COUNTIF('User Data'!EB:EB,"=7100")/I28</f>
        <v>#DIV/0!</v>
      </c>
      <c r="J30" s="31" t="e">
        <f>COUNTIF('User Data'!EB:EB,"=8100")/J28</f>
        <v>#DIV/0!</v>
      </c>
    </row>
    <row r="31" spans="2:10" ht="17.100000000000001" customHeight="1" x14ac:dyDescent="0.2">
      <c r="B31" s="43" t="s">
        <v>49</v>
      </c>
      <c r="C31" s="31" t="e">
        <f>COUNTIF('User Data'!EB:EB,"=1200")/C28</f>
        <v>#DIV/0!</v>
      </c>
      <c r="D31" s="31" t="e">
        <f>COUNTIF('User Data'!EB:EB,"=2200")/D28</f>
        <v>#DIV/0!</v>
      </c>
      <c r="E31" s="31" t="e">
        <f>COUNTIF('User Data'!EB:EB,"=3200")/E28</f>
        <v>#DIV/0!</v>
      </c>
      <c r="F31" s="31" t="e">
        <f>COUNTIF('User Data'!EB:EB,"=4200")/F28</f>
        <v>#DIV/0!</v>
      </c>
      <c r="G31" s="31" t="e">
        <f>COUNTIF('User Data'!EB:EB,"=5200")/G28</f>
        <v>#DIV/0!</v>
      </c>
      <c r="H31" s="31" t="e">
        <f>COUNTIF('User Data'!EB:EB,"=6200")/H28</f>
        <v>#DIV/0!</v>
      </c>
      <c r="I31" s="31" t="e">
        <f>COUNTIF('User Data'!EB:EB,"=7200")/I28</f>
        <v>#DIV/0!</v>
      </c>
      <c r="J31" s="31" t="e">
        <f>COUNTIF('User Data'!EB:EB,"=8200")/J28</f>
        <v>#DIV/0!</v>
      </c>
    </row>
    <row r="32" spans="2:10" ht="17.100000000000001" customHeight="1" x14ac:dyDescent="0.2">
      <c r="B32" s="43" t="s">
        <v>57</v>
      </c>
      <c r="C32" s="31" t="e">
        <f>COUNTIF('User Data'!$EB:$EB,"=1300")/C28</f>
        <v>#DIV/0!</v>
      </c>
      <c r="D32" s="31" t="e">
        <f>COUNTIF('User Data'!$EB:$EB,"=2300")/D28</f>
        <v>#DIV/0!</v>
      </c>
      <c r="E32" s="31" t="e">
        <f>COUNTIF('User Data'!$EB:$EB,"=3300")/E28</f>
        <v>#DIV/0!</v>
      </c>
      <c r="F32" s="31" t="e">
        <f>COUNTIF('User Data'!$EB:$EB,"=4300")/F28</f>
        <v>#DIV/0!</v>
      </c>
      <c r="G32" s="31" t="e">
        <f>COUNTIF('User Data'!$EB:$EB,"=5300")/G28</f>
        <v>#DIV/0!</v>
      </c>
      <c r="H32" s="31" t="e">
        <f>COUNTIF('User Data'!$EB:$EB,"=6300")/H28</f>
        <v>#DIV/0!</v>
      </c>
      <c r="I32" s="31" t="e">
        <f>COUNTIF('User Data'!$EB:$EB,"=7300")/I28</f>
        <v>#DIV/0!</v>
      </c>
      <c r="J32" s="31" t="e">
        <f>COUNTIF('User Data'!$EB:$EB,"=8300")/J28</f>
        <v>#DIV/0!</v>
      </c>
    </row>
    <row r="33" spans="2:10" ht="17.100000000000001" customHeight="1" x14ac:dyDescent="0.2">
      <c r="B33" s="43"/>
      <c r="G33" s="1"/>
      <c r="H33" s="1"/>
      <c r="I33" s="1"/>
      <c r="J33" s="1"/>
    </row>
    <row r="34" spans="2:10" ht="17.100000000000001" customHeight="1" x14ac:dyDescent="0.2">
      <c r="B34" s="35" t="s">
        <v>596</v>
      </c>
      <c r="C34" s="23"/>
      <c r="D34" s="23"/>
      <c r="E34" s="23"/>
      <c r="F34" s="23"/>
      <c r="G34" s="23"/>
      <c r="H34" s="23"/>
      <c r="I34" s="23"/>
      <c r="J34" s="23"/>
    </row>
    <row r="35" spans="2:10" ht="17.100000000000001" customHeight="1" x14ac:dyDescent="0.2">
      <c r="B35" s="34" t="s">
        <v>789</v>
      </c>
      <c r="C35" s="22">
        <f>COUNTIF('User Data'!EC:EC,"=1000")</f>
        <v>0</v>
      </c>
      <c r="D35" s="22">
        <f>COUNTIF('User Data'!EC:EC,"=2000")</f>
        <v>0</v>
      </c>
      <c r="E35" s="22">
        <f>COUNTIF('User Data'!EC:EC,"=3000")</f>
        <v>0</v>
      </c>
      <c r="F35" s="22">
        <f>COUNTIF('User Data'!EC:EC,"=4000")</f>
        <v>0</v>
      </c>
      <c r="G35" s="22">
        <f>COUNTIF('User Data'!EC:EC,"=5000")</f>
        <v>0</v>
      </c>
      <c r="H35" s="22">
        <f>COUNTIF('User Data'!EC:EC,"=6000")</f>
        <v>0</v>
      </c>
      <c r="I35" s="22">
        <f>COUNTIF('User Data'!EC:EC,"=7000")</f>
        <v>0</v>
      </c>
      <c r="J35" s="22">
        <f>COUNTIF('User Data'!EC:EC,"=8000")</f>
        <v>0</v>
      </c>
    </row>
    <row r="36" spans="2:10" ht="17.100000000000001" customHeight="1" x14ac:dyDescent="0.2">
      <c r="B36" s="38" t="s">
        <v>553</v>
      </c>
      <c r="C36" s="31" t="e">
        <f>COUNTIF('User Data'!EE:EE,"=1001")/C35</f>
        <v>#DIV/0!</v>
      </c>
      <c r="D36" s="31" t="e">
        <f>COUNTIF('User Data'!EE:EE,"=2001")/D35</f>
        <v>#DIV/0!</v>
      </c>
      <c r="E36" s="31" t="e">
        <f>COUNTIF('User Data'!EE:EE,"=3001")/E35</f>
        <v>#DIV/0!</v>
      </c>
      <c r="F36" s="31" t="e">
        <f>COUNTIF('User Data'!EE:EE,"=4001")/F35</f>
        <v>#DIV/0!</v>
      </c>
      <c r="G36" s="31" t="e">
        <f>COUNTIF('User Data'!EE:EE,"=5001")/G35</f>
        <v>#DIV/0!</v>
      </c>
      <c r="H36" s="31" t="e">
        <f>COUNTIF('User Data'!EE:EE,"=6001")/H35</f>
        <v>#DIV/0!</v>
      </c>
      <c r="I36" s="31" t="e">
        <f>COUNTIF('User Data'!EE:EE,"=7001")/I35</f>
        <v>#DIV/0!</v>
      </c>
      <c r="J36" s="31" t="e">
        <f>COUNTIF('User Data'!$EE:$EE,"=8001")/J35</f>
        <v>#DIV/0!</v>
      </c>
    </row>
    <row r="37" spans="2:10" ht="17.100000000000001" customHeight="1" x14ac:dyDescent="0.2">
      <c r="B37" s="38" t="s">
        <v>20</v>
      </c>
      <c r="C37" s="31" t="e">
        <f>COUNTIF('User Data'!$EG:$EG,"=1001")/C35</f>
        <v>#DIV/0!</v>
      </c>
      <c r="D37" s="31" t="e">
        <f>COUNTIF('User Data'!$EG:$EG,"=2001")/D35</f>
        <v>#DIV/0!</v>
      </c>
      <c r="E37" s="31" t="e">
        <f>COUNTIF('User Data'!$EG:$EG,"=3001")/E35</f>
        <v>#DIV/0!</v>
      </c>
      <c r="F37" s="31" t="e">
        <f>COUNTIF('User Data'!$EG:$EG,"=4001")/F35</f>
        <v>#DIV/0!</v>
      </c>
      <c r="G37" s="31" t="e">
        <f>COUNTIF('User Data'!$EG:$EG,"=5001")/G35</f>
        <v>#DIV/0!</v>
      </c>
      <c r="H37" s="31" t="e">
        <f>COUNTIF('User Data'!$EG:$EG,"=6001")/H35</f>
        <v>#DIV/0!</v>
      </c>
      <c r="I37" s="31" t="e">
        <f>COUNTIF('User Data'!$EG:$EG,"=7001")/I35</f>
        <v>#DIV/0!</v>
      </c>
      <c r="J37" s="31" t="e">
        <f>COUNTIF('User Data'!$EG:$EG,"=8001")/J35</f>
        <v>#DIV/0!</v>
      </c>
    </row>
    <row r="38" spans="2:10" ht="17.100000000000001" customHeight="1" x14ac:dyDescent="0.2">
      <c r="B38" s="38" t="s">
        <v>26</v>
      </c>
      <c r="C38" s="31" t="e">
        <f>COUNTIF('User Data'!$EI:$EI,"=1002")/SUM((C35)-COUNTIF('User Data'!$EI:$EI,"=1003"))</f>
        <v>#DIV/0!</v>
      </c>
      <c r="D38" s="31" t="e">
        <f>COUNTIF('User Data'!$EI:$EI,"=2002")/SUM((D35)-COUNTIF('User Data'!$EI:$EI,"=2003"))</f>
        <v>#DIV/0!</v>
      </c>
      <c r="E38" s="31" t="e">
        <f>COUNTIF('User Data'!$EI:$EI,"=3002")/SUM((E35)-COUNTIF('User Data'!$EI:$EI,"=3003"))</f>
        <v>#DIV/0!</v>
      </c>
      <c r="F38" s="31" t="e">
        <f>COUNTIF('User Data'!$EI:$EI,"=4002")/SUM((F35)-COUNTIF('User Data'!$EI:$EI,"=4003"))</f>
        <v>#DIV/0!</v>
      </c>
      <c r="G38" s="31" t="e">
        <f>COUNTIF('User Data'!$EI:$EI,"=5002")/SUM((G35)-COUNTIF('User Data'!$EI:$EI,"=5003"))</f>
        <v>#DIV/0!</v>
      </c>
      <c r="H38" s="31" t="e">
        <f>COUNTIF('User Data'!$EI:$EI,"=6002")/SUM((H35)-COUNTIF('User Data'!$EI:$EI,"=6003"))</f>
        <v>#DIV/0!</v>
      </c>
      <c r="I38" s="31" t="e">
        <f>COUNTIF('User Data'!$EI:$EI,"=7002")/SUM((I35)-COUNTIF('User Data'!$EI:$EI,"=7003"))</f>
        <v>#DIV/0!</v>
      </c>
      <c r="J38" s="31" t="e">
        <f>COUNTIF('User Data'!$EI:$EI,"=8002")/SUM((J35)-COUNTIF('User Data'!$EI:$EI,"=8003"))</f>
        <v>#DIV/0!</v>
      </c>
    </row>
    <row r="39" spans="2:10" ht="17.100000000000001" customHeight="1" x14ac:dyDescent="0.2">
      <c r="B39" s="38"/>
      <c r="C39" s="23"/>
      <c r="D39" s="23"/>
      <c r="E39" s="23"/>
      <c r="F39" s="23"/>
      <c r="G39" s="23"/>
      <c r="H39" s="23"/>
      <c r="I39" s="23"/>
      <c r="J39" s="23"/>
    </row>
    <row r="40" spans="2:10" ht="17.100000000000001" customHeight="1" x14ac:dyDescent="0.2">
      <c r="B40" s="39" t="s">
        <v>597</v>
      </c>
      <c r="G40" s="1"/>
      <c r="H40" s="1"/>
      <c r="I40" s="1"/>
      <c r="J40" s="1"/>
    </row>
    <row r="41" spans="2:10" ht="17.100000000000001" customHeight="1" x14ac:dyDescent="0.2">
      <c r="B41" s="38" t="s">
        <v>690</v>
      </c>
      <c r="C41" s="22">
        <f>COUNTIF('User Data'!$EJ:$EJ,"=1000")</f>
        <v>0</v>
      </c>
      <c r="D41" s="22">
        <f>COUNTIF('User Data'!$EJ:$EJ,"=2000")</f>
        <v>0</v>
      </c>
      <c r="E41" s="22">
        <f>COUNTIF('User Data'!$EJ:$EJ,"=3000")</f>
        <v>0</v>
      </c>
      <c r="F41" s="22">
        <f>COUNTIF('User Data'!$EJ:$EJ,"=4000")</f>
        <v>0</v>
      </c>
      <c r="G41" s="22">
        <f>COUNTIF('User Data'!$EJ:$EJ,"=5000")</f>
        <v>0</v>
      </c>
      <c r="H41" s="22">
        <f>COUNTIF('User Data'!$EJ:$EJ,"=6000")</f>
        <v>0</v>
      </c>
      <c r="I41" s="22">
        <f>COUNTIF('User Data'!$EJ:$EJ,"=7000")</f>
        <v>0</v>
      </c>
      <c r="J41" s="22">
        <f>COUNTIF('User Data'!$EJ:$EJ,"=8000")</f>
        <v>0</v>
      </c>
    </row>
    <row r="42" spans="2:10" ht="17.100000000000001" customHeight="1" x14ac:dyDescent="0.2">
      <c r="B42" s="38" t="s">
        <v>691</v>
      </c>
      <c r="C42" s="31" t="e">
        <f>COUNTIF('User Data'!$EL:$EL,"=1001")/C41</f>
        <v>#DIV/0!</v>
      </c>
      <c r="D42" s="31" t="e">
        <f>COUNTIF('User Data'!$EL:$EL,"=2001")/D41</f>
        <v>#DIV/0!</v>
      </c>
      <c r="E42" s="31" t="e">
        <f>COUNTIF('User Data'!$EL:$EL,"=3001")/E41</f>
        <v>#DIV/0!</v>
      </c>
      <c r="F42" s="31" t="e">
        <f>COUNTIF('User Data'!$EL:$EL,"=4001")/F41</f>
        <v>#DIV/0!</v>
      </c>
      <c r="G42" s="31" t="e">
        <f>COUNTIF('User Data'!$EL:$EL,"=5001")/G41</f>
        <v>#DIV/0!</v>
      </c>
      <c r="H42" s="31" t="e">
        <f>COUNTIF('User Data'!$EL:$EL,"=6001")/H41</f>
        <v>#DIV/0!</v>
      </c>
      <c r="I42" s="31" t="e">
        <f>COUNTIF('User Data'!$EL:$EL,"=7001")/I41</f>
        <v>#DIV/0!</v>
      </c>
      <c r="J42" s="31" t="e">
        <f>COUNTIF('User Data'!$EL:$EL,"=8001")/J41</f>
        <v>#DIV/0!</v>
      </c>
    </row>
    <row r="43" spans="2:10" ht="17.100000000000001" customHeight="1" x14ac:dyDescent="0.2">
      <c r="B43" s="38" t="s">
        <v>20</v>
      </c>
      <c r="C43" s="31" t="e">
        <f>COUNTIF('User Data'!$EN:$EN,"=1001")/C41</f>
        <v>#DIV/0!</v>
      </c>
      <c r="D43" s="31" t="e">
        <f>COUNTIF('User Data'!$EN:$EN,"=2001")/D41</f>
        <v>#DIV/0!</v>
      </c>
      <c r="E43" s="31" t="e">
        <f>COUNTIF('User Data'!$EN:$EN,"=3001")/E41</f>
        <v>#DIV/0!</v>
      </c>
      <c r="F43" s="31" t="e">
        <f>COUNTIF('User Data'!$EN:$EN,"=4001")/F41</f>
        <v>#DIV/0!</v>
      </c>
      <c r="G43" s="31" t="e">
        <f>COUNTIF('User Data'!$EN:$EN,"=5001")/G41</f>
        <v>#DIV/0!</v>
      </c>
      <c r="H43" s="31" t="e">
        <f>COUNTIF('User Data'!$EN:$EN,"=6001")/H41</f>
        <v>#DIV/0!</v>
      </c>
      <c r="I43" s="31" t="e">
        <f>COUNTIF('User Data'!$EN:$EN,"=7001")/I41</f>
        <v>#DIV/0!</v>
      </c>
      <c r="J43" s="31" t="e">
        <f>COUNTIF('User Data'!$EN:$EN,"=8001")/J41</f>
        <v>#DIV/0!</v>
      </c>
    </row>
    <row r="44" spans="2:10" ht="17.100000000000001" customHeight="1" x14ac:dyDescent="0.2">
      <c r="B44" s="38" t="s">
        <v>26</v>
      </c>
      <c r="C44" s="31" t="e">
        <f>COUNTIF('User Data'!$EP:$EP,"=1002")/SUM(C41-COUNTIF('User Data'!$EP:$EP,"=1003"))</f>
        <v>#DIV/0!</v>
      </c>
      <c r="D44" s="31" t="e">
        <f>COUNTIF('User Data'!$EP:$EP,"=2002")/SUM(D41-COUNTIF('User Data'!$EP:$EP,"=2003"))</f>
        <v>#DIV/0!</v>
      </c>
      <c r="E44" s="31" t="e">
        <f>COUNTIF('User Data'!$EP:$EP,"=3002")/SUM(E41-COUNTIF('User Data'!$EP:$EP,"=3003"))</f>
        <v>#DIV/0!</v>
      </c>
      <c r="F44" s="31" t="e">
        <f>COUNTIF('User Data'!$EP:$EP,"=4002")/SUM(F41-COUNTIF('User Data'!$EP:$EP,"=4003"))</f>
        <v>#DIV/0!</v>
      </c>
      <c r="G44" s="31" t="e">
        <f>COUNTIF('User Data'!$EP:$EP,"=5002")/SUM(G41-COUNTIF('User Data'!$EP:$EP,"=5003"))</f>
        <v>#DIV/0!</v>
      </c>
      <c r="H44" s="31" t="e">
        <f>COUNTIF('User Data'!$EP:$EP,"=6002")/SUM(H41-COUNTIF('User Data'!$EP:$EP,"=6003"))</f>
        <v>#DIV/0!</v>
      </c>
      <c r="I44" s="31" t="e">
        <f>COUNTIF('User Data'!$EP:$EP,"=7002")/SUM((I41)-COUNTIF('User Data'!$EP:$EP,"=7003"))</f>
        <v>#DIV/0!</v>
      </c>
      <c r="J44" s="31" t="e">
        <f>COUNTIF('User Data'!$EP:$EP,"=8002")/SUM(J41-COUNTIF('User Data'!$EP:$EP,"=8003"))</f>
        <v>#DIV/0!</v>
      </c>
    </row>
    <row r="45" spans="2:10" ht="17.100000000000001" customHeight="1" x14ac:dyDescent="0.2">
      <c r="B45" s="38" t="s">
        <v>761</v>
      </c>
      <c r="C45" s="90" t="e">
        <f>SUM('User Data'!ES:ES)/C41/30</f>
        <v>#DIV/0!</v>
      </c>
      <c r="D45" s="90" t="e">
        <f>SUM('User Data'!ET:ET)/D41/30</f>
        <v>#DIV/0!</v>
      </c>
      <c r="E45" s="90" t="e">
        <f>SUM('User Data'!EU:EU)/E41/30</f>
        <v>#DIV/0!</v>
      </c>
      <c r="F45" s="90" t="e">
        <f>SUM('User Data'!EV:EV)/F41/30</f>
        <v>#DIV/0!</v>
      </c>
      <c r="G45" s="90" t="e">
        <f>SUM('User Data'!EW:EW)/G41/30</f>
        <v>#DIV/0!</v>
      </c>
      <c r="H45" s="90" t="e">
        <f>SUM('User Data'!EX:EX)/H41/30</f>
        <v>#DIV/0!</v>
      </c>
      <c r="I45" s="90" t="e">
        <f>SUM('User Data'!EY:EY)/I41/30</f>
        <v>#DIV/0!</v>
      </c>
      <c r="J45" s="90" t="e">
        <f>SUM('User Data'!EZ:EZ)/J41/30</f>
        <v>#DIV/0!</v>
      </c>
    </row>
    <row r="46" spans="2:10" ht="17.100000000000001" customHeight="1" x14ac:dyDescent="0.2">
      <c r="B46" s="38"/>
      <c r="G46" s="1"/>
      <c r="H46" s="1"/>
      <c r="I46" s="1"/>
      <c r="J46" s="1"/>
    </row>
    <row r="47" spans="2:10" ht="17.100000000000001" customHeight="1" x14ac:dyDescent="0.2">
      <c r="B47" s="35" t="s">
        <v>646</v>
      </c>
      <c r="C47" s="34"/>
      <c r="D47" s="37" t="s">
        <v>630</v>
      </c>
      <c r="E47" s="37" t="s">
        <v>631</v>
      </c>
      <c r="F47" s="37"/>
      <c r="H47" s="37" t="s">
        <v>630</v>
      </c>
      <c r="I47" s="37" t="s">
        <v>631</v>
      </c>
      <c r="J47" s="37"/>
    </row>
    <row r="48" spans="2:10" ht="17.100000000000001" customHeight="1" x14ac:dyDescent="0.2">
      <c r="B48" s="38" t="s">
        <v>552</v>
      </c>
      <c r="C48" s="34"/>
      <c r="D48" s="51" t="e">
        <f>AVERAGE('User Data'!FA:FA)</f>
        <v>#DIV/0!</v>
      </c>
      <c r="E48" s="51" t="e">
        <f>AVERAGE('User Data'!FK:FK)</f>
        <v>#DIV/0!</v>
      </c>
      <c r="F48" s="52"/>
      <c r="H48" s="51" t="e">
        <f>AVERAGE('User Data'!FU:FU)</f>
        <v>#DIV/0!</v>
      </c>
      <c r="I48" s="51" t="e">
        <f>AVERAGE('User Data'!GE:GE)</f>
        <v>#DIV/0!</v>
      </c>
      <c r="J48" s="52"/>
    </row>
    <row r="49" spans="2:10" ht="17.100000000000001" customHeight="1" x14ac:dyDescent="0.2">
      <c r="B49" s="38" t="s">
        <v>551</v>
      </c>
      <c r="C49" s="34"/>
      <c r="D49" s="51" t="e">
        <f>AVERAGE('User Data'!FB:FB)</f>
        <v>#DIV/0!</v>
      </c>
      <c r="E49" s="51" t="e">
        <f>AVERAGE('User Data'!FL:FL)</f>
        <v>#DIV/0!</v>
      </c>
      <c r="F49" s="52"/>
      <c r="H49" s="51" t="e">
        <f>AVERAGE('User Data'!FV:FV)</f>
        <v>#DIV/0!</v>
      </c>
      <c r="I49" s="51" t="e">
        <f>AVERAGE('User Data'!GF:GF)</f>
        <v>#DIV/0!</v>
      </c>
      <c r="J49" s="52"/>
    </row>
    <row r="50" spans="2:10" ht="17.100000000000001" customHeight="1" x14ac:dyDescent="0.2">
      <c r="B50" s="38" t="s">
        <v>550</v>
      </c>
      <c r="C50" s="34"/>
      <c r="D50" s="51" t="e">
        <f>AVERAGE('User Data'!FC:FC)</f>
        <v>#DIV/0!</v>
      </c>
      <c r="E50" s="51" t="e">
        <f>AVERAGE('User Data'!FM:FM)</f>
        <v>#DIV/0!</v>
      </c>
      <c r="F50" s="52"/>
      <c r="H50" s="51" t="e">
        <f>AVERAGE('User Data'!FW:FW)</f>
        <v>#DIV/0!</v>
      </c>
      <c r="I50" s="51" t="e">
        <f>AVERAGE('User Data'!GG:GG)</f>
        <v>#DIV/0!</v>
      </c>
      <c r="J50" s="52"/>
    </row>
    <row r="51" spans="2:10" ht="17.100000000000001" customHeight="1" x14ac:dyDescent="0.2">
      <c r="B51" s="38" t="s">
        <v>544</v>
      </c>
      <c r="C51" s="34"/>
      <c r="D51" s="51" t="e">
        <f>AVERAGE('User Data'!FD:FD)</f>
        <v>#DIV/0!</v>
      </c>
      <c r="E51" s="51" t="e">
        <f>AVERAGE('User Data'!FN:FN)</f>
        <v>#DIV/0!</v>
      </c>
      <c r="F51" s="52"/>
      <c r="H51" s="51" t="e">
        <f>AVERAGE('User Data'!FX:FX)</f>
        <v>#DIV/0!</v>
      </c>
      <c r="I51" s="51" t="e">
        <f>AVERAGE('User Data'!GH:GH)</f>
        <v>#DIV/0!</v>
      </c>
      <c r="J51" s="52"/>
    </row>
    <row r="52" spans="2:10" ht="17.100000000000001" customHeight="1" x14ac:dyDescent="0.2">
      <c r="B52" s="38" t="s">
        <v>545</v>
      </c>
      <c r="C52" s="34"/>
      <c r="D52" s="51" t="e">
        <f>AVERAGE('User Data'!FE:FE)</f>
        <v>#DIV/0!</v>
      </c>
      <c r="E52" s="51" t="e">
        <f>AVERAGE('User Data'!FO:FO)</f>
        <v>#DIV/0!</v>
      </c>
      <c r="F52" s="52"/>
      <c r="H52" s="51" t="e">
        <f>AVERAGE('User Data'!FY:FY)</f>
        <v>#DIV/0!</v>
      </c>
      <c r="I52" s="51" t="e">
        <f>AVERAGE('User Data'!GI:GI)</f>
        <v>#DIV/0!</v>
      </c>
      <c r="J52" s="52"/>
    </row>
    <row r="53" spans="2:10" ht="17.100000000000001" customHeight="1" x14ac:dyDescent="0.2">
      <c r="B53" s="38" t="s">
        <v>546</v>
      </c>
      <c r="C53" s="34"/>
      <c r="D53" s="51" t="e">
        <f>AVERAGE('User Data'!FF:FF)</f>
        <v>#DIV/0!</v>
      </c>
      <c r="E53" s="51" t="e">
        <f>AVERAGE('User Data'!FP:FP)</f>
        <v>#DIV/0!</v>
      </c>
      <c r="F53" s="52"/>
      <c r="H53" s="51" t="e">
        <f>AVERAGE('User Data'!FZ:FZ)</f>
        <v>#DIV/0!</v>
      </c>
      <c r="I53" s="51" t="e">
        <f>AVERAGE('User Data'!GJ:GJ)</f>
        <v>#DIV/0!</v>
      </c>
      <c r="J53" s="52"/>
    </row>
    <row r="54" spans="2:10" ht="17.100000000000001" customHeight="1" x14ac:dyDescent="0.2">
      <c r="B54" s="38" t="s">
        <v>547</v>
      </c>
      <c r="C54" s="34"/>
      <c r="D54" s="51" t="e">
        <f>AVERAGE('User Data'!FG:FG)</f>
        <v>#DIV/0!</v>
      </c>
      <c r="E54" s="51" t="e">
        <f>AVERAGE('User Data'!FQ:FQ)</f>
        <v>#DIV/0!</v>
      </c>
      <c r="F54" s="52"/>
      <c r="H54" s="51" t="e">
        <f>AVERAGE('User Data'!GA:GA)</f>
        <v>#DIV/0!</v>
      </c>
      <c r="I54" s="51" t="e">
        <f>AVERAGE('User Data'!GK:GK)</f>
        <v>#DIV/0!</v>
      </c>
      <c r="J54" s="52"/>
    </row>
    <row r="55" spans="2:10" ht="17.100000000000001" customHeight="1" x14ac:dyDescent="0.2">
      <c r="B55" s="38" t="s">
        <v>548</v>
      </c>
      <c r="C55" s="34"/>
      <c r="D55" s="51" t="e">
        <f>AVERAGE('User Data'!FH:FH)</f>
        <v>#DIV/0!</v>
      </c>
      <c r="E55" s="51" t="e">
        <f>AVERAGE('User Data'!FR:FR)</f>
        <v>#DIV/0!</v>
      </c>
      <c r="F55" s="52"/>
      <c r="H55" s="51" t="e">
        <f>AVERAGE('User Data'!GB:GB)</f>
        <v>#DIV/0!</v>
      </c>
      <c r="I55" s="51" t="e">
        <f>AVERAGE('User Data'!GL:GL)</f>
        <v>#DIV/0!</v>
      </c>
      <c r="J55" s="52"/>
    </row>
    <row r="56" spans="2:10" ht="17.100000000000001" customHeight="1" x14ac:dyDescent="0.2">
      <c r="B56" s="38" t="s">
        <v>549</v>
      </c>
      <c r="C56" s="34"/>
      <c r="D56" s="51" t="e">
        <f>AVERAGE('User Data'!FI:FI)</f>
        <v>#DIV/0!</v>
      </c>
      <c r="E56" s="51" t="e">
        <f>AVERAGE('User Data'!FS:FS)</f>
        <v>#DIV/0!</v>
      </c>
      <c r="F56" s="52"/>
      <c r="H56" s="51" t="e">
        <f>AVERAGE('User Data'!GC:GC)</f>
        <v>#DIV/0!</v>
      </c>
      <c r="I56" s="51" t="e">
        <f>AVERAGE('User Data'!GM:GM)</f>
        <v>#DIV/0!</v>
      </c>
      <c r="J56" s="52"/>
    </row>
    <row r="57" spans="2:10" ht="17.100000000000001" customHeight="1" x14ac:dyDescent="0.2">
      <c r="B57" s="38" t="s">
        <v>542</v>
      </c>
      <c r="C57" s="34"/>
      <c r="D57" s="51" t="e">
        <f>AVERAGE('User Data'!FJ:FJ)</f>
        <v>#DIV/0!</v>
      </c>
      <c r="E57" s="51" t="e">
        <f>AVERAGE('User Data'!FT:FT)</f>
        <v>#DIV/0!</v>
      </c>
      <c r="F57" s="52"/>
      <c r="H57" s="51" t="e">
        <f>AVERAGE('User Data'!GD:GD)</f>
        <v>#DIV/0!</v>
      </c>
      <c r="I57" s="51" t="e">
        <f>AVERAGE('User Data'!GN:GN)</f>
        <v>#DIV/0!</v>
      </c>
      <c r="J57" s="52"/>
    </row>
    <row r="58" spans="2:10" ht="17.100000000000001" customHeight="1" x14ac:dyDescent="0.2">
      <c r="C58" s="34"/>
      <c r="G58" s="1"/>
      <c r="H58" s="1"/>
      <c r="I58" s="1"/>
      <c r="J58" s="1"/>
    </row>
    <row r="59" spans="2:10" ht="17.100000000000001" customHeight="1" x14ac:dyDescent="0.2">
      <c r="G59" s="1"/>
      <c r="H59" s="1"/>
      <c r="I59" s="1"/>
      <c r="J59" s="1"/>
    </row>
    <row r="60" spans="2:10" ht="17.100000000000001" customHeight="1" x14ac:dyDescent="0.2">
      <c r="G60" s="1"/>
      <c r="H60" s="1"/>
      <c r="I60" s="1"/>
      <c r="J60" s="1"/>
    </row>
    <row r="61" spans="2:10" ht="17.100000000000001" customHeight="1" x14ac:dyDescent="0.2">
      <c r="G61" s="1"/>
      <c r="H61" s="1"/>
      <c r="I61" s="1"/>
      <c r="J61" s="1"/>
    </row>
    <row r="62" spans="2:10" ht="17.100000000000001" customHeight="1" x14ac:dyDescent="0.2">
      <c r="G62" s="1"/>
      <c r="H62" s="1"/>
      <c r="I62" s="1"/>
      <c r="J62" s="1"/>
    </row>
    <row r="63" spans="2:10" ht="17.100000000000001" customHeight="1" x14ac:dyDescent="0.2">
      <c r="G63" s="1"/>
      <c r="H63" s="1"/>
      <c r="I63" s="1"/>
      <c r="J63" s="1"/>
    </row>
    <row r="64" spans="2:10" ht="17.100000000000001" customHeight="1" x14ac:dyDescent="0.2">
      <c r="G64" s="1"/>
      <c r="H64" s="1"/>
      <c r="I64" s="1"/>
      <c r="J64" s="1"/>
    </row>
    <row r="65" spans="7:10" ht="17.100000000000001" customHeight="1" x14ac:dyDescent="0.2">
      <c r="G65" s="1"/>
      <c r="H65" s="1"/>
      <c r="I65" s="1"/>
      <c r="J65" s="1"/>
    </row>
  </sheetData>
  <sheetProtection password="CBE0" sheet="1" objects="1" scenarios="1" selectLockedCells="1"/>
  <mergeCells count="5">
    <mergeCell ref="C8:F8"/>
    <mergeCell ref="G8:J8"/>
    <mergeCell ref="C5:F5"/>
    <mergeCell ref="C4:F4"/>
    <mergeCell ref="C6:F6"/>
  </mergeCells>
  <dataValidations count="2">
    <dataValidation type="whole" operator="greaterThanOrEqual" allowBlank="1" showInputMessage="1" showErrorMessage="1" sqref="C11:J13 C20:J22 C15:J16 C46:J46">
      <formula1>0</formula1>
    </dataValidation>
    <dataValidation type="decimal" allowBlank="1" showInputMessage="1" showErrorMessage="1" sqref="C24:J25">
      <formula1>0</formula1>
      <formula2>1</formula2>
    </dataValidation>
  </dataValidations>
  <printOptions horizontalCentered="1" verticalCentered="1"/>
  <pageMargins left="0" right="0" top="0" bottom="0" header="0.31496062992125984" footer="0.31496062992125984"/>
  <pageSetup paperSize="8" scale="96" orientation="portrait" r:id="rId1"/>
  <headerFooter alignWithMargins="0"/>
  <rowBreaks count="1" manualBreakCount="1">
    <brk id="38" min="1" max="9"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N600"/>
  <sheetViews>
    <sheetView showGridLines="0" zoomScale="80" zoomScaleNormal="80" workbookViewId="0">
      <pane xSplit="3" ySplit="2" topLeftCell="D3" activePane="bottomRight" state="frozen"/>
      <selection pane="topRight" activeCell="D1" sqref="D1"/>
      <selection pane="bottomLeft" activeCell="A3" sqref="A3"/>
      <selection pane="bottomRight" activeCell="D3" sqref="D3"/>
    </sheetView>
  </sheetViews>
  <sheetFormatPr defaultColWidth="30.7109375" defaultRowHeight="20.100000000000001" customHeight="1" x14ac:dyDescent="0.2"/>
  <cols>
    <col min="1" max="1" width="10.7109375" style="57" customWidth="1"/>
    <col min="2" max="7" width="30.7109375" style="3"/>
    <col min="8" max="9" width="30.7109375" style="4"/>
    <col min="10" max="11" width="30.7109375" style="3"/>
    <col min="12" max="13" width="30.7109375" style="47"/>
    <col min="14" max="14" width="30.7109375" style="3"/>
    <col min="15" max="15" width="30.7109375" style="48"/>
    <col min="16" max="16" width="30.7109375" style="6"/>
    <col min="17" max="17" width="30.7109375" style="47"/>
    <col min="18" max="18" width="30.7109375" style="102"/>
    <col min="19" max="19" width="60.7109375" style="48" customWidth="1"/>
    <col min="20" max="21" width="30.7109375" style="3"/>
    <col min="22" max="22" width="30.7109375" style="20"/>
    <col min="23" max="23" width="30.7109375" style="49"/>
    <col min="24" max="25" width="30.7109375" style="3"/>
    <col min="26" max="26" width="30.7109375" style="5"/>
    <col min="27" max="27" width="30.7109375" style="6"/>
    <col min="28" max="37" width="30.7109375" style="3"/>
    <col min="38" max="38" width="45.7109375" style="3" customWidth="1"/>
    <col min="39" max="101" width="30.7109375" style="3"/>
    <col min="102" max="102" width="30.7109375" style="6"/>
    <col min="103" max="109" width="30.7109375" style="3"/>
    <col min="110" max="110" width="45.7109375" style="3" customWidth="1"/>
    <col min="111" max="111" width="30.7109375" style="3"/>
    <col min="112" max="112" width="60.7109375" style="3" customWidth="1"/>
    <col min="113" max="114" width="30.7109375" style="3"/>
    <col min="115" max="117" width="30.7109375" style="3" customWidth="1"/>
    <col min="118" max="119" width="60.7109375" style="3" customWidth="1"/>
    <col min="120" max="127" width="20.7109375" style="3" hidden="1" customWidth="1"/>
    <col min="128" max="128" width="20.7109375" style="15" hidden="1" customWidth="1"/>
    <col min="129" max="130" width="20.7109375" style="16" hidden="1" customWidth="1"/>
    <col min="131" max="156" width="20.7109375" style="15" hidden="1" customWidth="1"/>
    <col min="157" max="196" width="30.7109375" style="15" hidden="1" customWidth="1"/>
    <col min="197" max="16384" width="30.7109375" style="15"/>
  </cols>
  <sheetData>
    <row r="1" spans="2:196" s="57" customFormat="1" ht="20.100000000000001" customHeight="1" x14ac:dyDescent="0.2">
      <c r="B1" s="58"/>
      <c r="C1" s="58"/>
      <c r="H1" s="59"/>
      <c r="I1" s="59"/>
      <c r="P1" s="60"/>
      <c r="Q1" s="58"/>
      <c r="S1" s="61"/>
      <c r="T1" s="62"/>
      <c r="U1" s="60"/>
      <c r="CR1" s="62"/>
      <c r="DI1" s="60"/>
      <c r="DO1" s="58"/>
      <c r="DP1" s="58"/>
      <c r="DQ1" s="58"/>
      <c r="DR1" s="58"/>
      <c r="DS1" s="58"/>
      <c r="DT1" s="58"/>
      <c r="DU1" s="58"/>
      <c r="DV1" s="58"/>
      <c r="DW1" s="58"/>
    </row>
    <row r="2" spans="2:196" s="9" customFormat="1" ht="39.950000000000003" customHeight="1" thickBot="1" x14ac:dyDescent="0.25">
      <c r="B2" s="54" t="s">
        <v>791</v>
      </c>
      <c r="C2" s="54" t="s">
        <v>8</v>
      </c>
      <c r="D2" s="54" t="s">
        <v>9</v>
      </c>
      <c r="E2" s="54" t="s">
        <v>10</v>
      </c>
      <c r="F2" s="54" t="s">
        <v>11</v>
      </c>
      <c r="G2" s="54" t="s">
        <v>12</v>
      </c>
      <c r="H2" s="55" t="s">
        <v>694</v>
      </c>
      <c r="I2" s="55" t="s">
        <v>784</v>
      </c>
      <c r="J2" s="54" t="s">
        <v>13</v>
      </c>
      <c r="K2" s="54" t="s">
        <v>81</v>
      </c>
      <c r="L2" s="54" t="s">
        <v>561</v>
      </c>
      <c r="M2" s="54" t="s">
        <v>640</v>
      </c>
      <c r="N2" s="54" t="s">
        <v>570</v>
      </c>
      <c r="O2" s="54" t="s">
        <v>16</v>
      </c>
      <c r="P2" s="56" t="s">
        <v>88</v>
      </c>
      <c r="Q2" s="54" t="s">
        <v>15</v>
      </c>
      <c r="R2" s="54" t="s">
        <v>562</v>
      </c>
      <c r="S2" s="54" t="s">
        <v>17</v>
      </c>
      <c r="T2" s="10" t="s">
        <v>18</v>
      </c>
      <c r="U2" s="10" t="s">
        <v>19</v>
      </c>
      <c r="V2" s="11" t="s">
        <v>552</v>
      </c>
      <c r="W2" s="11" t="s">
        <v>598</v>
      </c>
      <c r="X2" s="11" t="s">
        <v>550</v>
      </c>
      <c r="Y2" s="11" t="s">
        <v>544</v>
      </c>
      <c r="Z2" s="11" t="s">
        <v>545</v>
      </c>
      <c r="AA2" s="11" t="s">
        <v>546</v>
      </c>
      <c r="AB2" s="11" t="s">
        <v>547</v>
      </c>
      <c r="AC2" s="11" t="s">
        <v>599</v>
      </c>
      <c r="AD2" s="11" t="s">
        <v>549</v>
      </c>
      <c r="AE2" s="11" t="s">
        <v>542</v>
      </c>
      <c r="AF2" s="11" t="s">
        <v>20</v>
      </c>
      <c r="AG2" s="11" t="s">
        <v>21</v>
      </c>
      <c r="AH2" s="11" t="s">
        <v>124</v>
      </c>
      <c r="AI2" s="11" t="s">
        <v>543</v>
      </c>
      <c r="AJ2" s="11" t="s">
        <v>125</v>
      </c>
      <c r="AK2" s="11" t="s">
        <v>26</v>
      </c>
      <c r="AL2" s="11" t="s">
        <v>102</v>
      </c>
      <c r="AM2" s="11" t="s">
        <v>107</v>
      </c>
      <c r="AN2" s="21" t="s">
        <v>89</v>
      </c>
      <c r="AO2" s="21" t="s">
        <v>91</v>
      </c>
      <c r="AP2" s="21" t="s">
        <v>90</v>
      </c>
      <c r="AQ2" s="21" t="s">
        <v>110</v>
      </c>
      <c r="AR2" s="21" t="s">
        <v>111</v>
      </c>
      <c r="AS2" s="21" t="s">
        <v>109</v>
      </c>
      <c r="AT2" s="21" t="s">
        <v>112</v>
      </c>
      <c r="AU2" s="21" t="s">
        <v>113</v>
      </c>
      <c r="AV2" s="21" t="s">
        <v>92</v>
      </c>
      <c r="AW2" s="21" t="s">
        <v>93</v>
      </c>
      <c r="AX2" s="21" t="s">
        <v>94</v>
      </c>
      <c r="AY2" s="21" t="s">
        <v>114</v>
      </c>
      <c r="AZ2" s="21" t="s">
        <v>115</v>
      </c>
      <c r="BA2" s="21" t="s">
        <v>116</v>
      </c>
      <c r="BB2" s="21" t="s">
        <v>117</v>
      </c>
      <c r="BC2" s="21" t="s">
        <v>118</v>
      </c>
      <c r="BD2" s="21" t="s">
        <v>95</v>
      </c>
      <c r="BE2" s="21" t="s">
        <v>96</v>
      </c>
      <c r="BF2" s="21" t="s">
        <v>97</v>
      </c>
      <c r="BG2" s="21" t="s">
        <v>119</v>
      </c>
      <c r="BH2" s="21" t="s">
        <v>121</v>
      </c>
      <c r="BI2" s="21" t="s">
        <v>120</v>
      </c>
      <c r="BJ2" s="21" t="s">
        <v>122</v>
      </c>
      <c r="BK2" s="21" t="s">
        <v>123</v>
      </c>
      <c r="BL2" s="65" t="s">
        <v>647</v>
      </c>
      <c r="BM2" s="65" t="s">
        <v>648</v>
      </c>
      <c r="BN2" s="65" t="s">
        <v>649</v>
      </c>
      <c r="BO2" s="65" t="s">
        <v>650</v>
      </c>
      <c r="BP2" s="65" t="s">
        <v>651</v>
      </c>
      <c r="BQ2" s="65" t="s">
        <v>652</v>
      </c>
      <c r="BR2" s="65" t="s">
        <v>653</v>
      </c>
      <c r="BS2" s="65" t="s">
        <v>654</v>
      </c>
      <c r="BT2" s="65" t="s">
        <v>655</v>
      </c>
      <c r="BU2" s="65" t="s">
        <v>656</v>
      </c>
      <c r="BV2" s="65" t="s">
        <v>657</v>
      </c>
      <c r="BW2" s="65" t="s">
        <v>658</v>
      </c>
      <c r="BX2" s="65" t="s">
        <v>659</v>
      </c>
      <c r="BY2" s="65" t="s">
        <v>660</v>
      </c>
      <c r="BZ2" s="65" t="s">
        <v>661</v>
      </c>
      <c r="CA2" s="65" t="s">
        <v>662</v>
      </c>
      <c r="CB2" s="65" t="s">
        <v>663</v>
      </c>
      <c r="CC2" s="65" t="s">
        <v>664</v>
      </c>
      <c r="CD2" s="65" t="s">
        <v>665</v>
      </c>
      <c r="CE2" s="65" t="s">
        <v>666</v>
      </c>
      <c r="CF2" s="65" t="s">
        <v>667</v>
      </c>
      <c r="CG2" s="65" t="s">
        <v>668</v>
      </c>
      <c r="CH2" s="65" t="s">
        <v>669</v>
      </c>
      <c r="CI2" s="65" t="s">
        <v>670</v>
      </c>
      <c r="CJ2" s="65" t="s">
        <v>671</v>
      </c>
      <c r="CK2" s="65" t="s">
        <v>672</v>
      </c>
      <c r="CL2" s="65" t="s">
        <v>673</v>
      </c>
      <c r="CM2" s="65" t="s">
        <v>674</v>
      </c>
      <c r="CN2" s="65" t="s">
        <v>675</v>
      </c>
      <c r="CO2" s="65" t="s">
        <v>676</v>
      </c>
      <c r="CP2" s="65" t="s">
        <v>677</v>
      </c>
      <c r="CQ2" s="65" t="s">
        <v>678</v>
      </c>
      <c r="CR2" s="82" t="s">
        <v>22</v>
      </c>
      <c r="CS2" s="66" t="s">
        <v>762</v>
      </c>
      <c r="CT2" s="66" t="s">
        <v>763</v>
      </c>
      <c r="CU2" s="66" t="s">
        <v>764</v>
      </c>
      <c r="CV2" s="66" t="s">
        <v>765</v>
      </c>
      <c r="CW2" s="66" t="s">
        <v>766</v>
      </c>
      <c r="CX2" s="66" t="s">
        <v>767</v>
      </c>
      <c r="CY2" s="66" t="s">
        <v>768</v>
      </c>
      <c r="CZ2" s="66" t="s">
        <v>769</v>
      </c>
      <c r="DA2" s="66" t="s">
        <v>770</v>
      </c>
      <c r="DB2" s="66" t="s">
        <v>771</v>
      </c>
      <c r="DC2" s="66" t="s">
        <v>680</v>
      </c>
      <c r="DD2" s="66" t="s">
        <v>681</v>
      </c>
      <c r="DE2" s="66" t="s">
        <v>682</v>
      </c>
      <c r="DF2" s="66" t="s">
        <v>683</v>
      </c>
      <c r="DG2" s="66" t="s">
        <v>684</v>
      </c>
      <c r="DH2" s="66" t="s">
        <v>108</v>
      </c>
      <c r="DI2" s="12" t="s">
        <v>23</v>
      </c>
      <c r="DJ2" s="13" t="s">
        <v>24</v>
      </c>
      <c r="DK2" s="13" t="s">
        <v>600</v>
      </c>
      <c r="DL2" s="13" t="s">
        <v>692</v>
      </c>
      <c r="DM2" s="13" t="s">
        <v>693</v>
      </c>
      <c r="DN2" s="13" t="s">
        <v>25</v>
      </c>
      <c r="DO2" s="14" t="s">
        <v>27</v>
      </c>
      <c r="DP2" s="45" t="s">
        <v>741</v>
      </c>
      <c r="DQ2" s="45" t="s">
        <v>742</v>
      </c>
      <c r="DR2" s="45" t="s">
        <v>743</v>
      </c>
      <c r="DS2" s="45" t="s">
        <v>744</v>
      </c>
      <c r="DT2" s="45" t="s">
        <v>745</v>
      </c>
      <c r="DU2" s="45" t="s">
        <v>746</v>
      </c>
      <c r="DV2" s="45" t="s">
        <v>747</v>
      </c>
      <c r="DW2" s="45" t="s">
        <v>748</v>
      </c>
      <c r="DX2" s="33" t="s">
        <v>609</v>
      </c>
      <c r="DY2" s="33" t="s">
        <v>605</v>
      </c>
      <c r="DZ2" s="33" t="s">
        <v>611</v>
      </c>
      <c r="EA2" s="33" t="s">
        <v>606</v>
      </c>
      <c r="EB2" s="33" t="s">
        <v>612</v>
      </c>
      <c r="EC2" s="33" t="s">
        <v>610</v>
      </c>
      <c r="ED2" s="33" t="s">
        <v>613</v>
      </c>
      <c r="EE2" s="33" t="s">
        <v>614</v>
      </c>
      <c r="EF2" s="33" t="s">
        <v>615</v>
      </c>
      <c r="EG2" s="33" t="s">
        <v>616</v>
      </c>
      <c r="EH2" s="33" t="s">
        <v>749</v>
      </c>
      <c r="EI2" s="33" t="s">
        <v>750</v>
      </c>
      <c r="EJ2" s="33" t="s">
        <v>623</v>
      </c>
      <c r="EK2" s="33" t="s">
        <v>622</v>
      </c>
      <c r="EL2" s="33" t="s">
        <v>624</v>
      </c>
      <c r="EM2" s="33" t="s">
        <v>626</v>
      </c>
      <c r="EN2" s="33" t="s">
        <v>625</v>
      </c>
      <c r="EO2" s="33" t="s">
        <v>627</v>
      </c>
      <c r="EP2" s="33" t="s">
        <v>629</v>
      </c>
      <c r="EQ2" s="33" t="s">
        <v>751</v>
      </c>
      <c r="ER2" s="33" t="s">
        <v>752</v>
      </c>
      <c r="ES2" s="33" t="s">
        <v>753</v>
      </c>
      <c r="ET2" s="33" t="s">
        <v>754</v>
      </c>
      <c r="EU2" s="33" t="s">
        <v>755</v>
      </c>
      <c r="EV2" s="33" t="s">
        <v>756</v>
      </c>
      <c r="EW2" s="33" t="s">
        <v>757</v>
      </c>
      <c r="EX2" s="33" t="s">
        <v>758</v>
      </c>
      <c r="EY2" s="33" t="s">
        <v>759</v>
      </c>
      <c r="EZ2" s="33" t="s">
        <v>760</v>
      </c>
      <c r="FA2" s="45" t="s">
        <v>701</v>
      </c>
      <c r="FB2" s="33" t="s">
        <v>702</v>
      </c>
      <c r="FC2" s="33" t="s">
        <v>703</v>
      </c>
      <c r="FD2" s="33" t="s">
        <v>704</v>
      </c>
      <c r="FE2" s="33" t="s">
        <v>705</v>
      </c>
      <c r="FF2" s="33" t="s">
        <v>706</v>
      </c>
      <c r="FG2" s="33" t="s">
        <v>707</v>
      </c>
      <c r="FH2" s="33" t="s">
        <v>708</v>
      </c>
      <c r="FI2" s="33" t="s">
        <v>709</v>
      </c>
      <c r="FJ2" s="33" t="s">
        <v>710</v>
      </c>
      <c r="FK2" s="33" t="s">
        <v>711</v>
      </c>
      <c r="FL2" s="33" t="s">
        <v>712</v>
      </c>
      <c r="FM2" s="33" t="s">
        <v>713</v>
      </c>
      <c r="FN2" s="33" t="s">
        <v>714</v>
      </c>
      <c r="FO2" s="33" t="s">
        <v>715</v>
      </c>
      <c r="FP2" s="33" t="s">
        <v>716</v>
      </c>
      <c r="FQ2" s="33" t="s">
        <v>717</v>
      </c>
      <c r="FR2" s="33" t="s">
        <v>718</v>
      </c>
      <c r="FS2" s="33" t="s">
        <v>719</v>
      </c>
      <c r="FT2" s="33" t="s">
        <v>720</v>
      </c>
      <c r="FU2" s="33" t="s">
        <v>721</v>
      </c>
      <c r="FV2" s="33" t="s">
        <v>722</v>
      </c>
      <c r="FW2" s="33" t="s">
        <v>723</v>
      </c>
      <c r="FX2" s="33" t="s">
        <v>724</v>
      </c>
      <c r="FY2" s="33" t="s">
        <v>725</v>
      </c>
      <c r="FZ2" s="33" t="s">
        <v>726</v>
      </c>
      <c r="GA2" s="33" t="s">
        <v>727</v>
      </c>
      <c r="GB2" s="33" t="s">
        <v>728</v>
      </c>
      <c r="GC2" s="33" t="s">
        <v>729</v>
      </c>
      <c r="GD2" s="33" t="s">
        <v>730</v>
      </c>
      <c r="GE2" s="33" t="s">
        <v>731</v>
      </c>
      <c r="GF2" s="33" t="s">
        <v>732</v>
      </c>
      <c r="GG2" s="33" t="s">
        <v>733</v>
      </c>
      <c r="GH2" s="33" t="s">
        <v>734</v>
      </c>
      <c r="GI2" s="33" t="s">
        <v>735</v>
      </c>
      <c r="GJ2" s="33" t="s">
        <v>736</v>
      </c>
      <c r="GK2" s="33" t="s">
        <v>737</v>
      </c>
      <c r="GL2" s="33" t="s">
        <v>738</v>
      </c>
      <c r="GM2" s="33" t="s">
        <v>739</v>
      </c>
      <c r="GN2" s="33" t="s">
        <v>740</v>
      </c>
    </row>
    <row r="3" spans="2:196" ht="20.100000000000001" customHeight="1" thickTop="1" x14ac:dyDescent="0.2">
      <c r="B3" s="67">
        <f>+'Service Data'!$C$5:$C$5</f>
        <v>0</v>
      </c>
      <c r="C3" s="67"/>
      <c r="D3" s="67"/>
      <c r="E3" s="67"/>
      <c r="F3" s="67"/>
      <c r="G3" s="67"/>
      <c r="H3" s="83"/>
      <c r="I3" s="99" t="str">
        <f ca="1">IF(Table1[[#This Row],[Date of Birth]]="","",SUM(TODAY()-Table1[[#This Row],[Date of Birth]])/365)</f>
        <v/>
      </c>
      <c r="J3" s="70"/>
      <c r="K3" s="70"/>
      <c r="L3" s="69"/>
      <c r="M3" s="77"/>
      <c r="N3" s="67"/>
      <c r="O3" s="67"/>
      <c r="P3" s="68"/>
      <c r="Q3" s="67"/>
      <c r="R3" s="77"/>
      <c r="S3" s="70"/>
      <c r="T3" s="68"/>
      <c r="U3" s="68"/>
      <c r="V3" s="67"/>
      <c r="W3" s="67"/>
      <c r="X3" s="67"/>
      <c r="Y3" s="67"/>
      <c r="Z3" s="67"/>
      <c r="AA3" s="67"/>
      <c r="AB3" s="67"/>
      <c r="AC3" s="67"/>
      <c r="AD3" s="67"/>
      <c r="AE3" s="67"/>
      <c r="AF3" s="67"/>
      <c r="AG3" s="67"/>
      <c r="AH3" s="67"/>
      <c r="AI3" s="67"/>
      <c r="AJ3" s="67"/>
      <c r="AK3" s="67"/>
      <c r="AL3" s="67"/>
      <c r="AM3" s="67"/>
      <c r="AN3" s="70"/>
      <c r="AO3" s="69"/>
      <c r="AP3" s="70"/>
      <c r="AQ3" s="69"/>
      <c r="AR3" s="69"/>
      <c r="AS3" s="69"/>
      <c r="AT3" s="69"/>
      <c r="AU3" s="69"/>
      <c r="AV3" s="77"/>
      <c r="AW3" s="76"/>
      <c r="AX3" s="77"/>
      <c r="AY3" s="76"/>
      <c r="AZ3" s="76"/>
      <c r="BA3" s="76"/>
      <c r="BB3" s="76"/>
      <c r="BC3" s="76"/>
      <c r="BD3" s="77"/>
      <c r="BE3" s="76"/>
      <c r="BF3" s="77"/>
      <c r="BG3" s="76"/>
      <c r="BH3" s="76"/>
      <c r="BI3" s="76"/>
      <c r="BJ3" s="76"/>
      <c r="BK3" s="76"/>
      <c r="BL3" s="77"/>
      <c r="BM3" s="76"/>
      <c r="BN3" s="77"/>
      <c r="BO3" s="76"/>
      <c r="BP3" s="76"/>
      <c r="BQ3" s="76"/>
      <c r="BR3" s="76"/>
      <c r="BS3" s="76"/>
      <c r="BT3" s="77"/>
      <c r="BU3" s="76"/>
      <c r="BV3" s="77"/>
      <c r="BW3" s="76"/>
      <c r="BX3" s="76"/>
      <c r="BY3" s="76"/>
      <c r="BZ3" s="76"/>
      <c r="CA3" s="76"/>
      <c r="CB3" s="77"/>
      <c r="CC3" s="76"/>
      <c r="CD3" s="77"/>
      <c r="CE3" s="76"/>
      <c r="CF3" s="76"/>
      <c r="CG3" s="76"/>
      <c r="CH3" s="76"/>
      <c r="CI3" s="76"/>
      <c r="CJ3" s="77"/>
      <c r="CK3" s="76"/>
      <c r="CL3" s="77"/>
      <c r="CM3" s="76"/>
      <c r="CN3" s="76"/>
      <c r="CO3" s="76"/>
      <c r="CP3" s="76"/>
      <c r="CQ3" s="76"/>
      <c r="CR3" s="78" t="str">
        <f>IF(U3="","",U3)</f>
        <v/>
      </c>
      <c r="CS3" s="79" t="str">
        <f t="shared" ref="CS3" si="0">IF(V3="","",V3)</f>
        <v/>
      </c>
      <c r="CT3" s="79" t="str">
        <f t="shared" ref="CT3" si="1">IF(W3="","",W3)</f>
        <v/>
      </c>
      <c r="CU3" s="79" t="str">
        <f t="shared" ref="CU3" si="2">IF(X3="","",X3)</f>
        <v/>
      </c>
      <c r="CV3" s="79" t="str">
        <f t="shared" ref="CV3" si="3">IF(Y3="","",Y3)</f>
        <v/>
      </c>
      <c r="CW3" s="79" t="str">
        <f t="shared" ref="CW3" si="4">IF(Z3="","",Z3)</f>
        <v/>
      </c>
      <c r="CX3" s="79" t="str">
        <f t="shared" ref="CX3" si="5">IF(AA3="","",AA3)</f>
        <v/>
      </c>
      <c r="CY3" s="79" t="str">
        <f t="shared" ref="CY3" si="6">IF(AB3="","",AB3)</f>
        <v/>
      </c>
      <c r="CZ3" s="79" t="str">
        <f t="shared" ref="CZ3" si="7">IF(AC3="","",AC3)</f>
        <v/>
      </c>
      <c r="DA3" s="79" t="str">
        <f t="shared" ref="DA3" si="8">IF(AD3="","",AD3)</f>
        <v/>
      </c>
      <c r="DB3" s="79" t="str">
        <f t="shared" ref="DB3" si="9">IF(AE3="","",AE3)</f>
        <v/>
      </c>
      <c r="DC3" s="79" t="str">
        <f t="shared" ref="DC3" si="10">IF(AF3="","",AF3)</f>
        <v/>
      </c>
      <c r="DD3" s="79" t="str">
        <f t="shared" ref="DD3" si="11">IF(AG3="","",AG3)</f>
        <v/>
      </c>
      <c r="DE3" s="79" t="str">
        <f t="shared" ref="DE3" si="12">IF(AK3="","",AK3)</f>
        <v/>
      </c>
      <c r="DF3" s="79" t="str">
        <f t="shared" ref="DF3" si="13">IF(AL3="","",AL3)</f>
        <v/>
      </c>
      <c r="DG3" s="79" t="str">
        <f t="shared" ref="DG3" si="14">IF(AM3="","",AM3)</f>
        <v/>
      </c>
      <c r="DH3" s="76"/>
      <c r="DI3" s="78"/>
      <c r="DJ3" s="76"/>
      <c r="DK3" s="77"/>
      <c r="DL3" s="77"/>
      <c r="DM3" s="77"/>
      <c r="DN3" s="80"/>
      <c r="DO3" s="80"/>
      <c r="DP3" s="80" t="str">
        <f>IF(Table1[Start Date]="","",IF(Table1[Start Date]&gt;42185,"",IF(AND(Table1[Leaving Date]&gt;1,Table1[Leaving Date]&lt;42095),"",1)))</f>
        <v/>
      </c>
      <c r="DQ3" s="80" t="str">
        <f>IF(Table1[Start Date]="","",IF(Table1[Start Date]&gt;42277,"",IF(AND(Table1[Leaving Date]&gt;1,Table1[Leaving Date]&lt;42186),"",1)))</f>
        <v/>
      </c>
      <c r="DR3" s="80" t="str">
        <f>IF(Table1[Start Date]="","",IF(Table1[Start Date]&gt;42369,"",IF(AND(Table1[Leaving Date]&gt;1,Table1[Leaving Date]&lt;42278),"",1)))</f>
        <v/>
      </c>
      <c r="DS3" s="80" t="str">
        <f>IF(Table1[Start Date]="","",IF(Table1[Start Date]&gt;42460,"",IF(AND(Table1[Leaving Date]&gt;1,Table1[Leaving Date]&lt;42370),"",1)))</f>
        <v/>
      </c>
      <c r="DT3" s="80" t="str">
        <f>IF(Table1[Start Date]="","",IF(Table1[Start Date]&gt;42551,"",IF(AND(Table1[Leaving Date]&gt;1,Table1[Leaving Date]&lt;42461),"",1)))</f>
        <v/>
      </c>
      <c r="DU3" s="80" t="str">
        <f>IF(Table1[Start Date]="","",IF(Table1[Start Date]&gt;42643,"",IF(AND(Table1[Leaving Date]&gt;1,Table1[Leaving Date]&lt;42552),"",1)))</f>
        <v/>
      </c>
      <c r="DV3" s="80" t="str">
        <f>IF(Table1[Start Date]="","",IF(Table1[Start Date]&gt;42735,"",IF(AND(Table1[Leaving Date]&gt;1,Table1[Leaving Date]&lt;42644),"",1)))</f>
        <v/>
      </c>
      <c r="DW3" s="80" t="str">
        <f>IF(Table1[Start Date]="","",IF(Table1[Start Date]&gt;42825,"",IF(AND(Table1[Leaving Date]&gt;1,Table1[Leaving Date]&lt;42736),"",1)))</f>
        <v/>
      </c>
      <c r="DX3" s="32"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3" s="32" t="e">
        <f>VLOOKUP(Table1[Referral Source],Lists!$G$2:$H$20,2,FALSE)</f>
        <v>#N/A</v>
      </c>
      <c r="DZ3" s="50" t="e">
        <f>SUM(Table1[Data Referral Quarter]+Table1[Data Referral Source])</f>
        <v>#N/A</v>
      </c>
      <c r="EA3" s="32" t="b">
        <f>IF(Table1[Referral Decision]="Accepted",100,IF(Table1[Referral Decision]="Rejected by Provider",200,IF(Table1[Referral Decision]="Rejected by Applicant",300)))</f>
        <v>0</v>
      </c>
      <c r="EB3" s="50">
        <f>SUM(Table1[Data Referral Quarter]+Table1[Data Referral Decision])</f>
        <v>0</v>
      </c>
      <c r="EC3" s="32" t="b">
        <f>IF(Table1[Start Date]&gt;42735,8000,IF(Table1[Start Date]&gt;42643,7000,IF(Table1[Start Date]&gt;42551,6000,IF(Table1[Start Date]&gt;42460,5000,IF(Table1[Start Date]&gt;42369,4000,IF(Table1[Start Date]&gt;42277,3000,IF(Table1[Start Date]&gt;42185,2000,IF(Table1[Start Date]&gt;42094,1000))))))))</f>
        <v>0</v>
      </c>
      <c r="ED3" s="44" t="str">
        <f>IF(Table1[Start Date]="","",IF(Table1[Current Local Authority]="Swindon",1,"2"))</f>
        <v/>
      </c>
      <c r="EE3" s="85" t="e">
        <f>SUM(Table1[Data Start Date]+Table1[Data Local Authority])</f>
        <v>#VALUE!</v>
      </c>
      <c r="EF3" s="44">
        <f>IF(Table1[Registered with GP]="Yes",1,0)</f>
        <v>0</v>
      </c>
      <c r="EG3" s="44">
        <f>SUM(Table1[Data Start Date]+Table1[Data GP Start])</f>
        <v>0</v>
      </c>
      <c r="EH3" s="44" t="str">
        <f>IF(Table1[EET]="NEET",1,IF(Table1[EET]="Education",2,IF(Table1[EET]="Employment",2,IF(Table1[EET]="Training",2,IF(Table1[EET]="Retired",3,"")))))</f>
        <v/>
      </c>
      <c r="EI3" s="44" t="e">
        <f>Table1[Data Start Date]+Table1[Data EET Start]</f>
        <v>#VALUE!</v>
      </c>
      <c r="EJ3" s="32" t="b">
        <f>IF(Table1[Leaving Date]&gt;42735,8000,IF(Table1[Leaving Date]&gt;42643,7000,IF(Table1[Leaving Date]&gt;42551,6000,IF(Table1[Leaving Date]&gt;42460,5000,IF(Table1[Leaving Date]&gt;42369,4000,IF(Table1[Leaving Date]&gt;42277,3000,IF(Table1[Leaving Date]&gt;42185,2000,IF(Table1[Leaving Date]&gt;42094,1000))))))))</f>
        <v>0</v>
      </c>
      <c r="EK3" s="44" t="e">
        <f>VLOOKUP(Table1[Reason for Leaving],Lists!$T$2:$U$15,2,FALSE)</f>
        <v>#N/A</v>
      </c>
      <c r="EL3" s="44" t="e">
        <f>SUM(Table1[Data Leavers Date]+Table1[Data Move On])</f>
        <v>#N/A</v>
      </c>
      <c r="EM3" s="44" t="b">
        <f>IF(Table1[Registered with GP2]="Yes",1,IF(Table1[Registered with GP2]="No",0,IF(Table1[Registered with GP]="Yes",1,IF(Table1[Registered with GP]="No",0))))</f>
        <v>0</v>
      </c>
      <c r="EN3" s="44">
        <f>SUM(Table1[Data Leavers Date]+Table1[Data GP End])</f>
        <v>0</v>
      </c>
      <c r="EO3" s="44" t="str">
        <f>IF(Table1[EET2]="NEET",1,IF(Table1[EET2]="Employment",2,IF(Table1[EET2]="Education",2,IF(Table1[EET2]="Training",2,IF(Table1[EET2]="Retired",3,IF(Table1[EET]="NEET",1,IF(Table1[EET]="Employment",2,IF(Table1[EET]="Education",2,IF(Table1[EET]="Training",2,IF(Table1[EET]="Retired",3,""))))))))))</f>
        <v/>
      </c>
      <c r="EP3" s="44" t="e">
        <f>+Table1[[#This Row],[Data Leavers Date]]+Table1[[#This Row],[Data EET End]]</f>
        <v>#VALUE!</v>
      </c>
      <c r="EQ3" s="44">
        <f>IF(Table1[Exit Form Received]="Yes",1,0)</f>
        <v>0</v>
      </c>
      <c r="ER3" s="44">
        <f>+Table1[[#This Row],[Data Leavers Date]]+Table1[[#This Row],[Data Exit Forms]]</f>
        <v>0</v>
      </c>
      <c r="ES3" s="44" t="str">
        <f>IF(Table1[Data Leavers Date]=1000,SUM(Table1[Leaving Date]-Table1[Start Date]),"")</f>
        <v/>
      </c>
      <c r="ET3" s="44" t="str">
        <f>IF(Table1[Data Leavers Date]=2000,SUM(Table1[Leaving Date]-Table1[Start Date]),"")</f>
        <v/>
      </c>
      <c r="EU3" s="44" t="str">
        <f>IF(Table1[Data Leavers Date]=3000,SUM(Table1[Leaving Date]-Table1[Start Date]),"")</f>
        <v/>
      </c>
      <c r="EV3" s="44" t="str">
        <f>IF(Table1[Data Leavers Date]=4000,SUM(Table1[Leaving Date]-Table1[Start Date]),"")</f>
        <v/>
      </c>
      <c r="EW3" s="44" t="str">
        <f>IF(Table1[Data Leavers Date]=5000,SUM(Table1[Leaving Date]-Table1[Start Date]),"")</f>
        <v/>
      </c>
      <c r="EX3" s="44" t="str">
        <f>IF(Table1[Data Leavers Date]=6000,SUM(Table1[Leaving Date]-Table1[Start Date]),"")</f>
        <v/>
      </c>
      <c r="EY3" s="44" t="str">
        <f>IF(Table1[Data Leavers Date]=7000,SUM(Table1[Leaving Date]-Table1[Start Date]),"")</f>
        <v/>
      </c>
      <c r="EZ3" s="44" t="str">
        <f>IF(Table1[Data Leavers Date]=8000,SUM(Table1[Leaving Date]-Table1[Start Date]),"")</f>
        <v/>
      </c>
      <c r="FA3" s="44" t="str">
        <f>IF(Table1[Date of Initial Assessment]="","",IF(AND(Table1[Start Date]&gt;42094,Table1[Start Date]&lt;42461),Table1[Motivation and Taking Responsibility],""))</f>
        <v/>
      </c>
      <c r="FB3" s="44" t="str">
        <f>IF(Table1[Date of Initial Assessment]="","",IF(AND(Table1[Start Date]&gt;42094,Table1[Start Date]&lt;42461),Table1[Self-Care and Living Skills],""))</f>
        <v/>
      </c>
      <c r="FC3" s="44" t="str">
        <f>IF(Table1[Date of Initial Assessment]="","",IF(AND(Table1[Start Date]&gt;42094,Table1[Start Date]&lt;42461),Table1[Managing Money and Personal Administration],""))</f>
        <v/>
      </c>
      <c r="FD3" s="44" t="str">
        <f>IF(Table1[Date of Initial Assessment]="","",IF(AND(Table1[Start Date]&gt;42094,Table1[Start Date]&lt;42461),Table1[Social Networks and Relationships],""))</f>
        <v/>
      </c>
      <c r="FE3" s="44" t="str">
        <f>IF(Table1[Date of Initial Assessment]="","",IF(AND(Table1[Start Date]&gt;42094,Table1[Start Date]&lt;42461),Table1[Drug and Alcohol Misuse],""))</f>
        <v/>
      </c>
      <c r="FF3" s="44" t="str">
        <f>IF(Table1[Date of Initial Assessment]="","",IF(AND(Table1[Start Date]&gt;42094,Table1[Start Date]&lt;42461),Table1[Physical Health],""))</f>
        <v/>
      </c>
      <c r="FG3" s="44" t="str">
        <f>IF(Table1[Date of Initial Assessment]="","",IF(AND(Table1[Start Date]&gt;42094,Table1[Start Date]&lt;42461),Table1[Emotional and Mental Health],""))</f>
        <v/>
      </c>
      <c r="FH3" s="44" t="str">
        <f>IF(Table1[Date of Initial Assessment]="","",IF(AND(Table1[Start Date]&gt;42094,Table1[Start Date]&lt;42461),Table1[Meaningful Use of Time],""))</f>
        <v/>
      </c>
      <c r="FI3" s="44" t="str">
        <f>IF(Table1[Date of Initial Assessment]="","",IF(AND(Table1[Start Date]&gt;42094,Table1[Start Date]&lt;42461),Table1[Managing Tenancy and Accommodation],""))</f>
        <v/>
      </c>
      <c r="FJ3" s="44" t="str">
        <f>IF(Table1[Date of Initial Assessment]="","",IF(AND(Table1[Start Date]&gt;42094,Table1[Start Date]&lt;42461),Table1[Offending],""))</f>
        <v/>
      </c>
      <c r="FK3" s="44" t="str">
        <f>IF(Table1[Leaving Date]="","",IF(Table1[Date of Initial Assessment]="","",IF(AND(Table1[Leaving Date]&gt;42094,Table1[Leaving Date]&lt;42461),IF(Table1[Date of Last Assessment]="",Table1[Motivation and Taking Responsibility],Table1[Motivation and Taking Responsibility2]),"")))</f>
        <v/>
      </c>
      <c r="FL3" s="44" t="str">
        <f>IF(Table1[Leaving Date]="","",IF(Table1[Date of Initial Assessment]="","",IF(AND(Table1[Leaving Date]&gt;42094,Table1[Leaving Date]&lt;42461),IF(Table1[Date of Last Assessment]="",Table1[Self-Care and Living Skills],Table1[Self-Care and Living Skills2]),"")))</f>
        <v/>
      </c>
      <c r="FM3" s="44" t="str">
        <f>IF(Table1[Leaving Date]="","",IF(Table1[Date of Initial Assessment]="","",IF(AND(Table1[Leaving Date]&gt;42094,Table1[Leaving Date]&lt;42461),IF(Table1[Date of Last Assessment]="",Table1[Managing Money and Personal Administration],Table1[Managing Money and Personal Administration2]),"")))</f>
        <v/>
      </c>
      <c r="FN3" s="44" t="str">
        <f>IF(Table1[Leaving Date]="","",IF(Table1[Date of Initial Assessment]="","",IF(AND(Table1[Leaving Date]&gt;42094,Table1[Leaving Date]&lt;42461),IF(Table1[Date of Last Assessment]="",Table1[Social Networks and Relationships],Table1[Social Networks and Relationships2]),"")))</f>
        <v/>
      </c>
      <c r="FO3" s="44" t="str">
        <f>IF(Table1[Leaving Date]="","",IF(Table1[Date of Initial Assessment]="","",IF(AND(Table1[Leaving Date]&gt;42094,Table1[Leaving Date]&lt;42461),IF(Table1[Date of Last Assessment]="",Table1[Drug and Alcohol Misuse],Table1[Drug and Alcohol Misuse2]),"")))</f>
        <v/>
      </c>
      <c r="FP3" s="44" t="str">
        <f>IF(Table1[Leaving Date]="","",IF(Table1[Date of Initial Assessment]="","",IF(AND(Table1[Leaving Date]&gt;42094,Table1[Leaving Date]&lt;42461),IF(Table1[Date of Last Assessment]="",Table1[Physical Health],Table1[Physical Health2]),"")))</f>
        <v/>
      </c>
      <c r="FQ3" s="44" t="str">
        <f>IF(Table1[Leaving Date]="","",IF(Table1[Date of Initial Assessment]="","",IF(AND(Table1[Leaving Date]&gt;42094,Table1[Leaving Date]&lt;42461),IF(Table1[Date of Last Assessment]="",Table1[Emotional and Mental Health],Table1[Emotional and Mental Health2]),"")))</f>
        <v/>
      </c>
      <c r="FR3" s="44" t="str">
        <f>IF(Table1[Leaving Date]="","",IF(Table1[Date of Initial Assessment]="","",IF(AND(Table1[Leaving Date]&gt;42094,Table1[Leaving Date]&lt;42461),IF(Table1[Date of Last Assessment]="",Table1[Meaningful Use of Time],Table1[Meaningful Use of Time2]),"")))</f>
        <v/>
      </c>
      <c r="FS3" s="44" t="str">
        <f>IF(Table1[Leaving Date]="","",IF(Table1[Date of Initial Assessment]="","",IF(AND(Table1[Leaving Date]&gt;42094,Table1[Leaving Date]&lt;42461),IF(Table1[Date of Last Assessment]="",Table1[Managing Tenancy and Accommodation],Table1[Managing Tenancy and Accommodation2]),"")))</f>
        <v/>
      </c>
      <c r="FT3" s="44" t="str">
        <f>IF(Table1[Leaving Date]="","",IF(Table1[Date of Initial Assessment]="","",IF(AND(Table1[Leaving Date]&gt;42094,Table1[Leaving Date]&lt;42461),IF(Table1[Date of Last Assessment]="",Table1[Offending],Table1[Offending2]),"")))</f>
        <v/>
      </c>
      <c r="FU3" s="46" t="str">
        <f>IF(Table1[Date of Initial Assessment]="","",IF(AND(Table1[Start Date]&gt;42460,Table1[Start Date]&lt;42826),Table1[Motivation and Taking Responsibility],""))</f>
        <v/>
      </c>
      <c r="FV3" s="46" t="str">
        <f>IF(Table1[Date of Initial Assessment]="","",IF(AND(Table1[Start Date]&gt;42460,Table1[Start Date]&lt;42826),Table1[Self-Care and Living Skills],""))</f>
        <v/>
      </c>
      <c r="FW3" s="46" t="str">
        <f>IF(Table1[Date of Initial Assessment]="","",IF(AND(Table1[Start Date]&gt;42460,Table1[Start Date]&lt;42826),Table1[Managing Money and Personal Administration],""))</f>
        <v/>
      </c>
      <c r="FX3" s="46" t="str">
        <f>IF(Table1[Date of Initial Assessment]="","",IF(AND(Table1[Start Date]&gt;42460,Table1[Start Date]&lt;42826),Table1[Social Networks and Relationships],""))</f>
        <v/>
      </c>
      <c r="FY3" s="46" t="str">
        <f>IF(Table1[Date of Initial Assessment]="","",IF(AND(Table1[Start Date]&gt;42460,Table1[Start Date]&lt;42826),Table1[Drug and Alcohol Misuse],""))</f>
        <v/>
      </c>
      <c r="FZ3" s="46" t="str">
        <f>IF(Table1[Date of Initial Assessment]="","",IF(AND(Table1[Start Date]&gt;42460,Table1[Start Date]&lt;42826),Table1[Physical Health],""))</f>
        <v/>
      </c>
      <c r="GA3" s="46" t="str">
        <f>IF(Table1[Date of Initial Assessment]="","",IF(AND(Table1[Start Date]&gt;42460,Table1[Start Date]&lt;42826),Table1[Emotional and Mental Health],""))</f>
        <v/>
      </c>
      <c r="GB3" s="46" t="str">
        <f>IF(Table1[Date of Initial Assessment]="","",IF(AND(Table1[Start Date]&gt;42460,Table1[Start Date]&lt;42826),Table1[Meaningful Use of Time],""))</f>
        <v/>
      </c>
      <c r="GC3" s="46" t="str">
        <f>IF(Table1[Date of Initial Assessment]="","",IF(AND(Table1[Start Date]&gt;42460,Table1[Start Date]&lt;42826),Table1[Managing Tenancy and Accommodation],""))</f>
        <v/>
      </c>
      <c r="GD3" s="46" t="str">
        <f>IF(Table1[Date of Initial Assessment]="","",IF(AND(Table1[Start Date]&gt;42460,Table1[Start Date]&lt;42826),Table1[Offending],""))</f>
        <v/>
      </c>
      <c r="GE3" s="74" t="str">
        <f>IF(Table1[Leaving Date]="","",IF(AND(Table1[Leaving Date]&gt;42460,Table1[Leaving Date]&lt;42826),IF(Table1[Date of Last Assessment]="",Table1[Motivation and Taking Responsibility],Table1[Motivation and Taking Responsibility2]),""))</f>
        <v/>
      </c>
      <c r="GF3" s="74" t="str">
        <f>IF(Table1[Leaving Date]="","",IF(AND(Table1[Leaving Date]&gt;42460,Table1[Leaving Date]&lt;42826),IF(Table1[Date of Last Assessment]="",Table1[Self-Care and Living Skills],Table1[Self-Care and Living Skills2]),""))</f>
        <v/>
      </c>
      <c r="GG3" s="74" t="str">
        <f>IF(Table1[Leaving Date]="","",IF(AND(Table1[Leaving Date]&gt;42460,Table1[Leaving Date]&lt;42826),IF(Table1[Date of Last Assessment]="",Table1[Managing Money and Personal Administration],Table1[Managing Money and Personal Administration2]),""))</f>
        <v/>
      </c>
      <c r="GH3" s="74" t="str">
        <f>IF(Table1[Leaving Date]="","",IF(AND(Table1[Leaving Date]&gt;42460,Table1[Leaving Date]&lt;42826),IF(Table1[Date of Last Assessment]="",Table1[Social Networks and Relationships],Table1[Social Networks and Relationships2]),""))</f>
        <v/>
      </c>
      <c r="GI3" s="74" t="str">
        <f>IF(Table1[Leaving Date]="","",IF(AND(Table1[Leaving Date]&gt;42460,Table1[Leaving Date]&lt;42826),IF(Table1[Date of Last Assessment]="",Table1[Drug and Alcohol Misuse],Table1[Drug and Alcohol Misuse2]),""))</f>
        <v/>
      </c>
      <c r="GJ3" s="74" t="str">
        <f>IF(Table1[Leaving Date]="","",IF(AND(Table1[Leaving Date]&gt;42460,Table1[Leaving Date]&lt;42826),IF(Table1[Date of Last Assessment]="",Table1[Physical Health],Table1[Physical Health2]),""))</f>
        <v/>
      </c>
      <c r="GK3" s="74" t="str">
        <f>IF(Table1[Leaving Date]="","",IF(AND(Table1[Leaving Date]&gt;42460,Table1[Leaving Date]&lt;42826),IF(Table1[Date of Last Assessment]="",Table1[Emotional and Mental Health],Table1[Emotional and Mental Health2]),""))</f>
        <v/>
      </c>
      <c r="GL3" s="74" t="str">
        <f>IF(Table1[Leaving Date]="","",IF(AND(Table1[Leaving Date]&gt;42460,Table1[Leaving Date]&lt;42826),IF(Table1[Date of Last Assessment]="",Table1[Meaningful Use of Time],Table1[Meaningful Use of Time2]),""))</f>
        <v/>
      </c>
      <c r="GM3" s="74" t="str">
        <f>IF(Table1[Leaving Date]="","",IF(AND(Table1[Leaving Date]&gt;42460,Table1[Leaving Date]&lt;42826),IF(Table1[Date of Last Assessment]="",Table1[Managing Tenancy and Accommodation],Table1[Managing Tenancy and Accommodation2]),""))</f>
        <v/>
      </c>
      <c r="GN3" s="74" t="str">
        <f>IF(Table1[Leaving Date]="","",IF(AND(Table1[Leaving Date]&gt;42460,Table1[Leaving Date]&lt;42826),IF(Table1[Date of Last Assessment]="",Table1[Offending],Table1[Offending2]),""))</f>
        <v/>
      </c>
    </row>
    <row r="4" spans="2:196" ht="20.100000000000001" customHeight="1" x14ac:dyDescent="0.2">
      <c r="B4" s="64">
        <f>+'Service Data'!$C$5:$C$5</f>
        <v>0</v>
      </c>
      <c r="C4" s="64"/>
      <c r="D4" s="64"/>
      <c r="E4" s="64"/>
      <c r="F4" s="64"/>
      <c r="G4" s="64"/>
      <c r="H4" s="84"/>
      <c r="I4" s="99" t="str">
        <f ca="1">IF(Table1[[#This Row],[Date of Birth]]="","",SUM(TODAY()-Table1[[#This Row],[Date of Birth]])/365)</f>
        <v/>
      </c>
      <c r="J4" s="71"/>
      <c r="K4" s="71"/>
      <c r="L4" s="86"/>
      <c r="M4" s="77"/>
      <c r="N4" s="64"/>
      <c r="O4" s="64"/>
      <c r="P4" s="72"/>
      <c r="Q4" s="64"/>
      <c r="R4" s="77"/>
      <c r="S4" s="77"/>
      <c r="T4" s="68"/>
      <c r="U4" s="68"/>
      <c r="V4" s="67"/>
      <c r="W4" s="67"/>
      <c r="X4" s="67"/>
      <c r="Y4" s="67"/>
      <c r="Z4" s="67"/>
      <c r="AA4" s="67"/>
      <c r="AB4" s="67"/>
      <c r="AC4" s="67"/>
      <c r="AD4" s="67"/>
      <c r="AE4" s="67"/>
      <c r="AF4" s="67"/>
      <c r="AG4" s="67"/>
      <c r="AH4" s="67"/>
      <c r="AI4" s="67"/>
      <c r="AJ4" s="67"/>
      <c r="AK4" s="67"/>
      <c r="AL4" s="67"/>
      <c r="AM4" s="67"/>
      <c r="AN4" s="77"/>
      <c r="AO4" s="76"/>
      <c r="AP4" s="77"/>
      <c r="AQ4" s="76"/>
      <c r="AR4" s="76"/>
      <c r="AS4" s="76"/>
      <c r="AT4" s="76"/>
      <c r="AU4" s="76"/>
      <c r="AV4" s="77"/>
      <c r="AW4" s="76"/>
      <c r="AX4" s="77"/>
      <c r="AY4" s="76"/>
      <c r="AZ4" s="76"/>
      <c r="BA4" s="76"/>
      <c r="BB4" s="76"/>
      <c r="BC4" s="76"/>
      <c r="BD4" s="77"/>
      <c r="BE4" s="76"/>
      <c r="BF4" s="77"/>
      <c r="BG4" s="76"/>
      <c r="BH4" s="76"/>
      <c r="BI4" s="76"/>
      <c r="BJ4" s="76"/>
      <c r="BK4" s="76"/>
      <c r="BL4" s="77"/>
      <c r="BM4" s="76"/>
      <c r="BN4" s="77"/>
      <c r="BO4" s="76"/>
      <c r="BP4" s="76"/>
      <c r="BQ4" s="76"/>
      <c r="BR4" s="76"/>
      <c r="BS4" s="76"/>
      <c r="BT4" s="77"/>
      <c r="BU4" s="76"/>
      <c r="BV4" s="77"/>
      <c r="BW4" s="76"/>
      <c r="BX4" s="76"/>
      <c r="BY4" s="76"/>
      <c r="BZ4" s="76"/>
      <c r="CA4" s="76"/>
      <c r="CB4" s="77"/>
      <c r="CC4" s="76"/>
      <c r="CD4" s="77"/>
      <c r="CE4" s="76"/>
      <c r="CF4" s="76"/>
      <c r="CG4" s="76"/>
      <c r="CH4" s="76"/>
      <c r="CI4" s="76"/>
      <c r="CJ4" s="77"/>
      <c r="CK4" s="76"/>
      <c r="CL4" s="77"/>
      <c r="CM4" s="76"/>
      <c r="CN4" s="76"/>
      <c r="CO4" s="76"/>
      <c r="CP4" s="76"/>
      <c r="CQ4" s="76"/>
      <c r="CR4" s="78" t="str">
        <f t="shared" ref="CR4:CR67" si="15">IF(U4="","",U4)</f>
        <v/>
      </c>
      <c r="CS4" s="79" t="str">
        <f t="shared" ref="CS4:CS67" si="16">IF(V4="","",V4)</f>
        <v/>
      </c>
      <c r="CT4" s="79" t="str">
        <f t="shared" ref="CT4:CT67" si="17">IF(W4="","",W4)</f>
        <v/>
      </c>
      <c r="CU4" s="79" t="str">
        <f t="shared" ref="CU4:CU67" si="18">IF(X4="","",X4)</f>
        <v/>
      </c>
      <c r="CV4" s="79" t="str">
        <f t="shared" ref="CV4:CV67" si="19">IF(Y4="","",Y4)</f>
        <v/>
      </c>
      <c r="CW4" s="79" t="str">
        <f t="shared" ref="CW4:CW67" si="20">IF(Z4="","",Z4)</f>
        <v/>
      </c>
      <c r="CX4" s="79" t="str">
        <f t="shared" ref="CX4:CX67" si="21">IF(AA4="","",AA4)</f>
        <v/>
      </c>
      <c r="CY4" s="79" t="str">
        <f t="shared" ref="CY4:CY67" si="22">IF(AB4="","",AB4)</f>
        <v/>
      </c>
      <c r="CZ4" s="79" t="str">
        <f t="shared" ref="CZ4:CZ67" si="23">IF(AC4="","",AC4)</f>
        <v/>
      </c>
      <c r="DA4" s="79" t="str">
        <f t="shared" ref="DA4:DA67" si="24">IF(AD4="","",AD4)</f>
        <v/>
      </c>
      <c r="DB4" s="79" t="str">
        <f t="shared" ref="DB4:DB67" si="25">IF(AE4="","",AE4)</f>
        <v/>
      </c>
      <c r="DC4" s="79" t="str">
        <f t="shared" ref="DC4:DC67" si="26">IF(AF4="","",AF4)</f>
        <v/>
      </c>
      <c r="DD4" s="79" t="str">
        <f t="shared" ref="DD4:DD67" si="27">IF(AG4="","",AG4)</f>
        <v/>
      </c>
      <c r="DE4" s="79" t="str">
        <f t="shared" ref="DE4:DE67" si="28">IF(AK4="","",AK4)</f>
        <v/>
      </c>
      <c r="DF4" s="79" t="str">
        <f t="shared" ref="DF4:DF67" si="29">IF(AL4="","",AL4)</f>
        <v/>
      </c>
      <c r="DG4" s="79" t="str">
        <f t="shared" ref="DG4:DG67" si="30">IF(AM4="","",AM4)</f>
        <v/>
      </c>
      <c r="DH4" s="76"/>
      <c r="DI4" s="78"/>
      <c r="DJ4" s="76"/>
      <c r="DK4" s="77"/>
      <c r="DL4" s="77"/>
      <c r="DM4" s="77"/>
      <c r="DN4" s="80"/>
      <c r="DO4" s="80"/>
      <c r="DP4" s="80" t="str">
        <f>IF(Table1[Start Date]="","",IF(Table1[Start Date]&gt;42185,"",IF(AND(Table1[Leaving Date]&gt;1,Table1[Leaving Date]&lt;42095),"",1)))</f>
        <v/>
      </c>
      <c r="DQ4" s="80" t="str">
        <f>IF(Table1[Start Date]="","",IF(Table1[Start Date]&gt;42277,"",IF(AND(Table1[Leaving Date]&gt;1,Table1[Leaving Date]&lt;42186),"",1)))</f>
        <v/>
      </c>
      <c r="DR4" s="80" t="str">
        <f>IF(Table1[Start Date]="","",IF(Table1[Start Date]&gt;42369,"",IF(AND(Table1[Leaving Date]&gt;1,Table1[Leaving Date]&lt;42278),"",1)))</f>
        <v/>
      </c>
      <c r="DS4" s="80" t="str">
        <f>IF(Table1[Start Date]="","",IF(Table1[Start Date]&gt;42460,"",IF(AND(Table1[Leaving Date]&gt;1,Table1[Leaving Date]&lt;42370),"",1)))</f>
        <v/>
      </c>
      <c r="DT4" s="80" t="str">
        <f>IF(Table1[Start Date]="","",IF(Table1[Start Date]&gt;42551,"",IF(AND(Table1[Leaving Date]&gt;1,Table1[Leaving Date]&lt;42461),"",1)))</f>
        <v/>
      </c>
      <c r="DU4" s="80" t="str">
        <f>IF(Table1[Start Date]="","",IF(Table1[Start Date]&gt;42643,"",IF(AND(Table1[Leaving Date]&gt;1,Table1[Leaving Date]&lt;42552),"",1)))</f>
        <v/>
      </c>
      <c r="DV4" s="80" t="str">
        <f>IF(Table1[Start Date]="","",IF(Table1[Start Date]&gt;42735,"",IF(AND(Table1[Leaving Date]&gt;1,Table1[Leaving Date]&lt;42644),"",1)))</f>
        <v/>
      </c>
      <c r="DW4" s="80" t="str">
        <f>IF(Table1[Start Date]="","",IF(Table1[Start Date]&gt;42825,"",IF(AND(Table1[Leaving Date]&gt;1,Table1[Leaving Date]&lt;42736),"",1)))</f>
        <v/>
      </c>
      <c r="DX4" s="73"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4" s="74" t="e">
        <f>VLOOKUP(Table1[Referral Source],Lists!$G$2:$H$20,2,FALSE)</f>
        <v>#N/A</v>
      </c>
      <c r="DZ4" s="75" t="e">
        <f>SUM(Table1[Data Referral Quarter]+Table1[Data Referral Source])</f>
        <v>#N/A</v>
      </c>
      <c r="EA4" s="73" t="b">
        <f>IF(Table1[Referral Decision]="Accepted",100,IF(Table1[Referral Decision]="Rejected by Provider",200,IF(Table1[Referral Decision]="Rejected by Applicant",300)))</f>
        <v>0</v>
      </c>
      <c r="EB4" s="74">
        <f>SUM(Table1[Data Referral Quarter]+Table1[Data Referral Decision])</f>
        <v>0</v>
      </c>
      <c r="EC4" s="74" t="b">
        <f>IF(Table1[Start Date]&gt;42735,8000,IF(Table1[Start Date]&gt;42643,7000,IF(Table1[Start Date]&gt;42551,6000,IF(Table1[Start Date]&gt;42460,5000,IF(Table1[Start Date]&gt;42369,4000,IF(Table1[Start Date]&gt;42277,3000,IF(Table1[Start Date]&gt;42185,2000,IF(Table1[Start Date]&gt;42094,1000))))))))</f>
        <v>0</v>
      </c>
      <c r="ED4" s="74" t="str">
        <f>IF(Table1[Start Date]="","",IF(Table1[Current Local Authority]="Swindon",1,"2"))</f>
        <v/>
      </c>
      <c r="EE4" s="85" t="e">
        <f>SUM(Table1[Data Start Date]+Table1[Data Local Authority])</f>
        <v>#VALUE!</v>
      </c>
      <c r="EF4" s="74">
        <f>IF(Table1[Registered with GP]="Yes",1,0)</f>
        <v>0</v>
      </c>
      <c r="EG4" s="74">
        <f>SUM(Table1[Data Start Date]+Table1[Data GP Start])</f>
        <v>0</v>
      </c>
      <c r="EH4" s="74" t="str">
        <f>IF(Table1[EET]="NEET",1,IF(Table1[EET]="Education",2,IF(Table1[EET]="Employment",2,IF(Table1[EET]="Training",2,IF(Table1[EET]="Retired",3,"")))))</f>
        <v/>
      </c>
      <c r="EI4" s="74" t="e">
        <f>Table1[Data Start Date]+Table1[Data EET Start]</f>
        <v>#VALUE!</v>
      </c>
      <c r="EJ4" s="74" t="b">
        <f>IF(Table1[Leaving Date]&gt;42735,8000,IF(Table1[Leaving Date]&gt;42643,7000,IF(Table1[Leaving Date]&gt;42551,6000,IF(Table1[Leaving Date]&gt;42460,5000,IF(Table1[Leaving Date]&gt;42369,4000,IF(Table1[Leaving Date]&gt;42277,3000,IF(Table1[Leaving Date]&gt;42185,2000,IF(Table1[Leaving Date]&gt;42094,1000))))))))</f>
        <v>0</v>
      </c>
      <c r="EK4" s="74" t="e">
        <f>VLOOKUP(Table1[Reason for Leaving],Lists!$T$2:$U$15,2,FALSE)</f>
        <v>#N/A</v>
      </c>
      <c r="EL4" s="74" t="e">
        <f>SUM(Table1[Data Leavers Date]+Table1[Data Move On])</f>
        <v>#N/A</v>
      </c>
      <c r="EM4" s="74" t="b">
        <f>IF(Table1[Registered with GP2]="Yes",1,IF(Table1[Registered with GP2]="No",0,IF(Table1[Registered with GP]="Yes",1,IF(Table1[Registered with GP]="No",0))))</f>
        <v>0</v>
      </c>
      <c r="EN4" s="74">
        <f>SUM(Table1[Data Leavers Date]+Table1[Data GP End])</f>
        <v>0</v>
      </c>
      <c r="EO4" s="74" t="str">
        <f>IF(Table1[EET2]="NEET",1,IF(Table1[EET2]="Employment",2,IF(Table1[EET2]="Education",2,IF(Table1[EET2]="Training",2,IF(Table1[EET2]="Retired",3,IF(Table1[EET]="NEET",1,IF(Table1[EET]="Employment",2,IF(Table1[EET]="Education",2,IF(Table1[EET]="Training",2,IF(Table1[EET]="Retired",3,""))))))))))</f>
        <v/>
      </c>
      <c r="EP4" s="74" t="e">
        <f>+Table1[[#This Row],[Data Leavers Date]]+Table1[[#This Row],[Data EET End]]</f>
        <v>#VALUE!</v>
      </c>
      <c r="EQ4" s="74">
        <f>IF(Table1[Exit Form Received]="Yes",1,0)</f>
        <v>0</v>
      </c>
      <c r="ER4" s="74">
        <f>+Table1[[#This Row],[Data Leavers Date]]+Table1[[#This Row],[Data Exit Forms]]</f>
        <v>0</v>
      </c>
      <c r="ES4" s="74" t="str">
        <f>IF(Table1[Data Leavers Date]=1000,SUM(Table1[Leaving Date]-Table1[Start Date]),"")</f>
        <v/>
      </c>
      <c r="ET4" s="74" t="str">
        <f>IF(Table1[Data Leavers Date]=2000,SUM(Table1[Leaving Date]-Table1[Start Date]),"")</f>
        <v/>
      </c>
      <c r="EU4" s="74" t="str">
        <f>IF(Table1[Data Leavers Date]=3000,SUM(Table1[Leaving Date]-Table1[Start Date]),"")</f>
        <v/>
      </c>
      <c r="EV4" s="74" t="str">
        <f>IF(Table1[Data Leavers Date]=4000,SUM(Table1[Leaving Date]-Table1[Start Date]),"")</f>
        <v/>
      </c>
      <c r="EW4" s="74" t="str">
        <f>IF(Table1[Data Leavers Date]=5000,SUM(Table1[Leaving Date]-Table1[Start Date]),"")</f>
        <v/>
      </c>
      <c r="EX4" s="74" t="str">
        <f>IF(Table1[Data Leavers Date]=6000,SUM(Table1[Leaving Date]-Table1[Start Date]),"")</f>
        <v/>
      </c>
      <c r="EY4" s="74" t="str">
        <f>IF(Table1[Data Leavers Date]=7000,SUM(Table1[Leaving Date]-Table1[Start Date]),"")</f>
        <v/>
      </c>
      <c r="EZ4" s="74" t="str">
        <f>IF(Table1[Data Leavers Date]=8000,SUM(Table1[Leaving Date]-Table1[Start Date]),"")</f>
        <v/>
      </c>
      <c r="FA4" s="74" t="str">
        <f>IF(Table1[Date of Initial Assessment]="","",IF(AND(Table1[Start Date]&gt;42094,Table1[Start Date]&lt;42461),Table1[Motivation and Taking Responsibility],""))</f>
        <v/>
      </c>
      <c r="FB4" s="74" t="str">
        <f>IF(Table1[Date of Initial Assessment]="","",IF(AND(Table1[Start Date]&gt;42094,Table1[Start Date]&lt;42461),Table1[Self-Care and Living Skills],""))</f>
        <v/>
      </c>
      <c r="FC4" s="74" t="str">
        <f>IF(Table1[Date of Initial Assessment]="","",IF(AND(Table1[Start Date]&gt;42094,Table1[Start Date]&lt;42461),Table1[Managing Money and Personal Administration],""))</f>
        <v/>
      </c>
      <c r="FD4" s="74" t="str">
        <f>IF(Table1[Date of Initial Assessment]="","",IF(AND(Table1[Start Date]&gt;42094,Table1[Start Date]&lt;42461),Table1[Social Networks and Relationships],""))</f>
        <v/>
      </c>
      <c r="FE4" s="74" t="str">
        <f>IF(Table1[Date of Initial Assessment]="","",IF(AND(Table1[Start Date]&gt;42094,Table1[Start Date]&lt;42461),Table1[Drug and Alcohol Misuse],""))</f>
        <v/>
      </c>
      <c r="FF4" s="74" t="str">
        <f>IF(Table1[Date of Initial Assessment]="","",IF(AND(Table1[Start Date]&gt;42094,Table1[Start Date]&lt;42461),Table1[Physical Health],""))</f>
        <v/>
      </c>
      <c r="FG4" s="74" t="str">
        <f>IF(Table1[Date of Initial Assessment]="","",IF(AND(Table1[Start Date]&gt;42094,Table1[Start Date]&lt;42461),Table1[Emotional and Mental Health],""))</f>
        <v/>
      </c>
      <c r="FH4" s="74" t="str">
        <f>IF(Table1[Date of Initial Assessment]="","",IF(AND(Table1[Start Date]&gt;42094,Table1[Start Date]&lt;42461),Table1[Meaningful Use of Time],""))</f>
        <v/>
      </c>
      <c r="FI4" s="74" t="str">
        <f>IF(Table1[Date of Initial Assessment]="","",IF(AND(Table1[Start Date]&gt;42094,Table1[Start Date]&lt;42461),Table1[Managing Tenancy and Accommodation],""))</f>
        <v/>
      </c>
      <c r="FJ4" s="74" t="str">
        <f>IF(Table1[Date of Initial Assessment]="","",IF(AND(Table1[Start Date]&gt;42094,Table1[Start Date]&lt;42461),Table1[Offending],""))</f>
        <v/>
      </c>
      <c r="FK4" s="74" t="str">
        <f>IF(Table1[Leaving Date]="","",IF(Table1[Date of Initial Assessment]="","",IF(AND(Table1[Leaving Date]&gt;42094,Table1[Leaving Date]&lt;42461),IF(Table1[Date of Last Assessment]="",Table1[Motivation and Taking Responsibility],Table1[Motivation and Taking Responsibility2]),"")))</f>
        <v/>
      </c>
      <c r="FL4" s="74" t="str">
        <f>IF(Table1[Leaving Date]="","",IF(Table1[Date of Initial Assessment]="","",IF(AND(Table1[Leaving Date]&gt;42094,Table1[Leaving Date]&lt;42461),IF(Table1[Date of Last Assessment]="",Table1[Self-Care and Living Skills],Table1[Self-Care and Living Skills2]),"")))</f>
        <v/>
      </c>
      <c r="FM4" s="74" t="str">
        <f>IF(Table1[Leaving Date]="","",IF(Table1[Date of Initial Assessment]="","",IF(AND(Table1[Leaving Date]&gt;42094,Table1[Leaving Date]&lt;42461),IF(Table1[Date of Last Assessment]="",Table1[Managing Money and Personal Administration],Table1[Managing Money and Personal Administration2]),"")))</f>
        <v/>
      </c>
      <c r="FN4" s="74" t="str">
        <f>IF(Table1[Leaving Date]="","",IF(Table1[Date of Initial Assessment]="","",IF(AND(Table1[Leaving Date]&gt;42094,Table1[Leaving Date]&lt;42461),IF(Table1[Date of Last Assessment]="",Table1[Social Networks and Relationships],Table1[Social Networks and Relationships2]),"")))</f>
        <v/>
      </c>
      <c r="FO4" s="74" t="str">
        <f>IF(Table1[Leaving Date]="","",IF(Table1[Date of Initial Assessment]="","",IF(AND(Table1[Leaving Date]&gt;42094,Table1[Leaving Date]&lt;42461),IF(Table1[Date of Last Assessment]="",Table1[Drug and Alcohol Misuse],Table1[Drug and Alcohol Misuse2]),"")))</f>
        <v/>
      </c>
      <c r="FP4" s="74" t="str">
        <f>IF(Table1[Leaving Date]="","",IF(Table1[Date of Initial Assessment]="","",IF(AND(Table1[Leaving Date]&gt;42094,Table1[Leaving Date]&lt;42461),IF(Table1[Date of Last Assessment]="",Table1[Physical Health],Table1[Physical Health2]),"")))</f>
        <v/>
      </c>
      <c r="FQ4" s="74" t="str">
        <f>IF(Table1[Leaving Date]="","",IF(Table1[Date of Initial Assessment]="","",IF(AND(Table1[Leaving Date]&gt;42094,Table1[Leaving Date]&lt;42461),IF(Table1[Date of Last Assessment]="",Table1[Emotional and Mental Health],Table1[Emotional and Mental Health2]),"")))</f>
        <v/>
      </c>
      <c r="FR4" s="74" t="str">
        <f>IF(Table1[Leaving Date]="","",IF(Table1[Date of Initial Assessment]="","",IF(AND(Table1[Leaving Date]&gt;42094,Table1[Leaving Date]&lt;42461),IF(Table1[Date of Last Assessment]="",Table1[Meaningful Use of Time],Table1[Meaningful Use of Time2]),"")))</f>
        <v/>
      </c>
      <c r="FS4" s="74" t="str">
        <f>IF(Table1[Leaving Date]="","",IF(Table1[Date of Initial Assessment]="","",IF(AND(Table1[Leaving Date]&gt;42094,Table1[Leaving Date]&lt;42461),IF(Table1[Date of Last Assessment]="",Table1[Managing Tenancy and Accommodation],Table1[Managing Tenancy and Accommodation2]),"")))</f>
        <v/>
      </c>
      <c r="FT4" s="74" t="str">
        <f>IF(Table1[Leaving Date]="","",IF(Table1[Date of Initial Assessment]="","",IF(AND(Table1[Leaving Date]&gt;42094,Table1[Leaving Date]&lt;42461),IF(Table1[Date of Last Assessment]="",Table1[Offending],Table1[Offending2]),"")))</f>
        <v/>
      </c>
      <c r="FU4" s="74" t="str">
        <f>IF(Table1[Date of Initial Assessment]="","",IF(AND(Table1[Start Date]&gt;42460,Table1[Start Date]&lt;42826),Table1[Motivation and Taking Responsibility],""))</f>
        <v/>
      </c>
      <c r="FV4" s="74" t="str">
        <f>IF(Table1[Date of Initial Assessment]="","",IF(AND(Table1[Start Date]&gt;42460,Table1[Start Date]&lt;42826),Table1[Self-Care and Living Skills],""))</f>
        <v/>
      </c>
      <c r="FW4" s="74" t="str">
        <f>IF(Table1[Date of Initial Assessment]="","",IF(AND(Table1[Start Date]&gt;42460,Table1[Start Date]&lt;42826),Table1[Managing Money and Personal Administration],""))</f>
        <v/>
      </c>
      <c r="FX4" s="74" t="str">
        <f>IF(Table1[Date of Initial Assessment]="","",IF(AND(Table1[Start Date]&gt;42460,Table1[Start Date]&lt;42826),Table1[Social Networks and Relationships],""))</f>
        <v/>
      </c>
      <c r="FY4" s="74" t="str">
        <f>IF(Table1[Date of Initial Assessment]="","",IF(AND(Table1[Start Date]&gt;42460,Table1[Start Date]&lt;42826),Table1[Drug and Alcohol Misuse],""))</f>
        <v/>
      </c>
      <c r="FZ4" s="74" t="str">
        <f>IF(Table1[Date of Initial Assessment]="","",IF(AND(Table1[Start Date]&gt;42460,Table1[Start Date]&lt;42826),Table1[Physical Health],""))</f>
        <v/>
      </c>
      <c r="GA4" s="74" t="str">
        <f>IF(Table1[Date of Initial Assessment]="","",IF(AND(Table1[Start Date]&gt;42460,Table1[Start Date]&lt;42826),Table1[Emotional and Mental Health],""))</f>
        <v/>
      </c>
      <c r="GB4" s="74" t="str">
        <f>IF(Table1[Date of Initial Assessment]="","",IF(AND(Table1[Start Date]&gt;42460,Table1[Start Date]&lt;42826),Table1[Meaningful Use of Time],""))</f>
        <v/>
      </c>
      <c r="GC4" s="74" t="str">
        <f>IF(Table1[Date of Initial Assessment]="","",IF(AND(Table1[Start Date]&gt;42460,Table1[Start Date]&lt;42826),Table1[Managing Tenancy and Accommodation],""))</f>
        <v/>
      </c>
      <c r="GD4" s="74" t="str">
        <f>IF(Table1[Date of Initial Assessment]="","",IF(AND(Table1[Start Date]&gt;42460,Table1[Start Date]&lt;42826),Table1[Offending],""))</f>
        <v/>
      </c>
      <c r="GE4" s="74" t="str">
        <f>IF(Table1[Leaving Date]="","",IF(AND(Table1[Leaving Date]&gt;42460,Table1[Leaving Date]&lt;42826),IF(Table1[Date of Last Assessment]="",Table1[Motivation and Taking Responsibility],Table1[Motivation and Taking Responsibility2]),""))</f>
        <v/>
      </c>
      <c r="GF4" s="74" t="str">
        <f>IF(Table1[Leaving Date]="","",IF(AND(Table1[Leaving Date]&gt;42460,Table1[Leaving Date]&lt;42826),IF(Table1[Date of Last Assessment]="",Table1[Self-Care and Living Skills],Table1[Self-Care and Living Skills2]),""))</f>
        <v/>
      </c>
      <c r="GG4" s="74" t="str">
        <f>IF(Table1[Leaving Date]="","",IF(AND(Table1[Leaving Date]&gt;42460,Table1[Leaving Date]&lt;42826),IF(Table1[Date of Last Assessment]="",Table1[Managing Money and Personal Administration],Table1[Managing Money and Personal Administration2]),""))</f>
        <v/>
      </c>
      <c r="GH4" s="74" t="str">
        <f>IF(Table1[Leaving Date]="","",IF(AND(Table1[Leaving Date]&gt;42460,Table1[Leaving Date]&lt;42826),IF(Table1[Date of Last Assessment]="",Table1[Social Networks and Relationships],Table1[Social Networks and Relationships2]),""))</f>
        <v/>
      </c>
      <c r="GI4" s="74" t="str">
        <f>IF(Table1[Leaving Date]="","",IF(AND(Table1[Leaving Date]&gt;42460,Table1[Leaving Date]&lt;42826),IF(Table1[Date of Last Assessment]="",Table1[Drug and Alcohol Misuse],Table1[Drug and Alcohol Misuse2]),""))</f>
        <v/>
      </c>
      <c r="GJ4" s="74" t="str">
        <f>IF(Table1[Leaving Date]="","",IF(AND(Table1[Leaving Date]&gt;42460,Table1[Leaving Date]&lt;42826),IF(Table1[Date of Last Assessment]="",Table1[Physical Health],Table1[Physical Health2]),""))</f>
        <v/>
      </c>
      <c r="GK4" s="74" t="str">
        <f>IF(Table1[Leaving Date]="","",IF(AND(Table1[Leaving Date]&gt;42460,Table1[Leaving Date]&lt;42826),IF(Table1[Date of Last Assessment]="",Table1[Emotional and Mental Health],Table1[Emotional and Mental Health2]),""))</f>
        <v/>
      </c>
      <c r="GL4" s="74" t="str">
        <f>IF(Table1[Leaving Date]="","",IF(AND(Table1[Leaving Date]&gt;42460,Table1[Leaving Date]&lt;42826),IF(Table1[Date of Last Assessment]="",Table1[Meaningful Use of Time],Table1[Meaningful Use of Time2]),""))</f>
        <v/>
      </c>
      <c r="GM4" s="74" t="str">
        <f>IF(Table1[Leaving Date]="","",IF(AND(Table1[Leaving Date]&gt;42460,Table1[Leaving Date]&lt;42826),IF(Table1[Date of Last Assessment]="",Table1[Managing Tenancy and Accommodation],Table1[Managing Tenancy and Accommodation2]),""))</f>
        <v/>
      </c>
      <c r="GN4" s="74" t="str">
        <f>IF(Table1[Leaving Date]="","",IF(AND(Table1[Leaving Date]&gt;42460,Table1[Leaving Date]&lt;42826),IF(Table1[Date of Last Assessment]="",Table1[Offending],Table1[Offending2]),""))</f>
        <v/>
      </c>
    </row>
    <row r="5" spans="2:196" ht="20.100000000000001" customHeight="1" x14ac:dyDescent="0.2">
      <c r="B5" s="64">
        <f>+'Service Data'!$C$5:$C$5</f>
        <v>0</v>
      </c>
      <c r="C5" s="64"/>
      <c r="D5" s="64"/>
      <c r="E5" s="64"/>
      <c r="F5" s="64"/>
      <c r="G5" s="64"/>
      <c r="H5" s="84"/>
      <c r="I5" s="99" t="str">
        <f ca="1">IF(Table1[[#This Row],[Date of Birth]]="","",SUM(TODAY()-Table1[[#This Row],[Date of Birth]])/365)</f>
        <v/>
      </c>
      <c r="J5" s="71"/>
      <c r="K5" s="71"/>
      <c r="L5" s="64"/>
      <c r="M5" s="77"/>
      <c r="N5" s="64"/>
      <c r="O5" s="64"/>
      <c r="P5" s="72"/>
      <c r="Q5" s="64"/>
      <c r="R5" s="77"/>
      <c r="S5" s="77"/>
      <c r="T5" s="68"/>
      <c r="U5" s="68"/>
      <c r="V5" s="67"/>
      <c r="W5" s="67"/>
      <c r="X5" s="67"/>
      <c r="Y5" s="67"/>
      <c r="Z5" s="67"/>
      <c r="AA5" s="67"/>
      <c r="AB5" s="67"/>
      <c r="AC5" s="67"/>
      <c r="AD5" s="67"/>
      <c r="AE5" s="67"/>
      <c r="AF5" s="67"/>
      <c r="AG5" s="67"/>
      <c r="AH5" s="67"/>
      <c r="AI5" s="67"/>
      <c r="AJ5" s="67"/>
      <c r="AK5" s="67"/>
      <c r="AL5" s="67"/>
      <c r="AM5" s="67"/>
      <c r="AN5" s="77"/>
      <c r="AO5" s="76"/>
      <c r="AP5" s="77"/>
      <c r="AQ5" s="76"/>
      <c r="AR5" s="76"/>
      <c r="AS5" s="76"/>
      <c r="AT5" s="76"/>
      <c r="AU5" s="76"/>
      <c r="AV5" s="77"/>
      <c r="AW5" s="76"/>
      <c r="AX5" s="77"/>
      <c r="AY5" s="76"/>
      <c r="AZ5" s="76"/>
      <c r="BA5" s="76"/>
      <c r="BB5" s="76"/>
      <c r="BC5" s="76"/>
      <c r="BD5" s="77"/>
      <c r="BE5" s="76"/>
      <c r="BF5" s="77"/>
      <c r="BG5" s="76"/>
      <c r="BH5" s="76"/>
      <c r="BI5" s="76"/>
      <c r="BJ5" s="76"/>
      <c r="BK5" s="76"/>
      <c r="BL5" s="77"/>
      <c r="BM5" s="76"/>
      <c r="BN5" s="77"/>
      <c r="BO5" s="76"/>
      <c r="BP5" s="76"/>
      <c r="BQ5" s="76"/>
      <c r="BR5" s="76"/>
      <c r="BS5" s="76"/>
      <c r="BT5" s="77"/>
      <c r="BU5" s="76"/>
      <c r="BV5" s="77"/>
      <c r="BW5" s="76"/>
      <c r="BX5" s="76"/>
      <c r="BY5" s="76"/>
      <c r="BZ5" s="76"/>
      <c r="CA5" s="76"/>
      <c r="CB5" s="77"/>
      <c r="CC5" s="76"/>
      <c r="CD5" s="77"/>
      <c r="CE5" s="76"/>
      <c r="CF5" s="76"/>
      <c r="CG5" s="76"/>
      <c r="CH5" s="76"/>
      <c r="CI5" s="76"/>
      <c r="CJ5" s="77"/>
      <c r="CK5" s="76"/>
      <c r="CL5" s="77"/>
      <c r="CM5" s="76"/>
      <c r="CN5" s="76"/>
      <c r="CO5" s="76"/>
      <c r="CP5" s="76"/>
      <c r="CQ5" s="76"/>
      <c r="CR5" s="78" t="str">
        <f t="shared" si="15"/>
        <v/>
      </c>
      <c r="CS5" s="79" t="str">
        <f t="shared" si="16"/>
        <v/>
      </c>
      <c r="CT5" s="79" t="str">
        <f t="shared" si="17"/>
        <v/>
      </c>
      <c r="CU5" s="79" t="str">
        <f t="shared" si="18"/>
        <v/>
      </c>
      <c r="CV5" s="79" t="str">
        <f t="shared" si="19"/>
        <v/>
      </c>
      <c r="CW5" s="79" t="str">
        <f t="shared" si="20"/>
        <v/>
      </c>
      <c r="CX5" s="79" t="str">
        <f t="shared" si="21"/>
        <v/>
      </c>
      <c r="CY5" s="79" t="str">
        <f t="shared" si="22"/>
        <v/>
      </c>
      <c r="CZ5" s="79" t="str">
        <f t="shared" si="23"/>
        <v/>
      </c>
      <c r="DA5" s="79" t="str">
        <f t="shared" si="24"/>
        <v/>
      </c>
      <c r="DB5" s="79" t="str">
        <f t="shared" si="25"/>
        <v/>
      </c>
      <c r="DC5" s="79" t="str">
        <f t="shared" si="26"/>
        <v/>
      </c>
      <c r="DD5" s="79" t="str">
        <f t="shared" si="27"/>
        <v/>
      </c>
      <c r="DE5" s="79" t="str">
        <f t="shared" si="28"/>
        <v/>
      </c>
      <c r="DF5" s="79" t="str">
        <f t="shared" si="29"/>
        <v/>
      </c>
      <c r="DG5" s="79" t="str">
        <f t="shared" si="30"/>
        <v/>
      </c>
      <c r="DH5" s="76"/>
      <c r="DI5" s="78"/>
      <c r="DJ5" s="76"/>
      <c r="DK5" s="77"/>
      <c r="DL5" s="77"/>
      <c r="DM5" s="77"/>
      <c r="DN5" s="80"/>
      <c r="DO5" s="80"/>
      <c r="DP5" s="81" t="str">
        <f>IF(Table1[Start Date]="","",IF(Table1[Start Date]&gt;42185,"",IF(AND(Table1[Leaving Date]&gt;1,Table1[Leaving Date]&lt;42095),"",1)))</f>
        <v/>
      </c>
      <c r="DQ5" s="81" t="str">
        <f>IF(Table1[Start Date]="","",IF(Table1[Start Date]&gt;42277,"",IF(AND(Table1[Leaving Date]&gt;1,Table1[Leaving Date]&lt;42186),"",1)))</f>
        <v/>
      </c>
      <c r="DR5" s="81" t="str">
        <f>IF(Table1[Start Date]="","",IF(Table1[Start Date]&gt;42369,"",IF(AND(Table1[Leaving Date]&gt;1,Table1[Leaving Date]&lt;42278),"",1)))</f>
        <v/>
      </c>
      <c r="DS5" s="81" t="str">
        <f>IF(Table1[Start Date]="","",IF(Table1[Start Date]&gt;42460,"",IF(AND(Table1[Leaving Date]&gt;1,Table1[Leaving Date]&lt;42370),"",1)))</f>
        <v/>
      </c>
      <c r="DT5" s="81" t="str">
        <f>IF(Table1[Start Date]="","",IF(Table1[Start Date]&gt;42551,"",IF(AND(Table1[Leaving Date]&gt;1,Table1[Leaving Date]&lt;42461),"",1)))</f>
        <v/>
      </c>
      <c r="DU5" s="81" t="str">
        <f>IF(Table1[Start Date]="","",IF(Table1[Start Date]&gt;42643,"",IF(AND(Table1[Leaving Date]&gt;1,Table1[Leaving Date]&lt;42552),"",1)))</f>
        <v/>
      </c>
      <c r="DV5" s="81" t="str">
        <f>IF(Table1[Start Date]="","",IF(Table1[Start Date]&gt;42735,"",IF(AND(Table1[Leaving Date]&gt;1,Table1[Leaving Date]&lt;42644),"",1)))</f>
        <v/>
      </c>
      <c r="DW5" s="81" t="str">
        <f>IF(Table1[Start Date]="","",IF(Table1[Start Date]&gt;42825,"",IF(AND(Table1[Leaving Date]&gt;1,Table1[Leaving Date]&lt;42736),"",1)))</f>
        <v/>
      </c>
      <c r="DX5" s="73"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5" s="74" t="e">
        <f>VLOOKUP(Table1[Referral Source],Lists!$G$2:$H$20,2,FALSE)</f>
        <v>#N/A</v>
      </c>
      <c r="DZ5" s="50" t="e">
        <f>SUM(Table1[Data Referral Quarter]+Table1[Data Referral Source])</f>
        <v>#N/A</v>
      </c>
      <c r="EA5" s="73" t="b">
        <f>IF(Table1[Referral Decision]="Accepted",100,IF(Table1[Referral Decision]="Rejected by Provider",200,IF(Table1[Referral Decision]="Rejected by Applicant",300)))</f>
        <v>0</v>
      </c>
      <c r="EB5" s="74">
        <f>SUM(Table1[Data Referral Quarter]+Table1[Data Referral Decision])</f>
        <v>0</v>
      </c>
      <c r="EC5" s="74" t="b">
        <f>IF(Table1[Start Date]&gt;42735,8000,IF(Table1[Start Date]&gt;42643,7000,IF(Table1[Start Date]&gt;42551,6000,IF(Table1[Start Date]&gt;42460,5000,IF(Table1[Start Date]&gt;42369,4000,IF(Table1[Start Date]&gt;42277,3000,IF(Table1[Start Date]&gt;42185,2000,IF(Table1[Start Date]&gt;42094,1000))))))))</f>
        <v>0</v>
      </c>
      <c r="ED5" s="74" t="str">
        <f>IF(Table1[Start Date]="","",IF(Table1[Current Local Authority]="Swindon",1,"2"))</f>
        <v/>
      </c>
      <c r="EE5" s="85" t="e">
        <f>SUM(Table1[Data Start Date]+Table1[Data Local Authority])</f>
        <v>#VALUE!</v>
      </c>
      <c r="EF5" s="74">
        <f>IF(Table1[Registered with GP]="Yes",1,0)</f>
        <v>0</v>
      </c>
      <c r="EG5" s="74">
        <f>SUM(Table1[Data Start Date]+Table1[Data GP Start])</f>
        <v>0</v>
      </c>
      <c r="EH5" s="74" t="str">
        <f>IF(Table1[EET]="NEET",1,IF(Table1[EET]="Education",2,IF(Table1[EET]="Employment",2,IF(Table1[EET]="Training",2,IF(Table1[EET]="Retired",3,"")))))</f>
        <v/>
      </c>
      <c r="EI5" s="74" t="e">
        <f>Table1[Data Start Date]+Table1[Data EET Start]</f>
        <v>#VALUE!</v>
      </c>
      <c r="EJ5" s="74" t="b">
        <f>IF(Table1[Leaving Date]&gt;42735,8000,IF(Table1[Leaving Date]&gt;42643,7000,IF(Table1[Leaving Date]&gt;42551,6000,IF(Table1[Leaving Date]&gt;42460,5000,IF(Table1[Leaving Date]&gt;42369,4000,IF(Table1[Leaving Date]&gt;42277,3000,IF(Table1[Leaving Date]&gt;42185,2000,IF(Table1[Leaving Date]&gt;42094,1000))))))))</f>
        <v>0</v>
      </c>
      <c r="EK5" s="74" t="e">
        <f>VLOOKUP(Table1[Reason for Leaving],Lists!$T$2:$U$15,2,FALSE)</f>
        <v>#N/A</v>
      </c>
      <c r="EL5" s="74" t="e">
        <f>SUM(Table1[Data Leavers Date]+Table1[Data Move On])</f>
        <v>#N/A</v>
      </c>
      <c r="EM5" s="74" t="b">
        <f>IF(Table1[Registered with GP2]="Yes",1,IF(Table1[Registered with GP2]="No",0,IF(Table1[Registered with GP]="Yes",1,IF(Table1[Registered with GP]="No",0))))</f>
        <v>0</v>
      </c>
      <c r="EN5" s="74">
        <f>SUM(Table1[Data Leavers Date]+Table1[Data GP End])</f>
        <v>0</v>
      </c>
      <c r="EO5" s="74" t="str">
        <f>IF(Table1[EET2]="NEET",1,IF(Table1[EET2]="Employment",2,IF(Table1[EET2]="Education",2,IF(Table1[EET2]="Training",2,IF(Table1[EET2]="Retired",3,IF(Table1[EET]="NEET",1,IF(Table1[EET]="Employment",2,IF(Table1[EET]="Education",2,IF(Table1[EET]="Training",2,IF(Table1[EET]="Retired",3,""))))))))))</f>
        <v/>
      </c>
      <c r="EP5" s="74" t="e">
        <f>+Table1[[#This Row],[Data Leavers Date]]+Table1[[#This Row],[Data EET End]]</f>
        <v>#VALUE!</v>
      </c>
      <c r="EQ5" s="74">
        <f>IF(Table1[Exit Form Received]="Yes",1,0)</f>
        <v>0</v>
      </c>
      <c r="ER5" s="74">
        <f>+Table1[[#This Row],[Data Leavers Date]]+Table1[[#This Row],[Data Exit Forms]]</f>
        <v>0</v>
      </c>
      <c r="ES5" s="74" t="str">
        <f>IF(Table1[Data Leavers Date]=1000,SUM(Table1[Leaving Date]-Table1[Start Date]),"")</f>
        <v/>
      </c>
      <c r="ET5" s="74" t="str">
        <f>IF(Table1[Data Leavers Date]=2000,SUM(Table1[Leaving Date]-Table1[Start Date]),"")</f>
        <v/>
      </c>
      <c r="EU5" s="74" t="str">
        <f>IF(Table1[Data Leavers Date]=3000,SUM(Table1[Leaving Date]-Table1[Start Date]),"")</f>
        <v/>
      </c>
      <c r="EV5" s="74" t="str">
        <f>IF(Table1[Data Leavers Date]=4000,SUM(Table1[Leaving Date]-Table1[Start Date]),"")</f>
        <v/>
      </c>
      <c r="EW5" s="74" t="str">
        <f>IF(Table1[Data Leavers Date]=5000,SUM(Table1[Leaving Date]-Table1[Start Date]),"")</f>
        <v/>
      </c>
      <c r="EX5" s="74" t="str">
        <f>IF(Table1[Data Leavers Date]=6000,SUM(Table1[Leaving Date]-Table1[Start Date]),"")</f>
        <v/>
      </c>
      <c r="EY5" s="74" t="str">
        <f>IF(Table1[Data Leavers Date]=7000,SUM(Table1[Leaving Date]-Table1[Start Date]),"")</f>
        <v/>
      </c>
      <c r="EZ5" s="74" t="str">
        <f>IF(Table1[Data Leavers Date]=8000,SUM(Table1[Leaving Date]-Table1[Start Date]),"")</f>
        <v/>
      </c>
      <c r="FA5" s="74" t="str">
        <f>IF(Table1[Date of Initial Assessment]="","",IF(AND(Table1[Start Date]&gt;42094,Table1[Start Date]&lt;42461),Table1[Motivation and Taking Responsibility],""))</f>
        <v/>
      </c>
      <c r="FB5" s="74" t="str">
        <f>IF(Table1[Date of Initial Assessment]="","",IF(AND(Table1[Start Date]&gt;42094,Table1[Start Date]&lt;42461),Table1[Self-Care and Living Skills],""))</f>
        <v/>
      </c>
      <c r="FC5" s="74" t="str">
        <f>IF(Table1[Date of Initial Assessment]="","",IF(AND(Table1[Start Date]&gt;42094,Table1[Start Date]&lt;42461),Table1[Managing Money and Personal Administration],""))</f>
        <v/>
      </c>
      <c r="FD5" s="74" t="str">
        <f>IF(Table1[Date of Initial Assessment]="","",IF(AND(Table1[Start Date]&gt;42094,Table1[Start Date]&lt;42461),Table1[Social Networks and Relationships],""))</f>
        <v/>
      </c>
      <c r="FE5" s="74" t="str">
        <f>IF(Table1[Date of Initial Assessment]="","",IF(AND(Table1[Start Date]&gt;42094,Table1[Start Date]&lt;42461),Table1[Drug and Alcohol Misuse],""))</f>
        <v/>
      </c>
      <c r="FF5" s="74" t="str">
        <f>IF(Table1[Date of Initial Assessment]="","",IF(AND(Table1[Start Date]&gt;42094,Table1[Start Date]&lt;42461),Table1[Physical Health],""))</f>
        <v/>
      </c>
      <c r="FG5" s="74" t="str">
        <f>IF(Table1[Date of Initial Assessment]="","",IF(AND(Table1[Start Date]&gt;42094,Table1[Start Date]&lt;42461),Table1[Emotional and Mental Health],""))</f>
        <v/>
      </c>
      <c r="FH5" s="74" t="str">
        <f>IF(Table1[Date of Initial Assessment]="","",IF(AND(Table1[Start Date]&gt;42094,Table1[Start Date]&lt;42461),Table1[Meaningful Use of Time],""))</f>
        <v/>
      </c>
      <c r="FI5" s="74" t="str">
        <f>IF(Table1[Date of Initial Assessment]="","",IF(AND(Table1[Start Date]&gt;42094,Table1[Start Date]&lt;42461),Table1[Managing Tenancy and Accommodation],""))</f>
        <v/>
      </c>
      <c r="FJ5" s="74" t="str">
        <f>IF(Table1[Date of Initial Assessment]="","",IF(AND(Table1[Start Date]&gt;42094,Table1[Start Date]&lt;42461),Table1[Offending],""))</f>
        <v/>
      </c>
      <c r="FK5" s="74" t="str">
        <f>IF(Table1[Leaving Date]="","",IF(Table1[Date of Initial Assessment]="","",IF(AND(Table1[Leaving Date]&gt;42094,Table1[Leaving Date]&lt;42461),IF(Table1[Date of Last Assessment]="",Table1[Motivation and Taking Responsibility],Table1[Motivation and Taking Responsibility2]),"")))</f>
        <v/>
      </c>
      <c r="FL5" s="74" t="str">
        <f>IF(Table1[Leaving Date]="","",IF(Table1[Date of Initial Assessment]="","",IF(AND(Table1[Leaving Date]&gt;42094,Table1[Leaving Date]&lt;42461),IF(Table1[Date of Last Assessment]="",Table1[Self-Care and Living Skills],Table1[Self-Care and Living Skills2]),"")))</f>
        <v/>
      </c>
      <c r="FM5" s="74" t="str">
        <f>IF(Table1[Leaving Date]="","",IF(Table1[Date of Initial Assessment]="","",IF(AND(Table1[Leaving Date]&gt;42094,Table1[Leaving Date]&lt;42461),IF(Table1[Date of Last Assessment]="",Table1[Managing Money and Personal Administration],Table1[Managing Money and Personal Administration2]),"")))</f>
        <v/>
      </c>
      <c r="FN5" s="74" t="str">
        <f>IF(Table1[Leaving Date]="","",IF(Table1[Date of Initial Assessment]="","",IF(AND(Table1[Leaving Date]&gt;42094,Table1[Leaving Date]&lt;42461),IF(Table1[Date of Last Assessment]="",Table1[Social Networks and Relationships],Table1[Social Networks and Relationships2]),"")))</f>
        <v/>
      </c>
      <c r="FO5" s="74" t="str">
        <f>IF(Table1[Leaving Date]="","",IF(Table1[Date of Initial Assessment]="","",IF(AND(Table1[Leaving Date]&gt;42094,Table1[Leaving Date]&lt;42461),IF(Table1[Date of Last Assessment]="",Table1[Drug and Alcohol Misuse],Table1[Drug and Alcohol Misuse2]),"")))</f>
        <v/>
      </c>
      <c r="FP5" s="74" t="str">
        <f>IF(Table1[Leaving Date]="","",IF(Table1[Date of Initial Assessment]="","",IF(AND(Table1[Leaving Date]&gt;42094,Table1[Leaving Date]&lt;42461),IF(Table1[Date of Last Assessment]="",Table1[Physical Health],Table1[Physical Health2]),"")))</f>
        <v/>
      </c>
      <c r="FQ5" s="74" t="str">
        <f>IF(Table1[Leaving Date]="","",IF(Table1[Date of Initial Assessment]="","",IF(AND(Table1[Leaving Date]&gt;42094,Table1[Leaving Date]&lt;42461),IF(Table1[Date of Last Assessment]="",Table1[Emotional and Mental Health],Table1[Emotional and Mental Health2]),"")))</f>
        <v/>
      </c>
      <c r="FR5" s="74" t="str">
        <f>IF(Table1[Leaving Date]="","",IF(Table1[Date of Initial Assessment]="","",IF(AND(Table1[Leaving Date]&gt;42094,Table1[Leaving Date]&lt;42461),IF(Table1[Date of Last Assessment]="",Table1[Meaningful Use of Time],Table1[Meaningful Use of Time2]),"")))</f>
        <v/>
      </c>
      <c r="FS5" s="74" t="str">
        <f>IF(Table1[Leaving Date]="","",IF(Table1[Date of Initial Assessment]="","",IF(AND(Table1[Leaving Date]&gt;42094,Table1[Leaving Date]&lt;42461),IF(Table1[Date of Last Assessment]="",Table1[Managing Tenancy and Accommodation],Table1[Managing Tenancy and Accommodation2]),"")))</f>
        <v/>
      </c>
      <c r="FT5" s="74" t="str">
        <f>IF(Table1[Leaving Date]="","",IF(Table1[Date of Initial Assessment]="","",IF(AND(Table1[Leaving Date]&gt;42094,Table1[Leaving Date]&lt;42461),IF(Table1[Date of Last Assessment]="",Table1[Offending],Table1[Offending2]),"")))</f>
        <v/>
      </c>
      <c r="FU5" s="74" t="str">
        <f>IF(Table1[Date of Initial Assessment]="","",IF(AND(Table1[Start Date]&gt;42460,Table1[Start Date]&lt;42826),Table1[Motivation and Taking Responsibility],""))</f>
        <v/>
      </c>
      <c r="FV5" s="74" t="str">
        <f>IF(Table1[Date of Initial Assessment]="","",IF(AND(Table1[Start Date]&gt;42460,Table1[Start Date]&lt;42826),Table1[Self-Care and Living Skills],""))</f>
        <v/>
      </c>
      <c r="FW5" s="74" t="str">
        <f>IF(Table1[Date of Initial Assessment]="","",IF(AND(Table1[Start Date]&gt;42460,Table1[Start Date]&lt;42826),Table1[Managing Money and Personal Administration],""))</f>
        <v/>
      </c>
      <c r="FX5" s="74" t="str">
        <f>IF(Table1[Date of Initial Assessment]="","",IF(AND(Table1[Start Date]&gt;42460,Table1[Start Date]&lt;42826),Table1[Social Networks and Relationships],""))</f>
        <v/>
      </c>
      <c r="FY5" s="74" t="str">
        <f>IF(Table1[Date of Initial Assessment]="","",IF(AND(Table1[Start Date]&gt;42460,Table1[Start Date]&lt;42826),Table1[Drug and Alcohol Misuse],""))</f>
        <v/>
      </c>
      <c r="FZ5" s="74" t="str">
        <f>IF(Table1[Date of Initial Assessment]="","",IF(AND(Table1[Start Date]&gt;42460,Table1[Start Date]&lt;42826),Table1[Physical Health],""))</f>
        <v/>
      </c>
      <c r="GA5" s="74" t="str">
        <f>IF(Table1[Date of Initial Assessment]="","",IF(AND(Table1[Start Date]&gt;42460,Table1[Start Date]&lt;42826),Table1[Emotional and Mental Health],""))</f>
        <v/>
      </c>
      <c r="GB5" s="74" t="str">
        <f>IF(Table1[Date of Initial Assessment]="","",IF(AND(Table1[Start Date]&gt;42460,Table1[Start Date]&lt;42826),Table1[Meaningful Use of Time],""))</f>
        <v/>
      </c>
      <c r="GC5" s="74" t="str">
        <f>IF(Table1[Date of Initial Assessment]="","",IF(AND(Table1[Start Date]&gt;42460,Table1[Start Date]&lt;42826),Table1[Managing Tenancy and Accommodation],""))</f>
        <v/>
      </c>
      <c r="GD5" s="74" t="str">
        <f>IF(Table1[Date of Initial Assessment]="","",IF(AND(Table1[Start Date]&gt;42460,Table1[Start Date]&lt;42826),Table1[Offending],""))</f>
        <v/>
      </c>
      <c r="GE5" s="74" t="str">
        <f>IF(Table1[Leaving Date]="","",IF(AND(Table1[Leaving Date]&gt;42460,Table1[Leaving Date]&lt;42826),IF(Table1[Date of Last Assessment]="",Table1[Motivation and Taking Responsibility],Table1[Motivation and Taking Responsibility2]),""))</f>
        <v/>
      </c>
      <c r="GF5" s="74" t="str">
        <f>IF(Table1[Leaving Date]="","",IF(AND(Table1[Leaving Date]&gt;42460,Table1[Leaving Date]&lt;42826),IF(Table1[Date of Last Assessment]="",Table1[Self-Care and Living Skills],Table1[Self-Care and Living Skills2]),""))</f>
        <v/>
      </c>
      <c r="GG5" s="74" t="str">
        <f>IF(Table1[Leaving Date]="","",IF(AND(Table1[Leaving Date]&gt;42460,Table1[Leaving Date]&lt;42826),IF(Table1[Date of Last Assessment]="",Table1[Managing Money and Personal Administration],Table1[Managing Money and Personal Administration2]),""))</f>
        <v/>
      </c>
      <c r="GH5" s="74" t="str">
        <f>IF(Table1[Leaving Date]="","",IF(AND(Table1[Leaving Date]&gt;42460,Table1[Leaving Date]&lt;42826),IF(Table1[Date of Last Assessment]="",Table1[Social Networks and Relationships],Table1[Social Networks and Relationships2]),""))</f>
        <v/>
      </c>
      <c r="GI5" s="74" t="str">
        <f>IF(Table1[Leaving Date]="","",IF(AND(Table1[Leaving Date]&gt;42460,Table1[Leaving Date]&lt;42826),IF(Table1[Date of Last Assessment]="",Table1[Drug and Alcohol Misuse],Table1[Drug and Alcohol Misuse2]),""))</f>
        <v/>
      </c>
      <c r="GJ5" s="74" t="str">
        <f>IF(Table1[Leaving Date]="","",IF(AND(Table1[Leaving Date]&gt;42460,Table1[Leaving Date]&lt;42826),IF(Table1[Date of Last Assessment]="",Table1[Physical Health],Table1[Physical Health2]),""))</f>
        <v/>
      </c>
      <c r="GK5" s="74" t="str">
        <f>IF(Table1[Leaving Date]="","",IF(AND(Table1[Leaving Date]&gt;42460,Table1[Leaving Date]&lt;42826),IF(Table1[Date of Last Assessment]="",Table1[Emotional and Mental Health],Table1[Emotional and Mental Health2]),""))</f>
        <v/>
      </c>
      <c r="GL5" s="74" t="str">
        <f>IF(Table1[Leaving Date]="","",IF(AND(Table1[Leaving Date]&gt;42460,Table1[Leaving Date]&lt;42826),IF(Table1[Date of Last Assessment]="",Table1[Meaningful Use of Time],Table1[Meaningful Use of Time2]),""))</f>
        <v/>
      </c>
      <c r="GM5" s="74" t="str">
        <f>IF(Table1[Leaving Date]="","",IF(AND(Table1[Leaving Date]&gt;42460,Table1[Leaving Date]&lt;42826),IF(Table1[Date of Last Assessment]="",Table1[Managing Tenancy and Accommodation],Table1[Managing Tenancy and Accommodation2]),""))</f>
        <v/>
      </c>
      <c r="GN5" s="74" t="str">
        <f>IF(Table1[Leaving Date]="","",IF(AND(Table1[Leaving Date]&gt;42460,Table1[Leaving Date]&lt;42826),IF(Table1[Date of Last Assessment]="",Table1[Offending],Table1[Offending2]),""))</f>
        <v/>
      </c>
    </row>
    <row r="6" spans="2:196" ht="20.100000000000001" customHeight="1" x14ac:dyDescent="0.2">
      <c r="B6" s="64">
        <f>+'Service Data'!$C$5:$C$5</f>
        <v>0</v>
      </c>
      <c r="C6" s="64"/>
      <c r="D6" s="64"/>
      <c r="E6" s="64"/>
      <c r="F6" s="64"/>
      <c r="G6" s="64"/>
      <c r="H6" s="87"/>
      <c r="I6" s="99" t="str">
        <f ca="1">IF(Table1[[#This Row],[Date of Birth]]="","",SUM(TODAY()-Table1[[#This Row],[Date of Birth]])/365)</f>
        <v/>
      </c>
      <c r="J6" s="88"/>
      <c r="K6" s="88"/>
      <c r="L6" s="64"/>
      <c r="M6" s="77"/>
      <c r="N6" s="64"/>
      <c r="O6" s="64"/>
      <c r="P6" s="72"/>
      <c r="Q6" s="64"/>
      <c r="R6" s="77"/>
      <c r="S6" s="77"/>
      <c r="T6" s="68"/>
      <c r="U6" s="68"/>
      <c r="V6" s="67"/>
      <c r="W6" s="67"/>
      <c r="X6" s="67"/>
      <c r="Y6" s="67"/>
      <c r="Z6" s="67"/>
      <c r="AA6" s="67"/>
      <c r="AB6" s="67"/>
      <c r="AC6" s="67"/>
      <c r="AD6" s="67"/>
      <c r="AE6" s="67"/>
      <c r="AF6" s="67"/>
      <c r="AG6" s="67"/>
      <c r="AH6" s="67"/>
      <c r="AI6" s="67"/>
      <c r="AJ6" s="67"/>
      <c r="AK6" s="67"/>
      <c r="AL6" s="67"/>
      <c r="AM6" s="67"/>
      <c r="AN6" s="77"/>
      <c r="AO6" s="76"/>
      <c r="AP6" s="77"/>
      <c r="AQ6" s="76"/>
      <c r="AR6" s="76"/>
      <c r="AS6" s="76"/>
      <c r="AT6" s="76"/>
      <c r="AU6" s="76"/>
      <c r="AV6" s="77"/>
      <c r="AW6" s="76"/>
      <c r="AX6" s="77"/>
      <c r="AY6" s="76"/>
      <c r="AZ6" s="76"/>
      <c r="BA6" s="76"/>
      <c r="BB6" s="76"/>
      <c r="BC6" s="76"/>
      <c r="BD6" s="77"/>
      <c r="BE6" s="76"/>
      <c r="BF6" s="77"/>
      <c r="BG6" s="76"/>
      <c r="BH6" s="76"/>
      <c r="BI6" s="76"/>
      <c r="BJ6" s="76"/>
      <c r="BK6" s="76"/>
      <c r="BL6" s="77"/>
      <c r="BM6" s="76"/>
      <c r="BN6" s="77"/>
      <c r="BO6" s="76"/>
      <c r="BP6" s="76"/>
      <c r="BQ6" s="76"/>
      <c r="BR6" s="76"/>
      <c r="BS6" s="76"/>
      <c r="BT6" s="77"/>
      <c r="BU6" s="76"/>
      <c r="BV6" s="77"/>
      <c r="BW6" s="76"/>
      <c r="BX6" s="76"/>
      <c r="BY6" s="76"/>
      <c r="BZ6" s="76"/>
      <c r="CA6" s="76"/>
      <c r="CB6" s="77"/>
      <c r="CC6" s="76"/>
      <c r="CD6" s="77"/>
      <c r="CE6" s="76"/>
      <c r="CF6" s="76"/>
      <c r="CG6" s="76"/>
      <c r="CH6" s="76"/>
      <c r="CI6" s="76"/>
      <c r="CJ6" s="77"/>
      <c r="CK6" s="76"/>
      <c r="CL6" s="77"/>
      <c r="CM6" s="76"/>
      <c r="CN6" s="76"/>
      <c r="CO6" s="76"/>
      <c r="CP6" s="76"/>
      <c r="CQ6" s="76"/>
      <c r="CR6" s="78" t="str">
        <f t="shared" si="15"/>
        <v/>
      </c>
      <c r="CS6" s="79" t="str">
        <f t="shared" si="16"/>
        <v/>
      </c>
      <c r="CT6" s="79" t="str">
        <f t="shared" si="17"/>
        <v/>
      </c>
      <c r="CU6" s="79" t="str">
        <f t="shared" si="18"/>
        <v/>
      </c>
      <c r="CV6" s="79" t="str">
        <f t="shared" si="19"/>
        <v/>
      </c>
      <c r="CW6" s="79" t="str">
        <f t="shared" si="20"/>
        <v/>
      </c>
      <c r="CX6" s="79" t="str">
        <f t="shared" si="21"/>
        <v/>
      </c>
      <c r="CY6" s="79" t="str">
        <f t="shared" si="22"/>
        <v/>
      </c>
      <c r="CZ6" s="79" t="str">
        <f t="shared" si="23"/>
        <v/>
      </c>
      <c r="DA6" s="79" t="str">
        <f t="shared" si="24"/>
        <v/>
      </c>
      <c r="DB6" s="79" t="str">
        <f t="shared" si="25"/>
        <v/>
      </c>
      <c r="DC6" s="79" t="str">
        <f t="shared" si="26"/>
        <v/>
      </c>
      <c r="DD6" s="79" t="str">
        <f t="shared" si="27"/>
        <v/>
      </c>
      <c r="DE6" s="79" t="str">
        <f t="shared" si="28"/>
        <v/>
      </c>
      <c r="DF6" s="79" t="str">
        <f t="shared" si="29"/>
        <v/>
      </c>
      <c r="DG6" s="79" t="str">
        <f t="shared" si="30"/>
        <v/>
      </c>
      <c r="DH6" s="76"/>
      <c r="DI6" s="78"/>
      <c r="DJ6" s="76"/>
      <c r="DK6" s="77"/>
      <c r="DL6" s="77"/>
      <c r="DM6" s="77"/>
      <c r="DN6" s="80"/>
      <c r="DO6" s="80"/>
      <c r="DP6" s="3" t="str">
        <f>IF(Table1[Start Date]="","",IF(Table1[Start Date]&gt;42185,"",IF(AND(Table1[Leaving Date]&gt;1,Table1[Leaving Date]&lt;42095),"",1)))</f>
        <v/>
      </c>
      <c r="DQ6" s="3" t="str">
        <f>IF(Table1[Start Date]="","",IF(Table1[Start Date]&gt;42277,"",IF(AND(Table1[Leaving Date]&gt;1,Table1[Leaving Date]&lt;42186),"",1)))</f>
        <v/>
      </c>
      <c r="DR6" s="3" t="str">
        <f>IF(Table1[Start Date]="","",IF(Table1[Start Date]&gt;42369,"",IF(AND(Table1[Leaving Date]&gt;1,Table1[Leaving Date]&lt;42278),"",1)))</f>
        <v/>
      </c>
      <c r="DS6" s="3" t="str">
        <f>IF(Table1[Start Date]="","",IF(Table1[Start Date]&gt;42460,"",IF(AND(Table1[Leaving Date]&gt;1,Table1[Leaving Date]&lt;42370),"",1)))</f>
        <v/>
      </c>
      <c r="DT6" s="3" t="str">
        <f>IF(Table1[Start Date]="","",IF(Table1[Start Date]&gt;42551,"",IF(AND(Table1[Leaving Date]&gt;1,Table1[Leaving Date]&lt;42461),"",1)))</f>
        <v/>
      </c>
      <c r="DU6" s="3" t="str">
        <f>IF(Table1[Start Date]="","",IF(Table1[Start Date]&gt;42643,"",IF(AND(Table1[Leaving Date]&gt;1,Table1[Leaving Date]&lt;42552),"",1)))</f>
        <v/>
      </c>
      <c r="DV6" s="3" t="str">
        <f>IF(Table1[Start Date]="","",IF(Table1[Start Date]&gt;42735,"",IF(AND(Table1[Leaving Date]&gt;1,Table1[Leaving Date]&lt;42644),"",1)))</f>
        <v/>
      </c>
      <c r="DW6" s="3" t="str">
        <f>IF(Table1[Start Date]="","",IF(Table1[Start Date]&gt;42825,"",IF(AND(Table1[Leaving Date]&gt;1,Table1[Leaving Date]&lt;42736),"",1)))</f>
        <v/>
      </c>
      <c r="DX6" s="7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6" s="74" t="e">
        <f>VLOOKUP(Table1[Referral Source],Lists!$G$2:$H$20,2,FALSE)</f>
        <v>#N/A</v>
      </c>
      <c r="DZ6" s="89" t="e">
        <f>SUM(Table1[Data Referral Quarter]+Table1[Data Referral Source])</f>
        <v>#N/A</v>
      </c>
      <c r="EA6" s="74" t="b">
        <f>IF(Table1[Referral Decision]="Accepted",100,IF(Table1[Referral Decision]="Rejected by Provider",200,IF(Table1[Referral Decision]="Rejected by Applicant",300)))</f>
        <v>0</v>
      </c>
      <c r="EB6" s="74">
        <f>SUM(Table1[Data Referral Quarter]+Table1[Data Referral Decision])</f>
        <v>0</v>
      </c>
      <c r="EC6" s="74" t="b">
        <f>IF(Table1[Start Date]&gt;42735,8000,IF(Table1[Start Date]&gt;42643,7000,IF(Table1[Start Date]&gt;42551,6000,IF(Table1[Start Date]&gt;42460,5000,IF(Table1[Start Date]&gt;42369,4000,IF(Table1[Start Date]&gt;42277,3000,IF(Table1[Start Date]&gt;42185,2000,IF(Table1[Start Date]&gt;42094,1000))))))))</f>
        <v>0</v>
      </c>
      <c r="ED6" s="74" t="str">
        <f>IF(Table1[Start Date]="","",IF(Table1[Current Local Authority]="Swindon",1,"2"))</f>
        <v/>
      </c>
      <c r="EE6" s="85" t="e">
        <f>SUM(Table1[Data Start Date]+Table1[Data Local Authority])</f>
        <v>#VALUE!</v>
      </c>
      <c r="EF6" s="74">
        <f>IF(Table1[Registered with GP]="Yes",1,0)</f>
        <v>0</v>
      </c>
      <c r="EG6" s="74">
        <f>SUM(Table1[Data Start Date]+Table1[Data GP Start])</f>
        <v>0</v>
      </c>
      <c r="EH6" s="74" t="str">
        <f>IF(Table1[EET]="NEET",1,IF(Table1[EET]="Education",2,IF(Table1[EET]="Employment",2,IF(Table1[EET]="Training",2,IF(Table1[EET]="Retired",3,"")))))</f>
        <v/>
      </c>
      <c r="EI6" s="74" t="e">
        <f>Table1[Data Start Date]+Table1[Data EET Start]</f>
        <v>#VALUE!</v>
      </c>
      <c r="EJ6" s="74" t="b">
        <f>IF(Table1[Leaving Date]&gt;42735,8000,IF(Table1[Leaving Date]&gt;42643,7000,IF(Table1[Leaving Date]&gt;42551,6000,IF(Table1[Leaving Date]&gt;42460,5000,IF(Table1[Leaving Date]&gt;42369,4000,IF(Table1[Leaving Date]&gt;42277,3000,IF(Table1[Leaving Date]&gt;42185,2000,IF(Table1[Leaving Date]&gt;42094,1000))))))))</f>
        <v>0</v>
      </c>
      <c r="EK6" s="74" t="e">
        <f>VLOOKUP(Table1[Reason for Leaving],Lists!$T$2:$U$15,2,FALSE)</f>
        <v>#N/A</v>
      </c>
      <c r="EL6" s="74" t="e">
        <f>SUM(Table1[Data Leavers Date]+Table1[Data Move On])</f>
        <v>#N/A</v>
      </c>
      <c r="EM6" s="74" t="b">
        <f>IF(Table1[Registered with GP2]="Yes",1,IF(Table1[Registered with GP2]="No",0,IF(Table1[Registered with GP]="Yes",1,IF(Table1[Registered with GP]="No",0))))</f>
        <v>0</v>
      </c>
      <c r="EN6" s="74">
        <f>SUM(Table1[Data Leavers Date]+Table1[Data GP End])</f>
        <v>0</v>
      </c>
      <c r="EO6" s="74" t="str">
        <f>IF(Table1[EET2]="NEET",1,IF(Table1[EET2]="Employment",2,IF(Table1[EET2]="Education",2,IF(Table1[EET2]="Training",2,IF(Table1[EET2]="Retired",3,IF(Table1[EET]="NEET",1,IF(Table1[EET]="Employment",2,IF(Table1[EET]="Education",2,IF(Table1[EET]="Training",2,IF(Table1[EET]="Retired",3,""))))))))))</f>
        <v/>
      </c>
      <c r="EP6" s="74" t="e">
        <f>+Table1[[#This Row],[Data Leavers Date]]+Table1[[#This Row],[Data EET End]]</f>
        <v>#VALUE!</v>
      </c>
      <c r="EQ6" s="74">
        <f>IF(Table1[Exit Form Received]="Yes",1,0)</f>
        <v>0</v>
      </c>
      <c r="ER6" s="74">
        <f>+Table1[[#This Row],[Data Leavers Date]]+Table1[[#This Row],[Data Exit Forms]]</f>
        <v>0</v>
      </c>
      <c r="ES6" s="74" t="str">
        <f>IF(Table1[Data Leavers Date]=1000,SUM(Table1[Leaving Date]-Table1[Start Date]),"")</f>
        <v/>
      </c>
      <c r="ET6" s="74" t="str">
        <f>IF(Table1[Data Leavers Date]=2000,SUM(Table1[Leaving Date]-Table1[Start Date]),"")</f>
        <v/>
      </c>
      <c r="EU6" s="74" t="str">
        <f>IF(Table1[Data Leavers Date]=3000,SUM(Table1[Leaving Date]-Table1[Start Date]),"")</f>
        <v/>
      </c>
      <c r="EV6" s="74" t="str">
        <f>IF(Table1[Data Leavers Date]=4000,SUM(Table1[Leaving Date]-Table1[Start Date]),"")</f>
        <v/>
      </c>
      <c r="EW6" s="74" t="str">
        <f>IF(Table1[Data Leavers Date]=5000,SUM(Table1[Leaving Date]-Table1[Start Date]),"")</f>
        <v/>
      </c>
      <c r="EX6" s="74" t="str">
        <f>IF(Table1[Data Leavers Date]=6000,SUM(Table1[Leaving Date]-Table1[Start Date]),"")</f>
        <v/>
      </c>
      <c r="EY6" s="74" t="str">
        <f>IF(Table1[Data Leavers Date]=7000,SUM(Table1[Leaving Date]-Table1[Start Date]),"")</f>
        <v/>
      </c>
      <c r="EZ6" s="74" t="str">
        <f>IF(Table1[Data Leavers Date]=8000,SUM(Table1[Leaving Date]-Table1[Start Date]),"")</f>
        <v/>
      </c>
      <c r="FA6" s="74" t="str">
        <f>IF(Table1[Date of Initial Assessment]="","",IF(AND(Table1[Start Date]&gt;42094,Table1[Start Date]&lt;42461),Table1[Motivation and Taking Responsibility],""))</f>
        <v/>
      </c>
      <c r="FB6" s="74" t="str">
        <f>IF(Table1[Date of Initial Assessment]="","",IF(AND(Table1[Start Date]&gt;42094,Table1[Start Date]&lt;42461),Table1[Self-Care and Living Skills],""))</f>
        <v/>
      </c>
      <c r="FC6" s="74" t="str">
        <f>IF(Table1[Date of Initial Assessment]="","",IF(AND(Table1[Start Date]&gt;42094,Table1[Start Date]&lt;42461),Table1[Managing Money and Personal Administration],""))</f>
        <v/>
      </c>
      <c r="FD6" s="74" t="str">
        <f>IF(Table1[Date of Initial Assessment]="","",IF(AND(Table1[Start Date]&gt;42094,Table1[Start Date]&lt;42461),Table1[Social Networks and Relationships],""))</f>
        <v/>
      </c>
      <c r="FE6" s="74" t="str">
        <f>IF(Table1[Date of Initial Assessment]="","",IF(AND(Table1[Start Date]&gt;42094,Table1[Start Date]&lt;42461),Table1[Drug and Alcohol Misuse],""))</f>
        <v/>
      </c>
      <c r="FF6" s="74" t="str">
        <f>IF(Table1[Date of Initial Assessment]="","",IF(AND(Table1[Start Date]&gt;42094,Table1[Start Date]&lt;42461),Table1[Physical Health],""))</f>
        <v/>
      </c>
      <c r="FG6" s="74" t="str">
        <f>IF(Table1[Date of Initial Assessment]="","",IF(AND(Table1[Start Date]&gt;42094,Table1[Start Date]&lt;42461),Table1[Emotional and Mental Health],""))</f>
        <v/>
      </c>
      <c r="FH6" s="74" t="str">
        <f>IF(Table1[Date of Initial Assessment]="","",IF(AND(Table1[Start Date]&gt;42094,Table1[Start Date]&lt;42461),Table1[Meaningful Use of Time],""))</f>
        <v/>
      </c>
      <c r="FI6" s="74" t="str">
        <f>IF(Table1[Date of Initial Assessment]="","",IF(AND(Table1[Start Date]&gt;42094,Table1[Start Date]&lt;42461),Table1[Managing Tenancy and Accommodation],""))</f>
        <v/>
      </c>
      <c r="FJ6" s="74" t="str">
        <f>IF(Table1[Date of Initial Assessment]="","",IF(AND(Table1[Start Date]&gt;42094,Table1[Start Date]&lt;42461),Table1[Offending],""))</f>
        <v/>
      </c>
      <c r="FK6" s="74" t="str">
        <f>IF(Table1[Leaving Date]="","",IF(Table1[Date of Initial Assessment]="","",IF(AND(Table1[Leaving Date]&gt;42094,Table1[Leaving Date]&lt;42461),IF(Table1[Date of Last Assessment]="",Table1[Motivation and Taking Responsibility],Table1[Motivation and Taking Responsibility2]),"")))</f>
        <v/>
      </c>
      <c r="FL6" s="74" t="str">
        <f>IF(Table1[Leaving Date]="","",IF(Table1[Date of Initial Assessment]="","",IF(AND(Table1[Leaving Date]&gt;42094,Table1[Leaving Date]&lt;42461),IF(Table1[Date of Last Assessment]="",Table1[Self-Care and Living Skills],Table1[Self-Care and Living Skills2]),"")))</f>
        <v/>
      </c>
      <c r="FM6" s="74" t="str">
        <f>IF(Table1[Leaving Date]="","",IF(Table1[Date of Initial Assessment]="","",IF(AND(Table1[Leaving Date]&gt;42094,Table1[Leaving Date]&lt;42461),IF(Table1[Date of Last Assessment]="",Table1[Managing Money and Personal Administration],Table1[Managing Money and Personal Administration2]),"")))</f>
        <v/>
      </c>
      <c r="FN6" s="74" t="str">
        <f>IF(Table1[Leaving Date]="","",IF(Table1[Date of Initial Assessment]="","",IF(AND(Table1[Leaving Date]&gt;42094,Table1[Leaving Date]&lt;42461),IF(Table1[Date of Last Assessment]="",Table1[Social Networks and Relationships],Table1[Social Networks and Relationships2]),"")))</f>
        <v/>
      </c>
      <c r="FO6" s="74" t="str">
        <f>IF(Table1[Leaving Date]="","",IF(Table1[Date of Initial Assessment]="","",IF(AND(Table1[Leaving Date]&gt;42094,Table1[Leaving Date]&lt;42461),IF(Table1[Date of Last Assessment]="",Table1[Drug and Alcohol Misuse],Table1[Drug and Alcohol Misuse2]),"")))</f>
        <v/>
      </c>
      <c r="FP6" s="74" t="str">
        <f>IF(Table1[Leaving Date]="","",IF(Table1[Date of Initial Assessment]="","",IF(AND(Table1[Leaving Date]&gt;42094,Table1[Leaving Date]&lt;42461),IF(Table1[Date of Last Assessment]="",Table1[Physical Health],Table1[Physical Health2]),"")))</f>
        <v/>
      </c>
      <c r="FQ6" s="74" t="str">
        <f>IF(Table1[Leaving Date]="","",IF(Table1[Date of Initial Assessment]="","",IF(AND(Table1[Leaving Date]&gt;42094,Table1[Leaving Date]&lt;42461),IF(Table1[Date of Last Assessment]="",Table1[Emotional and Mental Health],Table1[Emotional and Mental Health2]),"")))</f>
        <v/>
      </c>
      <c r="FR6" s="74" t="str">
        <f>IF(Table1[Leaving Date]="","",IF(Table1[Date of Initial Assessment]="","",IF(AND(Table1[Leaving Date]&gt;42094,Table1[Leaving Date]&lt;42461),IF(Table1[Date of Last Assessment]="",Table1[Meaningful Use of Time],Table1[Meaningful Use of Time2]),"")))</f>
        <v/>
      </c>
      <c r="FS6" s="74" t="str">
        <f>IF(Table1[Leaving Date]="","",IF(Table1[Date of Initial Assessment]="","",IF(AND(Table1[Leaving Date]&gt;42094,Table1[Leaving Date]&lt;42461),IF(Table1[Date of Last Assessment]="",Table1[Managing Tenancy and Accommodation],Table1[Managing Tenancy and Accommodation2]),"")))</f>
        <v/>
      </c>
      <c r="FT6" s="74" t="str">
        <f>IF(Table1[Leaving Date]="","",IF(Table1[Date of Initial Assessment]="","",IF(AND(Table1[Leaving Date]&gt;42094,Table1[Leaving Date]&lt;42461),IF(Table1[Date of Last Assessment]="",Table1[Offending],Table1[Offending2]),"")))</f>
        <v/>
      </c>
      <c r="FU6" s="74" t="str">
        <f>IF(Table1[Date of Initial Assessment]="","",IF(AND(Table1[Start Date]&gt;42460,Table1[Start Date]&lt;42826),Table1[Motivation and Taking Responsibility],""))</f>
        <v/>
      </c>
      <c r="FV6" s="74" t="str">
        <f>IF(Table1[Date of Initial Assessment]="","",IF(AND(Table1[Start Date]&gt;42460,Table1[Start Date]&lt;42826),Table1[Self-Care and Living Skills],""))</f>
        <v/>
      </c>
      <c r="FW6" s="74" t="str">
        <f>IF(Table1[Date of Initial Assessment]="","",IF(AND(Table1[Start Date]&gt;42460,Table1[Start Date]&lt;42826),Table1[Managing Money and Personal Administration],""))</f>
        <v/>
      </c>
      <c r="FX6" s="74" t="str">
        <f>IF(Table1[Date of Initial Assessment]="","",IF(AND(Table1[Start Date]&gt;42460,Table1[Start Date]&lt;42826),Table1[Social Networks and Relationships],""))</f>
        <v/>
      </c>
      <c r="FY6" s="74" t="str">
        <f>IF(Table1[Date of Initial Assessment]="","",IF(AND(Table1[Start Date]&gt;42460,Table1[Start Date]&lt;42826),Table1[Drug and Alcohol Misuse],""))</f>
        <v/>
      </c>
      <c r="FZ6" s="74" t="str">
        <f>IF(Table1[Date of Initial Assessment]="","",IF(AND(Table1[Start Date]&gt;42460,Table1[Start Date]&lt;42826),Table1[Physical Health],""))</f>
        <v/>
      </c>
      <c r="GA6" s="74" t="str">
        <f>IF(Table1[Date of Initial Assessment]="","",IF(AND(Table1[Start Date]&gt;42460,Table1[Start Date]&lt;42826),Table1[Emotional and Mental Health],""))</f>
        <v/>
      </c>
      <c r="GB6" s="74" t="str">
        <f>IF(Table1[Date of Initial Assessment]="","",IF(AND(Table1[Start Date]&gt;42460,Table1[Start Date]&lt;42826),Table1[Meaningful Use of Time],""))</f>
        <v/>
      </c>
      <c r="GC6" s="74" t="str">
        <f>IF(Table1[Date of Initial Assessment]="","",IF(AND(Table1[Start Date]&gt;42460,Table1[Start Date]&lt;42826),Table1[Managing Tenancy and Accommodation],""))</f>
        <v/>
      </c>
      <c r="GD6" s="74" t="str">
        <f>IF(Table1[Date of Initial Assessment]="","",IF(AND(Table1[Start Date]&gt;42460,Table1[Start Date]&lt;42826),Table1[Offending],""))</f>
        <v/>
      </c>
      <c r="GE6" s="74" t="str">
        <f>IF(Table1[Leaving Date]="","",IF(AND(Table1[Leaving Date]&gt;42460,Table1[Leaving Date]&lt;42826),IF(Table1[Date of Last Assessment]="",Table1[Motivation and Taking Responsibility],Table1[Motivation and Taking Responsibility2]),""))</f>
        <v/>
      </c>
      <c r="GF6" s="74" t="str">
        <f>IF(Table1[Leaving Date]="","",IF(AND(Table1[Leaving Date]&gt;42460,Table1[Leaving Date]&lt;42826),IF(Table1[Date of Last Assessment]="",Table1[Self-Care and Living Skills],Table1[Self-Care and Living Skills2]),""))</f>
        <v/>
      </c>
      <c r="GG6" s="74" t="str">
        <f>IF(Table1[Leaving Date]="","",IF(AND(Table1[Leaving Date]&gt;42460,Table1[Leaving Date]&lt;42826),IF(Table1[Date of Last Assessment]="",Table1[Managing Money and Personal Administration],Table1[Managing Money and Personal Administration2]),""))</f>
        <v/>
      </c>
      <c r="GH6" s="74" t="str">
        <f>IF(Table1[Leaving Date]="","",IF(AND(Table1[Leaving Date]&gt;42460,Table1[Leaving Date]&lt;42826),IF(Table1[Date of Last Assessment]="",Table1[Social Networks and Relationships],Table1[Social Networks and Relationships2]),""))</f>
        <v/>
      </c>
      <c r="GI6" s="74" t="str">
        <f>IF(Table1[Leaving Date]="","",IF(AND(Table1[Leaving Date]&gt;42460,Table1[Leaving Date]&lt;42826),IF(Table1[Date of Last Assessment]="",Table1[Drug and Alcohol Misuse],Table1[Drug and Alcohol Misuse2]),""))</f>
        <v/>
      </c>
      <c r="GJ6" s="74" t="str">
        <f>IF(Table1[Leaving Date]="","",IF(AND(Table1[Leaving Date]&gt;42460,Table1[Leaving Date]&lt;42826),IF(Table1[Date of Last Assessment]="",Table1[Physical Health],Table1[Physical Health2]),""))</f>
        <v/>
      </c>
      <c r="GK6" s="74" t="str">
        <f>IF(Table1[Leaving Date]="","",IF(AND(Table1[Leaving Date]&gt;42460,Table1[Leaving Date]&lt;42826),IF(Table1[Date of Last Assessment]="",Table1[Emotional and Mental Health],Table1[Emotional and Mental Health2]),""))</f>
        <v/>
      </c>
      <c r="GL6" s="74" t="str">
        <f>IF(Table1[Leaving Date]="","",IF(AND(Table1[Leaving Date]&gt;42460,Table1[Leaving Date]&lt;42826),IF(Table1[Date of Last Assessment]="",Table1[Meaningful Use of Time],Table1[Meaningful Use of Time2]),""))</f>
        <v/>
      </c>
      <c r="GM6" s="74" t="str">
        <f>IF(Table1[Leaving Date]="","",IF(AND(Table1[Leaving Date]&gt;42460,Table1[Leaving Date]&lt;42826),IF(Table1[Date of Last Assessment]="",Table1[Managing Tenancy and Accommodation],Table1[Managing Tenancy and Accommodation2]),""))</f>
        <v/>
      </c>
      <c r="GN6" s="74" t="str">
        <f>IF(Table1[Leaving Date]="","",IF(AND(Table1[Leaving Date]&gt;42460,Table1[Leaving Date]&lt;42826),IF(Table1[Date of Last Assessment]="",Table1[Offending],Table1[Offending2]),""))</f>
        <v/>
      </c>
    </row>
    <row r="7" spans="2:196" ht="20.100000000000001" customHeight="1" x14ac:dyDescent="0.2">
      <c r="B7" s="86">
        <f>+'Service Data'!$C$5:$C$5</f>
        <v>0</v>
      </c>
      <c r="C7" s="86"/>
      <c r="D7" s="64"/>
      <c r="E7" s="64"/>
      <c r="F7" s="64"/>
      <c r="G7" s="64"/>
      <c r="H7" s="87"/>
      <c r="I7" s="99" t="str">
        <f ca="1">IF(Table1[[#This Row],[Date of Birth]]="","",SUM(TODAY()-Table1[[#This Row],[Date of Birth]])/365)</f>
        <v/>
      </c>
      <c r="J7" s="88"/>
      <c r="K7" s="88"/>
      <c r="L7" s="64"/>
      <c r="M7" s="77"/>
      <c r="N7" s="64"/>
      <c r="O7" s="64"/>
      <c r="P7" s="72"/>
      <c r="Q7" s="64"/>
      <c r="R7" s="77"/>
      <c r="S7" s="77"/>
      <c r="T7" s="68"/>
      <c r="U7" s="68"/>
      <c r="V7" s="67"/>
      <c r="W7" s="67"/>
      <c r="X7" s="67"/>
      <c r="Y7" s="67"/>
      <c r="Z7" s="67"/>
      <c r="AA7" s="67"/>
      <c r="AB7" s="67"/>
      <c r="AC7" s="67"/>
      <c r="AD7" s="67"/>
      <c r="AE7" s="67"/>
      <c r="AF7" s="67"/>
      <c r="AG7" s="67"/>
      <c r="AH7" s="67"/>
      <c r="AI7" s="67"/>
      <c r="AJ7" s="67"/>
      <c r="AK7" s="67"/>
      <c r="AL7" s="67"/>
      <c r="AM7" s="67"/>
      <c r="AN7" s="77"/>
      <c r="AO7" s="76"/>
      <c r="AP7" s="77"/>
      <c r="AQ7" s="76"/>
      <c r="AR7" s="76"/>
      <c r="AS7" s="76"/>
      <c r="AT7" s="76"/>
      <c r="AU7" s="76"/>
      <c r="AV7" s="77"/>
      <c r="AW7" s="76"/>
      <c r="AX7" s="77"/>
      <c r="AY7" s="76"/>
      <c r="AZ7" s="76"/>
      <c r="BA7" s="76"/>
      <c r="BB7" s="76"/>
      <c r="BC7" s="76"/>
      <c r="BD7" s="77"/>
      <c r="BE7" s="76"/>
      <c r="BF7" s="77"/>
      <c r="BG7" s="76"/>
      <c r="BH7" s="76"/>
      <c r="BI7" s="76"/>
      <c r="BJ7" s="76"/>
      <c r="BK7" s="76"/>
      <c r="BL7" s="77"/>
      <c r="BM7" s="76"/>
      <c r="BN7" s="77"/>
      <c r="BO7" s="76"/>
      <c r="BP7" s="76"/>
      <c r="BQ7" s="76"/>
      <c r="BR7" s="76"/>
      <c r="BS7" s="76"/>
      <c r="BT7" s="77"/>
      <c r="BU7" s="76"/>
      <c r="BV7" s="77"/>
      <c r="BW7" s="76"/>
      <c r="BX7" s="76"/>
      <c r="BY7" s="76"/>
      <c r="BZ7" s="76"/>
      <c r="CA7" s="76"/>
      <c r="CB7" s="77"/>
      <c r="CC7" s="76"/>
      <c r="CD7" s="77"/>
      <c r="CE7" s="76"/>
      <c r="CF7" s="76"/>
      <c r="CG7" s="76"/>
      <c r="CH7" s="76"/>
      <c r="CI7" s="76"/>
      <c r="CJ7" s="77"/>
      <c r="CK7" s="76"/>
      <c r="CL7" s="77"/>
      <c r="CM7" s="76"/>
      <c r="CN7" s="76"/>
      <c r="CO7" s="76"/>
      <c r="CP7" s="76"/>
      <c r="CQ7" s="76"/>
      <c r="CR7" s="78" t="str">
        <f t="shared" si="15"/>
        <v/>
      </c>
      <c r="CS7" s="79" t="str">
        <f t="shared" si="16"/>
        <v/>
      </c>
      <c r="CT7" s="79" t="str">
        <f t="shared" si="17"/>
        <v/>
      </c>
      <c r="CU7" s="79" t="str">
        <f t="shared" si="18"/>
        <v/>
      </c>
      <c r="CV7" s="79" t="str">
        <f t="shared" si="19"/>
        <v/>
      </c>
      <c r="CW7" s="79" t="str">
        <f t="shared" si="20"/>
        <v/>
      </c>
      <c r="CX7" s="79" t="str">
        <f t="shared" si="21"/>
        <v/>
      </c>
      <c r="CY7" s="79" t="str">
        <f t="shared" si="22"/>
        <v/>
      </c>
      <c r="CZ7" s="79" t="str">
        <f t="shared" si="23"/>
        <v/>
      </c>
      <c r="DA7" s="79" t="str">
        <f t="shared" si="24"/>
        <v/>
      </c>
      <c r="DB7" s="79" t="str">
        <f t="shared" si="25"/>
        <v/>
      </c>
      <c r="DC7" s="79" t="str">
        <f t="shared" si="26"/>
        <v/>
      </c>
      <c r="DD7" s="79" t="str">
        <f t="shared" si="27"/>
        <v/>
      </c>
      <c r="DE7" s="79" t="str">
        <f t="shared" si="28"/>
        <v/>
      </c>
      <c r="DF7" s="79" t="str">
        <f t="shared" si="29"/>
        <v/>
      </c>
      <c r="DG7" s="79" t="str">
        <f t="shared" si="30"/>
        <v/>
      </c>
      <c r="DH7" s="76"/>
      <c r="DI7" s="78"/>
      <c r="DJ7" s="76"/>
      <c r="DK7" s="77"/>
      <c r="DL7" s="77"/>
      <c r="DM7" s="77"/>
      <c r="DN7" s="80"/>
      <c r="DO7" s="80"/>
      <c r="DP7" s="3" t="str">
        <f>IF(Table1[Start Date]="","",IF(Table1[Start Date]&gt;42185,"",IF(AND(Table1[Leaving Date]&gt;1,Table1[Leaving Date]&lt;42095),"",1)))</f>
        <v/>
      </c>
      <c r="DQ7" s="3" t="str">
        <f>IF(Table1[Start Date]="","",IF(Table1[Start Date]&gt;42277,"",IF(AND(Table1[Leaving Date]&gt;1,Table1[Leaving Date]&lt;42186),"",1)))</f>
        <v/>
      </c>
      <c r="DR7" s="3" t="str">
        <f>IF(Table1[Start Date]="","",IF(Table1[Start Date]&gt;42369,"",IF(AND(Table1[Leaving Date]&gt;1,Table1[Leaving Date]&lt;42278),"",1)))</f>
        <v/>
      </c>
      <c r="DS7" s="3" t="str">
        <f>IF(Table1[Start Date]="","",IF(Table1[Start Date]&gt;42460,"",IF(AND(Table1[Leaving Date]&gt;1,Table1[Leaving Date]&lt;42370),"",1)))</f>
        <v/>
      </c>
      <c r="DT7" s="3" t="str">
        <f>IF(Table1[Start Date]="","",IF(Table1[Start Date]&gt;42551,"",IF(AND(Table1[Leaving Date]&gt;1,Table1[Leaving Date]&lt;42461),"",1)))</f>
        <v/>
      </c>
      <c r="DU7" s="3" t="str">
        <f>IF(Table1[Start Date]="","",IF(Table1[Start Date]&gt;42643,"",IF(AND(Table1[Leaving Date]&gt;1,Table1[Leaving Date]&lt;42552),"",1)))</f>
        <v/>
      </c>
      <c r="DV7" s="3" t="str">
        <f>IF(Table1[Start Date]="","",IF(Table1[Start Date]&gt;42735,"",IF(AND(Table1[Leaving Date]&gt;1,Table1[Leaving Date]&lt;42644),"",1)))</f>
        <v/>
      </c>
      <c r="DW7" s="3" t="str">
        <f>IF(Table1[Start Date]="","",IF(Table1[Start Date]&gt;42825,"",IF(AND(Table1[Leaving Date]&gt;1,Table1[Leaving Date]&lt;42736),"",1)))</f>
        <v/>
      </c>
      <c r="DX7" s="7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7" s="74" t="e">
        <f>VLOOKUP(Table1[Referral Source],Lists!$G$2:$H$20,2,FALSE)</f>
        <v>#N/A</v>
      </c>
      <c r="DZ7" s="89" t="e">
        <f>SUM(Table1[Data Referral Quarter]+Table1[Data Referral Source])</f>
        <v>#N/A</v>
      </c>
      <c r="EA7" s="74" t="b">
        <f>IF(Table1[Referral Decision]="Accepted",100,IF(Table1[Referral Decision]="Rejected by Provider",200,IF(Table1[Referral Decision]="Rejected by Applicant",300)))</f>
        <v>0</v>
      </c>
      <c r="EB7" s="74">
        <f>SUM(Table1[Data Referral Quarter]+Table1[Data Referral Decision])</f>
        <v>0</v>
      </c>
      <c r="EC7" s="74" t="b">
        <f>IF(Table1[Start Date]&gt;42735,8000,IF(Table1[Start Date]&gt;42643,7000,IF(Table1[Start Date]&gt;42551,6000,IF(Table1[Start Date]&gt;42460,5000,IF(Table1[Start Date]&gt;42369,4000,IF(Table1[Start Date]&gt;42277,3000,IF(Table1[Start Date]&gt;42185,2000,IF(Table1[Start Date]&gt;42094,1000))))))))</f>
        <v>0</v>
      </c>
      <c r="ED7" s="74" t="str">
        <f>IF(Table1[Start Date]="","",IF(Table1[Current Local Authority]="Swindon",1,"2"))</f>
        <v/>
      </c>
      <c r="EE7" s="74" t="e">
        <f>SUM(Table1[Data Start Date]+Table1[Data Local Authority])</f>
        <v>#VALUE!</v>
      </c>
      <c r="EF7" s="74">
        <f>IF(Table1[Registered with GP]="Yes",1,0)</f>
        <v>0</v>
      </c>
      <c r="EG7" s="74">
        <f>SUM(Table1[Data Start Date]+Table1[Data GP Start])</f>
        <v>0</v>
      </c>
      <c r="EH7" s="74" t="str">
        <f>IF(Table1[EET]="NEET",1,IF(Table1[EET]="Education",2,IF(Table1[EET]="Employment",2,IF(Table1[EET]="Training",2,IF(Table1[EET]="Retired",3,"")))))</f>
        <v/>
      </c>
      <c r="EI7" s="74" t="e">
        <f>Table1[Data Start Date]+Table1[Data EET Start]</f>
        <v>#VALUE!</v>
      </c>
      <c r="EJ7" s="74" t="b">
        <f>IF(Table1[Leaving Date]&gt;42735,8000,IF(Table1[Leaving Date]&gt;42643,7000,IF(Table1[Leaving Date]&gt;42551,6000,IF(Table1[Leaving Date]&gt;42460,5000,IF(Table1[Leaving Date]&gt;42369,4000,IF(Table1[Leaving Date]&gt;42277,3000,IF(Table1[Leaving Date]&gt;42185,2000,IF(Table1[Leaving Date]&gt;42094,1000))))))))</f>
        <v>0</v>
      </c>
      <c r="EK7" s="74" t="e">
        <f>VLOOKUP(Table1[Reason for Leaving],Lists!$T$2:$U$15,2,FALSE)</f>
        <v>#N/A</v>
      </c>
      <c r="EL7" s="74" t="e">
        <f>SUM(Table1[Data Leavers Date]+Table1[Data Move On])</f>
        <v>#N/A</v>
      </c>
      <c r="EM7" s="74" t="b">
        <f>IF(Table1[Registered with GP2]="Yes",1,IF(Table1[Registered with GP2]="No",0,IF(Table1[Registered with GP]="Yes",1,IF(Table1[Registered with GP]="No",0))))</f>
        <v>0</v>
      </c>
      <c r="EN7" s="74">
        <f>SUM(Table1[Data Leavers Date]+Table1[Data GP End])</f>
        <v>0</v>
      </c>
      <c r="EO7" s="74" t="str">
        <f>IF(Table1[EET2]="NEET",1,IF(Table1[EET2]="Employment",2,IF(Table1[EET2]="Education",2,IF(Table1[EET2]="Training",2,IF(Table1[EET2]="Retired",3,IF(Table1[EET]="NEET",1,IF(Table1[EET]="Employment",2,IF(Table1[EET]="Education",2,IF(Table1[EET]="Training",2,IF(Table1[EET]="Retired",3,""))))))))))</f>
        <v/>
      </c>
      <c r="EP7" s="74" t="e">
        <f>+Table1[[#This Row],[Data Leavers Date]]+Table1[[#This Row],[Data EET End]]</f>
        <v>#VALUE!</v>
      </c>
      <c r="EQ7" s="74">
        <f>IF(Table1[Exit Form Received]="Yes",1,0)</f>
        <v>0</v>
      </c>
      <c r="ER7" s="74">
        <f>+Table1[[#This Row],[Data Leavers Date]]+Table1[[#This Row],[Data Exit Forms]]</f>
        <v>0</v>
      </c>
      <c r="ES7" s="74" t="str">
        <f>IF(Table1[Data Leavers Date]=1000,SUM(Table1[Leaving Date]-Table1[Start Date]),"")</f>
        <v/>
      </c>
      <c r="ET7" s="74" t="str">
        <f>IF(Table1[Data Leavers Date]=2000,SUM(Table1[Leaving Date]-Table1[Start Date]),"")</f>
        <v/>
      </c>
      <c r="EU7" s="74" t="str">
        <f>IF(Table1[Data Leavers Date]=3000,SUM(Table1[Leaving Date]-Table1[Start Date]),"")</f>
        <v/>
      </c>
      <c r="EV7" s="74" t="str">
        <f>IF(Table1[Data Leavers Date]=4000,SUM(Table1[Leaving Date]-Table1[Start Date]),"")</f>
        <v/>
      </c>
      <c r="EW7" s="74" t="str">
        <f>IF(Table1[Data Leavers Date]=5000,SUM(Table1[Leaving Date]-Table1[Start Date]),"")</f>
        <v/>
      </c>
      <c r="EX7" s="74" t="str">
        <f>IF(Table1[Data Leavers Date]=6000,SUM(Table1[Leaving Date]-Table1[Start Date]),"")</f>
        <v/>
      </c>
      <c r="EY7" s="74" t="str">
        <f>IF(Table1[Data Leavers Date]=7000,SUM(Table1[Leaving Date]-Table1[Start Date]),"")</f>
        <v/>
      </c>
      <c r="EZ7" s="74" t="str">
        <f>IF(Table1[Data Leavers Date]=8000,SUM(Table1[Leaving Date]-Table1[Start Date]),"")</f>
        <v/>
      </c>
      <c r="FA7" s="74" t="str">
        <f>IF(Table1[Date of Initial Assessment]="","",IF(AND(Table1[Start Date]&gt;42094,Table1[Start Date]&lt;42461),Table1[Motivation and Taking Responsibility],""))</f>
        <v/>
      </c>
      <c r="FB7" s="74" t="str">
        <f>IF(Table1[Date of Initial Assessment]="","",IF(AND(Table1[Start Date]&gt;42094,Table1[Start Date]&lt;42461),Table1[Self-Care and Living Skills],""))</f>
        <v/>
      </c>
      <c r="FC7" s="74" t="str">
        <f>IF(Table1[Date of Initial Assessment]="","",IF(AND(Table1[Start Date]&gt;42094,Table1[Start Date]&lt;42461),Table1[Managing Money and Personal Administration],""))</f>
        <v/>
      </c>
      <c r="FD7" s="74" t="str">
        <f>IF(Table1[Date of Initial Assessment]="","",IF(AND(Table1[Start Date]&gt;42094,Table1[Start Date]&lt;42461),Table1[Social Networks and Relationships],""))</f>
        <v/>
      </c>
      <c r="FE7" s="74" t="str">
        <f>IF(Table1[Date of Initial Assessment]="","",IF(AND(Table1[Start Date]&gt;42094,Table1[Start Date]&lt;42461),Table1[Drug and Alcohol Misuse],""))</f>
        <v/>
      </c>
      <c r="FF7" s="74" t="str">
        <f>IF(Table1[Date of Initial Assessment]="","",IF(AND(Table1[Start Date]&gt;42094,Table1[Start Date]&lt;42461),Table1[Physical Health],""))</f>
        <v/>
      </c>
      <c r="FG7" s="74" t="str">
        <f>IF(Table1[Date of Initial Assessment]="","",IF(AND(Table1[Start Date]&gt;42094,Table1[Start Date]&lt;42461),Table1[Emotional and Mental Health],""))</f>
        <v/>
      </c>
      <c r="FH7" s="74" t="str">
        <f>IF(Table1[Date of Initial Assessment]="","",IF(AND(Table1[Start Date]&gt;42094,Table1[Start Date]&lt;42461),Table1[Meaningful Use of Time],""))</f>
        <v/>
      </c>
      <c r="FI7" s="74" t="str">
        <f>IF(Table1[Date of Initial Assessment]="","",IF(AND(Table1[Start Date]&gt;42094,Table1[Start Date]&lt;42461),Table1[Managing Tenancy and Accommodation],""))</f>
        <v/>
      </c>
      <c r="FJ7" s="74" t="str">
        <f>IF(Table1[Date of Initial Assessment]="","",IF(AND(Table1[Start Date]&gt;42094,Table1[Start Date]&lt;42461),Table1[Offending],""))</f>
        <v/>
      </c>
      <c r="FK7" s="74" t="str">
        <f>IF(Table1[Leaving Date]="","",IF(Table1[Date of Initial Assessment]="","",IF(AND(Table1[Leaving Date]&gt;42094,Table1[Leaving Date]&lt;42461),IF(Table1[Date of Last Assessment]="",Table1[Motivation and Taking Responsibility],Table1[Motivation and Taking Responsibility2]),"")))</f>
        <v/>
      </c>
      <c r="FL7" s="74" t="str">
        <f>IF(Table1[Leaving Date]="","",IF(Table1[Date of Initial Assessment]="","",IF(AND(Table1[Leaving Date]&gt;42094,Table1[Leaving Date]&lt;42461),IF(Table1[Date of Last Assessment]="",Table1[Self-Care and Living Skills],Table1[Self-Care and Living Skills2]),"")))</f>
        <v/>
      </c>
      <c r="FM7" s="74" t="str">
        <f>IF(Table1[Leaving Date]="","",IF(Table1[Date of Initial Assessment]="","",IF(AND(Table1[Leaving Date]&gt;42094,Table1[Leaving Date]&lt;42461),IF(Table1[Date of Last Assessment]="",Table1[Managing Money and Personal Administration],Table1[Managing Money and Personal Administration2]),"")))</f>
        <v/>
      </c>
      <c r="FN7" s="74" t="str">
        <f>IF(Table1[Leaving Date]="","",IF(Table1[Date of Initial Assessment]="","",IF(AND(Table1[Leaving Date]&gt;42094,Table1[Leaving Date]&lt;42461),IF(Table1[Date of Last Assessment]="",Table1[Social Networks and Relationships],Table1[Social Networks and Relationships2]),"")))</f>
        <v/>
      </c>
      <c r="FO7" s="74" t="str">
        <f>IF(Table1[Leaving Date]="","",IF(Table1[Date of Initial Assessment]="","",IF(AND(Table1[Leaving Date]&gt;42094,Table1[Leaving Date]&lt;42461),IF(Table1[Date of Last Assessment]="",Table1[Drug and Alcohol Misuse],Table1[Drug and Alcohol Misuse2]),"")))</f>
        <v/>
      </c>
      <c r="FP7" s="74" t="str">
        <f>IF(Table1[Leaving Date]="","",IF(Table1[Date of Initial Assessment]="","",IF(AND(Table1[Leaving Date]&gt;42094,Table1[Leaving Date]&lt;42461),IF(Table1[Date of Last Assessment]="",Table1[Physical Health],Table1[Physical Health2]),"")))</f>
        <v/>
      </c>
      <c r="FQ7" s="74" t="str">
        <f>IF(Table1[Leaving Date]="","",IF(Table1[Date of Initial Assessment]="","",IF(AND(Table1[Leaving Date]&gt;42094,Table1[Leaving Date]&lt;42461),IF(Table1[Date of Last Assessment]="",Table1[Emotional and Mental Health],Table1[Emotional and Mental Health2]),"")))</f>
        <v/>
      </c>
      <c r="FR7" s="74" t="str">
        <f>IF(Table1[Leaving Date]="","",IF(Table1[Date of Initial Assessment]="","",IF(AND(Table1[Leaving Date]&gt;42094,Table1[Leaving Date]&lt;42461),IF(Table1[Date of Last Assessment]="",Table1[Meaningful Use of Time],Table1[Meaningful Use of Time2]),"")))</f>
        <v/>
      </c>
      <c r="FS7" s="74" t="str">
        <f>IF(Table1[Leaving Date]="","",IF(Table1[Date of Initial Assessment]="","",IF(AND(Table1[Leaving Date]&gt;42094,Table1[Leaving Date]&lt;42461),IF(Table1[Date of Last Assessment]="",Table1[Managing Tenancy and Accommodation],Table1[Managing Tenancy and Accommodation2]),"")))</f>
        <v/>
      </c>
      <c r="FT7" s="74" t="str">
        <f>IF(Table1[Leaving Date]="","",IF(Table1[Date of Initial Assessment]="","",IF(AND(Table1[Leaving Date]&gt;42094,Table1[Leaving Date]&lt;42461),IF(Table1[Date of Last Assessment]="",Table1[Offending],Table1[Offending2]),"")))</f>
        <v/>
      </c>
      <c r="FU7" s="74" t="str">
        <f>IF(Table1[Date of Initial Assessment]="","",IF(AND(Table1[Start Date]&gt;42460,Table1[Start Date]&lt;42826),Table1[Motivation and Taking Responsibility],""))</f>
        <v/>
      </c>
      <c r="FV7" s="74" t="str">
        <f>IF(Table1[Date of Initial Assessment]="","",IF(AND(Table1[Start Date]&gt;42460,Table1[Start Date]&lt;42826),Table1[Self-Care and Living Skills],""))</f>
        <v/>
      </c>
      <c r="FW7" s="74" t="str">
        <f>IF(Table1[Date of Initial Assessment]="","",IF(AND(Table1[Start Date]&gt;42460,Table1[Start Date]&lt;42826),Table1[Managing Money and Personal Administration],""))</f>
        <v/>
      </c>
      <c r="FX7" s="74" t="str">
        <f>IF(Table1[Date of Initial Assessment]="","",IF(AND(Table1[Start Date]&gt;42460,Table1[Start Date]&lt;42826),Table1[Social Networks and Relationships],""))</f>
        <v/>
      </c>
      <c r="FY7" s="74" t="str">
        <f>IF(Table1[Date of Initial Assessment]="","",IF(AND(Table1[Start Date]&gt;42460,Table1[Start Date]&lt;42826),Table1[Drug and Alcohol Misuse],""))</f>
        <v/>
      </c>
      <c r="FZ7" s="74" t="str">
        <f>IF(Table1[Date of Initial Assessment]="","",IF(AND(Table1[Start Date]&gt;42460,Table1[Start Date]&lt;42826),Table1[Physical Health],""))</f>
        <v/>
      </c>
      <c r="GA7" s="74" t="str">
        <f>IF(Table1[Date of Initial Assessment]="","",IF(AND(Table1[Start Date]&gt;42460,Table1[Start Date]&lt;42826),Table1[Emotional and Mental Health],""))</f>
        <v/>
      </c>
      <c r="GB7" s="74" t="str">
        <f>IF(Table1[Date of Initial Assessment]="","",IF(AND(Table1[Start Date]&gt;42460,Table1[Start Date]&lt;42826),Table1[Meaningful Use of Time],""))</f>
        <v/>
      </c>
      <c r="GC7" s="74" t="str">
        <f>IF(Table1[Date of Initial Assessment]="","",IF(AND(Table1[Start Date]&gt;42460,Table1[Start Date]&lt;42826),Table1[Managing Tenancy and Accommodation],""))</f>
        <v/>
      </c>
      <c r="GD7" s="74" t="str">
        <f>IF(Table1[Date of Initial Assessment]="","",IF(AND(Table1[Start Date]&gt;42460,Table1[Start Date]&lt;42826),Table1[Offending],""))</f>
        <v/>
      </c>
      <c r="GE7" s="74" t="str">
        <f>IF(Table1[Leaving Date]="","",IF(AND(Table1[Leaving Date]&gt;42460,Table1[Leaving Date]&lt;42826),IF(Table1[Date of Last Assessment]="",Table1[Motivation and Taking Responsibility],Table1[Motivation and Taking Responsibility2]),""))</f>
        <v/>
      </c>
      <c r="GF7" s="74" t="str">
        <f>IF(Table1[Leaving Date]="","",IF(AND(Table1[Leaving Date]&gt;42460,Table1[Leaving Date]&lt;42826),IF(Table1[Date of Last Assessment]="",Table1[Self-Care and Living Skills],Table1[Self-Care and Living Skills2]),""))</f>
        <v/>
      </c>
      <c r="GG7" s="74" t="str">
        <f>IF(Table1[Leaving Date]="","",IF(AND(Table1[Leaving Date]&gt;42460,Table1[Leaving Date]&lt;42826),IF(Table1[Date of Last Assessment]="",Table1[Managing Money and Personal Administration],Table1[Managing Money and Personal Administration2]),""))</f>
        <v/>
      </c>
      <c r="GH7" s="74" t="str">
        <f>IF(Table1[Leaving Date]="","",IF(AND(Table1[Leaving Date]&gt;42460,Table1[Leaving Date]&lt;42826),IF(Table1[Date of Last Assessment]="",Table1[Social Networks and Relationships],Table1[Social Networks and Relationships2]),""))</f>
        <v/>
      </c>
      <c r="GI7" s="74" t="str">
        <f>IF(Table1[Leaving Date]="","",IF(AND(Table1[Leaving Date]&gt;42460,Table1[Leaving Date]&lt;42826),IF(Table1[Date of Last Assessment]="",Table1[Drug and Alcohol Misuse],Table1[Drug and Alcohol Misuse2]),""))</f>
        <v/>
      </c>
      <c r="GJ7" s="74" t="str">
        <f>IF(Table1[Leaving Date]="","",IF(AND(Table1[Leaving Date]&gt;42460,Table1[Leaving Date]&lt;42826),IF(Table1[Date of Last Assessment]="",Table1[Physical Health],Table1[Physical Health2]),""))</f>
        <v/>
      </c>
      <c r="GK7" s="74" t="str">
        <f>IF(Table1[Leaving Date]="","",IF(AND(Table1[Leaving Date]&gt;42460,Table1[Leaving Date]&lt;42826),IF(Table1[Date of Last Assessment]="",Table1[Emotional and Mental Health],Table1[Emotional and Mental Health2]),""))</f>
        <v/>
      </c>
      <c r="GL7" s="74" t="str">
        <f>IF(Table1[Leaving Date]="","",IF(AND(Table1[Leaving Date]&gt;42460,Table1[Leaving Date]&lt;42826),IF(Table1[Date of Last Assessment]="",Table1[Meaningful Use of Time],Table1[Meaningful Use of Time2]),""))</f>
        <v/>
      </c>
      <c r="GM7" s="74" t="str">
        <f>IF(Table1[Leaving Date]="","",IF(AND(Table1[Leaving Date]&gt;42460,Table1[Leaving Date]&lt;42826),IF(Table1[Date of Last Assessment]="",Table1[Managing Tenancy and Accommodation],Table1[Managing Tenancy and Accommodation2]),""))</f>
        <v/>
      </c>
      <c r="GN7" s="74" t="str">
        <f>IF(Table1[Leaving Date]="","",IF(AND(Table1[Leaving Date]&gt;42460,Table1[Leaving Date]&lt;42826),IF(Table1[Date of Last Assessment]="",Table1[Offending],Table1[Offending2]),""))</f>
        <v/>
      </c>
    </row>
    <row r="8" spans="2:196" ht="20.100000000000001" customHeight="1" x14ac:dyDescent="0.2">
      <c r="B8" s="86">
        <f>+'Service Data'!$C$5:$C$5</f>
        <v>0</v>
      </c>
      <c r="C8" s="86"/>
      <c r="D8" s="86"/>
      <c r="E8" s="86"/>
      <c r="F8" s="86"/>
      <c r="G8" s="86"/>
      <c r="H8" s="6"/>
      <c r="I8" s="99" t="str">
        <f ca="1">IF(Table1[[#This Row],[Date of Birth]]="","",SUM(TODAY()-Table1[[#This Row],[Date of Birth]])/365)</f>
        <v/>
      </c>
      <c r="L8" s="86"/>
      <c r="M8" s="77"/>
      <c r="N8" s="86"/>
      <c r="O8" s="86"/>
      <c r="P8" s="91"/>
      <c r="Q8" s="86"/>
      <c r="R8" s="77"/>
      <c r="S8" s="77"/>
      <c r="T8" s="68"/>
      <c r="U8" s="68"/>
      <c r="V8" s="67"/>
      <c r="W8" s="67"/>
      <c r="X8" s="67"/>
      <c r="Y8" s="67"/>
      <c r="Z8" s="67"/>
      <c r="AA8" s="67"/>
      <c r="AB8" s="67"/>
      <c r="AC8" s="67"/>
      <c r="AD8" s="67"/>
      <c r="AE8" s="67"/>
      <c r="AF8" s="67"/>
      <c r="AG8" s="67"/>
      <c r="AH8" s="67"/>
      <c r="AI8" s="67"/>
      <c r="AJ8" s="67"/>
      <c r="AK8" s="67"/>
      <c r="AL8" s="67"/>
      <c r="AM8" s="67"/>
      <c r="AN8" s="77"/>
      <c r="AO8" s="76"/>
      <c r="AP8" s="77"/>
      <c r="AQ8" s="76"/>
      <c r="AR8" s="76"/>
      <c r="AS8" s="76"/>
      <c r="AT8" s="76"/>
      <c r="AU8" s="76"/>
      <c r="AV8" s="77"/>
      <c r="AW8" s="76"/>
      <c r="AX8" s="77"/>
      <c r="AY8" s="76"/>
      <c r="AZ8" s="76"/>
      <c r="BA8" s="76"/>
      <c r="BB8" s="76"/>
      <c r="BC8" s="76"/>
      <c r="BD8" s="77"/>
      <c r="BE8" s="76"/>
      <c r="BF8" s="77"/>
      <c r="BG8" s="76"/>
      <c r="BH8" s="76"/>
      <c r="BI8" s="76"/>
      <c r="BJ8" s="76"/>
      <c r="BK8" s="76"/>
      <c r="BL8" s="77"/>
      <c r="BM8" s="76"/>
      <c r="BN8" s="77"/>
      <c r="BO8" s="76"/>
      <c r="BP8" s="76"/>
      <c r="BQ8" s="76"/>
      <c r="BR8" s="76"/>
      <c r="BS8" s="76"/>
      <c r="BT8" s="77"/>
      <c r="BU8" s="76"/>
      <c r="BV8" s="77"/>
      <c r="BW8" s="76"/>
      <c r="BX8" s="76"/>
      <c r="BY8" s="76"/>
      <c r="BZ8" s="76"/>
      <c r="CA8" s="76"/>
      <c r="CB8" s="77"/>
      <c r="CC8" s="76"/>
      <c r="CD8" s="77"/>
      <c r="CE8" s="76"/>
      <c r="CF8" s="76"/>
      <c r="CG8" s="76"/>
      <c r="CH8" s="76"/>
      <c r="CI8" s="76"/>
      <c r="CJ8" s="77"/>
      <c r="CK8" s="76"/>
      <c r="CL8" s="77"/>
      <c r="CM8" s="76"/>
      <c r="CN8" s="76"/>
      <c r="CO8" s="76"/>
      <c r="CP8" s="76"/>
      <c r="CQ8" s="76"/>
      <c r="CR8" s="78" t="str">
        <f t="shared" si="15"/>
        <v/>
      </c>
      <c r="CS8" s="79" t="str">
        <f t="shared" si="16"/>
        <v/>
      </c>
      <c r="CT8" s="79" t="str">
        <f t="shared" si="17"/>
        <v/>
      </c>
      <c r="CU8" s="79" t="str">
        <f t="shared" si="18"/>
        <v/>
      </c>
      <c r="CV8" s="79" t="str">
        <f t="shared" si="19"/>
        <v/>
      </c>
      <c r="CW8" s="79" t="str">
        <f t="shared" si="20"/>
        <v/>
      </c>
      <c r="CX8" s="79" t="str">
        <f t="shared" si="21"/>
        <v/>
      </c>
      <c r="CY8" s="79" t="str">
        <f t="shared" si="22"/>
        <v/>
      </c>
      <c r="CZ8" s="79" t="str">
        <f t="shared" si="23"/>
        <v/>
      </c>
      <c r="DA8" s="79" t="str">
        <f t="shared" si="24"/>
        <v/>
      </c>
      <c r="DB8" s="79" t="str">
        <f t="shared" si="25"/>
        <v/>
      </c>
      <c r="DC8" s="79" t="str">
        <f t="shared" si="26"/>
        <v/>
      </c>
      <c r="DD8" s="79" t="str">
        <f t="shared" si="27"/>
        <v/>
      </c>
      <c r="DE8" s="79" t="str">
        <f t="shared" si="28"/>
        <v/>
      </c>
      <c r="DF8" s="79" t="str">
        <f t="shared" si="29"/>
        <v/>
      </c>
      <c r="DG8" s="79" t="str">
        <f t="shared" si="30"/>
        <v/>
      </c>
      <c r="DH8" s="76"/>
      <c r="DI8" s="78"/>
      <c r="DJ8" s="76"/>
      <c r="DK8" s="77"/>
      <c r="DL8" s="77"/>
      <c r="DM8" s="77"/>
      <c r="DN8" s="80"/>
      <c r="DO8" s="80"/>
      <c r="DP8" s="92" t="str">
        <f>IF(Table1[Start Date]="","",IF(Table1[Start Date]&gt;42185,"",IF(AND(Table1[Leaving Date]&gt;1,Table1[Leaving Date]&lt;42095),"",1)))</f>
        <v/>
      </c>
      <c r="DQ8" s="92" t="str">
        <f>IF(Table1[Start Date]="","",IF(Table1[Start Date]&gt;42277,"",IF(AND(Table1[Leaving Date]&gt;1,Table1[Leaving Date]&lt;42186),"",1)))</f>
        <v/>
      </c>
      <c r="DR8" s="92" t="str">
        <f>IF(Table1[Start Date]="","",IF(Table1[Start Date]&gt;42369,"",IF(AND(Table1[Leaving Date]&gt;1,Table1[Leaving Date]&lt;42278),"",1)))</f>
        <v/>
      </c>
      <c r="DS8" s="92" t="str">
        <f>IF(Table1[Start Date]="","",IF(Table1[Start Date]&gt;42460,"",IF(AND(Table1[Leaving Date]&gt;1,Table1[Leaving Date]&lt;42370),"",1)))</f>
        <v/>
      </c>
      <c r="DT8" s="92" t="str">
        <f>IF(Table1[Start Date]="","",IF(Table1[Start Date]&gt;42551,"",IF(AND(Table1[Leaving Date]&gt;1,Table1[Leaving Date]&lt;42461),"",1)))</f>
        <v/>
      </c>
      <c r="DU8" s="92" t="str">
        <f>IF(Table1[Start Date]="","",IF(Table1[Start Date]&gt;42643,"",IF(AND(Table1[Leaving Date]&gt;1,Table1[Leaving Date]&lt;42552),"",1)))</f>
        <v/>
      </c>
      <c r="DV8" s="92" t="str">
        <f>IF(Table1[Start Date]="","",IF(Table1[Start Date]&gt;42735,"",IF(AND(Table1[Leaving Date]&gt;1,Table1[Leaving Date]&lt;42644),"",1)))</f>
        <v/>
      </c>
      <c r="DW8" s="92" t="str">
        <f>IF(Table1[Start Date]="","",IF(Table1[Start Date]&gt;42825,"",IF(AND(Table1[Leaving Date]&gt;1,Table1[Leaving Date]&lt;42736),"",1)))</f>
        <v/>
      </c>
      <c r="DX8"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8" s="44" t="e">
        <f>VLOOKUP(Table1[Referral Source],Lists!$G$2:$H$20,2,FALSE)</f>
        <v>#N/A</v>
      </c>
      <c r="DZ8" s="93" t="e">
        <f>SUM(Table1[Data Referral Quarter]+Table1[Data Referral Source])</f>
        <v>#N/A</v>
      </c>
      <c r="EA8" s="44" t="b">
        <f>IF(Table1[Referral Decision]="Accepted",100,IF(Table1[Referral Decision]="Rejected by Provider",200,IF(Table1[Referral Decision]="Rejected by Applicant",300)))</f>
        <v>0</v>
      </c>
      <c r="EB8" s="44">
        <f>SUM(Table1[Data Referral Quarter]+Table1[Data Referral Decision])</f>
        <v>0</v>
      </c>
      <c r="EC8" s="44" t="b">
        <f>IF(Table1[Start Date]&gt;42735,8000,IF(Table1[Start Date]&gt;42643,7000,IF(Table1[Start Date]&gt;42551,6000,IF(Table1[Start Date]&gt;42460,5000,IF(Table1[Start Date]&gt;42369,4000,IF(Table1[Start Date]&gt;42277,3000,IF(Table1[Start Date]&gt;42185,2000,IF(Table1[Start Date]&gt;42094,1000))))))))</f>
        <v>0</v>
      </c>
      <c r="ED8" s="44" t="str">
        <f>IF(Table1[Start Date]="","",IF(Table1[Current Local Authority]="Swindon",1,"2"))</f>
        <v/>
      </c>
      <c r="EE8" s="44" t="e">
        <f>SUM(Table1[Data Start Date]+Table1[Data Local Authority])</f>
        <v>#VALUE!</v>
      </c>
      <c r="EF8" s="44">
        <f>IF(Table1[Registered with GP]="Yes",1,0)</f>
        <v>0</v>
      </c>
      <c r="EG8" s="44">
        <f>SUM(Table1[Data Start Date]+Table1[Data GP Start])</f>
        <v>0</v>
      </c>
      <c r="EH8" s="44" t="str">
        <f>IF(Table1[EET]="NEET",1,IF(Table1[EET]="Education",2,IF(Table1[EET]="Employment",2,IF(Table1[EET]="Training",2,IF(Table1[EET]="Retired",3,"")))))</f>
        <v/>
      </c>
      <c r="EI8" s="44" t="e">
        <f>Table1[Data Start Date]+Table1[Data EET Start]</f>
        <v>#VALUE!</v>
      </c>
      <c r="EJ8" s="44" t="b">
        <f>IF(Table1[Leaving Date]&gt;42735,8000,IF(Table1[Leaving Date]&gt;42643,7000,IF(Table1[Leaving Date]&gt;42551,6000,IF(Table1[Leaving Date]&gt;42460,5000,IF(Table1[Leaving Date]&gt;42369,4000,IF(Table1[Leaving Date]&gt;42277,3000,IF(Table1[Leaving Date]&gt;42185,2000,IF(Table1[Leaving Date]&gt;42094,1000))))))))</f>
        <v>0</v>
      </c>
      <c r="EK8" s="44" t="e">
        <f>VLOOKUP(Table1[Reason for Leaving],Lists!$T$2:$U$15,2,FALSE)</f>
        <v>#N/A</v>
      </c>
      <c r="EL8" s="44" t="e">
        <f>SUM(Table1[Data Leavers Date]+Table1[Data Move On])</f>
        <v>#N/A</v>
      </c>
      <c r="EM8" s="44" t="b">
        <f>IF(Table1[Registered with GP2]="Yes",1,IF(Table1[Registered with GP2]="No",0,IF(Table1[Registered with GP]="Yes",1,IF(Table1[Registered with GP]="No",0))))</f>
        <v>0</v>
      </c>
      <c r="EN8" s="44">
        <f>SUM(Table1[Data Leavers Date]+Table1[Data GP End])</f>
        <v>0</v>
      </c>
      <c r="EO8" s="44" t="str">
        <f>IF(Table1[EET2]="NEET",1,IF(Table1[EET2]="Employment",2,IF(Table1[EET2]="Education",2,IF(Table1[EET2]="Training",2,IF(Table1[EET2]="Retired",3,IF(Table1[EET]="NEET",1,IF(Table1[EET]="Employment",2,IF(Table1[EET]="Education",2,IF(Table1[EET]="Training",2,IF(Table1[EET]="Retired",3,""))))))))))</f>
        <v/>
      </c>
      <c r="EP8" s="44" t="e">
        <f>+Table1[[#This Row],[Data Leavers Date]]+Table1[[#This Row],[Data EET End]]</f>
        <v>#VALUE!</v>
      </c>
      <c r="EQ8" s="44">
        <f>IF(Table1[Exit Form Received]="Yes",1,0)</f>
        <v>0</v>
      </c>
      <c r="ER8" s="44">
        <f>+Table1[[#This Row],[Data Leavers Date]]+Table1[[#This Row],[Data Exit Forms]]</f>
        <v>0</v>
      </c>
      <c r="ES8" s="44" t="str">
        <f>IF(Table1[Data Leavers Date]=1000,SUM(Table1[Leaving Date]-Table1[Start Date]),"")</f>
        <v/>
      </c>
      <c r="ET8" s="44" t="str">
        <f>IF(Table1[Data Leavers Date]=2000,SUM(Table1[Leaving Date]-Table1[Start Date]),"")</f>
        <v/>
      </c>
      <c r="EU8" s="44" t="str">
        <f>IF(Table1[Data Leavers Date]=3000,SUM(Table1[Leaving Date]-Table1[Start Date]),"")</f>
        <v/>
      </c>
      <c r="EV8" s="44" t="str">
        <f>IF(Table1[Data Leavers Date]=4000,SUM(Table1[Leaving Date]-Table1[Start Date]),"")</f>
        <v/>
      </c>
      <c r="EW8" s="44" t="str">
        <f>IF(Table1[Data Leavers Date]=5000,SUM(Table1[Leaving Date]-Table1[Start Date]),"")</f>
        <v/>
      </c>
      <c r="EX8" s="44" t="str">
        <f>IF(Table1[Data Leavers Date]=6000,SUM(Table1[Leaving Date]-Table1[Start Date]),"")</f>
        <v/>
      </c>
      <c r="EY8" s="44" t="str">
        <f>IF(Table1[Data Leavers Date]=7000,SUM(Table1[Leaving Date]-Table1[Start Date]),"")</f>
        <v/>
      </c>
      <c r="EZ8" s="44" t="str">
        <f>IF(Table1[Data Leavers Date]=8000,SUM(Table1[Leaving Date]-Table1[Start Date]),"")</f>
        <v/>
      </c>
      <c r="FA8" s="44" t="str">
        <f>IF(Table1[Date of Initial Assessment]="","",IF(AND(Table1[Start Date]&gt;42094,Table1[Start Date]&lt;42461),Table1[Motivation and Taking Responsibility],""))</f>
        <v/>
      </c>
      <c r="FB8" s="44" t="str">
        <f>IF(Table1[Date of Initial Assessment]="","",IF(AND(Table1[Start Date]&gt;42094,Table1[Start Date]&lt;42461),Table1[Self-Care and Living Skills],""))</f>
        <v/>
      </c>
      <c r="FC8" s="44" t="str">
        <f>IF(Table1[Date of Initial Assessment]="","",IF(AND(Table1[Start Date]&gt;42094,Table1[Start Date]&lt;42461),Table1[Managing Money and Personal Administration],""))</f>
        <v/>
      </c>
      <c r="FD8" s="44" t="str">
        <f>IF(Table1[Date of Initial Assessment]="","",IF(AND(Table1[Start Date]&gt;42094,Table1[Start Date]&lt;42461),Table1[Social Networks and Relationships],""))</f>
        <v/>
      </c>
      <c r="FE8" s="44" t="str">
        <f>IF(Table1[Date of Initial Assessment]="","",IF(AND(Table1[Start Date]&gt;42094,Table1[Start Date]&lt;42461),Table1[Drug and Alcohol Misuse],""))</f>
        <v/>
      </c>
      <c r="FF8" s="44" t="str">
        <f>IF(Table1[Date of Initial Assessment]="","",IF(AND(Table1[Start Date]&gt;42094,Table1[Start Date]&lt;42461),Table1[Physical Health],""))</f>
        <v/>
      </c>
      <c r="FG8" s="44" t="str">
        <f>IF(Table1[Date of Initial Assessment]="","",IF(AND(Table1[Start Date]&gt;42094,Table1[Start Date]&lt;42461),Table1[Emotional and Mental Health],""))</f>
        <v/>
      </c>
      <c r="FH8" s="44" t="str">
        <f>IF(Table1[Date of Initial Assessment]="","",IF(AND(Table1[Start Date]&gt;42094,Table1[Start Date]&lt;42461),Table1[Meaningful Use of Time],""))</f>
        <v/>
      </c>
      <c r="FI8" s="44" t="str">
        <f>IF(Table1[Date of Initial Assessment]="","",IF(AND(Table1[Start Date]&gt;42094,Table1[Start Date]&lt;42461),Table1[Managing Tenancy and Accommodation],""))</f>
        <v/>
      </c>
      <c r="FJ8" s="44" t="str">
        <f>IF(Table1[Date of Initial Assessment]="","",IF(AND(Table1[Start Date]&gt;42094,Table1[Start Date]&lt;42461),Table1[Offending],""))</f>
        <v/>
      </c>
      <c r="FK8" s="44" t="str">
        <f>IF(Table1[Leaving Date]="","",IF(Table1[Date of Initial Assessment]="","",IF(AND(Table1[Leaving Date]&gt;42094,Table1[Leaving Date]&lt;42461),IF(Table1[Date of Last Assessment]="",Table1[Motivation and Taking Responsibility],Table1[Motivation and Taking Responsibility2]),"")))</f>
        <v/>
      </c>
      <c r="FL8" s="44" t="str">
        <f>IF(Table1[Leaving Date]="","",IF(Table1[Date of Initial Assessment]="","",IF(AND(Table1[Leaving Date]&gt;42094,Table1[Leaving Date]&lt;42461),IF(Table1[Date of Last Assessment]="",Table1[Self-Care and Living Skills],Table1[Self-Care and Living Skills2]),"")))</f>
        <v/>
      </c>
      <c r="FM8" s="44" t="str">
        <f>IF(Table1[Leaving Date]="","",IF(Table1[Date of Initial Assessment]="","",IF(AND(Table1[Leaving Date]&gt;42094,Table1[Leaving Date]&lt;42461),IF(Table1[Date of Last Assessment]="",Table1[Managing Money and Personal Administration],Table1[Managing Money and Personal Administration2]),"")))</f>
        <v/>
      </c>
      <c r="FN8" s="44" t="str">
        <f>IF(Table1[Leaving Date]="","",IF(Table1[Date of Initial Assessment]="","",IF(AND(Table1[Leaving Date]&gt;42094,Table1[Leaving Date]&lt;42461),IF(Table1[Date of Last Assessment]="",Table1[Social Networks and Relationships],Table1[Social Networks and Relationships2]),"")))</f>
        <v/>
      </c>
      <c r="FO8" s="44" t="str">
        <f>IF(Table1[Leaving Date]="","",IF(Table1[Date of Initial Assessment]="","",IF(AND(Table1[Leaving Date]&gt;42094,Table1[Leaving Date]&lt;42461),IF(Table1[Date of Last Assessment]="",Table1[Drug and Alcohol Misuse],Table1[Drug and Alcohol Misuse2]),"")))</f>
        <v/>
      </c>
      <c r="FP8" s="44" t="str">
        <f>IF(Table1[Leaving Date]="","",IF(Table1[Date of Initial Assessment]="","",IF(AND(Table1[Leaving Date]&gt;42094,Table1[Leaving Date]&lt;42461),IF(Table1[Date of Last Assessment]="",Table1[Physical Health],Table1[Physical Health2]),"")))</f>
        <v/>
      </c>
      <c r="FQ8" s="44" t="str">
        <f>IF(Table1[Leaving Date]="","",IF(Table1[Date of Initial Assessment]="","",IF(AND(Table1[Leaving Date]&gt;42094,Table1[Leaving Date]&lt;42461),IF(Table1[Date of Last Assessment]="",Table1[Emotional and Mental Health],Table1[Emotional and Mental Health2]),"")))</f>
        <v/>
      </c>
      <c r="FR8" s="44" t="str">
        <f>IF(Table1[Leaving Date]="","",IF(Table1[Date of Initial Assessment]="","",IF(AND(Table1[Leaving Date]&gt;42094,Table1[Leaving Date]&lt;42461),IF(Table1[Date of Last Assessment]="",Table1[Meaningful Use of Time],Table1[Meaningful Use of Time2]),"")))</f>
        <v/>
      </c>
      <c r="FS8" s="44" t="str">
        <f>IF(Table1[Leaving Date]="","",IF(Table1[Date of Initial Assessment]="","",IF(AND(Table1[Leaving Date]&gt;42094,Table1[Leaving Date]&lt;42461),IF(Table1[Date of Last Assessment]="",Table1[Managing Tenancy and Accommodation],Table1[Managing Tenancy and Accommodation2]),"")))</f>
        <v/>
      </c>
      <c r="FT8" s="44" t="str">
        <f>IF(Table1[Leaving Date]="","",IF(Table1[Date of Initial Assessment]="","",IF(AND(Table1[Leaving Date]&gt;42094,Table1[Leaving Date]&lt;42461),IF(Table1[Date of Last Assessment]="",Table1[Offending],Table1[Offending2]),"")))</f>
        <v/>
      </c>
      <c r="FU8" s="44" t="str">
        <f>IF(Table1[Date of Initial Assessment]="","",IF(AND(Table1[Start Date]&gt;42460,Table1[Start Date]&lt;42826),Table1[Motivation and Taking Responsibility],""))</f>
        <v/>
      </c>
      <c r="FV8" s="44" t="str">
        <f>IF(Table1[Date of Initial Assessment]="","",IF(AND(Table1[Start Date]&gt;42460,Table1[Start Date]&lt;42826),Table1[Self-Care and Living Skills],""))</f>
        <v/>
      </c>
      <c r="FW8" s="44" t="str">
        <f>IF(Table1[Date of Initial Assessment]="","",IF(AND(Table1[Start Date]&gt;42460,Table1[Start Date]&lt;42826),Table1[Managing Money and Personal Administration],""))</f>
        <v/>
      </c>
      <c r="FX8" s="44" t="str">
        <f>IF(Table1[Date of Initial Assessment]="","",IF(AND(Table1[Start Date]&gt;42460,Table1[Start Date]&lt;42826),Table1[Social Networks and Relationships],""))</f>
        <v/>
      </c>
      <c r="FY8" s="44" t="str">
        <f>IF(Table1[Date of Initial Assessment]="","",IF(AND(Table1[Start Date]&gt;42460,Table1[Start Date]&lt;42826),Table1[Drug and Alcohol Misuse],""))</f>
        <v/>
      </c>
      <c r="FZ8" s="44" t="str">
        <f>IF(Table1[Date of Initial Assessment]="","",IF(AND(Table1[Start Date]&gt;42460,Table1[Start Date]&lt;42826),Table1[Physical Health],""))</f>
        <v/>
      </c>
      <c r="GA8" s="44" t="str">
        <f>IF(Table1[Date of Initial Assessment]="","",IF(AND(Table1[Start Date]&gt;42460,Table1[Start Date]&lt;42826),Table1[Emotional and Mental Health],""))</f>
        <v/>
      </c>
      <c r="GB8" s="44" t="str">
        <f>IF(Table1[Date of Initial Assessment]="","",IF(AND(Table1[Start Date]&gt;42460,Table1[Start Date]&lt;42826),Table1[Meaningful Use of Time],""))</f>
        <v/>
      </c>
      <c r="GC8" s="44" t="str">
        <f>IF(Table1[Date of Initial Assessment]="","",IF(AND(Table1[Start Date]&gt;42460,Table1[Start Date]&lt;42826),Table1[Managing Tenancy and Accommodation],""))</f>
        <v/>
      </c>
      <c r="GD8" s="44" t="str">
        <f>IF(Table1[Date of Initial Assessment]="","",IF(AND(Table1[Start Date]&gt;42460,Table1[Start Date]&lt;42826),Table1[Offending],""))</f>
        <v/>
      </c>
      <c r="GE8" s="44" t="str">
        <f>IF(Table1[Leaving Date]="","",IF(AND(Table1[Leaving Date]&gt;42460,Table1[Leaving Date]&lt;42826),IF(Table1[Date of Last Assessment]="",Table1[Motivation and Taking Responsibility],Table1[Motivation and Taking Responsibility2]),""))</f>
        <v/>
      </c>
      <c r="GF8" s="44" t="str">
        <f>IF(Table1[Leaving Date]="","",IF(AND(Table1[Leaving Date]&gt;42460,Table1[Leaving Date]&lt;42826),IF(Table1[Date of Last Assessment]="",Table1[Self-Care and Living Skills],Table1[Self-Care and Living Skills2]),""))</f>
        <v/>
      </c>
      <c r="GG8" s="44" t="str">
        <f>IF(Table1[Leaving Date]="","",IF(AND(Table1[Leaving Date]&gt;42460,Table1[Leaving Date]&lt;42826),IF(Table1[Date of Last Assessment]="",Table1[Managing Money and Personal Administration],Table1[Managing Money and Personal Administration2]),""))</f>
        <v/>
      </c>
      <c r="GH8" s="44" t="str">
        <f>IF(Table1[Leaving Date]="","",IF(AND(Table1[Leaving Date]&gt;42460,Table1[Leaving Date]&lt;42826),IF(Table1[Date of Last Assessment]="",Table1[Social Networks and Relationships],Table1[Social Networks and Relationships2]),""))</f>
        <v/>
      </c>
      <c r="GI8" s="44" t="str">
        <f>IF(Table1[Leaving Date]="","",IF(AND(Table1[Leaving Date]&gt;42460,Table1[Leaving Date]&lt;42826),IF(Table1[Date of Last Assessment]="",Table1[Drug and Alcohol Misuse],Table1[Drug and Alcohol Misuse2]),""))</f>
        <v/>
      </c>
      <c r="GJ8" s="44" t="str">
        <f>IF(Table1[Leaving Date]="","",IF(AND(Table1[Leaving Date]&gt;42460,Table1[Leaving Date]&lt;42826),IF(Table1[Date of Last Assessment]="",Table1[Physical Health],Table1[Physical Health2]),""))</f>
        <v/>
      </c>
      <c r="GK8" s="44" t="str">
        <f>IF(Table1[Leaving Date]="","",IF(AND(Table1[Leaving Date]&gt;42460,Table1[Leaving Date]&lt;42826),IF(Table1[Date of Last Assessment]="",Table1[Emotional and Mental Health],Table1[Emotional and Mental Health2]),""))</f>
        <v/>
      </c>
      <c r="GL8" s="44" t="str">
        <f>IF(Table1[Leaving Date]="","",IF(AND(Table1[Leaving Date]&gt;42460,Table1[Leaving Date]&lt;42826),IF(Table1[Date of Last Assessment]="",Table1[Meaningful Use of Time],Table1[Meaningful Use of Time2]),""))</f>
        <v/>
      </c>
      <c r="GM8" s="44" t="str">
        <f>IF(Table1[Leaving Date]="","",IF(AND(Table1[Leaving Date]&gt;42460,Table1[Leaving Date]&lt;42826),IF(Table1[Date of Last Assessment]="",Table1[Managing Tenancy and Accommodation],Table1[Managing Tenancy and Accommodation2]),""))</f>
        <v/>
      </c>
      <c r="GN8" s="44" t="str">
        <f>IF(Table1[Leaving Date]="","",IF(AND(Table1[Leaving Date]&gt;42460,Table1[Leaving Date]&lt;42826),IF(Table1[Date of Last Assessment]="",Table1[Offending],Table1[Offending2]),""))</f>
        <v/>
      </c>
    </row>
    <row r="9" spans="2:196" ht="20.100000000000001" customHeight="1" x14ac:dyDescent="0.2">
      <c r="B9" s="86">
        <f>+'Service Data'!$C$5:$C$5</f>
        <v>0</v>
      </c>
      <c r="C9" s="86"/>
      <c r="D9" s="86"/>
      <c r="E9" s="86"/>
      <c r="F9" s="86"/>
      <c r="G9" s="86"/>
      <c r="H9" s="6"/>
      <c r="I9" s="99" t="str">
        <f ca="1">IF(Table1[[#This Row],[Date of Birth]]="","",SUM(TODAY()-Table1[[#This Row],[Date of Birth]])/365)</f>
        <v/>
      </c>
      <c r="L9" s="86"/>
      <c r="M9" s="77"/>
      <c r="N9" s="86"/>
      <c r="O9" s="86"/>
      <c r="P9" s="91"/>
      <c r="Q9" s="86"/>
      <c r="R9" s="77"/>
      <c r="S9" s="77"/>
      <c r="T9" s="68"/>
      <c r="U9" s="68"/>
      <c r="V9" s="67"/>
      <c r="W9" s="67"/>
      <c r="X9" s="67"/>
      <c r="Y9" s="67"/>
      <c r="Z9" s="67"/>
      <c r="AA9" s="67"/>
      <c r="AB9" s="67"/>
      <c r="AC9" s="67"/>
      <c r="AD9" s="67"/>
      <c r="AE9" s="67"/>
      <c r="AF9" s="67"/>
      <c r="AG9" s="67"/>
      <c r="AH9" s="67"/>
      <c r="AI9" s="67"/>
      <c r="AJ9" s="67"/>
      <c r="AK9" s="67"/>
      <c r="AL9" s="67"/>
      <c r="AM9" s="67"/>
      <c r="AN9" s="77"/>
      <c r="AO9" s="76"/>
      <c r="AP9" s="77"/>
      <c r="AQ9" s="76"/>
      <c r="AR9" s="76"/>
      <c r="AS9" s="76"/>
      <c r="AT9" s="76"/>
      <c r="AU9" s="76"/>
      <c r="AV9" s="77"/>
      <c r="AW9" s="76"/>
      <c r="AX9" s="77"/>
      <c r="AY9" s="76"/>
      <c r="AZ9" s="76"/>
      <c r="BA9" s="76"/>
      <c r="BB9" s="76"/>
      <c r="BC9" s="76"/>
      <c r="BD9" s="77"/>
      <c r="BE9" s="76"/>
      <c r="BF9" s="77"/>
      <c r="BG9" s="76"/>
      <c r="BH9" s="76"/>
      <c r="BI9" s="76"/>
      <c r="BJ9" s="76"/>
      <c r="BK9" s="76"/>
      <c r="BL9" s="77"/>
      <c r="BM9" s="76"/>
      <c r="BN9" s="77"/>
      <c r="BO9" s="76"/>
      <c r="BP9" s="76"/>
      <c r="BQ9" s="76"/>
      <c r="BR9" s="76"/>
      <c r="BS9" s="76"/>
      <c r="BT9" s="77"/>
      <c r="BU9" s="76"/>
      <c r="BV9" s="77"/>
      <c r="BW9" s="76"/>
      <c r="BX9" s="76"/>
      <c r="BY9" s="76"/>
      <c r="BZ9" s="76"/>
      <c r="CA9" s="76"/>
      <c r="CB9" s="77"/>
      <c r="CC9" s="76"/>
      <c r="CD9" s="77"/>
      <c r="CE9" s="76"/>
      <c r="CF9" s="76"/>
      <c r="CG9" s="76"/>
      <c r="CH9" s="76"/>
      <c r="CI9" s="76"/>
      <c r="CJ9" s="77"/>
      <c r="CK9" s="76"/>
      <c r="CL9" s="77"/>
      <c r="CM9" s="76"/>
      <c r="CN9" s="76"/>
      <c r="CO9" s="76"/>
      <c r="CP9" s="76"/>
      <c r="CQ9" s="76"/>
      <c r="CR9" s="78" t="str">
        <f t="shared" si="15"/>
        <v/>
      </c>
      <c r="CS9" s="79" t="str">
        <f t="shared" si="16"/>
        <v/>
      </c>
      <c r="CT9" s="79" t="str">
        <f t="shared" si="17"/>
        <v/>
      </c>
      <c r="CU9" s="79" t="str">
        <f t="shared" si="18"/>
        <v/>
      </c>
      <c r="CV9" s="79" t="str">
        <f t="shared" si="19"/>
        <v/>
      </c>
      <c r="CW9" s="79" t="str">
        <f t="shared" si="20"/>
        <v/>
      </c>
      <c r="CX9" s="79" t="str">
        <f t="shared" si="21"/>
        <v/>
      </c>
      <c r="CY9" s="79" t="str">
        <f t="shared" si="22"/>
        <v/>
      </c>
      <c r="CZ9" s="79" t="str">
        <f t="shared" si="23"/>
        <v/>
      </c>
      <c r="DA9" s="79" t="str">
        <f t="shared" si="24"/>
        <v/>
      </c>
      <c r="DB9" s="79" t="str">
        <f t="shared" si="25"/>
        <v/>
      </c>
      <c r="DC9" s="79" t="str">
        <f t="shared" si="26"/>
        <v/>
      </c>
      <c r="DD9" s="79" t="str">
        <f t="shared" si="27"/>
        <v/>
      </c>
      <c r="DE9" s="79" t="str">
        <f t="shared" si="28"/>
        <v/>
      </c>
      <c r="DF9" s="79" t="str">
        <f t="shared" si="29"/>
        <v/>
      </c>
      <c r="DG9" s="79" t="str">
        <f t="shared" si="30"/>
        <v/>
      </c>
      <c r="DH9" s="76"/>
      <c r="DI9" s="78"/>
      <c r="DJ9" s="76"/>
      <c r="DK9" s="77"/>
      <c r="DL9" s="77"/>
      <c r="DM9" s="77"/>
      <c r="DN9" s="80"/>
      <c r="DO9" s="80"/>
      <c r="DP9" s="92" t="str">
        <f>IF(Table1[Start Date]="","",IF(Table1[Start Date]&gt;42185,"",IF(AND(Table1[Leaving Date]&gt;1,Table1[Leaving Date]&lt;42095),"",1)))</f>
        <v/>
      </c>
      <c r="DQ9" s="92" t="str">
        <f>IF(Table1[Start Date]="","",IF(Table1[Start Date]&gt;42277,"",IF(AND(Table1[Leaving Date]&gt;1,Table1[Leaving Date]&lt;42186),"",1)))</f>
        <v/>
      </c>
      <c r="DR9" s="92" t="str">
        <f>IF(Table1[Start Date]="","",IF(Table1[Start Date]&gt;42369,"",IF(AND(Table1[Leaving Date]&gt;1,Table1[Leaving Date]&lt;42278),"",1)))</f>
        <v/>
      </c>
      <c r="DS9" s="92" t="str">
        <f>IF(Table1[Start Date]="","",IF(Table1[Start Date]&gt;42460,"",IF(AND(Table1[Leaving Date]&gt;1,Table1[Leaving Date]&lt;42370),"",1)))</f>
        <v/>
      </c>
      <c r="DT9" s="92" t="str">
        <f>IF(Table1[Start Date]="","",IF(Table1[Start Date]&gt;42551,"",IF(AND(Table1[Leaving Date]&gt;1,Table1[Leaving Date]&lt;42461),"",1)))</f>
        <v/>
      </c>
      <c r="DU9" s="92" t="str">
        <f>IF(Table1[Start Date]="","",IF(Table1[Start Date]&gt;42643,"",IF(AND(Table1[Leaving Date]&gt;1,Table1[Leaving Date]&lt;42552),"",1)))</f>
        <v/>
      </c>
      <c r="DV9" s="92" t="str">
        <f>IF(Table1[Start Date]="","",IF(Table1[Start Date]&gt;42735,"",IF(AND(Table1[Leaving Date]&gt;1,Table1[Leaving Date]&lt;42644),"",1)))</f>
        <v/>
      </c>
      <c r="DW9" s="92" t="str">
        <f>IF(Table1[Start Date]="","",IF(Table1[Start Date]&gt;42825,"",IF(AND(Table1[Leaving Date]&gt;1,Table1[Leaving Date]&lt;42736),"",1)))</f>
        <v/>
      </c>
      <c r="DX9"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9" s="44" t="e">
        <f>VLOOKUP(Table1[Referral Source],Lists!$G$2:$H$20,2,FALSE)</f>
        <v>#N/A</v>
      </c>
      <c r="DZ9" s="93" t="e">
        <f>SUM(Table1[Data Referral Quarter]+Table1[Data Referral Source])</f>
        <v>#N/A</v>
      </c>
      <c r="EA9" s="44" t="b">
        <f>IF(Table1[Referral Decision]="Accepted",100,IF(Table1[Referral Decision]="Rejected by Provider",200,IF(Table1[Referral Decision]="Rejected by Applicant",300)))</f>
        <v>0</v>
      </c>
      <c r="EB9" s="44">
        <f>SUM(Table1[Data Referral Quarter]+Table1[Data Referral Decision])</f>
        <v>0</v>
      </c>
      <c r="EC9" s="44" t="b">
        <f>IF(Table1[Start Date]&gt;42735,8000,IF(Table1[Start Date]&gt;42643,7000,IF(Table1[Start Date]&gt;42551,6000,IF(Table1[Start Date]&gt;42460,5000,IF(Table1[Start Date]&gt;42369,4000,IF(Table1[Start Date]&gt;42277,3000,IF(Table1[Start Date]&gt;42185,2000,IF(Table1[Start Date]&gt;42094,1000))))))))</f>
        <v>0</v>
      </c>
      <c r="ED9" s="44" t="str">
        <f>IF(Table1[Start Date]="","",IF(Table1[Current Local Authority]="Swindon",1,"2"))</f>
        <v/>
      </c>
      <c r="EE9" s="44" t="e">
        <f>SUM(Table1[Data Start Date]+Table1[Data Local Authority])</f>
        <v>#VALUE!</v>
      </c>
      <c r="EF9" s="44">
        <f>IF(Table1[Registered with GP]="Yes",1,0)</f>
        <v>0</v>
      </c>
      <c r="EG9" s="44">
        <f>SUM(Table1[Data Start Date]+Table1[Data GP Start])</f>
        <v>0</v>
      </c>
      <c r="EH9" s="44" t="str">
        <f>IF(Table1[EET]="NEET",1,IF(Table1[EET]="Education",2,IF(Table1[EET]="Employment",2,IF(Table1[EET]="Training",2,IF(Table1[EET]="Retired",3,"")))))</f>
        <v/>
      </c>
      <c r="EI9" s="44" t="e">
        <f>Table1[Data Start Date]+Table1[Data EET Start]</f>
        <v>#VALUE!</v>
      </c>
      <c r="EJ9" s="44" t="b">
        <f>IF(Table1[Leaving Date]&gt;42735,8000,IF(Table1[Leaving Date]&gt;42643,7000,IF(Table1[Leaving Date]&gt;42551,6000,IF(Table1[Leaving Date]&gt;42460,5000,IF(Table1[Leaving Date]&gt;42369,4000,IF(Table1[Leaving Date]&gt;42277,3000,IF(Table1[Leaving Date]&gt;42185,2000,IF(Table1[Leaving Date]&gt;42094,1000))))))))</f>
        <v>0</v>
      </c>
      <c r="EK9" s="44" t="e">
        <f>VLOOKUP(Table1[Reason for Leaving],Lists!$T$2:$U$15,2,FALSE)</f>
        <v>#N/A</v>
      </c>
      <c r="EL9" s="44" t="e">
        <f>SUM(Table1[Data Leavers Date]+Table1[Data Move On])</f>
        <v>#N/A</v>
      </c>
      <c r="EM9" s="44" t="b">
        <f>IF(Table1[Registered with GP2]="Yes",1,IF(Table1[Registered with GP2]="No",0,IF(Table1[Registered with GP]="Yes",1,IF(Table1[Registered with GP]="No",0))))</f>
        <v>0</v>
      </c>
      <c r="EN9" s="44">
        <f>SUM(Table1[Data Leavers Date]+Table1[Data GP End])</f>
        <v>0</v>
      </c>
      <c r="EO9" s="44" t="str">
        <f>IF(Table1[EET2]="NEET",1,IF(Table1[EET2]="Employment",2,IF(Table1[EET2]="Education",2,IF(Table1[EET2]="Training",2,IF(Table1[EET2]="Retired",3,IF(Table1[EET]="NEET",1,IF(Table1[EET]="Employment",2,IF(Table1[EET]="Education",2,IF(Table1[EET]="Training",2,IF(Table1[EET]="Retired",3,""))))))))))</f>
        <v/>
      </c>
      <c r="EP9" s="44" t="e">
        <f>+Table1[[#This Row],[Data Leavers Date]]+Table1[[#This Row],[Data EET End]]</f>
        <v>#VALUE!</v>
      </c>
      <c r="EQ9" s="44">
        <f>IF(Table1[Exit Form Received]="Yes",1,0)</f>
        <v>0</v>
      </c>
      <c r="ER9" s="44">
        <f>+Table1[[#This Row],[Data Leavers Date]]+Table1[[#This Row],[Data Exit Forms]]</f>
        <v>0</v>
      </c>
      <c r="ES9" s="44" t="str">
        <f>IF(Table1[Data Leavers Date]=1000,SUM(Table1[Leaving Date]-Table1[Start Date]),"")</f>
        <v/>
      </c>
      <c r="ET9" s="44" t="str">
        <f>IF(Table1[Data Leavers Date]=2000,SUM(Table1[Leaving Date]-Table1[Start Date]),"")</f>
        <v/>
      </c>
      <c r="EU9" s="44" t="str">
        <f>IF(Table1[Data Leavers Date]=3000,SUM(Table1[Leaving Date]-Table1[Start Date]),"")</f>
        <v/>
      </c>
      <c r="EV9" s="44" t="str">
        <f>IF(Table1[Data Leavers Date]=4000,SUM(Table1[Leaving Date]-Table1[Start Date]),"")</f>
        <v/>
      </c>
      <c r="EW9" s="44" t="str">
        <f>IF(Table1[Data Leavers Date]=5000,SUM(Table1[Leaving Date]-Table1[Start Date]),"")</f>
        <v/>
      </c>
      <c r="EX9" s="44" t="str">
        <f>IF(Table1[Data Leavers Date]=6000,SUM(Table1[Leaving Date]-Table1[Start Date]),"")</f>
        <v/>
      </c>
      <c r="EY9" s="44" t="str">
        <f>IF(Table1[Data Leavers Date]=7000,SUM(Table1[Leaving Date]-Table1[Start Date]),"")</f>
        <v/>
      </c>
      <c r="EZ9" s="44" t="str">
        <f>IF(Table1[Data Leavers Date]=8000,SUM(Table1[Leaving Date]-Table1[Start Date]),"")</f>
        <v/>
      </c>
      <c r="FA9" s="44" t="str">
        <f>IF(Table1[Date of Initial Assessment]="","",IF(AND(Table1[Start Date]&gt;42094,Table1[Start Date]&lt;42461),Table1[Motivation and Taking Responsibility],""))</f>
        <v/>
      </c>
      <c r="FB9" s="44" t="str">
        <f>IF(Table1[Date of Initial Assessment]="","",IF(AND(Table1[Start Date]&gt;42094,Table1[Start Date]&lt;42461),Table1[Self-Care and Living Skills],""))</f>
        <v/>
      </c>
      <c r="FC9" s="44" t="str">
        <f>IF(Table1[Date of Initial Assessment]="","",IF(AND(Table1[Start Date]&gt;42094,Table1[Start Date]&lt;42461),Table1[Managing Money and Personal Administration],""))</f>
        <v/>
      </c>
      <c r="FD9" s="44" t="str">
        <f>IF(Table1[Date of Initial Assessment]="","",IF(AND(Table1[Start Date]&gt;42094,Table1[Start Date]&lt;42461),Table1[Social Networks and Relationships],""))</f>
        <v/>
      </c>
      <c r="FE9" s="44" t="str">
        <f>IF(Table1[Date of Initial Assessment]="","",IF(AND(Table1[Start Date]&gt;42094,Table1[Start Date]&lt;42461),Table1[Drug and Alcohol Misuse],""))</f>
        <v/>
      </c>
      <c r="FF9" s="44" t="str">
        <f>IF(Table1[Date of Initial Assessment]="","",IF(AND(Table1[Start Date]&gt;42094,Table1[Start Date]&lt;42461),Table1[Physical Health],""))</f>
        <v/>
      </c>
      <c r="FG9" s="44" t="str">
        <f>IF(Table1[Date of Initial Assessment]="","",IF(AND(Table1[Start Date]&gt;42094,Table1[Start Date]&lt;42461),Table1[Emotional and Mental Health],""))</f>
        <v/>
      </c>
      <c r="FH9" s="44" t="str">
        <f>IF(Table1[Date of Initial Assessment]="","",IF(AND(Table1[Start Date]&gt;42094,Table1[Start Date]&lt;42461),Table1[Meaningful Use of Time],""))</f>
        <v/>
      </c>
      <c r="FI9" s="44" t="str">
        <f>IF(Table1[Date of Initial Assessment]="","",IF(AND(Table1[Start Date]&gt;42094,Table1[Start Date]&lt;42461),Table1[Managing Tenancy and Accommodation],""))</f>
        <v/>
      </c>
      <c r="FJ9" s="44" t="str">
        <f>IF(Table1[Date of Initial Assessment]="","",IF(AND(Table1[Start Date]&gt;42094,Table1[Start Date]&lt;42461),Table1[Offending],""))</f>
        <v/>
      </c>
      <c r="FK9" s="44" t="str">
        <f>IF(Table1[Leaving Date]="","",IF(Table1[Date of Initial Assessment]="","",IF(AND(Table1[Leaving Date]&gt;42094,Table1[Leaving Date]&lt;42461),IF(Table1[Date of Last Assessment]="",Table1[Motivation and Taking Responsibility],Table1[Motivation and Taking Responsibility2]),"")))</f>
        <v/>
      </c>
      <c r="FL9" s="44" t="str">
        <f>IF(Table1[Leaving Date]="","",IF(Table1[Date of Initial Assessment]="","",IF(AND(Table1[Leaving Date]&gt;42094,Table1[Leaving Date]&lt;42461),IF(Table1[Date of Last Assessment]="",Table1[Self-Care and Living Skills],Table1[Self-Care and Living Skills2]),"")))</f>
        <v/>
      </c>
      <c r="FM9" s="44" t="str">
        <f>IF(Table1[Leaving Date]="","",IF(Table1[Date of Initial Assessment]="","",IF(AND(Table1[Leaving Date]&gt;42094,Table1[Leaving Date]&lt;42461),IF(Table1[Date of Last Assessment]="",Table1[Managing Money and Personal Administration],Table1[Managing Money and Personal Administration2]),"")))</f>
        <v/>
      </c>
      <c r="FN9" s="44" t="str">
        <f>IF(Table1[Leaving Date]="","",IF(Table1[Date of Initial Assessment]="","",IF(AND(Table1[Leaving Date]&gt;42094,Table1[Leaving Date]&lt;42461),IF(Table1[Date of Last Assessment]="",Table1[Social Networks and Relationships],Table1[Social Networks and Relationships2]),"")))</f>
        <v/>
      </c>
      <c r="FO9" s="44" t="str">
        <f>IF(Table1[Leaving Date]="","",IF(Table1[Date of Initial Assessment]="","",IF(AND(Table1[Leaving Date]&gt;42094,Table1[Leaving Date]&lt;42461),IF(Table1[Date of Last Assessment]="",Table1[Drug and Alcohol Misuse],Table1[Drug and Alcohol Misuse2]),"")))</f>
        <v/>
      </c>
      <c r="FP9" s="44" t="str">
        <f>IF(Table1[Leaving Date]="","",IF(Table1[Date of Initial Assessment]="","",IF(AND(Table1[Leaving Date]&gt;42094,Table1[Leaving Date]&lt;42461),IF(Table1[Date of Last Assessment]="",Table1[Physical Health],Table1[Physical Health2]),"")))</f>
        <v/>
      </c>
      <c r="FQ9" s="44" t="str">
        <f>IF(Table1[Leaving Date]="","",IF(Table1[Date of Initial Assessment]="","",IF(AND(Table1[Leaving Date]&gt;42094,Table1[Leaving Date]&lt;42461),IF(Table1[Date of Last Assessment]="",Table1[Emotional and Mental Health],Table1[Emotional and Mental Health2]),"")))</f>
        <v/>
      </c>
      <c r="FR9" s="44" t="str">
        <f>IF(Table1[Leaving Date]="","",IF(Table1[Date of Initial Assessment]="","",IF(AND(Table1[Leaving Date]&gt;42094,Table1[Leaving Date]&lt;42461),IF(Table1[Date of Last Assessment]="",Table1[Meaningful Use of Time],Table1[Meaningful Use of Time2]),"")))</f>
        <v/>
      </c>
      <c r="FS9" s="44" t="str">
        <f>IF(Table1[Leaving Date]="","",IF(Table1[Date of Initial Assessment]="","",IF(AND(Table1[Leaving Date]&gt;42094,Table1[Leaving Date]&lt;42461),IF(Table1[Date of Last Assessment]="",Table1[Managing Tenancy and Accommodation],Table1[Managing Tenancy and Accommodation2]),"")))</f>
        <v/>
      </c>
      <c r="FT9" s="44" t="str">
        <f>IF(Table1[Leaving Date]="","",IF(Table1[Date of Initial Assessment]="","",IF(AND(Table1[Leaving Date]&gt;42094,Table1[Leaving Date]&lt;42461),IF(Table1[Date of Last Assessment]="",Table1[Offending],Table1[Offending2]),"")))</f>
        <v/>
      </c>
      <c r="FU9" s="44" t="str">
        <f>IF(Table1[Date of Initial Assessment]="","",IF(AND(Table1[Start Date]&gt;42460,Table1[Start Date]&lt;42826),Table1[Motivation and Taking Responsibility],""))</f>
        <v/>
      </c>
      <c r="FV9" s="44" t="str">
        <f>IF(Table1[Date of Initial Assessment]="","",IF(AND(Table1[Start Date]&gt;42460,Table1[Start Date]&lt;42826),Table1[Self-Care and Living Skills],""))</f>
        <v/>
      </c>
      <c r="FW9" s="44" t="str">
        <f>IF(Table1[Date of Initial Assessment]="","",IF(AND(Table1[Start Date]&gt;42460,Table1[Start Date]&lt;42826),Table1[Managing Money and Personal Administration],""))</f>
        <v/>
      </c>
      <c r="FX9" s="44" t="str">
        <f>IF(Table1[Date of Initial Assessment]="","",IF(AND(Table1[Start Date]&gt;42460,Table1[Start Date]&lt;42826),Table1[Social Networks and Relationships],""))</f>
        <v/>
      </c>
      <c r="FY9" s="44" t="str">
        <f>IF(Table1[Date of Initial Assessment]="","",IF(AND(Table1[Start Date]&gt;42460,Table1[Start Date]&lt;42826),Table1[Drug and Alcohol Misuse],""))</f>
        <v/>
      </c>
      <c r="FZ9" s="44" t="str">
        <f>IF(Table1[Date of Initial Assessment]="","",IF(AND(Table1[Start Date]&gt;42460,Table1[Start Date]&lt;42826),Table1[Physical Health],""))</f>
        <v/>
      </c>
      <c r="GA9" s="44" t="str">
        <f>IF(Table1[Date of Initial Assessment]="","",IF(AND(Table1[Start Date]&gt;42460,Table1[Start Date]&lt;42826),Table1[Emotional and Mental Health],""))</f>
        <v/>
      </c>
      <c r="GB9" s="44" t="str">
        <f>IF(Table1[Date of Initial Assessment]="","",IF(AND(Table1[Start Date]&gt;42460,Table1[Start Date]&lt;42826),Table1[Meaningful Use of Time],""))</f>
        <v/>
      </c>
      <c r="GC9" s="44" t="str">
        <f>IF(Table1[Date of Initial Assessment]="","",IF(AND(Table1[Start Date]&gt;42460,Table1[Start Date]&lt;42826),Table1[Managing Tenancy and Accommodation],""))</f>
        <v/>
      </c>
      <c r="GD9" s="44" t="str">
        <f>IF(Table1[Date of Initial Assessment]="","",IF(AND(Table1[Start Date]&gt;42460,Table1[Start Date]&lt;42826),Table1[Offending],""))</f>
        <v/>
      </c>
      <c r="GE9" s="44" t="str">
        <f>IF(Table1[Leaving Date]="","",IF(AND(Table1[Leaving Date]&gt;42460,Table1[Leaving Date]&lt;42826),IF(Table1[Date of Last Assessment]="",Table1[Motivation and Taking Responsibility],Table1[Motivation and Taking Responsibility2]),""))</f>
        <v/>
      </c>
      <c r="GF9" s="44" t="str">
        <f>IF(Table1[Leaving Date]="","",IF(AND(Table1[Leaving Date]&gt;42460,Table1[Leaving Date]&lt;42826),IF(Table1[Date of Last Assessment]="",Table1[Self-Care and Living Skills],Table1[Self-Care and Living Skills2]),""))</f>
        <v/>
      </c>
      <c r="GG9" s="44" t="str">
        <f>IF(Table1[Leaving Date]="","",IF(AND(Table1[Leaving Date]&gt;42460,Table1[Leaving Date]&lt;42826),IF(Table1[Date of Last Assessment]="",Table1[Managing Money and Personal Administration],Table1[Managing Money and Personal Administration2]),""))</f>
        <v/>
      </c>
      <c r="GH9" s="44" t="str">
        <f>IF(Table1[Leaving Date]="","",IF(AND(Table1[Leaving Date]&gt;42460,Table1[Leaving Date]&lt;42826),IF(Table1[Date of Last Assessment]="",Table1[Social Networks and Relationships],Table1[Social Networks and Relationships2]),""))</f>
        <v/>
      </c>
      <c r="GI9" s="44" t="str">
        <f>IF(Table1[Leaving Date]="","",IF(AND(Table1[Leaving Date]&gt;42460,Table1[Leaving Date]&lt;42826),IF(Table1[Date of Last Assessment]="",Table1[Drug and Alcohol Misuse],Table1[Drug and Alcohol Misuse2]),""))</f>
        <v/>
      </c>
      <c r="GJ9" s="44" t="str">
        <f>IF(Table1[Leaving Date]="","",IF(AND(Table1[Leaving Date]&gt;42460,Table1[Leaving Date]&lt;42826),IF(Table1[Date of Last Assessment]="",Table1[Physical Health],Table1[Physical Health2]),""))</f>
        <v/>
      </c>
      <c r="GK9" s="44" t="str">
        <f>IF(Table1[Leaving Date]="","",IF(AND(Table1[Leaving Date]&gt;42460,Table1[Leaving Date]&lt;42826),IF(Table1[Date of Last Assessment]="",Table1[Emotional and Mental Health],Table1[Emotional and Mental Health2]),""))</f>
        <v/>
      </c>
      <c r="GL9" s="44" t="str">
        <f>IF(Table1[Leaving Date]="","",IF(AND(Table1[Leaving Date]&gt;42460,Table1[Leaving Date]&lt;42826),IF(Table1[Date of Last Assessment]="",Table1[Meaningful Use of Time],Table1[Meaningful Use of Time2]),""))</f>
        <v/>
      </c>
      <c r="GM9" s="44" t="str">
        <f>IF(Table1[Leaving Date]="","",IF(AND(Table1[Leaving Date]&gt;42460,Table1[Leaving Date]&lt;42826),IF(Table1[Date of Last Assessment]="",Table1[Managing Tenancy and Accommodation],Table1[Managing Tenancy and Accommodation2]),""))</f>
        <v/>
      </c>
      <c r="GN9" s="44" t="str">
        <f>IF(Table1[Leaving Date]="","",IF(AND(Table1[Leaving Date]&gt;42460,Table1[Leaving Date]&lt;42826),IF(Table1[Date of Last Assessment]="",Table1[Offending],Table1[Offending2]),""))</f>
        <v/>
      </c>
    </row>
    <row r="10" spans="2:196" ht="20.100000000000001" customHeight="1" x14ac:dyDescent="0.2">
      <c r="B10" s="86">
        <f>+'Service Data'!$C$5:$C$5</f>
        <v>0</v>
      </c>
      <c r="C10" s="86"/>
      <c r="D10" s="86"/>
      <c r="E10" s="86"/>
      <c r="F10" s="86"/>
      <c r="G10" s="86"/>
      <c r="H10" s="6"/>
      <c r="I10" s="99" t="str">
        <f ca="1">IF(Table1[[#This Row],[Date of Birth]]="","",SUM(TODAY()-Table1[[#This Row],[Date of Birth]])/365)</f>
        <v/>
      </c>
      <c r="L10" s="86"/>
      <c r="M10" s="77"/>
      <c r="N10" s="86"/>
      <c r="O10" s="86"/>
      <c r="P10" s="91"/>
      <c r="Q10" s="86"/>
      <c r="R10" s="77"/>
      <c r="S10" s="77"/>
      <c r="T10" s="68"/>
      <c r="U10" s="68"/>
      <c r="V10" s="67"/>
      <c r="W10" s="67"/>
      <c r="X10" s="67"/>
      <c r="Y10" s="67"/>
      <c r="Z10" s="67"/>
      <c r="AA10" s="67"/>
      <c r="AB10" s="67"/>
      <c r="AC10" s="67"/>
      <c r="AD10" s="67"/>
      <c r="AE10" s="67"/>
      <c r="AF10" s="67"/>
      <c r="AG10" s="67"/>
      <c r="AH10" s="67"/>
      <c r="AI10" s="67"/>
      <c r="AJ10" s="67"/>
      <c r="AK10" s="67"/>
      <c r="AL10" s="67"/>
      <c r="AM10" s="67"/>
      <c r="AN10" s="77"/>
      <c r="AO10" s="76"/>
      <c r="AP10" s="77"/>
      <c r="AQ10" s="76"/>
      <c r="AR10" s="76"/>
      <c r="AS10" s="76"/>
      <c r="AT10" s="76"/>
      <c r="AU10" s="76"/>
      <c r="AV10" s="77"/>
      <c r="AW10" s="76"/>
      <c r="AX10" s="77"/>
      <c r="AY10" s="76"/>
      <c r="AZ10" s="76"/>
      <c r="BA10" s="76"/>
      <c r="BB10" s="76"/>
      <c r="BC10" s="76"/>
      <c r="BD10" s="77"/>
      <c r="BE10" s="76"/>
      <c r="BF10" s="77"/>
      <c r="BG10" s="76"/>
      <c r="BH10" s="76"/>
      <c r="BI10" s="76"/>
      <c r="BJ10" s="76"/>
      <c r="BK10" s="76"/>
      <c r="BL10" s="77"/>
      <c r="BM10" s="76"/>
      <c r="BN10" s="77"/>
      <c r="BO10" s="76"/>
      <c r="BP10" s="76"/>
      <c r="BQ10" s="76"/>
      <c r="BR10" s="76"/>
      <c r="BS10" s="76"/>
      <c r="BT10" s="77"/>
      <c r="BU10" s="76"/>
      <c r="BV10" s="77"/>
      <c r="BW10" s="76"/>
      <c r="BX10" s="76"/>
      <c r="BY10" s="76"/>
      <c r="BZ10" s="76"/>
      <c r="CA10" s="76"/>
      <c r="CB10" s="77"/>
      <c r="CC10" s="76"/>
      <c r="CD10" s="77"/>
      <c r="CE10" s="76"/>
      <c r="CF10" s="76"/>
      <c r="CG10" s="76"/>
      <c r="CH10" s="76"/>
      <c r="CI10" s="76"/>
      <c r="CJ10" s="77"/>
      <c r="CK10" s="76"/>
      <c r="CL10" s="77"/>
      <c r="CM10" s="76"/>
      <c r="CN10" s="76"/>
      <c r="CO10" s="76"/>
      <c r="CP10" s="76"/>
      <c r="CQ10" s="76"/>
      <c r="CR10" s="78" t="str">
        <f t="shared" si="15"/>
        <v/>
      </c>
      <c r="CS10" s="79" t="str">
        <f t="shared" si="16"/>
        <v/>
      </c>
      <c r="CT10" s="79" t="str">
        <f t="shared" si="17"/>
        <v/>
      </c>
      <c r="CU10" s="79" t="str">
        <f t="shared" si="18"/>
        <v/>
      </c>
      <c r="CV10" s="79" t="str">
        <f t="shared" si="19"/>
        <v/>
      </c>
      <c r="CW10" s="79" t="str">
        <f t="shared" si="20"/>
        <v/>
      </c>
      <c r="CX10" s="79" t="str">
        <f t="shared" si="21"/>
        <v/>
      </c>
      <c r="CY10" s="79" t="str">
        <f t="shared" si="22"/>
        <v/>
      </c>
      <c r="CZ10" s="79" t="str">
        <f t="shared" si="23"/>
        <v/>
      </c>
      <c r="DA10" s="79" t="str">
        <f t="shared" si="24"/>
        <v/>
      </c>
      <c r="DB10" s="79" t="str">
        <f t="shared" si="25"/>
        <v/>
      </c>
      <c r="DC10" s="79" t="str">
        <f t="shared" si="26"/>
        <v/>
      </c>
      <c r="DD10" s="79" t="str">
        <f t="shared" si="27"/>
        <v/>
      </c>
      <c r="DE10" s="79" t="str">
        <f t="shared" si="28"/>
        <v/>
      </c>
      <c r="DF10" s="79" t="str">
        <f t="shared" si="29"/>
        <v/>
      </c>
      <c r="DG10" s="79" t="str">
        <f t="shared" si="30"/>
        <v/>
      </c>
      <c r="DH10" s="76"/>
      <c r="DI10" s="78"/>
      <c r="DJ10" s="76"/>
      <c r="DK10" s="77"/>
      <c r="DL10" s="77"/>
      <c r="DM10" s="77"/>
      <c r="DN10" s="80"/>
      <c r="DO10" s="80"/>
      <c r="DP10" s="92" t="str">
        <f>IF(Table1[Start Date]="","",IF(Table1[Start Date]&gt;42185,"",IF(AND(Table1[Leaving Date]&gt;1,Table1[Leaving Date]&lt;42095),"",1)))</f>
        <v/>
      </c>
      <c r="DQ10" s="92" t="str">
        <f>IF(Table1[Start Date]="","",IF(Table1[Start Date]&gt;42277,"",IF(AND(Table1[Leaving Date]&gt;1,Table1[Leaving Date]&lt;42186),"",1)))</f>
        <v/>
      </c>
      <c r="DR10" s="92" t="str">
        <f>IF(Table1[Start Date]="","",IF(Table1[Start Date]&gt;42369,"",IF(AND(Table1[Leaving Date]&gt;1,Table1[Leaving Date]&lt;42278),"",1)))</f>
        <v/>
      </c>
      <c r="DS10" s="92" t="str">
        <f>IF(Table1[Start Date]="","",IF(Table1[Start Date]&gt;42460,"",IF(AND(Table1[Leaving Date]&gt;1,Table1[Leaving Date]&lt;42370),"",1)))</f>
        <v/>
      </c>
      <c r="DT10" s="92" t="str">
        <f>IF(Table1[Start Date]="","",IF(Table1[Start Date]&gt;42551,"",IF(AND(Table1[Leaving Date]&gt;1,Table1[Leaving Date]&lt;42461),"",1)))</f>
        <v/>
      </c>
      <c r="DU10" s="92" t="str">
        <f>IF(Table1[Start Date]="","",IF(Table1[Start Date]&gt;42643,"",IF(AND(Table1[Leaving Date]&gt;1,Table1[Leaving Date]&lt;42552),"",1)))</f>
        <v/>
      </c>
      <c r="DV10" s="92" t="str">
        <f>IF(Table1[Start Date]="","",IF(Table1[Start Date]&gt;42735,"",IF(AND(Table1[Leaving Date]&gt;1,Table1[Leaving Date]&lt;42644),"",1)))</f>
        <v/>
      </c>
      <c r="DW10" s="92" t="str">
        <f>IF(Table1[Start Date]="","",IF(Table1[Start Date]&gt;42825,"",IF(AND(Table1[Leaving Date]&gt;1,Table1[Leaving Date]&lt;42736),"",1)))</f>
        <v/>
      </c>
      <c r="DX10"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10" s="44" t="e">
        <f>VLOOKUP(Table1[Referral Source],Lists!$G$2:$H$20,2,FALSE)</f>
        <v>#N/A</v>
      </c>
      <c r="DZ10" s="93" t="e">
        <f>SUM(Table1[Data Referral Quarter]+Table1[Data Referral Source])</f>
        <v>#N/A</v>
      </c>
      <c r="EA10" s="44" t="b">
        <f>IF(Table1[Referral Decision]="Accepted",100,IF(Table1[Referral Decision]="Rejected by Provider",200,IF(Table1[Referral Decision]="Rejected by Applicant",300)))</f>
        <v>0</v>
      </c>
      <c r="EB10" s="44">
        <f>SUM(Table1[Data Referral Quarter]+Table1[Data Referral Decision])</f>
        <v>0</v>
      </c>
      <c r="EC10" s="44" t="b">
        <f>IF(Table1[Start Date]&gt;42735,8000,IF(Table1[Start Date]&gt;42643,7000,IF(Table1[Start Date]&gt;42551,6000,IF(Table1[Start Date]&gt;42460,5000,IF(Table1[Start Date]&gt;42369,4000,IF(Table1[Start Date]&gt;42277,3000,IF(Table1[Start Date]&gt;42185,2000,IF(Table1[Start Date]&gt;42094,1000))))))))</f>
        <v>0</v>
      </c>
      <c r="ED10" s="44" t="str">
        <f>IF(Table1[Start Date]="","",IF(Table1[Current Local Authority]="Swindon",1,"2"))</f>
        <v/>
      </c>
      <c r="EE10" s="44" t="e">
        <f>SUM(Table1[Data Start Date]+Table1[Data Local Authority])</f>
        <v>#VALUE!</v>
      </c>
      <c r="EF10" s="44">
        <f>IF(Table1[Registered with GP]="Yes",1,0)</f>
        <v>0</v>
      </c>
      <c r="EG10" s="44">
        <f>SUM(Table1[Data Start Date]+Table1[Data GP Start])</f>
        <v>0</v>
      </c>
      <c r="EH10" s="44" t="str">
        <f>IF(Table1[EET]="NEET",1,IF(Table1[EET]="Education",2,IF(Table1[EET]="Employment",2,IF(Table1[EET]="Training",2,IF(Table1[EET]="Retired",3,"")))))</f>
        <v/>
      </c>
      <c r="EI10" s="44" t="e">
        <f>Table1[Data Start Date]+Table1[Data EET Start]</f>
        <v>#VALUE!</v>
      </c>
      <c r="EJ10" s="44" t="b">
        <f>IF(Table1[Leaving Date]&gt;42735,8000,IF(Table1[Leaving Date]&gt;42643,7000,IF(Table1[Leaving Date]&gt;42551,6000,IF(Table1[Leaving Date]&gt;42460,5000,IF(Table1[Leaving Date]&gt;42369,4000,IF(Table1[Leaving Date]&gt;42277,3000,IF(Table1[Leaving Date]&gt;42185,2000,IF(Table1[Leaving Date]&gt;42094,1000))))))))</f>
        <v>0</v>
      </c>
      <c r="EK10" s="44" t="e">
        <f>VLOOKUP(Table1[Reason for Leaving],Lists!$T$2:$U$15,2,FALSE)</f>
        <v>#N/A</v>
      </c>
      <c r="EL10" s="44" t="e">
        <f>SUM(Table1[Data Leavers Date]+Table1[Data Move On])</f>
        <v>#N/A</v>
      </c>
      <c r="EM10" s="44" t="b">
        <f>IF(Table1[Registered with GP2]="Yes",1,IF(Table1[Registered with GP2]="No",0,IF(Table1[Registered with GP]="Yes",1,IF(Table1[Registered with GP]="No",0))))</f>
        <v>0</v>
      </c>
      <c r="EN10" s="44">
        <f>SUM(Table1[Data Leavers Date]+Table1[Data GP End])</f>
        <v>0</v>
      </c>
      <c r="EO10" s="44" t="str">
        <f>IF(Table1[EET2]="NEET",1,IF(Table1[EET2]="Employment",2,IF(Table1[EET2]="Education",2,IF(Table1[EET2]="Training",2,IF(Table1[EET2]="Retired",3,IF(Table1[EET]="NEET",1,IF(Table1[EET]="Employment",2,IF(Table1[EET]="Education",2,IF(Table1[EET]="Training",2,IF(Table1[EET]="Retired",3,""))))))))))</f>
        <v/>
      </c>
      <c r="EP10" s="44" t="e">
        <f>+Table1[[#This Row],[Data Leavers Date]]+Table1[[#This Row],[Data EET End]]</f>
        <v>#VALUE!</v>
      </c>
      <c r="EQ10" s="44">
        <f>IF(Table1[Exit Form Received]="Yes",1,0)</f>
        <v>0</v>
      </c>
      <c r="ER10" s="44">
        <f>+Table1[[#This Row],[Data Leavers Date]]+Table1[[#This Row],[Data Exit Forms]]</f>
        <v>0</v>
      </c>
      <c r="ES10" s="44" t="str">
        <f>IF(Table1[Data Leavers Date]=1000,SUM(Table1[Leaving Date]-Table1[Start Date]),"")</f>
        <v/>
      </c>
      <c r="ET10" s="44" t="str">
        <f>IF(Table1[Data Leavers Date]=2000,SUM(Table1[Leaving Date]-Table1[Start Date]),"")</f>
        <v/>
      </c>
      <c r="EU10" s="44" t="str">
        <f>IF(Table1[Data Leavers Date]=3000,SUM(Table1[Leaving Date]-Table1[Start Date]),"")</f>
        <v/>
      </c>
      <c r="EV10" s="44" t="str">
        <f>IF(Table1[Data Leavers Date]=4000,SUM(Table1[Leaving Date]-Table1[Start Date]),"")</f>
        <v/>
      </c>
      <c r="EW10" s="44" t="str">
        <f>IF(Table1[Data Leavers Date]=5000,SUM(Table1[Leaving Date]-Table1[Start Date]),"")</f>
        <v/>
      </c>
      <c r="EX10" s="44" t="str">
        <f>IF(Table1[Data Leavers Date]=6000,SUM(Table1[Leaving Date]-Table1[Start Date]),"")</f>
        <v/>
      </c>
      <c r="EY10" s="44" t="str">
        <f>IF(Table1[Data Leavers Date]=7000,SUM(Table1[Leaving Date]-Table1[Start Date]),"")</f>
        <v/>
      </c>
      <c r="EZ10" s="44" t="str">
        <f>IF(Table1[Data Leavers Date]=8000,SUM(Table1[Leaving Date]-Table1[Start Date]),"")</f>
        <v/>
      </c>
      <c r="FA10" s="44" t="str">
        <f>IF(Table1[Date of Initial Assessment]="","",IF(AND(Table1[Start Date]&gt;42094,Table1[Start Date]&lt;42461),Table1[Motivation and Taking Responsibility],""))</f>
        <v/>
      </c>
      <c r="FB10" s="44" t="str">
        <f>IF(Table1[Date of Initial Assessment]="","",IF(AND(Table1[Start Date]&gt;42094,Table1[Start Date]&lt;42461),Table1[Self-Care and Living Skills],""))</f>
        <v/>
      </c>
      <c r="FC10" s="44" t="str">
        <f>IF(Table1[Date of Initial Assessment]="","",IF(AND(Table1[Start Date]&gt;42094,Table1[Start Date]&lt;42461),Table1[Managing Money and Personal Administration],""))</f>
        <v/>
      </c>
      <c r="FD10" s="44" t="str">
        <f>IF(Table1[Date of Initial Assessment]="","",IF(AND(Table1[Start Date]&gt;42094,Table1[Start Date]&lt;42461),Table1[Social Networks and Relationships],""))</f>
        <v/>
      </c>
      <c r="FE10" s="44" t="str">
        <f>IF(Table1[Date of Initial Assessment]="","",IF(AND(Table1[Start Date]&gt;42094,Table1[Start Date]&lt;42461),Table1[Drug and Alcohol Misuse],""))</f>
        <v/>
      </c>
      <c r="FF10" s="44" t="str">
        <f>IF(Table1[Date of Initial Assessment]="","",IF(AND(Table1[Start Date]&gt;42094,Table1[Start Date]&lt;42461),Table1[Physical Health],""))</f>
        <v/>
      </c>
      <c r="FG10" s="44" t="str">
        <f>IF(Table1[Date of Initial Assessment]="","",IF(AND(Table1[Start Date]&gt;42094,Table1[Start Date]&lt;42461),Table1[Emotional and Mental Health],""))</f>
        <v/>
      </c>
      <c r="FH10" s="44" t="str">
        <f>IF(Table1[Date of Initial Assessment]="","",IF(AND(Table1[Start Date]&gt;42094,Table1[Start Date]&lt;42461),Table1[Meaningful Use of Time],""))</f>
        <v/>
      </c>
      <c r="FI10" s="44" t="str">
        <f>IF(Table1[Date of Initial Assessment]="","",IF(AND(Table1[Start Date]&gt;42094,Table1[Start Date]&lt;42461),Table1[Managing Tenancy and Accommodation],""))</f>
        <v/>
      </c>
      <c r="FJ10" s="44" t="str">
        <f>IF(Table1[Date of Initial Assessment]="","",IF(AND(Table1[Start Date]&gt;42094,Table1[Start Date]&lt;42461),Table1[Offending],""))</f>
        <v/>
      </c>
      <c r="FK10" s="44" t="str">
        <f>IF(Table1[Leaving Date]="","",IF(Table1[Date of Initial Assessment]="","",IF(AND(Table1[Leaving Date]&gt;42094,Table1[Leaving Date]&lt;42461),IF(Table1[Date of Last Assessment]="",Table1[Motivation and Taking Responsibility],Table1[Motivation and Taking Responsibility2]),"")))</f>
        <v/>
      </c>
      <c r="FL10" s="44" t="str">
        <f>IF(Table1[Leaving Date]="","",IF(Table1[Date of Initial Assessment]="","",IF(AND(Table1[Leaving Date]&gt;42094,Table1[Leaving Date]&lt;42461),IF(Table1[Date of Last Assessment]="",Table1[Self-Care and Living Skills],Table1[Self-Care and Living Skills2]),"")))</f>
        <v/>
      </c>
      <c r="FM10" s="44" t="str">
        <f>IF(Table1[Leaving Date]="","",IF(Table1[Date of Initial Assessment]="","",IF(AND(Table1[Leaving Date]&gt;42094,Table1[Leaving Date]&lt;42461),IF(Table1[Date of Last Assessment]="",Table1[Managing Money and Personal Administration],Table1[Managing Money and Personal Administration2]),"")))</f>
        <v/>
      </c>
      <c r="FN10" s="44" t="str">
        <f>IF(Table1[Leaving Date]="","",IF(Table1[Date of Initial Assessment]="","",IF(AND(Table1[Leaving Date]&gt;42094,Table1[Leaving Date]&lt;42461),IF(Table1[Date of Last Assessment]="",Table1[Social Networks and Relationships],Table1[Social Networks and Relationships2]),"")))</f>
        <v/>
      </c>
      <c r="FO10" s="44" t="str">
        <f>IF(Table1[Leaving Date]="","",IF(Table1[Date of Initial Assessment]="","",IF(AND(Table1[Leaving Date]&gt;42094,Table1[Leaving Date]&lt;42461),IF(Table1[Date of Last Assessment]="",Table1[Drug and Alcohol Misuse],Table1[Drug and Alcohol Misuse2]),"")))</f>
        <v/>
      </c>
      <c r="FP10" s="44" t="str">
        <f>IF(Table1[Leaving Date]="","",IF(Table1[Date of Initial Assessment]="","",IF(AND(Table1[Leaving Date]&gt;42094,Table1[Leaving Date]&lt;42461),IF(Table1[Date of Last Assessment]="",Table1[Physical Health],Table1[Physical Health2]),"")))</f>
        <v/>
      </c>
      <c r="FQ10" s="44" t="str">
        <f>IF(Table1[Leaving Date]="","",IF(Table1[Date of Initial Assessment]="","",IF(AND(Table1[Leaving Date]&gt;42094,Table1[Leaving Date]&lt;42461),IF(Table1[Date of Last Assessment]="",Table1[Emotional and Mental Health],Table1[Emotional and Mental Health2]),"")))</f>
        <v/>
      </c>
      <c r="FR10" s="44" t="str">
        <f>IF(Table1[Leaving Date]="","",IF(Table1[Date of Initial Assessment]="","",IF(AND(Table1[Leaving Date]&gt;42094,Table1[Leaving Date]&lt;42461),IF(Table1[Date of Last Assessment]="",Table1[Meaningful Use of Time],Table1[Meaningful Use of Time2]),"")))</f>
        <v/>
      </c>
      <c r="FS10" s="44" t="str">
        <f>IF(Table1[Leaving Date]="","",IF(Table1[Date of Initial Assessment]="","",IF(AND(Table1[Leaving Date]&gt;42094,Table1[Leaving Date]&lt;42461),IF(Table1[Date of Last Assessment]="",Table1[Managing Tenancy and Accommodation],Table1[Managing Tenancy and Accommodation2]),"")))</f>
        <v/>
      </c>
      <c r="FT10" s="44" t="str">
        <f>IF(Table1[Leaving Date]="","",IF(Table1[Date of Initial Assessment]="","",IF(AND(Table1[Leaving Date]&gt;42094,Table1[Leaving Date]&lt;42461),IF(Table1[Date of Last Assessment]="",Table1[Offending],Table1[Offending2]),"")))</f>
        <v/>
      </c>
      <c r="FU10" s="44" t="str">
        <f>IF(Table1[Date of Initial Assessment]="","",IF(AND(Table1[Start Date]&gt;42460,Table1[Start Date]&lt;42826),Table1[Motivation and Taking Responsibility],""))</f>
        <v/>
      </c>
      <c r="FV10" s="44" t="str">
        <f>IF(Table1[Date of Initial Assessment]="","",IF(AND(Table1[Start Date]&gt;42460,Table1[Start Date]&lt;42826),Table1[Self-Care and Living Skills],""))</f>
        <v/>
      </c>
      <c r="FW10" s="44" t="str">
        <f>IF(Table1[Date of Initial Assessment]="","",IF(AND(Table1[Start Date]&gt;42460,Table1[Start Date]&lt;42826),Table1[Managing Money and Personal Administration],""))</f>
        <v/>
      </c>
      <c r="FX10" s="44" t="str">
        <f>IF(Table1[Date of Initial Assessment]="","",IF(AND(Table1[Start Date]&gt;42460,Table1[Start Date]&lt;42826),Table1[Social Networks and Relationships],""))</f>
        <v/>
      </c>
      <c r="FY10" s="44" t="str">
        <f>IF(Table1[Date of Initial Assessment]="","",IF(AND(Table1[Start Date]&gt;42460,Table1[Start Date]&lt;42826),Table1[Drug and Alcohol Misuse],""))</f>
        <v/>
      </c>
      <c r="FZ10" s="44" t="str">
        <f>IF(Table1[Date of Initial Assessment]="","",IF(AND(Table1[Start Date]&gt;42460,Table1[Start Date]&lt;42826),Table1[Physical Health],""))</f>
        <v/>
      </c>
      <c r="GA10" s="44" t="str">
        <f>IF(Table1[Date of Initial Assessment]="","",IF(AND(Table1[Start Date]&gt;42460,Table1[Start Date]&lt;42826),Table1[Emotional and Mental Health],""))</f>
        <v/>
      </c>
      <c r="GB10" s="44" t="str">
        <f>IF(Table1[Date of Initial Assessment]="","",IF(AND(Table1[Start Date]&gt;42460,Table1[Start Date]&lt;42826),Table1[Meaningful Use of Time],""))</f>
        <v/>
      </c>
      <c r="GC10" s="44" t="str">
        <f>IF(Table1[Date of Initial Assessment]="","",IF(AND(Table1[Start Date]&gt;42460,Table1[Start Date]&lt;42826),Table1[Managing Tenancy and Accommodation],""))</f>
        <v/>
      </c>
      <c r="GD10" s="44" t="str">
        <f>IF(Table1[Date of Initial Assessment]="","",IF(AND(Table1[Start Date]&gt;42460,Table1[Start Date]&lt;42826),Table1[Offending],""))</f>
        <v/>
      </c>
      <c r="GE10" s="44" t="str">
        <f>IF(Table1[Leaving Date]="","",IF(AND(Table1[Leaving Date]&gt;42460,Table1[Leaving Date]&lt;42826),IF(Table1[Date of Last Assessment]="",Table1[Motivation and Taking Responsibility],Table1[Motivation and Taking Responsibility2]),""))</f>
        <v/>
      </c>
      <c r="GF10" s="44" t="str">
        <f>IF(Table1[Leaving Date]="","",IF(AND(Table1[Leaving Date]&gt;42460,Table1[Leaving Date]&lt;42826),IF(Table1[Date of Last Assessment]="",Table1[Self-Care and Living Skills],Table1[Self-Care and Living Skills2]),""))</f>
        <v/>
      </c>
      <c r="GG10" s="44" t="str">
        <f>IF(Table1[Leaving Date]="","",IF(AND(Table1[Leaving Date]&gt;42460,Table1[Leaving Date]&lt;42826),IF(Table1[Date of Last Assessment]="",Table1[Managing Money and Personal Administration],Table1[Managing Money and Personal Administration2]),""))</f>
        <v/>
      </c>
      <c r="GH10" s="44" t="str">
        <f>IF(Table1[Leaving Date]="","",IF(AND(Table1[Leaving Date]&gt;42460,Table1[Leaving Date]&lt;42826),IF(Table1[Date of Last Assessment]="",Table1[Social Networks and Relationships],Table1[Social Networks and Relationships2]),""))</f>
        <v/>
      </c>
      <c r="GI10" s="44" t="str">
        <f>IF(Table1[Leaving Date]="","",IF(AND(Table1[Leaving Date]&gt;42460,Table1[Leaving Date]&lt;42826),IF(Table1[Date of Last Assessment]="",Table1[Drug and Alcohol Misuse],Table1[Drug and Alcohol Misuse2]),""))</f>
        <v/>
      </c>
      <c r="GJ10" s="44" t="str">
        <f>IF(Table1[Leaving Date]="","",IF(AND(Table1[Leaving Date]&gt;42460,Table1[Leaving Date]&lt;42826),IF(Table1[Date of Last Assessment]="",Table1[Physical Health],Table1[Physical Health2]),""))</f>
        <v/>
      </c>
      <c r="GK10" s="44" t="str">
        <f>IF(Table1[Leaving Date]="","",IF(AND(Table1[Leaving Date]&gt;42460,Table1[Leaving Date]&lt;42826),IF(Table1[Date of Last Assessment]="",Table1[Emotional and Mental Health],Table1[Emotional and Mental Health2]),""))</f>
        <v/>
      </c>
      <c r="GL10" s="44" t="str">
        <f>IF(Table1[Leaving Date]="","",IF(AND(Table1[Leaving Date]&gt;42460,Table1[Leaving Date]&lt;42826),IF(Table1[Date of Last Assessment]="",Table1[Meaningful Use of Time],Table1[Meaningful Use of Time2]),""))</f>
        <v/>
      </c>
      <c r="GM10" s="44" t="str">
        <f>IF(Table1[Leaving Date]="","",IF(AND(Table1[Leaving Date]&gt;42460,Table1[Leaving Date]&lt;42826),IF(Table1[Date of Last Assessment]="",Table1[Managing Tenancy and Accommodation],Table1[Managing Tenancy and Accommodation2]),""))</f>
        <v/>
      </c>
      <c r="GN10" s="44" t="str">
        <f>IF(Table1[Leaving Date]="","",IF(AND(Table1[Leaving Date]&gt;42460,Table1[Leaving Date]&lt;42826),IF(Table1[Date of Last Assessment]="",Table1[Offending],Table1[Offending2]),""))</f>
        <v/>
      </c>
    </row>
    <row r="11" spans="2:196" ht="20.100000000000001" customHeight="1" x14ac:dyDescent="0.2">
      <c r="B11" s="86">
        <f>+'Service Data'!$C$5:$C$5</f>
        <v>0</v>
      </c>
      <c r="C11" s="86"/>
      <c r="D11" s="86"/>
      <c r="E11" s="86"/>
      <c r="F11" s="86"/>
      <c r="G11" s="86"/>
      <c r="H11" s="6"/>
      <c r="I11" s="99" t="str">
        <f ca="1">IF(Table1[[#This Row],[Date of Birth]]="","",SUM(TODAY()-Table1[[#This Row],[Date of Birth]])/365)</f>
        <v/>
      </c>
      <c r="L11" s="86"/>
      <c r="M11" s="77"/>
      <c r="N11" s="86"/>
      <c r="O11" s="86"/>
      <c r="P11" s="91"/>
      <c r="Q11" s="86"/>
      <c r="R11" s="77"/>
      <c r="S11" s="77"/>
      <c r="T11" s="68"/>
      <c r="U11" s="68"/>
      <c r="V11" s="67"/>
      <c r="W11" s="67"/>
      <c r="X11" s="67"/>
      <c r="Y11" s="67"/>
      <c r="Z11" s="67"/>
      <c r="AA11" s="67"/>
      <c r="AB11" s="67"/>
      <c r="AC11" s="67"/>
      <c r="AD11" s="67"/>
      <c r="AE11" s="67"/>
      <c r="AF11" s="67"/>
      <c r="AG11" s="67"/>
      <c r="AH11" s="67"/>
      <c r="AI11" s="67"/>
      <c r="AJ11" s="67"/>
      <c r="AK11" s="67"/>
      <c r="AL11" s="67"/>
      <c r="AM11" s="67"/>
      <c r="AN11" s="77"/>
      <c r="AO11" s="76"/>
      <c r="AP11" s="77"/>
      <c r="AQ11" s="76"/>
      <c r="AR11" s="76"/>
      <c r="AS11" s="76"/>
      <c r="AT11" s="76"/>
      <c r="AU11" s="76"/>
      <c r="AV11" s="77"/>
      <c r="AW11" s="76"/>
      <c r="AX11" s="77"/>
      <c r="AY11" s="76"/>
      <c r="AZ11" s="76"/>
      <c r="BA11" s="76"/>
      <c r="BB11" s="76"/>
      <c r="BC11" s="76"/>
      <c r="BD11" s="77"/>
      <c r="BE11" s="76"/>
      <c r="BF11" s="77"/>
      <c r="BG11" s="76"/>
      <c r="BH11" s="76"/>
      <c r="BI11" s="76"/>
      <c r="BJ11" s="76"/>
      <c r="BK11" s="76"/>
      <c r="BL11" s="77"/>
      <c r="BM11" s="76"/>
      <c r="BN11" s="77"/>
      <c r="BO11" s="76"/>
      <c r="BP11" s="76"/>
      <c r="BQ11" s="76"/>
      <c r="BR11" s="76"/>
      <c r="BS11" s="76"/>
      <c r="BT11" s="77"/>
      <c r="BU11" s="76"/>
      <c r="BV11" s="77"/>
      <c r="BW11" s="76"/>
      <c r="BX11" s="76"/>
      <c r="BY11" s="76"/>
      <c r="BZ11" s="76"/>
      <c r="CA11" s="76"/>
      <c r="CB11" s="77"/>
      <c r="CC11" s="76"/>
      <c r="CD11" s="77"/>
      <c r="CE11" s="76"/>
      <c r="CF11" s="76"/>
      <c r="CG11" s="76"/>
      <c r="CH11" s="76"/>
      <c r="CI11" s="76"/>
      <c r="CJ11" s="77"/>
      <c r="CK11" s="76"/>
      <c r="CL11" s="77"/>
      <c r="CM11" s="76"/>
      <c r="CN11" s="76"/>
      <c r="CO11" s="76"/>
      <c r="CP11" s="76"/>
      <c r="CQ11" s="76"/>
      <c r="CR11" s="78" t="str">
        <f t="shared" si="15"/>
        <v/>
      </c>
      <c r="CS11" s="79" t="str">
        <f t="shared" si="16"/>
        <v/>
      </c>
      <c r="CT11" s="79" t="str">
        <f t="shared" si="17"/>
        <v/>
      </c>
      <c r="CU11" s="79" t="str">
        <f t="shared" si="18"/>
        <v/>
      </c>
      <c r="CV11" s="79" t="str">
        <f t="shared" si="19"/>
        <v/>
      </c>
      <c r="CW11" s="79" t="str">
        <f t="shared" si="20"/>
        <v/>
      </c>
      <c r="CX11" s="79" t="str">
        <f t="shared" si="21"/>
        <v/>
      </c>
      <c r="CY11" s="79" t="str">
        <f t="shared" si="22"/>
        <v/>
      </c>
      <c r="CZ11" s="79" t="str">
        <f t="shared" si="23"/>
        <v/>
      </c>
      <c r="DA11" s="79" t="str">
        <f t="shared" si="24"/>
        <v/>
      </c>
      <c r="DB11" s="79" t="str">
        <f t="shared" si="25"/>
        <v/>
      </c>
      <c r="DC11" s="79" t="str">
        <f t="shared" si="26"/>
        <v/>
      </c>
      <c r="DD11" s="79" t="str">
        <f t="shared" si="27"/>
        <v/>
      </c>
      <c r="DE11" s="79" t="str">
        <f t="shared" si="28"/>
        <v/>
      </c>
      <c r="DF11" s="79" t="str">
        <f t="shared" si="29"/>
        <v/>
      </c>
      <c r="DG11" s="79" t="str">
        <f t="shared" si="30"/>
        <v/>
      </c>
      <c r="DH11" s="76"/>
      <c r="DI11" s="78"/>
      <c r="DJ11" s="76"/>
      <c r="DK11" s="77"/>
      <c r="DL11" s="77"/>
      <c r="DM11" s="77"/>
      <c r="DN11" s="80"/>
      <c r="DO11" s="80"/>
      <c r="DP11" s="92" t="str">
        <f>IF(Table1[Start Date]="","",IF(Table1[Start Date]&gt;42185,"",IF(AND(Table1[Leaving Date]&gt;1,Table1[Leaving Date]&lt;42095),"",1)))</f>
        <v/>
      </c>
      <c r="DQ11" s="92" t="str">
        <f>IF(Table1[Start Date]="","",IF(Table1[Start Date]&gt;42277,"",IF(AND(Table1[Leaving Date]&gt;1,Table1[Leaving Date]&lt;42186),"",1)))</f>
        <v/>
      </c>
      <c r="DR11" s="92" t="str">
        <f>IF(Table1[Start Date]="","",IF(Table1[Start Date]&gt;42369,"",IF(AND(Table1[Leaving Date]&gt;1,Table1[Leaving Date]&lt;42278),"",1)))</f>
        <v/>
      </c>
      <c r="DS11" s="92" t="str">
        <f>IF(Table1[Start Date]="","",IF(Table1[Start Date]&gt;42460,"",IF(AND(Table1[Leaving Date]&gt;1,Table1[Leaving Date]&lt;42370),"",1)))</f>
        <v/>
      </c>
      <c r="DT11" s="92" t="str">
        <f>IF(Table1[Start Date]="","",IF(Table1[Start Date]&gt;42551,"",IF(AND(Table1[Leaving Date]&gt;1,Table1[Leaving Date]&lt;42461),"",1)))</f>
        <v/>
      </c>
      <c r="DU11" s="92" t="str">
        <f>IF(Table1[Start Date]="","",IF(Table1[Start Date]&gt;42643,"",IF(AND(Table1[Leaving Date]&gt;1,Table1[Leaving Date]&lt;42552),"",1)))</f>
        <v/>
      </c>
      <c r="DV11" s="92" t="str">
        <f>IF(Table1[Start Date]="","",IF(Table1[Start Date]&gt;42735,"",IF(AND(Table1[Leaving Date]&gt;1,Table1[Leaving Date]&lt;42644),"",1)))</f>
        <v/>
      </c>
      <c r="DW11" s="92" t="str">
        <f>IF(Table1[Start Date]="","",IF(Table1[Start Date]&gt;42825,"",IF(AND(Table1[Leaving Date]&gt;1,Table1[Leaving Date]&lt;42736),"",1)))</f>
        <v/>
      </c>
      <c r="DX11"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11" s="44" t="e">
        <f>VLOOKUP(Table1[Referral Source],Lists!$G$2:$H$20,2,FALSE)</f>
        <v>#N/A</v>
      </c>
      <c r="DZ11" s="93" t="e">
        <f>SUM(Table1[Data Referral Quarter]+Table1[Data Referral Source])</f>
        <v>#N/A</v>
      </c>
      <c r="EA11" s="44" t="b">
        <f>IF(Table1[Referral Decision]="Accepted",100,IF(Table1[Referral Decision]="Rejected by Provider",200,IF(Table1[Referral Decision]="Rejected by Applicant",300)))</f>
        <v>0</v>
      </c>
      <c r="EB11" s="44">
        <f>SUM(Table1[Data Referral Quarter]+Table1[Data Referral Decision])</f>
        <v>0</v>
      </c>
      <c r="EC11" s="44" t="b">
        <f>IF(Table1[Start Date]&gt;42735,8000,IF(Table1[Start Date]&gt;42643,7000,IF(Table1[Start Date]&gt;42551,6000,IF(Table1[Start Date]&gt;42460,5000,IF(Table1[Start Date]&gt;42369,4000,IF(Table1[Start Date]&gt;42277,3000,IF(Table1[Start Date]&gt;42185,2000,IF(Table1[Start Date]&gt;42094,1000))))))))</f>
        <v>0</v>
      </c>
      <c r="ED11" s="44" t="str">
        <f>IF(Table1[Start Date]="","",IF(Table1[Current Local Authority]="Swindon",1,"2"))</f>
        <v/>
      </c>
      <c r="EE11" s="44" t="e">
        <f>SUM(Table1[Data Start Date]+Table1[Data Local Authority])</f>
        <v>#VALUE!</v>
      </c>
      <c r="EF11" s="44">
        <f>IF(Table1[Registered with GP]="Yes",1,0)</f>
        <v>0</v>
      </c>
      <c r="EG11" s="44">
        <f>SUM(Table1[Data Start Date]+Table1[Data GP Start])</f>
        <v>0</v>
      </c>
      <c r="EH11" s="44" t="str">
        <f>IF(Table1[EET]="NEET",1,IF(Table1[EET]="Education",2,IF(Table1[EET]="Employment",2,IF(Table1[EET]="Training",2,IF(Table1[EET]="Retired",3,"")))))</f>
        <v/>
      </c>
      <c r="EI11" s="44" t="e">
        <f>Table1[Data Start Date]+Table1[Data EET Start]</f>
        <v>#VALUE!</v>
      </c>
      <c r="EJ11" s="44" t="b">
        <f>IF(Table1[Leaving Date]&gt;42735,8000,IF(Table1[Leaving Date]&gt;42643,7000,IF(Table1[Leaving Date]&gt;42551,6000,IF(Table1[Leaving Date]&gt;42460,5000,IF(Table1[Leaving Date]&gt;42369,4000,IF(Table1[Leaving Date]&gt;42277,3000,IF(Table1[Leaving Date]&gt;42185,2000,IF(Table1[Leaving Date]&gt;42094,1000))))))))</f>
        <v>0</v>
      </c>
      <c r="EK11" s="44" t="e">
        <f>VLOOKUP(Table1[Reason for Leaving],Lists!$T$2:$U$15,2,FALSE)</f>
        <v>#N/A</v>
      </c>
      <c r="EL11" s="44" t="e">
        <f>SUM(Table1[Data Leavers Date]+Table1[Data Move On])</f>
        <v>#N/A</v>
      </c>
      <c r="EM11" s="44" t="b">
        <f>IF(Table1[Registered with GP2]="Yes",1,IF(Table1[Registered with GP2]="No",0,IF(Table1[Registered with GP]="Yes",1,IF(Table1[Registered with GP]="No",0))))</f>
        <v>0</v>
      </c>
      <c r="EN11" s="44">
        <f>SUM(Table1[Data Leavers Date]+Table1[Data GP End])</f>
        <v>0</v>
      </c>
      <c r="EO11" s="44" t="str">
        <f>IF(Table1[EET2]="NEET",1,IF(Table1[EET2]="Employment",2,IF(Table1[EET2]="Education",2,IF(Table1[EET2]="Training",2,IF(Table1[EET2]="Retired",3,IF(Table1[EET]="NEET",1,IF(Table1[EET]="Employment",2,IF(Table1[EET]="Education",2,IF(Table1[EET]="Training",2,IF(Table1[EET]="Retired",3,""))))))))))</f>
        <v/>
      </c>
      <c r="EP11" s="44" t="e">
        <f>+Table1[[#This Row],[Data Leavers Date]]+Table1[[#This Row],[Data EET End]]</f>
        <v>#VALUE!</v>
      </c>
      <c r="EQ11" s="44">
        <f>IF(Table1[Exit Form Received]="Yes",1,0)</f>
        <v>0</v>
      </c>
      <c r="ER11" s="44">
        <f>+Table1[[#This Row],[Data Leavers Date]]+Table1[[#This Row],[Data Exit Forms]]</f>
        <v>0</v>
      </c>
      <c r="ES11" s="44" t="str">
        <f>IF(Table1[Data Leavers Date]=1000,SUM(Table1[Leaving Date]-Table1[Start Date]),"")</f>
        <v/>
      </c>
      <c r="ET11" s="44" t="str">
        <f>IF(Table1[Data Leavers Date]=2000,SUM(Table1[Leaving Date]-Table1[Start Date]),"")</f>
        <v/>
      </c>
      <c r="EU11" s="44" t="str">
        <f>IF(Table1[Data Leavers Date]=3000,SUM(Table1[Leaving Date]-Table1[Start Date]),"")</f>
        <v/>
      </c>
      <c r="EV11" s="44" t="str">
        <f>IF(Table1[Data Leavers Date]=4000,SUM(Table1[Leaving Date]-Table1[Start Date]),"")</f>
        <v/>
      </c>
      <c r="EW11" s="44" t="str">
        <f>IF(Table1[Data Leavers Date]=5000,SUM(Table1[Leaving Date]-Table1[Start Date]),"")</f>
        <v/>
      </c>
      <c r="EX11" s="44" t="str">
        <f>IF(Table1[Data Leavers Date]=6000,SUM(Table1[Leaving Date]-Table1[Start Date]),"")</f>
        <v/>
      </c>
      <c r="EY11" s="44" t="str">
        <f>IF(Table1[Data Leavers Date]=7000,SUM(Table1[Leaving Date]-Table1[Start Date]),"")</f>
        <v/>
      </c>
      <c r="EZ11" s="44" t="str">
        <f>IF(Table1[Data Leavers Date]=8000,SUM(Table1[Leaving Date]-Table1[Start Date]),"")</f>
        <v/>
      </c>
      <c r="FA11" s="44" t="str">
        <f>IF(Table1[Date of Initial Assessment]="","",IF(AND(Table1[Start Date]&gt;42094,Table1[Start Date]&lt;42461),Table1[Motivation and Taking Responsibility],""))</f>
        <v/>
      </c>
      <c r="FB11" s="44" t="str">
        <f>IF(Table1[Date of Initial Assessment]="","",IF(AND(Table1[Start Date]&gt;42094,Table1[Start Date]&lt;42461),Table1[Self-Care and Living Skills],""))</f>
        <v/>
      </c>
      <c r="FC11" s="44" t="str">
        <f>IF(Table1[Date of Initial Assessment]="","",IF(AND(Table1[Start Date]&gt;42094,Table1[Start Date]&lt;42461),Table1[Managing Money and Personal Administration],""))</f>
        <v/>
      </c>
      <c r="FD11" s="44" t="str">
        <f>IF(Table1[Date of Initial Assessment]="","",IF(AND(Table1[Start Date]&gt;42094,Table1[Start Date]&lt;42461),Table1[Social Networks and Relationships],""))</f>
        <v/>
      </c>
      <c r="FE11" s="44" t="str">
        <f>IF(Table1[Date of Initial Assessment]="","",IF(AND(Table1[Start Date]&gt;42094,Table1[Start Date]&lt;42461),Table1[Drug and Alcohol Misuse],""))</f>
        <v/>
      </c>
      <c r="FF11" s="44" t="str">
        <f>IF(Table1[Date of Initial Assessment]="","",IF(AND(Table1[Start Date]&gt;42094,Table1[Start Date]&lt;42461),Table1[Physical Health],""))</f>
        <v/>
      </c>
      <c r="FG11" s="44" t="str">
        <f>IF(Table1[Date of Initial Assessment]="","",IF(AND(Table1[Start Date]&gt;42094,Table1[Start Date]&lt;42461),Table1[Emotional and Mental Health],""))</f>
        <v/>
      </c>
      <c r="FH11" s="44" t="str">
        <f>IF(Table1[Date of Initial Assessment]="","",IF(AND(Table1[Start Date]&gt;42094,Table1[Start Date]&lt;42461),Table1[Meaningful Use of Time],""))</f>
        <v/>
      </c>
      <c r="FI11" s="44" t="str">
        <f>IF(Table1[Date of Initial Assessment]="","",IF(AND(Table1[Start Date]&gt;42094,Table1[Start Date]&lt;42461),Table1[Managing Tenancy and Accommodation],""))</f>
        <v/>
      </c>
      <c r="FJ11" s="44" t="str">
        <f>IF(Table1[Date of Initial Assessment]="","",IF(AND(Table1[Start Date]&gt;42094,Table1[Start Date]&lt;42461),Table1[Offending],""))</f>
        <v/>
      </c>
      <c r="FK11" s="44" t="str">
        <f>IF(Table1[Leaving Date]="","",IF(Table1[Date of Initial Assessment]="","",IF(AND(Table1[Leaving Date]&gt;42094,Table1[Leaving Date]&lt;42461),IF(Table1[Date of Last Assessment]="",Table1[Motivation and Taking Responsibility],Table1[Motivation and Taking Responsibility2]),"")))</f>
        <v/>
      </c>
      <c r="FL11" s="44" t="str">
        <f>IF(Table1[Leaving Date]="","",IF(Table1[Date of Initial Assessment]="","",IF(AND(Table1[Leaving Date]&gt;42094,Table1[Leaving Date]&lt;42461),IF(Table1[Date of Last Assessment]="",Table1[Self-Care and Living Skills],Table1[Self-Care and Living Skills2]),"")))</f>
        <v/>
      </c>
      <c r="FM11" s="44" t="str">
        <f>IF(Table1[Leaving Date]="","",IF(Table1[Date of Initial Assessment]="","",IF(AND(Table1[Leaving Date]&gt;42094,Table1[Leaving Date]&lt;42461),IF(Table1[Date of Last Assessment]="",Table1[Managing Money and Personal Administration],Table1[Managing Money and Personal Administration2]),"")))</f>
        <v/>
      </c>
      <c r="FN11" s="44" t="str">
        <f>IF(Table1[Leaving Date]="","",IF(Table1[Date of Initial Assessment]="","",IF(AND(Table1[Leaving Date]&gt;42094,Table1[Leaving Date]&lt;42461),IF(Table1[Date of Last Assessment]="",Table1[Social Networks and Relationships],Table1[Social Networks and Relationships2]),"")))</f>
        <v/>
      </c>
      <c r="FO11" s="44" t="str">
        <f>IF(Table1[Leaving Date]="","",IF(Table1[Date of Initial Assessment]="","",IF(AND(Table1[Leaving Date]&gt;42094,Table1[Leaving Date]&lt;42461),IF(Table1[Date of Last Assessment]="",Table1[Drug and Alcohol Misuse],Table1[Drug and Alcohol Misuse2]),"")))</f>
        <v/>
      </c>
      <c r="FP11" s="44" t="str">
        <f>IF(Table1[Leaving Date]="","",IF(Table1[Date of Initial Assessment]="","",IF(AND(Table1[Leaving Date]&gt;42094,Table1[Leaving Date]&lt;42461),IF(Table1[Date of Last Assessment]="",Table1[Physical Health],Table1[Physical Health2]),"")))</f>
        <v/>
      </c>
      <c r="FQ11" s="44" t="str">
        <f>IF(Table1[Leaving Date]="","",IF(Table1[Date of Initial Assessment]="","",IF(AND(Table1[Leaving Date]&gt;42094,Table1[Leaving Date]&lt;42461),IF(Table1[Date of Last Assessment]="",Table1[Emotional and Mental Health],Table1[Emotional and Mental Health2]),"")))</f>
        <v/>
      </c>
      <c r="FR11" s="44" t="str">
        <f>IF(Table1[Leaving Date]="","",IF(Table1[Date of Initial Assessment]="","",IF(AND(Table1[Leaving Date]&gt;42094,Table1[Leaving Date]&lt;42461),IF(Table1[Date of Last Assessment]="",Table1[Meaningful Use of Time],Table1[Meaningful Use of Time2]),"")))</f>
        <v/>
      </c>
      <c r="FS11" s="44" t="str">
        <f>IF(Table1[Leaving Date]="","",IF(Table1[Date of Initial Assessment]="","",IF(AND(Table1[Leaving Date]&gt;42094,Table1[Leaving Date]&lt;42461),IF(Table1[Date of Last Assessment]="",Table1[Managing Tenancy and Accommodation],Table1[Managing Tenancy and Accommodation2]),"")))</f>
        <v/>
      </c>
      <c r="FT11" s="44" t="str">
        <f>IF(Table1[Leaving Date]="","",IF(Table1[Date of Initial Assessment]="","",IF(AND(Table1[Leaving Date]&gt;42094,Table1[Leaving Date]&lt;42461),IF(Table1[Date of Last Assessment]="",Table1[Offending],Table1[Offending2]),"")))</f>
        <v/>
      </c>
      <c r="FU11" s="44" t="str">
        <f>IF(Table1[Date of Initial Assessment]="","",IF(AND(Table1[Start Date]&gt;42460,Table1[Start Date]&lt;42826),Table1[Motivation and Taking Responsibility],""))</f>
        <v/>
      </c>
      <c r="FV11" s="44" t="str">
        <f>IF(Table1[Date of Initial Assessment]="","",IF(AND(Table1[Start Date]&gt;42460,Table1[Start Date]&lt;42826),Table1[Self-Care and Living Skills],""))</f>
        <v/>
      </c>
      <c r="FW11" s="44" t="str">
        <f>IF(Table1[Date of Initial Assessment]="","",IF(AND(Table1[Start Date]&gt;42460,Table1[Start Date]&lt;42826),Table1[Managing Money and Personal Administration],""))</f>
        <v/>
      </c>
      <c r="FX11" s="44" t="str">
        <f>IF(Table1[Date of Initial Assessment]="","",IF(AND(Table1[Start Date]&gt;42460,Table1[Start Date]&lt;42826),Table1[Social Networks and Relationships],""))</f>
        <v/>
      </c>
      <c r="FY11" s="44" t="str">
        <f>IF(Table1[Date of Initial Assessment]="","",IF(AND(Table1[Start Date]&gt;42460,Table1[Start Date]&lt;42826),Table1[Drug and Alcohol Misuse],""))</f>
        <v/>
      </c>
      <c r="FZ11" s="44" t="str">
        <f>IF(Table1[Date of Initial Assessment]="","",IF(AND(Table1[Start Date]&gt;42460,Table1[Start Date]&lt;42826),Table1[Physical Health],""))</f>
        <v/>
      </c>
      <c r="GA11" s="44" t="str">
        <f>IF(Table1[Date of Initial Assessment]="","",IF(AND(Table1[Start Date]&gt;42460,Table1[Start Date]&lt;42826),Table1[Emotional and Mental Health],""))</f>
        <v/>
      </c>
      <c r="GB11" s="44" t="str">
        <f>IF(Table1[Date of Initial Assessment]="","",IF(AND(Table1[Start Date]&gt;42460,Table1[Start Date]&lt;42826),Table1[Meaningful Use of Time],""))</f>
        <v/>
      </c>
      <c r="GC11" s="44" t="str">
        <f>IF(Table1[Date of Initial Assessment]="","",IF(AND(Table1[Start Date]&gt;42460,Table1[Start Date]&lt;42826),Table1[Managing Tenancy and Accommodation],""))</f>
        <v/>
      </c>
      <c r="GD11" s="44" t="str">
        <f>IF(Table1[Date of Initial Assessment]="","",IF(AND(Table1[Start Date]&gt;42460,Table1[Start Date]&lt;42826),Table1[Offending],""))</f>
        <v/>
      </c>
      <c r="GE11" s="44" t="str">
        <f>IF(Table1[Leaving Date]="","",IF(AND(Table1[Leaving Date]&gt;42460,Table1[Leaving Date]&lt;42826),IF(Table1[Date of Last Assessment]="",Table1[Motivation and Taking Responsibility],Table1[Motivation and Taking Responsibility2]),""))</f>
        <v/>
      </c>
      <c r="GF11" s="44" t="str">
        <f>IF(Table1[Leaving Date]="","",IF(AND(Table1[Leaving Date]&gt;42460,Table1[Leaving Date]&lt;42826),IF(Table1[Date of Last Assessment]="",Table1[Self-Care and Living Skills],Table1[Self-Care and Living Skills2]),""))</f>
        <v/>
      </c>
      <c r="GG11" s="44" t="str">
        <f>IF(Table1[Leaving Date]="","",IF(AND(Table1[Leaving Date]&gt;42460,Table1[Leaving Date]&lt;42826),IF(Table1[Date of Last Assessment]="",Table1[Managing Money and Personal Administration],Table1[Managing Money and Personal Administration2]),""))</f>
        <v/>
      </c>
      <c r="GH11" s="44" t="str">
        <f>IF(Table1[Leaving Date]="","",IF(AND(Table1[Leaving Date]&gt;42460,Table1[Leaving Date]&lt;42826),IF(Table1[Date of Last Assessment]="",Table1[Social Networks and Relationships],Table1[Social Networks and Relationships2]),""))</f>
        <v/>
      </c>
      <c r="GI11" s="44" t="str">
        <f>IF(Table1[Leaving Date]="","",IF(AND(Table1[Leaving Date]&gt;42460,Table1[Leaving Date]&lt;42826),IF(Table1[Date of Last Assessment]="",Table1[Drug and Alcohol Misuse],Table1[Drug and Alcohol Misuse2]),""))</f>
        <v/>
      </c>
      <c r="GJ11" s="44" t="str">
        <f>IF(Table1[Leaving Date]="","",IF(AND(Table1[Leaving Date]&gt;42460,Table1[Leaving Date]&lt;42826),IF(Table1[Date of Last Assessment]="",Table1[Physical Health],Table1[Physical Health2]),""))</f>
        <v/>
      </c>
      <c r="GK11" s="44" t="str">
        <f>IF(Table1[Leaving Date]="","",IF(AND(Table1[Leaving Date]&gt;42460,Table1[Leaving Date]&lt;42826),IF(Table1[Date of Last Assessment]="",Table1[Emotional and Mental Health],Table1[Emotional and Mental Health2]),""))</f>
        <v/>
      </c>
      <c r="GL11" s="44" t="str">
        <f>IF(Table1[Leaving Date]="","",IF(AND(Table1[Leaving Date]&gt;42460,Table1[Leaving Date]&lt;42826),IF(Table1[Date of Last Assessment]="",Table1[Meaningful Use of Time],Table1[Meaningful Use of Time2]),""))</f>
        <v/>
      </c>
      <c r="GM11" s="44" t="str">
        <f>IF(Table1[Leaving Date]="","",IF(AND(Table1[Leaving Date]&gt;42460,Table1[Leaving Date]&lt;42826),IF(Table1[Date of Last Assessment]="",Table1[Managing Tenancy and Accommodation],Table1[Managing Tenancy and Accommodation2]),""))</f>
        <v/>
      </c>
      <c r="GN11" s="44" t="str">
        <f>IF(Table1[Leaving Date]="","",IF(AND(Table1[Leaving Date]&gt;42460,Table1[Leaving Date]&lt;42826),IF(Table1[Date of Last Assessment]="",Table1[Offending],Table1[Offending2]),""))</f>
        <v/>
      </c>
    </row>
    <row r="12" spans="2:196" ht="20.100000000000001" customHeight="1" x14ac:dyDescent="0.2">
      <c r="B12" s="86">
        <f>+'Service Data'!$C$5:$C$5</f>
        <v>0</v>
      </c>
      <c r="C12" s="86"/>
      <c r="D12" s="86"/>
      <c r="E12" s="86"/>
      <c r="F12" s="86"/>
      <c r="G12" s="86"/>
      <c r="H12" s="6"/>
      <c r="I12" s="99" t="str">
        <f ca="1">IF(Table1[[#This Row],[Date of Birth]]="","",SUM(TODAY()-Table1[[#This Row],[Date of Birth]])/365)</f>
        <v/>
      </c>
      <c r="L12" s="86"/>
      <c r="M12" s="77"/>
      <c r="N12" s="86"/>
      <c r="O12" s="86"/>
      <c r="P12" s="91"/>
      <c r="Q12" s="86"/>
      <c r="R12" s="77"/>
      <c r="S12" s="77"/>
      <c r="T12" s="68"/>
      <c r="U12" s="68"/>
      <c r="V12" s="67"/>
      <c r="W12" s="67"/>
      <c r="X12" s="67"/>
      <c r="Y12" s="67"/>
      <c r="Z12" s="67"/>
      <c r="AA12" s="67"/>
      <c r="AB12" s="67"/>
      <c r="AC12" s="67"/>
      <c r="AD12" s="67"/>
      <c r="AE12" s="67"/>
      <c r="AF12" s="67"/>
      <c r="AG12" s="67"/>
      <c r="AH12" s="67"/>
      <c r="AI12" s="67"/>
      <c r="AJ12" s="67"/>
      <c r="AK12" s="67"/>
      <c r="AL12" s="67"/>
      <c r="AM12" s="67"/>
      <c r="AN12" s="77"/>
      <c r="AO12" s="76"/>
      <c r="AP12" s="77"/>
      <c r="AQ12" s="76"/>
      <c r="AR12" s="76"/>
      <c r="AS12" s="76"/>
      <c r="AT12" s="76"/>
      <c r="AU12" s="76"/>
      <c r="AV12" s="77"/>
      <c r="AW12" s="76"/>
      <c r="AX12" s="77"/>
      <c r="AY12" s="76"/>
      <c r="AZ12" s="76"/>
      <c r="BA12" s="76"/>
      <c r="BB12" s="76"/>
      <c r="BC12" s="76"/>
      <c r="BD12" s="77"/>
      <c r="BE12" s="76"/>
      <c r="BF12" s="77"/>
      <c r="BG12" s="76"/>
      <c r="BH12" s="76"/>
      <c r="BI12" s="76"/>
      <c r="BJ12" s="76"/>
      <c r="BK12" s="76"/>
      <c r="BL12" s="77"/>
      <c r="BM12" s="76"/>
      <c r="BN12" s="77"/>
      <c r="BO12" s="76"/>
      <c r="BP12" s="76"/>
      <c r="BQ12" s="76"/>
      <c r="BR12" s="76"/>
      <c r="BS12" s="76"/>
      <c r="BT12" s="77"/>
      <c r="BU12" s="76"/>
      <c r="BV12" s="77"/>
      <c r="BW12" s="76"/>
      <c r="BX12" s="76"/>
      <c r="BY12" s="76"/>
      <c r="BZ12" s="76"/>
      <c r="CA12" s="76"/>
      <c r="CB12" s="77"/>
      <c r="CC12" s="76"/>
      <c r="CD12" s="77"/>
      <c r="CE12" s="76"/>
      <c r="CF12" s="76"/>
      <c r="CG12" s="76"/>
      <c r="CH12" s="76"/>
      <c r="CI12" s="76"/>
      <c r="CJ12" s="77"/>
      <c r="CK12" s="76"/>
      <c r="CL12" s="77"/>
      <c r="CM12" s="76"/>
      <c r="CN12" s="76"/>
      <c r="CO12" s="76"/>
      <c r="CP12" s="76"/>
      <c r="CQ12" s="76"/>
      <c r="CR12" s="78" t="str">
        <f t="shared" si="15"/>
        <v/>
      </c>
      <c r="CS12" s="79" t="str">
        <f t="shared" si="16"/>
        <v/>
      </c>
      <c r="CT12" s="79" t="str">
        <f t="shared" si="17"/>
        <v/>
      </c>
      <c r="CU12" s="79" t="str">
        <f t="shared" si="18"/>
        <v/>
      </c>
      <c r="CV12" s="79" t="str">
        <f t="shared" si="19"/>
        <v/>
      </c>
      <c r="CW12" s="79" t="str">
        <f t="shared" si="20"/>
        <v/>
      </c>
      <c r="CX12" s="79" t="str">
        <f t="shared" si="21"/>
        <v/>
      </c>
      <c r="CY12" s="79" t="str">
        <f t="shared" si="22"/>
        <v/>
      </c>
      <c r="CZ12" s="79" t="str">
        <f t="shared" si="23"/>
        <v/>
      </c>
      <c r="DA12" s="79" t="str">
        <f t="shared" si="24"/>
        <v/>
      </c>
      <c r="DB12" s="79" t="str">
        <f t="shared" si="25"/>
        <v/>
      </c>
      <c r="DC12" s="79" t="str">
        <f t="shared" si="26"/>
        <v/>
      </c>
      <c r="DD12" s="79" t="str">
        <f t="shared" si="27"/>
        <v/>
      </c>
      <c r="DE12" s="79" t="str">
        <f t="shared" si="28"/>
        <v/>
      </c>
      <c r="DF12" s="79" t="str">
        <f t="shared" si="29"/>
        <v/>
      </c>
      <c r="DG12" s="79" t="str">
        <f t="shared" si="30"/>
        <v/>
      </c>
      <c r="DH12" s="76"/>
      <c r="DI12" s="78"/>
      <c r="DJ12" s="76"/>
      <c r="DK12" s="77"/>
      <c r="DL12" s="77"/>
      <c r="DM12" s="77"/>
      <c r="DN12" s="80"/>
      <c r="DO12" s="80"/>
      <c r="DP12" s="92" t="str">
        <f>IF(Table1[Start Date]="","",IF(Table1[Start Date]&gt;42185,"",IF(AND(Table1[Leaving Date]&gt;1,Table1[Leaving Date]&lt;42095),"",1)))</f>
        <v/>
      </c>
      <c r="DQ12" s="92" t="str">
        <f>IF(Table1[Start Date]="","",IF(Table1[Start Date]&gt;42277,"",IF(AND(Table1[Leaving Date]&gt;1,Table1[Leaving Date]&lt;42186),"",1)))</f>
        <v/>
      </c>
      <c r="DR12" s="92" t="str">
        <f>IF(Table1[Start Date]="","",IF(Table1[Start Date]&gt;42369,"",IF(AND(Table1[Leaving Date]&gt;1,Table1[Leaving Date]&lt;42278),"",1)))</f>
        <v/>
      </c>
      <c r="DS12" s="92" t="str">
        <f>IF(Table1[Start Date]="","",IF(Table1[Start Date]&gt;42460,"",IF(AND(Table1[Leaving Date]&gt;1,Table1[Leaving Date]&lt;42370),"",1)))</f>
        <v/>
      </c>
      <c r="DT12" s="92" t="str">
        <f>IF(Table1[Start Date]="","",IF(Table1[Start Date]&gt;42551,"",IF(AND(Table1[Leaving Date]&gt;1,Table1[Leaving Date]&lt;42461),"",1)))</f>
        <v/>
      </c>
      <c r="DU12" s="92" t="str">
        <f>IF(Table1[Start Date]="","",IF(Table1[Start Date]&gt;42643,"",IF(AND(Table1[Leaving Date]&gt;1,Table1[Leaving Date]&lt;42552),"",1)))</f>
        <v/>
      </c>
      <c r="DV12" s="92" t="str">
        <f>IF(Table1[Start Date]="","",IF(Table1[Start Date]&gt;42735,"",IF(AND(Table1[Leaving Date]&gt;1,Table1[Leaving Date]&lt;42644),"",1)))</f>
        <v/>
      </c>
      <c r="DW12" s="92" t="str">
        <f>IF(Table1[Start Date]="","",IF(Table1[Start Date]&gt;42825,"",IF(AND(Table1[Leaving Date]&gt;1,Table1[Leaving Date]&lt;42736),"",1)))</f>
        <v/>
      </c>
      <c r="DX12"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12" s="44" t="e">
        <f>VLOOKUP(Table1[Referral Source],Lists!$G$2:$H$20,2,FALSE)</f>
        <v>#N/A</v>
      </c>
      <c r="DZ12" s="93" t="e">
        <f>SUM(Table1[Data Referral Quarter]+Table1[Data Referral Source])</f>
        <v>#N/A</v>
      </c>
      <c r="EA12" s="44" t="b">
        <f>IF(Table1[Referral Decision]="Accepted",100,IF(Table1[Referral Decision]="Rejected by Provider",200,IF(Table1[Referral Decision]="Rejected by Applicant",300)))</f>
        <v>0</v>
      </c>
      <c r="EB12" s="44">
        <f>SUM(Table1[Data Referral Quarter]+Table1[Data Referral Decision])</f>
        <v>0</v>
      </c>
      <c r="EC12" s="44" t="b">
        <f>IF(Table1[Start Date]&gt;42735,8000,IF(Table1[Start Date]&gt;42643,7000,IF(Table1[Start Date]&gt;42551,6000,IF(Table1[Start Date]&gt;42460,5000,IF(Table1[Start Date]&gt;42369,4000,IF(Table1[Start Date]&gt;42277,3000,IF(Table1[Start Date]&gt;42185,2000,IF(Table1[Start Date]&gt;42094,1000))))))))</f>
        <v>0</v>
      </c>
      <c r="ED12" s="44" t="str">
        <f>IF(Table1[Start Date]="","",IF(Table1[Current Local Authority]="Swindon",1,"2"))</f>
        <v/>
      </c>
      <c r="EE12" s="44" t="e">
        <f>SUM(Table1[Data Start Date]+Table1[Data Local Authority])</f>
        <v>#VALUE!</v>
      </c>
      <c r="EF12" s="44">
        <f>IF(Table1[Registered with GP]="Yes",1,0)</f>
        <v>0</v>
      </c>
      <c r="EG12" s="44">
        <f>SUM(Table1[Data Start Date]+Table1[Data GP Start])</f>
        <v>0</v>
      </c>
      <c r="EH12" s="44" t="str">
        <f>IF(Table1[EET]="NEET",1,IF(Table1[EET]="Education",2,IF(Table1[EET]="Employment",2,IF(Table1[EET]="Training",2,IF(Table1[EET]="Retired",3,"")))))</f>
        <v/>
      </c>
      <c r="EI12" s="44" t="e">
        <f>Table1[Data Start Date]+Table1[Data EET Start]</f>
        <v>#VALUE!</v>
      </c>
      <c r="EJ12" s="44" t="b">
        <f>IF(Table1[Leaving Date]&gt;42735,8000,IF(Table1[Leaving Date]&gt;42643,7000,IF(Table1[Leaving Date]&gt;42551,6000,IF(Table1[Leaving Date]&gt;42460,5000,IF(Table1[Leaving Date]&gt;42369,4000,IF(Table1[Leaving Date]&gt;42277,3000,IF(Table1[Leaving Date]&gt;42185,2000,IF(Table1[Leaving Date]&gt;42094,1000))))))))</f>
        <v>0</v>
      </c>
      <c r="EK12" s="44" t="e">
        <f>VLOOKUP(Table1[Reason for Leaving],Lists!$T$2:$U$15,2,FALSE)</f>
        <v>#N/A</v>
      </c>
      <c r="EL12" s="44" t="e">
        <f>SUM(Table1[Data Leavers Date]+Table1[Data Move On])</f>
        <v>#N/A</v>
      </c>
      <c r="EM12" s="44" t="b">
        <f>IF(Table1[Registered with GP2]="Yes",1,IF(Table1[Registered with GP2]="No",0,IF(Table1[Registered with GP]="Yes",1,IF(Table1[Registered with GP]="No",0))))</f>
        <v>0</v>
      </c>
      <c r="EN12" s="44">
        <f>SUM(Table1[Data Leavers Date]+Table1[Data GP End])</f>
        <v>0</v>
      </c>
      <c r="EO12" s="44" t="str">
        <f>IF(Table1[EET2]="NEET",1,IF(Table1[EET2]="Employment",2,IF(Table1[EET2]="Education",2,IF(Table1[EET2]="Training",2,IF(Table1[EET2]="Retired",3,IF(Table1[EET]="NEET",1,IF(Table1[EET]="Employment",2,IF(Table1[EET]="Education",2,IF(Table1[EET]="Training",2,IF(Table1[EET]="Retired",3,""))))))))))</f>
        <v/>
      </c>
      <c r="EP12" s="44" t="e">
        <f>+Table1[[#This Row],[Data Leavers Date]]+Table1[[#This Row],[Data EET End]]</f>
        <v>#VALUE!</v>
      </c>
      <c r="EQ12" s="44">
        <f>IF(Table1[Exit Form Received]="Yes",1,0)</f>
        <v>0</v>
      </c>
      <c r="ER12" s="44">
        <f>+Table1[[#This Row],[Data Leavers Date]]+Table1[[#This Row],[Data Exit Forms]]</f>
        <v>0</v>
      </c>
      <c r="ES12" s="44" t="str">
        <f>IF(Table1[Data Leavers Date]=1000,SUM(Table1[Leaving Date]-Table1[Start Date]),"")</f>
        <v/>
      </c>
      <c r="ET12" s="44" t="str">
        <f>IF(Table1[Data Leavers Date]=2000,SUM(Table1[Leaving Date]-Table1[Start Date]),"")</f>
        <v/>
      </c>
      <c r="EU12" s="44" t="str">
        <f>IF(Table1[Data Leavers Date]=3000,SUM(Table1[Leaving Date]-Table1[Start Date]),"")</f>
        <v/>
      </c>
      <c r="EV12" s="44" t="str">
        <f>IF(Table1[Data Leavers Date]=4000,SUM(Table1[Leaving Date]-Table1[Start Date]),"")</f>
        <v/>
      </c>
      <c r="EW12" s="44" t="str">
        <f>IF(Table1[Data Leavers Date]=5000,SUM(Table1[Leaving Date]-Table1[Start Date]),"")</f>
        <v/>
      </c>
      <c r="EX12" s="44" t="str">
        <f>IF(Table1[Data Leavers Date]=6000,SUM(Table1[Leaving Date]-Table1[Start Date]),"")</f>
        <v/>
      </c>
      <c r="EY12" s="44" t="str">
        <f>IF(Table1[Data Leavers Date]=7000,SUM(Table1[Leaving Date]-Table1[Start Date]),"")</f>
        <v/>
      </c>
      <c r="EZ12" s="44" t="str">
        <f>IF(Table1[Data Leavers Date]=8000,SUM(Table1[Leaving Date]-Table1[Start Date]),"")</f>
        <v/>
      </c>
      <c r="FA12" s="44" t="str">
        <f>IF(Table1[Date of Initial Assessment]="","",IF(AND(Table1[Start Date]&gt;42094,Table1[Start Date]&lt;42461),Table1[Motivation and Taking Responsibility],""))</f>
        <v/>
      </c>
      <c r="FB12" s="44" t="str">
        <f>IF(Table1[Date of Initial Assessment]="","",IF(AND(Table1[Start Date]&gt;42094,Table1[Start Date]&lt;42461),Table1[Self-Care and Living Skills],""))</f>
        <v/>
      </c>
      <c r="FC12" s="44" t="str">
        <f>IF(Table1[Date of Initial Assessment]="","",IF(AND(Table1[Start Date]&gt;42094,Table1[Start Date]&lt;42461),Table1[Managing Money and Personal Administration],""))</f>
        <v/>
      </c>
      <c r="FD12" s="44" t="str">
        <f>IF(Table1[Date of Initial Assessment]="","",IF(AND(Table1[Start Date]&gt;42094,Table1[Start Date]&lt;42461),Table1[Social Networks and Relationships],""))</f>
        <v/>
      </c>
      <c r="FE12" s="44" t="str">
        <f>IF(Table1[Date of Initial Assessment]="","",IF(AND(Table1[Start Date]&gt;42094,Table1[Start Date]&lt;42461),Table1[Drug and Alcohol Misuse],""))</f>
        <v/>
      </c>
      <c r="FF12" s="44" t="str">
        <f>IF(Table1[Date of Initial Assessment]="","",IF(AND(Table1[Start Date]&gt;42094,Table1[Start Date]&lt;42461),Table1[Physical Health],""))</f>
        <v/>
      </c>
      <c r="FG12" s="44" t="str">
        <f>IF(Table1[Date of Initial Assessment]="","",IF(AND(Table1[Start Date]&gt;42094,Table1[Start Date]&lt;42461),Table1[Emotional and Mental Health],""))</f>
        <v/>
      </c>
      <c r="FH12" s="44" t="str">
        <f>IF(Table1[Date of Initial Assessment]="","",IF(AND(Table1[Start Date]&gt;42094,Table1[Start Date]&lt;42461),Table1[Meaningful Use of Time],""))</f>
        <v/>
      </c>
      <c r="FI12" s="44" t="str">
        <f>IF(Table1[Date of Initial Assessment]="","",IF(AND(Table1[Start Date]&gt;42094,Table1[Start Date]&lt;42461),Table1[Managing Tenancy and Accommodation],""))</f>
        <v/>
      </c>
      <c r="FJ12" s="44" t="str">
        <f>IF(Table1[Date of Initial Assessment]="","",IF(AND(Table1[Start Date]&gt;42094,Table1[Start Date]&lt;42461),Table1[Offending],""))</f>
        <v/>
      </c>
      <c r="FK12" s="44" t="str">
        <f>IF(Table1[Leaving Date]="","",IF(Table1[Date of Initial Assessment]="","",IF(AND(Table1[Leaving Date]&gt;42094,Table1[Leaving Date]&lt;42461),IF(Table1[Date of Last Assessment]="",Table1[Motivation and Taking Responsibility],Table1[Motivation and Taking Responsibility2]),"")))</f>
        <v/>
      </c>
      <c r="FL12" s="44" t="str">
        <f>IF(Table1[Leaving Date]="","",IF(Table1[Date of Initial Assessment]="","",IF(AND(Table1[Leaving Date]&gt;42094,Table1[Leaving Date]&lt;42461),IF(Table1[Date of Last Assessment]="",Table1[Self-Care and Living Skills],Table1[Self-Care and Living Skills2]),"")))</f>
        <v/>
      </c>
      <c r="FM12" s="44" t="str">
        <f>IF(Table1[Leaving Date]="","",IF(Table1[Date of Initial Assessment]="","",IF(AND(Table1[Leaving Date]&gt;42094,Table1[Leaving Date]&lt;42461),IF(Table1[Date of Last Assessment]="",Table1[Managing Money and Personal Administration],Table1[Managing Money and Personal Administration2]),"")))</f>
        <v/>
      </c>
      <c r="FN12" s="44" t="str">
        <f>IF(Table1[Leaving Date]="","",IF(Table1[Date of Initial Assessment]="","",IF(AND(Table1[Leaving Date]&gt;42094,Table1[Leaving Date]&lt;42461),IF(Table1[Date of Last Assessment]="",Table1[Social Networks and Relationships],Table1[Social Networks and Relationships2]),"")))</f>
        <v/>
      </c>
      <c r="FO12" s="44" t="str">
        <f>IF(Table1[Leaving Date]="","",IF(Table1[Date of Initial Assessment]="","",IF(AND(Table1[Leaving Date]&gt;42094,Table1[Leaving Date]&lt;42461),IF(Table1[Date of Last Assessment]="",Table1[Drug and Alcohol Misuse],Table1[Drug and Alcohol Misuse2]),"")))</f>
        <v/>
      </c>
      <c r="FP12" s="44" t="str">
        <f>IF(Table1[Leaving Date]="","",IF(Table1[Date of Initial Assessment]="","",IF(AND(Table1[Leaving Date]&gt;42094,Table1[Leaving Date]&lt;42461),IF(Table1[Date of Last Assessment]="",Table1[Physical Health],Table1[Physical Health2]),"")))</f>
        <v/>
      </c>
      <c r="FQ12" s="44" t="str">
        <f>IF(Table1[Leaving Date]="","",IF(Table1[Date of Initial Assessment]="","",IF(AND(Table1[Leaving Date]&gt;42094,Table1[Leaving Date]&lt;42461),IF(Table1[Date of Last Assessment]="",Table1[Emotional and Mental Health],Table1[Emotional and Mental Health2]),"")))</f>
        <v/>
      </c>
      <c r="FR12" s="44" t="str">
        <f>IF(Table1[Leaving Date]="","",IF(Table1[Date of Initial Assessment]="","",IF(AND(Table1[Leaving Date]&gt;42094,Table1[Leaving Date]&lt;42461),IF(Table1[Date of Last Assessment]="",Table1[Meaningful Use of Time],Table1[Meaningful Use of Time2]),"")))</f>
        <v/>
      </c>
      <c r="FS12" s="44" t="str">
        <f>IF(Table1[Leaving Date]="","",IF(Table1[Date of Initial Assessment]="","",IF(AND(Table1[Leaving Date]&gt;42094,Table1[Leaving Date]&lt;42461),IF(Table1[Date of Last Assessment]="",Table1[Managing Tenancy and Accommodation],Table1[Managing Tenancy and Accommodation2]),"")))</f>
        <v/>
      </c>
      <c r="FT12" s="44" t="str">
        <f>IF(Table1[Leaving Date]="","",IF(Table1[Date of Initial Assessment]="","",IF(AND(Table1[Leaving Date]&gt;42094,Table1[Leaving Date]&lt;42461),IF(Table1[Date of Last Assessment]="",Table1[Offending],Table1[Offending2]),"")))</f>
        <v/>
      </c>
      <c r="FU12" s="44" t="str">
        <f>IF(Table1[Date of Initial Assessment]="","",IF(AND(Table1[Start Date]&gt;42460,Table1[Start Date]&lt;42826),Table1[Motivation and Taking Responsibility],""))</f>
        <v/>
      </c>
      <c r="FV12" s="44" t="str">
        <f>IF(Table1[Date of Initial Assessment]="","",IF(AND(Table1[Start Date]&gt;42460,Table1[Start Date]&lt;42826),Table1[Self-Care and Living Skills],""))</f>
        <v/>
      </c>
      <c r="FW12" s="44" t="str">
        <f>IF(Table1[Date of Initial Assessment]="","",IF(AND(Table1[Start Date]&gt;42460,Table1[Start Date]&lt;42826),Table1[Managing Money and Personal Administration],""))</f>
        <v/>
      </c>
      <c r="FX12" s="44" t="str">
        <f>IF(Table1[Date of Initial Assessment]="","",IF(AND(Table1[Start Date]&gt;42460,Table1[Start Date]&lt;42826),Table1[Social Networks and Relationships],""))</f>
        <v/>
      </c>
      <c r="FY12" s="44" t="str">
        <f>IF(Table1[Date of Initial Assessment]="","",IF(AND(Table1[Start Date]&gt;42460,Table1[Start Date]&lt;42826),Table1[Drug and Alcohol Misuse],""))</f>
        <v/>
      </c>
      <c r="FZ12" s="44" t="str">
        <f>IF(Table1[Date of Initial Assessment]="","",IF(AND(Table1[Start Date]&gt;42460,Table1[Start Date]&lt;42826),Table1[Physical Health],""))</f>
        <v/>
      </c>
      <c r="GA12" s="44" t="str">
        <f>IF(Table1[Date of Initial Assessment]="","",IF(AND(Table1[Start Date]&gt;42460,Table1[Start Date]&lt;42826),Table1[Emotional and Mental Health],""))</f>
        <v/>
      </c>
      <c r="GB12" s="44" t="str">
        <f>IF(Table1[Date of Initial Assessment]="","",IF(AND(Table1[Start Date]&gt;42460,Table1[Start Date]&lt;42826),Table1[Meaningful Use of Time],""))</f>
        <v/>
      </c>
      <c r="GC12" s="44" t="str">
        <f>IF(Table1[Date of Initial Assessment]="","",IF(AND(Table1[Start Date]&gt;42460,Table1[Start Date]&lt;42826),Table1[Managing Tenancy and Accommodation],""))</f>
        <v/>
      </c>
      <c r="GD12" s="44" t="str">
        <f>IF(Table1[Date of Initial Assessment]="","",IF(AND(Table1[Start Date]&gt;42460,Table1[Start Date]&lt;42826),Table1[Offending],""))</f>
        <v/>
      </c>
      <c r="GE12" s="44" t="str">
        <f>IF(Table1[Leaving Date]="","",IF(AND(Table1[Leaving Date]&gt;42460,Table1[Leaving Date]&lt;42826),IF(Table1[Date of Last Assessment]="",Table1[Motivation and Taking Responsibility],Table1[Motivation and Taking Responsibility2]),""))</f>
        <v/>
      </c>
      <c r="GF12" s="44" t="str">
        <f>IF(Table1[Leaving Date]="","",IF(AND(Table1[Leaving Date]&gt;42460,Table1[Leaving Date]&lt;42826),IF(Table1[Date of Last Assessment]="",Table1[Self-Care and Living Skills],Table1[Self-Care and Living Skills2]),""))</f>
        <v/>
      </c>
      <c r="GG12" s="44" t="str">
        <f>IF(Table1[Leaving Date]="","",IF(AND(Table1[Leaving Date]&gt;42460,Table1[Leaving Date]&lt;42826),IF(Table1[Date of Last Assessment]="",Table1[Managing Money and Personal Administration],Table1[Managing Money and Personal Administration2]),""))</f>
        <v/>
      </c>
      <c r="GH12" s="44" t="str">
        <f>IF(Table1[Leaving Date]="","",IF(AND(Table1[Leaving Date]&gt;42460,Table1[Leaving Date]&lt;42826),IF(Table1[Date of Last Assessment]="",Table1[Social Networks and Relationships],Table1[Social Networks and Relationships2]),""))</f>
        <v/>
      </c>
      <c r="GI12" s="44" t="str">
        <f>IF(Table1[Leaving Date]="","",IF(AND(Table1[Leaving Date]&gt;42460,Table1[Leaving Date]&lt;42826),IF(Table1[Date of Last Assessment]="",Table1[Drug and Alcohol Misuse],Table1[Drug and Alcohol Misuse2]),""))</f>
        <v/>
      </c>
      <c r="GJ12" s="44" t="str">
        <f>IF(Table1[Leaving Date]="","",IF(AND(Table1[Leaving Date]&gt;42460,Table1[Leaving Date]&lt;42826),IF(Table1[Date of Last Assessment]="",Table1[Physical Health],Table1[Physical Health2]),""))</f>
        <v/>
      </c>
      <c r="GK12" s="44" t="str">
        <f>IF(Table1[Leaving Date]="","",IF(AND(Table1[Leaving Date]&gt;42460,Table1[Leaving Date]&lt;42826),IF(Table1[Date of Last Assessment]="",Table1[Emotional and Mental Health],Table1[Emotional and Mental Health2]),""))</f>
        <v/>
      </c>
      <c r="GL12" s="44" t="str">
        <f>IF(Table1[Leaving Date]="","",IF(AND(Table1[Leaving Date]&gt;42460,Table1[Leaving Date]&lt;42826),IF(Table1[Date of Last Assessment]="",Table1[Meaningful Use of Time],Table1[Meaningful Use of Time2]),""))</f>
        <v/>
      </c>
      <c r="GM12" s="44" t="str">
        <f>IF(Table1[Leaving Date]="","",IF(AND(Table1[Leaving Date]&gt;42460,Table1[Leaving Date]&lt;42826),IF(Table1[Date of Last Assessment]="",Table1[Managing Tenancy and Accommodation],Table1[Managing Tenancy and Accommodation2]),""))</f>
        <v/>
      </c>
      <c r="GN12" s="44" t="str">
        <f>IF(Table1[Leaving Date]="","",IF(AND(Table1[Leaving Date]&gt;42460,Table1[Leaving Date]&lt;42826),IF(Table1[Date of Last Assessment]="",Table1[Offending],Table1[Offending2]),""))</f>
        <v/>
      </c>
    </row>
    <row r="13" spans="2:196" ht="20.100000000000001" customHeight="1" x14ac:dyDescent="0.2">
      <c r="B13" s="86">
        <f>+'Service Data'!$C$5:$C$5</f>
        <v>0</v>
      </c>
      <c r="C13" s="86"/>
      <c r="D13" s="86"/>
      <c r="E13" s="86"/>
      <c r="F13" s="86"/>
      <c r="G13" s="86"/>
      <c r="H13" s="6"/>
      <c r="I13" s="99" t="str">
        <f ca="1">IF(Table1[[#This Row],[Date of Birth]]="","",SUM(TODAY()-Table1[[#This Row],[Date of Birth]])/365)</f>
        <v/>
      </c>
      <c r="L13" s="86"/>
      <c r="M13" s="77"/>
      <c r="N13" s="86"/>
      <c r="O13" s="86"/>
      <c r="P13" s="91"/>
      <c r="Q13" s="86"/>
      <c r="R13" s="77"/>
      <c r="S13" s="77"/>
      <c r="T13" s="68"/>
      <c r="U13" s="68"/>
      <c r="V13" s="67"/>
      <c r="W13" s="67"/>
      <c r="X13" s="67"/>
      <c r="Y13" s="67"/>
      <c r="Z13" s="67"/>
      <c r="AA13" s="67"/>
      <c r="AB13" s="67"/>
      <c r="AC13" s="67"/>
      <c r="AD13" s="67"/>
      <c r="AE13" s="67"/>
      <c r="AF13" s="67"/>
      <c r="AG13" s="67"/>
      <c r="AH13" s="67"/>
      <c r="AI13" s="67"/>
      <c r="AJ13" s="67"/>
      <c r="AK13" s="67"/>
      <c r="AL13" s="67"/>
      <c r="AM13" s="67"/>
      <c r="AN13" s="77"/>
      <c r="AO13" s="76"/>
      <c r="AP13" s="77"/>
      <c r="AQ13" s="76"/>
      <c r="AR13" s="76"/>
      <c r="AS13" s="76"/>
      <c r="AT13" s="76"/>
      <c r="AU13" s="76"/>
      <c r="AV13" s="77"/>
      <c r="AW13" s="76"/>
      <c r="AX13" s="77"/>
      <c r="AY13" s="76"/>
      <c r="AZ13" s="76"/>
      <c r="BA13" s="76"/>
      <c r="BB13" s="76"/>
      <c r="BC13" s="76"/>
      <c r="BD13" s="77"/>
      <c r="BE13" s="76"/>
      <c r="BF13" s="77"/>
      <c r="BG13" s="76"/>
      <c r="BH13" s="76"/>
      <c r="BI13" s="76"/>
      <c r="BJ13" s="76"/>
      <c r="BK13" s="76"/>
      <c r="BL13" s="77"/>
      <c r="BM13" s="76"/>
      <c r="BN13" s="77"/>
      <c r="BO13" s="76"/>
      <c r="BP13" s="76"/>
      <c r="BQ13" s="76"/>
      <c r="BR13" s="76"/>
      <c r="BS13" s="76"/>
      <c r="BT13" s="77"/>
      <c r="BU13" s="76"/>
      <c r="BV13" s="77"/>
      <c r="BW13" s="76"/>
      <c r="BX13" s="76"/>
      <c r="BY13" s="76"/>
      <c r="BZ13" s="76"/>
      <c r="CA13" s="76"/>
      <c r="CB13" s="77"/>
      <c r="CC13" s="76"/>
      <c r="CD13" s="77"/>
      <c r="CE13" s="76"/>
      <c r="CF13" s="76"/>
      <c r="CG13" s="76"/>
      <c r="CH13" s="76"/>
      <c r="CI13" s="76"/>
      <c r="CJ13" s="77"/>
      <c r="CK13" s="76"/>
      <c r="CL13" s="77"/>
      <c r="CM13" s="76"/>
      <c r="CN13" s="76"/>
      <c r="CO13" s="76"/>
      <c r="CP13" s="76"/>
      <c r="CQ13" s="76"/>
      <c r="CR13" s="78" t="str">
        <f t="shared" si="15"/>
        <v/>
      </c>
      <c r="CS13" s="79" t="str">
        <f t="shared" si="16"/>
        <v/>
      </c>
      <c r="CT13" s="79" t="str">
        <f t="shared" si="17"/>
        <v/>
      </c>
      <c r="CU13" s="79" t="str">
        <f t="shared" si="18"/>
        <v/>
      </c>
      <c r="CV13" s="79" t="str">
        <f t="shared" si="19"/>
        <v/>
      </c>
      <c r="CW13" s="79" t="str">
        <f t="shared" si="20"/>
        <v/>
      </c>
      <c r="CX13" s="79" t="str">
        <f t="shared" si="21"/>
        <v/>
      </c>
      <c r="CY13" s="79" t="str">
        <f t="shared" si="22"/>
        <v/>
      </c>
      <c r="CZ13" s="79" t="str">
        <f t="shared" si="23"/>
        <v/>
      </c>
      <c r="DA13" s="79" t="str">
        <f t="shared" si="24"/>
        <v/>
      </c>
      <c r="DB13" s="79" t="str">
        <f t="shared" si="25"/>
        <v/>
      </c>
      <c r="DC13" s="79" t="str">
        <f t="shared" si="26"/>
        <v/>
      </c>
      <c r="DD13" s="79" t="str">
        <f t="shared" si="27"/>
        <v/>
      </c>
      <c r="DE13" s="79" t="str">
        <f t="shared" si="28"/>
        <v/>
      </c>
      <c r="DF13" s="79" t="str">
        <f t="shared" si="29"/>
        <v/>
      </c>
      <c r="DG13" s="79" t="str">
        <f t="shared" si="30"/>
        <v/>
      </c>
      <c r="DH13" s="76"/>
      <c r="DI13" s="78"/>
      <c r="DJ13" s="76"/>
      <c r="DK13" s="77"/>
      <c r="DL13" s="77"/>
      <c r="DM13" s="77"/>
      <c r="DN13" s="80"/>
      <c r="DO13" s="80"/>
      <c r="DP13" s="92" t="str">
        <f>IF(Table1[Start Date]="","",IF(Table1[Start Date]&gt;42185,"",IF(AND(Table1[Leaving Date]&gt;1,Table1[Leaving Date]&lt;42095),"",1)))</f>
        <v/>
      </c>
      <c r="DQ13" s="92" t="str">
        <f>IF(Table1[Start Date]="","",IF(Table1[Start Date]&gt;42277,"",IF(AND(Table1[Leaving Date]&gt;1,Table1[Leaving Date]&lt;42186),"",1)))</f>
        <v/>
      </c>
      <c r="DR13" s="92" t="str">
        <f>IF(Table1[Start Date]="","",IF(Table1[Start Date]&gt;42369,"",IF(AND(Table1[Leaving Date]&gt;1,Table1[Leaving Date]&lt;42278),"",1)))</f>
        <v/>
      </c>
      <c r="DS13" s="92" t="str">
        <f>IF(Table1[Start Date]="","",IF(Table1[Start Date]&gt;42460,"",IF(AND(Table1[Leaving Date]&gt;1,Table1[Leaving Date]&lt;42370),"",1)))</f>
        <v/>
      </c>
      <c r="DT13" s="92" t="str">
        <f>IF(Table1[Start Date]="","",IF(Table1[Start Date]&gt;42551,"",IF(AND(Table1[Leaving Date]&gt;1,Table1[Leaving Date]&lt;42461),"",1)))</f>
        <v/>
      </c>
      <c r="DU13" s="92" t="str">
        <f>IF(Table1[Start Date]="","",IF(Table1[Start Date]&gt;42643,"",IF(AND(Table1[Leaving Date]&gt;1,Table1[Leaving Date]&lt;42552),"",1)))</f>
        <v/>
      </c>
      <c r="DV13" s="92" t="str">
        <f>IF(Table1[Start Date]="","",IF(Table1[Start Date]&gt;42735,"",IF(AND(Table1[Leaving Date]&gt;1,Table1[Leaving Date]&lt;42644),"",1)))</f>
        <v/>
      </c>
      <c r="DW13" s="92" t="str">
        <f>IF(Table1[Start Date]="","",IF(Table1[Start Date]&gt;42825,"",IF(AND(Table1[Leaving Date]&gt;1,Table1[Leaving Date]&lt;42736),"",1)))</f>
        <v/>
      </c>
      <c r="DX13"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13" s="44" t="e">
        <f>VLOOKUP(Table1[Referral Source],Lists!$G$2:$H$20,2,FALSE)</f>
        <v>#N/A</v>
      </c>
      <c r="DZ13" s="93" t="e">
        <f>SUM(Table1[Data Referral Quarter]+Table1[Data Referral Source])</f>
        <v>#N/A</v>
      </c>
      <c r="EA13" s="44" t="b">
        <f>IF(Table1[Referral Decision]="Accepted",100,IF(Table1[Referral Decision]="Rejected by Provider",200,IF(Table1[Referral Decision]="Rejected by Applicant",300)))</f>
        <v>0</v>
      </c>
      <c r="EB13" s="44">
        <f>SUM(Table1[Data Referral Quarter]+Table1[Data Referral Decision])</f>
        <v>0</v>
      </c>
      <c r="EC13" s="44" t="b">
        <f>IF(Table1[Start Date]&gt;42735,8000,IF(Table1[Start Date]&gt;42643,7000,IF(Table1[Start Date]&gt;42551,6000,IF(Table1[Start Date]&gt;42460,5000,IF(Table1[Start Date]&gt;42369,4000,IF(Table1[Start Date]&gt;42277,3000,IF(Table1[Start Date]&gt;42185,2000,IF(Table1[Start Date]&gt;42094,1000))))))))</f>
        <v>0</v>
      </c>
      <c r="ED13" s="44" t="str">
        <f>IF(Table1[Start Date]="","",IF(Table1[Current Local Authority]="Swindon",1,"2"))</f>
        <v/>
      </c>
      <c r="EE13" s="44" t="e">
        <f>SUM(Table1[Data Start Date]+Table1[Data Local Authority])</f>
        <v>#VALUE!</v>
      </c>
      <c r="EF13" s="44">
        <f>IF(Table1[Registered with GP]="Yes",1,0)</f>
        <v>0</v>
      </c>
      <c r="EG13" s="44">
        <f>SUM(Table1[Data Start Date]+Table1[Data GP Start])</f>
        <v>0</v>
      </c>
      <c r="EH13" s="44" t="str">
        <f>IF(Table1[EET]="NEET",1,IF(Table1[EET]="Education",2,IF(Table1[EET]="Employment",2,IF(Table1[EET]="Training",2,IF(Table1[EET]="Retired",3,"")))))</f>
        <v/>
      </c>
      <c r="EI13" s="44" t="e">
        <f>Table1[Data Start Date]+Table1[Data EET Start]</f>
        <v>#VALUE!</v>
      </c>
      <c r="EJ13" s="44" t="b">
        <f>IF(Table1[Leaving Date]&gt;42735,8000,IF(Table1[Leaving Date]&gt;42643,7000,IF(Table1[Leaving Date]&gt;42551,6000,IF(Table1[Leaving Date]&gt;42460,5000,IF(Table1[Leaving Date]&gt;42369,4000,IF(Table1[Leaving Date]&gt;42277,3000,IF(Table1[Leaving Date]&gt;42185,2000,IF(Table1[Leaving Date]&gt;42094,1000))))))))</f>
        <v>0</v>
      </c>
      <c r="EK13" s="44" t="e">
        <f>VLOOKUP(Table1[Reason for Leaving],Lists!$T$2:$U$15,2,FALSE)</f>
        <v>#N/A</v>
      </c>
      <c r="EL13" s="44" t="e">
        <f>SUM(Table1[Data Leavers Date]+Table1[Data Move On])</f>
        <v>#N/A</v>
      </c>
      <c r="EM13" s="44" t="b">
        <f>IF(Table1[Registered with GP2]="Yes",1,IF(Table1[Registered with GP2]="No",0,IF(Table1[Registered with GP]="Yes",1,IF(Table1[Registered with GP]="No",0))))</f>
        <v>0</v>
      </c>
      <c r="EN13" s="44">
        <f>SUM(Table1[Data Leavers Date]+Table1[Data GP End])</f>
        <v>0</v>
      </c>
      <c r="EO13" s="44" t="str">
        <f>IF(Table1[EET2]="NEET",1,IF(Table1[EET2]="Employment",2,IF(Table1[EET2]="Education",2,IF(Table1[EET2]="Training",2,IF(Table1[EET2]="Retired",3,IF(Table1[EET]="NEET",1,IF(Table1[EET]="Employment",2,IF(Table1[EET]="Education",2,IF(Table1[EET]="Training",2,IF(Table1[EET]="Retired",3,""))))))))))</f>
        <v/>
      </c>
      <c r="EP13" s="44" t="e">
        <f>+Table1[[#This Row],[Data Leavers Date]]+Table1[[#This Row],[Data EET End]]</f>
        <v>#VALUE!</v>
      </c>
      <c r="EQ13" s="44">
        <f>IF(Table1[Exit Form Received]="Yes",1,0)</f>
        <v>0</v>
      </c>
      <c r="ER13" s="44">
        <f>+Table1[[#This Row],[Data Leavers Date]]+Table1[[#This Row],[Data Exit Forms]]</f>
        <v>0</v>
      </c>
      <c r="ES13" s="44" t="str">
        <f>IF(Table1[Data Leavers Date]=1000,SUM(Table1[Leaving Date]-Table1[Start Date]),"")</f>
        <v/>
      </c>
      <c r="ET13" s="44" t="str">
        <f>IF(Table1[Data Leavers Date]=2000,SUM(Table1[Leaving Date]-Table1[Start Date]),"")</f>
        <v/>
      </c>
      <c r="EU13" s="44" t="str">
        <f>IF(Table1[Data Leavers Date]=3000,SUM(Table1[Leaving Date]-Table1[Start Date]),"")</f>
        <v/>
      </c>
      <c r="EV13" s="44" t="str">
        <f>IF(Table1[Data Leavers Date]=4000,SUM(Table1[Leaving Date]-Table1[Start Date]),"")</f>
        <v/>
      </c>
      <c r="EW13" s="44" t="str">
        <f>IF(Table1[Data Leavers Date]=5000,SUM(Table1[Leaving Date]-Table1[Start Date]),"")</f>
        <v/>
      </c>
      <c r="EX13" s="44" t="str">
        <f>IF(Table1[Data Leavers Date]=6000,SUM(Table1[Leaving Date]-Table1[Start Date]),"")</f>
        <v/>
      </c>
      <c r="EY13" s="44" t="str">
        <f>IF(Table1[Data Leavers Date]=7000,SUM(Table1[Leaving Date]-Table1[Start Date]),"")</f>
        <v/>
      </c>
      <c r="EZ13" s="44" t="str">
        <f>IF(Table1[Data Leavers Date]=8000,SUM(Table1[Leaving Date]-Table1[Start Date]),"")</f>
        <v/>
      </c>
      <c r="FA13" s="44" t="str">
        <f>IF(Table1[Date of Initial Assessment]="","",IF(AND(Table1[Start Date]&gt;42094,Table1[Start Date]&lt;42461),Table1[Motivation and Taking Responsibility],""))</f>
        <v/>
      </c>
      <c r="FB13" s="44" t="str">
        <f>IF(Table1[Date of Initial Assessment]="","",IF(AND(Table1[Start Date]&gt;42094,Table1[Start Date]&lt;42461),Table1[Self-Care and Living Skills],""))</f>
        <v/>
      </c>
      <c r="FC13" s="44" t="str">
        <f>IF(Table1[Date of Initial Assessment]="","",IF(AND(Table1[Start Date]&gt;42094,Table1[Start Date]&lt;42461),Table1[Managing Money and Personal Administration],""))</f>
        <v/>
      </c>
      <c r="FD13" s="44" t="str">
        <f>IF(Table1[Date of Initial Assessment]="","",IF(AND(Table1[Start Date]&gt;42094,Table1[Start Date]&lt;42461),Table1[Social Networks and Relationships],""))</f>
        <v/>
      </c>
      <c r="FE13" s="44" t="str">
        <f>IF(Table1[Date of Initial Assessment]="","",IF(AND(Table1[Start Date]&gt;42094,Table1[Start Date]&lt;42461),Table1[Drug and Alcohol Misuse],""))</f>
        <v/>
      </c>
      <c r="FF13" s="44" t="str">
        <f>IF(Table1[Date of Initial Assessment]="","",IF(AND(Table1[Start Date]&gt;42094,Table1[Start Date]&lt;42461),Table1[Physical Health],""))</f>
        <v/>
      </c>
      <c r="FG13" s="44" t="str">
        <f>IF(Table1[Date of Initial Assessment]="","",IF(AND(Table1[Start Date]&gt;42094,Table1[Start Date]&lt;42461),Table1[Emotional and Mental Health],""))</f>
        <v/>
      </c>
      <c r="FH13" s="44" t="str">
        <f>IF(Table1[Date of Initial Assessment]="","",IF(AND(Table1[Start Date]&gt;42094,Table1[Start Date]&lt;42461),Table1[Meaningful Use of Time],""))</f>
        <v/>
      </c>
      <c r="FI13" s="44" t="str">
        <f>IF(Table1[Date of Initial Assessment]="","",IF(AND(Table1[Start Date]&gt;42094,Table1[Start Date]&lt;42461),Table1[Managing Tenancy and Accommodation],""))</f>
        <v/>
      </c>
      <c r="FJ13" s="44" t="str">
        <f>IF(Table1[Date of Initial Assessment]="","",IF(AND(Table1[Start Date]&gt;42094,Table1[Start Date]&lt;42461),Table1[Offending],""))</f>
        <v/>
      </c>
      <c r="FK13" s="44" t="str">
        <f>IF(Table1[Leaving Date]="","",IF(Table1[Date of Initial Assessment]="","",IF(AND(Table1[Leaving Date]&gt;42094,Table1[Leaving Date]&lt;42461),IF(Table1[Date of Last Assessment]="",Table1[Motivation and Taking Responsibility],Table1[Motivation and Taking Responsibility2]),"")))</f>
        <v/>
      </c>
      <c r="FL13" s="44" t="str">
        <f>IF(Table1[Leaving Date]="","",IF(Table1[Date of Initial Assessment]="","",IF(AND(Table1[Leaving Date]&gt;42094,Table1[Leaving Date]&lt;42461),IF(Table1[Date of Last Assessment]="",Table1[Self-Care and Living Skills],Table1[Self-Care and Living Skills2]),"")))</f>
        <v/>
      </c>
      <c r="FM13" s="44" t="str">
        <f>IF(Table1[Leaving Date]="","",IF(Table1[Date of Initial Assessment]="","",IF(AND(Table1[Leaving Date]&gt;42094,Table1[Leaving Date]&lt;42461),IF(Table1[Date of Last Assessment]="",Table1[Managing Money and Personal Administration],Table1[Managing Money and Personal Administration2]),"")))</f>
        <v/>
      </c>
      <c r="FN13" s="44" t="str">
        <f>IF(Table1[Leaving Date]="","",IF(Table1[Date of Initial Assessment]="","",IF(AND(Table1[Leaving Date]&gt;42094,Table1[Leaving Date]&lt;42461),IF(Table1[Date of Last Assessment]="",Table1[Social Networks and Relationships],Table1[Social Networks and Relationships2]),"")))</f>
        <v/>
      </c>
      <c r="FO13" s="44" t="str">
        <f>IF(Table1[Leaving Date]="","",IF(Table1[Date of Initial Assessment]="","",IF(AND(Table1[Leaving Date]&gt;42094,Table1[Leaving Date]&lt;42461),IF(Table1[Date of Last Assessment]="",Table1[Drug and Alcohol Misuse],Table1[Drug and Alcohol Misuse2]),"")))</f>
        <v/>
      </c>
      <c r="FP13" s="44" t="str">
        <f>IF(Table1[Leaving Date]="","",IF(Table1[Date of Initial Assessment]="","",IF(AND(Table1[Leaving Date]&gt;42094,Table1[Leaving Date]&lt;42461),IF(Table1[Date of Last Assessment]="",Table1[Physical Health],Table1[Physical Health2]),"")))</f>
        <v/>
      </c>
      <c r="FQ13" s="44" t="str">
        <f>IF(Table1[Leaving Date]="","",IF(Table1[Date of Initial Assessment]="","",IF(AND(Table1[Leaving Date]&gt;42094,Table1[Leaving Date]&lt;42461),IF(Table1[Date of Last Assessment]="",Table1[Emotional and Mental Health],Table1[Emotional and Mental Health2]),"")))</f>
        <v/>
      </c>
      <c r="FR13" s="44" t="str">
        <f>IF(Table1[Leaving Date]="","",IF(Table1[Date of Initial Assessment]="","",IF(AND(Table1[Leaving Date]&gt;42094,Table1[Leaving Date]&lt;42461),IF(Table1[Date of Last Assessment]="",Table1[Meaningful Use of Time],Table1[Meaningful Use of Time2]),"")))</f>
        <v/>
      </c>
      <c r="FS13" s="44" t="str">
        <f>IF(Table1[Leaving Date]="","",IF(Table1[Date of Initial Assessment]="","",IF(AND(Table1[Leaving Date]&gt;42094,Table1[Leaving Date]&lt;42461),IF(Table1[Date of Last Assessment]="",Table1[Managing Tenancy and Accommodation],Table1[Managing Tenancy and Accommodation2]),"")))</f>
        <v/>
      </c>
      <c r="FT13" s="44" t="str">
        <f>IF(Table1[Leaving Date]="","",IF(Table1[Date of Initial Assessment]="","",IF(AND(Table1[Leaving Date]&gt;42094,Table1[Leaving Date]&lt;42461),IF(Table1[Date of Last Assessment]="",Table1[Offending],Table1[Offending2]),"")))</f>
        <v/>
      </c>
      <c r="FU13" s="44" t="str">
        <f>IF(Table1[Date of Initial Assessment]="","",IF(AND(Table1[Start Date]&gt;42460,Table1[Start Date]&lt;42826),Table1[Motivation and Taking Responsibility],""))</f>
        <v/>
      </c>
      <c r="FV13" s="44" t="str">
        <f>IF(Table1[Date of Initial Assessment]="","",IF(AND(Table1[Start Date]&gt;42460,Table1[Start Date]&lt;42826),Table1[Self-Care and Living Skills],""))</f>
        <v/>
      </c>
      <c r="FW13" s="44" t="str">
        <f>IF(Table1[Date of Initial Assessment]="","",IF(AND(Table1[Start Date]&gt;42460,Table1[Start Date]&lt;42826),Table1[Managing Money and Personal Administration],""))</f>
        <v/>
      </c>
      <c r="FX13" s="44" t="str">
        <f>IF(Table1[Date of Initial Assessment]="","",IF(AND(Table1[Start Date]&gt;42460,Table1[Start Date]&lt;42826),Table1[Social Networks and Relationships],""))</f>
        <v/>
      </c>
      <c r="FY13" s="44" t="str">
        <f>IF(Table1[Date of Initial Assessment]="","",IF(AND(Table1[Start Date]&gt;42460,Table1[Start Date]&lt;42826),Table1[Drug and Alcohol Misuse],""))</f>
        <v/>
      </c>
      <c r="FZ13" s="44" t="str">
        <f>IF(Table1[Date of Initial Assessment]="","",IF(AND(Table1[Start Date]&gt;42460,Table1[Start Date]&lt;42826),Table1[Physical Health],""))</f>
        <v/>
      </c>
      <c r="GA13" s="44" t="str">
        <f>IF(Table1[Date of Initial Assessment]="","",IF(AND(Table1[Start Date]&gt;42460,Table1[Start Date]&lt;42826),Table1[Emotional and Mental Health],""))</f>
        <v/>
      </c>
      <c r="GB13" s="44" t="str">
        <f>IF(Table1[Date of Initial Assessment]="","",IF(AND(Table1[Start Date]&gt;42460,Table1[Start Date]&lt;42826),Table1[Meaningful Use of Time],""))</f>
        <v/>
      </c>
      <c r="GC13" s="44" t="str">
        <f>IF(Table1[Date of Initial Assessment]="","",IF(AND(Table1[Start Date]&gt;42460,Table1[Start Date]&lt;42826),Table1[Managing Tenancy and Accommodation],""))</f>
        <v/>
      </c>
      <c r="GD13" s="44" t="str">
        <f>IF(Table1[Date of Initial Assessment]="","",IF(AND(Table1[Start Date]&gt;42460,Table1[Start Date]&lt;42826),Table1[Offending],""))</f>
        <v/>
      </c>
      <c r="GE13" s="44" t="str">
        <f>IF(Table1[Leaving Date]="","",IF(AND(Table1[Leaving Date]&gt;42460,Table1[Leaving Date]&lt;42826),IF(Table1[Date of Last Assessment]="",Table1[Motivation and Taking Responsibility],Table1[Motivation and Taking Responsibility2]),""))</f>
        <v/>
      </c>
      <c r="GF13" s="44" t="str">
        <f>IF(Table1[Leaving Date]="","",IF(AND(Table1[Leaving Date]&gt;42460,Table1[Leaving Date]&lt;42826),IF(Table1[Date of Last Assessment]="",Table1[Self-Care and Living Skills],Table1[Self-Care and Living Skills2]),""))</f>
        <v/>
      </c>
      <c r="GG13" s="44" t="str">
        <f>IF(Table1[Leaving Date]="","",IF(AND(Table1[Leaving Date]&gt;42460,Table1[Leaving Date]&lt;42826),IF(Table1[Date of Last Assessment]="",Table1[Managing Money and Personal Administration],Table1[Managing Money and Personal Administration2]),""))</f>
        <v/>
      </c>
      <c r="GH13" s="44" t="str">
        <f>IF(Table1[Leaving Date]="","",IF(AND(Table1[Leaving Date]&gt;42460,Table1[Leaving Date]&lt;42826),IF(Table1[Date of Last Assessment]="",Table1[Social Networks and Relationships],Table1[Social Networks and Relationships2]),""))</f>
        <v/>
      </c>
      <c r="GI13" s="44" t="str">
        <f>IF(Table1[Leaving Date]="","",IF(AND(Table1[Leaving Date]&gt;42460,Table1[Leaving Date]&lt;42826),IF(Table1[Date of Last Assessment]="",Table1[Drug and Alcohol Misuse],Table1[Drug and Alcohol Misuse2]),""))</f>
        <v/>
      </c>
      <c r="GJ13" s="44" t="str">
        <f>IF(Table1[Leaving Date]="","",IF(AND(Table1[Leaving Date]&gt;42460,Table1[Leaving Date]&lt;42826),IF(Table1[Date of Last Assessment]="",Table1[Physical Health],Table1[Physical Health2]),""))</f>
        <v/>
      </c>
      <c r="GK13" s="44" t="str">
        <f>IF(Table1[Leaving Date]="","",IF(AND(Table1[Leaving Date]&gt;42460,Table1[Leaving Date]&lt;42826),IF(Table1[Date of Last Assessment]="",Table1[Emotional and Mental Health],Table1[Emotional and Mental Health2]),""))</f>
        <v/>
      </c>
      <c r="GL13" s="44" t="str">
        <f>IF(Table1[Leaving Date]="","",IF(AND(Table1[Leaving Date]&gt;42460,Table1[Leaving Date]&lt;42826),IF(Table1[Date of Last Assessment]="",Table1[Meaningful Use of Time],Table1[Meaningful Use of Time2]),""))</f>
        <v/>
      </c>
      <c r="GM13" s="44" t="str">
        <f>IF(Table1[Leaving Date]="","",IF(AND(Table1[Leaving Date]&gt;42460,Table1[Leaving Date]&lt;42826),IF(Table1[Date of Last Assessment]="",Table1[Managing Tenancy and Accommodation],Table1[Managing Tenancy and Accommodation2]),""))</f>
        <v/>
      </c>
      <c r="GN13" s="44" t="str">
        <f>IF(Table1[Leaving Date]="","",IF(AND(Table1[Leaving Date]&gt;42460,Table1[Leaving Date]&lt;42826),IF(Table1[Date of Last Assessment]="",Table1[Offending],Table1[Offending2]),""))</f>
        <v/>
      </c>
    </row>
    <row r="14" spans="2:196" ht="20.100000000000001" customHeight="1" x14ac:dyDescent="0.2">
      <c r="B14" s="86">
        <f>+'Service Data'!$C$5:$C$5</f>
        <v>0</v>
      </c>
      <c r="C14" s="86"/>
      <c r="D14" s="86"/>
      <c r="E14" s="86"/>
      <c r="F14" s="86"/>
      <c r="G14" s="86"/>
      <c r="H14" s="6"/>
      <c r="I14" s="99" t="str">
        <f ca="1">IF(Table1[[#This Row],[Date of Birth]]="","",SUM(TODAY()-Table1[[#This Row],[Date of Birth]])/365)</f>
        <v/>
      </c>
      <c r="L14" s="86"/>
      <c r="M14" s="77"/>
      <c r="N14" s="86"/>
      <c r="O14" s="86"/>
      <c r="P14" s="91"/>
      <c r="Q14" s="86"/>
      <c r="R14" s="77"/>
      <c r="S14" s="77"/>
      <c r="T14" s="68"/>
      <c r="U14" s="68"/>
      <c r="V14" s="67"/>
      <c r="W14" s="67"/>
      <c r="X14" s="67"/>
      <c r="Y14" s="67"/>
      <c r="Z14" s="67"/>
      <c r="AA14" s="67"/>
      <c r="AB14" s="67"/>
      <c r="AC14" s="67"/>
      <c r="AD14" s="67"/>
      <c r="AE14" s="67"/>
      <c r="AF14" s="67"/>
      <c r="AG14" s="67"/>
      <c r="AH14" s="67"/>
      <c r="AI14" s="67"/>
      <c r="AJ14" s="67"/>
      <c r="AK14" s="67"/>
      <c r="AL14" s="67"/>
      <c r="AM14" s="67"/>
      <c r="AN14" s="77"/>
      <c r="AO14" s="76"/>
      <c r="AP14" s="77"/>
      <c r="AQ14" s="76"/>
      <c r="AR14" s="76"/>
      <c r="AS14" s="76"/>
      <c r="AT14" s="76"/>
      <c r="AU14" s="76"/>
      <c r="AV14" s="77"/>
      <c r="AW14" s="76"/>
      <c r="AX14" s="77"/>
      <c r="AY14" s="76"/>
      <c r="AZ14" s="76"/>
      <c r="BA14" s="76"/>
      <c r="BB14" s="76"/>
      <c r="BC14" s="76"/>
      <c r="BD14" s="77"/>
      <c r="BE14" s="76"/>
      <c r="BF14" s="77"/>
      <c r="BG14" s="76"/>
      <c r="BH14" s="76"/>
      <c r="BI14" s="76"/>
      <c r="BJ14" s="76"/>
      <c r="BK14" s="76"/>
      <c r="BL14" s="77"/>
      <c r="BM14" s="76"/>
      <c r="BN14" s="77"/>
      <c r="BO14" s="76"/>
      <c r="BP14" s="76"/>
      <c r="BQ14" s="76"/>
      <c r="BR14" s="76"/>
      <c r="BS14" s="76"/>
      <c r="BT14" s="77"/>
      <c r="BU14" s="76"/>
      <c r="BV14" s="77"/>
      <c r="BW14" s="76"/>
      <c r="BX14" s="76"/>
      <c r="BY14" s="76"/>
      <c r="BZ14" s="76"/>
      <c r="CA14" s="76"/>
      <c r="CB14" s="77"/>
      <c r="CC14" s="76"/>
      <c r="CD14" s="77"/>
      <c r="CE14" s="76"/>
      <c r="CF14" s="76"/>
      <c r="CG14" s="76"/>
      <c r="CH14" s="76"/>
      <c r="CI14" s="76"/>
      <c r="CJ14" s="77"/>
      <c r="CK14" s="76"/>
      <c r="CL14" s="77"/>
      <c r="CM14" s="76"/>
      <c r="CN14" s="76"/>
      <c r="CO14" s="76"/>
      <c r="CP14" s="76"/>
      <c r="CQ14" s="76"/>
      <c r="CR14" s="78" t="str">
        <f t="shared" si="15"/>
        <v/>
      </c>
      <c r="CS14" s="79" t="str">
        <f t="shared" si="16"/>
        <v/>
      </c>
      <c r="CT14" s="79" t="str">
        <f t="shared" si="17"/>
        <v/>
      </c>
      <c r="CU14" s="79" t="str">
        <f t="shared" si="18"/>
        <v/>
      </c>
      <c r="CV14" s="79" t="str">
        <f t="shared" si="19"/>
        <v/>
      </c>
      <c r="CW14" s="79" t="str">
        <f t="shared" si="20"/>
        <v/>
      </c>
      <c r="CX14" s="79" t="str">
        <f t="shared" si="21"/>
        <v/>
      </c>
      <c r="CY14" s="79" t="str">
        <f t="shared" si="22"/>
        <v/>
      </c>
      <c r="CZ14" s="79" t="str">
        <f t="shared" si="23"/>
        <v/>
      </c>
      <c r="DA14" s="79" t="str">
        <f t="shared" si="24"/>
        <v/>
      </c>
      <c r="DB14" s="79" t="str">
        <f t="shared" si="25"/>
        <v/>
      </c>
      <c r="DC14" s="79" t="str">
        <f t="shared" si="26"/>
        <v/>
      </c>
      <c r="DD14" s="79" t="str">
        <f t="shared" si="27"/>
        <v/>
      </c>
      <c r="DE14" s="79" t="str">
        <f t="shared" si="28"/>
        <v/>
      </c>
      <c r="DF14" s="79" t="str">
        <f t="shared" si="29"/>
        <v/>
      </c>
      <c r="DG14" s="79" t="str">
        <f t="shared" si="30"/>
        <v/>
      </c>
      <c r="DH14" s="76"/>
      <c r="DI14" s="78"/>
      <c r="DJ14" s="76"/>
      <c r="DK14" s="77"/>
      <c r="DL14" s="77"/>
      <c r="DM14" s="77"/>
      <c r="DN14" s="80"/>
      <c r="DO14" s="80"/>
      <c r="DP14" s="92" t="str">
        <f>IF(Table1[Start Date]="","",IF(Table1[Start Date]&gt;42185,"",IF(AND(Table1[Leaving Date]&gt;1,Table1[Leaving Date]&lt;42095),"",1)))</f>
        <v/>
      </c>
      <c r="DQ14" s="92" t="str">
        <f>IF(Table1[Start Date]="","",IF(Table1[Start Date]&gt;42277,"",IF(AND(Table1[Leaving Date]&gt;1,Table1[Leaving Date]&lt;42186),"",1)))</f>
        <v/>
      </c>
      <c r="DR14" s="92" t="str">
        <f>IF(Table1[Start Date]="","",IF(Table1[Start Date]&gt;42369,"",IF(AND(Table1[Leaving Date]&gt;1,Table1[Leaving Date]&lt;42278),"",1)))</f>
        <v/>
      </c>
      <c r="DS14" s="92" t="str">
        <f>IF(Table1[Start Date]="","",IF(Table1[Start Date]&gt;42460,"",IF(AND(Table1[Leaving Date]&gt;1,Table1[Leaving Date]&lt;42370),"",1)))</f>
        <v/>
      </c>
      <c r="DT14" s="92" t="str">
        <f>IF(Table1[Start Date]="","",IF(Table1[Start Date]&gt;42551,"",IF(AND(Table1[Leaving Date]&gt;1,Table1[Leaving Date]&lt;42461),"",1)))</f>
        <v/>
      </c>
      <c r="DU14" s="92" t="str">
        <f>IF(Table1[Start Date]="","",IF(Table1[Start Date]&gt;42643,"",IF(AND(Table1[Leaving Date]&gt;1,Table1[Leaving Date]&lt;42552),"",1)))</f>
        <v/>
      </c>
      <c r="DV14" s="92" t="str">
        <f>IF(Table1[Start Date]="","",IF(Table1[Start Date]&gt;42735,"",IF(AND(Table1[Leaving Date]&gt;1,Table1[Leaving Date]&lt;42644),"",1)))</f>
        <v/>
      </c>
      <c r="DW14" s="92" t="str">
        <f>IF(Table1[Start Date]="","",IF(Table1[Start Date]&gt;42825,"",IF(AND(Table1[Leaving Date]&gt;1,Table1[Leaving Date]&lt;42736),"",1)))</f>
        <v/>
      </c>
      <c r="DX14"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14" s="44" t="e">
        <f>VLOOKUP(Table1[Referral Source],Lists!$G$2:$H$20,2,FALSE)</f>
        <v>#N/A</v>
      </c>
      <c r="DZ14" s="93" t="e">
        <f>SUM(Table1[Data Referral Quarter]+Table1[Data Referral Source])</f>
        <v>#N/A</v>
      </c>
      <c r="EA14" s="44" t="b">
        <f>IF(Table1[Referral Decision]="Accepted",100,IF(Table1[Referral Decision]="Rejected by Provider",200,IF(Table1[Referral Decision]="Rejected by Applicant",300)))</f>
        <v>0</v>
      </c>
      <c r="EB14" s="44">
        <f>SUM(Table1[Data Referral Quarter]+Table1[Data Referral Decision])</f>
        <v>0</v>
      </c>
      <c r="EC14" s="44" t="b">
        <f>IF(Table1[Start Date]&gt;42735,8000,IF(Table1[Start Date]&gt;42643,7000,IF(Table1[Start Date]&gt;42551,6000,IF(Table1[Start Date]&gt;42460,5000,IF(Table1[Start Date]&gt;42369,4000,IF(Table1[Start Date]&gt;42277,3000,IF(Table1[Start Date]&gt;42185,2000,IF(Table1[Start Date]&gt;42094,1000))))))))</f>
        <v>0</v>
      </c>
      <c r="ED14" s="44" t="str">
        <f>IF(Table1[Start Date]="","",IF(Table1[Current Local Authority]="Swindon",1,"2"))</f>
        <v/>
      </c>
      <c r="EE14" s="44" t="e">
        <f>SUM(Table1[Data Start Date]+Table1[Data Local Authority])</f>
        <v>#VALUE!</v>
      </c>
      <c r="EF14" s="44">
        <f>IF(Table1[Registered with GP]="Yes",1,0)</f>
        <v>0</v>
      </c>
      <c r="EG14" s="44">
        <f>SUM(Table1[Data Start Date]+Table1[Data GP Start])</f>
        <v>0</v>
      </c>
      <c r="EH14" s="44" t="str">
        <f>IF(Table1[EET]="NEET",1,IF(Table1[EET]="Education",2,IF(Table1[EET]="Employment",2,IF(Table1[EET]="Training",2,IF(Table1[EET]="Retired",3,"")))))</f>
        <v/>
      </c>
      <c r="EI14" s="44" t="e">
        <f>Table1[Data Start Date]+Table1[Data EET Start]</f>
        <v>#VALUE!</v>
      </c>
      <c r="EJ14" s="44" t="b">
        <f>IF(Table1[Leaving Date]&gt;42735,8000,IF(Table1[Leaving Date]&gt;42643,7000,IF(Table1[Leaving Date]&gt;42551,6000,IF(Table1[Leaving Date]&gt;42460,5000,IF(Table1[Leaving Date]&gt;42369,4000,IF(Table1[Leaving Date]&gt;42277,3000,IF(Table1[Leaving Date]&gt;42185,2000,IF(Table1[Leaving Date]&gt;42094,1000))))))))</f>
        <v>0</v>
      </c>
      <c r="EK14" s="44" t="e">
        <f>VLOOKUP(Table1[Reason for Leaving],Lists!$T$2:$U$15,2,FALSE)</f>
        <v>#N/A</v>
      </c>
      <c r="EL14" s="44" t="e">
        <f>SUM(Table1[Data Leavers Date]+Table1[Data Move On])</f>
        <v>#N/A</v>
      </c>
      <c r="EM14" s="44" t="b">
        <f>IF(Table1[Registered with GP2]="Yes",1,IF(Table1[Registered with GP2]="No",0,IF(Table1[Registered with GP]="Yes",1,IF(Table1[Registered with GP]="No",0))))</f>
        <v>0</v>
      </c>
      <c r="EN14" s="44">
        <f>SUM(Table1[Data Leavers Date]+Table1[Data GP End])</f>
        <v>0</v>
      </c>
      <c r="EO14" s="44" t="str">
        <f>IF(Table1[EET2]="NEET",1,IF(Table1[EET2]="Employment",2,IF(Table1[EET2]="Education",2,IF(Table1[EET2]="Training",2,IF(Table1[EET2]="Retired",3,IF(Table1[EET]="NEET",1,IF(Table1[EET]="Employment",2,IF(Table1[EET]="Education",2,IF(Table1[EET]="Training",2,IF(Table1[EET]="Retired",3,""))))))))))</f>
        <v/>
      </c>
      <c r="EP14" s="44" t="e">
        <f>+Table1[[#This Row],[Data Leavers Date]]+Table1[[#This Row],[Data EET End]]</f>
        <v>#VALUE!</v>
      </c>
      <c r="EQ14" s="44">
        <f>IF(Table1[Exit Form Received]="Yes",1,0)</f>
        <v>0</v>
      </c>
      <c r="ER14" s="44">
        <f>+Table1[[#This Row],[Data Leavers Date]]+Table1[[#This Row],[Data Exit Forms]]</f>
        <v>0</v>
      </c>
      <c r="ES14" s="44" t="str">
        <f>IF(Table1[Data Leavers Date]=1000,SUM(Table1[Leaving Date]-Table1[Start Date]),"")</f>
        <v/>
      </c>
      <c r="ET14" s="44" t="str">
        <f>IF(Table1[Data Leavers Date]=2000,SUM(Table1[Leaving Date]-Table1[Start Date]),"")</f>
        <v/>
      </c>
      <c r="EU14" s="44" t="str">
        <f>IF(Table1[Data Leavers Date]=3000,SUM(Table1[Leaving Date]-Table1[Start Date]),"")</f>
        <v/>
      </c>
      <c r="EV14" s="44" t="str">
        <f>IF(Table1[Data Leavers Date]=4000,SUM(Table1[Leaving Date]-Table1[Start Date]),"")</f>
        <v/>
      </c>
      <c r="EW14" s="44" t="str">
        <f>IF(Table1[Data Leavers Date]=5000,SUM(Table1[Leaving Date]-Table1[Start Date]),"")</f>
        <v/>
      </c>
      <c r="EX14" s="44" t="str">
        <f>IF(Table1[Data Leavers Date]=6000,SUM(Table1[Leaving Date]-Table1[Start Date]),"")</f>
        <v/>
      </c>
      <c r="EY14" s="44" t="str">
        <f>IF(Table1[Data Leavers Date]=7000,SUM(Table1[Leaving Date]-Table1[Start Date]),"")</f>
        <v/>
      </c>
      <c r="EZ14" s="44" t="str">
        <f>IF(Table1[Data Leavers Date]=8000,SUM(Table1[Leaving Date]-Table1[Start Date]),"")</f>
        <v/>
      </c>
      <c r="FA14" s="44" t="str">
        <f>IF(Table1[Date of Initial Assessment]="","",IF(AND(Table1[Start Date]&gt;42094,Table1[Start Date]&lt;42461),Table1[Motivation and Taking Responsibility],""))</f>
        <v/>
      </c>
      <c r="FB14" s="44" t="str">
        <f>IF(Table1[Date of Initial Assessment]="","",IF(AND(Table1[Start Date]&gt;42094,Table1[Start Date]&lt;42461),Table1[Self-Care and Living Skills],""))</f>
        <v/>
      </c>
      <c r="FC14" s="44" t="str">
        <f>IF(Table1[Date of Initial Assessment]="","",IF(AND(Table1[Start Date]&gt;42094,Table1[Start Date]&lt;42461),Table1[Managing Money and Personal Administration],""))</f>
        <v/>
      </c>
      <c r="FD14" s="44" t="str">
        <f>IF(Table1[Date of Initial Assessment]="","",IF(AND(Table1[Start Date]&gt;42094,Table1[Start Date]&lt;42461),Table1[Social Networks and Relationships],""))</f>
        <v/>
      </c>
      <c r="FE14" s="44" t="str">
        <f>IF(Table1[Date of Initial Assessment]="","",IF(AND(Table1[Start Date]&gt;42094,Table1[Start Date]&lt;42461),Table1[Drug and Alcohol Misuse],""))</f>
        <v/>
      </c>
      <c r="FF14" s="44" t="str">
        <f>IF(Table1[Date of Initial Assessment]="","",IF(AND(Table1[Start Date]&gt;42094,Table1[Start Date]&lt;42461),Table1[Physical Health],""))</f>
        <v/>
      </c>
      <c r="FG14" s="44" t="str">
        <f>IF(Table1[Date of Initial Assessment]="","",IF(AND(Table1[Start Date]&gt;42094,Table1[Start Date]&lt;42461),Table1[Emotional and Mental Health],""))</f>
        <v/>
      </c>
      <c r="FH14" s="44" t="str">
        <f>IF(Table1[Date of Initial Assessment]="","",IF(AND(Table1[Start Date]&gt;42094,Table1[Start Date]&lt;42461),Table1[Meaningful Use of Time],""))</f>
        <v/>
      </c>
      <c r="FI14" s="44" t="str">
        <f>IF(Table1[Date of Initial Assessment]="","",IF(AND(Table1[Start Date]&gt;42094,Table1[Start Date]&lt;42461),Table1[Managing Tenancy and Accommodation],""))</f>
        <v/>
      </c>
      <c r="FJ14" s="44" t="str">
        <f>IF(Table1[Date of Initial Assessment]="","",IF(AND(Table1[Start Date]&gt;42094,Table1[Start Date]&lt;42461),Table1[Offending],""))</f>
        <v/>
      </c>
      <c r="FK14" s="44" t="str">
        <f>IF(Table1[Leaving Date]="","",IF(Table1[Date of Initial Assessment]="","",IF(AND(Table1[Leaving Date]&gt;42094,Table1[Leaving Date]&lt;42461),IF(Table1[Date of Last Assessment]="",Table1[Motivation and Taking Responsibility],Table1[Motivation and Taking Responsibility2]),"")))</f>
        <v/>
      </c>
      <c r="FL14" s="44" t="str">
        <f>IF(Table1[Leaving Date]="","",IF(Table1[Date of Initial Assessment]="","",IF(AND(Table1[Leaving Date]&gt;42094,Table1[Leaving Date]&lt;42461),IF(Table1[Date of Last Assessment]="",Table1[Self-Care and Living Skills],Table1[Self-Care and Living Skills2]),"")))</f>
        <v/>
      </c>
      <c r="FM14" s="44" t="str">
        <f>IF(Table1[Leaving Date]="","",IF(Table1[Date of Initial Assessment]="","",IF(AND(Table1[Leaving Date]&gt;42094,Table1[Leaving Date]&lt;42461),IF(Table1[Date of Last Assessment]="",Table1[Managing Money and Personal Administration],Table1[Managing Money and Personal Administration2]),"")))</f>
        <v/>
      </c>
      <c r="FN14" s="44" t="str">
        <f>IF(Table1[Leaving Date]="","",IF(Table1[Date of Initial Assessment]="","",IF(AND(Table1[Leaving Date]&gt;42094,Table1[Leaving Date]&lt;42461),IF(Table1[Date of Last Assessment]="",Table1[Social Networks and Relationships],Table1[Social Networks and Relationships2]),"")))</f>
        <v/>
      </c>
      <c r="FO14" s="44" t="str">
        <f>IF(Table1[Leaving Date]="","",IF(Table1[Date of Initial Assessment]="","",IF(AND(Table1[Leaving Date]&gt;42094,Table1[Leaving Date]&lt;42461),IF(Table1[Date of Last Assessment]="",Table1[Drug and Alcohol Misuse],Table1[Drug and Alcohol Misuse2]),"")))</f>
        <v/>
      </c>
      <c r="FP14" s="44" t="str">
        <f>IF(Table1[Leaving Date]="","",IF(Table1[Date of Initial Assessment]="","",IF(AND(Table1[Leaving Date]&gt;42094,Table1[Leaving Date]&lt;42461),IF(Table1[Date of Last Assessment]="",Table1[Physical Health],Table1[Physical Health2]),"")))</f>
        <v/>
      </c>
      <c r="FQ14" s="44" t="str">
        <f>IF(Table1[Leaving Date]="","",IF(Table1[Date of Initial Assessment]="","",IF(AND(Table1[Leaving Date]&gt;42094,Table1[Leaving Date]&lt;42461),IF(Table1[Date of Last Assessment]="",Table1[Emotional and Mental Health],Table1[Emotional and Mental Health2]),"")))</f>
        <v/>
      </c>
      <c r="FR14" s="44" t="str">
        <f>IF(Table1[Leaving Date]="","",IF(Table1[Date of Initial Assessment]="","",IF(AND(Table1[Leaving Date]&gt;42094,Table1[Leaving Date]&lt;42461),IF(Table1[Date of Last Assessment]="",Table1[Meaningful Use of Time],Table1[Meaningful Use of Time2]),"")))</f>
        <v/>
      </c>
      <c r="FS14" s="44" t="str">
        <f>IF(Table1[Leaving Date]="","",IF(Table1[Date of Initial Assessment]="","",IF(AND(Table1[Leaving Date]&gt;42094,Table1[Leaving Date]&lt;42461),IF(Table1[Date of Last Assessment]="",Table1[Managing Tenancy and Accommodation],Table1[Managing Tenancy and Accommodation2]),"")))</f>
        <v/>
      </c>
      <c r="FT14" s="44" t="str">
        <f>IF(Table1[Leaving Date]="","",IF(Table1[Date of Initial Assessment]="","",IF(AND(Table1[Leaving Date]&gt;42094,Table1[Leaving Date]&lt;42461),IF(Table1[Date of Last Assessment]="",Table1[Offending],Table1[Offending2]),"")))</f>
        <v/>
      </c>
      <c r="FU14" s="44" t="str">
        <f>IF(Table1[Date of Initial Assessment]="","",IF(AND(Table1[Start Date]&gt;42460,Table1[Start Date]&lt;42826),Table1[Motivation and Taking Responsibility],""))</f>
        <v/>
      </c>
      <c r="FV14" s="44" t="str">
        <f>IF(Table1[Date of Initial Assessment]="","",IF(AND(Table1[Start Date]&gt;42460,Table1[Start Date]&lt;42826),Table1[Self-Care and Living Skills],""))</f>
        <v/>
      </c>
      <c r="FW14" s="44" t="str">
        <f>IF(Table1[Date of Initial Assessment]="","",IF(AND(Table1[Start Date]&gt;42460,Table1[Start Date]&lt;42826),Table1[Managing Money and Personal Administration],""))</f>
        <v/>
      </c>
      <c r="FX14" s="44" t="str">
        <f>IF(Table1[Date of Initial Assessment]="","",IF(AND(Table1[Start Date]&gt;42460,Table1[Start Date]&lt;42826),Table1[Social Networks and Relationships],""))</f>
        <v/>
      </c>
      <c r="FY14" s="44" t="str">
        <f>IF(Table1[Date of Initial Assessment]="","",IF(AND(Table1[Start Date]&gt;42460,Table1[Start Date]&lt;42826),Table1[Drug and Alcohol Misuse],""))</f>
        <v/>
      </c>
      <c r="FZ14" s="44" t="str">
        <f>IF(Table1[Date of Initial Assessment]="","",IF(AND(Table1[Start Date]&gt;42460,Table1[Start Date]&lt;42826),Table1[Physical Health],""))</f>
        <v/>
      </c>
      <c r="GA14" s="44" t="str">
        <f>IF(Table1[Date of Initial Assessment]="","",IF(AND(Table1[Start Date]&gt;42460,Table1[Start Date]&lt;42826),Table1[Emotional and Mental Health],""))</f>
        <v/>
      </c>
      <c r="GB14" s="44" t="str">
        <f>IF(Table1[Date of Initial Assessment]="","",IF(AND(Table1[Start Date]&gt;42460,Table1[Start Date]&lt;42826),Table1[Meaningful Use of Time],""))</f>
        <v/>
      </c>
      <c r="GC14" s="44" t="str">
        <f>IF(Table1[Date of Initial Assessment]="","",IF(AND(Table1[Start Date]&gt;42460,Table1[Start Date]&lt;42826),Table1[Managing Tenancy and Accommodation],""))</f>
        <v/>
      </c>
      <c r="GD14" s="44" t="str">
        <f>IF(Table1[Date of Initial Assessment]="","",IF(AND(Table1[Start Date]&gt;42460,Table1[Start Date]&lt;42826),Table1[Offending],""))</f>
        <v/>
      </c>
      <c r="GE14" s="44" t="str">
        <f>IF(Table1[Leaving Date]="","",IF(AND(Table1[Leaving Date]&gt;42460,Table1[Leaving Date]&lt;42826),IF(Table1[Date of Last Assessment]="",Table1[Motivation and Taking Responsibility],Table1[Motivation and Taking Responsibility2]),""))</f>
        <v/>
      </c>
      <c r="GF14" s="44" t="str">
        <f>IF(Table1[Leaving Date]="","",IF(AND(Table1[Leaving Date]&gt;42460,Table1[Leaving Date]&lt;42826),IF(Table1[Date of Last Assessment]="",Table1[Self-Care and Living Skills],Table1[Self-Care and Living Skills2]),""))</f>
        <v/>
      </c>
      <c r="GG14" s="44" t="str">
        <f>IF(Table1[Leaving Date]="","",IF(AND(Table1[Leaving Date]&gt;42460,Table1[Leaving Date]&lt;42826),IF(Table1[Date of Last Assessment]="",Table1[Managing Money and Personal Administration],Table1[Managing Money and Personal Administration2]),""))</f>
        <v/>
      </c>
      <c r="GH14" s="44" t="str">
        <f>IF(Table1[Leaving Date]="","",IF(AND(Table1[Leaving Date]&gt;42460,Table1[Leaving Date]&lt;42826),IF(Table1[Date of Last Assessment]="",Table1[Social Networks and Relationships],Table1[Social Networks and Relationships2]),""))</f>
        <v/>
      </c>
      <c r="GI14" s="44" t="str">
        <f>IF(Table1[Leaving Date]="","",IF(AND(Table1[Leaving Date]&gt;42460,Table1[Leaving Date]&lt;42826),IF(Table1[Date of Last Assessment]="",Table1[Drug and Alcohol Misuse],Table1[Drug and Alcohol Misuse2]),""))</f>
        <v/>
      </c>
      <c r="GJ14" s="44" t="str">
        <f>IF(Table1[Leaving Date]="","",IF(AND(Table1[Leaving Date]&gt;42460,Table1[Leaving Date]&lt;42826),IF(Table1[Date of Last Assessment]="",Table1[Physical Health],Table1[Physical Health2]),""))</f>
        <v/>
      </c>
      <c r="GK14" s="44" t="str">
        <f>IF(Table1[Leaving Date]="","",IF(AND(Table1[Leaving Date]&gt;42460,Table1[Leaving Date]&lt;42826),IF(Table1[Date of Last Assessment]="",Table1[Emotional and Mental Health],Table1[Emotional and Mental Health2]),""))</f>
        <v/>
      </c>
      <c r="GL14" s="44" t="str">
        <f>IF(Table1[Leaving Date]="","",IF(AND(Table1[Leaving Date]&gt;42460,Table1[Leaving Date]&lt;42826),IF(Table1[Date of Last Assessment]="",Table1[Meaningful Use of Time],Table1[Meaningful Use of Time2]),""))</f>
        <v/>
      </c>
      <c r="GM14" s="44" t="str">
        <f>IF(Table1[Leaving Date]="","",IF(AND(Table1[Leaving Date]&gt;42460,Table1[Leaving Date]&lt;42826),IF(Table1[Date of Last Assessment]="",Table1[Managing Tenancy and Accommodation],Table1[Managing Tenancy and Accommodation2]),""))</f>
        <v/>
      </c>
      <c r="GN14" s="44" t="str">
        <f>IF(Table1[Leaving Date]="","",IF(AND(Table1[Leaving Date]&gt;42460,Table1[Leaving Date]&lt;42826),IF(Table1[Date of Last Assessment]="",Table1[Offending],Table1[Offending2]),""))</f>
        <v/>
      </c>
    </row>
    <row r="15" spans="2:196" ht="20.100000000000001" customHeight="1" x14ac:dyDescent="0.2">
      <c r="B15" s="86">
        <f>+'Service Data'!$C$5:$C$5</f>
        <v>0</v>
      </c>
      <c r="C15" s="86"/>
      <c r="D15" s="86"/>
      <c r="E15" s="86"/>
      <c r="F15" s="86"/>
      <c r="G15" s="86"/>
      <c r="H15" s="6"/>
      <c r="I15" s="99" t="str">
        <f ca="1">IF(Table1[[#This Row],[Date of Birth]]="","",SUM(TODAY()-Table1[[#This Row],[Date of Birth]])/365)</f>
        <v/>
      </c>
      <c r="L15" s="86"/>
      <c r="M15" s="77"/>
      <c r="N15" s="86"/>
      <c r="O15" s="86"/>
      <c r="P15" s="91"/>
      <c r="Q15" s="86"/>
      <c r="R15" s="77"/>
      <c r="S15" s="77"/>
      <c r="T15" s="68"/>
      <c r="U15" s="68"/>
      <c r="V15" s="67"/>
      <c r="W15" s="67"/>
      <c r="X15" s="67"/>
      <c r="Y15" s="67"/>
      <c r="Z15" s="67"/>
      <c r="AA15" s="67"/>
      <c r="AB15" s="67"/>
      <c r="AC15" s="67"/>
      <c r="AD15" s="67"/>
      <c r="AE15" s="67"/>
      <c r="AF15" s="67"/>
      <c r="AG15" s="67"/>
      <c r="AH15" s="67"/>
      <c r="AI15" s="67"/>
      <c r="AJ15" s="67"/>
      <c r="AK15" s="67"/>
      <c r="AL15" s="67"/>
      <c r="AM15" s="67"/>
      <c r="AN15" s="77"/>
      <c r="AO15" s="76"/>
      <c r="AP15" s="77"/>
      <c r="AQ15" s="76"/>
      <c r="AR15" s="76"/>
      <c r="AS15" s="76"/>
      <c r="AT15" s="76"/>
      <c r="AU15" s="76"/>
      <c r="AV15" s="77"/>
      <c r="AW15" s="76"/>
      <c r="AX15" s="77"/>
      <c r="AY15" s="76"/>
      <c r="AZ15" s="76"/>
      <c r="BA15" s="76"/>
      <c r="BB15" s="76"/>
      <c r="BC15" s="76"/>
      <c r="BD15" s="77"/>
      <c r="BE15" s="76"/>
      <c r="BF15" s="77"/>
      <c r="BG15" s="76"/>
      <c r="BH15" s="76"/>
      <c r="BI15" s="76"/>
      <c r="BJ15" s="76"/>
      <c r="BK15" s="76"/>
      <c r="BL15" s="77"/>
      <c r="BM15" s="76"/>
      <c r="BN15" s="77"/>
      <c r="BO15" s="76"/>
      <c r="BP15" s="76"/>
      <c r="BQ15" s="76"/>
      <c r="BR15" s="76"/>
      <c r="BS15" s="76"/>
      <c r="BT15" s="77"/>
      <c r="BU15" s="76"/>
      <c r="BV15" s="77"/>
      <c r="BW15" s="76"/>
      <c r="BX15" s="76"/>
      <c r="BY15" s="76"/>
      <c r="BZ15" s="76"/>
      <c r="CA15" s="76"/>
      <c r="CB15" s="77"/>
      <c r="CC15" s="76"/>
      <c r="CD15" s="77"/>
      <c r="CE15" s="76"/>
      <c r="CF15" s="76"/>
      <c r="CG15" s="76"/>
      <c r="CH15" s="76"/>
      <c r="CI15" s="76"/>
      <c r="CJ15" s="77"/>
      <c r="CK15" s="76"/>
      <c r="CL15" s="77"/>
      <c r="CM15" s="76"/>
      <c r="CN15" s="76"/>
      <c r="CO15" s="76"/>
      <c r="CP15" s="76"/>
      <c r="CQ15" s="76"/>
      <c r="CR15" s="78" t="str">
        <f t="shared" si="15"/>
        <v/>
      </c>
      <c r="CS15" s="79" t="str">
        <f t="shared" si="16"/>
        <v/>
      </c>
      <c r="CT15" s="79" t="str">
        <f t="shared" si="17"/>
        <v/>
      </c>
      <c r="CU15" s="79" t="str">
        <f t="shared" si="18"/>
        <v/>
      </c>
      <c r="CV15" s="79" t="str">
        <f t="shared" si="19"/>
        <v/>
      </c>
      <c r="CW15" s="79" t="str">
        <f t="shared" si="20"/>
        <v/>
      </c>
      <c r="CX15" s="79" t="str">
        <f t="shared" si="21"/>
        <v/>
      </c>
      <c r="CY15" s="79" t="str">
        <f t="shared" si="22"/>
        <v/>
      </c>
      <c r="CZ15" s="79" t="str">
        <f t="shared" si="23"/>
        <v/>
      </c>
      <c r="DA15" s="79" t="str">
        <f t="shared" si="24"/>
        <v/>
      </c>
      <c r="DB15" s="79" t="str">
        <f t="shared" si="25"/>
        <v/>
      </c>
      <c r="DC15" s="79" t="str">
        <f t="shared" si="26"/>
        <v/>
      </c>
      <c r="DD15" s="79" t="str">
        <f t="shared" si="27"/>
        <v/>
      </c>
      <c r="DE15" s="79" t="str">
        <f t="shared" si="28"/>
        <v/>
      </c>
      <c r="DF15" s="79" t="str">
        <f t="shared" si="29"/>
        <v/>
      </c>
      <c r="DG15" s="79" t="str">
        <f t="shared" si="30"/>
        <v/>
      </c>
      <c r="DH15" s="76"/>
      <c r="DI15" s="78"/>
      <c r="DJ15" s="76"/>
      <c r="DK15" s="77"/>
      <c r="DL15" s="77"/>
      <c r="DM15" s="77"/>
      <c r="DN15" s="80"/>
      <c r="DO15" s="80"/>
      <c r="DP15" s="92" t="str">
        <f>IF(Table1[Start Date]="","",IF(Table1[Start Date]&gt;42185,"",IF(AND(Table1[Leaving Date]&gt;1,Table1[Leaving Date]&lt;42095),"",1)))</f>
        <v/>
      </c>
      <c r="DQ15" s="92" t="str">
        <f>IF(Table1[Start Date]="","",IF(Table1[Start Date]&gt;42277,"",IF(AND(Table1[Leaving Date]&gt;1,Table1[Leaving Date]&lt;42186),"",1)))</f>
        <v/>
      </c>
      <c r="DR15" s="92" t="str">
        <f>IF(Table1[Start Date]="","",IF(Table1[Start Date]&gt;42369,"",IF(AND(Table1[Leaving Date]&gt;1,Table1[Leaving Date]&lt;42278),"",1)))</f>
        <v/>
      </c>
      <c r="DS15" s="92" t="str">
        <f>IF(Table1[Start Date]="","",IF(Table1[Start Date]&gt;42460,"",IF(AND(Table1[Leaving Date]&gt;1,Table1[Leaving Date]&lt;42370),"",1)))</f>
        <v/>
      </c>
      <c r="DT15" s="92" t="str">
        <f>IF(Table1[Start Date]="","",IF(Table1[Start Date]&gt;42551,"",IF(AND(Table1[Leaving Date]&gt;1,Table1[Leaving Date]&lt;42461),"",1)))</f>
        <v/>
      </c>
      <c r="DU15" s="92" t="str">
        <f>IF(Table1[Start Date]="","",IF(Table1[Start Date]&gt;42643,"",IF(AND(Table1[Leaving Date]&gt;1,Table1[Leaving Date]&lt;42552),"",1)))</f>
        <v/>
      </c>
      <c r="DV15" s="92" t="str">
        <f>IF(Table1[Start Date]="","",IF(Table1[Start Date]&gt;42735,"",IF(AND(Table1[Leaving Date]&gt;1,Table1[Leaving Date]&lt;42644),"",1)))</f>
        <v/>
      </c>
      <c r="DW15" s="92" t="str">
        <f>IF(Table1[Start Date]="","",IF(Table1[Start Date]&gt;42825,"",IF(AND(Table1[Leaving Date]&gt;1,Table1[Leaving Date]&lt;42736),"",1)))</f>
        <v/>
      </c>
      <c r="DX15"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15" s="44" t="e">
        <f>VLOOKUP(Table1[Referral Source],Lists!$G$2:$H$20,2,FALSE)</f>
        <v>#N/A</v>
      </c>
      <c r="DZ15" s="93" t="e">
        <f>SUM(Table1[Data Referral Quarter]+Table1[Data Referral Source])</f>
        <v>#N/A</v>
      </c>
      <c r="EA15" s="44" t="b">
        <f>IF(Table1[Referral Decision]="Accepted",100,IF(Table1[Referral Decision]="Rejected by Provider",200,IF(Table1[Referral Decision]="Rejected by Applicant",300)))</f>
        <v>0</v>
      </c>
      <c r="EB15" s="44">
        <f>SUM(Table1[Data Referral Quarter]+Table1[Data Referral Decision])</f>
        <v>0</v>
      </c>
      <c r="EC15" s="44" t="b">
        <f>IF(Table1[Start Date]&gt;42735,8000,IF(Table1[Start Date]&gt;42643,7000,IF(Table1[Start Date]&gt;42551,6000,IF(Table1[Start Date]&gt;42460,5000,IF(Table1[Start Date]&gt;42369,4000,IF(Table1[Start Date]&gt;42277,3000,IF(Table1[Start Date]&gt;42185,2000,IF(Table1[Start Date]&gt;42094,1000))))))))</f>
        <v>0</v>
      </c>
      <c r="ED15" s="44" t="str">
        <f>IF(Table1[Start Date]="","",IF(Table1[Current Local Authority]="Swindon",1,"2"))</f>
        <v/>
      </c>
      <c r="EE15" s="44" t="e">
        <f>SUM(Table1[Data Start Date]+Table1[Data Local Authority])</f>
        <v>#VALUE!</v>
      </c>
      <c r="EF15" s="44">
        <f>IF(Table1[Registered with GP]="Yes",1,0)</f>
        <v>0</v>
      </c>
      <c r="EG15" s="44">
        <f>SUM(Table1[Data Start Date]+Table1[Data GP Start])</f>
        <v>0</v>
      </c>
      <c r="EH15" s="44" t="str">
        <f>IF(Table1[EET]="NEET",1,IF(Table1[EET]="Education",2,IF(Table1[EET]="Employment",2,IF(Table1[EET]="Training",2,IF(Table1[EET]="Retired",3,"")))))</f>
        <v/>
      </c>
      <c r="EI15" s="44" t="e">
        <f>Table1[Data Start Date]+Table1[Data EET Start]</f>
        <v>#VALUE!</v>
      </c>
      <c r="EJ15" s="44" t="b">
        <f>IF(Table1[Leaving Date]&gt;42735,8000,IF(Table1[Leaving Date]&gt;42643,7000,IF(Table1[Leaving Date]&gt;42551,6000,IF(Table1[Leaving Date]&gt;42460,5000,IF(Table1[Leaving Date]&gt;42369,4000,IF(Table1[Leaving Date]&gt;42277,3000,IF(Table1[Leaving Date]&gt;42185,2000,IF(Table1[Leaving Date]&gt;42094,1000))))))))</f>
        <v>0</v>
      </c>
      <c r="EK15" s="44" t="e">
        <f>VLOOKUP(Table1[Reason for Leaving],Lists!$T$2:$U$15,2,FALSE)</f>
        <v>#N/A</v>
      </c>
      <c r="EL15" s="44" t="e">
        <f>SUM(Table1[Data Leavers Date]+Table1[Data Move On])</f>
        <v>#N/A</v>
      </c>
      <c r="EM15" s="44" t="b">
        <f>IF(Table1[Registered with GP2]="Yes",1,IF(Table1[Registered with GP2]="No",0,IF(Table1[Registered with GP]="Yes",1,IF(Table1[Registered with GP]="No",0))))</f>
        <v>0</v>
      </c>
      <c r="EN15" s="44">
        <f>SUM(Table1[Data Leavers Date]+Table1[Data GP End])</f>
        <v>0</v>
      </c>
      <c r="EO15" s="44" t="str">
        <f>IF(Table1[EET2]="NEET",1,IF(Table1[EET2]="Employment",2,IF(Table1[EET2]="Education",2,IF(Table1[EET2]="Training",2,IF(Table1[EET2]="Retired",3,IF(Table1[EET]="NEET",1,IF(Table1[EET]="Employment",2,IF(Table1[EET]="Education",2,IF(Table1[EET]="Training",2,IF(Table1[EET]="Retired",3,""))))))))))</f>
        <v/>
      </c>
      <c r="EP15" s="44" t="e">
        <f>+Table1[[#This Row],[Data Leavers Date]]+Table1[[#This Row],[Data EET End]]</f>
        <v>#VALUE!</v>
      </c>
      <c r="EQ15" s="44">
        <f>IF(Table1[Exit Form Received]="Yes",1,0)</f>
        <v>0</v>
      </c>
      <c r="ER15" s="44">
        <f>+Table1[[#This Row],[Data Leavers Date]]+Table1[[#This Row],[Data Exit Forms]]</f>
        <v>0</v>
      </c>
      <c r="ES15" s="44" t="str">
        <f>IF(Table1[Data Leavers Date]=1000,SUM(Table1[Leaving Date]-Table1[Start Date]),"")</f>
        <v/>
      </c>
      <c r="ET15" s="44" t="str">
        <f>IF(Table1[Data Leavers Date]=2000,SUM(Table1[Leaving Date]-Table1[Start Date]),"")</f>
        <v/>
      </c>
      <c r="EU15" s="44" t="str">
        <f>IF(Table1[Data Leavers Date]=3000,SUM(Table1[Leaving Date]-Table1[Start Date]),"")</f>
        <v/>
      </c>
      <c r="EV15" s="44" t="str">
        <f>IF(Table1[Data Leavers Date]=4000,SUM(Table1[Leaving Date]-Table1[Start Date]),"")</f>
        <v/>
      </c>
      <c r="EW15" s="44" t="str">
        <f>IF(Table1[Data Leavers Date]=5000,SUM(Table1[Leaving Date]-Table1[Start Date]),"")</f>
        <v/>
      </c>
      <c r="EX15" s="44" t="str">
        <f>IF(Table1[Data Leavers Date]=6000,SUM(Table1[Leaving Date]-Table1[Start Date]),"")</f>
        <v/>
      </c>
      <c r="EY15" s="44" t="str">
        <f>IF(Table1[Data Leavers Date]=7000,SUM(Table1[Leaving Date]-Table1[Start Date]),"")</f>
        <v/>
      </c>
      <c r="EZ15" s="44" t="str">
        <f>IF(Table1[Data Leavers Date]=8000,SUM(Table1[Leaving Date]-Table1[Start Date]),"")</f>
        <v/>
      </c>
      <c r="FA15" s="44" t="str">
        <f>IF(Table1[Date of Initial Assessment]="","",IF(AND(Table1[Start Date]&gt;42094,Table1[Start Date]&lt;42461),Table1[Motivation and Taking Responsibility],""))</f>
        <v/>
      </c>
      <c r="FB15" s="44" t="str">
        <f>IF(Table1[Date of Initial Assessment]="","",IF(AND(Table1[Start Date]&gt;42094,Table1[Start Date]&lt;42461),Table1[Self-Care and Living Skills],""))</f>
        <v/>
      </c>
      <c r="FC15" s="44" t="str">
        <f>IF(Table1[Date of Initial Assessment]="","",IF(AND(Table1[Start Date]&gt;42094,Table1[Start Date]&lt;42461),Table1[Managing Money and Personal Administration],""))</f>
        <v/>
      </c>
      <c r="FD15" s="44" t="str">
        <f>IF(Table1[Date of Initial Assessment]="","",IF(AND(Table1[Start Date]&gt;42094,Table1[Start Date]&lt;42461),Table1[Social Networks and Relationships],""))</f>
        <v/>
      </c>
      <c r="FE15" s="44" t="str">
        <f>IF(Table1[Date of Initial Assessment]="","",IF(AND(Table1[Start Date]&gt;42094,Table1[Start Date]&lt;42461),Table1[Drug and Alcohol Misuse],""))</f>
        <v/>
      </c>
      <c r="FF15" s="44" t="str">
        <f>IF(Table1[Date of Initial Assessment]="","",IF(AND(Table1[Start Date]&gt;42094,Table1[Start Date]&lt;42461),Table1[Physical Health],""))</f>
        <v/>
      </c>
      <c r="FG15" s="44" t="str">
        <f>IF(Table1[Date of Initial Assessment]="","",IF(AND(Table1[Start Date]&gt;42094,Table1[Start Date]&lt;42461),Table1[Emotional and Mental Health],""))</f>
        <v/>
      </c>
      <c r="FH15" s="44" t="str">
        <f>IF(Table1[Date of Initial Assessment]="","",IF(AND(Table1[Start Date]&gt;42094,Table1[Start Date]&lt;42461),Table1[Meaningful Use of Time],""))</f>
        <v/>
      </c>
      <c r="FI15" s="44" t="str">
        <f>IF(Table1[Date of Initial Assessment]="","",IF(AND(Table1[Start Date]&gt;42094,Table1[Start Date]&lt;42461),Table1[Managing Tenancy and Accommodation],""))</f>
        <v/>
      </c>
      <c r="FJ15" s="44" t="str">
        <f>IF(Table1[Date of Initial Assessment]="","",IF(AND(Table1[Start Date]&gt;42094,Table1[Start Date]&lt;42461),Table1[Offending],""))</f>
        <v/>
      </c>
      <c r="FK15" s="44" t="str">
        <f>IF(Table1[Leaving Date]="","",IF(Table1[Date of Initial Assessment]="","",IF(AND(Table1[Leaving Date]&gt;42094,Table1[Leaving Date]&lt;42461),IF(Table1[Date of Last Assessment]="",Table1[Motivation and Taking Responsibility],Table1[Motivation and Taking Responsibility2]),"")))</f>
        <v/>
      </c>
      <c r="FL15" s="44" t="str">
        <f>IF(Table1[Leaving Date]="","",IF(Table1[Date of Initial Assessment]="","",IF(AND(Table1[Leaving Date]&gt;42094,Table1[Leaving Date]&lt;42461),IF(Table1[Date of Last Assessment]="",Table1[Self-Care and Living Skills],Table1[Self-Care and Living Skills2]),"")))</f>
        <v/>
      </c>
      <c r="FM15" s="44" t="str">
        <f>IF(Table1[Leaving Date]="","",IF(Table1[Date of Initial Assessment]="","",IF(AND(Table1[Leaving Date]&gt;42094,Table1[Leaving Date]&lt;42461),IF(Table1[Date of Last Assessment]="",Table1[Managing Money and Personal Administration],Table1[Managing Money and Personal Administration2]),"")))</f>
        <v/>
      </c>
      <c r="FN15" s="44" t="str">
        <f>IF(Table1[Leaving Date]="","",IF(Table1[Date of Initial Assessment]="","",IF(AND(Table1[Leaving Date]&gt;42094,Table1[Leaving Date]&lt;42461),IF(Table1[Date of Last Assessment]="",Table1[Social Networks and Relationships],Table1[Social Networks and Relationships2]),"")))</f>
        <v/>
      </c>
      <c r="FO15" s="44" t="str">
        <f>IF(Table1[Leaving Date]="","",IF(Table1[Date of Initial Assessment]="","",IF(AND(Table1[Leaving Date]&gt;42094,Table1[Leaving Date]&lt;42461),IF(Table1[Date of Last Assessment]="",Table1[Drug and Alcohol Misuse],Table1[Drug and Alcohol Misuse2]),"")))</f>
        <v/>
      </c>
      <c r="FP15" s="44" t="str">
        <f>IF(Table1[Leaving Date]="","",IF(Table1[Date of Initial Assessment]="","",IF(AND(Table1[Leaving Date]&gt;42094,Table1[Leaving Date]&lt;42461),IF(Table1[Date of Last Assessment]="",Table1[Physical Health],Table1[Physical Health2]),"")))</f>
        <v/>
      </c>
      <c r="FQ15" s="44" t="str">
        <f>IF(Table1[Leaving Date]="","",IF(Table1[Date of Initial Assessment]="","",IF(AND(Table1[Leaving Date]&gt;42094,Table1[Leaving Date]&lt;42461),IF(Table1[Date of Last Assessment]="",Table1[Emotional and Mental Health],Table1[Emotional and Mental Health2]),"")))</f>
        <v/>
      </c>
      <c r="FR15" s="44" t="str">
        <f>IF(Table1[Leaving Date]="","",IF(Table1[Date of Initial Assessment]="","",IF(AND(Table1[Leaving Date]&gt;42094,Table1[Leaving Date]&lt;42461),IF(Table1[Date of Last Assessment]="",Table1[Meaningful Use of Time],Table1[Meaningful Use of Time2]),"")))</f>
        <v/>
      </c>
      <c r="FS15" s="44" t="str">
        <f>IF(Table1[Leaving Date]="","",IF(Table1[Date of Initial Assessment]="","",IF(AND(Table1[Leaving Date]&gt;42094,Table1[Leaving Date]&lt;42461),IF(Table1[Date of Last Assessment]="",Table1[Managing Tenancy and Accommodation],Table1[Managing Tenancy and Accommodation2]),"")))</f>
        <v/>
      </c>
      <c r="FT15" s="44" t="str">
        <f>IF(Table1[Leaving Date]="","",IF(Table1[Date of Initial Assessment]="","",IF(AND(Table1[Leaving Date]&gt;42094,Table1[Leaving Date]&lt;42461),IF(Table1[Date of Last Assessment]="",Table1[Offending],Table1[Offending2]),"")))</f>
        <v/>
      </c>
      <c r="FU15" s="44" t="str">
        <f>IF(Table1[Date of Initial Assessment]="","",IF(AND(Table1[Start Date]&gt;42460,Table1[Start Date]&lt;42826),Table1[Motivation and Taking Responsibility],""))</f>
        <v/>
      </c>
      <c r="FV15" s="44" t="str">
        <f>IF(Table1[Date of Initial Assessment]="","",IF(AND(Table1[Start Date]&gt;42460,Table1[Start Date]&lt;42826),Table1[Self-Care and Living Skills],""))</f>
        <v/>
      </c>
      <c r="FW15" s="44" t="str">
        <f>IF(Table1[Date of Initial Assessment]="","",IF(AND(Table1[Start Date]&gt;42460,Table1[Start Date]&lt;42826),Table1[Managing Money and Personal Administration],""))</f>
        <v/>
      </c>
      <c r="FX15" s="44" t="str">
        <f>IF(Table1[Date of Initial Assessment]="","",IF(AND(Table1[Start Date]&gt;42460,Table1[Start Date]&lt;42826),Table1[Social Networks and Relationships],""))</f>
        <v/>
      </c>
      <c r="FY15" s="44" t="str">
        <f>IF(Table1[Date of Initial Assessment]="","",IF(AND(Table1[Start Date]&gt;42460,Table1[Start Date]&lt;42826),Table1[Drug and Alcohol Misuse],""))</f>
        <v/>
      </c>
      <c r="FZ15" s="44" t="str">
        <f>IF(Table1[Date of Initial Assessment]="","",IF(AND(Table1[Start Date]&gt;42460,Table1[Start Date]&lt;42826),Table1[Physical Health],""))</f>
        <v/>
      </c>
      <c r="GA15" s="44" t="str">
        <f>IF(Table1[Date of Initial Assessment]="","",IF(AND(Table1[Start Date]&gt;42460,Table1[Start Date]&lt;42826),Table1[Emotional and Mental Health],""))</f>
        <v/>
      </c>
      <c r="GB15" s="44" t="str">
        <f>IF(Table1[Date of Initial Assessment]="","",IF(AND(Table1[Start Date]&gt;42460,Table1[Start Date]&lt;42826),Table1[Meaningful Use of Time],""))</f>
        <v/>
      </c>
      <c r="GC15" s="44" t="str">
        <f>IF(Table1[Date of Initial Assessment]="","",IF(AND(Table1[Start Date]&gt;42460,Table1[Start Date]&lt;42826),Table1[Managing Tenancy and Accommodation],""))</f>
        <v/>
      </c>
      <c r="GD15" s="44" t="str">
        <f>IF(Table1[Date of Initial Assessment]="","",IF(AND(Table1[Start Date]&gt;42460,Table1[Start Date]&lt;42826),Table1[Offending],""))</f>
        <v/>
      </c>
      <c r="GE15" s="44" t="str">
        <f>IF(Table1[Leaving Date]="","",IF(AND(Table1[Leaving Date]&gt;42460,Table1[Leaving Date]&lt;42826),IF(Table1[Date of Last Assessment]="",Table1[Motivation and Taking Responsibility],Table1[Motivation and Taking Responsibility2]),""))</f>
        <v/>
      </c>
      <c r="GF15" s="44" t="str">
        <f>IF(Table1[Leaving Date]="","",IF(AND(Table1[Leaving Date]&gt;42460,Table1[Leaving Date]&lt;42826),IF(Table1[Date of Last Assessment]="",Table1[Self-Care and Living Skills],Table1[Self-Care and Living Skills2]),""))</f>
        <v/>
      </c>
      <c r="GG15" s="44" t="str">
        <f>IF(Table1[Leaving Date]="","",IF(AND(Table1[Leaving Date]&gt;42460,Table1[Leaving Date]&lt;42826),IF(Table1[Date of Last Assessment]="",Table1[Managing Money and Personal Administration],Table1[Managing Money and Personal Administration2]),""))</f>
        <v/>
      </c>
      <c r="GH15" s="44" t="str">
        <f>IF(Table1[Leaving Date]="","",IF(AND(Table1[Leaving Date]&gt;42460,Table1[Leaving Date]&lt;42826),IF(Table1[Date of Last Assessment]="",Table1[Social Networks and Relationships],Table1[Social Networks and Relationships2]),""))</f>
        <v/>
      </c>
      <c r="GI15" s="44" t="str">
        <f>IF(Table1[Leaving Date]="","",IF(AND(Table1[Leaving Date]&gt;42460,Table1[Leaving Date]&lt;42826),IF(Table1[Date of Last Assessment]="",Table1[Drug and Alcohol Misuse],Table1[Drug and Alcohol Misuse2]),""))</f>
        <v/>
      </c>
      <c r="GJ15" s="44" t="str">
        <f>IF(Table1[Leaving Date]="","",IF(AND(Table1[Leaving Date]&gt;42460,Table1[Leaving Date]&lt;42826),IF(Table1[Date of Last Assessment]="",Table1[Physical Health],Table1[Physical Health2]),""))</f>
        <v/>
      </c>
      <c r="GK15" s="44" t="str">
        <f>IF(Table1[Leaving Date]="","",IF(AND(Table1[Leaving Date]&gt;42460,Table1[Leaving Date]&lt;42826),IF(Table1[Date of Last Assessment]="",Table1[Emotional and Mental Health],Table1[Emotional and Mental Health2]),""))</f>
        <v/>
      </c>
      <c r="GL15" s="44" t="str">
        <f>IF(Table1[Leaving Date]="","",IF(AND(Table1[Leaving Date]&gt;42460,Table1[Leaving Date]&lt;42826),IF(Table1[Date of Last Assessment]="",Table1[Meaningful Use of Time],Table1[Meaningful Use of Time2]),""))</f>
        <v/>
      </c>
      <c r="GM15" s="44" t="str">
        <f>IF(Table1[Leaving Date]="","",IF(AND(Table1[Leaving Date]&gt;42460,Table1[Leaving Date]&lt;42826),IF(Table1[Date of Last Assessment]="",Table1[Managing Tenancy and Accommodation],Table1[Managing Tenancy and Accommodation2]),""))</f>
        <v/>
      </c>
      <c r="GN15" s="44" t="str">
        <f>IF(Table1[Leaving Date]="","",IF(AND(Table1[Leaving Date]&gt;42460,Table1[Leaving Date]&lt;42826),IF(Table1[Date of Last Assessment]="",Table1[Offending],Table1[Offending2]),""))</f>
        <v/>
      </c>
    </row>
    <row r="16" spans="2:196" ht="20.100000000000001" customHeight="1" x14ac:dyDescent="0.2">
      <c r="B16" s="86">
        <f>+'Service Data'!$C$5:$C$5</f>
        <v>0</v>
      </c>
      <c r="C16" s="86"/>
      <c r="D16" s="86"/>
      <c r="E16" s="86"/>
      <c r="F16" s="86"/>
      <c r="G16" s="86"/>
      <c r="H16" s="6"/>
      <c r="I16" s="99" t="str">
        <f ca="1">IF(Table1[[#This Row],[Date of Birth]]="","",SUM(TODAY()-Table1[[#This Row],[Date of Birth]])/365)</f>
        <v/>
      </c>
      <c r="L16" s="86"/>
      <c r="M16" s="77"/>
      <c r="N16" s="86"/>
      <c r="O16" s="86"/>
      <c r="P16" s="91"/>
      <c r="Q16" s="86"/>
      <c r="R16" s="77"/>
      <c r="S16" s="77"/>
      <c r="T16" s="68"/>
      <c r="U16" s="68"/>
      <c r="V16" s="67"/>
      <c r="W16" s="67"/>
      <c r="X16" s="67"/>
      <c r="Y16" s="67"/>
      <c r="Z16" s="67"/>
      <c r="AA16" s="67"/>
      <c r="AB16" s="67"/>
      <c r="AC16" s="67"/>
      <c r="AD16" s="67"/>
      <c r="AE16" s="67"/>
      <c r="AF16" s="67"/>
      <c r="AG16" s="67"/>
      <c r="AH16" s="67"/>
      <c r="AI16" s="67"/>
      <c r="AJ16" s="67"/>
      <c r="AK16" s="67"/>
      <c r="AL16" s="67"/>
      <c r="AM16" s="67"/>
      <c r="AN16" s="77"/>
      <c r="AO16" s="76"/>
      <c r="AP16" s="77"/>
      <c r="AQ16" s="76"/>
      <c r="AR16" s="76"/>
      <c r="AS16" s="76"/>
      <c r="AT16" s="76"/>
      <c r="AU16" s="76"/>
      <c r="AV16" s="77"/>
      <c r="AW16" s="76"/>
      <c r="AX16" s="77"/>
      <c r="AY16" s="76"/>
      <c r="AZ16" s="76"/>
      <c r="BA16" s="76"/>
      <c r="BB16" s="76"/>
      <c r="BC16" s="76"/>
      <c r="BD16" s="77"/>
      <c r="BE16" s="76"/>
      <c r="BF16" s="77"/>
      <c r="BG16" s="76"/>
      <c r="BH16" s="76"/>
      <c r="BI16" s="76"/>
      <c r="BJ16" s="76"/>
      <c r="BK16" s="76"/>
      <c r="BL16" s="77"/>
      <c r="BM16" s="76"/>
      <c r="BN16" s="77"/>
      <c r="BO16" s="76"/>
      <c r="BP16" s="76"/>
      <c r="BQ16" s="76"/>
      <c r="BR16" s="76"/>
      <c r="BS16" s="76"/>
      <c r="BT16" s="77"/>
      <c r="BU16" s="76"/>
      <c r="BV16" s="77"/>
      <c r="BW16" s="76"/>
      <c r="BX16" s="76"/>
      <c r="BY16" s="76"/>
      <c r="BZ16" s="76"/>
      <c r="CA16" s="76"/>
      <c r="CB16" s="77"/>
      <c r="CC16" s="76"/>
      <c r="CD16" s="77"/>
      <c r="CE16" s="76"/>
      <c r="CF16" s="76"/>
      <c r="CG16" s="76"/>
      <c r="CH16" s="76"/>
      <c r="CI16" s="76"/>
      <c r="CJ16" s="77"/>
      <c r="CK16" s="76"/>
      <c r="CL16" s="77"/>
      <c r="CM16" s="76"/>
      <c r="CN16" s="76"/>
      <c r="CO16" s="76"/>
      <c r="CP16" s="76"/>
      <c r="CQ16" s="76"/>
      <c r="CR16" s="78" t="str">
        <f t="shared" si="15"/>
        <v/>
      </c>
      <c r="CS16" s="79" t="str">
        <f t="shared" si="16"/>
        <v/>
      </c>
      <c r="CT16" s="79" t="str">
        <f t="shared" si="17"/>
        <v/>
      </c>
      <c r="CU16" s="79" t="str">
        <f t="shared" si="18"/>
        <v/>
      </c>
      <c r="CV16" s="79" t="str">
        <f t="shared" si="19"/>
        <v/>
      </c>
      <c r="CW16" s="79" t="str">
        <f t="shared" si="20"/>
        <v/>
      </c>
      <c r="CX16" s="79" t="str">
        <f t="shared" si="21"/>
        <v/>
      </c>
      <c r="CY16" s="79" t="str">
        <f t="shared" si="22"/>
        <v/>
      </c>
      <c r="CZ16" s="79" t="str">
        <f t="shared" si="23"/>
        <v/>
      </c>
      <c r="DA16" s="79" t="str">
        <f t="shared" si="24"/>
        <v/>
      </c>
      <c r="DB16" s="79" t="str">
        <f t="shared" si="25"/>
        <v/>
      </c>
      <c r="DC16" s="79" t="str">
        <f t="shared" si="26"/>
        <v/>
      </c>
      <c r="DD16" s="79" t="str">
        <f t="shared" si="27"/>
        <v/>
      </c>
      <c r="DE16" s="79" t="str">
        <f t="shared" si="28"/>
        <v/>
      </c>
      <c r="DF16" s="79" t="str">
        <f t="shared" si="29"/>
        <v/>
      </c>
      <c r="DG16" s="79" t="str">
        <f t="shared" si="30"/>
        <v/>
      </c>
      <c r="DH16" s="76"/>
      <c r="DI16" s="78"/>
      <c r="DJ16" s="76"/>
      <c r="DK16" s="77"/>
      <c r="DL16" s="77"/>
      <c r="DM16" s="77"/>
      <c r="DN16" s="80"/>
      <c r="DO16" s="80"/>
      <c r="DP16" s="92" t="str">
        <f>IF(Table1[Start Date]="","",IF(Table1[Start Date]&gt;42185,"",IF(AND(Table1[Leaving Date]&gt;1,Table1[Leaving Date]&lt;42095),"",1)))</f>
        <v/>
      </c>
      <c r="DQ16" s="92" t="str">
        <f>IF(Table1[Start Date]="","",IF(Table1[Start Date]&gt;42277,"",IF(AND(Table1[Leaving Date]&gt;1,Table1[Leaving Date]&lt;42186),"",1)))</f>
        <v/>
      </c>
      <c r="DR16" s="92" t="str">
        <f>IF(Table1[Start Date]="","",IF(Table1[Start Date]&gt;42369,"",IF(AND(Table1[Leaving Date]&gt;1,Table1[Leaving Date]&lt;42278),"",1)))</f>
        <v/>
      </c>
      <c r="DS16" s="92" t="str">
        <f>IF(Table1[Start Date]="","",IF(Table1[Start Date]&gt;42460,"",IF(AND(Table1[Leaving Date]&gt;1,Table1[Leaving Date]&lt;42370),"",1)))</f>
        <v/>
      </c>
      <c r="DT16" s="92" t="str">
        <f>IF(Table1[Start Date]="","",IF(Table1[Start Date]&gt;42551,"",IF(AND(Table1[Leaving Date]&gt;1,Table1[Leaving Date]&lt;42461),"",1)))</f>
        <v/>
      </c>
      <c r="DU16" s="92" t="str">
        <f>IF(Table1[Start Date]="","",IF(Table1[Start Date]&gt;42643,"",IF(AND(Table1[Leaving Date]&gt;1,Table1[Leaving Date]&lt;42552),"",1)))</f>
        <v/>
      </c>
      <c r="DV16" s="92" t="str">
        <f>IF(Table1[Start Date]="","",IF(Table1[Start Date]&gt;42735,"",IF(AND(Table1[Leaving Date]&gt;1,Table1[Leaving Date]&lt;42644),"",1)))</f>
        <v/>
      </c>
      <c r="DW16" s="92" t="str">
        <f>IF(Table1[Start Date]="","",IF(Table1[Start Date]&gt;42825,"",IF(AND(Table1[Leaving Date]&gt;1,Table1[Leaving Date]&lt;42736),"",1)))</f>
        <v/>
      </c>
      <c r="DX16"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16" s="44" t="e">
        <f>VLOOKUP(Table1[Referral Source],Lists!$G$2:$H$20,2,FALSE)</f>
        <v>#N/A</v>
      </c>
      <c r="DZ16" s="93" t="e">
        <f>SUM(Table1[Data Referral Quarter]+Table1[Data Referral Source])</f>
        <v>#N/A</v>
      </c>
      <c r="EA16" s="44" t="b">
        <f>IF(Table1[Referral Decision]="Accepted",100,IF(Table1[Referral Decision]="Rejected by Provider",200,IF(Table1[Referral Decision]="Rejected by Applicant",300)))</f>
        <v>0</v>
      </c>
      <c r="EB16" s="44">
        <f>SUM(Table1[Data Referral Quarter]+Table1[Data Referral Decision])</f>
        <v>0</v>
      </c>
      <c r="EC16" s="44" t="b">
        <f>IF(Table1[Start Date]&gt;42735,8000,IF(Table1[Start Date]&gt;42643,7000,IF(Table1[Start Date]&gt;42551,6000,IF(Table1[Start Date]&gt;42460,5000,IF(Table1[Start Date]&gt;42369,4000,IF(Table1[Start Date]&gt;42277,3000,IF(Table1[Start Date]&gt;42185,2000,IF(Table1[Start Date]&gt;42094,1000))))))))</f>
        <v>0</v>
      </c>
      <c r="ED16" s="44" t="str">
        <f>IF(Table1[Start Date]="","",IF(Table1[Current Local Authority]="Swindon",1,"2"))</f>
        <v/>
      </c>
      <c r="EE16" s="44" t="e">
        <f>SUM(Table1[Data Start Date]+Table1[Data Local Authority])</f>
        <v>#VALUE!</v>
      </c>
      <c r="EF16" s="44">
        <f>IF(Table1[Registered with GP]="Yes",1,0)</f>
        <v>0</v>
      </c>
      <c r="EG16" s="44">
        <f>SUM(Table1[Data Start Date]+Table1[Data GP Start])</f>
        <v>0</v>
      </c>
      <c r="EH16" s="44" t="str">
        <f>IF(Table1[EET]="NEET",1,IF(Table1[EET]="Education",2,IF(Table1[EET]="Employment",2,IF(Table1[EET]="Training",2,IF(Table1[EET]="Retired",3,"")))))</f>
        <v/>
      </c>
      <c r="EI16" s="44" t="e">
        <f>Table1[Data Start Date]+Table1[Data EET Start]</f>
        <v>#VALUE!</v>
      </c>
      <c r="EJ16" s="44" t="b">
        <f>IF(Table1[Leaving Date]&gt;42735,8000,IF(Table1[Leaving Date]&gt;42643,7000,IF(Table1[Leaving Date]&gt;42551,6000,IF(Table1[Leaving Date]&gt;42460,5000,IF(Table1[Leaving Date]&gt;42369,4000,IF(Table1[Leaving Date]&gt;42277,3000,IF(Table1[Leaving Date]&gt;42185,2000,IF(Table1[Leaving Date]&gt;42094,1000))))))))</f>
        <v>0</v>
      </c>
      <c r="EK16" s="44" t="e">
        <f>VLOOKUP(Table1[Reason for Leaving],Lists!$T$2:$U$15,2,FALSE)</f>
        <v>#N/A</v>
      </c>
      <c r="EL16" s="44" t="e">
        <f>SUM(Table1[Data Leavers Date]+Table1[Data Move On])</f>
        <v>#N/A</v>
      </c>
      <c r="EM16" s="44" t="b">
        <f>IF(Table1[Registered with GP2]="Yes",1,IF(Table1[Registered with GP2]="No",0,IF(Table1[Registered with GP]="Yes",1,IF(Table1[Registered with GP]="No",0))))</f>
        <v>0</v>
      </c>
      <c r="EN16" s="44">
        <f>SUM(Table1[Data Leavers Date]+Table1[Data GP End])</f>
        <v>0</v>
      </c>
      <c r="EO16" s="44" t="str">
        <f>IF(Table1[EET2]="NEET",1,IF(Table1[EET2]="Employment",2,IF(Table1[EET2]="Education",2,IF(Table1[EET2]="Training",2,IF(Table1[EET2]="Retired",3,IF(Table1[EET]="NEET",1,IF(Table1[EET]="Employment",2,IF(Table1[EET]="Education",2,IF(Table1[EET]="Training",2,IF(Table1[EET]="Retired",3,""))))))))))</f>
        <v/>
      </c>
      <c r="EP16" s="44" t="e">
        <f>+Table1[[#This Row],[Data Leavers Date]]+Table1[[#This Row],[Data EET End]]</f>
        <v>#VALUE!</v>
      </c>
      <c r="EQ16" s="44">
        <f>IF(Table1[Exit Form Received]="Yes",1,0)</f>
        <v>0</v>
      </c>
      <c r="ER16" s="44">
        <f>+Table1[[#This Row],[Data Leavers Date]]+Table1[[#This Row],[Data Exit Forms]]</f>
        <v>0</v>
      </c>
      <c r="ES16" s="44" t="str">
        <f>IF(Table1[Data Leavers Date]=1000,SUM(Table1[Leaving Date]-Table1[Start Date]),"")</f>
        <v/>
      </c>
      <c r="ET16" s="44" t="str">
        <f>IF(Table1[Data Leavers Date]=2000,SUM(Table1[Leaving Date]-Table1[Start Date]),"")</f>
        <v/>
      </c>
      <c r="EU16" s="44" t="str">
        <f>IF(Table1[Data Leavers Date]=3000,SUM(Table1[Leaving Date]-Table1[Start Date]),"")</f>
        <v/>
      </c>
      <c r="EV16" s="44" t="str">
        <f>IF(Table1[Data Leavers Date]=4000,SUM(Table1[Leaving Date]-Table1[Start Date]),"")</f>
        <v/>
      </c>
      <c r="EW16" s="44" t="str">
        <f>IF(Table1[Data Leavers Date]=5000,SUM(Table1[Leaving Date]-Table1[Start Date]),"")</f>
        <v/>
      </c>
      <c r="EX16" s="44" t="str">
        <f>IF(Table1[Data Leavers Date]=6000,SUM(Table1[Leaving Date]-Table1[Start Date]),"")</f>
        <v/>
      </c>
      <c r="EY16" s="44" t="str">
        <f>IF(Table1[Data Leavers Date]=7000,SUM(Table1[Leaving Date]-Table1[Start Date]),"")</f>
        <v/>
      </c>
      <c r="EZ16" s="44" t="str">
        <f>IF(Table1[Data Leavers Date]=8000,SUM(Table1[Leaving Date]-Table1[Start Date]),"")</f>
        <v/>
      </c>
      <c r="FA16" s="44" t="str">
        <f>IF(Table1[Date of Initial Assessment]="","",IF(AND(Table1[Start Date]&gt;42094,Table1[Start Date]&lt;42461),Table1[Motivation and Taking Responsibility],""))</f>
        <v/>
      </c>
      <c r="FB16" s="44" t="str">
        <f>IF(Table1[Date of Initial Assessment]="","",IF(AND(Table1[Start Date]&gt;42094,Table1[Start Date]&lt;42461),Table1[Self-Care and Living Skills],""))</f>
        <v/>
      </c>
      <c r="FC16" s="44" t="str">
        <f>IF(Table1[Date of Initial Assessment]="","",IF(AND(Table1[Start Date]&gt;42094,Table1[Start Date]&lt;42461),Table1[Managing Money and Personal Administration],""))</f>
        <v/>
      </c>
      <c r="FD16" s="44" t="str">
        <f>IF(Table1[Date of Initial Assessment]="","",IF(AND(Table1[Start Date]&gt;42094,Table1[Start Date]&lt;42461),Table1[Social Networks and Relationships],""))</f>
        <v/>
      </c>
      <c r="FE16" s="44" t="str">
        <f>IF(Table1[Date of Initial Assessment]="","",IF(AND(Table1[Start Date]&gt;42094,Table1[Start Date]&lt;42461),Table1[Drug and Alcohol Misuse],""))</f>
        <v/>
      </c>
      <c r="FF16" s="44" t="str">
        <f>IF(Table1[Date of Initial Assessment]="","",IF(AND(Table1[Start Date]&gt;42094,Table1[Start Date]&lt;42461),Table1[Physical Health],""))</f>
        <v/>
      </c>
      <c r="FG16" s="44" t="str">
        <f>IF(Table1[Date of Initial Assessment]="","",IF(AND(Table1[Start Date]&gt;42094,Table1[Start Date]&lt;42461),Table1[Emotional and Mental Health],""))</f>
        <v/>
      </c>
      <c r="FH16" s="44" t="str">
        <f>IF(Table1[Date of Initial Assessment]="","",IF(AND(Table1[Start Date]&gt;42094,Table1[Start Date]&lt;42461),Table1[Meaningful Use of Time],""))</f>
        <v/>
      </c>
      <c r="FI16" s="44" t="str">
        <f>IF(Table1[Date of Initial Assessment]="","",IF(AND(Table1[Start Date]&gt;42094,Table1[Start Date]&lt;42461),Table1[Managing Tenancy and Accommodation],""))</f>
        <v/>
      </c>
      <c r="FJ16" s="44" t="str">
        <f>IF(Table1[Date of Initial Assessment]="","",IF(AND(Table1[Start Date]&gt;42094,Table1[Start Date]&lt;42461),Table1[Offending],""))</f>
        <v/>
      </c>
      <c r="FK16" s="44" t="str">
        <f>IF(Table1[Leaving Date]="","",IF(Table1[Date of Initial Assessment]="","",IF(AND(Table1[Leaving Date]&gt;42094,Table1[Leaving Date]&lt;42461),IF(Table1[Date of Last Assessment]="",Table1[Motivation and Taking Responsibility],Table1[Motivation and Taking Responsibility2]),"")))</f>
        <v/>
      </c>
      <c r="FL16" s="44" t="str">
        <f>IF(Table1[Leaving Date]="","",IF(Table1[Date of Initial Assessment]="","",IF(AND(Table1[Leaving Date]&gt;42094,Table1[Leaving Date]&lt;42461),IF(Table1[Date of Last Assessment]="",Table1[Self-Care and Living Skills],Table1[Self-Care and Living Skills2]),"")))</f>
        <v/>
      </c>
      <c r="FM16" s="44" t="str">
        <f>IF(Table1[Leaving Date]="","",IF(Table1[Date of Initial Assessment]="","",IF(AND(Table1[Leaving Date]&gt;42094,Table1[Leaving Date]&lt;42461),IF(Table1[Date of Last Assessment]="",Table1[Managing Money and Personal Administration],Table1[Managing Money and Personal Administration2]),"")))</f>
        <v/>
      </c>
      <c r="FN16" s="44" t="str">
        <f>IF(Table1[Leaving Date]="","",IF(Table1[Date of Initial Assessment]="","",IF(AND(Table1[Leaving Date]&gt;42094,Table1[Leaving Date]&lt;42461),IF(Table1[Date of Last Assessment]="",Table1[Social Networks and Relationships],Table1[Social Networks and Relationships2]),"")))</f>
        <v/>
      </c>
      <c r="FO16" s="44" t="str">
        <f>IF(Table1[Leaving Date]="","",IF(Table1[Date of Initial Assessment]="","",IF(AND(Table1[Leaving Date]&gt;42094,Table1[Leaving Date]&lt;42461),IF(Table1[Date of Last Assessment]="",Table1[Drug and Alcohol Misuse],Table1[Drug and Alcohol Misuse2]),"")))</f>
        <v/>
      </c>
      <c r="FP16" s="44" t="str">
        <f>IF(Table1[Leaving Date]="","",IF(Table1[Date of Initial Assessment]="","",IF(AND(Table1[Leaving Date]&gt;42094,Table1[Leaving Date]&lt;42461),IF(Table1[Date of Last Assessment]="",Table1[Physical Health],Table1[Physical Health2]),"")))</f>
        <v/>
      </c>
      <c r="FQ16" s="44" t="str">
        <f>IF(Table1[Leaving Date]="","",IF(Table1[Date of Initial Assessment]="","",IF(AND(Table1[Leaving Date]&gt;42094,Table1[Leaving Date]&lt;42461),IF(Table1[Date of Last Assessment]="",Table1[Emotional and Mental Health],Table1[Emotional and Mental Health2]),"")))</f>
        <v/>
      </c>
      <c r="FR16" s="44" t="str">
        <f>IF(Table1[Leaving Date]="","",IF(Table1[Date of Initial Assessment]="","",IF(AND(Table1[Leaving Date]&gt;42094,Table1[Leaving Date]&lt;42461),IF(Table1[Date of Last Assessment]="",Table1[Meaningful Use of Time],Table1[Meaningful Use of Time2]),"")))</f>
        <v/>
      </c>
      <c r="FS16" s="44" t="str">
        <f>IF(Table1[Leaving Date]="","",IF(Table1[Date of Initial Assessment]="","",IF(AND(Table1[Leaving Date]&gt;42094,Table1[Leaving Date]&lt;42461),IF(Table1[Date of Last Assessment]="",Table1[Managing Tenancy and Accommodation],Table1[Managing Tenancy and Accommodation2]),"")))</f>
        <v/>
      </c>
      <c r="FT16" s="44" t="str">
        <f>IF(Table1[Leaving Date]="","",IF(Table1[Date of Initial Assessment]="","",IF(AND(Table1[Leaving Date]&gt;42094,Table1[Leaving Date]&lt;42461),IF(Table1[Date of Last Assessment]="",Table1[Offending],Table1[Offending2]),"")))</f>
        <v/>
      </c>
      <c r="FU16" s="44" t="str">
        <f>IF(Table1[Date of Initial Assessment]="","",IF(AND(Table1[Start Date]&gt;42460,Table1[Start Date]&lt;42826),Table1[Motivation and Taking Responsibility],""))</f>
        <v/>
      </c>
      <c r="FV16" s="44" t="str">
        <f>IF(Table1[Date of Initial Assessment]="","",IF(AND(Table1[Start Date]&gt;42460,Table1[Start Date]&lt;42826),Table1[Self-Care and Living Skills],""))</f>
        <v/>
      </c>
      <c r="FW16" s="44" t="str">
        <f>IF(Table1[Date of Initial Assessment]="","",IF(AND(Table1[Start Date]&gt;42460,Table1[Start Date]&lt;42826),Table1[Managing Money and Personal Administration],""))</f>
        <v/>
      </c>
      <c r="FX16" s="44" t="str">
        <f>IF(Table1[Date of Initial Assessment]="","",IF(AND(Table1[Start Date]&gt;42460,Table1[Start Date]&lt;42826),Table1[Social Networks and Relationships],""))</f>
        <v/>
      </c>
      <c r="FY16" s="44" t="str">
        <f>IF(Table1[Date of Initial Assessment]="","",IF(AND(Table1[Start Date]&gt;42460,Table1[Start Date]&lt;42826),Table1[Drug and Alcohol Misuse],""))</f>
        <v/>
      </c>
      <c r="FZ16" s="44" t="str">
        <f>IF(Table1[Date of Initial Assessment]="","",IF(AND(Table1[Start Date]&gt;42460,Table1[Start Date]&lt;42826),Table1[Physical Health],""))</f>
        <v/>
      </c>
      <c r="GA16" s="44" t="str">
        <f>IF(Table1[Date of Initial Assessment]="","",IF(AND(Table1[Start Date]&gt;42460,Table1[Start Date]&lt;42826),Table1[Emotional and Mental Health],""))</f>
        <v/>
      </c>
      <c r="GB16" s="44" t="str">
        <f>IF(Table1[Date of Initial Assessment]="","",IF(AND(Table1[Start Date]&gt;42460,Table1[Start Date]&lt;42826),Table1[Meaningful Use of Time],""))</f>
        <v/>
      </c>
      <c r="GC16" s="44" t="str">
        <f>IF(Table1[Date of Initial Assessment]="","",IF(AND(Table1[Start Date]&gt;42460,Table1[Start Date]&lt;42826),Table1[Managing Tenancy and Accommodation],""))</f>
        <v/>
      </c>
      <c r="GD16" s="44" t="str">
        <f>IF(Table1[Date of Initial Assessment]="","",IF(AND(Table1[Start Date]&gt;42460,Table1[Start Date]&lt;42826),Table1[Offending],""))</f>
        <v/>
      </c>
      <c r="GE16" s="44" t="str">
        <f>IF(Table1[Leaving Date]="","",IF(AND(Table1[Leaving Date]&gt;42460,Table1[Leaving Date]&lt;42826),IF(Table1[Date of Last Assessment]="",Table1[Motivation and Taking Responsibility],Table1[Motivation and Taking Responsibility2]),""))</f>
        <v/>
      </c>
      <c r="GF16" s="44" t="str">
        <f>IF(Table1[Leaving Date]="","",IF(AND(Table1[Leaving Date]&gt;42460,Table1[Leaving Date]&lt;42826),IF(Table1[Date of Last Assessment]="",Table1[Self-Care and Living Skills],Table1[Self-Care and Living Skills2]),""))</f>
        <v/>
      </c>
      <c r="GG16" s="44" t="str">
        <f>IF(Table1[Leaving Date]="","",IF(AND(Table1[Leaving Date]&gt;42460,Table1[Leaving Date]&lt;42826),IF(Table1[Date of Last Assessment]="",Table1[Managing Money and Personal Administration],Table1[Managing Money and Personal Administration2]),""))</f>
        <v/>
      </c>
      <c r="GH16" s="44" t="str">
        <f>IF(Table1[Leaving Date]="","",IF(AND(Table1[Leaving Date]&gt;42460,Table1[Leaving Date]&lt;42826),IF(Table1[Date of Last Assessment]="",Table1[Social Networks and Relationships],Table1[Social Networks and Relationships2]),""))</f>
        <v/>
      </c>
      <c r="GI16" s="44" t="str">
        <f>IF(Table1[Leaving Date]="","",IF(AND(Table1[Leaving Date]&gt;42460,Table1[Leaving Date]&lt;42826),IF(Table1[Date of Last Assessment]="",Table1[Drug and Alcohol Misuse],Table1[Drug and Alcohol Misuse2]),""))</f>
        <v/>
      </c>
      <c r="GJ16" s="44" t="str">
        <f>IF(Table1[Leaving Date]="","",IF(AND(Table1[Leaving Date]&gt;42460,Table1[Leaving Date]&lt;42826),IF(Table1[Date of Last Assessment]="",Table1[Physical Health],Table1[Physical Health2]),""))</f>
        <v/>
      </c>
      <c r="GK16" s="44" t="str">
        <f>IF(Table1[Leaving Date]="","",IF(AND(Table1[Leaving Date]&gt;42460,Table1[Leaving Date]&lt;42826),IF(Table1[Date of Last Assessment]="",Table1[Emotional and Mental Health],Table1[Emotional and Mental Health2]),""))</f>
        <v/>
      </c>
      <c r="GL16" s="44" t="str">
        <f>IF(Table1[Leaving Date]="","",IF(AND(Table1[Leaving Date]&gt;42460,Table1[Leaving Date]&lt;42826),IF(Table1[Date of Last Assessment]="",Table1[Meaningful Use of Time],Table1[Meaningful Use of Time2]),""))</f>
        <v/>
      </c>
      <c r="GM16" s="44" t="str">
        <f>IF(Table1[Leaving Date]="","",IF(AND(Table1[Leaving Date]&gt;42460,Table1[Leaving Date]&lt;42826),IF(Table1[Date of Last Assessment]="",Table1[Managing Tenancy and Accommodation],Table1[Managing Tenancy and Accommodation2]),""))</f>
        <v/>
      </c>
      <c r="GN16" s="44" t="str">
        <f>IF(Table1[Leaving Date]="","",IF(AND(Table1[Leaving Date]&gt;42460,Table1[Leaving Date]&lt;42826),IF(Table1[Date of Last Assessment]="",Table1[Offending],Table1[Offending2]),""))</f>
        <v/>
      </c>
    </row>
    <row r="17" spans="2:196" ht="20.100000000000001" customHeight="1" x14ac:dyDescent="0.2">
      <c r="B17" s="86">
        <f>+'Service Data'!$C$5:$C$5</f>
        <v>0</v>
      </c>
      <c r="C17" s="86"/>
      <c r="D17" s="86"/>
      <c r="E17" s="86"/>
      <c r="F17" s="86"/>
      <c r="G17" s="86"/>
      <c r="H17" s="6"/>
      <c r="I17" s="99" t="str">
        <f ca="1">IF(Table1[[#This Row],[Date of Birth]]="","",SUM(TODAY()-Table1[[#This Row],[Date of Birth]])/365)</f>
        <v/>
      </c>
      <c r="L17" s="86"/>
      <c r="M17" s="77"/>
      <c r="N17" s="86"/>
      <c r="O17" s="86"/>
      <c r="P17" s="91"/>
      <c r="Q17" s="86"/>
      <c r="R17" s="77"/>
      <c r="S17" s="77"/>
      <c r="T17" s="68"/>
      <c r="U17" s="68"/>
      <c r="V17" s="67"/>
      <c r="W17" s="67"/>
      <c r="X17" s="67"/>
      <c r="Y17" s="67"/>
      <c r="Z17" s="67"/>
      <c r="AA17" s="67"/>
      <c r="AB17" s="67"/>
      <c r="AC17" s="67"/>
      <c r="AD17" s="67"/>
      <c r="AE17" s="67"/>
      <c r="AF17" s="67"/>
      <c r="AG17" s="67"/>
      <c r="AH17" s="67"/>
      <c r="AI17" s="67"/>
      <c r="AJ17" s="67"/>
      <c r="AK17" s="67"/>
      <c r="AL17" s="67"/>
      <c r="AM17" s="67"/>
      <c r="AN17" s="77"/>
      <c r="AO17" s="76"/>
      <c r="AP17" s="77"/>
      <c r="AQ17" s="76"/>
      <c r="AR17" s="76"/>
      <c r="AS17" s="76"/>
      <c r="AT17" s="76"/>
      <c r="AU17" s="76"/>
      <c r="AV17" s="77"/>
      <c r="AW17" s="76"/>
      <c r="AX17" s="77"/>
      <c r="AY17" s="76"/>
      <c r="AZ17" s="76"/>
      <c r="BA17" s="76"/>
      <c r="BB17" s="76"/>
      <c r="BC17" s="76"/>
      <c r="BD17" s="77"/>
      <c r="BE17" s="76"/>
      <c r="BF17" s="77"/>
      <c r="BG17" s="76"/>
      <c r="BH17" s="76"/>
      <c r="BI17" s="76"/>
      <c r="BJ17" s="76"/>
      <c r="BK17" s="76"/>
      <c r="BL17" s="77"/>
      <c r="BM17" s="76"/>
      <c r="BN17" s="77"/>
      <c r="BO17" s="76"/>
      <c r="BP17" s="76"/>
      <c r="BQ17" s="76"/>
      <c r="BR17" s="76"/>
      <c r="BS17" s="76"/>
      <c r="BT17" s="77"/>
      <c r="BU17" s="76"/>
      <c r="BV17" s="77"/>
      <c r="BW17" s="76"/>
      <c r="BX17" s="76"/>
      <c r="BY17" s="76"/>
      <c r="BZ17" s="76"/>
      <c r="CA17" s="76"/>
      <c r="CB17" s="77"/>
      <c r="CC17" s="76"/>
      <c r="CD17" s="77"/>
      <c r="CE17" s="76"/>
      <c r="CF17" s="76"/>
      <c r="CG17" s="76"/>
      <c r="CH17" s="76"/>
      <c r="CI17" s="76"/>
      <c r="CJ17" s="77"/>
      <c r="CK17" s="76"/>
      <c r="CL17" s="77"/>
      <c r="CM17" s="76"/>
      <c r="CN17" s="76"/>
      <c r="CO17" s="76"/>
      <c r="CP17" s="76"/>
      <c r="CQ17" s="76"/>
      <c r="CR17" s="78" t="str">
        <f t="shared" si="15"/>
        <v/>
      </c>
      <c r="CS17" s="79" t="str">
        <f t="shared" si="16"/>
        <v/>
      </c>
      <c r="CT17" s="79" t="str">
        <f t="shared" si="17"/>
        <v/>
      </c>
      <c r="CU17" s="79" t="str">
        <f t="shared" si="18"/>
        <v/>
      </c>
      <c r="CV17" s="79" t="str">
        <f t="shared" si="19"/>
        <v/>
      </c>
      <c r="CW17" s="79" t="str">
        <f t="shared" si="20"/>
        <v/>
      </c>
      <c r="CX17" s="79" t="str">
        <f t="shared" si="21"/>
        <v/>
      </c>
      <c r="CY17" s="79" t="str">
        <f t="shared" si="22"/>
        <v/>
      </c>
      <c r="CZ17" s="79" t="str">
        <f t="shared" si="23"/>
        <v/>
      </c>
      <c r="DA17" s="79" t="str">
        <f t="shared" si="24"/>
        <v/>
      </c>
      <c r="DB17" s="79" t="str">
        <f t="shared" si="25"/>
        <v/>
      </c>
      <c r="DC17" s="79" t="str">
        <f t="shared" si="26"/>
        <v/>
      </c>
      <c r="DD17" s="79" t="str">
        <f t="shared" si="27"/>
        <v/>
      </c>
      <c r="DE17" s="79" t="str">
        <f t="shared" si="28"/>
        <v/>
      </c>
      <c r="DF17" s="79" t="str">
        <f t="shared" si="29"/>
        <v/>
      </c>
      <c r="DG17" s="79" t="str">
        <f t="shared" si="30"/>
        <v/>
      </c>
      <c r="DH17" s="76"/>
      <c r="DI17" s="78"/>
      <c r="DJ17" s="76"/>
      <c r="DK17" s="77"/>
      <c r="DL17" s="77"/>
      <c r="DM17" s="77"/>
      <c r="DN17" s="80"/>
      <c r="DO17" s="80"/>
      <c r="DP17" s="92" t="str">
        <f>IF(Table1[Start Date]="","",IF(Table1[Start Date]&gt;42185,"",IF(AND(Table1[Leaving Date]&gt;1,Table1[Leaving Date]&lt;42095),"",1)))</f>
        <v/>
      </c>
      <c r="DQ17" s="92" t="str">
        <f>IF(Table1[Start Date]="","",IF(Table1[Start Date]&gt;42277,"",IF(AND(Table1[Leaving Date]&gt;1,Table1[Leaving Date]&lt;42186),"",1)))</f>
        <v/>
      </c>
      <c r="DR17" s="92" t="str">
        <f>IF(Table1[Start Date]="","",IF(Table1[Start Date]&gt;42369,"",IF(AND(Table1[Leaving Date]&gt;1,Table1[Leaving Date]&lt;42278),"",1)))</f>
        <v/>
      </c>
      <c r="DS17" s="92" t="str">
        <f>IF(Table1[Start Date]="","",IF(Table1[Start Date]&gt;42460,"",IF(AND(Table1[Leaving Date]&gt;1,Table1[Leaving Date]&lt;42370),"",1)))</f>
        <v/>
      </c>
      <c r="DT17" s="92" t="str">
        <f>IF(Table1[Start Date]="","",IF(Table1[Start Date]&gt;42551,"",IF(AND(Table1[Leaving Date]&gt;1,Table1[Leaving Date]&lt;42461),"",1)))</f>
        <v/>
      </c>
      <c r="DU17" s="92" t="str">
        <f>IF(Table1[Start Date]="","",IF(Table1[Start Date]&gt;42643,"",IF(AND(Table1[Leaving Date]&gt;1,Table1[Leaving Date]&lt;42552),"",1)))</f>
        <v/>
      </c>
      <c r="DV17" s="92" t="str">
        <f>IF(Table1[Start Date]="","",IF(Table1[Start Date]&gt;42735,"",IF(AND(Table1[Leaving Date]&gt;1,Table1[Leaving Date]&lt;42644),"",1)))</f>
        <v/>
      </c>
      <c r="DW17" s="92" t="str">
        <f>IF(Table1[Start Date]="","",IF(Table1[Start Date]&gt;42825,"",IF(AND(Table1[Leaving Date]&gt;1,Table1[Leaving Date]&lt;42736),"",1)))</f>
        <v/>
      </c>
      <c r="DX17"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17" s="44" t="e">
        <f>VLOOKUP(Table1[Referral Source],Lists!$G$2:$H$20,2,FALSE)</f>
        <v>#N/A</v>
      </c>
      <c r="DZ17" s="93" t="e">
        <f>SUM(Table1[Data Referral Quarter]+Table1[Data Referral Source])</f>
        <v>#N/A</v>
      </c>
      <c r="EA17" s="44" t="b">
        <f>IF(Table1[Referral Decision]="Accepted",100,IF(Table1[Referral Decision]="Rejected by Provider",200,IF(Table1[Referral Decision]="Rejected by Applicant",300)))</f>
        <v>0</v>
      </c>
      <c r="EB17" s="44">
        <f>SUM(Table1[Data Referral Quarter]+Table1[Data Referral Decision])</f>
        <v>0</v>
      </c>
      <c r="EC17" s="44" t="b">
        <f>IF(Table1[Start Date]&gt;42735,8000,IF(Table1[Start Date]&gt;42643,7000,IF(Table1[Start Date]&gt;42551,6000,IF(Table1[Start Date]&gt;42460,5000,IF(Table1[Start Date]&gt;42369,4000,IF(Table1[Start Date]&gt;42277,3000,IF(Table1[Start Date]&gt;42185,2000,IF(Table1[Start Date]&gt;42094,1000))))))))</f>
        <v>0</v>
      </c>
      <c r="ED17" s="44" t="str">
        <f>IF(Table1[Start Date]="","",IF(Table1[Current Local Authority]="Swindon",1,"2"))</f>
        <v/>
      </c>
      <c r="EE17" s="44" t="e">
        <f>SUM(Table1[Data Start Date]+Table1[Data Local Authority])</f>
        <v>#VALUE!</v>
      </c>
      <c r="EF17" s="44">
        <f>IF(Table1[Registered with GP]="Yes",1,0)</f>
        <v>0</v>
      </c>
      <c r="EG17" s="44">
        <f>SUM(Table1[Data Start Date]+Table1[Data GP Start])</f>
        <v>0</v>
      </c>
      <c r="EH17" s="44" t="str">
        <f>IF(Table1[EET]="NEET",1,IF(Table1[EET]="Education",2,IF(Table1[EET]="Employment",2,IF(Table1[EET]="Training",2,IF(Table1[EET]="Retired",3,"")))))</f>
        <v/>
      </c>
      <c r="EI17" s="44" t="e">
        <f>Table1[Data Start Date]+Table1[Data EET Start]</f>
        <v>#VALUE!</v>
      </c>
      <c r="EJ17" s="44" t="b">
        <f>IF(Table1[Leaving Date]&gt;42735,8000,IF(Table1[Leaving Date]&gt;42643,7000,IF(Table1[Leaving Date]&gt;42551,6000,IF(Table1[Leaving Date]&gt;42460,5000,IF(Table1[Leaving Date]&gt;42369,4000,IF(Table1[Leaving Date]&gt;42277,3000,IF(Table1[Leaving Date]&gt;42185,2000,IF(Table1[Leaving Date]&gt;42094,1000))))))))</f>
        <v>0</v>
      </c>
      <c r="EK17" s="44" t="e">
        <f>VLOOKUP(Table1[Reason for Leaving],Lists!$T$2:$U$15,2,FALSE)</f>
        <v>#N/A</v>
      </c>
      <c r="EL17" s="44" t="e">
        <f>SUM(Table1[Data Leavers Date]+Table1[Data Move On])</f>
        <v>#N/A</v>
      </c>
      <c r="EM17" s="44" t="b">
        <f>IF(Table1[Registered with GP2]="Yes",1,IF(Table1[Registered with GP2]="No",0,IF(Table1[Registered with GP]="Yes",1,IF(Table1[Registered with GP]="No",0))))</f>
        <v>0</v>
      </c>
      <c r="EN17" s="44">
        <f>SUM(Table1[Data Leavers Date]+Table1[Data GP End])</f>
        <v>0</v>
      </c>
      <c r="EO17" s="44" t="str">
        <f>IF(Table1[EET2]="NEET",1,IF(Table1[EET2]="Employment",2,IF(Table1[EET2]="Education",2,IF(Table1[EET2]="Training",2,IF(Table1[EET2]="Retired",3,IF(Table1[EET]="NEET",1,IF(Table1[EET]="Employment",2,IF(Table1[EET]="Education",2,IF(Table1[EET]="Training",2,IF(Table1[EET]="Retired",3,""))))))))))</f>
        <v/>
      </c>
      <c r="EP17" s="44" t="e">
        <f>+Table1[[#This Row],[Data Leavers Date]]+Table1[[#This Row],[Data EET End]]</f>
        <v>#VALUE!</v>
      </c>
      <c r="EQ17" s="44">
        <f>IF(Table1[Exit Form Received]="Yes",1,0)</f>
        <v>0</v>
      </c>
      <c r="ER17" s="44">
        <f>+Table1[[#This Row],[Data Leavers Date]]+Table1[[#This Row],[Data Exit Forms]]</f>
        <v>0</v>
      </c>
      <c r="ES17" s="44" t="str">
        <f>IF(Table1[Data Leavers Date]=1000,SUM(Table1[Leaving Date]-Table1[Start Date]),"")</f>
        <v/>
      </c>
      <c r="ET17" s="44" t="str">
        <f>IF(Table1[Data Leavers Date]=2000,SUM(Table1[Leaving Date]-Table1[Start Date]),"")</f>
        <v/>
      </c>
      <c r="EU17" s="44" t="str">
        <f>IF(Table1[Data Leavers Date]=3000,SUM(Table1[Leaving Date]-Table1[Start Date]),"")</f>
        <v/>
      </c>
      <c r="EV17" s="44" t="str">
        <f>IF(Table1[Data Leavers Date]=4000,SUM(Table1[Leaving Date]-Table1[Start Date]),"")</f>
        <v/>
      </c>
      <c r="EW17" s="44" t="str">
        <f>IF(Table1[Data Leavers Date]=5000,SUM(Table1[Leaving Date]-Table1[Start Date]),"")</f>
        <v/>
      </c>
      <c r="EX17" s="44" t="str">
        <f>IF(Table1[Data Leavers Date]=6000,SUM(Table1[Leaving Date]-Table1[Start Date]),"")</f>
        <v/>
      </c>
      <c r="EY17" s="44" t="str">
        <f>IF(Table1[Data Leavers Date]=7000,SUM(Table1[Leaving Date]-Table1[Start Date]),"")</f>
        <v/>
      </c>
      <c r="EZ17" s="44" t="str">
        <f>IF(Table1[Data Leavers Date]=8000,SUM(Table1[Leaving Date]-Table1[Start Date]),"")</f>
        <v/>
      </c>
      <c r="FA17" s="44" t="str">
        <f>IF(Table1[Date of Initial Assessment]="","",IF(AND(Table1[Start Date]&gt;42094,Table1[Start Date]&lt;42461),Table1[Motivation and Taking Responsibility],""))</f>
        <v/>
      </c>
      <c r="FB17" s="44" t="str">
        <f>IF(Table1[Date of Initial Assessment]="","",IF(AND(Table1[Start Date]&gt;42094,Table1[Start Date]&lt;42461),Table1[Self-Care and Living Skills],""))</f>
        <v/>
      </c>
      <c r="FC17" s="44" t="str">
        <f>IF(Table1[Date of Initial Assessment]="","",IF(AND(Table1[Start Date]&gt;42094,Table1[Start Date]&lt;42461),Table1[Managing Money and Personal Administration],""))</f>
        <v/>
      </c>
      <c r="FD17" s="44" t="str">
        <f>IF(Table1[Date of Initial Assessment]="","",IF(AND(Table1[Start Date]&gt;42094,Table1[Start Date]&lt;42461),Table1[Social Networks and Relationships],""))</f>
        <v/>
      </c>
      <c r="FE17" s="44" t="str">
        <f>IF(Table1[Date of Initial Assessment]="","",IF(AND(Table1[Start Date]&gt;42094,Table1[Start Date]&lt;42461),Table1[Drug and Alcohol Misuse],""))</f>
        <v/>
      </c>
      <c r="FF17" s="44" t="str">
        <f>IF(Table1[Date of Initial Assessment]="","",IF(AND(Table1[Start Date]&gt;42094,Table1[Start Date]&lt;42461),Table1[Physical Health],""))</f>
        <v/>
      </c>
      <c r="FG17" s="44" t="str">
        <f>IF(Table1[Date of Initial Assessment]="","",IF(AND(Table1[Start Date]&gt;42094,Table1[Start Date]&lt;42461),Table1[Emotional and Mental Health],""))</f>
        <v/>
      </c>
      <c r="FH17" s="44" t="str">
        <f>IF(Table1[Date of Initial Assessment]="","",IF(AND(Table1[Start Date]&gt;42094,Table1[Start Date]&lt;42461),Table1[Meaningful Use of Time],""))</f>
        <v/>
      </c>
      <c r="FI17" s="44" t="str">
        <f>IF(Table1[Date of Initial Assessment]="","",IF(AND(Table1[Start Date]&gt;42094,Table1[Start Date]&lt;42461),Table1[Managing Tenancy and Accommodation],""))</f>
        <v/>
      </c>
      <c r="FJ17" s="44" t="str">
        <f>IF(Table1[Date of Initial Assessment]="","",IF(AND(Table1[Start Date]&gt;42094,Table1[Start Date]&lt;42461),Table1[Offending],""))</f>
        <v/>
      </c>
      <c r="FK17" s="44" t="str">
        <f>IF(Table1[Leaving Date]="","",IF(Table1[Date of Initial Assessment]="","",IF(AND(Table1[Leaving Date]&gt;42094,Table1[Leaving Date]&lt;42461),IF(Table1[Date of Last Assessment]="",Table1[Motivation and Taking Responsibility],Table1[Motivation and Taking Responsibility2]),"")))</f>
        <v/>
      </c>
      <c r="FL17" s="44" t="str">
        <f>IF(Table1[Leaving Date]="","",IF(Table1[Date of Initial Assessment]="","",IF(AND(Table1[Leaving Date]&gt;42094,Table1[Leaving Date]&lt;42461),IF(Table1[Date of Last Assessment]="",Table1[Self-Care and Living Skills],Table1[Self-Care and Living Skills2]),"")))</f>
        <v/>
      </c>
      <c r="FM17" s="44" t="str">
        <f>IF(Table1[Leaving Date]="","",IF(Table1[Date of Initial Assessment]="","",IF(AND(Table1[Leaving Date]&gt;42094,Table1[Leaving Date]&lt;42461),IF(Table1[Date of Last Assessment]="",Table1[Managing Money and Personal Administration],Table1[Managing Money and Personal Administration2]),"")))</f>
        <v/>
      </c>
      <c r="FN17" s="44" t="str">
        <f>IF(Table1[Leaving Date]="","",IF(Table1[Date of Initial Assessment]="","",IF(AND(Table1[Leaving Date]&gt;42094,Table1[Leaving Date]&lt;42461),IF(Table1[Date of Last Assessment]="",Table1[Social Networks and Relationships],Table1[Social Networks and Relationships2]),"")))</f>
        <v/>
      </c>
      <c r="FO17" s="44" t="str">
        <f>IF(Table1[Leaving Date]="","",IF(Table1[Date of Initial Assessment]="","",IF(AND(Table1[Leaving Date]&gt;42094,Table1[Leaving Date]&lt;42461),IF(Table1[Date of Last Assessment]="",Table1[Drug and Alcohol Misuse],Table1[Drug and Alcohol Misuse2]),"")))</f>
        <v/>
      </c>
      <c r="FP17" s="44" t="str">
        <f>IF(Table1[Leaving Date]="","",IF(Table1[Date of Initial Assessment]="","",IF(AND(Table1[Leaving Date]&gt;42094,Table1[Leaving Date]&lt;42461),IF(Table1[Date of Last Assessment]="",Table1[Physical Health],Table1[Physical Health2]),"")))</f>
        <v/>
      </c>
      <c r="FQ17" s="44" t="str">
        <f>IF(Table1[Leaving Date]="","",IF(Table1[Date of Initial Assessment]="","",IF(AND(Table1[Leaving Date]&gt;42094,Table1[Leaving Date]&lt;42461),IF(Table1[Date of Last Assessment]="",Table1[Emotional and Mental Health],Table1[Emotional and Mental Health2]),"")))</f>
        <v/>
      </c>
      <c r="FR17" s="44" t="str">
        <f>IF(Table1[Leaving Date]="","",IF(Table1[Date of Initial Assessment]="","",IF(AND(Table1[Leaving Date]&gt;42094,Table1[Leaving Date]&lt;42461),IF(Table1[Date of Last Assessment]="",Table1[Meaningful Use of Time],Table1[Meaningful Use of Time2]),"")))</f>
        <v/>
      </c>
      <c r="FS17" s="44" t="str">
        <f>IF(Table1[Leaving Date]="","",IF(Table1[Date of Initial Assessment]="","",IF(AND(Table1[Leaving Date]&gt;42094,Table1[Leaving Date]&lt;42461),IF(Table1[Date of Last Assessment]="",Table1[Managing Tenancy and Accommodation],Table1[Managing Tenancy and Accommodation2]),"")))</f>
        <v/>
      </c>
      <c r="FT17" s="44" t="str">
        <f>IF(Table1[Leaving Date]="","",IF(Table1[Date of Initial Assessment]="","",IF(AND(Table1[Leaving Date]&gt;42094,Table1[Leaving Date]&lt;42461),IF(Table1[Date of Last Assessment]="",Table1[Offending],Table1[Offending2]),"")))</f>
        <v/>
      </c>
      <c r="FU17" s="44" t="str">
        <f>IF(Table1[Date of Initial Assessment]="","",IF(AND(Table1[Start Date]&gt;42460,Table1[Start Date]&lt;42826),Table1[Motivation and Taking Responsibility],""))</f>
        <v/>
      </c>
      <c r="FV17" s="44" t="str">
        <f>IF(Table1[Date of Initial Assessment]="","",IF(AND(Table1[Start Date]&gt;42460,Table1[Start Date]&lt;42826),Table1[Self-Care and Living Skills],""))</f>
        <v/>
      </c>
      <c r="FW17" s="44" t="str">
        <f>IF(Table1[Date of Initial Assessment]="","",IF(AND(Table1[Start Date]&gt;42460,Table1[Start Date]&lt;42826),Table1[Managing Money and Personal Administration],""))</f>
        <v/>
      </c>
      <c r="FX17" s="44" t="str">
        <f>IF(Table1[Date of Initial Assessment]="","",IF(AND(Table1[Start Date]&gt;42460,Table1[Start Date]&lt;42826),Table1[Social Networks and Relationships],""))</f>
        <v/>
      </c>
      <c r="FY17" s="44" t="str">
        <f>IF(Table1[Date of Initial Assessment]="","",IF(AND(Table1[Start Date]&gt;42460,Table1[Start Date]&lt;42826),Table1[Drug and Alcohol Misuse],""))</f>
        <v/>
      </c>
      <c r="FZ17" s="44" t="str">
        <f>IF(Table1[Date of Initial Assessment]="","",IF(AND(Table1[Start Date]&gt;42460,Table1[Start Date]&lt;42826),Table1[Physical Health],""))</f>
        <v/>
      </c>
      <c r="GA17" s="44" t="str">
        <f>IF(Table1[Date of Initial Assessment]="","",IF(AND(Table1[Start Date]&gt;42460,Table1[Start Date]&lt;42826),Table1[Emotional and Mental Health],""))</f>
        <v/>
      </c>
      <c r="GB17" s="44" t="str">
        <f>IF(Table1[Date of Initial Assessment]="","",IF(AND(Table1[Start Date]&gt;42460,Table1[Start Date]&lt;42826),Table1[Meaningful Use of Time],""))</f>
        <v/>
      </c>
      <c r="GC17" s="44" t="str">
        <f>IF(Table1[Date of Initial Assessment]="","",IF(AND(Table1[Start Date]&gt;42460,Table1[Start Date]&lt;42826),Table1[Managing Tenancy and Accommodation],""))</f>
        <v/>
      </c>
      <c r="GD17" s="44" t="str">
        <f>IF(Table1[Date of Initial Assessment]="","",IF(AND(Table1[Start Date]&gt;42460,Table1[Start Date]&lt;42826),Table1[Offending],""))</f>
        <v/>
      </c>
      <c r="GE17" s="44" t="str">
        <f>IF(Table1[Leaving Date]="","",IF(AND(Table1[Leaving Date]&gt;42460,Table1[Leaving Date]&lt;42826),IF(Table1[Date of Last Assessment]="",Table1[Motivation and Taking Responsibility],Table1[Motivation and Taking Responsibility2]),""))</f>
        <v/>
      </c>
      <c r="GF17" s="44" t="str">
        <f>IF(Table1[Leaving Date]="","",IF(AND(Table1[Leaving Date]&gt;42460,Table1[Leaving Date]&lt;42826),IF(Table1[Date of Last Assessment]="",Table1[Self-Care and Living Skills],Table1[Self-Care and Living Skills2]),""))</f>
        <v/>
      </c>
      <c r="GG17" s="44" t="str">
        <f>IF(Table1[Leaving Date]="","",IF(AND(Table1[Leaving Date]&gt;42460,Table1[Leaving Date]&lt;42826),IF(Table1[Date of Last Assessment]="",Table1[Managing Money and Personal Administration],Table1[Managing Money and Personal Administration2]),""))</f>
        <v/>
      </c>
      <c r="GH17" s="44" t="str">
        <f>IF(Table1[Leaving Date]="","",IF(AND(Table1[Leaving Date]&gt;42460,Table1[Leaving Date]&lt;42826),IF(Table1[Date of Last Assessment]="",Table1[Social Networks and Relationships],Table1[Social Networks and Relationships2]),""))</f>
        <v/>
      </c>
      <c r="GI17" s="44" t="str">
        <f>IF(Table1[Leaving Date]="","",IF(AND(Table1[Leaving Date]&gt;42460,Table1[Leaving Date]&lt;42826),IF(Table1[Date of Last Assessment]="",Table1[Drug and Alcohol Misuse],Table1[Drug and Alcohol Misuse2]),""))</f>
        <v/>
      </c>
      <c r="GJ17" s="44" t="str">
        <f>IF(Table1[Leaving Date]="","",IF(AND(Table1[Leaving Date]&gt;42460,Table1[Leaving Date]&lt;42826),IF(Table1[Date of Last Assessment]="",Table1[Physical Health],Table1[Physical Health2]),""))</f>
        <v/>
      </c>
      <c r="GK17" s="44" t="str">
        <f>IF(Table1[Leaving Date]="","",IF(AND(Table1[Leaving Date]&gt;42460,Table1[Leaving Date]&lt;42826),IF(Table1[Date of Last Assessment]="",Table1[Emotional and Mental Health],Table1[Emotional and Mental Health2]),""))</f>
        <v/>
      </c>
      <c r="GL17" s="44" t="str">
        <f>IF(Table1[Leaving Date]="","",IF(AND(Table1[Leaving Date]&gt;42460,Table1[Leaving Date]&lt;42826),IF(Table1[Date of Last Assessment]="",Table1[Meaningful Use of Time],Table1[Meaningful Use of Time2]),""))</f>
        <v/>
      </c>
      <c r="GM17" s="44" t="str">
        <f>IF(Table1[Leaving Date]="","",IF(AND(Table1[Leaving Date]&gt;42460,Table1[Leaving Date]&lt;42826),IF(Table1[Date of Last Assessment]="",Table1[Managing Tenancy and Accommodation],Table1[Managing Tenancy and Accommodation2]),""))</f>
        <v/>
      </c>
      <c r="GN17" s="44" t="str">
        <f>IF(Table1[Leaving Date]="","",IF(AND(Table1[Leaving Date]&gt;42460,Table1[Leaving Date]&lt;42826),IF(Table1[Date of Last Assessment]="",Table1[Offending],Table1[Offending2]),""))</f>
        <v/>
      </c>
    </row>
    <row r="18" spans="2:196" ht="20.100000000000001" customHeight="1" x14ac:dyDescent="0.2">
      <c r="B18" s="86">
        <f>+'Service Data'!$C$5:$C$5</f>
        <v>0</v>
      </c>
      <c r="C18" s="86"/>
      <c r="D18" s="86"/>
      <c r="E18" s="86"/>
      <c r="F18" s="86"/>
      <c r="G18" s="86"/>
      <c r="H18" s="6"/>
      <c r="I18" s="99" t="str">
        <f ca="1">IF(Table1[[#This Row],[Date of Birth]]="","",SUM(TODAY()-Table1[[#This Row],[Date of Birth]])/365)</f>
        <v/>
      </c>
      <c r="L18" s="86"/>
      <c r="M18" s="77"/>
      <c r="N18" s="86"/>
      <c r="O18" s="86"/>
      <c r="P18" s="91"/>
      <c r="Q18" s="86"/>
      <c r="R18" s="77"/>
      <c r="S18" s="77"/>
      <c r="T18" s="68"/>
      <c r="U18" s="68"/>
      <c r="V18" s="67"/>
      <c r="W18" s="67"/>
      <c r="X18" s="67"/>
      <c r="Y18" s="67"/>
      <c r="Z18" s="67"/>
      <c r="AA18" s="67"/>
      <c r="AB18" s="67"/>
      <c r="AC18" s="67"/>
      <c r="AD18" s="67"/>
      <c r="AE18" s="67"/>
      <c r="AF18" s="67"/>
      <c r="AG18" s="67"/>
      <c r="AH18" s="67"/>
      <c r="AI18" s="67"/>
      <c r="AJ18" s="67"/>
      <c r="AK18" s="67"/>
      <c r="AL18" s="67"/>
      <c r="AM18" s="67"/>
      <c r="AN18" s="77"/>
      <c r="AO18" s="76"/>
      <c r="AP18" s="77"/>
      <c r="AQ18" s="76"/>
      <c r="AR18" s="76"/>
      <c r="AS18" s="76"/>
      <c r="AT18" s="76"/>
      <c r="AU18" s="76"/>
      <c r="AV18" s="77"/>
      <c r="AW18" s="76"/>
      <c r="AX18" s="77"/>
      <c r="AY18" s="76"/>
      <c r="AZ18" s="76"/>
      <c r="BA18" s="76"/>
      <c r="BB18" s="76"/>
      <c r="BC18" s="76"/>
      <c r="BD18" s="77"/>
      <c r="BE18" s="76"/>
      <c r="BF18" s="77"/>
      <c r="BG18" s="76"/>
      <c r="BH18" s="76"/>
      <c r="BI18" s="76"/>
      <c r="BJ18" s="76"/>
      <c r="BK18" s="76"/>
      <c r="BL18" s="77"/>
      <c r="BM18" s="76"/>
      <c r="BN18" s="77"/>
      <c r="BO18" s="76"/>
      <c r="BP18" s="76"/>
      <c r="BQ18" s="76"/>
      <c r="BR18" s="76"/>
      <c r="BS18" s="76"/>
      <c r="BT18" s="77"/>
      <c r="BU18" s="76"/>
      <c r="BV18" s="77"/>
      <c r="BW18" s="76"/>
      <c r="BX18" s="76"/>
      <c r="BY18" s="76"/>
      <c r="BZ18" s="76"/>
      <c r="CA18" s="76"/>
      <c r="CB18" s="77"/>
      <c r="CC18" s="76"/>
      <c r="CD18" s="77"/>
      <c r="CE18" s="76"/>
      <c r="CF18" s="76"/>
      <c r="CG18" s="76"/>
      <c r="CH18" s="76"/>
      <c r="CI18" s="76"/>
      <c r="CJ18" s="77"/>
      <c r="CK18" s="76"/>
      <c r="CL18" s="77"/>
      <c r="CM18" s="76"/>
      <c r="CN18" s="76"/>
      <c r="CO18" s="76"/>
      <c r="CP18" s="76"/>
      <c r="CQ18" s="76"/>
      <c r="CR18" s="78" t="str">
        <f t="shared" si="15"/>
        <v/>
      </c>
      <c r="CS18" s="79" t="str">
        <f t="shared" si="16"/>
        <v/>
      </c>
      <c r="CT18" s="79" t="str">
        <f t="shared" si="17"/>
        <v/>
      </c>
      <c r="CU18" s="79" t="str">
        <f t="shared" si="18"/>
        <v/>
      </c>
      <c r="CV18" s="79" t="str">
        <f t="shared" si="19"/>
        <v/>
      </c>
      <c r="CW18" s="79" t="str">
        <f t="shared" si="20"/>
        <v/>
      </c>
      <c r="CX18" s="79" t="str">
        <f t="shared" si="21"/>
        <v/>
      </c>
      <c r="CY18" s="79" t="str">
        <f t="shared" si="22"/>
        <v/>
      </c>
      <c r="CZ18" s="79" t="str">
        <f t="shared" si="23"/>
        <v/>
      </c>
      <c r="DA18" s="79" t="str">
        <f t="shared" si="24"/>
        <v/>
      </c>
      <c r="DB18" s="79" t="str">
        <f t="shared" si="25"/>
        <v/>
      </c>
      <c r="DC18" s="79" t="str">
        <f t="shared" si="26"/>
        <v/>
      </c>
      <c r="DD18" s="79" t="str">
        <f t="shared" si="27"/>
        <v/>
      </c>
      <c r="DE18" s="79" t="str">
        <f t="shared" si="28"/>
        <v/>
      </c>
      <c r="DF18" s="79" t="str">
        <f t="shared" si="29"/>
        <v/>
      </c>
      <c r="DG18" s="79" t="str">
        <f t="shared" si="30"/>
        <v/>
      </c>
      <c r="DH18" s="76"/>
      <c r="DI18" s="78"/>
      <c r="DJ18" s="76"/>
      <c r="DK18" s="77"/>
      <c r="DL18" s="77"/>
      <c r="DM18" s="77"/>
      <c r="DN18" s="80"/>
      <c r="DO18" s="80"/>
      <c r="DP18" s="92" t="str">
        <f>IF(Table1[Start Date]="","",IF(Table1[Start Date]&gt;42185,"",IF(AND(Table1[Leaving Date]&gt;1,Table1[Leaving Date]&lt;42095),"",1)))</f>
        <v/>
      </c>
      <c r="DQ18" s="92" t="str">
        <f>IF(Table1[Start Date]="","",IF(Table1[Start Date]&gt;42277,"",IF(AND(Table1[Leaving Date]&gt;1,Table1[Leaving Date]&lt;42186),"",1)))</f>
        <v/>
      </c>
      <c r="DR18" s="92" t="str">
        <f>IF(Table1[Start Date]="","",IF(Table1[Start Date]&gt;42369,"",IF(AND(Table1[Leaving Date]&gt;1,Table1[Leaving Date]&lt;42278),"",1)))</f>
        <v/>
      </c>
      <c r="DS18" s="92" t="str">
        <f>IF(Table1[Start Date]="","",IF(Table1[Start Date]&gt;42460,"",IF(AND(Table1[Leaving Date]&gt;1,Table1[Leaving Date]&lt;42370),"",1)))</f>
        <v/>
      </c>
      <c r="DT18" s="92" t="str">
        <f>IF(Table1[Start Date]="","",IF(Table1[Start Date]&gt;42551,"",IF(AND(Table1[Leaving Date]&gt;1,Table1[Leaving Date]&lt;42461),"",1)))</f>
        <v/>
      </c>
      <c r="DU18" s="92" t="str">
        <f>IF(Table1[Start Date]="","",IF(Table1[Start Date]&gt;42643,"",IF(AND(Table1[Leaving Date]&gt;1,Table1[Leaving Date]&lt;42552),"",1)))</f>
        <v/>
      </c>
      <c r="DV18" s="92" t="str">
        <f>IF(Table1[Start Date]="","",IF(Table1[Start Date]&gt;42735,"",IF(AND(Table1[Leaving Date]&gt;1,Table1[Leaving Date]&lt;42644),"",1)))</f>
        <v/>
      </c>
      <c r="DW18" s="92" t="str">
        <f>IF(Table1[Start Date]="","",IF(Table1[Start Date]&gt;42825,"",IF(AND(Table1[Leaving Date]&gt;1,Table1[Leaving Date]&lt;42736),"",1)))</f>
        <v/>
      </c>
      <c r="DX18"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18" s="44" t="e">
        <f>VLOOKUP(Table1[Referral Source],Lists!$G$2:$H$20,2,FALSE)</f>
        <v>#N/A</v>
      </c>
      <c r="DZ18" s="93" t="e">
        <f>SUM(Table1[Data Referral Quarter]+Table1[Data Referral Source])</f>
        <v>#N/A</v>
      </c>
      <c r="EA18" s="44" t="b">
        <f>IF(Table1[Referral Decision]="Accepted",100,IF(Table1[Referral Decision]="Rejected by Provider",200,IF(Table1[Referral Decision]="Rejected by Applicant",300)))</f>
        <v>0</v>
      </c>
      <c r="EB18" s="44">
        <f>SUM(Table1[Data Referral Quarter]+Table1[Data Referral Decision])</f>
        <v>0</v>
      </c>
      <c r="EC18" s="44" t="b">
        <f>IF(Table1[Start Date]&gt;42735,8000,IF(Table1[Start Date]&gt;42643,7000,IF(Table1[Start Date]&gt;42551,6000,IF(Table1[Start Date]&gt;42460,5000,IF(Table1[Start Date]&gt;42369,4000,IF(Table1[Start Date]&gt;42277,3000,IF(Table1[Start Date]&gt;42185,2000,IF(Table1[Start Date]&gt;42094,1000))))))))</f>
        <v>0</v>
      </c>
      <c r="ED18" s="44" t="str">
        <f>IF(Table1[Start Date]="","",IF(Table1[Current Local Authority]="Swindon",1,"2"))</f>
        <v/>
      </c>
      <c r="EE18" s="44" t="e">
        <f>SUM(Table1[Data Start Date]+Table1[Data Local Authority])</f>
        <v>#VALUE!</v>
      </c>
      <c r="EF18" s="44">
        <f>IF(Table1[Registered with GP]="Yes",1,0)</f>
        <v>0</v>
      </c>
      <c r="EG18" s="44">
        <f>SUM(Table1[Data Start Date]+Table1[Data GP Start])</f>
        <v>0</v>
      </c>
      <c r="EH18" s="44" t="str">
        <f>IF(Table1[EET]="NEET",1,IF(Table1[EET]="Education",2,IF(Table1[EET]="Employment",2,IF(Table1[EET]="Training",2,IF(Table1[EET]="Retired",3,"")))))</f>
        <v/>
      </c>
      <c r="EI18" s="44" t="e">
        <f>Table1[Data Start Date]+Table1[Data EET Start]</f>
        <v>#VALUE!</v>
      </c>
      <c r="EJ18" s="44" t="b">
        <f>IF(Table1[Leaving Date]&gt;42735,8000,IF(Table1[Leaving Date]&gt;42643,7000,IF(Table1[Leaving Date]&gt;42551,6000,IF(Table1[Leaving Date]&gt;42460,5000,IF(Table1[Leaving Date]&gt;42369,4000,IF(Table1[Leaving Date]&gt;42277,3000,IF(Table1[Leaving Date]&gt;42185,2000,IF(Table1[Leaving Date]&gt;42094,1000))))))))</f>
        <v>0</v>
      </c>
      <c r="EK18" s="44" t="e">
        <f>VLOOKUP(Table1[Reason for Leaving],Lists!$T$2:$U$15,2,FALSE)</f>
        <v>#N/A</v>
      </c>
      <c r="EL18" s="44" t="e">
        <f>SUM(Table1[Data Leavers Date]+Table1[Data Move On])</f>
        <v>#N/A</v>
      </c>
      <c r="EM18" s="44" t="b">
        <f>IF(Table1[Registered with GP2]="Yes",1,IF(Table1[Registered with GP2]="No",0,IF(Table1[Registered with GP]="Yes",1,IF(Table1[Registered with GP]="No",0))))</f>
        <v>0</v>
      </c>
      <c r="EN18" s="44">
        <f>SUM(Table1[Data Leavers Date]+Table1[Data GP End])</f>
        <v>0</v>
      </c>
      <c r="EO18" s="44" t="str">
        <f>IF(Table1[EET2]="NEET",1,IF(Table1[EET2]="Employment",2,IF(Table1[EET2]="Education",2,IF(Table1[EET2]="Training",2,IF(Table1[EET2]="Retired",3,IF(Table1[EET]="NEET",1,IF(Table1[EET]="Employment",2,IF(Table1[EET]="Education",2,IF(Table1[EET]="Training",2,IF(Table1[EET]="Retired",3,""))))))))))</f>
        <v/>
      </c>
      <c r="EP18" s="44" t="e">
        <f>+Table1[[#This Row],[Data Leavers Date]]+Table1[[#This Row],[Data EET End]]</f>
        <v>#VALUE!</v>
      </c>
      <c r="EQ18" s="44">
        <f>IF(Table1[Exit Form Received]="Yes",1,0)</f>
        <v>0</v>
      </c>
      <c r="ER18" s="44">
        <f>+Table1[[#This Row],[Data Leavers Date]]+Table1[[#This Row],[Data Exit Forms]]</f>
        <v>0</v>
      </c>
      <c r="ES18" s="44" t="str">
        <f>IF(Table1[Data Leavers Date]=1000,SUM(Table1[Leaving Date]-Table1[Start Date]),"")</f>
        <v/>
      </c>
      <c r="ET18" s="44" t="str">
        <f>IF(Table1[Data Leavers Date]=2000,SUM(Table1[Leaving Date]-Table1[Start Date]),"")</f>
        <v/>
      </c>
      <c r="EU18" s="44" t="str">
        <f>IF(Table1[Data Leavers Date]=3000,SUM(Table1[Leaving Date]-Table1[Start Date]),"")</f>
        <v/>
      </c>
      <c r="EV18" s="44" t="str">
        <f>IF(Table1[Data Leavers Date]=4000,SUM(Table1[Leaving Date]-Table1[Start Date]),"")</f>
        <v/>
      </c>
      <c r="EW18" s="44" t="str">
        <f>IF(Table1[Data Leavers Date]=5000,SUM(Table1[Leaving Date]-Table1[Start Date]),"")</f>
        <v/>
      </c>
      <c r="EX18" s="44" t="str">
        <f>IF(Table1[Data Leavers Date]=6000,SUM(Table1[Leaving Date]-Table1[Start Date]),"")</f>
        <v/>
      </c>
      <c r="EY18" s="44" t="str">
        <f>IF(Table1[Data Leavers Date]=7000,SUM(Table1[Leaving Date]-Table1[Start Date]),"")</f>
        <v/>
      </c>
      <c r="EZ18" s="44" t="str">
        <f>IF(Table1[Data Leavers Date]=8000,SUM(Table1[Leaving Date]-Table1[Start Date]),"")</f>
        <v/>
      </c>
      <c r="FA18" s="44" t="str">
        <f>IF(Table1[Date of Initial Assessment]="","",IF(AND(Table1[Start Date]&gt;42094,Table1[Start Date]&lt;42461),Table1[Motivation and Taking Responsibility],""))</f>
        <v/>
      </c>
      <c r="FB18" s="44" t="str">
        <f>IF(Table1[Date of Initial Assessment]="","",IF(AND(Table1[Start Date]&gt;42094,Table1[Start Date]&lt;42461),Table1[Self-Care and Living Skills],""))</f>
        <v/>
      </c>
      <c r="FC18" s="44" t="str">
        <f>IF(Table1[Date of Initial Assessment]="","",IF(AND(Table1[Start Date]&gt;42094,Table1[Start Date]&lt;42461),Table1[Managing Money and Personal Administration],""))</f>
        <v/>
      </c>
      <c r="FD18" s="44" t="str">
        <f>IF(Table1[Date of Initial Assessment]="","",IF(AND(Table1[Start Date]&gt;42094,Table1[Start Date]&lt;42461),Table1[Social Networks and Relationships],""))</f>
        <v/>
      </c>
      <c r="FE18" s="44" t="str">
        <f>IF(Table1[Date of Initial Assessment]="","",IF(AND(Table1[Start Date]&gt;42094,Table1[Start Date]&lt;42461),Table1[Drug and Alcohol Misuse],""))</f>
        <v/>
      </c>
      <c r="FF18" s="44" t="str">
        <f>IF(Table1[Date of Initial Assessment]="","",IF(AND(Table1[Start Date]&gt;42094,Table1[Start Date]&lt;42461),Table1[Physical Health],""))</f>
        <v/>
      </c>
      <c r="FG18" s="44" t="str">
        <f>IF(Table1[Date of Initial Assessment]="","",IF(AND(Table1[Start Date]&gt;42094,Table1[Start Date]&lt;42461),Table1[Emotional and Mental Health],""))</f>
        <v/>
      </c>
      <c r="FH18" s="44" t="str">
        <f>IF(Table1[Date of Initial Assessment]="","",IF(AND(Table1[Start Date]&gt;42094,Table1[Start Date]&lt;42461),Table1[Meaningful Use of Time],""))</f>
        <v/>
      </c>
      <c r="FI18" s="44" t="str">
        <f>IF(Table1[Date of Initial Assessment]="","",IF(AND(Table1[Start Date]&gt;42094,Table1[Start Date]&lt;42461),Table1[Managing Tenancy and Accommodation],""))</f>
        <v/>
      </c>
      <c r="FJ18" s="44" t="str">
        <f>IF(Table1[Date of Initial Assessment]="","",IF(AND(Table1[Start Date]&gt;42094,Table1[Start Date]&lt;42461),Table1[Offending],""))</f>
        <v/>
      </c>
      <c r="FK18" s="44" t="str">
        <f>IF(Table1[Leaving Date]="","",IF(Table1[Date of Initial Assessment]="","",IF(AND(Table1[Leaving Date]&gt;42094,Table1[Leaving Date]&lt;42461),IF(Table1[Date of Last Assessment]="",Table1[Motivation and Taking Responsibility],Table1[Motivation and Taking Responsibility2]),"")))</f>
        <v/>
      </c>
      <c r="FL18" s="44" t="str">
        <f>IF(Table1[Leaving Date]="","",IF(Table1[Date of Initial Assessment]="","",IF(AND(Table1[Leaving Date]&gt;42094,Table1[Leaving Date]&lt;42461),IF(Table1[Date of Last Assessment]="",Table1[Self-Care and Living Skills],Table1[Self-Care and Living Skills2]),"")))</f>
        <v/>
      </c>
      <c r="FM18" s="44" t="str">
        <f>IF(Table1[Leaving Date]="","",IF(Table1[Date of Initial Assessment]="","",IF(AND(Table1[Leaving Date]&gt;42094,Table1[Leaving Date]&lt;42461),IF(Table1[Date of Last Assessment]="",Table1[Managing Money and Personal Administration],Table1[Managing Money and Personal Administration2]),"")))</f>
        <v/>
      </c>
      <c r="FN18" s="44" t="str">
        <f>IF(Table1[Leaving Date]="","",IF(Table1[Date of Initial Assessment]="","",IF(AND(Table1[Leaving Date]&gt;42094,Table1[Leaving Date]&lt;42461),IF(Table1[Date of Last Assessment]="",Table1[Social Networks and Relationships],Table1[Social Networks and Relationships2]),"")))</f>
        <v/>
      </c>
      <c r="FO18" s="44" t="str">
        <f>IF(Table1[Leaving Date]="","",IF(Table1[Date of Initial Assessment]="","",IF(AND(Table1[Leaving Date]&gt;42094,Table1[Leaving Date]&lt;42461),IF(Table1[Date of Last Assessment]="",Table1[Drug and Alcohol Misuse],Table1[Drug and Alcohol Misuse2]),"")))</f>
        <v/>
      </c>
      <c r="FP18" s="44" t="str">
        <f>IF(Table1[Leaving Date]="","",IF(Table1[Date of Initial Assessment]="","",IF(AND(Table1[Leaving Date]&gt;42094,Table1[Leaving Date]&lt;42461),IF(Table1[Date of Last Assessment]="",Table1[Physical Health],Table1[Physical Health2]),"")))</f>
        <v/>
      </c>
      <c r="FQ18" s="44" t="str">
        <f>IF(Table1[Leaving Date]="","",IF(Table1[Date of Initial Assessment]="","",IF(AND(Table1[Leaving Date]&gt;42094,Table1[Leaving Date]&lt;42461),IF(Table1[Date of Last Assessment]="",Table1[Emotional and Mental Health],Table1[Emotional and Mental Health2]),"")))</f>
        <v/>
      </c>
      <c r="FR18" s="44" t="str">
        <f>IF(Table1[Leaving Date]="","",IF(Table1[Date of Initial Assessment]="","",IF(AND(Table1[Leaving Date]&gt;42094,Table1[Leaving Date]&lt;42461),IF(Table1[Date of Last Assessment]="",Table1[Meaningful Use of Time],Table1[Meaningful Use of Time2]),"")))</f>
        <v/>
      </c>
      <c r="FS18" s="44" t="str">
        <f>IF(Table1[Leaving Date]="","",IF(Table1[Date of Initial Assessment]="","",IF(AND(Table1[Leaving Date]&gt;42094,Table1[Leaving Date]&lt;42461),IF(Table1[Date of Last Assessment]="",Table1[Managing Tenancy and Accommodation],Table1[Managing Tenancy and Accommodation2]),"")))</f>
        <v/>
      </c>
      <c r="FT18" s="44" t="str">
        <f>IF(Table1[Leaving Date]="","",IF(Table1[Date of Initial Assessment]="","",IF(AND(Table1[Leaving Date]&gt;42094,Table1[Leaving Date]&lt;42461),IF(Table1[Date of Last Assessment]="",Table1[Offending],Table1[Offending2]),"")))</f>
        <v/>
      </c>
      <c r="FU18" s="44" t="str">
        <f>IF(Table1[Date of Initial Assessment]="","",IF(AND(Table1[Start Date]&gt;42460,Table1[Start Date]&lt;42826),Table1[Motivation and Taking Responsibility],""))</f>
        <v/>
      </c>
      <c r="FV18" s="44" t="str">
        <f>IF(Table1[Date of Initial Assessment]="","",IF(AND(Table1[Start Date]&gt;42460,Table1[Start Date]&lt;42826),Table1[Self-Care and Living Skills],""))</f>
        <v/>
      </c>
      <c r="FW18" s="44" t="str">
        <f>IF(Table1[Date of Initial Assessment]="","",IF(AND(Table1[Start Date]&gt;42460,Table1[Start Date]&lt;42826),Table1[Managing Money and Personal Administration],""))</f>
        <v/>
      </c>
      <c r="FX18" s="44" t="str">
        <f>IF(Table1[Date of Initial Assessment]="","",IF(AND(Table1[Start Date]&gt;42460,Table1[Start Date]&lt;42826),Table1[Social Networks and Relationships],""))</f>
        <v/>
      </c>
      <c r="FY18" s="44" t="str">
        <f>IF(Table1[Date of Initial Assessment]="","",IF(AND(Table1[Start Date]&gt;42460,Table1[Start Date]&lt;42826),Table1[Drug and Alcohol Misuse],""))</f>
        <v/>
      </c>
      <c r="FZ18" s="44" t="str">
        <f>IF(Table1[Date of Initial Assessment]="","",IF(AND(Table1[Start Date]&gt;42460,Table1[Start Date]&lt;42826),Table1[Physical Health],""))</f>
        <v/>
      </c>
      <c r="GA18" s="44" t="str">
        <f>IF(Table1[Date of Initial Assessment]="","",IF(AND(Table1[Start Date]&gt;42460,Table1[Start Date]&lt;42826),Table1[Emotional and Mental Health],""))</f>
        <v/>
      </c>
      <c r="GB18" s="44" t="str">
        <f>IF(Table1[Date of Initial Assessment]="","",IF(AND(Table1[Start Date]&gt;42460,Table1[Start Date]&lt;42826),Table1[Meaningful Use of Time],""))</f>
        <v/>
      </c>
      <c r="GC18" s="44" t="str">
        <f>IF(Table1[Date of Initial Assessment]="","",IF(AND(Table1[Start Date]&gt;42460,Table1[Start Date]&lt;42826),Table1[Managing Tenancy and Accommodation],""))</f>
        <v/>
      </c>
      <c r="GD18" s="44" t="str">
        <f>IF(Table1[Date of Initial Assessment]="","",IF(AND(Table1[Start Date]&gt;42460,Table1[Start Date]&lt;42826),Table1[Offending],""))</f>
        <v/>
      </c>
      <c r="GE18" s="44" t="str">
        <f>IF(Table1[Leaving Date]="","",IF(AND(Table1[Leaving Date]&gt;42460,Table1[Leaving Date]&lt;42826),IF(Table1[Date of Last Assessment]="",Table1[Motivation and Taking Responsibility],Table1[Motivation and Taking Responsibility2]),""))</f>
        <v/>
      </c>
      <c r="GF18" s="44" t="str">
        <f>IF(Table1[Leaving Date]="","",IF(AND(Table1[Leaving Date]&gt;42460,Table1[Leaving Date]&lt;42826),IF(Table1[Date of Last Assessment]="",Table1[Self-Care and Living Skills],Table1[Self-Care and Living Skills2]),""))</f>
        <v/>
      </c>
      <c r="GG18" s="44" t="str">
        <f>IF(Table1[Leaving Date]="","",IF(AND(Table1[Leaving Date]&gt;42460,Table1[Leaving Date]&lt;42826),IF(Table1[Date of Last Assessment]="",Table1[Managing Money and Personal Administration],Table1[Managing Money and Personal Administration2]),""))</f>
        <v/>
      </c>
      <c r="GH18" s="44" t="str">
        <f>IF(Table1[Leaving Date]="","",IF(AND(Table1[Leaving Date]&gt;42460,Table1[Leaving Date]&lt;42826),IF(Table1[Date of Last Assessment]="",Table1[Social Networks and Relationships],Table1[Social Networks and Relationships2]),""))</f>
        <v/>
      </c>
      <c r="GI18" s="44" t="str">
        <f>IF(Table1[Leaving Date]="","",IF(AND(Table1[Leaving Date]&gt;42460,Table1[Leaving Date]&lt;42826),IF(Table1[Date of Last Assessment]="",Table1[Drug and Alcohol Misuse],Table1[Drug and Alcohol Misuse2]),""))</f>
        <v/>
      </c>
      <c r="GJ18" s="44" t="str">
        <f>IF(Table1[Leaving Date]="","",IF(AND(Table1[Leaving Date]&gt;42460,Table1[Leaving Date]&lt;42826),IF(Table1[Date of Last Assessment]="",Table1[Physical Health],Table1[Physical Health2]),""))</f>
        <v/>
      </c>
      <c r="GK18" s="44" t="str">
        <f>IF(Table1[Leaving Date]="","",IF(AND(Table1[Leaving Date]&gt;42460,Table1[Leaving Date]&lt;42826),IF(Table1[Date of Last Assessment]="",Table1[Emotional and Mental Health],Table1[Emotional and Mental Health2]),""))</f>
        <v/>
      </c>
      <c r="GL18" s="44" t="str">
        <f>IF(Table1[Leaving Date]="","",IF(AND(Table1[Leaving Date]&gt;42460,Table1[Leaving Date]&lt;42826),IF(Table1[Date of Last Assessment]="",Table1[Meaningful Use of Time],Table1[Meaningful Use of Time2]),""))</f>
        <v/>
      </c>
      <c r="GM18" s="44" t="str">
        <f>IF(Table1[Leaving Date]="","",IF(AND(Table1[Leaving Date]&gt;42460,Table1[Leaving Date]&lt;42826),IF(Table1[Date of Last Assessment]="",Table1[Managing Tenancy and Accommodation],Table1[Managing Tenancy and Accommodation2]),""))</f>
        <v/>
      </c>
      <c r="GN18" s="44" t="str">
        <f>IF(Table1[Leaving Date]="","",IF(AND(Table1[Leaving Date]&gt;42460,Table1[Leaving Date]&lt;42826),IF(Table1[Date of Last Assessment]="",Table1[Offending],Table1[Offending2]),""))</f>
        <v/>
      </c>
    </row>
    <row r="19" spans="2:196" ht="20.100000000000001" customHeight="1" x14ac:dyDescent="0.2">
      <c r="B19" s="86">
        <f>+'Service Data'!$C$5:$C$5</f>
        <v>0</v>
      </c>
      <c r="C19" s="86"/>
      <c r="D19" s="86"/>
      <c r="E19" s="86"/>
      <c r="F19" s="86"/>
      <c r="G19" s="86"/>
      <c r="H19" s="6"/>
      <c r="I19" s="99" t="str">
        <f ca="1">IF(Table1[[#This Row],[Date of Birth]]="","",SUM(TODAY()-Table1[[#This Row],[Date of Birth]])/365)</f>
        <v/>
      </c>
      <c r="L19" s="86"/>
      <c r="M19" s="77"/>
      <c r="N19" s="86"/>
      <c r="O19" s="86"/>
      <c r="P19" s="91"/>
      <c r="Q19" s="86"/>
      <c r="R19" s="77"/>
      <c r="S19" s="77"/>
      <c r="T19" s="68"/>
      <c r="U19" s="68"/>
      <c r="V19" s="67"/>
      <c r="W19" s="67"/>
      <c r="X19" s="67"/>
      <c r="Y19" s="67"/>
      <c r="Z19" s="67"/>
      <c r="AA19" s="67"/>
      <c r="AB19" s="67"/>
      <c r="AC19" s="67"/>
      <c r="AD19" s="67"/>
      <c r="AE19" s="67"/>
      <c r="AF19" s="67"/>
      <c r="AG19" s="67"/>
      <c r="AH19" s="67"/>
      <c r="AI19" s="67"/>
      <c r="AJ19" s="67"/>
      <c r="AK19" s="67"/>
      <c r="AL19" s="67"/>
      <c r="AM19" s="67"/>
      <c r="AN19" s="77"/>
      <c r="AO19" s="76"/>
      <c r="AP19" s="77"/>
      <c r="AQ19" s="76"/>
      <c r="AR19" s="76"/>
      <c r="AS19" s="76"/>
      <c r="AT19" s="76"/>
      <c r="AU19" s="76"/>
      <c r="AV19" s="77"/>
      <c r="AW19" s="76"/>
      <c r="AX19" s="77"/>
      <c r="AY19" s="76"/>
      <c r="AZ19" s="76"/>
      <c r="BA19" s="76"/>
      <c r="BB19" s="76"/>
      <c r="BC19" s="76"/>
      <c r="BD19" s="77"/>
      <c r="BE19" s="76"/>
      <c r="BF19" s="77"/>
      <c r="BG19" s="76"/>
      <c r="BH19" s="76"/>
      <c r="BI19" s="76"/>
      <c r="BJ19" s="76"/>
      <c r="BK19" s="76"/>
      <c r="BL19" s="77"/>
      <c r="BM19" s="76"/>
      <c r="BN19" s="77"/>
      <c r="BO19" s="76"/>
      <c r="BP19" s="76"/>
      <c r="BQ19" s="76"/>
      <c r="BR19" s="76"/>
      <c r="BS19" s="76"/>
      <c r="BT19" s="77"/>
      <c r="BU19" s="76"/>
      <c r="BV19" s="77"/>
      <c r="BW19" s="76"/>
      <c r="BX19" s="76"/>
      <c r="BY19" s="76"/>
      <c r="BZ19" s="76"/>
      <c r="CA19" s="76"/>
      <c r="CB19" s="77"/>
      <c r="CC19" s="76"/>
      <c r="CD19" s="77"/>
      <c r="CE19" s="76"/>
      <c r="CF19" s="76"/>
      <c r="CG19" s="76"/>
      <c r="CH19" s="76"/>
      <c r="CI19" s="76"/>
      <c r="CJ19" s="77"/>
      <c r="CK19" s="76"/>
      <c r="CL19" s="77"/>
      <c r="CM19" s="76"/>
      <c r="CN19" s="76"/>
      <c r="CO19" s="76"/>
      <c r="CP19" s="76"/>
      <c r="CQ19" s="76"/>
      <c r="CR19" s="78" t="str">
        <f t="shared" si="15"/>
        <v/>
      </c>
      <c r="CS19" s="79" t="str">
        <f t="shared" si="16"/>
        <v/>
      </c>
      <c r="CT19" s="79" t="str">
        <f t="shared" si="17"/>
        <v/>
      </c>
      <c r="CU19" s="79" t="str">
        <f t="shared" si="18"/>
        <v/>
      </c>
      <c r="CV19" s="79" t="str">
        <f t="shared" si="19"/>
        <v/>
      </c>
      <c r="CW19" s="79" t="str">
        <f t="shared" si="20"/>
        <v/>
      </c>
      <c r="CX19" s="79" t="str">
        <f t="shared" si="21"/>
        <v/>
      </c>
      <c r="CY19" s="79" t="str">
        <f t="shared" si="22"/>
        <v/>
      </c>
      <c r="CZ19" s="79" t="str">
        <f t="shared" si="23"/>
        <v/>
      </c>
      <c r="DA19" s="79" t="str">
        <f t="shared" si="24"/>
        <v/>
      </c>
      <c r="DB19" s="79" t="str">
        <f t="shared" si="25"/>
        <v/>
      </c>
      <c r="DC19" s="79" t="str">
        <f t="shared" si="26"/>
        <v/>
      </c>
      <c r="DD19" s="79" t="str">
        <f t="shared" si="27"/>
        <v/>
      </c>
      <c r="DE19" s="79" t="str">
        <f t="shared" si="28"/>
        <v/>
      </c>
      <c r="DF19" s="79" t="str">
        <f t="shared" si="29"/>
        <v/>
      </c>
      <c r="DG19" s="79" t="str">
        <f t="shared" si="30"/>
        <v/>
      </c>
      <c r="DH19" s="76"/>
      <c r="DI19" s="78"/>
      <c r="DJ19" s="76"/>
      <c r="DK19" s="77"/>
      <c r="DL19" s="77"/>
      <c r="DM19" s="77"/>
      <c r="DN19" s="80"/>
      <c r="DO19" s="80"/>
      <c r="DP19" s="92" t="str">
        <f>IF(Table1[Start Date]="","",IF(Table1[Start Date]&gt;42185,"",IF(AND(Table1[Leaving Date]&gt;1,Table1[Leaving Date]&lt;42095),"",1)))</f>
        <v/>
      </c>
      <c r="DQ19" s="92" t="str">
        <f>IF(Table1[Start Date]="","",IF(Table1[Start Date]&gt;42277,"",IF(AND(Table1[Leaving Date]&gt;1,Table1[Leaving Date]&lt;42186),"",1)))</f>
        <v/>
      </c>
      <c r="DR19" s="92" t="str">
        <f>IF(Table1[Start Date]="","",IF(Table1[Start Date]&gt;42369,"",IF(AND(Table1[Leaving Date]&gt;1,Table1[Leaving Date]&lt;42278),"",1)))</f>
        <v/>
      </c>
      <c r="DS19" s="92" t="str">
        <f>IF(Table1[Start Date]="","",IF(Table1[Start Date]&gt;42460,"",IF(AND(Table1[Leaving Date]&gt;1,Table1[Leaving Date]&lt;42370),"",1)))</f>
        <v/>
      </c>
      <c r="DT19" s="92" t="str">
        <f>IF(Table1[Start Date]="","",IF(Table1[Start Date]&gt;42551,"",IF(AND(Table1[Leaving Date]&gt;1,Table1[Leaving Date]&lt;42461),"",1)))</f>
        <v/>
      </c>
      <c r="DU19" s="92" t="str">
        <f>IF(Table1[Start Date]="","",IF(Table1[Start Date]&gt;42643,"",IF(AND(Table1[Leaving Date]&gt;1,Table1[Leaving Date]&lt;42552),"",1)))</f>
        <v/>
      </c>
      <c r="DV19" s="92" t="str">
        <f>IF(Table1[Start Date]="","",IF(Table1[Start Date]&gt;42735,"",IF(AND(Table1[Leaving Date]&gt;1,Table1[Leaving Date]&lt;42644),"",1)))</f>
        <v/>
      </c>
      <c r="DW19" s="92" t="str">
        <f>IF(Table1[Start Date]="","",IF(Table1[Start Date]&gt;42825,"",IF(AND(Table1[Leaving Date]&gt;1,Table1[Leaving Date]&lt;42736),"",1)))</f>
        <v/>
      </c>
      <c r="DX19"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19" s="44" t="e">
        <f>VLOOKUP(Table1[Referral Source],Lists!$G$2:$H$20,2,FALSE)</f>
        <v>#N/A</v>
      </c>
      <c r="DZ19" s="93" t="e">
        <f>SUM(Table1[Data Referral Quarter]+Table1[Data Referral Source])</f>
        <v>#N/A</v>
      </c>
      <c r="EA19" s="44" t="b">
        <f>IF(Table1[Referral Decision]="Accepted",100,IF(Table1[Referral Decision]="Rejected by Provider",200,IF(Table1[Referral Decision]="Rejected by Applicant",300)))</f>
        <v>0</v>
      </c>
      <c r="EB19" s="44">
        <f>SUM(Table1[Data Referral Quarter]+Table1[Data Referral Decision])</f>
        <v>0</v>
      </c>
      <c r="EC19" s="44" t="b">
        <f>IF(Table1[Start Date]&gt;42735,8000,IF(Table1[Start Date]&gt;42643,7000,IF(Table1[Start Date]&gt;42551,6000,IF(Table1[Start Date]&gt;42460,5000,IF(Table1[Start Date]&gt;42369,4000,IF(Table1[Start Date]&gt;42277,3000,IF(Table1[Start Date]&gt;42185,2000,IF(Table1[Start Date]&gt;42094,1000))))))))</f>
        <v>0</v>
      </c>
      <c r="ED19" s="44" t="str">
        <f>IF(Table1[Start Date]="","",IF(Table1[Current Local Authority]="Swindon",1,"2"))</f>
        <v/>
      </c>
      <c r="EE19" s="44" t="e">
        <f>SUM(Table1[Data Start Date]+Table1[Data Local Authority])</f>
        <v>#VALUE!</v>
      </c>
      <c r="EF19" s="44">
        <f>IF(Table1[Registered with GP]="Yes",1,0)</f>
        <v>0</v>
      </c>
      <c r="EG19" s="44">
        <f>SUM(Table1[Data Start Date]+Table1[Data GP Start])</f>
        <v>0</v>
      </c>
      <c r="EH19" s="44" t="str">
        <f>IF(Table1[EET]="NEET",1,IF(Table1[EET]="Education",2,IF(Table1[EET]="Employment",2,IF(Table1[EET]="Training",2,IF(Table1[EET]="Retired",3,"")))))</f>
        <v/>
      </c>
      <c r="EI19" s="44" t="e">
        <f>Table1[Data Start Date]+Table1[Data EET Start]</f>
        <v>#VALUE!</v>
      </c>
      <c r="EJ19" s="44" t="b">
        <f>IF(Table1[Leaving Date]&gt;42735,8000,IF(Table1[Leaving Date]&gt;42643,7000,IF(Table1[Leaving Date]&gt;42551,6000,IF(Table1[Leaving Date]&gt;42460,5000,IF(Table1[Leaving Date]&gt;42369,4000,IF(Table1[Leaving Date]&gt;42277,3000,IF(Table1[Leaving Date]&gt;42185,2000,IF(Table1[Leaving Date]&gt;42094,1000))))))))</f>
        <v>0</v>
      </c>
      <c r="EK19" s="44" t="e">
        <f>VLOOKUP(Table1[Reason for Leaving],Lists!$T$2:$U$15,2,FALSE)</f>
        <v>#N/A</v>
      </c>
      <c r="EL19" s="44" t="e">
        <f>SUM(Table1[Data Leavers Date]+Table1[Data Move On])</f>
        <v>#N/A</v>
      </c>
      <c r="EM19" s="44" t="b">
        <f>IF(Table1[Registered with GP2]="Yes",1,IF(Table1[Registered with GP2]="No",0,IF(Table1[Registered with GP]="Yes",1,IF(Table1[Registered with GP]="No",0))))</f>
        <v>0</v>
      </c>
      <c r="EN19" s="44">
        <f>SUM(Table1[Data Leavers Date]+Table1[Data GP End])</f>
        <v>0</v>
      </c>
      <c r="EO19" s="44" t="str">
        <f>IF(Table1[EET2]="NEET",1,IF(Table1[EET2]="Employment",2,IF(Table1[EET2]="Education",2,IF(Table1[EET2]="Training",2,IF(Table1[EET2]="Retired",3,IF(Table1[EET]="NEET",1,IF(Table1[EET]="Employment",2,IF(Table1[EET]="Education",2,IF(Table1[EET]="Training",2,IF(Table1[EET]="Retired",3,""))))))))))</f>
        <v/>
      </c>
      <c r="EP19" s="44" t="e">
        <f>+Table1[[#This Row],[Data Leavers Date]]+Table1[[#This Row],[Data EET End]]</f>
        <v>#VALUE!</v>
      </c>
      <c r="EQ19" s="44">
        <f>IF(Table1[Exit Form Received]="Yes",1,0)</f>
        <v>0</v>
      </c>
      <c r="ER19" s="44">
        <f>+Table1[[#This Row],[Data Leavers Date]]+Table1[[#This Row],[Data Exit Forms]]</f>
        <v>0</v>
      </c>
      <c r="ES19" s="44" t="str">
        <f>IF(Table1[Data Leavers Date]=1000,SUM(Table1[Leaving Date]-Table1[Start Date]),"")</f>
        <v/>
      </c>
      <c r="ET19" s="44" t="str">
        <f>IF(Table1[Data Leavers Date]=2000,SUM(Table1[Leaving Date]-Table1[Start Date]),"")</f>
        <v/>
      </c>
      <c r="EU19" s="44" t="str">
        <f>IF(Table1[Data Leavers Date]=3000,SUM(Table1[Leaving Date]-Table1[Start Date]),"")</f>
        <v/>
      </c>
      <c r="EV19" s="44" t="str">
        <f>IF(Table1[Data Leavers Date]=4000,SUM(Table1[Leaving Date]-Table1[Start Date]),"")</f>
        <v/>
      </c>
      <c r="EW19" s="44" t="str">
        <f>IF(Table1[Data Leavers Date]=5000,SUM(Table1[Leaving Date]-Table1[Start Date]),"")</f>
        <v/>
      </c>
      <c r="EX19" s="44" t="str">
        <f>IF(Table1[Data Leavers Date]=6000,SUM(Table1[Leaving Date]-Table1[Start Date]),"")</f>
        <v/>
      </c>
      <c r="EY19" s="44" t="str">
        <f>IF(Table1[Data Leavers Date]=7000,SUM(Table1[Leaving Date]-Table1[Start Date]),"")</f>
        <v/>
      </c>
      <c r="EZ19" s="44" t="str">
        <f>IF(Table1[Data Leavers Date]=8000,SUM(Table1[Leaving Date]-Table1[Start Date]),"")</f>
        <v/>
      </c>
      <c r="FA19" s="44" t="str">
        <f>IF(Table1[Date of Initial Assessment]="","",IF(AND(Table1[Start Date]&gt;42094,Table1[Start Date]&lt;42461),Table1[Motivation and Taking Responsibility],""))</f>
        <v/>
      </c>
      <c r="FB19" s="44" t="str">
        <f>IF(Table1[Date of Initial Assessment]="","",IF(AND(Table1[Start Date]&gt;42094,Table1[Start Date]&lt;42461),Table1[Self-Care and Living Skills],""))</f>
        <v/>
      </c>
      <c r="FC19" s="44" t="str">
        <f>IF(Table1[Date of Initial Assessment]="","",IF(AND(Table1[Start Date]&gt;42094,Table1[Start Date]&lt;42461),Table1[Managing Money and Personal Administration],""))</f>
        <v/>
      </c>
      <c r="FD19" s="44" t="str">
        <f>IF(Table1[Date of Initial Assessment]="","",IF(AND(Table1[Start Date]&gt;42094,Table1[Start Date]&lt;42461),Table1[Social Networks and Relationships],""))</f>
        <v/>
      </c>
      <c r="FE19" s="44" t="str">
        <f>IF(Table1[Date of Initial Assessment]="","",IF(AND(Table1[Start Date]&gt;42094,Table1[Start Date]&lt;42461),Table1[Drug and Alcohol Misuse],""))</f>
        <v/>
      </c>
      <c r="FF19" s="44" t="str">
        <f>IF(Table1[Date of Initial Assessment]="","",IF(AND(Table1[Start Date]&gt;42094,Table1[Start Date]&lt;42461),Table1[Physical Health],""))</f>
        <v/>
      </c>
      <c r="FG19" s="44" t="str">
        <f>IF(Table1[Date of Initial Assessment]="","",IF(AND(Table1[Start Date]&gt;42094,Table1[Start Date]&lt;42461),Table1[Emotional and Mental Health],""))</f>
        <v/>
      </c>
      <c r="FH19" s="44" t="str">
        <f>IF(Table1[Date of Initial Assessment]="","",IF(AND(Table1[Start Date]&gt;42094,Table1[Start Date]&lt;42461),Table1[Meaningful Use of Time],""))</f>
        <v/>
      </c>
      <c r="FI19" s="44" t="str">
        <f>IF(Table1[Date of Initial Assessment]="","",IF(AND(Table1[Start Date]&gt;42094,Table1[Start Date]&lt;42461),Table1[Managing Tenancy and Accommodation],""))</f>
        <v/>
      </c>
      <c r="FJ19" s="44" t="str">
        <f>IF(Table1[Date of Initial Assessment]="","",IF(AND(Table1[Start Date]&gt;42094,Table1[Start Date]&lt;42461),Table1[Offending],""))</f>
        <v/>
      </c>
      <c r="FK19" s="44" t="str">
        <f>IF(Table1[Leaving Date]="","",IF(Table1[Date of Initial Assessment]="","",IF(AND(Table1[Leaving Date]&gt;42094,Table1[Leaving Date]&lt;42461),IF(Table1[Date of Last Assessment]="",Table1[Motivation and Taking Responsibility],Table1[Motivation and Taking Responsibility2]),"")))</f>
        <v/>
      </c>
      <c r="FL19" s="44" t="str">
        <f>IF(Table1[Leaving Date]="","",IF(Table1[Date of Initial Assessment]="","",IF(AND(Table1[Leaving Date]&gt;42094,Table1[Leaving Date]&lt;42461),IF(Table1[Date of Last Assessment]="",Table1[Self-Care and Living Skills],Table1[Self-Care and Living Skills2]),"")))</f>
        <v/>
      </c>
      <c r="FM19" s="44" t="str">
        <f>IF(Table1[Leaving Date]="","",IF(Table1[Date of Initial Assessment]="","",IF(AND(Table1[Leaving Date]&gt;42094,Table1[Leaving Date]&lt;42461),IF(Table1[Date of Last Assessment]="",Table1[Managing Money and Personal Administration],Table1[Managing Money and Personal Administration2]),"")))</f>
        <v/>
      </c>
      <c r="FN19" s="44" t="str">
        <f>IF(Table1[Leaving Date]="","",IF(Table1[Date of Initial Assessment]="","",IF(AND(Table1[Leaving Date]&gt;42094,Table1[Leaving Date]&lt;42461),IF(Table1[Date of Last Assessment]="",Table1[Social Networks and Relationships],Table1[Social Networks and Relationships2]),"")))</f>
        <v/>
      </c>
      <c r="FO19" s="44" t="str">
        <f>IF(Table1[Leaving Date]="","",IF(Table1[Date of Initial Assessment]="","",IF(AND(Table1[Leaving Date]&gt;42094,Table1[Leaving Date]&lt;42461),IF(Table1[Date of Last Assessment]="",Table1[Drug and Alcohol Misuse],Table1[Drug and Alcohol Misuse2]),"")))</f>
        <v/>
      </c>
      <c r="FP19" s="44" t="str">
        <f>IF(Table1[Leaving Date]="","",IF(Table1[Date of Initial Assessment]="","",IF(AND(Table1[Leaving Date]&gt;42094,Table1[Leaving Date]&lt;42461),IF(Table1[Date of Last Assessment]="",Table1[Physical Health],Table1[Physical Health2]),"")))</f>
        <v/>
      </c>
      <c r="FQ19" s="44" t="str">
        <f>IF(Table1[Leaving Date]="","",IF(Table1[Date of Initial Assessment]="","",IF(AND(Table1[Leaving Date]&gt;42094,Table1[Leaving Date]&lt;42461),IF(Table1[Date of Last Assessment]="",Table1[Emotional and Mental Health],Table1[Emotional and Mental Health2]),"")))</f>
        <v/>
      </c>
      <c r="FR19" s="44" t="str">
        <f>IF(Table1[Leaving Date]="","",IF(Table1[Date of Initial Assessment]="","",IF(AND(Table1[Leaving Date]&gt;42094,Table1[Leaving Date]&lt;42461),IF(Table1[Date of Last Assessment]="",Table1[Meaningful Use of Time],Table1[Meaningful Use of Time2]),"")))</f>
        <v/>
      </c>
      <c r="FS19" s="44" t="str">
        <f>IF(Table1[Leaving Date]="","",IF(Table1[Date of Initial Assessment]="","",IF(AND(Table1[Leaving Date]&gt;42094,Table1[Leaving Date]&lt;42461),IF(Table1[Date of Last Assessment]="",Table1[Managing Tenancy and Accommodation],Table1[Managing Tenancy and Accommodation2]),"")))</f>
        <v/>
      </c>
      <c r="FT19" s="44" t="str">
        <f>IF(Table1[Leaving Date]="","",IF(Table1[Date of Initial Assessment]="","",IF(AND(Table1[Leaving Date]&gt;42094,Table1[Leaving Date]&lt;42461),IF(Table1[Date of Last Assessment]="",Table1[Offending],Table1[Offending2]),"")))</f>
        <v/>
      </c>
      <c r="FU19" s="44" t="str">
        <f>IF(Table1[Date of Initial Assessment]="","",IF(AND(Table1[Start Date]&gt;42460,Table1[Start Date]&lt;42826),Table1[Motivation and Taking Responsibility],""))</f>
        <v/>
      </c>
      <c r="FV19" s="44" t="str">
        <f>IF(Table1[Date of Initial Assessment]="","",IF(AND(Table1[Start Date]&gt;42460,Table1[Start Date]&lt;42826),Table1[Self-Care and Living Skills],""))</f>
        <v/>
      </c>
      <c r="FW19" s="44" t="str">
        <f>IF(Table1[Date of Initial Assessment]="","",IF(AND(Table1[Start Date]&gt;42460,Table1[Start Date]&lt;42826),Table1[Managing Money and Personal Administration],""))</f>
        <v/>
      </c>
      <c r="FX19" s="44" t="str">
        <f>IF(Table1[Date of Initial Assessment]="","",IF(AND(Table1[Start Date]&gt;42460,Table1[Start Date]&lt;42826),Table1[Social Networks and Relationships],""))</f>
        <v/>
      </c>
      <c r="FY19" s="44" t="str">
        <f>IF(Table1[Date of Initial Assessment]="","",IF(AND(Table1[Start Date]&gt;42460,Table1[Start Date]&lt;42826),Table1[Drug and Alcohol Misuse],""))</f>
        <v/>
      </c>
      <c r="FZ19" s="44" t="str">
        <f>IF(Table1[Date of Initial Assessment]="","",IF(AND(Table1[Start Date]&gt;42460,Table1[Start Date]&lt;42826),Table1[Physical Health],""))</f>
        <v/>
      </c>
      <c r="GA19" s="44" t="str">
        <f>IF(Table1[Date of Initial Assessment]="","",IF(AND(Table1[Start Date]&gt;42460,Table1[Start Date]&lt;42826),Table1[Emotional and Mental Health],""))</f>
        <v/>
      </c>
      <c r="GB19" s="44" t="str">
        <f>IF(Table1[Date of Initial Assessment]="","",IF(AND(Table1[Start Date]&gt;42460,Table1[Start Date]&lt;42826),Table1[Meaningful Use of Time],""))</f>
        <v/>
      </c>
      <c r="GC19" s="44" t="str">
        <f>IF(Table1[Date of Initial Assessment]="","",IF(AND(Table1[Start Date]&gt;42460,Table1[Start Date]&lt;42826),Table1[Managing Tenancy and Accommodation],""))</f>
        <v/>
      </c>
      <c r="GD19" s="44" t="str">
        <f>IF(Table1[Date of Initial Assessment]="","",IF(AND(Table1[Start Date]&gt;42460,Table1[Start Date]&lt;42826),Table1[Offending],""))</f>
        <v/>
      </c>
      <c r="GE19" s="44" t="str">
        <f>IF(Table1[Leaving Date]="","",IF(AND(Table1[Leaving Date]&gt;42460,Table1[Leaving Date]&lt;42826),IF(Table1[Date of Last Assessment]="",Table1[Motivation and Taking Responsibility],Table1[Motivation and Taking Responsibility2]),""))</f>
        <v/>
      </c>
      <c r="GF19" s="44" t="str">
        <f>IF(Table1[Leaving Date]="","",IF(AND(Table1[Leaving Date]&gt;42460,Table1[Leaving Date]&lt;42826),IF(Table1[Date of Last Assessment]="",Table1[Self-Care and Living Skills],Table1[Self-Care and Living Skills2]),""))</f>
        <v/>
      </c>
      <c r="GG19" s="44" t="str">
        <f>IF(Table1[Leaving Date]="","",IF(AND(Table1[Leaving Date]&gt;42460,Table1[Leaving Date]&lt;42826),IF(Table1[Date of Last Assessment]="",Table1[Managing Money and Personal Administration],Table1[Managing Money and Personal Administration2]),""))</f>
        <v/>
      </c>
      <c r="GH19" s="44" t="str">
        <f>IF(Table1[Leaving Date]="","",IF(AND(Table1[Leaving Date]&gt;42460,Table1[Leaving Date]&lt;42826),IF(Table1[Date of Last Assessment]="",Table1[Social Networks and Relationships],Table1[Social Networks and Relationships2]),""))</f>
        <v/>
      </c>
      <c r="GI19" s="44" t="str">
        <f>IF(Table1[Leaving Date]="","",IF(AND(Table1[Leaving Date]&gt;42460,Table1[Leaving Date]&lt;42826),IF(Table1[Date of Last Assessment]="",Table1[Drug and Alcohol Misuse],Table1[Drug and Alcohol Misuse2]),""))</f>
        <v/>
      </c>
      <c r="GJ19" s="44" t="str">
        <f>IF(Table1[Leaving Date]="","",IF(AND(Table1[Leaving Date]&gt;42460,Table1[Leaving Date]&lt;42826),IF(Table1[Date of Last Assessment]="",Table1[Physical Health],Table1[Physical Health2]),""))</f>
        <v/>
      </c>
      <c r="GK19" s="44" t="str">
        <f>IF(Table1[Leaving Date]="","",IF(AND(Table1[Leaving Date]&gt;42460,Table1[Leaving Date]&lt;42826),IF(Table1[Date of Last Assessment]="",Table1[Emotional and Mental Health],Table1[Emotional and Mental Health2]),""))</f>
        <v/>
      </c>
      <c r="GL19" s="44" t="str">
        <f>IF(Table1[Leaving Date]="","",IF(AND(Table1[Leaving Date]&gt;42460,Table1[Leaving Date]&lt;42826),IF(Table1[Date of Last Assessment]="",Table1[Meaningful Use of Time],Table1[Meaningful Use of Time2]),""))</f>
        <v/>
      </c>
      <c r="GM19" s="44" t="str">
        <f>IF(Table1[Leaving Date]="","",IF(AND(Table1[Leaving Date]&gt;42460,Table1[Leaving Date]&lt;42826),IF(Table1[Date of Last Assessment]="",Table1[Managing Tenancy and Accommodation],Table1[Managing Tenancy and Accommodation2]),""))</f>
        <v/>
      </c>
      <c r="GN19" s="44" t="str">
        <f>IF(Table1[Leaving Date]="","",IF(AND(Table1[Leaving Date]&gt;42460,Table1[Leaving Date]&lt;42826),IF(Table1[Date of Last Assessment]="",Table1[Offending],Table1[Offending2]),""))</f>
        <v/>
      </c>
    </row>
    <row r="20" spans="2:196" ht="20.100000000000001" customHeight="1" x14ac:dyDescent="0.2">
      <c r="B20" s="86">
        <f>+'Service Data'!$C$5:$C$5</f>
        <v>0</v>
      </c>
      <c r="C20" s="86"/>
      <c r="D20" s="86"/>
      <c r="E20" s="86"/>
      <c r="F20" s="86"/>
      <c r="G20" s="86"/>
      <c r="H20" s="6"/>
      <c r="I20" s="99" t="str">
        <f ca="1">IF(Table1[[#This Row],[Date of Birth]]="","",SUM(TODAY()-Table1[[#This Row],[Date of Birth]])/365)</f>
        <v/>
      </c>
      <c r="L20" s="86"/>
      <c r="M20" s="77"/>
      <c r="N20" s="86"/>
      <c r="O20" s="86"/>
      <c r="P20" s="91"/>
      <c r="Q20" s="86"/>
      <c r="R20" s="77"/>
      <c r="S20" s="77"/>
      <c r="T20" s="68"/>
      <c r="U20" s="68"/>
      <c r="V20" s="67"/>
      <c r="W20" s="67"/>
      <c r="X20" s="67"/>
      <c r="Y20" s="67"/>
      <c r="Z20" s="67"/>
      <c r="AA20" s="67"/>
      <c r="AB20" s="67"/>
      <c r="AC20" s="67"/>
      <c r="AD20" s="67"/>
      <c r="AE20" s="67"/>
      <c r="AF20" s="67"/>
      <c r="AG20" s="67"/>
      <c r="AH20" s="67"/>
      <c r="AI20" s="67"/>
      <c r="AJ20" s="67"/>
      <c r="AK20" s="67"/>
      <c r="AL20" s="67"/>
      <c r="AM20" s="67"/>
      <c r="AN20" s="77"/>
      <c r="AO20" s="76"/>
      <c r="AP20" s="77"/>
      <c r="AQ20" s="76"/>
      <c r="AR20" s="76"/>
      <c r="AS20" s="76"/>
      <c r="AT20" s="76"/>
      <c r="AU20" s="76"/>
      <c r="AV20" s="77"/>
      <c r="AW20" s="76"/>
      <c r="AX20" s="77"/>
      <c r="AY20" s="76"/>
      <c r="AZ20" s="76"/>
      <c r="BA20" s="76"/>
      <c r="BB20" s="76"/>
      <c r="BC20" s="76"/>
      <c r="BD20" s="77"/>
      <c r="BE20" s="76"/>
      <c r="BF20" s="77"/>
      <c r="BG20" s="76"/>
      <c r="BH20" s="76"/>
      <c r="BI20" s="76"/>
      <c r="BJ20" s="76"/>
      <c r="BK20" s="76"/>
      <c r="BL20" s="77"/>
      <c r="BM20" s="76"/>
      <c r="BN20" s="77"/>
      <c r="BO20" s="76"/>
      <c r="BP20" s="76"/>
      <c r="BQ20" s="76"/>
      <c r="BR20" s="76"/>
      <c r="BS20" s="76"/>
      <c r="BT20" s="77"/>
      <c r="BU20" s="76"/>
      <c r="BV20" s="77"/>
      <c r="BW20" s="76"/>
      <c r="BX20" s="76"/>
      <c r="BY20" s="76"/>
      <c r="BZ20" s="76"/>
      <c r="CA20" s="76"/>
      <c r="CB20" s="77"/>
      <c r="CC20" s="76"/>
      <c r="CD20" s="77"/>
      <c r="CE20" s="76"/>
      <c r="CF20" s="76"/>
      <c r="CG20" s="76"/>
      <c r="CH20" s="76"/>
      <c r="CI20" s="76"/>
      <c r="CJ20" s="77"/>
      <c r="CK20" s="76"/>
      <c r="CL20" s="77"/>
      <c r="CM20" s="76"/>
      <c r="CN20" s="76"/>
      <c r="CO20" s="76"/>
      <c r="CP20" s="76"/>
      <c r="CQ20" s="76"/>
      <c r="CR20" s="78" t="str">
        <f t="shared" si="15"/>
        <v/>
      </c>
      <c r="CS20" s="79" t="str">
        <f t="shared" si="16"/>
        <v/>
      </c>
      <c r="CT20" s="79" t="str">
        <f t="shared" si="17"/>
        <v/>
      </c>
      <c r="CU20" s="79" t="str">
        <f t="shared" si="18"/>
        <v/>
      </c>
      <c r="CV20" s="79" t="str">
        <f t="shared" si="19"/>
        <v/>
      </c>
      <c r="CW20" s="79" t="str">
        <f t="shared" si="20"/>
        <v/>
      </c>
      <c r="CX20" s="79" t="str">
        <f t="shared" si="21"/>
        <v/>
      </c>
      <c r="CY20" s="79" t="str">
        <f t="shared" si="22"/>
        <v/>
      </c>
      <c r="CZ20" s="79" t="str">
        <f t="shared" si="23"/>
        <v/>
      </c>
      <c r="DA20" s="79" t="str">
        <f t="shared" si="24"/>
        <v/>
      </c>
      <c r="DB20" s="79" t="str">
        <f t="shared" si="25"/>
        <v/>
      </c>
      <c r="DC20" s="79" t="str">
        <f t="shared" si="26"/>
        <v/>
      </c>
      <c r="DD20" s="79" t="str">
        <f t="shared" si="27"/>
        <v/>
      </c>
      <c r="DE20" s="79" t="str">
        <f t="shared" si="28"/>
        <v/>
      </c>
      <c r="DF20" s="79" t="str">
        <f t="shared" si="29"/>
        <v/>
      </c>
      <c r="DG20" s="79" t="str">
        <f t="shared" si="30"/>
        <v/>
      </c>
      <c r="DH20" s="76"/>
      <c r="DI20" s="78"/>
      <c r="DJ20" s="76"/>
      <c r="DK20" s="77"/>
      <c r="DL20" s="77"/>
      <c r="DM20" s="77"/>
      <c r="DN20" s="80"/>
      <c r="DO20" s="80"/>
      <c r="DP20" s="92" t="str">
        <f>IF(Table1[Start Date]="","",IF(Table1[Start Date]&gt;42185,"",IF(AND(Table1[Leaving Date]&gt;1,Table1[Leaving Date]&lt;42095),"",1)))</f>
        <v/>
      </c>
      <c r="DQ20" s="92" t="str">
        <f>IF(Table1[Start Date]="","",IF(Table1[Start Date]&gt;42277,"",IF(AND(Table1[Leaving Date]&gt;1,Table1[Leaving Date]&lt;42186),"",1)))</f>
        <v/>
      </c>
      <c r="DR20" s="92" t="str">
        <f>IF(Table1[Start Date]="","",IF(Table1[Start Date]&gt;42369,"",IF(AND(Table1[Leaving Date]&gt;1,Table1[Leaving Date]&lt;42278),"",1)))</f>
        <v/>
      </c>
      <c r="DS20" s="92" t="str">
        <f>IF(Table1[Start Date]="","",IF(Table1[Start Date]&gt;42460,"",IF(AND(Table1[Leaving Date]&gt;1,Table1[Leaving Date]&lt;42370),"",1)))</f>
        <v/>
      </c>
      <c r="DT20" s="92" t="str">
        <f>IF(Table1[Start Date]="","",IF(Table1[Start Date]&gt;42551,"",IF(AND(Table1[Leaving Date]&gt;1,Table1[Leaving Date]&lt;42461),"",1)))</f>
        <v/>
      </c>
      <c r="DU20" s="92" t="str">
        <f>IF(Table1[Start Date]="","",IF(Table1[Start Date]&gt;42643,"",IF(AND(Table1[Leaving Date]&gt;1,Table1[Leaving Date]&lt;42552),"",1)))</f>
        <v/>
      </c>
      <c r="DV20" s="92" t="str">
        <f>IF(Table1[Start Date]="","",IF(Table1[Start Date]&gt;42735,"",IF(AND(Table1[Leaving Date]&gt;1,Table1[Leaving Date]&lt;42644),"",1)))</f>
        <v/>
      </c>
      <c r="DW20" s="92" t="str">
        <f>IF(Table1[Start Date]="","",IF(Table1[Start Date]&gt;42825,"",IF(AND(Table1[Leaving Date]&gt;1,Table1[Leaving Date]&lt;42736),"",1)))</f>
        <v/>
      </c>
      <c r="DX20"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20" s="44" t="e">
        <f>VLOOKUP(Table1[Referral Source],Lists!$G$2:$H$20,2,FALSE)</f>
        <v>#N/A</v>
      </c>
      <c r="DZ20" s="93" t="e">
        <f>SUM(Table1[Data Referral Quarter]+Table1[Data Referral Source])</f>
        <v>#N/A</v>
      </c>
      <c r="EA20" s="44" t="b">
        <f>IF(Table1[Referral Decision]="Accepted",100,IF(Table1[Referral Decision]="Rejected by Provider",200,IF(Table1[Referral Decision]="Rejected by Applicant",300)))</f>
        <v>0</v>
      </c>
      <c r="EB20" s="44">
        <f>SUM(Table1[Data Referral Quarter]+Table1[Data Referral Decision])</f>
        <v>0</v>
      </c>
      <c r="EC20" s="44" t="b">
        <f>IF(Table1[Start Date]&gt;42735,8000,IF(Table1[Start Date]&gt;42643,7000,IF(Table1[Start Date]&gt;42551,6000,IF(Table1[Start Date]&gt;42460,5000,IF(Table1[Start Date]&gt;42369,4000,IF(Table1[Start Date]&gt;42277,3000,IF(Table1[Start Date]&gt;42185,2000,IF(Table1[Start Date]&gt;42094,1000))))))))</f>
        <v>0</v>
      </c>
      <c r="ED20" s="44" t="str">
        <f>IF(Table1[Start Date]="","",IF(Table1[Current Local Authority]="Swindon",1,"2"))</f>
        <v/>
      </c>
      <c r="EE20" s="44" t="e">
        <f>SUM(Table1[Data Start Date]+Table1[Data Local Authority])</f>
        <v>#VALUE!</v>
      </c>
      <c r="EF20" s="44">
        <f>IF(Table1[Registered with GP]="Yes",1,0)</f>
        <v>0</v>
      </c>
      <c r="EG20" s="44">
        <f>SUM(Table1[Data Start Date]+Table1[Data GP Start])</f>
        <v>0</v>
      </c>
      <c r="EH20" s="44" t="str">
        <f>IF(Table1[EET]="NEET",1,IF(Table1[EET]="Education",2,IF(Table1[EET]="Employment",2,IF(Table1[EET]="Training",2,IF(Table1[EET]="Retired",3,"")))))</f>
        <v/>
      </c>
      <c r="EI20" s="44" t="e">
        <f>Table1[Data Start Date]+Table1[Data EET Start]</f>
        <v>#VALUE!</v>
      </c>
      <c r="EJ20" s="44" t="b">
        <f>IF(Table1[Leaving Date]&gt;42735,8000,IF(Table1[Leaving Date]&gt;42643,7000,IF(Table1[Leaving Date]&gt;42551,6000,IF(Table1[Leaving Date]&gt;42460,5000,IF(Table1[Leaving Date]&gt;42369,4000,IF(Table1[Leaving Date]&gt;42277,3000,IF(Table1[Leaving Date]&gt;42185,2000,IF(Table1[Leaving Date]&gt;42094,1000))))))))</f>
        <v>0</v>
      </c>
      <c r="EK20" s="44" t="e">
        <f>VLOOKUP(Table1[Reason for Leaving],Lists!$T$2:$U$15,2,FALSE)</f>
        <v>#N/A</v>
      </c>
      <c r="EL20" s="44" t="e">
        <f>SUM(Table1[Data Leavers Date]+Table1[Data Move On])</f>
        <v>#N/A</v>
      </c>
      <c r="EM20" s="44" t="b">
        <f>IF(Table1[Registered with GP2]="Yes",1,IF(Table1[Registered with GP2]="No",0,IF(Table1[Registered with GP]="Yes",1,IF(Table1[Registered with GP]="No",0))))</f>
        <v>0</v>
      </c>
      <c r="EN20" s="44">
        <f>SUM(Table1[Data Leavers Date]+Table1[Data GP End])</f>
        <v>0</v>
      </c>
      <c r="EO20" s="44" t="str">
        <f>IF(Table1[EET2]="NEET",1,IF(Table1[EET2]="Employment",2,IF(Table1[EET2]="Education",2,IF(Table1[EET2]="Training",2,IF(Table1[EET2]="Retired",3,IF(Table1[EET]="NEET",1,IF(Table1[EET]="Employment",2,IF(Table1[EET]="Education",2,IF(Table1[EET]="Training",2,IF(Table1[EET]="Retired",3,""))))))))))</f>
        <v/>
      </c>
      <c r="EP20" s="44" t="e">
        <f>+Table1[[#This Row],[Data Leavers Date]]+Table1[[#This Row],[Data EET End]]</f>
        <v>#VALUE!</v>
      </c>
      <c r="EQ20" s="44">
        <f>IF(Table1[Exit Form Received]="Yes",1,0)</f>
        <v>0</v>
      </c>
      <c r="ER20" s="44">
        <f>+Table1[[#This Row],[Data Leavers Date]]+Table1[[#This Row],[Data Exit Forms]]</f>
        <v>0</v>
      </c>
      <c r="ES20" s="44" t="str">
        <f>IF(Table1[Data Leavers Date]=1000,SUM(Table1[Leaving Date]-Table1[Start Date]),"")</f>
        <v/>
      </c>
      <c r="ET20" s="44" t="str">
        <f>IF(Table1[Data Leavers Date]=2000,SUM(Table1[Leaving Date]-Table1[Start Date]),"")</f>
        <v/>
      </c>
      <c r="EU20" s="44" t="str">
        <f>IF(Table1[Data Leavers Date]=3000,SUM(Table1[Leaving Date]-Table1[Start Date]),"")</f>
        <v/>
      </c>
      <c r="EV20" s="44" t="str">
        <f>IF(Table1[Data Leavers Date]=4000,SUM(Table1[Leaving Date]-Table1[Start Date]),"")</f>
        <v/>
      </c>
      <c r="EW20" s="44" t="str">
        <f>IF(Table1[Data Leavers Date]=5000,SUM(Table1[Leaving Date]-Table1[Start Date]),"")</f>
        <v/>
      </c>
      <c r="EX20" s="44" t="str">
        <f>IF(Table1[Data Leavers Date]=6000,SUM(Table1[Leaving Date]-Table1[Start Date]),"")</f>
        <v/>
      </c>
      <c r="EY20" s="44" t="str">
        <f>IF(Table1[Data Leavers Date]=7000,SUM(Table1[Leaving Date]-Table1[Start Date]),"")</f>
        <v/>
      </c>
      <c r="EZ20" s="44" t="str">
        <f>IF(Table1[Data Leavers Date]=8000,SUM(Table1[Leaving Date]-Table1[Start Date]),"")</f>
        <v/>
      </c>
      <c r="FA20" s="44" t="str">
        <f>IF(Table1[Date of Initial Assessment]="","",IF(AND(Table1[Start Date]&gt;42094,Table1[Start Date]&lt;42461),Table1[Motivation and Taking Responsibility],""))</f>
        <v/>
      </c>
      <c r="FB20" s="44" t="str">
        <f>IF(Table1[Date of Initial Assessment]="","",IF(AND(Table1[Start Date]&gt;42094,Table1[Start Date]&lt;42461),Table1[Self-Care and Living Skills],""))</f>
        <v/>
      </c>
      <c r="FC20" s="44" t="str">
        <f>IF(Table1[Date of Initial Assessment]="","",IF(AND(Table1[Start Date]&gt;42094,Table1[Start Date]&lt;42461),Table1[Managing Money and Personal Administration],""))</f>
        <v/>
      </c>
      <c r="FD20" s="44" t="str">
        <f>IF(Table1[Date of Initial Assessment]="","",IF(AND(Table1[Start Date]&gt;42094,Table1[Start Date]&lt;42461),Table1[Social Networks and Relationships],""))</f>
        <v/>
      </c>
      <c r="FE20" s="44" t="str">
        <f>IF(Table1[Date of Initial Assessment]="","",IF(AND(Table1[Start Date]&gt;42094,Table1[Start Date]&lt;42461),Table1[Drug and Alcohol Misuse],""))</f>
        <v/>
      </c>
      <c r="FF20" s="44" t="str">
        <f>IF(Table1[Date of Initial Assessment]="","",IF(AND(Table1[Start Date]&gt;42094,Table1[Start Date]&lt;42461),Table1[Physical Health],""))</f>
        <v/>
      </c>
      <c r="FG20" s="44" t="str">
        <f>IF(Table1[Date of Initial Assessment]="","",IF(AND(Table1[Start Date]&gt;42094,Table1[Start Date]&lt;42461),Table1[Emotional and Mental Health],""))</f>
        <v/>
      </c>
      <c r="FH20" s="44" t="str">
        <f>IF(Table1[Date of Initial Assessment]="","",IF(AND(Table1[Start Date]&gt;42094,Table1[Start Date]&lt;42461),Table1[Meaningful Use of Time],""))</f>
        <v/>
      </c>
      <c r="FI20" s="44" t="str">
        <f>IF(Table1[Date of Initial Assessment]="","",IF(AND(Table1[Start Date]&gt;42094,Table1[Start Date]&lt;42461),Table1[Managing Tenancy and Accommodation],""))</f>
        <v/>
      </c>
      <c r="FJ20" s="44" t="str">
        <f>IF(Table1[Date of Initial Assessment]="","",IF(AND(Table1[Start Date]&gt;42094,Table1[Start Date]&lt;42461),Table1[Offending],""))</f>
        <v/>
      </c>
      <c r="FK20" s="44" t="str">
        <f>IF(Table1[Leaving Date]="","",IF(Table1[Date of Initial Assessment]="","",IF(AND(Table1[Leaving Date]&gt;42094,Table1[Leaving Date]&lt;42461),IF(Table1[Date of Last Assessment]="",Table1[Motivation and Taking Responsibility],Table1[Motivation and Taking Responsibility2]),"")))</f>
        <v/>
      </c>
      <c r="FL20" s="44" t="str">
        <f>IF(Table1[Leaving Date]="","",IF(Table1[Date of Initial Assessment]="","",IF(AND(Table1[Leaving Date]&gt;42094,Table1[Leaving Date]&lt;42461),IF(Table1[Date of Last Assessment]="",Table1[Self-Care and Living Skills],Table1[Self-Care and Living Skills2]),"")))</f>
        <v/>
      </c>
      <c r="FM20" s="44" t="str">
        <f>IF(Table1[Leaving Date]="","",IF(Table1[Date of Initial Assessment]="","",IF(AND(Table1[Leaving Date]&gt;42094,Table1[Leaving Date]&lt;42461),IF(Table1[Date of Last Assessment]="",Table1[Managing Money and Personal Administration],Table1[Managing Money and Personal Administration2]),"")))</f>
        <v/>
      </c>
      <c r="FN20" s="44" t="str">
        <f>IF(Table1[Leaving Date]="","",IF(Table1[Date of Initial Assessment]="","",IF(AND(Table1[Leaving Date]&gt;42094,Table1[Leaving Date]&lt;42461),IF(Table1[Date of Last Assessment]="",Table1[Social Networks and Relationships],Table1[Social Networks and Relationships2]),"")))</f>
        <v/>
      </c>
      <c r="FO20" s="44" t="str">
        <f>IF(Table1[Leaving Date]="","",IF(Table1[Date of Initial Assessment]="","",IF(AND(Table1[Leaving Date]&gt;42094,Table1[Leaving Date]&lt;42461),IF(Table1[Date of Last Assessment]="",Table1[Drug and Alcohol Misuse],Table1[Drug and Alcohol Misuse2]),"")))</f>
        <v/>
      </c>
      <c r="FP20" s="44" t="str">
        <f>IF(Table1[Leaving Date]="","",IF(Table1[Date of Initial Assessment]="","",IF(AND(Table1[Leaving Date]&gt;42094,Table1[Leaving Date]&lt;42461),IF(Table1[Date of Last Assessment]="",Table1[Physical Health],Table1[Physical Health2]),"")))</f>
        <v/>
      </c>
      <c r="FQ20" s="44" t="str">
        <f>IF(Table1[Leaving Date]="","",IF(Table1[Date of Initial Assessment]="","",IF(AND(Table1[Leaving Date]&gt;42094,Table1[Leaving Date]&lt;42461),IF(Table1[Date of Last Assessment]="",Table1[Emotional and Mental Health],Table1[Emotional and Mental Health2]),"")))</f>
        <v/>
      </c>
      <c r="FR20" s="44" t="str">
        <f>IF(Table1[Leaving Date]="","",IF(Table1[Date of Initial Assessment]="","",IF(AND(Table1[Leaving Date]&gt;42094,Table1[Leaving Date]&lt;42461),IF(Table1[Date of Last Assessment]="",Table1[Meaningful Use of Time],Table1[Meaningful Use of Time2]),"")))</f>
        <v/>
      </c>
      <c r="FS20" s="44" t="str">
        <f>IF(Table1[Leaving Date]="","",IF(Table1[Date of Initial Assessment]="","",IF(AND(Table1[Leaving Date]&gt;42094,Table1[Leaving Date]&lt;42461),IF(Table1[Date of Last Assessment]="",Table1[Managing Tenancy and Accommodation],Table1[Managing Tenancy and Accommodation2]),"")))</f>
        <v/>
      </c>
      <c r="FT20" s="44" t="str">
        <f>IF(Table1[Leaving Date]="","",IF(Table1[Date of Initial Assessment]="","",IF(AND(Table1[Leaving Date]&gt;42094,Table1[Leaving Date]&lt;42461),IF(Table1[Date of Last Assessment]="",Table1[Offending],Table1[Offending2]),"")))</f>
        <v/>
      </c>
      <c r="FU20" s="44" t="str">
        <f>IF(Table1[Date of Initial Assessment]="","",IF(AND(Table1[Start Date]&gt;42460,Table1[Start Date]&lt;42826),Table1[Motivation and Taking Responsibility],""))</f>
        <v/>
      </c>
      <c r="FV20" s="44" t="str">
        <f>IF(Table1[Date of Initial Assessment]="","",IF(AND(Table1[Start Date]&gt;42460,Table1[Start Date]&lt;42826),Table1[Self-Care and Living Skills],""))</f>
        <v/>
      </c>
      <c r="FW20" s="44" t="str">
        <f>IF(Table1[Date of Initial Assessment]="","",IF(AND(Table1[Start Date]&gt;42460,Table1[Start Date]&lt;42826),Table1[Managing Money and Personal Administration],""))</f>
        <v/>
      </c>
      <c r="FX20" s="44" t="str">
        <f>IF(Table1[Date of Initial Assessment]="","",IF(AND(Table1[Start Date]&gt;42460,Table1[Start Date]&lt;42826),Table1[Social Networks and Relationships],""))</f>
        <v/>
      </c>
      <c r="FY20" s="44" t="str">
        <f>IF(Table1[Date of Initial Assessment]="","",IF(AND(Table1[Start Date]&gt;42460,Table1[Start Date]&lt;42826),Table1[Drug and Alcohol Misuse],""))</f>
        <v/>
      </c>
      <c r="FZ20" s="44" t="str">
        <f>IF(Table1[Date of Initial Assessment]="","",IF(AND(Table1[Start Date]&gt;42460,Table1[Start Date]&lt;42826),Table1[Physical Health],""))</f>
        <v/>
      </c>
      <c r="GA20" s="44" t="str">
        <f>IF(Table1[Date of Initial Assessment]="","",IF(AND(Table1[Start Date]&gt;42460,Table1[Start Date]&lt;42826),Table1[Emotional and Mental Health],""))</f>
        <v/>
      </c>
      <c r="GB20" s="44" t="str">
        <f>IF(Table1[Date of Initial Assessment]="","",IF(AND(Table1[Start Date]&gt;42460,Table1[Start Date]&lt;42826),Table1[Meaningful Use of Time],""))</f>
        <v/>
      </c>
      <c r="GC20" s="44" t="str">
        <f>IF(Table1[Date of Initial Assessment]="","",IF(AND(Table1[Start Date]&gt;42460,Table1[Start Date]&lt;42826),Table1[Managing Tenancy and Accommodation],""))</f>
        <v/>
      </c>
      <c r="GD20" s="44" t="str">
        <f>IF(Table1[Date of Initial Assessment]="","",IF(AND(Table1[Start Date]&gt;42460,Table1[Start Date]&lt;42826),Table1[Offending],""))</f>
        <v/>
      </c>
      <c r="GE20" s="44" t="str">
        <f>IF(Table1[Leaving Date]="","",IF(AND(Table1[Leaving Date]&gt;42460,Table1[Leaving Date]&lt;42826),IF(Table1[Date of Last Assessment]="",Table1[Motivation and Taking Responsibility],Table1[Motivation and Taking Responsibility2]),""))</f>
        <v/>
      </c>
      <c r="GF20" s="44" t="str">
        <f>IF(Table1[Leaving Date]="","",IF(AND(Table1[Leaving Date]&gt;42460,Table1[Leaving Date]&lt;42826),IF(Table1[Date of Last Assessment]="",Table1[Self-Care and Living Skills],Table1[Self-Care and Living Skills2]),""))</f>
        <v/>
      </c>
      <c r="GG20" s="44" t="str">
        <f>IF(Table1[Leaving Date]="","",IF(AND(Table1[Leaving Date]&gt;42460,Table1[Leaving Date]&lt;42826),IF(Table1[Date of Last Assessment]="",Table1[Managing Money and Personal Administration],Table1[Managing Money and Personal Administration2]),""))</f>
        <v/>
      </c>
      <c r="GH20" s="44" t="str">
        <f>IF(Table1[Leaving Date]="","",IF(AND(Table1[Leaving Date]&gt;42460,Table1[Leaving Date]&lt;42826),IF(Table1[Date of Last Assessment]="",Table1[Social Networks and Relationships],Table1[Social Networks and Relationships2]),""))</f>
        <v/>
      </c>
      <c r="GI20" s="44" t="str">
        <f>IF(Table1[Leaving Date]="","",IF(AND(Table1[Leaving Date]&gt;42460,Table1[Leaving Date]&lt;42826),IF(Table1[Date of Last Assessment]="",Table1[Drug and Alcohol Misuse],Table1[Drug and Alcohol Misuse2]),""))</f>
        <v/>
      </c>
      <c r="GJ20" s="44" t="str">
        <f>IF(Table1[Leaving Date]="","",IF(AND(Table1[Leaving Date]&gt;42460,Table1[Leaving Date]&lt;42826),IF(Table1[Date of Last Assessment]="",Table1[Physical Health],Table1[Physical Health2]),""))</f>
        <v/>
      </c>
      <c r="GK20" s="44" t="str">
        <f>IF(Table1[Leaving Date]="","",IF(AND(Table1[Leaving Date]&gt;42460,Table1[Leaving Date]&lt;42826),IF(Table1[Date of Last Assessment]="",Table1[Emotional and Mental Health],Table1[Emotional and Mental Health2]),""))</f>
        <v/>
      </c>
      <c r="GL20" s="44" t="str">
        <f>IF(Table1[Leaving Date]="","",IF(AND(Table1[Leaving Date]&gt;42460,Table1[Leaving Date]&lt;42826),IF(Table1[Date of Last Assessment]="",Table1[Meaningful Use of Time],Table1[Meaningful Use of Time2]),""))</f>
        <v/>
      </c>
      <c r="GM20" s="44" t="str">
        <f>IF(Table1[Leaving Date]="","",IF(AND(Table1[Leaving Date]&gt;42460,Table1[Leaving Date]&lt;42826),IF(Table1[Date of Last Assessment]="",Table1[Managing Tenancy and Accommodation],Table1[Managing Tenancy and Accommodation2]),""))</f>
        <v/>
      </c>
      <c r="GN20" s="44" t="str">
        <f>IF(Table1[Leaving Date]="","",IF(AND(Table1[Leaving Date]&gt;42460,Table1[Leaving Date]&lt;42826),IF(Table1[Date of Last Assessment]="",Table1[Offending],Table1[Offending2]),""))</f>
        <v/>
      </c>
    </row>
    <row r="21" spans="2:196" ht="20.100000000000001" customHeight="1" x14ac:dyDescent="0.2">
      <c r="B21" s="86">
        <f>+'Service Data'!$C$5:$C$5</f>
        <v>0</v>
      </c>
      <c r="C21" s="86"/>
      <c r="D21" s="86"/>
      <c r="E21" s="86"/>
      <c r="F21" s="86"/>
      <c r="G21" s="86"/>
      <c r="H21" s="6"/>
      <c r="I21" s="99" t="str">
        <f ca="1">IF(Table1[[#This Row],[Date of Birth]]="","",SUM(TODAY()-Table1[[#This Row],[Date of Birth]])/365)</f>
        <v/>
      </c>
      <c r="L21" s="86"/>
      <c r="M21" s="77"/>
      <c r="N21" s="86"/>
      <c r="O21" s="86"/>
      <c r="P21" s="91"/>
      <c r="Q21" s="86"/>
      <c r="R21" s="77"/>
      <c r="S21" s="77"/>
      <c r="T21" s="68"/>
      <c r="U21" s="68"/>
      <c r="V21" s="67"/>
      <c r="W21" s="67"/>
      <c r="X21" s="67"/>
      <c r="Y21" s="67"/>
      <c r="Z21" s="67"/>
      <c r="AA21" s="67"/>
      <c r="AB21" s="67"/>
      <c r="AC21" s="67"/>
      <c r="AD21" s="67"/>
      <c r="AE21" s="67"/>
      <c r="AF21" s="67"/>
      <c r="AG21" s="67"/>
      <c r="AH21" s="67"/>
      <c r="AI21" s="67"/>
      <c r="AJ21" s="67"/>
      <c r="AK21" s="67"/>
      <c r="AL21" s="67"/>
      <c r="AM21" s="67"/>
      <c r="AN21" s="77"/>
      <c r="AO21" s="76"/>
      <c r="AP21" s="77"/>
      <c r="AQ21" s="76"/>
      <c r="AR21" s="76"/>
      <c r="AS21" s="76"/>
      <c r="AT21" s="76"/>
      <c r="AU21" s="76"/>
      <c r="AV21" s="77"/>
      <c r="AW21" s="76"/>
      <c r="AX21" s="77"/>
      <c r="AY21" s="76"/>
      <c r="AZ21" s="76"/>
      <c r="BA21" s="76"/>
      <c r="BB21" s="76"/>
      <c r="BC21" s="76"/>
      <c r="BD21" s="77"/>
      <c r="BE21" s="76"/>
      <c r="BF21" s="77"/>
      <c r="BG21" s="76"/>
      <c r="BH21" s="76"/>
      <c r="BI21" s="76"/>
      <c r="BJ21" s="76"/>
      <c r="BK21" s="76"/>
      <c r="BL21" s="77"/>
      <c r="BM21" s="76"/>
      <c r="BN21" s="77"/>
      <c r="BO21" s="76"/>
      <c r="BP21" s="76"/>
      <c r="BQ21" s="76"/>
      <c r="BR21" s="76"/>
      <c r="BS21" s="76"/>
      <c r="BT21" s="77"/>
      <c r="BU21" s="76"/>
      <c r="BV21" s="77"/>
      <c r="BW21" s="76"/>
      <c r="BX21" s="76"/>
      <c r="BY21" s="76"/>
      <c r="BZ21" s="76"/>
      <c r="CA21" s="76"/>
      <c r="CB21" s="77"/>
      <c r="CC21" s="76"/>
      <c r="CD21" s="77"/>
      <c r="CE21" s="76"/>
      <c r="CF21" s="76"/>
      <c r="CG21" s="76"/>
      <c r="CH21" s="76"/>
      <c r="CI21" s="76"/>
      <c r="CJ21" s="77"/>
      <c r="CK21" s="76"/>
      <c r="CL21" s="77"/>
      <c r="CM21" s="76"/>
      <c r="CN21" s="76"/>
      <c r="CO21" s="76"/>
      <c r="CP21" s="76"/>
      <c r="CQ21" s="76"/>
      <c r="CR21" s="78" t="str">
        <f t="shared" si="15"/>
        <v/>
      </c>
      <c r="CS21" s="79" t="str">
        <f t="shared" si="16"/>
        <v/>
      </c>
      <c r="CT21" s="79" t="str">
        <f t="shared" si="17"/>
        <v/>
      </c>
      <c r="CU21" s="79" t="str">
        <f t="shared" si="18"/>
        <v/>
      </c>
      <c r="CV21" s="79" t="str">
        <f t="shared" si="19"/>
        <v/>
      </c>
      <c r="CW21" s="79" t="str">
        <f t="shared" si="20"/>
        <v/>
      </c>
      <c r="CX21" s="79" t="str">
        <f t="shared" si="21"/>
        <v/>
      </c>
      <c r="CY21" s="79" t="str">
        <f t="shared" si="22"/>
        <v/>
      </c>
      <c r="CZ21" s="79" t="str">
        <f t="shared" si="23"/>
        <v/>
      </c>
      <c r="DA21" s="79" t="str">
        <f t="shared" si="24"/>
        <v/>
      </c>
      <c r="DB21" s="79" t="str">
        <f t="shared" si="25"/>
        <v/>
      </c>
      <c r="DC21" s="79" t="str">
        <f t="shared" si="26"/>
        <v/>
      </c>
      <c r="DD21" s="79" t="str">
        <f t="shared" si="27"/>
        <v/>
      </c>
      <c r="DE21" s="79" t="str">
        <f t="shared" si="28"/>
        <v/>
      </c>
      <c r="DF21" s="79" t="str">
        <f t="shared" si="29"/>
        <v/>
      </c>
      <c r="DG21" s="79" t="str">
        <f t="shared" si="30"/>
        <v/>
      </c>
      <c r="DH21" s="76"/>
      <c r="DI21" s="78"/>
      <c r="DJ21" s="76"/>
      <c r="DK21" s="77"/>
      <c r="DL21" s="77"/>
      <c r="DM21" s="77"/>
      <c r="DN21" s="80"/>
      <c r="DO21" s="80"/>
      <c r="DP21" s="92" t="str">
        <f>IF(Table1[Start Date]="","",IF(Table1[Start Date]&gt;42185,"",IF(AND(Table1[Leaving Date]&gt;1,Table1[Leaving Date]&lt;42095),"",1)))</f>
        <v/>
      </c>
      <c r="DQ21" s="92" t="str">
        <f>IF(Table1[Start Date]="","",IF(Table1[Start Date]&gt;42277,"",IF(AND(Table1[Leaving Date]&gt;1,Table1[Leaving Date]&lt;42186),"",1)))</f>
        <v/>
      </c>
      <c r="DR21" s="92" t="str">
        <f>IF(Table1[Start Date]="","",IF(Table1[Start Date]&gt;42369,"",IF(AND(Table1[Leaving Date]&gt;1,Table1[Leaving Date]&lt;42278),"",1)))</f>
        <v/>
      </c>
      <c r="DS21" s="92" t="str">
        <f>IF(Table1[Start Date]="","",IF(Table1[Start Date]&gt;42460,"",IF(AND(Table1[Leaving Date]&gt;1,Table1[Leaving Date]&lt;42370),"",1)))</f>
        <v/>
      </c>
      <c r="DT21" s="92" t="str">
        <f>IF(Table1[Start Date]="","",IF(Table1[Start Date]&gt;42551,"",IF(AND(Table1[Leaving Date]&gt;1,Table1[Leaving Date]&lt;42461),"",1)))</f>
        <v/>
      </c>
      <c r="DU21" s="92" t="str">
        <f>IF(Table1[Start Date]="","",IF(Table1[Start Date]&gt;42643,"",IF(AND(Table1[Leaving Date]&gt;1,Table1[Leaving Date]&lt;42552),"",1)))</f>
        <v/>
      </c>
      <c r="DV21" s="92" t="str">
        <f>IF(Table1[Start Date]="","",IF(Table1[Start Date]&gt;42735,"",IF(AND(Table1[Leaving Date]&gt;1,Table1[Leaving Date]&lt;42644),"",1)))</f>
        <v/>
      </c>
      <c r="DW21" s="92" t="str">
        <f>IF(Table1[Start Date]="","",IF(Table1[Start Date]&gt;42825,"",IF(AND(Table1[Leaving Date]&gt;1,Table1[Leaving Date]&lt;42736),"",1)))</f>
        <v/>
      </c>
      <c r="DX21"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21" s="44" t="e">
        <f>VLOOKUP(Table1[Referral Source],Lists!$G$2:$H$20,2,FALSE)</f>
        <v>#N/A</v>
      </c>
      <c r="DZ21" s="93" t="e">
        <f>SUM(Table1[Data Referral Quarter]+Table1[Data Referral Source])</f>
        <v>#N/A</v>
      </c>
      <c r="EA21" s="44" t="b">
        <f>IF(Table1[Referral Decision]="Accepted",100,IF(Table1[Referral Decision]="Rejected by Provider",200,IF(Table1[Referral Decision]="Rejected by Applicant",300)))</f>
        <v>0</v>
      </c>
      <c r="EB21" s="44">
        <f>SUM(Table1[Data Referral Quarter]+Table1[Data Referral Decision])</f>
        <v>0</v>
      </c>
      <c r="EC21" s="44" t="b">
        <f>IF(Table1[Start Date]&gt;42735,8000,IF(Table1[Start Date]&gt;42643,7000,IF(Table1[Start Date]&gt;42551,6000,IF(Table1[Start Date]&gt;42460,5000,IF(Table1[Start Date]&gt;42369,4000,IF(Table1[Start Date]&gt;42277,3000,IF(Table1[Start Date]&gt;42185,2000,IF(Table1[Start Date]&gt;42094,1000))))))))</f>
        <v>0</v>
      </c>
      <c r="ED21" s="44" t="str">
        <f>IF(Table1[Start Date]="","",IF(Table1[Current Local Authority]="Swindon",1,"2"))</f>
        <v/>
      </c>
      <c r="EE21" s="44" t="e">
        <f>SUM(Table1[Data Start Date]+Table1[Data Local Authority])</f>
        <v>#VALUE!</v>
      </c>
      <c r="EF21" s="44">
        <f>IF(Table1[Registered with GP]="Yes",1,0)</f>
        <v>0</v>
      </c>
      <c r="EG21" s="44">
        <f>SUM(Table1[Data Start Date]+Table1[Data GP Start])</f>
        <v>0</v>
      </c>
      <c r="EH21" s="44" t="str">
        <f>IF(Table1[EET]="NEET",1,IF(Table1[EET]="Education",2,IF(Table1[EET]="Employment",2,IF(Table1[EET]="Training",2,IF(Table1[EET]="Retired",3,"")))))</f>
        <v/>
      </c>
      <c r="EI21" s="44" t="e">
        <f>Table1[Data Start Date]+Table1[Data EET Start]</f>
        <v>#VALUE!</v>
      </c>
      <c r="EJ21" s="44" t="b">
        <f>IF(Table1[Leaving Date]&gt;42735,8000,IF(Table1[Leaving Date]&gt;42643,7000,IF(Table1[Leaving Date]&gt;42551,6000,IF(Table1[Leaving Date]&gt;42460,5000,IF(Table1[Leaving Date]&gt;42369,4000,IF(Table1[Leaving Date]&gt;42277,3000,IF(Table1[Leaving Date]&gt;42185,2000,IF(Table1[Leaving Date]&gt;42094,1000))))))))</f>
        <v>0</v>
      </c>
      <c r="EK21" s="44" t="e">
        <f>VLOOKUP(Table1[Reason for Leaving],Lists!$T$2:$U$15,2,FALSE)</f>
        <v>#N/A</v>
      </c>
      <c r="EL21" s="44" t="e">
        <f>SUM(Table1[Data Leavers Date]+Table1[Data Move On])</f>
        <v>#N/A</v>
      </c>
      <c r="EM21" s="44" t="b">
        <f>IF(Table1[Registered with GP2]="Yes",1,IF(Table1[Registered with GP2]="No",0,IF(Table1[Registered with GP]="Yes",1,IF(Table1[Registered with GP]="No",0))))</f>
        <v>0</v>
      </c>
      <c r="EN21" s="44">
        <f>SUM(Table1[Data Leavers Date]+Table1[Data GP End])</f>
        <v>0</v>
      </c>
      <c r="EO21" s="44" t="str">
        <f>IF(Table1[EET2]="NEET",1,IF(Table1[EET2]="Employment",2,IF(Table1[EET2]="Education",2,IF(Table1[EET2]="Training",2,IF(Table1[EET2]="Retired",3,IF(Table1[EET]="NEET",1,IF(Table1[EET]="Employment",2,IF(Table1[EET]="Education",2,IF(Table1[EET]="Training",2,IF(Table1[EET]="Retired",3,""))))))))))</f>
        <v/>
      </c>
      <c r="EP21" s="44" t="e">
        <f>+Table1[[#This Row],[Data Leavers Date]]+Table1[[#This Row],[Data EET End]]</f>
        <v>#VALUE!</v>
      </c>
      <c r="EQ21" s="44">
        <f>IF(Table1[Exit Form Received]="Yes",1,0)</f>
        <v>0</v>
      </c>
      <c r="ER21" s="44">
        <f>+Table1[[#This Row],[Data Leavers Date]]+Table1[[#This Row],[Data Exit Forms]]</f>
        <v>0</v>
      </c>
      <c r="ES21" s="44" t="str">
        <f>IF(Table1[Data Leavers Date]=1000,SUM(Table1[Leaving Date]-Table1[Start Date]),"")</f>
        <v/>
      </c>
      <c r="ET21" s="44" t="str">
        <f>IF(Table1[Data Leavers Date]=2000,SUM(Table1[Leaving Date]-Table1[Start Date]),"")</f>
        <v/>
      </c>
      <c r="EU21" s="44" t="str">
        <f>IF(Table1[Data Leavers Date]=3000,SUM(Table1[Leaving Date]-Table1[Start Date]),"")</f>
        <v/>
      </c>
      <c r="EV21" s="44" t="str">
        <f>IF(Table1[Data Leavers Date]=4000,SUM(Table1[Leaving Date]-Table1[Start Date]),"")</f>
        <v/>
      </c>
      <c r="EW21" s="44" t="str">
        <f>IF(Table1[Data Leavers Date]=5000,SUM(Table1[Leaving Date]-Table1[Start Date]),"")</f>
        <v/>
      </c>
      <c r="EX21" s="44" t="str">
        <f>IF(Table1[Data Leavers Date]=6000,SUM(Table1[Leaving Date]-Table1[Start Date]),"")</f>
        <v/>
      </c>
      <c r="EY21" s="44" t="str">
        <f>IF(Table1[Data Leavers Date]=7000,SUM(Table1[Leaving Date]-Table1[Start Date]),"")</f>
        <v/>
      </c>
      <c r="EZ21" s="44" t="str">
        <f>IF(Table1[Data Leavers Date]=8000,SUM(Table1[Leaving Date]-Table1[Start Date]),"")</f>
        <v/>
      </c>
      <c r="FA21" s="44" t="str">
        <f>IF(Table1[Date of Initial Assessment]="","",IF(AND(Table1[Start Date]&gt;42094,Table1[Start Date]&lt;42461),Table1[Motivation and Taking Responsibility],""))</f>
        <v/>
      </c>
      <c r="FB21" s="44" t="str">
        <f>IF(Table1[Date of Initial Assessment]="","",IF(AND(Table1[Start Date]&gt;42094,Table1[Start Date]&lt;42461),Table1[Self-Care and Living Skills],""))</f>
        <v/>
      </c>
      <c r="FC21" s="44" t="str">
        <f>IF(Table1[Date of Initial Assessment]="","",IF(AND(Table1[Start Date]&gt;42094,Table1[Start Date]&lt;42461),Table1[Managing Money and Personal Administration],""))</f>
        <v/>
      </c>
      <c r="FD21" s="44" t="str">
        <f>IF(Table1[Date of Initial Assessment]="","",IF(AND(Table1[Start Date]&gt;42094,Table1[Start Date]&lt;42461),Table1[Social Networks and Relationships],""))</f>
        <v/>
      </c>
      <c r="FE21" s="44" t="str">
        <f>IF(Table1[Date of Initial Assessment]="","",IF(AND(Table1[Start Date]&gt;42094,Table1[Start Date]&lt;42461),Table1[Drug and Alcohol Misuse],""))</f>
        <v/>
      </c>
      <c r="FF21" s="44" t="str">
        <f>IF(Table1[Date of Initial Assessment]="","",IF(AND(Table1[Start Date]&gt;42094,Table1[Start Date]&lt;42461),Table1[Physical Health],""))</f>
        <v/>
      </c>
      <c r="FG21" s="44" t="str">
        <f>IF(Table1[Date of Initial Assessment]="","",IF(AND(Table1[Start Date]&gt;42094,Table1[Start Date]&lt;42461),Table1[Emotional and Mental Health],""))</f>
        <v/>
      </c>
      <c r="FH21" s="44" t="str">
        <f>IF(Table1[Date of Initial Assessment]="","",IF(AND(Table1[Start Date]&gt;42094,Table1[Start Date]&lt;42461),Table1[Meaningful Use of Time],""))</f>
        <v/>
      </c>
      <c r="FI21" s="44" t="str">
        <f>IF(Table1[Date of Initial Assessment]="","",IF(AND(Table1[Start Date]&gt;42094,Table1[Start Date]&lt;42461),Table1[Managing Tenancy and Accommodation],""))</f>
        <v/>
      </c>
      <c r="FJ21" s="44" t="str">
        <f>IF(Table1[Date of Initial Assessment]="","",IF(AND(Table1[Start Date]&gt;42094,Table1[Start Date]&lt;42461),Table1[Offending],""))</f>
        <v/>
      </c>
      <c r="FK21" s="44" t="str">
        <f>IF(Table1[Leaving Date]="","",IF(Table1[Date of Initial Assessment]="","",IF(AND(Table1[Leaving Date]&gt;42094,Table1[Leaving Date]&lt;42461),IF(Table1[Date of Last Assessment]="",Table1[Motivation and Taking Responsibility],Table1[Motivation and Taking Responsibility2]),"")))</f>
        <v/>
      </c>
      <c r="FL21" s="44" t="str">
        <f>IF(Table1[Leaving Date]="","",IF(Table1[Date of Initial Assessment]="","",IF(AND(Table1[Leaving Date]&gt;42094,Table1[Leaving Date]&lt;42461),IF(Table1[Date of Last Assessment]="",Table1[Self-Care and Living Skills],Table1[Self-Care and Living Skills2]),"")))</f>
        <v/>
      </c>
      <c r="FM21" s="44" t="str">
        <f>IF(Table1[Leaving Date]="","",IF(Table1[Date of Initial Assessment]="","",IF(AND(Table1[Leaving Date]&gt;42094,Table1[Leaving Date]&lt;42461),IF(Table1[Date of Last Assessment]="",Table1[Managing Money and Personal Administration],Table1[Managing Money and Personal Administration2]),"")))</f>
        <v/>
      </c>
      <c r="FN21" s="44" t="str">
        <f>IF(Table1[Leaving Date]="","",IF(Table1[Date of Initial Assessment]="","",IF(AND(Table1[Leaving Date]&gt;42094,Table1[Leaving Date]&lt;42461),IF(Table1[Date of Last Assessment]="",Table1[Social Networks and Relationships],Table1[Social Networks and Relationships2]),"")))</f>
        <v/>
      </c>
      <c r="FO21" s="44" t="str">
        <f>IF(Table1[Leaving Date]="","",IF(Table1[Date of Initial Assessment]="","",IF(AND(Table1[Leaving Date]&gt;42094,Table1[Leaving Date]&lt;42461),IF(Table1[Date of Last Assessment]="",Table1[Drug and Alcohol Misuse],Table1[Drug and Alcohol Misuse2]),"")))</f>
        <v/>
      </c>
      <c r="FP21" s="44" t="str">
        <f>IF(Table1[Leaving Date]="","",IF(Table1[Date of Initial Assessment]="","",IF(AND(Table1[Leaving Date]&gt;42094,Table1[Leaving Date]&lt;42461),IF(Table1[Date of Last Assessment]="",Table1[Physical Health],Table1[Physical Health2]),"")))</f>
        <v/>
      </c>
      <c r="FQ21" s="44" t="str">
        <f>IF(Table1[Leaving Date]="","",IF(Table1[Date of Initial Assessment]="","",IF(AND(Table1[Leaving Date]&gt;42094,Table1[Leaving Date]&lt;42461),IF(Table1[Date of Last Assessment]="",Table1[Emotional and Mental Health],Table1[Emotional and Mental Health2]),"")))</f>
        <v/>
      </c>
      <c r="FR21" s="44" t="str">
        <f>IF(Table1[Leaving Date]="","",IF(Table1[Date of Initial Assessment]="","",IF(AND(Table1[Leaving Date]&gt;42094,Table1[Leaving Date]&lt;42461),IF(Table1[Date of Last Assessment]="",Table1[Meaningful Use of Time],Table1[Meaningful Use of Time2]),"")))</f>
        <v/>
      </c>
      <c r="FS21" s="44" t="str">
        <f>IF(Table1[Leaving Date]="","",IF(Table1[Date of Initial Assessment]="","",IF(AND(Table1[Leaving Date]&gt;42094,Table1[Leaving Date]&lt;42461),IF(Table1[Date of Last Assessment]="",Table1[Managing Tenancy and Accommodation],Table1[Managing Tenancy and Accommodation2]),"")))</f>
        <v/>
      </c>
      <c r="FT21" s="44" t="str">
        <f>IF(Table1[Leaving Date]="","",IF(Table1[Date of Initial Assessment]="","",IF(AND(Table1[Leaving Date]&gt;42094,Table1[Leaving Date]&lt;42461),IF(Table1[Date of Last Assessment]="",Table1[Offending],Table1[Offending2]),"")))</f>
        <v/>
      </c>
      <c r="FU21" s="44" t="str">
        <f>IF(Table1[Date of Initial Assessment]="","",IF(AND(Table1[Start Date]&gt;42460,Table1[Start Date]&lt;42826),Table1[Motivation and Taking Responsibility],""))</f>
        <v/>
      </c>
      <c r="FV21" s="44" t="str">
        <f>IF(Table1[Date of Initial Assessment]="","",IF(AND(Table1[Start Date]&gt;42460,Table1[Start Date]&lt;42826),Table1[Self-Care and Living Skills],""))</f>
        <v/>
      </c>
      <c r="FW21" s="44" t="str">
        <f>IF(Table1[Date of Initial Assessment]="","",IF(AND(Table1[Start Date]&gt;42460,Table1[Start Date]&lt;42826),Table1[Managing Money and Personal Administration],""))</f>
        <v/>
      </c>
      <c r="FX21" s="44" t="str">
        <f>IF(Table1[Date of Initial Assessment]="","",IF(AND(Table1[Start Date]&gt;42460,Table1[Start Date]&lt;42826),Table1[Social Networks and Relationships],""))</f>
        <v/>
      </c>
      <c r="FY21" s="44" t="str">
        <f>IF(Table1[Date of Initial Assessment]="","",IF(AND(Table1[Start Date]&gt;42460,Table1[Start Date]&lt;42826),Table1[Drug and Alcohol Misuse],""))</f>
        <v/>
      </c>
      <c r="FZ21" s="44" t="str">
        <f>IF(Table1[Date of Initial Assessment]="","",IF(AND(Table1[Start Date]&gt;42460,Table1[Start Date]&lt;42826),Table1[Physical Health],""))</f>
        <v/>
      </c>
      <c r="GA21" s="44" t="str">
        <f>IF(Table1[Date of Initial Assessment]="","",IF(AND(Table1[Start Date]&gt;42460,Table1[Start Date]&lt;42826),Table1[Emotional and Mental Health],""))</f>
        <v/>
      </c>
      <c r="GB21" s="44" t="str">
        <f>IF(Table1[Date of Initial Assessment]="","",IF(AND(Table1[Start Date]&gt;42460,Table1[Start Date]&lt;42826),Table1[Meaningful Use of Time],""))</f>
        <v/>
      </c>
      <c r="GC21" s="44" t="str">
        <f>IF(Table1[Date of Initial Assessment]="","",IF(AND(Table1[Start Date]&gt;42460,Table1[Start Date]&lt;42826),Table1[Managing Tenancy and Accommodation],""))</f>
        <v/>
      </c>
      <c r="GD21" s="44" t="str">
        <f>IF(Table1[Date of Initial Assessment]="","",IF(AND(Table1[Start Date]&gt;42460,Table1[Start Date]&lt;42826),Table1[Offending],""))</f>
        <v/>
      </c>
      <c r="GE21" s="44" t="str">
        <f>IF(Table1[Leaving Date]="","",IF(AND(Table1[Leaving Date]&gt;42460,Table1[Leaving Date]&lt;42826),IF(Table1[Date of Last Assessment]="",Table1[Motivation and Taking Responsibility],Table1[Motivation and Taking Responsibility2]),""))</f>
        <v/>
      </c>
      <c r="GF21" s="44" t="str">
        <f>IF(Table1[Leaving Date]="","",IF(AND(Table1[Leaving Date]&gt;42460,Table1[Leaving Date]&lt;42826),IF(Table1[Date of Last Assessment]="",Table1[Self-Care and Living Skills],Table1[Self-Care and Living Skills2]),""))</f>
        <v/>
      </c>
      <c r="GG21" s="44" t="str">
        <f>IF(Table1[Leaving Date]="","",IF(AND(Table1[Leaving Date]&gt;42460,Table1[Leaving Date]&lt;42826),IF(Table1[Date of Last Assessment]="",Table1[Managing Money and Personal Administration],Table1[Managing Money and Personal Administration2]),""))</f>
        <v/>
      </c>
      <c r="GH21" s="44" t="str">
        <f>IF(Table1[Leaving Date]="","",IF(AND(Table1[Leaving Date]&gt;42460,Table1[Leaving Date]&lt;42826),IF(Table1[Date of Last Assessment]="",Table1[Social Networks and Relationships],Table1[Social Networks and Relationships2]),""))</f>
        <v/>
      </c>
      <c r="GI21" s="44" t="str">
        <f>IF(Table1[Leaving Date]="","",IF(AND(Table1[Leaving Date]&gt;42460,Table1[Leaving Date]&lt;42826),IF(Table1[Date of Last Assessment]="",Table1[Drug and Alcohol Misuse],Table1[Drug and Alcohol Misuse2]),""))</f>
        <v/>
      </c>
      <c r="GJ21" s="44" t="str">
        <f>IF(Table1[Leaving Date]="","",IF(AND(Table1[Leaving Date]&gt;42460,Table1[Leaving Date]&lt;42826),IF(Table1[Date of Last Assessment]="",Table1[Physical Health],Table1[Physical Health2]),""))</f>
        <v/>
      </c>
      <c r="GK21" s="44" t="str">
        <f>IF(Table1[Leaving Date]="","",IF(AND(Table1[Leaving Date]&gt;42460,Table1[Leaving Date]&lt;42826),IF(Table1[Date of Last Assessment]="",Table1[Emotional and Mental Health],Table1[Emotional and Mental Health2]),""))</f>
        <v/>
      </c>
      <c r="GL21" s="44" t="str">
        <f>IF(Table1[Leaving Date]="","",IF(AND(Table1[Leaving Date]&gt;42460,Table1[Leaving Date]&lt;42826),IF(Table1[Date of Last Assessment]="",Table1[Meaningful Use of Time],Table1[Meaningful Use of Time2]),""))</f>
        <v/>
      </c>
      <c r="GM21" s="44" t="str">
        <f>IF(Table1[Leaving Date]="","",IF(AND(Table1[Leaving Date]&gt;42460,Table1[Leaving Date]&lt;42826),IF(Table1[Date of Last Assessment]="",Table1[Managing Tenancy and Accommodation],Table1[Managing Tenancy and Accommodation2]),""))</f>
        <v/>
      </c>
      <c r="GN21" s="44" t="str">
        <f>IF(Table1[Leaving Date]="","",IF(AND(Table1[Leaving Date]&gt;42460,Table1[Leaving Date]&lt;42826),IF(Table1[Date of Last Assessment]="",Table1[Offending],Table1[Offending2]),""))</f>
        <v/>
      </c>
    </row>
    <row r="22" spans="2:196" ht="20.100000000000001" customHeight="1" x14ac:dyDescent="0.2">
      <c r="B22" s="86">
        <f>+'Service Data'!$C$5:$C$5</f>
        <v>0</v>
      </c>
      <c r="C22" s="86"/>
      <c r="D22" s="86"/>
      <c r="E22" s="86"/>
      <c r="F22" s="86"/>
      <c r="G22" s="86"/>
      <c r="H22" s="6"/>
      <c r="I22" s="99" t="str">
        <f ca="1">IF(Table1[[#This Row],[Date of Birth]]="","",SUM(TODAY()-Table1[[#This Row],[Date of Birth]])/365)</f>
        <v/>
      </c>
      <c r="L22" s="86"/>
      <c r="M22" s="77"/>
      <c r="N22" s="86"/>
      <c r="O22" s="86"/>
      <c r="P22" s="91"/>
      <c r="Q22" s="86"/>
      <c r="R22" s="77"/>
      <c r="S22" s="77"/>
      <c r="T22" s="68"/>
      <c r="U22" s="68"/>
      <c r="V22" s="67"/>
      <c r="W22" s="67"/>
      <c r="X22" s="67"/>
      <c r="Y22" s="67"/>
      <c r="Z22" s="67"/>
      <c r="AA22" s="67"/>
      <c r="AB22" s="67"/>
      <c r="AC22" s="67"/>
      <c r="AD22" s="67"/>
      <c r="AE22" s="67"/>
      <c r="AF22" s="67"/>
      <c r="AG22" s="67"/>
      <c r="AH22" s="67"/>
      <c r="AI22" s="67"/>
      <c r="AJ22" s="67"/>
      <c r="AK22" s="67"/>
      <c r="AL22" s="67"/>
      <c r="AM22" s="67"/>
      <c r="AN22" s="77"/>
      <c r="AO22" s="76"/>
      <c r="AP22" s="77"/>
      <c r="AQ22" s="76"/>
      <c r="AR22" s="76"/>
      <c r="AS22" s="76"/>
      <c r="AT22" s="76"/>
      <c r="AU22" s="76"/>
      <c r="AV22" s="77"/>
      <c r="AW22" s="76"/>
      <c r="AX22" s="77"/>
      <c r="AY22" s="76"/>
      <c r="AZ22" s="76"/>
      <c r="BA22" s="76"/>
      <c r="BB22" s="76"/>
      <c r="BC22" s="76"/>
      <c r="BD22" s="77"/>
      <c r="BE22" s="76"/>
      <c r="BF22" s="77"/>
      <c r="BG22" s="76"/>
      <c r="BH22" s="76"/>
      <c r="BI22" s="76"/>
      <c r="BJ22" s="76"/>
      <c r="BK22" s="76"/>
      <c r="BL22" s="77"/>
      <c r="BM22" s="76"/>
      <c r="BN22" s="77"/>
      <c r="BO22" s="76"/>
      <c r="BP22" s="76"/>
      <c r="BQ22" s="76"/>
      <c r="BR22" s="76"/>
      <c r="BS22" s="76"/>
      <c r="BT22" s="77"/>
      <c r="BU22" s="76"/>
      <c r="BV22" s="77"/>
      <c r="BW22" s="76"/>
      <c r="BX22" s="76"/>
      <c r="BY22" s="76"/>
      <c r="BZ22" s="76"/>
      <c r="CA22" s="76"/>
      <c r="CB22" s="77"/>
      <c r="CC22" s="76"/>
      <c r="CD22" s="77"/>
      <c r="CE22" s="76"/>
      <c r="CF22" s="76"/>
      <c r="CG22" s="76"/>
      <c r="CH22" s="76"/>
      <c r="CI22" s="76"/>
      <c r="CJ22" s="77"/>
      <c r="CK22" s="76"/>
      <c r="CL22" s="77"/>
      <c r="CM22" s="76"/>
      <c r="CN22" s="76"/>
      <c r="CO22" s="76"/>
      <c r="CP22" s="76"/>
      <c r="CQ22" s="76"/>
      <c r="CR22" s="78" t="str">
        <f t="shared" si="15"/>
        <v/>
      </c>
      <c r="CS22" s="79" t="str">
        <f t="shared" si="16"/>
        <v/>
      </c>
      <c r="CT22" s="79" t="str">
        <f t="shared" si="17"/>
        <v/>
      </c>
      <c r="CU22" s="79" t="str">
        <f t="shared" si="18"/>
        <v/>
      </c>
      <c r="CV22" s="79" t="str">
        <f t="shared" si="19"/>
        <v/>
      </c>
      <c r="CW22" s="79" t="str">
        <f t="shared" si="20"/>
        <v/>
      </c>
      <c r="CX22" s="79" t="str">
        <f t="shared" si="21"/>
        <v/>
      </c>
      <c r="CY22" s="79" t="str">
        <f t="shared" si="22"/>
        <v/>
      </c>
      <c r="CZ22" s="79" t="str">
        <f t="shared" si="23"/>
        <v/>
      </c>
      <c r="DA22" s="79" t="str">
        <f t="shared" si="24"/>
        <v/>
      </c>
      <c r="DB22" s="79" t="str">
        <f t="shared" si="25"/>
        <v/>
      </c>
      <c r="DC22" s="79" t="str">
        <f t="shared" si="26"/>
        <v/>
      </c>
      <c r="DD22" s="79" t="str">
        <f t="shared" si="27"/>
        <v/>
      </c>
      <c r="DE22" s="79" t="str">
        <f t="shared" si="28"/>
        <v/>
      </c>
      <c r="DF22" s="79" t="str">
        <f t="shared" si="29"/>
        <v/>
      </c>
      <c r="DG22" s="79" t="str">
        <f t="shared" si="30"/>
        <v/>
      </c>
      <c r="DH22" s="76"/>
      <c r="DI22" s="78"/>
      <c r="DJ22" s="76"/>
      <c r="DK22" s="77"/>
      <c r="DL22" s="77"/>
      <c r="DM22" s="77"/>
      <c r="DN22" s="80"/>
      <c r="DO22" s="80"/>
      <c r="DP22" s="92" t="str">
        <f>IF(Table1[Start Date]="","",IF(Table1[Start Date]&gt;42185,"",IF(AND(Table1[Leaving Date]&gt;1,Table1[Leaving Date]&lt;42095),"",1)))</f>
        <v/>
      </c>
      <c r="DQ22" s="92" t="str">
        <f>IF(Table1[Start Date]="","",IF(Table1[Start Date]&gt;42277,"",IF(AND(Table1[Leaving Date]&gt;1,Table1[Leaving Date]&lt;42186),"",1)))</f>
        <v/>
      </c>
      <c r="DR22" s="92" t="str">
        <f>IF(Table1[Start Date]="","",IF(Table1[Start Date]&gt;42369,"",IF(AND(Table1[Leaving Date]&gt;1,Table1[Leaving Date]&lt;42278),"",1)))</f>
        <v/>
      </c>
      <c r="DS22" s="92" t="str">
        <f>IF(Table1[Start Date]="","",IF(Table1[Start Date]&gt;42460,"",IF(AND(Table1[Leaving Date]&gt;1,Table1[Leaving Date]&lt;42370),"",1)))</f>
        <v/>
      </c>
      <c r="DT22" s="92" t="str">
        <f>IF(Table1[Start Date]="","",IF(Table1[Start Date]&gt;42551,"",IF(AND(Table1[Leaving Date]&gt;1,Table1[Leaving Date]&lt;42461),"",1)))</f>
        <v/>
      </c>
      <c r="DU22" s="92" t="str">
        <f>IF(Table1[Start Date]="","",IF(Table1[Start Date]&gt;42643,"",IF(AND(Table1[Leaving Date]&gt;1,Table1[Leaving Date]&lt;42552),"",1)))</f>
        <v/>
      </c>
      <c r="DV22" s="92" t="str">
        <f>IF(Table1[Start Date]="","",IF(Table1[Start Date]&gt;42735,"",IF(AND(Table1[Leaving Date]&gt;1,Table1[Leaving Date]&lt;42644),"",1)))</f>
        <v/>
      </c>
      <c r="DW22" s="92" t="str">
        <f>IF(Table1[Start Date]="","",IF(Table1[Start Date]&gt;42825,"",IF(AND(Table1[Leaving Date]&gt;1,Table1[Leaving Date]&lt;42736),"",1)))</f>
        <v/>
      </c>
      <c r="DX22"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22" s="44" t="e">
        <f>VLOOKUP(Table1[Referral Source],Lists!$G$2:$H$20,2,FALSE)</f>
        <v>#N/A</v>
      </c>
      <c r="DZ22" s="93" t="e">
        <f>SUM(Table1[Data Referral Quarter]+Table1[Data Referral Source])</f>
        <v>#N/A</v>
      </c>
      <c r="EA22" s="44" t="b">
        <f>IF(Table1[Referral Decision]="Accepted",100,IF(Table1[Referral Decision]="Rejected by Provider",200,IF(Table1[Referral Decision]="Rejected by Applicant",300)))</f>
        <v>0</v>
      </c>
      <c r="EB22" s="44">
        <f>SUM(Table1[Data Referral Quarter]+Table1[Data Referral Decision])</f>
        <v>0</v>
      </c>
      <c r="EC22" s="44" t="b">
        <f>IF(Table1[Start Date]&gt;42735,8000,IF(Table1[Start Date]&gt;42643,7000,IF(Table1[Start Date]&gt;42551,6000,IF(Table1[Start Date]&gt;42460,5000,IF(Table1[Start Date]&gt;42369,4000,IF(Table1[Start Date]&gt;42277,3000,IF(Table1[Start Date]&gt;42185,2000,IF(Table1[Start Date]&gt;42094,1000))))))))</f>
        <v>0</v>
      </c>
      <c r="ED22" s="44" t="str">
        <f>IF(Table1[Start Date]="","",IF(Table1[Current Local Authority]="Swindon",1,"2"))</f>
        <v/>
      </c>
      <c r="EE22" s="44" t="e">
        <f>SUM(Table1[Data Start Date]+Table1[Data Local Authority])</f>
        <v>#VALUE!</v>
      </c>
      <c r="EF22" s="44">
        <f>IF(Table1[Registered with GP]="Yes",1,0)</f>
        <v>0</v>
      </c>
      <c r="EG22" s="44">
        <f>SUM(Table1[Data Start Date]+Table1[Data GP Start])</f>
        <v>0</v>
      </c>
      <c r="EH22" s="44" t="str">
        <f>IF(Table1[EET]="NEET",1,IF(Table1[EET]="Education",2,IF(Table1[EET]="Employment",2,IF(Table1[EET]="Training",2,IF(Table1[EET]="Retired",3,"")))))</f>
        <v/>
      </c>
      <c r="EI22" s="44" t="e">
        <f>Table1[Data Start Date]+Table1[Data EET Start]</f>
        <v>#VALUE!</v>
      </c>
      <c r="EJ22" s="44" t="b">
        <f>IF(Table1[Leaving Date]&gt;42735,8000,IF(Table1[Leaving Date]&gt;42643,7000,IF(Table1[Leaving Date]&gt;42551,6000,IF(Table1[Leaving Date]&gt;42460,5000,IF(Table1[Leaving Date]&gt;42369,4000,IF(Table1[Leaving Date]&gt;42277,3000,IF(Table1[Leaving Date]&gt;42185,2000,IF(Table1[Leaving Date]&gt;42094,1000))))))))</f>
        <v>0</v>
      </c>
      <c r="EK22" s="44" t="e">
        <f>VLOOKUP(Table1[Reason for Leaving],Lists!$T$2:$U$15,2,FALSE)</f>
        <v>#N/A</v>
      </c>
      <c r="EL22" s="44" t="e">
        <f>SUM(Table1[Data Leavers Date]+Table1[Data Move On])</f>
        <v>#N/A</v>
      </c>
      <c r="EM22" s="44" t="b">
        <f>IF(Table1[Registered with GP2]="Yes",1,IF(Table1[Registered with GP2]="No",0,IF(Table1[Registered with GP]="Yes",1,IF(Table1[Registered with GP]="No",0))))</f>
        <v>0</v>
      </c>
      <c r="EN22" s="44">
        <f>SUM(Table1[Data Leavers Date]+Table1[Data GP End])</f>
        <v>0</v>
      </c>
      <c r="EO22" s="44" t="str">
        <f>IF(Table1[EET2]="NEET",1,IF(Table1[EET2]="Employment",2,IF(Table1[EET2]="Education",2,IF(Table1[EET2]="Training",2,IF(Table1[EET2]="Retired",3,IF(Table1[EET]="NEET",1,IF(Table1[EET]="Employment",2,IF(Table1[EET]="Education",2,IF(Table1[EET]="Training",2,IF(Table1[EET]="Retired",3,""))))))))))</f>
        <v/>
      </c>
      <c r="EP22" s="44" t="e">
        <f>+Table1[[#This Row],[Data Leavers Date]]+Table1[[#This Row],[Data EET End]]</f>
        <v>#VALUE!</v>
      </c>
      <c r="EQ22" s="44">
        <f>IF(Table1[Exit Form Received]="Yes",1,0)</f>
        <v>0</v>
      </c>
      <c r="ER22" s="44">
        <f>+Table1[[#This Row],[Data Leavers Date]]+Table1[[#This Row],[Data Exit Forms]]</f>
        <v>0</v>
      </c>
      <c r="ES22" s="44" t="str">
        <f>IF(Table1[Data Leavers Date]=1000,SUM(Table1[Leaving Date]-Table1[Start Date]),"")</f>
        <v/>
      </c>
      <c r="ET22" s="44" t="str">
        <f>IF(Table1[Data Leavers Date]=2000,SUM(Table1[Leaving Date]-Table1[Start Date]),"")</f>
        <v/>
      </c>
      <c r="EU22" s="44" t="str">
        <f>IF(Table1[Data Leavers Date]=3000,SUM(Table1[Leaving Date]-Table1[Start Date]),"")</f>
        <v/>
      </c>
      <c r="EV22" s="44" t="str">
        <f>IF(Table1[Data Leavers Date]=4000,SUM(Table1[Leaving Date]-Table1[Start Date]),"")</f>
        <v/>
      </c>
      <c r="EW22" s="44" t="str">
        <f>IF(Table1[Data Leavers Date]=5000,SUM(Table1[Leaving Date]-Table1[Start Date]),"")</f>
        <v/>
      </c>
      <c r="EX22" s="44" t="str">
        <f>IF(Table1[Data Leavers Date]=6000,SUM(Table1[Leaving Date]-Table1[Start Date]),"")</f>
        <v/>
      </c>
      <c r="EY22" s="44" t="str">
        <f>IF(Table1[Data Leavers Date]=7000,SUM(Table1[Leaving Date]-Table1[Start Date]),"")</f>
        <v/>
      </c>
      <c r="EZ22" s="44" t="str">
        <f>IF(Table1[Data Leavers Date]=8000,SUM(Table1[Leaving Date]-Table1[Start Date]),"")</f>
        <v/>
      </c>
      <c r="FA22" s="44" t="str">
        <f>IF(Table1[Date of Initial Assessment]="","",IF(AND(Table1[Start Date]&gt;42094,Table1[Start Date]&lt;42461),Table1[Motivation and Taking Responsibility],""))</f>
        <v/>
      </c>
      <c r="FB22" s="44" t="str">
        <f>IF(Table1[Date of Initial Assessment]="","",IF(AND(Table1[Start Date]&gt;42094,Table1[Start Date]&lt;42461),Table1[Self-Care and Living Skills],""))</f>
        <v/>
      </c>
      <c r="FC22" s="44" t="str">
        <f>IF(Table1[Date of Initial Assessment]="","",IF(AND(Table1[Start Date]&gt;42094,Table1[Start Date]&lt;42461),Table1[Managing Money and Personal Administration],""))</f>
        <v/>
      </c>
      <c r="FD22" s="44" t="str">
        <f>IF(Table1[Date of Initial Assessment]="","",IF(AND(Table1[Start Date]&gt;42094,Table1[Start Date]&lt;42461),Table1[Social Networks and Relationships],""))</f>
        <v/>
      </c>
      <c r="FE22" s="44" t="str">
        <f>IF(Table1[Date of Initial Assessment]="","",IF(AND(Table1[Start Date]&gt;42094,Table1[Start Date]&lt;42461),Table1[Drug and Alcohol Misuse],""))</f>
        <v/>
      </c>
      <c r="FF22" s="44" t="str">
        <f>IF(Table1[Date of Initial Assessment]="","",IF(AND(Table1[Start Date]&gt;42094,Table1[Start Date]&lt;42461),Table1[Physical Health],""))</f>
        <v/>
      </c>
      <c r="FG22" s="44" t="str">
        <f>IF(Table1[Date of Initial Assessment]="","",IF(AND(Table1[Start Date]&gt;42094,Table1[Start Date]&lt;42461),Table1[Emotional and Mental Health],""))</f>
        <v/>
      </c>
      <c r="FH22" s="44" t="str">
        <f>IF(Table1[Date of Initial Assessment]="","",IF(AND(Table1[Start Date]&gt;42094,Table1[Start Date]&lt;42461),Table1[Meaningful Use of Time],""))</f>
        <v/>
      </c>
      <c r="FI22" s="44" t="str">
        <f>IF(Table1[Date of Initial Assessment]="","",IF(AND(Table1[Start Date]&gt;42094,Table1[Start Date]&lt;42461),Table1[Managing Tenancy and Accommodation],""))</f>
        <v/>
      </c>
      <c r="FJ22" s="44" t="str">
        <f>IF(Table1[Date of Initial Assessment]="","",IF(AND(Table1[Start Date]&gt;42094,Table1[Start Date]&lt;42461),Table1[Offending],""))</f>
        <v/>
      </c>
      <c r="FK22" s="44" t="str">
        <f>IF(Table1[Leaving Date]="","",IF(Table1[Date of Initial Assessment]="","",IF(AND(Table1[Leaving Date]&gt;42094,Table1[Leaving Date]&lt;42461),IF(Table1[Date of Last Assessment]="",Table1[Motivation and Taking Responsibility],Table1[Motivation and Taking Responsibility2]),"")))</f>
        <v/>
      </c>
      <c r="FL22" s="44" t="str">
        <f>IF(Table1[Leaving Date]="","",IF(Table1[Date of Initial Assessment]="","",IF(AND(Table1[Leaving Date]&gt;42094,Table1[Leaving Date]&lt;42461),IF(Table1[Date of Last Assessment]="",Table1[Self-Care and Living Skills],Table1[Self-Care and Living Skills2]),"")))</f>
        <v/>
      </c>
      <c r="FM22" s="44" t="str">
        <f>IF(Table1[Leaving Date]="","",IF(Table1[Date of Initial Assessment]="","",IF(AND(Table1[Leaving Date]&gt;42094,Table1[Leaving Date]&lt;42461),IF(Table1[Date of Last Assessment]="",Table1[Managing Money and Personal Administration],Table1[Managing Money and Personal Administration2]),"")))</f>
        <v/>
      </c>
      <c r="FN22" s="44" t="str">
        <f>IF(Table1[Leaving Date]="","",IF(Table1[Date of Initial Assessment]="","",IF(AND(Table1[Leaving Date]&gt;42094,Table1[Leaving Date]&lt;42461),IF(Table1[Date of Last Assessment]="",Table1[Social Networks and Relationships],Table1[Social Networks and Relationships2]),"")))</f>
        <v/>
      </c>
      <c r="FO22" s="44" t="str">
        <f>IF(Table1[Leaving Date]="","",IF(Table1[Date of Initial Assessment]="","",IF(AND(Table1[Leaving Date]&gt;42094,Table1[Leaving Date]&lt;42461),IF(Table1[Date of Last Assessment]="",Table1[Drug and Alcohol Misuse],Table1[Drug and Alcohol Misuse2]),"")))</f>
        <v/>
      </c>
      <c r="FP22" s="44" t="str">
        <f>IF(Table1[Leaving Date]="","",IF(Table1[Date of Initial Assessment]="","",IF(AND(Table1[Leaving Date]&gt;42094,Table1[Leaving Date]&lt;42461),IF(Table1[Date of Last Assessment]="",Table1[Physical Health],Table1[Physical Health2]),"")))</f>
        <v/>
      </c>
      <c r="FQ22" s="44" t="str">
        <f>IF(Table1[Leaving Date]="","",IF(Table1[Date of Initial Assessment]="","",IF(AND(Table1[Leaving Date]&gt;42094,Table1[Leaving Date]&lt;42461),IF(Table1[Date of Last Assessment]="",Table1[Emotional and Mental Health],Table1[Emotional and Mental Health2]),"")))</f>
        <v/>
      </c>
      <c r="FR22" s="44" t="str">
        <f>IF(Table1[Leaving Date]="","",IF(Table1[Date of Initial Assessment]="","",IF(AND(Table1[Leaving Date]&gt;42094,Table1[Leaving Date]&lt;42461),IF(Table1[Date of Last Assessment]="",Table1[Meaningful Use of Time],Table1[Meaningful Use of Time2]),"")))</f>
        <v/>
      </c>
      <c r="FS22" s="44" t="str">
        <f>IF(Table1[Leaving Date]="","",IF(Table1[Date of Initial Assessment]="","",IF(AND(Table1[Leaving Date]&gt;42094,Table1[Leaving Date]&lt;42461),IF(Table1[Date of Last Assessment]="",Table1[Managing Tenancy and Accommodation],Table1[Managing Tenancy and Accommodation2]),"")))</f>
        <v/>
      </c>
      <c r="FT22" s="44" t="str">
        <f>IF(Table1[Leaving Date]="","",IF(Table1[Date of Initial Assessment]="","",IF(AND(Table1[Leaving Date]&gt;42094,Table1[Leaving Date]&lt;42461),IF(Table1[Date of Last Assessment]="",Table1[Offending],Table1[Offending2]),"")))</f>
        <v/>
      </c>
      <c r="FU22" s="44" t="str">
        <f>IF(Table1[Date of Initial Assessment]="","",IF(AND(Table1[Start Date]&gt;42460,Table1[Start Date]&lt;42826),Table1[Motivation and Taking Responsibility],""))</f>
        <v/>
      </c>
      <c r="FV22" s="44" t="str">
        <f>IF(Table1[Date of Initial Assessment]="","",IF(AND(Table1[Start Date]&gt;42460,Table1[Start Date]&lt;42826),Table1[Self-Care and Living Skills],""))</f>
        <v/>
      </c>
      <c r="FW22" s="44" t="str">
        <f>IF(Table1[Date of Initial Assessment]="","",IF(AND(Table1[Start Date]&gt;42460,Table1[Start Date]&lt;42826),Table1[Managing Money and Personal Administration],""))</f>
        <v/>
      </c>
      <c r="FX22" s="44" t="str">
        <f>IF(Table1[Date of Initial Assessment]="","",IF(AND(Table1[Start Date]&gt;42460,Table1[Start Date]&lt;42826),Table1[Social Networks and Relationships],""))</f>
        <v/>
      </c>
      <c r="FY22" s="44" t="str">
        <f>IF(Table1[Date of Initial Assessment]="","",IF(AND(Table1[Start Date]&gt;42460,Table1[Start Date]&lt;42826),Table1[Drug and Alcohol Misuse],""))</f>
        <v/>
      </c>
      <c r="FZ22" s="44" t="str">
        <f>IF(Table1[Date of Initial Assessment]="","",IF(AND(Table1[Start Date]&gt;42460,Table1[Start Date]&lt;42826),Table1[Physical Health],""))</f>
        <v/>
      </c>
      <c r="GA22" s="44" t="str">
        <f>IF(Table1[Date of Initial Assessment]="","",IF(AND(Table1[Start Date]&gt;42460,Table1[Start Date]&lt;42826),Table1[Emotional and Mental Health],""))</f>
        <v/>
      </c>
      <c r="GB22" s="44" t="str">
        <f>IF(Table1[Date of Initial Assessment]="","",IF(AND(Table1[Start Date]&gt;42460,Table1[Start Date]&lt;42826),Table1[Meaningful Use of Time],""))</f>
        <v/>
      </c>
      <c r="GC22" s="44" t="str">
        <f>IF(Table1[Date of Initial Assessment]="","",IF(AND(Table1[Start Date]&gt;42460,Table1[Start Date]&lt;42826),Table1[Managing Tenancy and Accommodation],""))</f>
        <v/>
      </c>
      <c r="GD22" s="44" t="str">
        <f>IF(Table1[Date of Initial Assessment]="","",IF(AND(Table1[Start Date]&gt;42460,Table1[Start Date]&lt;42826),Table1[Offending],""))</f>
        <v/>
      </c>
      <c r="GE22" s="44" t="str">
        <f>IF(Table1[Leaving Date]="","",IF(AND(Table1[Leaving Date]&gt;42460,Table1[Leaving Date]&lt;42826),IF(Table1[Date of Last Assessment]="",Table1[Motivation and Taking Responsibility],Table1[Motivation and Taking Responsibility2]),""))</f>
        <v/>
      </c>
      <c r="GF22" s="44" t="str">
        <f>IF(Table1[Leaving Date]="","",IF(AND(Table1[Leaving Date]&gt;42460,Table1[Leaving Date]&lt;42826),IF(Table1[Date of Last Assessment]="",Table1[Self-Care and Living Skills],Table1[Self-Care and Living Skills2]),""))</f>
        <v/>
      </c>
      <c r="GG22" s="44" t="str">
        <f>IF(Table1[Leaving Date]="","",IF(AND(Table1[Leaving Date]&gt;42460,Table1[Leaving Date]&lt;42826),IF(Table1[Date of Last Assessment]="",Table1[Managing Money and Personal Administration],Table1[Managing Money and Personal Administration2]),""))</f>
        <v/>
      </c>
      <c r="GH22" s="44" t="str">
        <f>IF(Table1[Leaving Date]="","",IF(AND(Table1[Leaving Date]&gt;42460,Table1[Leaving Date]&lt;42826),IF(Table1[Date of Last Assessment]="",Table1[Social Networks and Relationships],Table1[Social Networks and Relationships2]),""))</f>
        <v/>
      </c>
      <c r="GI22" s="44" t="str">
        <f>IF(Table1[Leaving Date]="","",IF(AND(Table1[Leaving Date]&gt;42460,Table1[Leaving Date]&lt;42826),IF(Table1[Date of Last Assessment]="",Table1[Drug and Alcohol Misuse],Table1[Drug and Alcohol Misuse2]),""))</f>
        <v/>
      </c>
      <c r="GJ22" s="44" t="str">
        <f>IF(Table1[Leaving Date]="","",IF(AND(Table1[Leaving Date]&gt;42460,Table1[Leaving Date]&lt;42826),IF(Table1[Date of Last Assessment]="",Table1[Physical Health],Table1[Physical Health2]),""))</f>
        <v/>
      </c>
      <c r="GK22" s="44" t="str">
        <f>IF(Table1[Leaving Date]="","",IF(AND(Table1[Leaving Date]&gt;42460,Table1[Leaving Date]&lt;42826),IF(Table1[Date of Last Assessment]="",Table1[Emotional and Mental Health],Table1[Emotional and Mental Health2]),""))</f>
        <v/>
      </c>
      <c r="GL22" s="44" t="str">
        <f>IF(Table1[Leaving Date]="","",IF(AND(Table1[Leaving Date]&gt;42460,Table1[Leaving Date]&lt;42826),IF(Table1[Date of Last Assessment]="",Table1[Meaningful Use of Time],Table1[Meaningful Use of Time2]),""))</f>
        <v/>
      </c>
      <c r="GM22" s="44" t="str">
        <f>IF(Table1[Leaving Date]="","",IF(AND(Table1[Leaving Date]&gt;42460,Table1[Leaving Date]&lt;42826),IF(Table1[Date of Last Assessment]="",Table1[Managing Tenancy and Accommodation],Table1[Managing Tenancy and Accommodation2]),""))</f>
        <v/>
      </c>
      <c r="GN22" s="44" t="str">
        <f>IF(Table1[Leaving Date]="","",IF(AND(Table1[Leaving Date]&gt;42460,Table1[Leaving Date]&lt;42826),IF(Table1[Date of Last Assessment]="",Table1[Offending],Table1[Offending2]),""))</f>
        <v/>
      </c>
    </row>
    <row r="23" spans="2:196" ht="20.100000000000001" customHeight="1" x14ac:dyDescent="0.2">
      <c r="B23" s="86">
        <f>+'Service Data'!$C$5:$C$5</f>
        <v>0</v>
      </c>
      <c r="C23" s="86"/>
      <c r="D23" s="86"/>
      <c r="E23" s="86"/>
      <c r="F23" s="86"/>
      <c r="G23" s="86"/>
      <c r="H23" s="6"/>
      <c r="I23" s="99" t="str">
        <f ca="1">IF(Table1[[#This Row],[Date of Birth]]="","",SUM(TODAY()-Table1[[#This Row],[Date of Birth]])/365)</f>
        <v/>
      </c>
      <c r="L23" s="86"/>
      <c r="M23" s="77"/>
      <c r="N23" s="86"/>
      <c r="O23" s="86"/>
      <c r="P23" s="91"/>
      <c r="Q23" s="86"/>
      <c r="R23" s="77"/>
      <c r="S23" s="77"/>
      <c r="T23" s="68"/>
      <c r="U23" s="68"/>
      <c r="V23" s="67"/>
      <c r="W23" s="67"/>
      <c r="X23" s="67"/>
      <c r="Y23" s="67"/>
      <c r="Z23" s="67"/>
      <c r="AA23" s="67"/>
      <c r="AB23" s="67"/>
      <c r="AC23" s="67"/>
      <c r="AD23" s="67"/>
      <c r="AE23" s="67"/>
      <c r="AF23" s="67"/>
      <c r="AG23" s="67"/>
      <c r="AH23" s="67"/>
      <c r="AI23" s="67"/>
      <c r="AJ23" s="67"/>
      <c r="AK23" s="67"/>
      <c r="AL23" s="67"/>
      <c r="AM23" s="67"/>
      <c r="AN23" s="77"/>
      <c r="AO23" s="76"/>
      <c r="AP23" s="77"/>
      <c r="AQ23" s="76"/>
      <c r="AR23" s="76"/>
      <c r="AS23" s="76"/>
      <c r="AT23" s="76"/>
      <c r="AU23" s="76"/>
      <c r="AV23" s="77"/>
      <c r="AW23" s="76"/>
      <c r="AX23" s="77"/>
      <c r="AY23" s="76"/>
      <c r="AZ23" s="76"/>
      <c r="BA23" s="76"/>
      <c r="BB23" s="76"/>
      <c r="BC23" s="76"/>
      <c r="BD23" s="77"/>
      <c r="BE23" s="76"/>
      <c r="BF23" s="77"/>
      <c r="BG23" s="76"/>
      <c r="BH23" s="76"/>
      <c r="BI23" s="76"/>
      <c r="BJ23" s="76"/>
      <c r="BK23" s="76"/>
      <c r="BL23" s="77"/>
      <c r="BM23" s="76"/>
      <c r="BN23" s="77"/>
      <c r="BO23" s="76"/>
      <c r="BP23" s="76"/>
      <c r="BQ23" s="76"/>
      <c r="BR23" s="76"/>
      <c r="BS23" s="76"/>
      <c r="BT23" s="77"/>
      <c r="BU23" s="76"/>
      <c r="BV23" s="77"/>
      <c r="BW23" s="76"/>
      <c r="BX23" s="76"/>
      <c r="BY23" s="76"/>
      <c r="BZ23" s="76"/>
      <c r="CA23" s="76"/>
      <c r="CB23" s="77"/>
      <c r="CC23" s="76"/>
      <c r="CD23" s="77"/>
      <c r="CE23" s="76"/>
      <c r="CF23" s="76"/>
      <c r="CG23" s="76"/>
      <c r="CH23" s="76"/>
      <c r="CI23" s="76"/>
      <c r="CJ23" s="77"/>
      <c r="CK23" s="76"/>
      <c r="CL23" s="77"/>
      <c r="CM23" s="76"/>
      <c r="CN23" s="76"/>
      <c r="CO23" s="76"/>
      <c r="CP23" s="76"/>
      <c r="CQ23" s="76"/>
      <c r="CR23" s="78" t="str">
        <f t="shared" si="15"/>
        <v/>
      </c>
      <c r="CS23" s="79" t="str">
        <f t="shared" si="16"/>
        <v/>
      </c>
      <c r="CT23" s="79" t="str">
        <f t="shared" si="17"/>
        <v/>
      </c>
      <c r="CU23" s="79" t="str">
        <f t="shared" si="18"/>
        <v/>
      </c>
      <c r="CV23" s="79" t="str">
        <f t="shared" si="19"/>
        <v/>
      </c>
      <c r="CW23" s="79" t="str">
        <f t="shared" si="20"/>
        <v/>
      </c>
      <c r="CX23" s="79" t="str">
        <f t="shared" si="21"/>
        <v/>
      </c>
      <c r="CY23" s="79" t="str">
        <f t="shared" si="22"/>
        <v/>
      </c>
      <c r="CZ23" s="79" t="str">
        <f t="shared" si="23"/>
        <v/>
      </c>
      <c r="DA23" s="79" t="str">
        <f t="shared" si="24"/>
        <v/>
      </c>
      <c r="DB23" s="79" t="str">
        <f t="shared" si="25"/>
        <v/>
      </c>
      <c r="DC23" s="79" t="str">
        <f t="shared" si="26"/>
        <v/>
      </c>
      <c r="DD23" s="79" t="str">
        <f t="shared" si="27"/>
        <v/>
      </c>
      <c r="DE23" s="79" t="str">
        <f t="shared" si="28"/>
        <v/>
      </c>
      <c r="DF23" s="79" t="str">
        <f t="shared" si="29"/>
        <v/>
      </c>
      <c r="DG23" s="79" t="str">
        <f t="shared" si="30"/>
        <v/>
      </c>
      <c r="DH23" s="76"/>
      <c r="DI23" s="78"/>
      <c r="DJ23" s="76"/>
      <c r="DK23" s="77"/>
      <c r="DL23" s="77"/>
      <c r="DM23" s="77"/>
      <c r="DN23" s="80"/>
      <c r="DO23" s="80"/>
      <c r="DP23" s="92" t="str">
        <f>IF(Table1[Start Date]="","",IF(Table1[Start Date]&gt;42185,"",IF(AND(Table1[Leaving Date]&gt;1,Table1[Leaving Date]&lt;42095),"",1)))</f>
        <v/>
      </c>
      <c r="DQ23" s="92" t="str">
        <f>IF(Table1[Start Date]="","",IF(Table1[Start Date]&gt;42277,"",IF(AND(Table1[Leaving Date]&gt;1,Table1[Leaving Date]&lt;42186),"",1)))</f>
        <v/>
      </c>
      <c r="DR23" s="92" t="str">
        <f>IF(Table1[Start Date]="","",IF(Table1[Start Date]&gt;42369,"",IF(AND(Table1[Leaving Date]&gt;1,Table1[Leaving Date]&lt;42278),"",1)))</f>
        <v/>
      </c>
      <c r="DS23" s="92" t="str">
        <f>IF(Table1[Start Date]="","",IF(Table1[Start Date]&gt;42460,"",IF(AND(Table1[Leaving Date]&gt;1,Table1[Leaving Date]&lt;42370),"",1)))</f>
        <v/>
      </c>
      <c r="DT23" s="92" t="str">
        <f>IF(Table1[Start Date]="","",IF(Table1[Start Date]&gt;42551,"",IF(AND(Table1[Leaving Date]&gt;1,Table1[Leaving Date]&lt;42461),"",1)))</f>
        <v/>
      </c>
      <c r="DU23" s="92" t="str">
        <f>IF(Table1[Start Date]="","",IF(Table1[Start Date]&gt;42643,"",IF(AND(Table1[Leaving Date]&gt;1,Table1[Leaving Date]&lt;42552),"",1)))</f>
        <v/>
      </c>
      <c r="DV23" s="92" t="str">
        <f>IF(Table1[Start Date]="","",IF(Table1[Start Date]&gt;42735,"",IF(AND(Table1[Leaving Date]&gt;1,Table1[Leaving Date]&lt;42644),"",1)))</f>
        <v/>
      </c>
      <c r="DW23" s="92" t="str">
        <f>IF(Table1[Start Date]="","",IF(Table1[Start Date]&gt;42825,"",IF(AND(Table1[Leaving Date]&gt;1,Table1[Leaving Date]&lt;42736),"",1)))</f>
        <v/>
      </c>
      <c r="DX23"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23" s="44" t="e">
        <f>VLOOKUP(Table1[Referral Source],Lists!$G$2:$H$20,2,FALSE)</f>
        <v>#N/A</v>
      </c>
      <c r="DZ23" s="93" t="e">
        <f>SUM(Table1[Data Referral Quarter]+Table1[Data Referral Source])</f>
        <v>#N/A</v>
      </c>
      <c r="EA23" s="44" t="b">
        <f>IF(Table1[Referral Decision]="Accepted",100,IF(Table1[Referral Decision]="Rejected by Provider",200,IF(Table1[Referral Decision]="Rejected by Applicant",300)))</f>
        <v>0</v>
      </c>
      <c r="EB23" s="44">
        <f>SUM(Table1[Data Referral Quarter]+Table1[Data Referral Decision])</f>
        <v>0</v>
      </c>
      <c r="EC23" s="44" t="b">
        <f>IF(Table1[Start Date]&gt;42735,8000,IF(Table1[Start Date]&gt;42643,7000,IF(Table1[Start Date]&gt;42551,6000,IF(Table1[Start Date]&gt;42460,5000,IF(Table1[Start Date]&gt;42369,4000,IF(Table1[Start Date]&gt;42277,3000,IF(Table1[Start Date]&gt;42185,2000,IF(Table1[Start Date]&gt;42094,1000))))))))</f>
        <v>0</v>
      </c>
      <c r="ED23" s="44" t="str">
        <f>IF(Table1[Start Date]="","",IF(Table1[Current Local Authority]="Swindon",1,"2"))</f>
        <v/>
      </c>
      <c r="EE23" s="44" t="e">
        <f>SUM(Table1[Data Start Date]+Table1[Data Local Authority])</f>
        <v>#VALUE!</v>
      </c>
      <c r="EF23" s="44">
        <f>IF(Table1[Registered with GP]="Yes",1,0)</f>
        <v>0</v>
      </c>
      <c r="EG23" s="44">
        <f>SUM(Table1[Data Start Date]+Table1[Data GP Start])</f>
        <v>0</v>
      </c>
      <c r="EH23" s="44" t="str">
        <f>IF(Table1[EET]="NEET",1,IF(Table1[EET]="Education",2,IF(Table1[EET]="Employment",2,IF(Table1[EET]="Training",2,IF(Table1[EET]="Retired",3,"")))))</f>
        <v/>
      </c>
      <c r="EI23" s="44" t="e">
        <f>Table1[Data Start Date]+Table1[Data EET Start]</f>
        <v>#VALUE!</v>
      </c>
      <c r="EJ23" s="44" t="b">
        <f>IF(Table1[Leaving Date]&gt;42735,8000,IF(Table1[Leaving Date]&gt;42643,7000,IF(Table1[Leaving Date]&gt;42551,6000,IF(Table1[Leaving Date]&gt;42460,5000,IF(Table1[Leaving Date]&gt;42369,4000,IF(Table1[Leaving Date]&gt;42277,3000,IF(Table1[Leaving Date]&gt;42185,2000,IF(Table1[Leaving Date]&gt;42094,1000))))))))</f>
        <v>0</v>
      </c>
      <c r="EK23" s="44" t="e">
        <f>VLOOKUP(Table1[Reason for Leaving],Lists!$T$2:$U$15,2,FALSE)</f>
        <v>#N/A</v>
      </c>
      <c r="EL23" s="44" t="e">
        <f>SUM(Table1[Data Leavers Date]+Table1[Data Move On])</f>
        <v>#N/A</v>
      </c>
      <c r="EM23" s="44" t="b">
        <f>IF(Table1[Registered with GP2]="Yes",1,IF(Table1[Registered with GP2]="No",0,IF(Table1[Registered with GP]="Yes",1,IF(Table1[Registered with GP]="No",0))))</f>
        <v>0</v>
      </c>
      <c r="EN23" s="44">
        <f>SUM(Table1[Data Leavers Date]+Table1[Data GP End])</f>
        <v>0</v>
      </c>
      <c r="EO23" s="44" t="str">
        <f>IF(Table1[EET2]="NEET",1,IF(Table1[EET2]="Employment",2,IF(Table1[EET2]="Education",2,IF(Table1[EET2]="Training",2,IF(Table1[EET2]="Retired",3,IF(Table1[EET]="NEET",1,IF(Table1[EET]="Employment",2,IF(Table1[EET]="Education",2,IF(Table1[EET]="Training",2,IF(Table1[EET]="Retired",3,""))))))))))</f>
        <v/>
      </c>
      <c r="EP23" s="44" t="e">
        <f>+Table1[[#This Row],[Data Leavers Date]]+Table1[[#This Row],[Data EET End]]</f>
        <v>#VALUE!</v>
      </c>
      <c r="EQ23" s="44">
        <f>IF(Table1[Exit Form Received]="Yes",1,0)</f>
        <v>0</v>
      </c>
      <c r="ER23" s="44">
        <f>+Table1[[#This Row],[Data Leavers Date]]+Table1[[#This Row],[Data Exit Forms]]</f>
        <v>0</v>
      </c>
      <c r="ES23" s="44" t="str">
        <f>IF(Table1[Data Leavers Date]=1000,SUM(Table1[Leaving Date]-Table1[Start Date]),"")</f>
        <v/>
      </c>
      <c r="ET23" s="44" t="str">
        <f>IF(Table1[Data Leavers Date]=2000,SUM(Table1[Leaving Date]-Table1[Start Date]),"")</f>
        <v/>
      </c>
      <c r="EU23" s="44" t="str">
        <f>IF(Table1[Data Leavers Date]=3000,SUM(Table1[Leaving Date]-Table1[Start Date]),"")</f>
        <v/>
      </c>
      <c r="EV23" s="44" t="str">
        <f>IF(Table1[Data Leavers Date]=4000,SUM(Table1[Leaving Date]-Table1[Start Date]),"")</f>
        <v/>
      </c>
      <c r="EW23" s="44" t="str">
        <f>IF(Table1[Data Leavers Date]=5000,SUM(Table1[Leaving Date]-Table1[Start Date]),"")</f>
        <v/>
      </c>
      <c r="EX23" s="44" t="str">
        <f>IF(Table1[Data Leavers Date]=6000,SUM(Table1[Leaving Date]-Table1[Start Date]),"")</f>
        <v/>
      </c>
      <c r="EY23" s="44" t="str">
        <f>IF(Table1[Data Leavers Date]=7000,SUM(Table1[Leaving Date]-Table1[Start Date]),"")</f>
        <v/>
      </c>
      <c r="EZ23" s="44" t="str">
        <f>IF(Table1[Data Leavers Date]=8000,SUM(Table1[Leaving Date]-Table1[Start Date]),"")</f>
        <v/>
      </c>
      <c r="FA23" s="44" t="str">
        <f>IF(Table1[Date of Initial Assessment]="","",IF(AND(Table1[Start Date]&gt;42094,Table1[Start Date]&lt;42461),Table1[Motivation and Taking Responsibility],""))</f>
        <v/>
      </c>
      <c r="FB23" s="44" t="str">
        <f>IF(Table1[Date of Initial Assessment]="","",IF(AND(Table1[Start Date]&gt;42094,Table1[Start Date]&lt;42461),Table1[Self-Care and Living Skills],""))</f>
        <v/>
      </c>
      <c r="FC23" s="44" t="str">
        <f>IF(Table1[Date of Initial Assessment]="","",IF(AND(Table1[Start Date]&gt;42094,Table1[Start Date]&lt;42461),Table1[Managing Money and Personal Administration],""))</f>
        <v/>
      </c>
      <c r="FD23" s="44" t="str">
        <f>IF(Table1[Date of Initial Assessment]="","",IF(AND(Table1[Start Date]&gt;42094,Table1[Start Date]&lt;42461),Table1[Social Networks and Relationships],""))</f>
        <v/>
      </c>
      <c r="FE23" s="44" t="str">
        <f>IF(Table1[Date of Initial Assessment]="","",IF(AND(Table1[Start Date]&gt;42094,Table1[Start Date]&lt;42461),Table1[Drug and Alcohol Misuse],""))</f>
        <v/>
      </c>
      <c r="FF23" s="44" t="str">
        <f>IF(Table1[Date of Initial Assessment]="","",IF(AND(Table1[Start Date]&gt;42094,Table1[Start Date]&lt;42461),Table1[Physical Health],""))</f>
        <v/>
      </c>
      <c r="FG23" s="44" t="str">
        <f>IF(Table1[Date of Initial Assessment]="","",IF(AND(Table1[Start Date]&gt;42094,Table1[Start Date]&lt;42461),Table1[Emotional and Mental Health],""))</f>
        <v/>
      </c>
      <c r="FH23" s="44" t="str">
        <f>IF(Table1[Date of Initial Assessment]="","",IF(AND(Table1[Start Date]&gt;42094,Table1[Start Date]&lt;42461),Table1[Meaningful Use of Time],""))</f>
        <v/>
      </c>
      <c r="FI23" s="44" t="str">
        <f>IF(Table1[Date of Initial Assessment]="","",IF(AND(Table1[Start Date]&gt;42094,Table1[Start Date]&lt;42461),Table1[Managing Tenancy and Accommodation],""))</f>
        <v/>
      </c>
      <c r="FJ23" s="44" t="str">
        <f>IF(Table1[Date of Initial Assessment]="","",IF(AND(Table1[Start Date]&gt;42094,Table1[Start Date]&lt;42461),Table1[Offending],""))</f>
        <v/>
      </c>
      <c r="FK23" s="44" t="str">
        <f>IF(Table1[Leaving Date]="","",IF(Table1[Date of Initial Assessment]="","",IF(AND(Table1[Leaving Date]&gt;42094,Table1[Leaving Date]&lt;42461),IF(Table1[Date of Last Assessment]="",Table1[Motivation and Taking Responsibility],Table1[Motivation and Taking Responsibility2]),"")))</f>
        <v/>
      </c>
      <c r="FL23" s="44" t="str">
        <f>IF(Table1[Leaving Date]="","",IF(Table1[Date of Initial Assessment]="","",IF(AND(Table1[Leaving Date]&gt;42094,Table1[Leaving Date]&lt;42461),IF(Table1[Date of Last Assessment]="",Table1[Self-Care and Living Skills],Table1[Self-Care and Living Skills2]),"")))</f>
        <v/>
      </c>
      <c r="FM23" s="44" t="str">
        <f>IF(Table1[Leaving Date]="","",IF(Table1[Date of Initial Assessment]="","",IF(AND(Table1[Leaving Date]&gt;42094,Table1[Leaving Date]&lt;42461),IF(Table1[Date of Last Assessment]="",Table1[Managing Money and Personal Administration],Table1[Managing Money and Personal Administration2]),"")))</f>
        <v/>
      </c>
      <c r="FN23" s="44" t="str">
        <f>IF(Table1[Leaving Date]="","",IF(Table1[Date of Initial Assessment]="","",IF(AND(Table1[Leaving Date]&gt;42094,Table1[Leaving Date]&lt;42461),IF(Table1[Date of Last Assessment]="",Table1[Social Networks and Relationships],Table1[Social Networks and Relationships2]),"")))</f>
        <v/>
      </c>
      <c r="FO23" s="44" t="str">
        <f>IF(Table1[Leaving Date]="","",IF(Table1[Date of Initial Assessment]="","",IF(AND(Table1[Leaving Date]&gt;42094,Table1[Leaving Date]&lt;42461),IF(Table1[Date of Last Assessment]="",Table1[Drug and Alcohol Misuse],Table1[Drug and Alcohol Misuse2]),"")))</f>
        <v/>
      </c>
      <c r="FP23" s="44" t="str">
        <f>IF(Table1[Leaving Date]="","",IF(Table1[Date of Initial Assessment]="","",IF(AND(Table1[Leaving Date]&gt;42094,Table1[Leaving Date]&lt;42461),IF(Table1[Date of Last Assessment]="",Table1[Physical Health],Table1[Physical Health2]),"")))</f>
        <v/>
      </c>
      <c r="FQ23" s="44" t="str">
        <f>IF(Table1[Leaving Date]="","",IF(Table1[Date of Initial Assessment]="","",IF(AND(Table1[Leaving Date]&gt;42094,Table1[Leaving Date]&lt;42461),IF(Table1[Date of Last Assessment]="",Table1[Emotional and Mental Health],Table1[Emotional and Mental Health2]),"")))</f>
        <v/>
      </c>
      <c r="FR23" s="44" t="str">
        <f>IF(Table1[Leaving Date]="","",IF(Table1[Date of Initial Assessment]="","",IF(AND(Table1[Leaving Date]&gt;42094,Table1[Leaving Date]&lt;42461),IF(Table1[Date of Last Assessment]="",Table1[Meaningful Use of Time],Table1[Meaningful Use of Time2]),"")))</f>
        <v/>
      </c>
      <c r="FS23" s="44" t="str">
        <f>IF(Table1[Leaving Date]="","",IF(Table1[Date of Initial Assessment]="","",IF(AND(Table1[Leaving Date]&gt;42094,Table1[Leaving Date]&lt;42461),IF(Table1[Date of Last Assessment]="",Table1[Managing Tenancy and Accommodation],Table1[Managing Tenancy and Accommodation2]),"")))</f>
        <v/>
      </c>
      <c r="FT23" s="44" t="str">
        <f>IF(Table1[Leaving Date]="","",IF(Table1[Date of Initial Assessment]="","",IF(AND(Table1[Leaving Date]&gt;42094,Table1[Leaving Date]&lt;42461),IF(Table1[Date of Last Assessment]="",Table1[Offending],Table1[Offending2]),"")))</f>
        <v/>
      </c>
      <c r="FU23" s="44" t="str">
        <f>IF(Table1[Date of Initial Assessment]="","",IF(AND(Table1[Start Date]&gt;42460,Table1[Start Date]&lt;42826),Table1[Motivation and Taking Responsibility],""))</f>
        <v/>
      </c>
      <c r="FV23" s="44" t="str">
        <f>IF(Table1[Date of Initial Assessment]="","",IF(AND(Table1[Start Date]&gt;42460,Table1[Start Date]&lt;42826),Table1[Self-Care and Living Skills],""))</f>
        <v/>
      </c>
      <c r="FW23" s="44" t="str">
        <f>IF(Table1[Date of Initial Assessment]="","",IF(AND(Table1[Start Date]&gt;42460,Table1[Start Date]&lt;42826),Table1[Managing Money and Personal Administration],""))</f>
        <v/>
      </c>
      <c r="FX23" s="44" t="str">
        <f>IF(Table1[Date of Initial Assessment]="","",IF(AND(Table1[Start Date]&gt;42460,Table1[Start Date]&lt;42826),Table1[Social Networks and Relationships],""))</f>
        <v/>
      </c>
      <c r="FY23" s="44" t="str">
        <f>IF(Table1[Date of Initial Assessment]="","",IF(AND(Table1[Start Date]&gt;42460,Table1[Start Date]&lt;42826),Table1[Drug and Alcohol Misuse],""))</f>
        <v/>
      </c>
      <c r="FZ23" s="44" t="str">
        <f>IF(Table1[Date of Initial Assessment]="","",IF(AND(Table1[Start Date]&gt;42460,Table1[Start Date]&lt;42826),Table1[Physical Health],""))</f>
        <v/>
      </c>
      <c r="GA23" s="44" t="str">
        <f>IF(Table1[Date of Initial Assessment]="","",IF(AND(Table1[Start Date]&gt;42460,Table1[Start Date]&lt;42826),Table1[Emotional and Mental Health],""))</f>
        <v/>
      </c>
      <c r="GB23" s="44" t="str">
        <f>IF(Table1[Date of Initial Assessment]="","",IF(AND(Table1[Start Date]&gt;42460,Table1[Start Date]&lt;42826),Table1[Meaningful Use of Time],""))</f>
        <v/>
      </c>
      <c r="GC23" s="44" t="str">
        <f>IF(Table1[Date of Initial Assessment]="","",IF(AND(Table1[Start Date]&gt;42460,Table1[Start Date]&lt;42826),Table1[Managing Tenancy and Accommodation],""))</f>
        <v/>
      </c>
      <c r="GD23" s="44" t="str">
        <f>IF(Table1[Date of Initial Assessment]="","",IF(AND(Table1[Start Date]&gt;42460,Table1[Start Date]&lt;42826),Table1[Offending],""))</f>
        <v/>
      </c>
      <c r="GE23" s="44" t="str">
        <f>IF(Table1[Leaving Date]="","",IF(AND(Table1[Leaving Date]&gt;42460,Table1[Leaving Date]&lt;42826),IF(Table1[Date of Last Assessment]="",Table1[Motivation and Taking Responsibility],Table1[Motivation and Taking Responsibility2]),""))</f>
        <v/>
      </c>
      <c r="GF23" s="44" t="str">
        <f>IF(Table1[Leaving Date]="","",IF(AND(Table1[Leaving Date]&gt;42460,Table1[Leaving Date]&lt;42826),IF(Table1[Date of Last Assessment]="",Table1[Self-Care and Living Skills],Table1[Self-Care and Living Skills2]),""))</f>
        <v/>
      </c>
      <c r="GG23" s="44" t="str">
        <f>IF(Table1[Leaving Date]="","",IF(AND(Table1[Leaving Date]&gt;42460,Table1[Leaving Date]&lt;42826),IF(Table1[Date of Last Assessment]="",Table1[Managing Money and Personal Administration],Table1[Managing Money and Personal Administration2]),""))</f>
        <v/>
      </c>
      <c r="GH23" s="44" t="str">
        <f>IF(Table1[Leaving Date]="","",IF(AND(Table1[Leaving Date]&gt;42460,Table1[Leaving Date]&lt;42826),IF(Table1[Date of Last Assessment]="",Table1[Social Networks and Relationships],Table1[Social Networks and Relationships2]),""))</f>
        <v/>
      </c>
      <c r="GI23" s="44" t="str">
        <f>IF(Table1[Leaving Date]="","",IF(AND(Table1[Leaving Date]&gt;42460,Table1[Leaving Date]&lt;42826),IF(Table1[Date of Last Assessment]="",Table1[Drug and Alcohol Misuse],Table1[Drug and Alcohol Misuse2]),""))</f>
        <v/>
      </c>
      <c r="GJ23" s="44" t="str">
        <f>IF(Table1[Leaving Date]="","",IF(AND(Table1[Leaving Date]&gt;42460,Table1[Leaving Date]&lt;42826),IF(Table1[Date of Last Assessment]="",Table1[Physical Health],Table1[Physical Health2]),""))</f>
        <v/>
      </c>
      <c r="GK23" s="44" t="str">
        <f>IF(Table1[Leaving Date]="","",IF(AND(Table1[Leaving Date]&gt;42460,Table1[Leaving Date]&lt;42826),IF(Table1[Date of Last Assessment]="",Table1[Emotional and Mental Health],Table1[Emotional and Mental Health2]),""))</f>
        <v/>
      </c>
      <c r="GL23" s="44" t="str">
        <f>IF(Table1[Leaving Date]="","",IF(AND(Table1[Leaving Date]&gt;42460,Table1[Leaving Date]&lt;42826),IF(Table1[Date of Last Assessment]="",Table1[Meaningful Use of Time],Table1[Meaningful Use of Time2]),""))</f>
        <v/>
      </c>
      <c r="GM23" s="44" t="str">
        <f>IF(Table1[Leaving Date]="","",IF(AND(Table1[Leaving Date]&gt;42460,Table1[Leaving Date]&lt;42826),IF(Table1[Date of Last Assessment]="",Table1[Managing Tenancy and Accommodation],Table1[Managing Tenancy and Accommodation2]),""))</f>
        <v/>
      </c>
      <c r="GN23" s="44" t="str">
        <f>IF(Table1[Leaving Date]="","",IF(AND(Table1[Leaving Date]&gt;42460,Table1[Leaving Date]&lt;42826),IF(Table1[Date of Last Assessment]="",Table1[Offending],Table1[Offending2]),""))</f>
        <v/>
      </c>
    </row>
    <row r="24" spans="2:196" ht="20.100000000000001" customHeight="1" x14ac:dyDescent="0.2">
      <c r="B24" s="86">
        <f>+'Service Data'!$C$5:$C$5</f>
        <v>0</v>
      </c>
      <c r="C24" s="86"/>
      <c r="D24" s="86"/>
      <c r="E24" s="86"/>
      <c r="F24" s="86"/>
      <c r="G24" s="86"/>
      <c r="H24" s="6"/>
      <c r="I24" s="99" t="str">
        <f ca="1">IF(Table1[[#This Row],[Date of Birth]]="","",SUM(TODAY()-Table1[[#This Row],[Date of Birth]])/365)</f>
        <v/>
      </c>
      <c r="L24" s="86"/>
      <c r="M24" s="77"/>
      <c r="N24" s="86"/>
      <c r="O24" s="86"/>
      <c r="P24" s="91"/>
      <c r="Q24" s="86"/>
      <c r="R24" s="77"/>
      <c r="S24" s="77"/>
      <c r="T24" s="68"/>
      <c r="U24" s="68"/>
      <c r="V24" s="67"/>
      <c r="W24" s="67"/>
      <c r="X24" s="67"/>
      <c r="Y24" s="67"/>
      <c r="Z24" s="67"/>
      <c r="AA24" s="67"/>
      <c r="AB24" s="67"/>
      <c r="AC24" s="67"/>
      <c r="AD24" s="67"/>
      <c r="AE24" s="67"/>
      <c r="AF24" s="67"/>
      <c r="AG24" s="67"/>
      <c r="AH24" s="67"/>
      <c r="AI24" s="67"/>
      <c r="AJ24" s="67"/>
      <c r="AK24" s="67"/>
      <c r="AL24" s="67"/>
      <c r="AM24" s="67"/>
      <c r="AN24" s="77"/>
      <c r="AO24" s="76"/>
      <c r="AP24" s="77"/>
      <c r="AQ24" s="76"/>
      <c r="AR24" s="76"/>
      <c r="AS24" s="76"/>
      <c r="AT24" s="76"/>
      <c r="AU24" s="76"/>
      <c r="AV24" s="77"/>
      <c r="AW24" s="76"/>
      <c r="AX24" s="77"/>
      <c r="AY24" s="76"/>
      <c r="AZ24" s="76"/>
      <c r="BA24" s="76"/>
      <c r="BB24" s="76"/>
      <c r="BC24" s="76"/>
      <c r="BD24" s="77"/>
      <c r="BE24" s="76"/>
      <c r="BF24" s="77"/>
      <c r="BG24" s="76"/>
      <c r="BH24" s="76"/>
      <c r="BI24" s="76"/>
      <c r="BJ24" s="76"/>
      <c r="BK24" s="76"/>
      <c r="BL24" s="77"/>
      <c r="BM24" s="76"/>
      <c r="BN24" s="77"/>
      <c r="BO24" s="76"/>
      <c r="BP24" s="76"/>
      <c r="BQ24" s="76"/>
      <c r="BR24" s="76"/>
      <c r="BS24" s="76"/>
      <c r="BT24" s="77"/>
      <c r="BU24" s="76"/>
      <c r="BV24" s="77"/>
      <c r="BW24" s="76"/>
      <c r="BX24" s="76"/>
      <c r="BY24" s="76"/>
      <c r="BZ24" s="76"/>
      <c r="CA24" s="76"/>
      <c r="CB24" s="77"/>
      <c r="CC24" s="76"/>
      <c r="CD24" s="77"/>
      <c r="CE24" s="76"/>
      <c r="CF24" s="76"/>
      <c r="CG24" s="76"/>
      <c r="CH24" s="76"/>
      <c r="CI24" s="76"/>
      <c r="CJ24" s="77"/>
      <c r="CK24" s="76"/>
      <c r="CL24" s="77"/>
      <c r="CM24" s="76"/>
      <c r="CN24" s="76"/>
      <c r="CO24" s="76"/>
      <c r="CP24" s="76"/>
      <c r="CQ24" s="76"/>
      <c r="CR24" s="78" t="str">
        <f t="shared" si="15"/>
        <v/>
      </c>
      <c r="CS24" s="79" t="str">
        <f t="shared" si="16"/>
        <v/>
      </c>
      <c r="CT24" s="79" t="str">
        <f t="shared" si="17"/>
        <v/>
      </c>
      <c r="CU24" s="79" t="str">
        <f t="shared" si="18"/>
        <v/>
      </c>
      <c r="CV24" s="79" t="str">
        <f t="shared" si="19"/>
        <v/>
      </c>
      <c r="CW24" s="79" t="str">
        <f t="shared" si="20"/>
        <v/>
      </c>
      <c r="CX24" s="79" t="str">
        <f t="shared" si="21"/>
        <v/>
      </c>
      <c r="CY24" s="79" t="str">
        <f t="shared" si="22"/>
        <v/>
      </c>
      <c r="CZ24" s="79" t="str">
        <f t="shared" si="23"/>
        <v/>
      </c>
      <c r="DA24" s="79" t="str">
        <f t="shared" si="24"/>
        <v/>
      </c>
      <c r="DB24" s="79" t="str">
        <f t="shared" si="25"/>
        <v/>
      </c>
      <c r="DC24" s="79" t="str">
        <f t="shared" si="26"/>
        <v/>
      </c>
      <c r="DD24" s="79" t="str">
        <f t="shared" si="27"/>
        <v/>
      </c>
      <c r="DE24" s="79" t="str">
        <f t="shared" si="28"/>
        <v/>
      </c>
      <c r="DF24" s="79" t="str">
        <f t="shared" si="29"/>
        <v/>
      </c>
      <c r="DG24" s="79" t="str">
        <f t="shared" si="30"/>
        <v/>
      </c>
      <c r="DH24" s="76"/>
      <c r="DI24" s="78"/>
      <c r="DJ24" s="76"/>
      <c r="DK24" s="77"/>
      <c r="DL24" s="77"/>
      <c r="DM24" s="77"/>
      <c r="DN24" s="80"/>
      <c r="DO24" s="80"/>
      <c r="DP24" s="92" t="str">
        <f>IF(Table1[Start Date]="","",IF(Table1[Start Date]&gt;42185,"",IF(AND(Table1[Leaving Date]&gt;1,Table1[Leaving Date]&lt;42095),"",1)))</f>
        <v/>
      </c>
      <c r="DQ24" s="92" t="str">
        <f>IF(Table1[Start Date]="","",IF(Table1[Start Date]&gt;42277,"",IF(AND(Table1[Leaving Date]&gt;1,Table1[Leaving Date]&lt;42186),"",1)))</f>
        <v/>
      </c>
      <c r="DR24" s="92" t="str">
        <f>IF(Table1[Start Date]="","",IF(Table1[Start Date]&gt;42369,"",IF(AND(Table1[Leaving Date]&gt;1,Table1[Leaving Date]&lt;42278),"",1)))</f>
        <v/>
      </c>
      <c r="DS24" s="92" t="str">
        <f>IF(Table1[Start Date]="","",IF(Table1[Start Date]&gt;42460,"",IF(AND(Table1[Leaving Date]&gt;1,Table1[Leaving Date]&lt;42370),"",1)))</f>
        <v/>
      </c>
      <c r="DT24" s="92" t="str">
        <f>IF(Table1[Start Date]="","",IF(Table1[Start Date]&gt;42551,"",IF(AND(Table1[Leaving Date]&gt;1,Table1[Leaving Date]&lt;42461),"",1)))</f>
        <v/>
      </c>
      <c r="DU24" s="92" t="str">
        <f>IF(Table1[Start Date]="","",IF(Table1[Start Date]&gt;42643,"",IF(AND(Table1[Leaving Date]&gt;1,Table1[Leaving Date]&lt;42552),"",1)))</f>
        <v/>
      </c>
      <c r="DV24" s="92" t="str">
        <f>IF(Table1[Start Date]="","",IF(Table1[Start Date]&gt;42735,"",IF(AND(Table1[Leaving Date]&gt;1,Table1[Leaving Date]&lt;42644),"",1)))</f>
        <v/>
      </c>
      <c r="DW24" s="92" t="str">
        <f>IF(Table1[Start Date]="","",IF(Table1[Start Date]&gt;42825,"",IF(AND(Table1[Leaving Date]&gt;1,Table1[Leaving Date]&lt;42736),"",1)))</f>
        <v/>
      </c>
      <c r="DX24"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24" s="44" t="e">
        <f>VLOOKUP(Table1[Referral Source],Lists!$G$2:$H$20,2,FALSE)</f>
        <v>#N/A</v>
      </c>
      <c r="DZ24" s="93" t="e">
        <f>SUM(Table1[Data Referral Quarter]+Table1[Data Referral Source])</f>
        <v>#N/A</v>
      </c>
      <c r="EA24" s="44" t="b">
        <f>IF(Table1[Referral Decision]="Accepted",100,IF(Table1[Referral Decision]="Rejected by Provider",200,IF(Table1[Referral Decision]="Rejected by Applicant",300)))</f>
        <v>0</v>
      </c>
      <c r="EB24" s="44">
        <f>SUM(Table1[Data Referral Quarter]+Table1[Data Referral Decision])</f>
        <v>0</v>
      </c>
      <c r="EC24" s="44" t="b">
        <f>IF(Table1[Start Date]&gt;42735,8000,IF(Table1[Start Date]&gt;42643,7000,IF(Table1[Start Date]&gt;42551,6000,IF(Table1[Start Date]&gt;42460,5000,IF(Table1[Start Date]&gt;42369,4000,IF(Table1[Start Date]&gt;42277,3000,IF(Table1[Start Date]&gt;42185,2000,IF(Table1[Start Date]&gt;42094,1000))))))))</f>
        <v>0</v>
      </c>
      <c r="ED24" s="44" t="str">
        <f>IF(Table1[Start Date]="","",IF(Table1[Current Local Authority]="Swindon",1,"2"))</f>
        <v/>
      </c>
      <c r="EE24" s="44" t="e">
        <f>SUM(Table1[Data Start Date]+Table1[Data Local Authority])</f>
        <v>#VALUE!</v>
      </c>
      <c r="EF24" s="44">
        <f>IF(Table1[Registered with GP]="Yes",1,0)</f>
        <v>0</v>
      </c>
      <c r="EG24" s="44">
        <f>SUM(Table1[Data Start Date]+Table1[Data GP Start])</f>
        <v>0</v>
      </c>
      <c r="EH24" s="44" t="str">
        <f>IF(Table1[EET]="NEET",1,IF(Table1[EET]="Education",2,IF(Table1[EET]="Employment",2,IF(Table1[EET]="Training",2,IF(Table1[EET]="Retired",3,"")))))</f>
        <v/>
      </c>
      <c r="EI24" s="44" t="e">
        <f>Table1[Data Start Date]+Table1[Data EET Start]</f>
        <v>#VALUE!</v>
      </c>
      <c r="EJ24" s="44" t="b">
        <f>IF(Table1[Leaving Date]&gt;42735,8000,IF(Table1[Leaving Date]&gt;42643,7000,IF(Table1[Leaving Date]&gt;42551,6000,IF(Table1[Leaving Date]&gt;42460,5000,IF(Table1[Leaving Date]&gt;42369,4000,IF(Table1[Leaving Date]&gt;42277,3000,IF(Table1[Leaving Date]&gt;42185,2000,IF(Table1[Leaving Date]&gt;42094,1000))))))))</f>
        <v>0</v>
      </c>
      <c r="EK24" s="44" t="e">
        <f>VLOOKUP(Table1[Reason for Leaving],Lists!$T$2:$U$15,2,FALSE)</f>
        <v>#N/A</v>
      </c>
      <c r="EL24" s="44" t="e">
        <f>SUM(Table1[Data Leavers Date]+Table1[Data Move On])</f>
        <v>#N/A</v>
      </c>
      <c r="EM24" s="44" t="b">
        <f>IF(Table1[Registered with GP2]="Yes",1,IF(Table1[Registered with GP2]="No",0,IF(Table1[Registered with GP]="Yes",1,IF(Table1[Registered with GP]="No",0))))</f>
        <v>0</v>
      </c>
      <c r="EN24" s="44">
        <f>SUM(Table1[Data Leavers Date]+Table1[Data GP End])</f>
        <v>0</v>
      </c>
      <c r="EO24" s="44" t="str">
        <f>IF(Table1[EET2]="NEET",1,IF(Table1[EET2]="Employment",2,IF(Table1[EET2]="Education",2,IF(Table1[EET2]="Training",2,IF(Table1[EET2]="Retired",3,IF(Table1[EET]="NEET",1,IF(Table1[EET]="Employment",2,IF(Table1[EET]="Education",2,IF(Table1[EET]="Training",2,IF(Table1[EET]="Retired",3,""))))))))))</f>
        <v/>
      </c>
      <c r="EP24" s="44" t="e">
        <f>+Table1[[#This Row],[Data Leavers Date]]+Table1[[#This Row],[Data EET End]]</f>
        <v>#VALUE!</v>
      </c>
      <c r="EQ24" s="44">
        <f>IF(Table1[Exit Form Received]="Yes",1,0)</f>
        <v>0</v>
      </c>
      <c r="ER24" s="44">
        <f>+Table1[[#This Row],[Data Leavers Date]]+Table1[[#This Row],[Data Exit Forms]]</f>
        <v>0</v>
      </c>
      <c r="ES24" s="44" t="str">
        <f>IF(Table1[Data Leavers Date]=1000,SUM(Table1[Leaving Date]-Table1[Start Date]),"")</f>
        <v/>
      </c>
      <c r="ET24" s="44" t="str">
        <f>IF(Table1[Data Leavers Date]=2000,SUM(Table1[Leaving Date]-Table1[Start Date]),"")</f>
        <v/>
      </c>
      <c r="EU24" s="44" t="str">
        <f>IF(Table1[Data Leavers Date]=3000,SUM(Table1[Leaving Date]-Table1[Start Date]),"")</f>
        <v/>
      </c>
      <c r="EV24" s="44" t="str">
        <f>IF(Table1[Data Leavers Date]=4000,SUM(Table1[Leaving Date]-Table1[Start Date]),"")</f>
        <v/>
      </c>
      <c r="EW24" s="44" t="str">
        <f>IF(Table1[Data Leavers Date]=5000,SUM(Table1[Leaving Date]-Table1[Start Date]),"")</f>
        <v/>
      </c>
      <c r="EX24" s="44" t="str">
        <f>IF(Table1[Data Leavers Date]=6000,SUM(Table1[Leaving Date]-Table1[Start Date]),"")</f>
        <v/>
      </c>
      <c r="EY24" s="44" t="str">
        <f>IF(Table1[Data Leavers Date]=7000,SUM(Table1[Leaving Date]-Table1[Start Date]),"")</f>
        <v/>
      </c>
      <c r="EZ24" s="44" t="str">
        <f>IF(Table1[Data Leavers Date]=8000,SUM(Table1[Leaving Date]-Table1[Start Date]),"")</f>
        <v/>
      </c>
      <c r="FA24" s="44" t="str">
        <f>IF(Table1[Date of Initial Assessment]="","",IF(AND(Table1[Start Date]&gt;42094,Table1[Start Date]&lt;42461),Table1[Motivation and Taking Responsibility],""))</f>
        <v/>
      </c>
      <c r="FB24" s="44" t="str">
        <f>IF(Table1[Date of Initial Assessment]="","",IF(AND(Table1[Start Date]&gt;42094,Table1[Start Date]&lt;42461),Table1[Self-Care and Living Skills],""))</f>
        <v/>
      </c>
      <c r="FC24" s="44" t="str">
        <f>IF(Table1[Date of Initial Assessment]="","",IF(AND(Table1[Start Date]&gt;42094,Table1[Start Date]&lt;42461),Table1[Managing Money and Personal Administration],""))</f>
        <v/>
      </c>
      <c r="FD24" s="44" t="str">
        <f>IF(Table1[Date of Initial Assessment]="","",IF(AND(Table1[Start Date]&gt;42094,Table1[Start Date]&lt;42461),Table1[Social Networks and Relationships],""))</f>
        <v/>
      </c>
      <c r="FE24" s="44" t="str">
        <f>IF(Table1[Date of Initial Assessment]="","",IF(AND(Table1[Start Date]&gt;42094,Table1[Start Date]&lt;42461),Table1[Drug and Alcohol Misuse],""))</f>
        <v/>
      </c>
      <c r="FF24" s="44" t="str">
        <f>IF(Table1[Date of Initial Assessment]="","",IF(AND(Table1[Start Date]&gt;42094,Table1[Start Date]&lt;42461),Table1[Physical Health],""))</f>
        <v/>
      </c>
      <c r="FG24" s="44" t="str">
        <f>IF(Table1[Date of Initial Assessment]="","",IF(AND(Table1[Start Date]&gt;42094,Table1[Start Date]&lt;42461),Table1[Emotional and Mental Health],""))</f>
        <v/>
      </c>
      <c r="FH24" s="44" t="str">
        <f>IF(Table1[Date of Initial Assessment]="","",IF(AND(Table1[Start Date]&gt;42094,Table1[Start Date]&lt;42461),Table1[Meaningful Use of Time],""))</f>
        <v/>
      </c>
      <c r="FI24" s="44" t="str">
        <f>IF(Table1[Date of Initial Assessment]="","",IF(AND(Table1[Start Date]&gt;42094,Table1[Start Date]&lt;42461),Table1[Managing Tenancy and Accommodation],""))</f>
        <v/>
      </c>
      <c r="FJ24" s="44" t="str">
        <f>IF(Table1[Date of Initial Assessment]="","",IF(AND(Table1[Start Date]&gt;42094,Table1[Start Date]&lt;42461),Table1[Offending],""))</f>
        <v/>
      </c>
      <c r="FK24" s="44" t="str">
        <f>IF(Table1[Leaving Date]="","",IF(Table1[Date of Initial Assessment]="","",IF(AND(Table1[Leaving Date]&gt;42094,Table1[Leaving Date]&lt;42461),IF(Table1[Date of Last Assessment]="",Table1[Motivation and Taking Responsibility],Table1[Motivation and Taking Responsibility2]),"")))</f>
        <v/>
      </c>
      <c r="FL24" s="44" t="str">
        <f>IF(Table1[Leaving Date]="","",IF(Table1[Date of Initial Assessment]="","",IF(AND(Table1[Leaving Date]&gt;42094,Table1[Leaving Date]&lt;42461),IF(Table1[Date of Last Assessment]="",Table1[Self-Care and Living Skills],Table1[Self-Care and Living Skills2]),"")))</f>
        <v/>
      </c>
      <c r="FM24" s="44" t="str">
        <f>IF(Table1[Leaving Date]="","",IF(Table1[Date of Initial Assessment]="","",IF(AND(Table1[Leaving Date]&gt;42094,Table1[Leaving Date]&lt;42461),IF(Table1[Date of Last Assessment]="",Table1[Managing Money and Personal Administration],Table1[Managing Money and Personal Administration2]),"")))</f>
        <v/>
      </c>
      <c r="FN24" s="44" t="str">
        <f>IF(Table1[Leaving Date]="","",IF(Table1[Date of Initial Assessment]="","",IF(AND(Table1[Leaving Date]&gt;42094,Table1[Leaving Date]&lt;42461),IF(Table1[Date of Last Assessment]="",Table1[Social Networks and Relationships],Table1[Social Networks and Relationships2]),"")))</f>
        <v/>
      </c>
      <c r="FO24" s="44" t="str">
        <f>IF(Table1[Leaving Date]="","",IF(Table1[Date of Initial Assessment]="","",IF(AND(Table1[Leaving Date]&gt;42094,Table1[Leaving Date]&lt;42461),IF(Table1[Date of Last Assessment]="",Table1[Drug and Alcohol Misuse],Table1[Drug and Alcohol Misuse2]),"")))</f>
        <v/>
      </c>
      <c r="FP24" s="44" t="str">
        <f>IF(Table1[Leaving Date]="","",IF(Table1[Date of Initial Assessment]="","",IF(AND(Table1[Leaving Date]&gt;42094,Table1[Leaving Date]&lt;42461),IF(Table1[Date of Last Assessment]="",Table1[Physical Health],Table1[Physical Health2]),"")))</f>
        <v/>
      </c>
      <c r="FQ24" s="44" t="str">
        <f>IF(Table1[Leaving Date]="","",IF(Table1[Date of Initial Assessment]="","",IF(AND(Table1[Leaving Date]&gt;42094,Table1[Leaving Date]&lt;42461),IF(Table1[Date of Last Assessment]="",Table1[Emotional and Mental Health],Table1[Emotional and Mental Health2]),"")))</f>
        <v/>
      </c>
      <c r="FR24" s="44" t="str">
        <f>IF(Table1[Leaving Date]="","",IF(Table1[Date of Initial Assessment]="","",IF(AND(Table1[Leaving Date]&gt;42094,Table1[Leaving Date]&lt;42461),IF(Table1[Date of Last Assessment]="",Table1[Meaningful Use of Time],Table1[Meaningful Use of Time2]),"")))</f>
        <v/>
      </c>
      <c r="FS24" s="44" t="str">
        <f>IF(Table1[Leaving Date]="","",IF(Table1[Date of Initial Assessment]="","",IF(AND(Table1[Leaving Date]&gt;42094,Table1[Leaving Date]&lt;42461),IF(Table1[Date of Last Assessment]="",Table1[Managing Tenancy and Accommodation],Table1[Managing Tenancy and Accommodation2]),"")))</f>
        <v/>
      </c>
      <c r="FT24" s="44" t="str">
        <f>IF(Table1[Leaving Date]="","",IF(Table1[Date of Initial Assessment]="","",IF(AND(Table1[Leaving Date]&gt;42094,Table1[Leaving Date]&lt;42461),IF(Table1[Date of Last Assessment]="",Table1[Offending],Table1[Offending2]),"")))</f>
        <v/>
      </c>
      <c r="FU24" s="44" t="str">
        <f>IF(Table1[Date of Initial Assessment]="","",IF(AND(Table1[Start Date]&gt;42460,Table1[Start Date]&lt;42826),Table1[Motivation and Taking Responsibility],""))</f>
        <v/>
      </c>
      <c r="FV24" s="44" t="str">
        <f>IF(Table1[Date of Initial Assessment]="","",IF(AND(Table1[Start Date]&gt;42460,Table1[Start Date]&lt;42826),Table1[Self-Care and Living Skills],""))</f>
        <v/>
      </c>
      <c r="FW24" s="44" t="str">
        <f>IF(Table1[Date of Initial Assessment]="","",IF(AND(Table1[Start Date]&gt;42460,Table1[Start Date]&lt;42826),Table1[Managing Money and Personal Administration],""))</f>
        <v/>
      </c>
      <c r="FX24" s="44" t="str">
        <f>IF(Table1[Date of Initial Assessment]="","",IF(AND(Table1[Start Date]&gt;42460,Table1[Start Date]&lt;42826),Table1[Social Networks and Relationships],""))</f>
        <v/>
      </c>
      <c r="FY24" s="44" t="str">
        <f>IF(Table1[Date of Initial Assessment]="","",IF(AND(Table1[Start Date]&gt;42460,Table1[Start Date]&lt;42826),Table1[Drug and Alcohol Misuse],""))</f>
        <v/>
      </c>
      <c r="FZ24" s="44" t="str">
        <f>IF(Table1[Date of Initial Assessment]="","",IF(AND(Table1[Start Date]&gt;42460,Table1[Start Date]&lt;42826),Table1[Physical Health],""))</f>
        <v/>
      </c>
      <c r="GA24" s="44" t="str">
        <f>IF(Table1[Date of Initial Assessment]="","",IF(AND(Table1[Start Date]&gt;42460,Table1[Start Date]&lt;42826),Table1[Emotional and Mental Health],""))</f>
        <v/>
      </c>
      <c r="GB24" s="44" t="str">
        <f>IF(Table1[Date of Initial Assessment]="","",IF(AND(Table1[Start Date]&gt;42460,Table1[Start Date]&lt;42826),Table1[Meaningful Use of Time],""))</f>
        <v/>
      </c>
      <c r="GC24" s="44" t="str">
        <f>IF(Table1[Date of Initial Assessment]="","",IF(AND(Table1[Start Date]&gt;42460,Table1[Start Date]&lt;42826),Table1[Managing Tenancy and Accommodation],""))</f>
        <v/>
      </c>
      <c r="GD24" s="44" t="str">
        <f>IF(Table1[Date of Initial Assessment]="","",IF(AND(Table1[Start Date]&gt;42460,Table1[Start Date]&lt;42826),Table1[Offending],""))</f>
        <v/>
      </c>
      <c r="GE24" s="44" t="str">
        <f>IF(Table1[Leaving Date]="","",IF(AND(Table1[Leaving Date]&gt;42460,Table1[Leaving Date]&lt;42826),IF(Table1[Date of Last Assessment]="",Table1[Motivation and Taking Responsibility],Table1[Motivation and Taking Responsibility2]),""))</f>
        <v/>
      </c>
      <c r="GF24" s="44" t="str">
        <f>IF(Table1[Leaving Date]="","",IF(AND(Table1[Leaving Date]&gt;42460,Table1[Leaving Date]&lt;42826),IF(Table1[Date of Last Assessment]="",Table1[Self-Care and Living Skills],Table1[Self-Care and Living Skills2]),""))</f>
        <v/>
      </c>
      <c r="GG24" s="44" t="str">
        <f>IF(Table1[Leaving Date]="","",IF(AND(Table1[Leaving Date]&gt;42460,Table1[Leaving Date]&lt;42826),IF(Table1[Date of Last Assessment]="",Table1[Managing Money and Personal Administration],Table1[Managing Money and Personal Administration2]),""))</f>
        <v/>
      </c>
      <c r="GH24" s="44" t="str">
        <f>IF(Table1[Leaving Date]="","",IF(AND(Table1[Leaving Date]&gt;42460,Table1[Leaving Date]&lt;42826),IF(Table1[Date of Last Assessment]="",Table1[Social Networks and Relationships],Table1[Social Networks and Relationships2]),""))</f>
        <v/>
      </c>
      <c r="GI24" s="44" t="str">
        <f>IF(Table1[Leaving Date]="","",IF(AND(Table1[Leaving Date]&gt;42460,Table1[Leaving Date]&lt;42826),IF(Table1[Date of Last Assessment]="",Table1[Drug and Alcohol Misuse],Table1[Drug and Alcohol Misuse2]),""))</f>
        <v/>
      </c>
      <c r="GJ24" s="44" t="str">
        <f>IF(Table1[Leaving Date]="","",IF(AND(Table1[Leaving Date]&gt;42460,Table1[Leaving Date]&lt;42826),IF(Table1[Date of Last Assessment]="",Table1[Physical Health],Table1[Physical Health2]),""))</f>
        <v/>
      </c>
      <c r="GK24" s="44" t="str">
        <f>IF(Table1[Leaving Date]="","",IF(AND(Table1[Leaving Date]&gt;42460,Table1[Leaving Date]&lt;42826),IF(Table1[Date of Last Assessment]="",Table1[Emotional and Mental Health],Table1[Emotional and Mental Health2]),""))</f>
        <v/>
      </c>
      <c r="GL24" s="44" t="str">
        <f>IF(Table1[Leaving Date]="","",IF(AND(Table1[Leaving Date]&gt;42460,Table1[Leaving Date]&lt;42826),IF(Table1[Date of Last Assessment]="",Table1[Meaningful Use of Time],Table1[Meaningful Use of Time2]),""))</f>
        <v/>
      </c>
      <c r="GM24" s="44" t="str">
        <f>IF(Table1[Leaving Date]="","",IF(AND(Table1[Leaving Date]&gt;42460,Table1[Leaving Date]&lt;42826),IF(Table1[Date of Last Assessment]="",Table1[Managing Tenancy and Accommodation],Table1[Managing Tenancy and Accommodation2]),""))</f>
        <v/>
      </c>
      <c r="GN24" s="44" t="str">
        <f>IF(Table1[Leaving Date]="","",IF(AND(Table1[Leaving Date]&gt;42460,Table1[Leaving Date]&lt;42826),IF(Table1[Date of Last Assessment]="",Table1[Offending],Table1[Offending2]),""))</f>
        <v/>
      </c>
    </row>
    <row r="25" spans="2:196" ht="20.100000000000001" customHeight="1" x14ac:dyDescent="0.2">
      <c r="B25" s="86">
        <f>+'Service Data'!$C$5:$C$5</f>
        <v>0</v>
      </c>
      <c r="C25" s="86"/>
      <c r="D25" s="86"/>
      <c r="E25" s="86"/>
      <c r="F25" s="86"/>
      <c r="G25" s="86"/>
      <c r="H25" s="6"/>
      <c r="I25" s="99" t="str">
        <f ca="1">IF(Table1[[#This Row],[Date of Birth]]="","",SUM(TODAY()-Table1[[#This Row],[Date of Birth]])/365)</f>
        <v/>
      </c>
      <c r="L25" s="86"/>
      <c r="M25" s="77"/>
      <c r="N25" s="86"/>
      <c r="O25" s="86"/>
      <c r="P25" s="91"/>
      <c r="Q25" s="86"/>
      <c r="R25" s="77"/>
      <c r="S25" s="77"/>
      <c r="T25" s="68"/>
      <c r="U25" s="68"/>
      <c r="V25" s="67"/>
      <c r="W25" s="67"/>
      <c r="X25" s="67"/>
      <c r="Y25" s="67"/>
      <c r="Z25" s="67"/>
      <c r="AA25" s="67"/>
      <c r="AB25" s="67"/>
      <c r="AC25" s="67"/>
      <c r="AD25" s="67"/>
      <c r="AE25" s="67"/>
      <c r="AF25" s="67"/>
      <c r="AG25" s="67"/>
      <c r="AH25" s="67"/>
      <c r="AI25" s="67"/>
      <c r="AJ25" s="67"/>
      <c r="AK25" s="67"/>
      <c r="AL25" s="67"/>
      <c r="AM25" s="67"/>
      <c r="AN25" s="77"/>
      <c r="AO25" s="76"/>
      <c r="AP25" s="77"/>
      <c r="AQ25" s="76"/>
      <c r="AR25" s="76"/>
      <c r="AS25" s="76"/>
      <c r="AT25" s="76"/>
      <c r="AU25" s="76"/>
      <c r="AV25" s="77"/>
      <c r="AW25" s="76"/>
      <c r="AX25" s="77"/>
      <c r="AY25" s="76"/>
      <c r="AZ25" s="76"/>
      <c r="BA25" s="76"/>
      <c r="BB25" s="76"/>
      <c r="BC25" s="76"/>
      <c r="BD25" s="77"/>
      <c r="BE25" s="76"/>
      <c r="BF25" s="77"/>
      <c r="BG25" s="76"/>
      <c r="BH25" s="76"/>
      <c r="BI25" s="76"/>
      <c r="BJ25" s="76"/>
      <c r="BK25" s="76"/>
      <c r="BL25" s="77"/>
      <c r="BM25" s="76"/>
      <c r="BN25" s="77"/>
      <c r="BO25" s="76"/>
      <c r="BP25" s="76"/>
      <c r="BQ25" s="76"/>
      <c r="BR25" s="76"/>
      <c r="BS25" s="76"/>
      <c r="BT25" s="77"/>
      <c r="BU25" s="76"/>
      <c r="BV25" s="77"/>
      <c r="BW25" s="76"/>
      <c r="BX25" s="76"/>
      <c r="BY25" s="76"/>
      <c r="BZ25" s="76"/>
      <c r="CA25" s="76"/>
      <c r="CB25" s="77"/>
      <c r="CC25" s="76"/>
      <c r="CD25" s="77"/>
      <c r="CE25" s="76"/>
      <c r="CF25" s="76"/>
      <c r="CG25" s="76"/>
      <c r="CH25" s="76"/>
      <c r="CI25" s="76"/>
      <c r="CJ25" s="77"/>
      <c r="CK25" s="76"/>
      <c r="CL25" s="77"/>
      <c r="CM25" s="76"/>
      <c r="CN25" s="76"/>
      <c r="CO25" s="76"/>
      <c r="CP25" s="76"/>
      <c r="CQ25" s="76"/>
      <c r="CR25" s="78" t="str">
        <f t="shared" si="15"/>
        <v/>
      </c>
      <c r="CS25" s="79" t="str">
        <f t="shared" si="16"/>
        <v/>
      </c>
      <c r="CT25" s="79" t="str">
        <f t="shared" si="17"/>
        <v/>
      </c>
      <c r="CU25" s="79" t="str">
        <f t="shared" si="18"/>
        <v/>
      </c>
      <c r="CV25" s="79" t="str">
        <f t="shared" si="19"/>
        <v/>
      </c>
      <c r="CW25" s="79" t="str">
        <f t="shared" si="20"/>
        <v/>
      </c>
      <c r="CX25" s="79" t="str">
        <f t="shared" si="21"/>
        <v/>
      </c>
      <c r="CY25" s="79" t="str">
        <f t="shared" si="22"/>
        <v/>
      </c>
      <c r="CZ25" s="79" t="str">
        <f t="shared" si="23"/>
        <v/>
      </c>
      <c r="DA25" s="79" t="str">
        <f t="shared" si="24"/>
        <v/>
      </c>
      <c r="DB25" s="79" t="str">
        <f t="shared" si="25"/>
        <v/>
      </c>
      <c r="DC25" s="79" t="str">
        <f t="shared" si="26"/>
        <v/>
      </c>
      <c r="DD25" s="79" t="str">
        <f t="shared" si="27"/>
        <v/>
      </c>
      <c r="DE25" s="79" t="str">
        <f t="shared" si="28"/>
        <v/>
      </c>
      <c r="DF25" s="79" t="str">
        <f t="shared" si="29"/>
        <v/>
      </c>
      <c r="DG25" s="79" t="str">
        <f t="shared" si="30"/>
        <v/>
      </c>
      <c r="DH25" s="76"/>
      <c r="DI25" s="78"/>
      <c r="DJ25" s="76"/>
      <c r="DK25" s="77"/>
      <c r="DL25" s="77"/>
      <c r="DM25" s="77"/>
      <c r="DN25" s="80"/>
      <c r="DO25" s="80"/>
      <c r="DP25" s="92" t="str">
        <f>IF(Table1[Start Date]="","",IF(Table1[Start Date]&gt;42185,"",IF(AND(Table1[Leaving Date]&gt;1,Table1[Leaving Date]&lt;42095),"",1)))</f>
        <v/>
      </c>
      <c r="DQ25" s="92" t="str">
        <f>IF(Table1[Start Date]="","",IF(Table1[Start Date]&gt;42277,"",IF(AND(Table1[Leaving Date]&gt;1,Table1[Leaving Date]&lt;42186),"",1)))</f>
        <v/>
      </c>
      <c r="DR25" s="92" t="str">
        <f>IF(Table1[Start Date]="","",IF(Table1[Start Date]&gt;42369,"",IF(AND(Table1[Leaving Date]&gt;1,Table1[Leaving Date]&lt;42278),"",1)))</f>
        <v/>
      </c>
      <c r="DS25" s="92" t="str">
        <f>IF(Table1[Start Date]="","",IF(Table1[Start Date]&gt;42460,"",IF(AND(Table1[Leaving Date]&gt;1,Table1[Leaving Date]&lt;42370),"",1)))</f>
        <v/>
      </c>
      <c r="DT25" s="92" t="str">
        <f>IF(Table1[Start Date]="","",IF(Table1[Start Date]&gt;42551,"",IF(AND(Table1[Leaving Date]&gt;1,Table1[Leaving Date]&lt;42461),"",1)))</f>
        <v/>
      </c>
      <c r="DU25" s="92" t="str">
        <f>IF(Table1[Start Date]="","",IF(Table1[Start Date]&gt;42643,"",IF(AND(Table1[Leaving Date]&gt;1,Table1[Leaving Date]&lt;42552),"",1)))</f>
        <v/>
      </c>
      <c r="DV25" s="92" t="str">
        <f>IF(Table1[Start Date]="","",IF(Table1[Start Date]&gt;42735,"",IF(AND(Table1[Leaving Date]&gt;1,Table1[Leaving Date]&lt;42644),"",1)))</f>
        <v/>
      </c>
      <c r="DW25" s="92" t="str">
        <f>IF(Table1[Start Date]="","",IF(Table1[Start Date]&gt;42825,"",IF(AND(Table1[Leaving Date]&gt;1,Table1[Leaving Date]&lt;42736),"",1)))</f>
        <v/>
      </c>
      <c r="DX25"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25" s="44" t="e">
        <f>VLOOKUP(Table1[Referral Source],Lists!$G$2:$H$20,2,FALSE)</f>
        <v>#N/A</v>
      </c>
      <c r="DZ25" s="93" t="e">
        <f>SUM(Table1[Data Referral Quarter]+Table1[Data Referral Source])</f>
        <v>#N/A</v>
      </c>
      <c r="EA25" s="44" t="b">
        <f>IF(Table1[Referral Decision]="Accepted",100,IF(Table1[Referral Decision]="Rejected by Provider",200,IF(Table1[Referral Decision]="Rejected by Applicant",300)))</f>
        <v>0</v>
      </c>
      <c r="EB25" s="44">
        <f>SUM(Table1[Data Referral Quarter]+Table1[Data Referral Decision])</f>
        <v>0</v>
      </c>
      <c r="EC25" s="44" t="b">
        <f>IF(Table1[Start Date]&gt;42735,8000,IF(Table1[Start Date]&gt;42643,7000,IF(Table1[Start Date]&gt;42551,6000,IF(Table1[Start Date]&gt;42460,5000,IF(Table1[Start Date]&gt;42369,4000,IF(Table1[Start Date]&gt;42277,3000,IF(Table1[Start Date]&gt;42185,2000,IF(Table1[Start Date]&gt;42094,1000))))))))</f>
        <v>0</v>
      </c>
      <c r="ED25" s="44" t="str">
        <f>IF(Table1[Start Date]="","",IF(Table1[Current Local Authority]="Swindon",1,"2"))</f>
        <v/>
      </c>
      <c r="EE25" s="44" t="e">
        <f>SUM(Table1[Data Start Date]+Table1[Data Local Authority])</f>
        <v>#VALUE!</v>
      </c>
      <c r="EF25" s="44">
        <f>IF(Table1[Registered with GP]="Yes",1,0)</f>
        <v>0</v>
      </c>
      <c r="EG25" s="44">
        <f>SUM(Table1[Data Start Date]+Table1[Data GP Start])</f>
        <v>0</v>
      </c>
      <c r="EH25" s="44" t="str">
        <f>IF(Table1[EET]="NEET",1,IF(Table1[EET]="Education",2,IF(Table1[EET]="Employment",2,IF(Table1[EET]="Training",2,IF(Table1[EET]="Retired",3,"")))))</f>
        <v/>
      </c>
      <c r="EI25" s="44" t="e">
        <f>Table1[Data Start Date]+Table1[Data EET Start]</f>
        <v>#VALUE!</v>
      </c>
      <c r="EJ25" s="44" t="b">
        <f>IF(Table1[Leaving Date]&gt;42735,8000,IF(Table1[Leaving Date]&gt;42643,7000,IF(Table1[Leaving Date]&gt;42551,6000,IF(Table1[Leaving Date]&gt;42460,5000,IF(Table1[Leaving Date]&gt;42369,4000,IF(Table1[Leaving Date]&gt;42277,3000,IF(Table1[Leaving Date]&gt;42185,2000,IF(Table1[Leaving Date]&gt;42094,1000))))))))</f>
        <v>0</v>
      </c>
      <c r="EK25" s="44" t="e">
        <f>VLOOKUP(Table1[Reason for Leaving],Lists!$T$2:$U$15,2,FALSE)</f>
        <v>#N/A</v>
      </c>
      <c r="EL25" s="44" t="e">
        <f>SUM(Table1[Data Leavers Date]+Table1[Data Move On])</f>
        <v>#N/A</v>
      </c>
      <c r="EM25" s="44" t="b">
        <f>IF(Table1[Registered with GP2]="Yes",1,IF(Table1[Registered with GP2]="No",0,IF(Table1[Registered with GP]="Yes",1,IF(Table1[Registered with GP]="No",0))))</f>
        <v>0</v>
      </c>
      <c r="EN25" s="44">
        <f>SUM(Table1[Data Leavers Date]+Table1[Data GP End])</f>
        <v>0</v>
      </c>
      <c r="EO25" s="44" t="str">
        <f>IF(Table1[EET2]="NEET",1,IF(Table1[EET2]="Employment",2,IF(Table1[EET2]="Education",2,IF(Table1[EET2]="Training",2,IF(Table1[EET2]="Retired",3,IF(Table1[EET]="NEET",1,IF(Table1[EET]="Employment",2,IF(Table1[EET]="Education",2,IF(Table1[EET]="Training",2,IF(Table1[EET]="Retired",3,""))))))))))</f>
        <v/>
      </c>
      <c r="EP25" s="44" t="e">
        <f>+Table1[[#This Row],[Data Leavers Date]]+Table1[[#This Row],[Data EET End]]</f>
        <v>#VALUE!</v>
      </c>
      <c r="EQ25" s="44">
        <f>IF(Table1[Exit Form Received]="Yes",1,0)</f>
        <v>0</v>
      </c>
      <c r="ER25" s="44">
        <f>+Table1[[#This Row],[Data Leavers Date]]+Table1[[#This Row],[Data Exit Forms]]</f>
        <v>0</v>
      </c>
      <c r="ES25" s="44" t="str">
        <f>IF(Table1[Data Leavers Date]=1000,SUM(Table1[Leaving Date]-Table1[Start Date]),"")</f>
        <v/>
      </c>
      <c r="ET25" s="44" t="str">
        <f>IF(Table1[Data Leavers Date]=2000,SUM(Table1[Leaving Date]-Table1[Start Date]),"")</f>
        <v/>
      </c>
      <c r="EU25" s="44" t="str">
        <f>IF(Table1[Data Leavers Date]=3000,SUM(Table1[Leaving Date]-Table1[Start Date]),"")</f>
        <v/>
      </c>
      <c r="EV25" s="44" t="str">
        <f>IF(Table1[Data Leavers Date]=4000,SUM(Table1[Leaving Date]-Table1[Start Date]),"")</f>
        <v/>
      </c>
      <c r="EW25" s="44" t="str">
        <f>IF(Table1[Data Leavers Date]=5000,SUM(Table1[Leaving Date]-Table1[Start Date]),"")</f>
        <v/>
      </c>
      <c r="EX25" s="44" t="str">
        <f>IF(Table1[Data Leavers Date]=6000,SUM(Table1[Leaving Date]-Table1[Start Date]),"")</f>
        <v/>
      </c>
      <c r="EY25" s="44" t="str">
        <f>IF(Table1[Data Leavers Date]=7000,SUM(Table1[Leaving Date]-Table1[Start Date]),"")</f>
        <v/>
      </c>
      <c r="EZ25" s="44" t="str">
        <f>IF(Table1[Data Leavers Date]=8000,SUM(Table1[Leaving Date]-Table1[Start Date]),"")</f>
        <v/>
      </c>
      <c r="FA25" s="44" t="str">
        <f>IF(Table1[Date of Initial Assessment]="","",IF(AND(Table1[Start Date]&gt;42094,Table1[Start Date]&lt;42461),Table1[Motivation and Taking Responsibility],""))</f>
        <v/>
      </c>
      <c r="FB25" s="44" t="str">
        <f>IF(Table1[Date of Initial Assessment]="","",IF(AND(Table1[Start Date]&gt;42094,Table1[Start Date]&lt;42461),Table1[Self-Care and Living Skills],""))</f>
        <v/>
      </c>
      <c r="FC25" s="44" t="str">
        <f>IF(Table1[Date of Initial Assessment]="","",IF(AND(Table1[Start Date]&gt;42094,Table1[Start Date]&lt;42461),Table1[Managing Money and Personal Administration],""))</f>
        <v/>
      </c>
      <c r="FD25" s="44" t="str">
        <f>IF(Table1[Date of Initial Assessment]="","",IF(AND(Table1[Start Date]&gt;42094,Table1[Start Date]&lt;42461),Table1[Social Networks and Relationships],""))</f>
        <v/>
      </c>
      <c r="FE25" s="44" t="str">
        <f>IF(Table1[Date of Initial Assessment]="","",IF(AND(Table1[Start Date]&gt;42094,Table1[Start Date]&lt;42461),Table1[Drug and Alcohol Misuse],""))</f>
        <v/>
      </c>
      <c r="FF25" s="44" t="str">
        <f>IF(Table1[Date of Initial Assessment]="","",IF(AND(Table1[Start Date]&gt;42094,Table1[Start Date]&lt;42461),Table1[Physical Health],""))</f>
        <v/>
      </c>
      <c r="FG25" s="44" t="str">
        <f>IF(Table1[Date of Initial Assessment]="","",IF(AND(Table1[Start Date]&gt;42094,Table1[Start Date]&lt;42461),Table1[Emotional and Mental Health],""))</f>
        <v/>
      </c>
      <c r="FH25" s="44" t="str">
        <f>IF(Table1[Date of Initial Assessment]="","",IF(AND(Table1[Start Date]&gt;42094,Table1[Start Date]&lt;42461),Table1[Meaningful Use of Time],""))</f>
        <v/>
      </c>
      <c r="FI25" s="44" t="str">
        <f>IF(Table1[Date of Initial Assessment]="","",IF(AND(Table1[Start Date]&gt;42094,Table1[Start Date]&lt;42461),Table1[Managing Tenancy and Accommodation],""))</f>
        <v/>
      </c>
      <c r="FJ25" s="44" t="str">
        <f>IF(Table1[Date of Initial Assessment]="","",IF(AND(Table1[Start Date]&gt;42094,Table1[Start Date]&lt;42461),Table1[Offending],""))</f>
        <v/>
      </c>
      <c r="FK25" s="44" t="str">
        <f>IF(Table1[Leaving Date]="","",IF(Table1[Date of Initial Assessment]="","",IF(AND(Table1[Leaving Date]&gt;42094,Table1[Leaving Date]&lt;42461),IF(Table1[Date of Last Assessment]="",Table1[Motivation and Taking Responsibility],Table1[Motivation and Taking Responsibility2]),"")))</f>
        <v/>
      </c>
      <c r="FL25" s="44" t="str">
        <f>IF(Table1[Leaving Date]="","",IF(Table1[Date of Initial Assessment]="","",IF(AND(Table1[Leaving Date]&gt;42094,Table1[Leaving Date]&lt;42461),IF(Table1[Date of Last Assessment]="",Table1[Self-Care and Living Skills],Table1[Self-Care and Living Skills2]),"")))</f>
        <v/>
      </c>
      <c r="FM25" s="44" t="str">
        <f>IF(Table1[Leaving Date]="","",IF(Table1[Date of Initial Assessment]="","",IF(AND(Table1[Leaving Date]&gt;42094,Table1[Leaving Date]&lt;42461),IF(Table1[Date of Last Assessment]="",Table1[Managing Money and Personal Administration],Table1[Managing Money and Personal Administration2]),"")))</f>
        <v/>
      </c>
      <c r="FN25" s="44" t="str">
        <f>IF(Table1[Leaving Date]="","",IF(Table1[Date of Initial Assessment]="","",IF(AND(Table1[Leaving Date]&gt;42094,Table1[Leaving Date]&lt;42461),IF(Table1[Date of Last Assessment]="",Table1[Social Networks and Relationships],Table1[Social Networks and Relationships2]),"")))</f>
        <v/>
      </c>
      <c r="FO25" s="44" t="str">
        <f>IF(Table1[Leaving Date]="","",IF(Table1[Date of Initial Assessment]="","",IF(AND(Table1[Leaving Date]&gt;42094,Table1[Leaving Date]&lt;42461),IF(Table1[Date of Last Assessment]="",Table1[Drug and Alcohol Misuse],Table1[Drug and Alcohol Misuse2]),"")))</f>
        <v/>
      </c>
      <c r="FP25" s="44" t="str">
        <f>IF(Table1[Leaving Date]="","",IF(Table1[Date of Initial Assessment]="","",IF(AND(Table1[Leaving Date]&gt;42094,Table1[Leaving Date]&lt;42461),IF(Table1[Date of Last Assessment]="",Table1[Physical Health],Table1[Physical Health2]),"")))</f>
        <v/>
      </c>
      <c r="FQ25" s="44" t="str">
        <f>IF(Table1[Leaving Date]="","",IF(Table1[Date of Initial Assessment]="","",IF(AND(Table1[Leaving Date]&gt;42094,Table1[Leaving Date]&lt;42461),IF(Table1[Date of Last Assessment]="",Table1[Emotional and Mental Health],Table1[Emotional and Mental Health2]),"")))</f>
        <v/>
      </c>
      <c r="FR25" s="44" t="str">
        <f>IF(Table1[Leaving Date]="","",IF(Table1[Date of Initial Assessment]="","",IF(AND(Table1[Leaving Date]&gt;42094,Table1[Leaving Date]&lt;42461),IF(Table1[Date of Last Assessment]="",Table1[Meaningful Use of Time],Table1[Meaningful Use of Time2]),"")))</f>
        <v/>
      </c>
      <c r="FS25" s="44" t="str">
        <f>IF(Table1[Leaving Date]="","",IF(Table1[Date of Initial Assessment]="","",IF(AND(Table1[Leaving Date]&gt;42094,Table1[Leaving Date]&lt;42461),IF(Table1[Date of Last Assessment]="",Table1[Managing Tenancy and Accommodation],Table1[Managing Tenancy and Accommodation2]),"")))</f>
        <v/>
      </c>
      <c r="FT25" s="44" t="str">
        <f>IF(Table1[Leaving Date]="","",IF(Table1[Date of Initial Assessment]="","",IF(AND(Table1[Leaving Date]&gt;42094,Table1[Leaving Date]&lt;42461),IF(Table1[Date of Last Assessment]="",Table1[Offending],Table1[Offending2]),"")))</f>
        <v/>
      </c>
      <c r="FU25" s="44" t="str">
        <f>IF(Table1[Date of Initial Assessment]="","",IF(AND(Table1[Start Date]&gt;42460,Table1[Start Date]&lt;42826),Table1[Motivation and Taking Responsibility],""))</f>
        <v/>
      </c>
      <c r="FV25" s="44" t="str">
        <f>IF(Table1[Date of Initial Assessment]="","",IF(AND(Table1[Start Date]&gt;42460,Table1[Start Date]&lt;42826),Table1[Self-Care and Living Skills],""))</f>
        <v/>
      </c>
      <c r="FW25" s="44" t="str">
        <f>IF(Table1[Date of Initial Assessment]="","",IF(AND(Table1[Start Date]&gt;42460,Table1[Start Date]&lt;42826),Table1[Managing Money and Personal Administration],""))</f>
        <v/>
      </c>
      <c r="FX25" s="44" t="str">
        <f>IF(Table1[Date of Initial Assessment]="","",IF(AND(Table1[Start Date]&gt;42460,Table1[Start Date]&lt;42826),Table1[Social Networks and Relationships],""))</f>
        <v/>
      </c>
      <c r="FY25" s="44" t="str">
        <f>IF(Table1[Date of Initial Assessment]="","",IF(AND(Table1[Start Date]&gt;42460,Table1[Start Date]&lt;42826),Table1[Drug and Alcohol Misuse],""))</f>
        <v/>
      </c>
      <c r="FZ25" s="44" t="str">
        <f>IF(Table1[Date of Initial Assessment]="","",IF(AND(Table1[Start Date]&gt;42460,Table1[Start Date]&lt;42826),Table1[Physical Health],""))</f>
        <v/>
      </c>
      <c r="GA25" s="44" t="str">
        <f>IF(Table1[Date of Initial Assessment]="","",IF(AND(Table1[Start Date]&gt;42460,Table1[Start Date]&lt;42826),Table1[Emotional and Mental Health],""))</f>
        <v/>
      </c>
      <c r="GB25" s="44" t="str">
        <f>IF(Table1[Date of Initial Assessment]="","",IF(AND(Table1[Start Date]&gt;42460,Table1[Start Date]&lt;42826),Table1[Meaningful Use of Time],""))</f>
        <v/>
      </c>
      <c r="GC25" s="44" t="str">
        <f>IF(Table1[Date of Initial Assessment]="","",IF(AND(Table1[Start Date]&gt;42460,Table1[Start Date]&lt;42826),Table1[Managing Tenancy and Accommodation],""))</f>
        <v/>
      </c>
      <c r="GD25" s="44" t="str">
        <f>IF(Table1[Date of Initial Assessment]="","",IF(AND(Table1[Start Date]&gt;42460,Table1[Start Date]&lt;42826),Table1[Offending],""))</f>
        <v/>
      </c>
      <c r="GE25" s="44" t="str">
        <f>IF(Table1[Leaving Date]="","",IF(AND(Table1[Leaving Date]&gt;42460,Table1[Leaving Date]&lt;42826),IF(Table1[Date of Last Assessment]="",Table1[Motivation and Taking Responsibility],Table1[Motivation and Taking Responsibility2]),""))</f>
        <v/>
      </c>
      <c r="GF25" s="44" t="str">
        <f>IF(Table1[Leaving Date]="","",IF(AND(Table1[Leaving Date]&gt;42460,Table1[Leaving Date]&lt;42826),IF(Table1[Date of Last Assessment]="",Table1[Self-Care and Living Skills],Table1[Self-Care and Living Skills2]),""))</f>
        <v/>
      </c>
      <c r="GG25" s="44" t="str">
        <f>IF(Table1[Leaving Date]="","",IF(AND(Table1[Leaving Date]&gt;42460,Table1[Leaving Date]&lt;42826),IF(Table1[Date of Last Assessment]="",Table1[Managing Money and Personal Administration],Table1[Managing Money and Personal Administration2]),""))</f>
        <v/>
      </c>
      <c r="GH25" s="44" t="str">
        <f>IF(Table1[Leaving Date]="","",IF(AND(Table1[Leaving Date]&gt;42460,Table1[Leaving Date]&lt;42826),IF(Table1[Date of Last Assessment]="",Table1[Social Networks and Relationships],Table1[Social Networks and Relationships2]),""))</f>
        <v/>
      </c>
      <c r="GI25" s="44" t="str">
        <f>IF(Table1[Leaving Date]="","",IF(AND(Table1[Leaving Date]&gt;42460,Table1[Leaving Date]&lt;42826),IF(Table1[Date of Last Assessment]="",Table1[Drug and Alcohol Misuse],Table1[Drug and Alcohol Misuse2]),""))</f>
        <v/>
      </c>
      <c r="GJ25" s="44" t="str">
        <f>IF(Table1[Leaving Date]="","",IF(AND(Table1[Leaving Date]&gt;42460,Table1[Leaving Date]&lt;42826),IF(Table1[Date of Last Assessment]="",Table1[Physical Health],Table1[Physical Health2]),""))</f>
        <v/>
      </c>
      <c r="GK25" s="44" t="str">
        <f>IF(Table1[Leaving Date]="","",IF(AND(Table1[Leaving Date]&gt;42460,Table1[Leaving Date]&lt;42826),IF(Table1[Date of Last Assessment]="",Table1[Emotional and Mental Health],Table1[Emotional and Mental Health2]),""))</f>
        <v/>
      </c>
      <c r="GL25" s="44" t="str">
        <f>IF(Table1[Leaving Date]="","",IF(AND(Table1[Leaving Date]&gt;42460,Table1[Leaving Date]&lt;42826),IF(Table1[Date of Last Assessment]="",Table1[Meaningful Use of Time],Table1[Meaningful Use of Time2]),""))</f>
        <v/>
      </c>
      <c r="GM25" s="44" t="str">
        <f>IF(Table1[Leaving Date]="","",IF(AND(Table1[Leaving Date]&gt;42460,Table1[Leaving Date]&lt;42826),IF(Table1[Date of Last Assessment]="",Table1[Managing Tenancy and Accommodation],Table1[Managing Tenancy and Accommodation2]),""))</f>
        <v/>
      </c>
      <c r="GN25" s="44" t="str">
        <f>IF(Table1[Leaving Date]="","",IF(AND(Table1[Leaving Date]&gt;42460,Table1[Leaving Date]&lt;42826),IF(Table1[Date of Last Assessment]="",Table1[Offending],Table1[Offending2]),""))</f>
        <v/>
      </c>
    </row>
    <row r="26" spans="2:196" ht="20.100000000000001" customHeight="1" x14ac:dyDescent="0.2">
      <c r="B26" s="86">
        <f>+'Service Data'!$C$5:$C$5</f>
        <v>0</v>
      </c>
      <c r="C26" s="86"/>
      <c r="D26" s="86"/>
      <c r="E26" s="86"/>
      <c r="F26" s="86"/>
      <c r="G26" s="86"/>
      <c r="H26" s="6"/>
      <c r="I26" s="99" t="str">
        <f ca="1">IF(Table1[[#This Row],[Date of Birth]]="","",SUM(TODAY()-Table1[[#This Row],[Date of Birth]])/365)</f>
        <v/>
      </c>
      <c r="L26" s="86"/>
      <c r="M26" s="77"/>
      <c r="N26" s="86"/>
      <c r="O26" s="86"/>
      <c r="P26" s="91"/>
      <c r="Q26" s="86"/>
      <c r="R26" s="77"/>
      <c r="S26" s="77"/>
      <c r="T26" s="68"/>
      <c r="U26" s="68"/>
      <c r="V26" s="67"/>
      <c r="W26" s="67"/>
      <c r="X26" s="67"/>
      <c r="Y26" s="67"/>
      <c r="Z26" s="67"/>
      <c r="AA26" s="67"/>
      <c r="AB26" s="67"/>
      <c r="AC26" s="67"/>
      <c r="AD26" s="67"/>
      <c r="AE26" s="67"/>
      <c r="AF26" s="67"/>
      <c r="AG26" s="67"/>
      <c r="AH26" s="67"/>
      <c r="AI26" s="67"/>
      <c r="AJ26" s="67"/>
      <c r="AK26" s="67"/>
      <c r="AL26" s="67"/>
      <c r="AM26" s="67"/>
      <c r="AN26" s="77"/>
      <c r="AO26" s="76"/>
      <c r="AP26" s="77"/>
      <c r="AQ26" s="76"/>
      <c r="AR26" s="76"/>
      <c r="AS26" s="76"/>
      <c r="AT26" s="76"/>
      <c r="AU26" s="76"/>
      <c r="AV26" s="77"/>
      <c r="AW26" s="76"/>
      <c r="AX26" s="77"/>
      <c r="AY26" s="76"/>
      <c r="AZ26" s="76"/>
      <c r="BA26" s="76"/>
      <c r="BB26" s="76"/>
      <c r="BC26" s="76"/>
      <c r="BD26" s="77"/>
      <c r="BE26" s="76"/>
      <c r="BF26" s="77"/>
      <c r="BG26" s="76"/>
      <c r="BH26" s="76"/>
      <c r="BI26" s="76"/>
      <c r="BJ26" s="76"/>
      <c r="BK26" s="76"/>
      <c r="BL26" s="77"/>
      <c r="BM26" s="76"/>
      <c r="BN26" s="77"/>
      <c r="BO26" s="76"/>
      <c r="BP26" s="76"/>
      <c r="BQ26" s="76"/>
      <c r="BR26" s="76"/>
      <c r="BS26" s="76"/>
      <c r="BT26" s="77"/>
      <c r="BU26" s="76"/>
      <c r="BV26" s="77"/>
      <c r="BW26" s="76"/>
      <c r="BX26" s="76"/>
      <c r="BY26" s="76"/>
      <c r="BZ26" s="76"/>
      <c r="CA26" s="76"/>
      <c r="CB26" s="77"/>
      <c r="CC26" s="76"/>
      <c r="CD26" s="77"/>
      <c r="CE26" s="76"/>
      <c r="CF26" s="76"/>
      <c r="CG26" s="76"/>
      <c r="CH26" s="76"/>
      <c r="CI26" s="76"/>
      <c r="CJ26" s="77"/>
      <c r="CK26" s="76"/>
      <c r="CL26" s="77"/>
      <c r="CM26" s="76"/>
      <c r="CN26" s="76"/>
      <c r="CO26" s="76"/>
      <c r="CP26" s="76"/>
      <c r="CQ26" s="76"/>
      <c r="CR26" s="78" t="str">
        <f t="shared" si="15"/>
        <v/>
      </c>
      <c r="CS26" s="79" t="str">
        <f t="shared" si="16"/>
        <v/>
      </c>
      <c r="CT26" s="79" t="str">
        <f t="shared" si="17"/>
        <v/>
      </c>
      <c r="CU26" s="79" t="str">
        <f t="shared" si="18"/>
        <v/>
      </c>
      <c r="CV26" s="79" t="str">
        <f t="shared" si="19"/>
        <v/>
      </c>
      <c r="CW26" s="79" t="str">
        <f t="shared" si="20"/>
        <v/>
      </c>
      <c r="CX26" s="79" t="str">
        <f t="shared" si="21"/>
        <v/>
      </c>
      <c r="CY26" s="79" t="str">
        <f t="shared" si="22"/>
        <v/>
      </c>
      <c r="CZ26" s="79" t="str">
        <f t="shared" si="23"/>
        <v/>
      </c>
      <c r="DA26" s="79" t="str">
        <f t="shared" si="24"/>
        <v/>
      </c>
      <c r="DB26" s="79" t="str">
        <f t="shared" si="25"/>
        <v/>
      </c>
      <c r="DC26" s="79" t="str">
        <f t="shared" si="26"/>
        <v/>
      </c>
      <c r="DD26" s="79" t="str">
        <f t="shared" si="27"/>
        <v/>
      </c>
      <c r="DE26" s="79" t="str">
        <f t="shared" si="28"/>
        <v/>
      </c>
      <c r="DF26" s="79" t="str">
        <f t="shared" si="29"/>
        <v/>
      </c>
      <c r="DG26" s="79" t="str">
        <f t="shared" si="30"/>
        <v/>
      </c>
      <c r="DH26" s="76"/>
      <c r="DI26" s="78"/>
      <c r="DJ26" s="76"/>
      <c r="DK26" s="77"/>
      <c r="DL26" s="77"/>
      <c r="DM26" s="77"/>
      <c r="DN26" s="80"/>
      <c r="DO26" s="80"/>
      <c r="DP26" s="92" t="str">
        <f>IF(Table1[Start Date]="","",IF(Table1[Start Date]&gt;42185,"",IF(AND(Table1[Leaving Date]&gt;1,Table1[Leaving Date]&lt;42095),"",1)))</f>
        <v/>
      </c>
      <c r="DQ26" s="92" t="str">
        <f>IF(Table1[Start Date]="","",IF(Table1[Start Date]&gt;42277,"",IF(AND(Table1[Leaving Date]&gt;1,Table1[Leaving Date]&lt;42186),"",1)))</f>
        <v/>
      </c>
      <c r="DR26" s="92" t="str">
        <f>IF(Table1[Start Date]="","",IF(Table1[Start Date]&gt;42369,"",IF(AND(Table1[Leaving Date]&gt;1,Table1[Leaving Date]&lt;42278),"",1)))</f>
        <v/>
      </c>
      <c r="DS26" s="92" t="str">
        <f>IF(Table1[Start Date]="","",IF(Table1[Start Date]&gt;42460,"",IF(AND(Table1[Leaving Date]&gt;1,Table1[Leaving Date]&lt;42370),"",1)))</f>
        <v/>
      </c>
      <c r="DT26" s="92" t="str">
        <f>IF(Table1[Start Date]="","",IF(Table1[Start Date]&gt;42551,"",IF(AND(Table1[Leaving Date]&gt;1,Table1[Leaving Date]&lt;42461),"",1)))</f>
        <v/>
      </c>
      <c r="DU26" s="92" t="str">
        <f>IF(Table1[Start Date]="","",IF(Table1[Start Date]&gt;42643,"",IF(AND(Table1[Leaving Date]&gt;1,Table1[Leaving Date]&lt;42552),"",1)))</f>
        <v/>
      </c>
      <c r="DV26" s="92" t="str">
        <f>IF(Table1[Start Date]="","",IF(Table1[Start Date]&gt;42735,"",IF(AND(Table1[Leaving Date]&gt;1,Table1[Leaving Date]&lt;42644),"",1)))</f>
        <v/>
      </c>
      <c r="DW26" s="92" t="str">
        <f>IF(Table1[Start Date]="","",IF(Table1[Start Date]&gt;42825,"",IF(AND(Table1[Leaving Date]&gt;1,Table1[Leaving Date]&lt;42736),"",1)))</f>
        <v/>
      </c>
      <c r="DX26"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26" s="44" t="e">
        <f>VLOOKUP(Table1[Referral Source],Lists!$G$2:$H$20,2,FALSE)</f>
        <v>#N/A</v>
      </c>
      <c r="DZ26" s="93" t="e">
        <f>SUM(Table1[Data Referral Quarter]+Table1[Data Referral Source])</f>
        <v>#N/A</v>
      </c>
      <c r="EA26" s="44" t="b">
        <f>IF(Table1[Referral Decision]="Accepted",100,IF(Table1[Referral Decision]="Rejected by Provider",200,IF(Table1[Referral Decision]="Rejected by Applicant",300)))</f>
        <v>0</v>
      </c>
      <c r="EB26" s="44">
        <f>SUM(Table1[Data Referral Quarter]+Table1[Data Referral Decision])</f>
        <v>0</v>
      </c>
      <c r="EC26" s="44" t="b">
        <f>IF(Table1[Start Date]&gt;42735,8000,IF(Table1[Start Date]&gt;42643,7000,IF(Table1[Start Date]&gt;42551,6000,IF(Table1[Start Date]&gt;42460,5000,IF(Table1[Start Date]&gt;42369,4000,IF(Table1[Start Date]&gt;42277,3000,IF(Table1[Start Date]&gt;42185,2000,IF(Table1[Start Date]&gt;42094,1000))))))))</f>
        <v>0</v>
      </c>
      <c r="ED26" s="44" t="str">
        <f>IF(Table1[Start Date]="","",IF(Table1[Current Local Authority]="Swindon",1,"2"))</f>
        <v/>
      </c>
      <c r="EE26" s="44" t="e">
        <f>SUM(Table1[Data Start Date]+Table1[Data Local Authority])</f>
        <v>#VALUE!</v>
      </c>
      <c r="EF26" s="44">
        <f>IF(Table1[Registered with GP]="Yes",1,0)</f>
        <v>0</v>
      </c>
      <c r="EG26" s="44">
        <f>SUM(Table1[Data Start Date]+Table1[Data GP Start])</f>
        <v>0</v>
      </c>
      <c r="EH26" s="44" t="str">
        <f>IF(Table1[EET]="NEET",1,IF(Table1[EET]="Education",2,IF(Table1[EET]="Employment",2,IF(Table1[EET]="Training",2,IF(Table1[EET]="Retired",3,"")))))</f>
        <v/>
      </c>
      <c r="EI26" s="44" t="e">
        <f>Table1[Data Start Date]+Table1[Data EET Start]</f>
        <v>#VALUE!</v>
      </c>
      <c r="EJ26" s="44" t="b">
        <f>IF(Table1[Leaving Date]&gt;42735,8000,IF(Table1[Leaving Date]&gt;42643,7000,IF(Table1[Leaving Date]&gt;42551,6000,IF(Table1[Leaving Date]&gt;42460,5000,IF(Table1[Leaving Date]&gt;42369,4000,IF(Table1[Leaving Date]&gt;42277,3000,IF(Table1[Leaving Date]&gt;42185,2000,IF(Table1[Leaving Date]&gt;42094,1000))))))))</f>
        <v>0</v>
      </c>
      <c r="EK26" s="44" t="e">
        <f>VLOOKUP(Table1[Reason for Leaving],Lists!$T$2:$U$15,2,FALSE)</f>
        <v>#N/A</v>
      </c>
      <c r="EL26" s="44" t="e">
        <f>SUM(Table1[Data Leavers Date]+Table1[Data Move On])</f>
        <v>#N/A</v>
      </c>
      <c r="EM26" s="44" t="b">
        <f>IF(Table1[Registered with GP2]="Yes",1,IF(Table1[Registered with GP2]="No",0,IF(Table1[Registered with GP]="Yes",1,IF(Table1[Registered with GP]="No",0))))</f>
        <v>0</v>
      </c>
      <c r="EN26" s="44">
        <f>SUM(Table1[Data Leavers Date]+Table1[Data GP End])</f>
        <v>0</v>
      </c>
      <c r="EO26" s="44" t="str">
        <f>IF(Table1[EET2]="NEET",1,IF(Table1[EET2]="Employment",2,IF(Table1[EET2]="Education",2,IF(Table1[EET2]="Training",2,IF(Table1[EET2]="Retired",3,IF(Table1[EET]="NEET",1,IF(Table1[EET]="Employment",2,IF(Table1[EET]="Education",2,IF(Table1[EET]="Training",2,IF(Table1[EET]="Retired",3,""))))))))))</f>
        <v/>
      </c>
      <c r="EP26" s="44" t="e">
        <f>+Table1[[#This Row],[Data Leavers Date]]+Table1[[#This Row],[Data EET End]]</f>
        <v>#VALUE!</v>
      </c>
      <c r="EQ26" s="44">
        <f>IF(Table1[Exit Form Received]="Yes",1,0)</f>
        <v>0</v>
      </c>
      <c r="ER26" s="44">
        <f>+Table1[[#This Row],[Data Leavers Date]]+Table1[[#This Row],[Data Exit Forms]]</f>
        <v>0</v>
      </c>
      <c r="ES26" s="44" t="str">
        <f>IF(Table1[Data Leavers Date]=1000,SUM(Table1[Leaving Date]-Table1[Start Date]),"")</f>
        <v/>
      </c>
      <c r="ET26" s="44" t="str">
        <f>IF(Table1[Data Leavers Date]=2000,SUM(Table1[Leaving Date]-Table1[Start Date]),"")</f>
        <v/>
      </c>
      <c r="EU26" s="44" t="str">
        <f>IF(Table1[Data Leavers Date]=3000,SUM(Table1[Leaving Date]-Table1[Start Date]),"")</f>
        <v/>
      </c>
      <c r="EV26" s="44" t="str">
        <f>IF(Table1[Data Leavers Date]=4000,SUM(Table1[Leaving Date]-Table1[Start Date]),"")</f>
        <v/>
      </c>
      <c r="EW26" s="44" t="str">
        <f>IF(Table1[Data Leavers Date]=5000,SUM(Table1[Leaving Date]-Table1[Start Date]),"")</f>
        <v/>
      </c>
      <c r="EX26" s="44" t="str">
        <f>IF(Table1[Data Leavers Date]=6000,SUM(Table1[Leaving Date]-Table1[Start Date]),"")</f>
        <v/>
      </c>
      <c r="EY26" s="44" t="str">
        <f>IF(Table1[Data Leavers Date]=7000,SUM(Table1[Leaving Date]-Table1[Start Date]),"")</f>
        <v/>
      </c>
      <c r="EZ26" s="44" t="str">
        <f>IF(Table1[Data Leavers Date]=8000,SUM(Table1[Leaving Date]-Table1[Start Date]),"")</f>
        <v/>
      </c>
      <c r="FA26" s="44" t="str">
        <f>IF(Table1[Date of Initial Assessment]="","",IF(AND(Table1[Start Date]&gt;42094,Table1[Start Date]&lt;42461),Table1[Motivation and Taking Responsibility],""))</f>
        <v/>
      </c>
      <c r="FB26" s="44" t="str">
        <f>IF(Table1[Date of Initial Assessment]="","",IF(AND(Table1[Start Date]&gt;42094,Table1[Start Date]&lt;42461),Table1[Self-Care and Living Skills],""))</f>
        <v/>
      </c>
      <c r="FC26" s="44" t="str">
        <f>IF(Table1[Date of Initial Assessment]="","",IF(AND(Table1[Start Date]&gt;42094,Table1[Start Date]&lt;42461),Table1[Managing Money and Personal Administration],""))</f>
        <v/>
      </c>
      <c r="FD26" s="44" t="str">
        <f>IF(Table1[Date of Initial Assessment]="","",IF(AND(Table1[Start Date]&gt;42094,Table1[Start Date]&lt;42461),Table1[Social Networks and Relationships],""))</f>
        <v/>
      </c>
      <c r="FE26" s="44" t="str">
        <f>IF(Table1[Date of Initial Assessment]="","",IF(AND(Table1[Start Date]&gt;42094,Table1[Start Date]&lt;42461),Table1[Drug and Alcohol Misuse],""))</f>
        <v/>
      </c>
      <c r="FF26" s="44" t="str">
        <f>IF(Table1[Date of Initial Assessment]="","",IF(AND(Table1[Start Date]&gt;42094,Table1[Start Date]&lt;42461),Table1[Physical Health],""))</f>
        <v/>
      </c>
      <c r="FG26" s="44" t="str">
        <f>IF(Table1[Date of Initial Assessment]="","",IF(AND(Table1[Start Date]&gt;42094,Table1[Start Date]&lt;42461),Table1[Emotional and Mental Health],""))</f>
        <v/>
      </c>
      <c r="FH26" s="44" t="str">
        <f>IF(Table1[Date of Initial Assessment]="","",IF(AND(Table1[Start Date]&gt;42094,Table1[Start Date]&lt;42461),Table1[Meaningful Use of Time],""))</f>
        <v/>
      </c>
      <c r="FI26" s="44" t="str">
        <f>IF(Table1[Date of Initial Assessment]="","",IF(AND(Table1[Start Date]&gt;42094,Table1[Start Date]&lt;42461),Table1[Managing Tenancy and Accommodation],""))</f>
        <v/>
      </c>
      <c r="FJ26" s="44" t="str">
        <f>IF(Table1[Date of Initial Assessment]="","",IF(AND(Table1[Start Date]&gt;42094,Table1[Start Date]&lt;42461),Table1[Offending],""))</f>
        <v/>
      </c>
      <c r="FK26" s="44" t="str">
        <f>IF(Table1[Leaving Date]="","",IF(Table1[Date of Initial Assessment]="","",IF(AND(Table1[Leaving Date]&gt;42094,Table1[Leaving Date]&lt;42461),IF(Table1[Date of Last Assessment]="",Table1[Motivation and Taking Responsibility],Table1[Motivation and Taking Responsibility2]),"")))</f>
        <v/>
      </c>
      <c r="FL26" s="44" t="str">
        <f>IF(Table1[Leaving Date]="","",IF(Table1[Date of Initial Assessment]="","",IF(AND(Table1[Leaving Date]&gt;42094,Table1[Leaving Date]&lt;42461),IF(Table1[Date of Last Assessment]="",Table1[Self-Care and Living Skills],Table1[Self-Care and Living Skills2]),"")))</f>
        <v/>
      </c>
      <c r="FM26" s="44" t="str">
        <f>IF(Table1[Leaving Date]="","",IF(Table1[Date of Initial Assessment]="","",IF(AND(Table1[Leaving Date]&gt;42094,Table1[Leaving Date]&lt;42461),IF(Table1[Date of Last Assessment]="",Table1[Managing Money and Personal Administration],Table1[Managing Money and Personal Administration2]),"")))</f>
        <v/>
      </c>
      <c r="FN26" s="44" t="str">
        <f>IF(Table1[Leaving Date]="","",IF(Table1[Date of Initial Assessment]="","",IF(AND(Table1[Leaving Date]&gt;42094,Table1[Leaving Date]&lt;42461),IF(Table1[Date of Last Assessment]="",Table1[Social Networks and Relationships],Table1[Social Networks and Relationships2]),"")))</f>
        <v/>
      </c>
      <c r="FO26" s="44" t="str">
        <f>IF(Table1[Leaving Date]="","",IF(Table1[Date of Initial Assessment]="","",IF(AND(Table1[Leaving Date]&gt;42094,Table1[Leaving Date]&lt;42461),IF(Table1[Date of Last Assessment]="",Table1[Drug and Alcohol Misuse],Table1[Drug and Alcohol Misuse2]),"")))</f>
        <v/>
      </c>
      <c r="FP26" s="44" t="str">
        <f>IF(Table1[Leaving Date]="","",IF(Table1[Date of Initial Assessment]="","",IF(AND(Table1[Leaving Date]&gt;42094,Table1[Leaving Date]&lt;42461),IF(Table1[Date of Last Assessment]="",Table1[Physical Health],Table1[Physical Health2]),"")))</f>
        <v/>
      </c>
      <c r="FQ26" s="44" t="str">
        <f>IF(Table1[Leaving Date]="","",IF(Table1[Date of Initial Assessment]="","",IF(AND(Table1[Leaving Date]&gt;42094,Table1[Leaving Date]&lt;42461),IF(Table1[Date of Last Assessment]="",Table1[Emotional and Mental Health],Table1[Emotional and Mental Health2]),"")))</f>
        <v/>
      </c>
      <c r="FR26" s="44" t="str">
        <f>IF(Table1[Leaving Date]="","",IF(Table1[Date of Initial Assessment]="","",IF(AND(Table1[Leaving Date]&gt;42094,Table1[Leaving Date]&lt;42461),IF(Table1[Date of Last Assessment]="",Table1[Meaningful Use of Time],Table1[Meaningful Use of Time2]),"")))</f>
        <v/>
      </c>
      <c r="FS26" s="44" t="str">
        <f>IF(Table1[Leaving Date]="","",IF(Table1[Date of Initial Assessment]="","",IF(AND(Table1[Leaving Date]&gt;42094,Table1[Leaving Date]&lt;42461),IF(Table1[Date of Last Assessment]="",Table1[Managing Tenancy and Accommodation],Table1[Managing Tenancy and Accommodation2]),"")))</f>
        <v/>
      </c>
      <c r="FT26" s="44" t="str">
        <f>IF(Table1[Leaving Date]="","",IF(Table1[Date of Initial Assessment]="","",IF(AND(Table1[Leaving Date]&gt;42094,Table1[Leaving Date]&lt;42461),IF(Table1[Date of Last Assessment]="",Table1[Offending],Table1[Offending2]),"")))</f>
        <v/>
      </c>
      <c r="FU26" s="44" t="str">
        <f>IF(Table1[Date of Initial Assessment]="","",IF(AND(Table1[Start Date]&gt;42460,Table1[Start Date]&lt;42826),Table1[Motivation and Taking Responsibility],""))</f>
        <v/>
      </c>
      <c r="FV26" s="44" t="str">
        <f>IF(Table1[Date of Initial Assessment]="","",IF(AND(Table1[Start Date]&gt;42460,Table1[Start Date]&lt;42826),Table1[Self-Care and Living Skills],""))</f>
        <v/>
      </c>
      <c r="FW26" s="44" t="str">
        <f>IF(Table1[Date of Initial Assessment]="","",IF(AND(Table1[Start Date]&gt;42460,Table1[Start Date]&lt;42826),Table1[Managing Money and Personal Administration],""))</f>
        <v/>
      </c>
      <c r="FX26" s="44" t="str">
        <f>IF(Table1[Date of Initial Assessment]="","",IF(AND(Table1[Start Date]&gt;42460,Table1[Start Date]&lt;42826),Table1[Social Networks and Relationships],""))</f>
        <v/>
      </c>
      <c r="FY26" s="44" t="str">
        <f>IF(Table1[Date of Initial Assessment]="","",IF(AND(Table1[Start Date]&gt;42460,Table1[Start Date]&lt;42826),Table1[Drug and Alcohol Misuse],""))</f>
        <v/>
      </c>
      <c r="FZ26" s="44" t="str">
        <f>IF(Table1[Date of Initial Assessment]="","",IF(AND(Table1[Start Date]&gt;42460,Table1[Start Date]&lt;42826),Table1[Physical Health],""))</f>
        <v/>
      </c>
      <c r="GA26" s="44" t="str">
        <f>IF(Table1[Date of Initial Assessment]="","",IF(AND(Table1[Start Date]&gt;42460,Table1[Start Date]&lt;42826),Table1[Emotional and Mental Health],""))</f>
        <v/>
      </c>
      <c r="GB26" s="44" t="str">
        <f>IF(Table1[Date of Initial Assessment]="","",IF(AND(Table1[Start Date]&gt;42460,Table1[Start Date]&lt;42826),Table1[Meaningful Use of Time],""))</f>
        <v/>
      </c>
      <c r="GC26" s="44" t="str">
        <f>IF(Table1[Date of Initial Assessment]="","",IF(AND(Table1[Start Date]&gt;42460,Table1[Start Date]&lt;42826),Table1[Managing Tenancy and Accommodation],""))</f>
        <v/>
      </c>
      <c r="GD26" s="44" t="str">
        <f>IF(Table1[Date of Initial Assessment]="","",IF(AND(Table1[Start Date]&gt;42460,Table1[Start Date]&lt;42826),Table1[Offending],""))</f>
        <v/>
      </c>
      <c r="GE26" s="44" t="str">
        <f>IF(Table1[Leaving Date]="","",IF(AND(Table1[Leaving Date]&gt;42460,Table1[Leaving Date]&lt;42826),IF(Table1[Date of Last Assessment]="",Table1[Motivation and Taking Responsibility],Table1[Motivation and Taking Responsibility2]),""))</f>
        <v/>
      </c>
      <c r="GF26" s="44" t="str">
        <f>IF(Table1[Leaving Date]="","",IF(AND(Table1[Leaving Date]&gt;42460,Table1[Leaving Date]&lt;42826),IF(Table1[Date of Last Assessment]="",Table1[Self-Care and Living Skills],Table1[Self-Care and Living Skills2]),""))</f>
        <v/>
      </c>
      <c r="GG26" s="44" t="str">
        <f>IF(Table1[Leaving Date]="","",IF(AND(Table1[Leaving Date]&gt;42460,Table1[Leaving Date]&lt;42826),IF(Table1[Date of Last Assessment]="",Table1[Managing Money and Personal Administration],Table1[Managing Money and Personal Administration2]),""))</f>
        <v/>
      </c>
      <c r="GH26" s="44" t="str">
        <f>IF(Table1[Leaving Date]="","",IF(AND(Table1[Leaving Date]&gt;42460,Table1[Leaving Date]&lt;42826),IF(Table1[Date of Last Assessment]="",Table1[Social Networks and Relationships],Table1[Social Networks and Relationships2]),""))</f>
        <v/>
      </c>
      <c r="GI26" s="44" t="str">
        <f>IF(Table1[Leaving Date]="","",IF(AND(Table1[Leaving Date]&gt;42460,Table1[Leaving Date]&lt;42826),IF(Table1[Date of Last Assessment]="",Table1[Drug and Alcohol Misuse],Table1[Drug and Alcohol Misuse2]),""))</f>
        <v/>
      </c>
      <c r="GJ26" s="44" t="str">
        <f>IF(Table1[Leaving Date]="","",IF(AND(Table1[Leaving Date]&gt;42460,Table1[Leaving Date]&lt;42826),IF(Table1[Date of Last Assessment]="",Table1[Physical Health],Table1[Physical Health2]),""))</f>
        <v/>
      </c>
      <c r="GK26" s="44" t="str">
        <f>IF(Table1[Leaving Date]="","",IF(AND(Table1[Leaving Date]&gt;42460,Table1[Leaving Date]&lt;42826),IF(Table1[Date of Last Assessment]="",Table1[Emotional and Mental Health],Table1[Emotional and Mental Health2]),""))</f>
        <v/>
      </c>
      <c r="GL26" s="44" t="str">
        <f>IF(Table1[Leaving Date]="","",IF(AND(Table1[Leaving Date]&gt;42460,Table1[Leaving Date]&lt;42826),IF(Table1[Date of Last Assessment]="",Table1[Meaningful Use of Time],Table1[Meaningful Use of Time2]),""))</f>
        <v/>
      </c>
      <c r="GM26" s="44" t="str">
        <f>IF(Table1[Leaving Date]="","",IF(AND(Table1[Leaving Date]&gt;42460,Table1[Leaving Date]&lt;42826),IF(Table1[Date of Last Assessment]="",Table1[Managing Tenancy and Accommodation],Table1[Managing Tenancy and Accommodation2]),""))</f>
        <v/>
      </c>
      <c r="GN26" s="44" t="str">
        <f>IF(Table1[Leaving Date]="","",IF(AND(Table1[Leaving Date]&gt;42460,Table1[Leaving Date]&lt;42826),IF(Table1[Date of Last Assessment]="",Table1[Offending],Table1[Offending2]),""))</f>
        <v/>
      </c>
    </row>
    <row r="27" spans="2:196" ht="20.100000000000001" customHeight="1" x14ac:dyDescent="0.2">
      <c r="B27" s="86">
        <f>+'Service Data'!$C$5:$C$5</f>
        <v>0</v>
      </c>
      <c r="C27" s="86"/>
      <c r="D27" s="86"/>
      <c r="E27" s="86"/>
      <c r="F27" s="86"/>
      <c r="G27" s="86"/>
      <c r="H27" s="6"/>
      <c r="I27" s="99" t="str">
        <f ca="1">IF(Table1[[#This Row],[Date of Birth]]="","",SUM(TODAY()-Table1[[#This Row],[Date of Birth]])/365)</f>
        <v/>
      </c>
      <c r="L27" s="86"/>
      <c r="M27" s="77"/>
      <c r="N27" s="86"/>
      <c r="O27" s="86"/>
      <c r="P27" s="91"/>
      <c r="Q27" s="86"/>
      <c r="R27" s="77"/>
      <c r="S27" s="77"/>
      <c r="T27" s="68"/>
      <c r="U27" s="68"/>
      <c r="V27" s="67"/>
      <c r="W27" s="67"/>
      <c r="X27" s="67"/>
      <c r="Y27" s="67"/>
      <c r="Z27" s="67"/>
      <c r="AA27" s="67"/>
      <c r="AB27" s="67"/>
      <c r="AC27" s="67"/>
      <c r="AD27" s="67"/>
      <c r="AE27" s="67"/>
      <c r="AF27" s="67"/>
      <c r="AG27" s="67"/>
      <c r="AH27" s="67"/>
      <c r="AI27" s="67"/>
      <c r="AJ27" s="67"/>
      <c r="AK27" s="67"/>
      <c r="AL27" s="67"/>
      <c r="AM27" s="67"/>
      <c r="AN27" s="77"/>
      <c r="AO27" s="76"/>
      <c r="AP27" s="77"/>
      <c r="AQ27" s="76"/>
      <c r="AR27" s="76"/>
      <c r="AS27" s="76"/>
      <c r="AT27" s="76"/>
      <c r="AU27" s="76"/>
      <c r="AV27" s="77"/>
      <c r="AW27" s="76"/>
      <c r="AX27" s="77"/>
      <c r="AY27" s="76"/>
      <c r="AZ27" s="76"/>
      <c r="BA27" s="76"/>
      <c r="BB27" s="76"/>
      <c r="BC27" s="76"/>
      <c r="BD27" s="77"/>
      <c r="BE27" s="76"/>
      <c r="BF27" s="77"/>
      <c r="BG27" s="76"/>
      <c r="BH27" s="76"/>
      <c r="BI27" s="76"/>
      <c r="BJ27" s="76"/>
      <c r="BK27" s="76"/>
      <c r="BL27" s="77"/>
      <c r="BM27" s="76"/>
      <c r="BN27" s="77"/>
      <c r="BO27" s="76"/>
      <c r="BP27" s="76"/>
      <c r="BQ27" s="76"/>
      <c r="BR27" s="76"/>
      <c r="BS27" s="76"/>
      <c r="BT27" s="77"/>
      <c r="BU27" s="76"/>
      <c r="BV27" s="77"/>
      <c r="BW27" s="76"/>
      <c r="BX27" s="76"/>
      <c r="BY27" s="76"/>
      <c r="BZ27" s="76"/>
      <c r="CA27" s="76"/>
      <c r="CB27" s="77"/>
      <c r="CC27" s="76"/>
      <c r="CD27" s="77"/>
      <c r="CE27" s="76"/>
      <c r="CF27" s="76"/>
      <c r="CG27" s="76"/>
      <c r="CH27" s="76"/>
      <c r="CI27" s="76"/>
      <c r="CJ27" s="77"/>
      <c r="CK27" s="76"/>
      <c r="CL27" s="77"/>
      <c r="CM27" s="76"/>
      <c r="CN27" s="76"/>
      <c r="CO27" s="76"/>
      <c r="CP27" s="76"/>
      <c r="CQ27" s="76"/>
      <c r="CR27" s="78" t="str">
        <f t="shared" si="15"/>
        <v/>
      </c>
      <c r="CS27" s="79" t="str">
        <f t="shared" si="16"/>
        <v/>
      </c>
      <c r="CT27" s="79" t="str">
        <f t="shared" si="17"/>
        <v/>
      </c>
      <c r="CU27" s="79" t="str">
        <f t="shared" si="18"/>
        <v/>
      </c>
      <c r="CV27" s="79" t="str">
        <f t="shared" si="19"/>
        <v/>
      </c>
      <c r="CW27" s="79" t="str">
        <f t="shared" si="20"/>
        <v/>
      </c>
      <c r="CX27" s="79" t="str">
        <f t="shared" si="21"/>
        <v/>
      </c>
      <c r="CY27" s="79" t="str">
        <f t="shared" si="22"/>
        <v/>
      </c>
      <c r="CZ27" s="79" t="str">
        <f t="shared" si="23"/>
        <v/>
      </c>
      <c r="DA27" s="79" t="str">
        <f t="shared" si="24"/>
        <v/>
      </c>
      <c r="DB27" s="79" t="str">
        <f t="shared" si="25"/>
        <v/>
      </c>
      <c r="DC27" s="79" t="str">
        <f t="shared" si="26"/>
        <v/>
      </c>
      <c r="DD27" s="79" t="str">
        <f t="shared" si="27"/>
        <v/>
      </c>
      <c r="DE27" s="79" t="str">
        <f t="shared" si="28"/>
        <v/>
      </c>
      <c r="DF27" s="79" t="str">
        <f t="shared" si="29"/>
        <v/>
      </c>
      <c r="DG27" s="79" t="str">
        <f t="shared" si="30"/>
        <v/>
      </c>
      <c r="DH27" s="76"/>
      <c r="DI27" s="78"/>
      <c r="DJ27" s="76"/>
      <c r="DK27" s="77"/>
      <c r="DL27" s="77"/>
      <c r="DM27" s="77"/>
      <c r="DN27" s="80"/>
      <c r="DO27" s="80"/>
      <c r="DP27" s="92" t="str">
        <f>IF(Table1[Start Date]="","",IF(Table1[Start Date]&gt;42185,"",IF(AND(Table1[Leaving Date]&gt;1,Table1[Leaving Date]&lt;42095),"",1)))</f>
        <v/>
      </c>
      <c r="DQ27" s="92" t="str">
        <f>IF(Table1[Start Date]="","",IF(Table1[Start Date]&gt;42277,"",IF(AND(Table1[Leaving Date]&gt;1,Table1[Leaving Date]&lt;42186),"",1)))</f>
        <v/>
      </c>
      <c r="DR27" s="92" t="str">
        <f>IF(Table1[Start Date]="","",IF(Table1[Start Date]&gt;42369,"",IF(AND(Table1[Leaving Date]&gt;1,Table1[Leaving Date]&lt;42278),"",1)))</f>
        <v/>
      </c>
      <c r="DS27" s="92" t="str">
        <f>IF(Table1[Start Date]="","",IF(Table1[Start Date]&gt;42460,"",IF(AND(Table1[Leaving Date]&gt;1,Table1[Leaving Date]&lt;42370),"",1)))</f>
        <v/>
      </c>
      <c r="DT27" s="92" t="str">
        <f>IF(Table1[Start Date]="","",IF(Table1[Start Date]&gt;42551,"",IF(AND(Table1[Leaving Date]&gt;1,Table1[Leaving Date]&lt;42461),"",1)))</f>
        <v/>
      </c>
      <c r="DU27" s="92" t="str">
        <f>IF(Table1[Start Date]="","",IF(Table1[Start Date]&gt;42643,"",IF(AND(Table1[Leaving Date]&gt;1,Table1[Leaving Date]&lt;42552),"",1)))</f>
        <v/>
      </c>
      <c r="DV27" s="92" t="str">
        <f>IF(Table1[Start Date]="","",IF(Table1[Start Date]&gt;42735,"",IF(AND(Table1[Leaving Date]&gt;1,Table1[Leaving Date]&lt;42644),"",1)))</f>
        <v/>
      </c>
      <c r="DW27" s="92" t="str">
        <f>IF(Table1[Start Date]="","",IF(Table1[Start Date]&gt;42825,"",IF(AND(Table1[Leaving Date]&gt;1,Table1[Leaving Date]&lt;42736),"",1)))</f>
        <v/>
      </c>
      <c r="DX27"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27" s="44" t="e">
        <f>VLOOKUP(Table1[Referral Source],Lists!$G$2:$H$20,2,FALSE)</f>
        <v>#N/A</v>
      </c>
      <c r="DZ27" s="93" t="e">
        <f>SUM(Table1[Data Referral Quarter]+Table1[Data Referral Source])</f>
        <v>#N/A</v>
      </c>
      <c r="EA27" s="44" t="b">
        <f>IF(Table1[Referral Decision]="Accepted",100,IF(Table1[Referral Decision]="Rejected by Provider",200,IF(Table1[Referral Decision]="Rejected by Applicant",300)))</f>
        <v>0</v>
      </c>
      <c r="EB27" s="44">
        <f>SUM(Table1[Data Referral Quarter]+Table1[Data Referral Decision])</f>
        <v>0</v>
      </c>
      <c r="EC27" s="44" t="b">
        <f>IF(Table1[Start Date]&gt;42735,8000,IF(Table1[Start Date]&gt;42643,7000,IF(Table1[Start Date]&gt;42551,6000,IF(Table1[Start Date]&gt;42460,5000,IF(Table1[Start Date]&gt;42369,4000,IF(Table1[Start Date]&gt;42277,3000,IF(Table1[Start Date]&gt;42185,2000,IF(Table1[Start Date]&gt;42094,1000))))))))</f>
        <v>0</v>
      </c>
      <c r="ED27" s="44" t="str">
        <f>IF(Table1[Start Date]="","",IF(Table1[Current Local Authority]="Swindon",1,"2"))</f>
        <v/>
      </c>
      <c r="EE27" s="44" t="e">
        <f>SUM(Table1[Data Start Date]+Table1[Data Local Authority])</f>
        <v>#VALUE!</v>
      </c>
      <c r="EF27" s="44">
        <f>IF(Table1[Registered with GP]="Yes",1,0)</f>
        <v>0</v>
      </c>
      <c r="EG27" s="44">
        <f>SUM(Table1[Data Start Date]+Table1[Data GP Start])</f>
        <v>0</v>
      </c>
      <c r="EH27" s="44" t="str">
        <f>IF(Table1[EET]="NEET",1,IF(Table1[EET]="Education",2,IF(Table1[EET]="Employment",2,IF(Table1[EET]="Training",2,IF(Table1[EET]="Retired",3,"")))))</f>
        <v/>
      </c>
      <c r="EI27" s="44" t="e">
        <f>Table1[Data Start Date]+Table1[Data EET Start]</f>
        <v>#VALUE!</v>
      </c>
      <c r="EJ27" s="44" t="b">
        <f>IF(Table1[Leaving Date]&gt;42735,8000,IF(Table1[Leaving Date]&gt;42643,7000,IF(Table1[Leaving Date]&gt;42551,6000,IF(Table1[Leaving Date]&gt;42460,5000,IF(Table1[Leaving Date]&gt;42369,4000,IF(Table1[Leaving Date]&gt;42277,3000,IF(Table1[Leaving Date]&gt;42185,2000,IF(Table1[Leaving Date]&gt;42094,1000))))))))</f>
        <v>0</v>
      </c>
      <c r="EK27" s="44" t="e">
        <f>VLOOKUP(Table1[Reason for Leaving],Lists!$T$2:$U$15,2,FALSE)</f>
        <v>#N/A</v>
      </c>
      <c r="EL27" s="44" t="e">
        <f>SUM(Table1[Data Leavers Date]+Table1[Data Move On])</f>
        <v>#N/A</v>
      </c>
      <c r="EM27" s="44" t="b">
        <f>IF(Table1[Registered with GP2]="Yes",1,IF(Table1[Registered with GP2]="No",0,IF(Table1[Registered with GP]="Yes",1,IF(Table1[Registered with GP]="No",0))))</f>
        <v>0</v>
      </c>
      <c r="EN27" s="44">
        <f>SUM(Table1[Data Leavers Date]+Table1[Data GP End])</f>
        <v>0</v>
      </c>
      <c r="EO27" s="44" t="str">
        <f>IF(Table1[EET2]="NEET",1,IF(Table1[EET2]="Employment",2,IF(Table1[EET2]="Education",2,IF(Table1[EET2]="Training",2,IF(Table1[EET2]="Retired",3,IF(Table1[EET]="NEET",1,IF(Table1[EET]="Employment",2,IF(Table1[EET]="Education",2,IF(Table1[EET]="Training",2,IF(Table1[EET]="Retired",3,""))))))))))</f>
        <v/>
      </c>
      <c r="EP27" s="44" t="e">
        <f>+Table1[[#This Row],[Data Leavers Date]]+Table1[[#This Row],[Data EET End]]</f>
        <v>#VALUE!</v>
      </c>
      <c r="EQ27" s="44">
        <f>IF(Table1[Exit Form Received]="Yes",1,0)</f>
        <v>0</v>
      </c>
      <c r="ER27" s="44">
        <f>+Table1[[#This Row],[Data Leavers Date]]+Table1[[#This Row],[Data Exit Forms]]</f>
        <v>0</v>
      </c>
      <c r="ES27" s="44" t="str">
        <f>IF(Table1[Data Leavers Date]=1000,SUM(Table1[Leaving Date]-Table1[Start Date]),"")</f>
        <v/>
      </c>
      <c r="ET27" s="44" t="str">
        <f>IF(Table1[Data Leavers Date]=2000,SUM(Table1[Leaving Date]-Table1[Start Date]),"")</f>
        <v/>
      </c>
      <c r="EU27" s="44" t="str">
        <f>IF(Table1[Data Leavers Date]=3000,SUM(Table1[Leaving Date]-Table1[Start Date]),"")</f>
        <v/>
      </c>
      <c r="EV27" s="44" t="str">
        <f>IF(Table1[Data Leavers Date]=4000,SUM(Table1[Leaving Date]-Table1[Start Date]),"")</f>
        <v/>
      </c>
      <c r="EW27" s="44" t="str">
        <f>IF(Table1[Data Leavers Date]=5000,SUM(Table1[Leaving Date]-Table1[Start Date]),"")</f>
        <v/>
      </c>
      <c r="EX27" s="44" t="str">
        <f>IF(Table1[Data Leavers Date]=6000,SUM(Table1[Leaving Date]-Table1[Start Date]),"")</f>
        <v/>
      </c>
      <c r="EY27" s="44" t="str">
        <f>IF(Table1[Data Leavers Date]=7000,SUM(Table1[Leaving Date]-Table1[Start Date]),"")</f>
        <v/>
      </c>
      <c r="EZ27" s="44" t="str">
        <f>IF(Table1[Data Leavers Date]=8000,SUM(Table1[Leaving Date]-Table1[Start Date]),"")</f>
        <v/>
      </c>
      <c r="FA27" s="44" t="str">
        <f>IF(Table1[Date of Initial Assessment]="","",IF(AND(Table1[Start Date]&gt;42094,Table1[Start Date]&lt;42461),Table1[Motivation and Taking Responsibility],""))</f>
        <v/>
      </c>
      <c r="FB27" s="44" t="str">
        <f>IF(Table1[Date of Initial Assessment]="","",IF(AND(Table1[Start Date]&gt;42094,Table1[Start Date]&lt;42461),Table1[Self-Care and Living Skills],""))</f>
        <v/>
      </c>
      <c r="FC27" s="44" t="str">
        <f>IF(Table1[Date of Initial Assessment]="","",IF(AND(Table1[Start Date]&gt;42094,Table1[Start Date]&lt;42461),Table1[Managing Money and Personal Administration],""))</f>
        <v/>
      </c>
      <c r="FD27" s="44" t="str">
        <f>IF(Table1[Date of Initial Assessment]="","",IF(AND(Table1[Start Date]&gt;42094,Table1[Start Date]&lt;42461),Table1[Social Networks and Relationships],""))</f>
        <v/>
      </c>
      <c r="FE27" s="44" t="str">
        <f>IF(Table1[Date of Initial Assessment]="","",IF(AND(Table1[Start Date]&gt;42094,Table1[Start Date]&lt;42461),Table1[Drug and Alcohol Misuse],""))</f>
        <v/>
      </c>
      <c r="FF27" s="44" t="str">
        <f>IF(Table1[Date of Initial Assessment]="","",IF(AND(Table1[Start Date]&gt;42094,Table1[Start Date]&lt;42461),Table1[Physical Health],""))</f>
        <v/>
      </c>
      <c r="FG27" s="44" t="str">
        <f>IF(Table1[Date of Initial Assessment]="","",IF(AND(Table1[Start Date]&gt;42094,Table1[Start Date]&lt;42461),Table1[Emotional and Mental Health],""))</f>
        <v/>
      </c>
      <c r="FH27" s="44" t="str">
        <f>IF(Table1[Date of Initial Assessment]="","",IF(AND(Table1[Start Date]&gt;42094,Table1[Start Date]&lt;42461),Table1[Meaningful Use of Time],""))</f>
        <v/>
      </c>
      <c r="FI27" s="44" t="str">
        <f>IF(Table1[Date of Initial Assessment]="","",IF(AND(Table1[Start Date]&gt;42094,Table1[Start Date]&lt;42461),Table1[Managing Tenancy and Accommodation],""))</f>
        <v/>
      </c>
      <c r="FJ27" s="44" t="str">
        <f>IF(Table1[Date of Initial Assessment]="","",IF(AND(Table1[Start Date]&gt;42094,Table1[Start Date]&lt;42461),Table1[Offending],""))</f>
        <v/>
      </c>
      <c r="FK27" s="44" t="str">
        <f>IF(Table1[Leaving Date]="","",IF(Table1[Date of Initial Assessment]="","",IF(AND(Table1[Leaving Date]&gt;42094,Table1[Leaving Date]&lt;42461),IF(Table1[Date of Last Assessment]="",Table1[Motivation and Taking Responsibility],Table1[Motivation and Taking Responsibility2]),"")))</f>
        <v/>
      </c>
      <c r="FL27" s="44" t="str">
        <f>IF(Table1[Leaving Date]="","",IF(Table1[Date of Initial Assessment]="","",IF(AND(Table1[Leaving Date]&gt;42094,Table1[Leaving Date]&lt;42461),IF(Table1[Date of Last Assessment]="",Table1[Self-Care and Living Skills],Table1[Self-Care and Living Skills2]),"")))</f>
        <v/>
      </c>
      <c r="FM27" s="44" t="str">
        <f>IF(Table1[Leaving Date]="","",IF(Table1[Date of Initial Assessment]="","",IF(AND(Table1[Leaving Date]&gt;42094,Table1[Leaving Date]&lt;42461),IF(Table1[Date of Last Assessment]="",Table1[Managing Money and Personal Administration],Table1[Managing Money and Personal Administration2]),"")))</f>
        <v/>
      </c>
      <c r="FN27" s="44" t="str">
        <f>IF(Table1[Leaving Date]="","",IF(Table1[Date of Initial Assessment]="","",IF(AND(Table1[Leaving Date]&gt;42094,Table1[Leaving Date]&lt;42461),IF(Table1[Date of Last Assessment]="",Table1[Social Networks and Relationships],Table1[Social Networks and Relationships2]),"")))</f>
        <v/>
      </c>
      <c r="FO27" s="44" t="str">
        <f>IF(Table1[Leaving Date]="","",IF(Table1[Date of Initial Assessment]="","",IF(AND(Table1[Leaving Date]&gt;42094,Table1[Leaving Date]&lt;42461),IF(Table1[Date of Last Assessment]="",Table1[Drug and Alcohol Misuse],Table1[Drug and Alcohol Misuse2]),"")))</f>
        <v/>
      </c>
      <c r="FP27" s="44" t="str">
        <f>IF(Table1[Leaving Date]="","",IF(Table1[Date of Initial Assessment]="","",IF(AND(Table1[Leaving Date]&gt;42094,Table1[Leaving Date]&lt;42461),IF(Table1[Date of Last Assessment]="",Table1[Physical Health],Table1[Physical Health2]),"")))</f>
        <v/>
      </c>
      <c r="FQ27" s="44" t="str">
        <f>IF(Table1[Leaving Date]="","",IF(Table1[Date of Initial Assessment]="","",IF(AND(Table1[Leaving Date]&gt;42094,Table1[Leaving Date]&lt;42461),IF(Table1[Date of Last Assessment]="",Table1[Emotional and Mental Health],Table1[Emotional and Mental Health2]),"")))</f>
        <v/>
      </c>
      <c r="FR27" s="44" t="str">
        <f>IF(Table1[Leaving Date]="","",IF(Table1[Date of Initial Assessment]="","",IF(AND(Table1[Leaving Date]&gt;42094,Table1[Leaving Date]&lt;42461),IF(Table1[Date of Last Assessment]="",Table1[Meaningful Use of Time],Table1[Meaningful Use of Time2]),"")))</f>
        <v/>
      </c>
      <c r="FS27" s="44" t="str">
        <f>IF(Table1[Leaving Date]="","",IF(Table1[Date of Initial Assessment]="","",IF(AND(Table1[Leaving Date]&gt;42094,Table1[Leaving Date]&lt;42461),IF(Table1[Date of Last Assessment]="",Table1[Managing Tenancy and Accommodation],Table1[Managing Tenancy and Accommodation2]),"")))</f>
        <v/>
      </c>
      <c r="FT27" s="44" t="str">
        <f>IF(Table1[Leaving Date]="","",IF(Table1[Date of Initial Assessment]="","",IF(AND(Table1[Leaving Date]&gt;42094,Table1[Leaving Date]&lt;42461),IF(Table1[Date of Last Assessment]="",Table1[Offending],Table1[Offending2]),"")))</f>
        <v/>
      </c>
      <c r="FU27" s="44" t="str">
        <f>IF(Table1[Date of Initial Assessment]="","",IF(AND(Table1[Start Date]&gt;42460,Table1[Start Date]&lt;42826),Table1[Motivation and Taking Responsibility],""))</f>
        <v/>
      </c>
      <c r="FV27" s="44" t="str">
        <f>IF(Table1[Date of Initial Assessment]="","",IF(AND(Table1[Start Date]&gt;42460,Table1[Start Date]&lt;42826),Table1[Self-Care and Living Skills],""))</f>
        <v/>
      </c>
      <c r="FW27" s="44" t="str">
        <f>IF(Table1[Date of Initial Assessment]="","",IF(AND(Table1[Start Date]&gt;42460,Table1[Start Date]&lt;42826),Table1[Managing Money and Personal Administration],""))</f>
        <v/>
      </c>
      <c r="FX27" s="44" t="str">
        <f>IF(Table1[Date of Initial Assessment]="","",IF(AND(Table1[Start Date]&gt;42460,Table1[Start Date]&lt;42826),Table1[Social Networks and Relationships],""))</f>
        <v/>
      </c>
      <c r="FY27" s="44" t="str">
        <f>IF(Table1[Date of Initial Assessment]="","",IF(AND(Table1[Start Date]&gt;42460,Table1[Start Date]&lt;42826),Table1[Drug and Alcohol Misuse],""))</f>
        <v/>
      </c>
      <c r="FZ27" s="44" t="str">
        <f>IF(Table1[Date of Initial Assessment]="","",IF(AND(Table1[Start Date]&gt;42460,Table1[Start Date]&lt;42826),Table1[Physical Health],""))</f>
        <v/>
      </c>
      <c r="GA27" s="44" t="str">
        <f>IF(Table1[Date of Initial Assessment]="","",IF(AND(Table1[Start Date]&gt;42460,Table1[Start Date]&lt;42826),Table1[Emotional and Mental Health],""))</f>
        <v/>
      </c>
      <c r="GB27" s="44" t="str">
        <f>IF(Table1[Date of Initial Assessment]="","",IF(AND(Table1[Start Date]&gt;42460,Table1[Start Date]&lt;42826),Table1[Meaningful Use of Time],""))</f>
        <v/>
      </c>
      <c r="GC27" s="44" t="str">
        <f>IF(Table1[Date of Initial Assessment]="","",IF(AND(Table1[Start Date]&gt;42460,Table1[Start Date]&lt;42826),Table1[Managing Tenancy and Accommodation],""))</f>
        <v/>
      </c>
      <c r="GD27" s="44" t="str">
        <f>IF(Table1[Date of Initial Assessment]="","",IF(AND(Table1[Start Date]&gt;42460,Table1[Start Date]&lt;42826),Table1[Offending],""))</f>
        <v/>
      </c>
      <c r="GE27" s="44" t="str">
        <f>IF(Table1[Leaving Date]="","",IF(AND(Table1[Leaving Date]&gt;42460,Table1[Leaving Date]&lt;42826),IF(Table1[Date of Last Assessment]="",Table1[Motivation and Taking Responsibility],Table1[Motivation and Taking Responsibility2]),""))</f>
        <v/>
      </c>
      <c r="GF27" s="44" t="str">
        <f>IF(Table1[Leaving Date]="","",IF(AND(Table1[Leaving Date]&gt;42460,Table1[Leaving Date]&lt;42826),IF(Table1[Date of Last Assessment]="",Table1[Self-Care and Living Skills],Table1[Self-Care and Living Skills2]),""))</f>
        <v/>
      </c>
      <c r="GG27" s="44" t="str">
        <f>IF(Table1[Leaving Date]="","",IF(AND(Table1[Leaving Date]&gt;42460,Table1[Leaving Date]&lt;42826),IF(Table1[Date of Last Assessment]="",Table1[Managing Money and Personal Administration],Table1[Managing Money and Personal Administration2]),""))</f>
        <v/>
      </c>
      <c r="GH27" s="44" t="str">
        <f>IF(Table1[Leaving Date]="","",IF(AND(Table1[Leaving Date]&gt;42460,Table1[Leaving Date]&lt;42826),IF(Table1[Date of Last Assessment]="",Table1[Social Networks and Relationships],Table1[Social Networks and Relationships2]),""))</f>
        <v/>
      </c>
      <c r="GI27" s="44" t="str">
        <f>IF(Table1[Leaving Date]="","",IF(AND(Table1[Leaving Date]&gt;42460,Table1[Leaving Date]&lt;42826),IF(Table1[Date of Last Assessment]="",Table1[Drug and Alcohol Misuse],Table1[Drug and Alcohol Misuse2]),""))</f>
        <v/>
      </c>
      <c r="GJ27" s="44" t="str">
        <f>IF(Table1[Leaving Date]="","",IF(AND(Table1[Leaving Date]&gt;42460,Table1[Leaving Date]&lt;42826),IF(Table1[Date of Last Assessment]="",Table1[Physical Health],Table1[Physical Health2]),""))</f>
        <v/>
      </c>
      <c r="GK27" s="44" t="str">
        <f>IF(Table1[Leaving Date]="","",IF(AND(Table1[Leaving Date]&gt;42460,Table1[Leaving Date]&lt;42826),IF(Table1[Date of Last Assessment]="",Table1[Emotional and Mental Health],Table1[Emotional and Mental Health2]),""))</f>
        <v/>
      </c>
      <c r="GL27" s="44" t="str">
        <f>IF(Table1[Leaving Date]="","",IF(AND(Table1[Leaving Date]&gt;42460,Table1[Leaving Date]&lt;42826),IF(Table1[Date of Last Assessment]="",Table1[Meaningful Use of Time],Table1[Meaningful Use of Time2]),""))</f>
        <v/>
      </c>
      <c r="GM27" s="44" t="str">
        <f>IF(Table1[Leaving Date]="","",IF(AND(Table1[Leaving Date]&gt;42460,Table1[Leaving Date]&lt;42826),IF(Table1[Date of Last Assessment]="",Table1[Managing Tenancy and Accommodation],Table1[Managing Tenancy and Accommodation2]),""))</f>
        <v/>
      </c>
      <c r="GN27" s="44" t="str">
        <f>IF(Table1[Leaving Date]="","",IF(AND(Table1[Leaving Date]&gt;42460,Table1[Leaving Date]&lt;42826),IF(Table1[Date of Last Assessment]="",Table1[Offending],Table1[Offending2]),""))</f>
        <v/>
      </c>
    </row>
    <row r="28" spans="2:196" ht="20.100000000000001" customHeight="1" x14ac:dyDescent="0.2">
      <c r="B28" s="86">
        <f>+'Service Data'!$C$5:$C$5</f>
        <v>0</v>
      </c>
      <c r="C28" s="86"/>
      <c r="D28" s="86"/>
      <c r="E28" s="86"/>
      <c r="F28" s="86"/>
      <c r="G28" s="86"/>
      <c r="H28" s="6"/>
      <c r="I28" s="99" t="str">
        <f ca="1">IF(Table1[[#This Row],[Date of Birth]]="","",SUM(TODAY()-Table1[[#This Row],[Date of Birth]])/365)</f>
        <v/>
      </c>
      <c r="L28" s="86"/>
      <c r="M28" s="77"/>
      <c r="N28" s="86"/>
      <c r="O28" s="86"/>
      <c r="P28" s="91"/>
      <c r="Q28" s="86"/>
      <c r="R28" s="77"/>
      <c r="S28" s="77"/>
      <c r="T28" s="68"/>
      <c r="U28" s="68"/>
      <c r="V28" s="67"/>
      <c r="W28" s="67"/>
      <c r="X28" s="67"/>
      <c r="Y28" s="67"/>
      <c r="Z28" s="67"/>
      <c r="AA28" s="67"/>
      <c r="AB28" s="67"/>
      <c r="AC28" s="67"/>
      <c r="AD28" s="67"/>
      <c r="AE28" s="67"/>
      <c r="AF28" s="67"/>
      <c r="AG28" s="67"/>
      <c r="AH28" s="67"/>
      <c r="AI28" s="67"/>
      <c r="AJ28" s="67"/>
      <c r="AK28" s="67"/>
      <c r="AL28" s="67"/>
      <c r="AM28" s="67"/>
      <c r="AN28" s="77"/>
      <c r="AO28" s="76"/>
      <c r="AP28" s="77"/>
      <c r="AQ28" s="76"/>
      <c r="AR28" s="76"/>
      <c r="AS28" s="76"/>
      <c r="AT28" s="76"/>
      <c r="AU28" s="76"/>
      <c r="AV28" s="77"/>
      <c r="AW28" s="76"/>
      <c r="AX28" s="77"/>
      <c r="AY28" s="76"/>
      <c r="AZ28" s="76"/>
      <c r="BA28" s="76"/>
      <c r="BB28" s="76"/>
      <c r="BC28" s="76"/>
      <c r="BD28" s="77"/>
      <c r="BE28" s="76"/>
      <c r="BF28" s="77"/>
      <c r="BG28" s="76"/>
      <c r="BH28" s="76"/>
      <c r="BI28" s="76"/>
      <c r="BJ28" s="76"/>
      <c r="BK28" s="76"/>
      <c r="BL28" s="77"/>
      <c r="BM28" s="76"/>
      <c r="BN28" s="77"/>
      <c r="BO28" s="76"/>
      <c r="BP28" s="76"/>
      <c r="BQ28" s="76"/>
      <c r="BR28" s="76"/>
      <c r="BS28" s="76"/>
      <c r="BT28" s="77"/>
      <c r="BU28" s="76"/>
      <c r="BV28" s="77"/>
      <c r="BW28" s="76"/>
      <c r="BX28" s="76"/>
      <c r="BY28" s="76"/>
      <c r="BZ28" s="76"/>
      <c r="CA28" s="76"/>
      <c r="CB28" s="77"/>
      <c r="CC28" s="76"/>
      <c r="CD28" s="77"/>
      <c r="CE28" s="76"/>
      <c r="CF28" s="76"/>
      <c r="CG28" s="76"/>
      <c r="CH28" s="76"/>
      <c r="CI28" s="76"/>
      <c r="CJ28" s="77"/>
      <c r="CK28" s="76"/>
      <c r="CL28" s="77"/>
      <c r="CM28" s="76"/>
      <c r="CN28" s="76"/>
      <c r="CO28" s="76"/>
      <c r="CP28" s="76"/>
      <c r="CQ28" s="76"/>
      <c r="CR28" s="78" t="str">
        <f t="shared" si="15"/>
        <v/>
      </c>
      <c r="CS28" s="79" t="str">
        <f t="shared" si="16"/>
        <v/>
      </c>
      <c r="CT28" s="79" t="str">
        <f t="shared" si="17"/>
        <v/>
      </c>
      <c r="CU28" s="79" t="str">
        <f t="shared" si="18"/>
        <v/>
      </c>
      <c r="CV28" s="79" t="str">
        <f t="shared" si="19"/>
        <v/>
      </c>
      <c r="CW28" s="79" t="str">
        <f t="shared" si="20"/>
        <v/>
      </c>
      <c r="CX28" s="79" t="str">
        <f t="shared" si="21"/>
        <v/>
      </c>
      <c r="CY28" s="79" t="str">
        <f t="shared" si="22"/>
        <v/>
      </c>
      <c r="CZ28" s="79" t="str">
        <f t="shared" si="23"/>
        <v/>
      </c>
      <c r="DA28" s="79" t="str">
        <f t="shared" si="24"/>
        <v/>
      </c>
      <c r="DB28" s="79" t="str">
        <f t="shared" si="25"/>
        <v/>
      </c>
      <c r="DC28" s="79" t="str">
        <f t="shared" si="26"/>
        <v/>
      </c>
      <c r="DD28" s="79" t="str">
        <f t="shared" si="27"/>
        <v/>
      </c>
      <c r="DE28" s="79" t="str">
        <f t="shared" si="28"/>
        <v/>
      </c>
      <c r="DF28" s="79" t="str">
        <f t="shared" si="29"/>
        <v/>
      </c>
      <c r="DG28" s="79" t="str">
        <f t="shared" si="30"/>
        <v/>
      </c>
      <c r="DH28" s="76"/>
      <c r="DI28" s="78"/>
      <c r="DJ28" s="76"/>
      <c r="DK28" s="77"/>
      <c r="DL28" s="77"/>
      <c r="DM28" s="77"/>
      <c r="DN28" s="80"/>
      <c r="DO28" s="80"/>
      <c r="DP28" s="92" t="str">
        <f>IF(Table1[Start Date]="","",IF(Table1[Start Date]&gt;42185,"",IF(AND(Table1[Leaving Date]&gt;1,Table1[Leaving Date]&lt;42095),"",1)))</f>
        <v/>
      </c>
      <c r="DQ28" s="92" t="str">
        <f>IF(Table1[Start Date]="","",IF(Table1[Start Date]&gt;42277,"",IF(AND(Table1[Leaving Date]&gt;1,Table1[Leaving Date]&lt;42186),"",1)))</f>
        <v/>
      </c>
      <c r="DR28" s="92" t="str">
        <f>IF(Table1[Start Date]="","",IF(Table1[Start Date]&gt;42369,"",IF(AND(Table1[Leaving Date]&gt;1,Table1[Leaving Date]&lt;42278),"",1)))</f>
        <v/>
      </c>
      <c r="DS28" s="92" t="str">
        <f>IF(Table1[Start Date]="","",IF(Table1[Start Date]&gt;42460,"",IF(AND(Table1[Leaving Date]&gt;1,Table1[Leaving Date]&lt;42370),"",1)))</f>
        <v/>
      </c>
      <c r="DT28" s="92" t="str">
        <f>IF(Table1[Start Date]="","",IF(Table1[Start Date]&gt;42551,"",IF(AND(Table1[Leaving Date]&gt;1,Table1[Leaving Date]&lt;42461),"",1)))</f>
        <v/>
      </c>
      <c r="DU28" s="92" t="str">
        <f>IF(Table1[Start Date]="","",IF(Table1[Start Date]&gt;42643,"",IF(AND(Table1[Leaving Date]&gt;1,Table1[Leaving Date]&lt;42552),"",1)))</f>
        <v/>
      </c>
      <c r="DV28" s="92" t="str">
        <f>IF(Table1[Start Date]="","",IF(Table1[Start Date]&gt;42735,"",IF(AND(Table1[Leaving Date]&gt;1,Table1[Leaving Date]&lt;42644),"",1)))</f>
        <v/>
      </c>
      <c r="DW28" s="92" t="str">
        <f>IF(Table1[Start Date]="","",IF(Table1[Start Date]&gt;42825,"",IF(AND(Table1[Leaving Date]&gt;1,Table1[Leaving Date]&lt;42736),"",1)))</f>
        <v/>
      </c>
      <c r="DX28"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28" s="44" t="e">
        <f>VLOOKUP(Table1[Referral Source],Lists!$G$2:$H$20,2,FALSE)</f>
        <v>#N/A</v>
      </c>
      <c r="DZ28" s="93" t="e">
        <f>SUM(Table1[Data Referral Quarter]+Table1[Data Referral Source])</f>
        <v>#N/A</v>
      </c>
      <c r="EA28" s="44" t="b">
        <f>IF(Table1[Referral Decision]="Accepted",100,IF(Table1[Referral Decision]="Rejected by Provider",200,IF(Table1[Referral Decision]="Rejected by Applicant",300)))</f>
        <v>0</v>
      </c>
      <c r="EB28" s="44">
        <f>SUM(Table1[Data Referral Quarter]+Table1[Data Referral Decision])</f>
        <v>0</v>
      </c>
      <c r="EC28" s="44" t="b">
        <f>IF(Table1[Start Date]&gt;42735,8000,IF(Table1[Start Date]&gt;42643,7000,IF(Table1[Start Date]&gt;42551,6000,IF(Table1[Start Date]&gt;42460,5000,IF(Table1[Start Date]&gt;42369,4000,IF(Table1[Start Date]&gt;42277,3000,IF(Table1[Start Date]&gt;42185,2000,IF(Table1[Start Date]&gt;42094,1000))))))))</f>
        <v>0</v>
      </c>
      <c r="ED28" s="44" t="str">
        <f>IF(Table1[Start Date]="","",IF(Table1[Current Local Authority]="Swindon",1,"2"))</f>
        <v/>
      </c>
      <c r="EE28" s="44" t="e">
        <f>SUM(Table1[Data Start Date]+Table1[Data Local Authority])</f>
        <v>#VALUE!</v>
      </c>
      <c r="EF28" s="44">
        <f>IF(Table1[Registered with GP]="Yes",1,0)</f>
        <v>0</v>
      </c>
      <c r="EG28" s="44">
        <f>SUM(Table1[Data Start Date]+Table1[Data GP Start])</f>
        <v>0</v>
      </c>
      <c r="EH28" s="44" t="str">
        <f>IF(Table1[EET]="NEET",1,IF(Table1[EET]="Education",2,IF(Table1[EET]="Employment",2,IF(Table1[EET]="Training",2,IF(Table1[EET]="Retired",3,"")))))</f>
        <v/>
      </c>
      <c r="EI28" s="44" t="e">
        <f>Table1[Data Start Date]+Table1[Data EET Start]</f>
        <v>#VALUE!</v>
      </c>
      <c r="EJ28" s="44" t="b">
        <f>IF(Table1[Leaving Date]&gt;42735,8000,IF(Table1[Leaving Date]&gt;42643,7000,IF(Table1[Leaving Date]&gt;42551,6000,IF(Table1[Leaving Date]&gt;42460,5000,IF(Table1[Leaving Date]&gt;42369,4000,IF(Table1[Leaving Date]&gt;42277,3000,IF(Table1[Leaving Date]&gt;42185,2000,IF(Table1[Leaving Date]&gt;42094,1000))))))))</f>
        <v>0</v>
      </c>
      <c r="EK28" s="44" t="e">
        <f>VLOOKUP(Table1[Reason for Leaving],Lists!$T$2:$U$15,2,FALSE)</f>
        <v>#N/A</v>
      </c>
      <c r="EL28" s="44" t="e">
        <f>SUM(Table1[Data Leavers Date]+Table1[Data Move On])</f>
        <v>#N/A</v>
      </c>
      <c r="EM28" s="44" t="b">
        <f>IF(Table1[Registered with GP2]="Yes",1,IF(Table1[Registered with GP2]="No",0,IF(Table1[Registered with GP]="Yes",1,IF(Table1[Registered with GP]="No",0))))</f>
        <v>0</v>
      </c>
      <c r="EN28" s="44">
        <f>SUM(Table1[Data Leavers Date]+Table1[Data GP End])</f>
        <v>0</v>
      </c>
      <c r="EO28" s="44" t="str">
        <f>IF(Table1[EET2]="NEET",1,IF(Table1[EET2]="Employment",2,IF(Table1[EET2]="Education",2,IF(Table1[EET2]="Training",2,IF(Table1[EET2]="Retired",3,IF(Table1[EET]="NEET",1,IF(Table1[EET]="Employment",2,IF(Table1[EET]="Education",2,IF(Table1[EET]="Training",2,IF(Table1[EET]="Retired",3,""))))))))))</f>
        <v/>
      </c>
      <c r="EP28" s="44" t="e">
        <f>+Table1[[#This Row],[Data Leavers Date]]+Table1[[#This Row],[Data EET End]]</f>
        <v>#VALUE!</v>
      </c>
      <c r="EQ28" s="44">
        <f>IF(Table1[Exit Form Received]="Yes",1,0)</f>
        <v>0</v>
      </c>
      <c r="ER28" s="44">
        <f>+Table1[[#This Row],[Data Leavers Date]]+Table1[[#This Row],[Data Exit Forms]]</f>
        <v>0</v>
      </c>
      <c r="ES28" s="44" t="str">
        <f>IF(Table1[Data Leavers Date]=1000,SUM(Table1[Leaving Date]-Table1[Start Date]),"")</f>
        <v/>
      </c>
      <c r="ET28" s="44" t="str">
        <f>IF(Table1[Data Leavers Date]=2000,SUM(Table1[Leaving Date]-Table1[Start Date]),"")</f>
        <v/>
      </c>
      <c r="EU28" s="44" t="str">
        <f>IF(Table1[Data Leavers Date]=3000,SUM(Table1[Leaving Date]-Table1[Start Date]),"")</f>
        <v/>
      </c>
      <c r="EV28" s="44" t="str">
        <f>IF(Table1[Data Leavers Date]=4000,SUM(Table1[Leaving Date]-Table1[Start Date]),"")</f>
        <v/>
      </c>
      <c r="EW28" s="44" t="str">
        <f>IF(Table1[Data Leavers Date]=5000,SUM(Table1[Leaving Date]-Table1[Start Date]),"")</f>
        <v/>
      </c>
      <c r="EX28" s="44" t="str">
        <f>IF(Table1[Data Leavers Date]=6000,SUM(Table1[Leaving Date]-Table1[Start Date]),"")</f>
        <v/>
      </c>
      <c r="EY28" s="44" t="str">
        <f>IF(Table1[Data Leavers Date]=7000,SUM(Table1[Leaving Date]-Table1[Start Date]),"")</f>
        <v/>
      </c>
      <c r="EZ28" s="44" t="str">
        <f>IF(Table1[Data Leavers Date]=8000,SUM(Table1[Leaving Date]-Table1[Start Date]),"")</f>
        <v/>
      </c>
      <c r="FA28" s="44" t="str">
        <f>IF(Table1[Date of Initial Assessment]="","",IF(AND(Table1[Start Date]&gt;42094,Table1[Start Date]&lt;42461),Table1[Motivation and Taking Responsibility],""))</f>
        <v/>
      </c>
      <c r="FB28" s="44" t="str">
        <f>IF(Table1[Date of Initial Assessment]="","",IF(AND(Table1[Start Date]&gt;42094,Table1[Start Date]&lt;42461),Table1[Self-Care and Living Skills],""))</f>
        <v/>
      </c>
      <c r="FC28" s="44" t="str">
        <f>IF(Table1[Date of Initial Assessment]="","",IF(AND(Table1[Start Date]&gt;42094,Table1[Start Date]&lt;42461),Table1[Managing Money and Personal Administration],""))</f>
        <v/>
      </c>
      <c r="FD28" s="44" t="str">
        <f>IF(Table1[Date of Initial Assessment]="","",IF(AND(Table1[Start Date]&gt;42094,Table1[Start Date]&lt;42461),Table1[Social Networks and Relationships],""))</f>
        <v/>
      </c>
      <c r="FE28" s="44" t="str">
        <f>IF(Table1[Date of Initial Assessment]="","",IF(AND(Table1[Start Date]&gt;42094,Table1[Start Date]&lt;42461),Table1[Drug and Alcohol Misuse],""))</f>
        <v/>
      </c>
      <c r="FF28" s="44" t="str">
        <f>IF(Table1[Date of Initial Assessment]="","",IF(AND(Table1[Start Date]&gt;42094,Table1[Start Date]&lt;42461),Table1[Physical Health],""))</f>
        <v/>
      </c>
      <c r="FG28" s="44" t="str">
        <f>IF(Table1[Date of Initial Assessment]="","",IF(AND(Table1[Start Date]&gt;42094,Table1[Start Date]&lt;42461),Table1[Emotional and Mental Health],""))</f>
        <v/>
      </c>
      <c r="FH28" s="44" t="str">
        <f>IF(Table1[Date of Initial Assessment]="","",IF(AND(Table1[Start Date]&gt;42094,Table1[Start Date]&lt;42461),Table1[Meaningful Use of Time],""))</f>
        <v/>
      </c>
      <c r="FI28" s="44" t="str">
        <f>IF(Table1[Date of Initial Assessment]="","",IF(AND(Table1[Start Date]&gt;42094,Table1[Start Date]&lt;42461),Table1[Managing Tenancy and Accommodation],""))</f>
        <v/>
      </c>
      <c r="FJ28" s="44" t="str">
        <f>IF(Table1[Date of Initial Assessment]="","",IF(AND(Table1[Start Date]&gt;42094,Table1[Start Date]&lt;42461),Table1[Offending],""))</f>
        <v/>
      </c>
      <c r="FK28" s="44" t="str">
        <f>IF(Table1[Leaving Date]="","",IF(Table1[Date of Initial Assessment]="","",IF(AND(Table1[Leaving Date]&gt;42094,Table1[Leaving Date]&lt;42461),IF(Table1[Date of Last Assessment]="",Table1[Motivation and Taking Responsibility],Table1[Motivation and Taking Responsibility2]),"")))</f>
        <v/>
      </c>
      <c r="FL28" s="44" t="str">
        <f>IF(Table1[Leaving Date]="","",IF(Table1[Date of Initial Assessment]="","",IF(AND(Table1[Leaving Date]&gt;42094,Table1[Leaving Date]&lt;42461),IF(Table1[Date of Last Assessment]="",Table1[Self-Care and Living Skills],Table1[Self-Care and Living Skills2]),"")))</f>
        <v/>
      </c>
      <c r="FM28" s="44" t="str">
        <f>IF(Table1[Leaving Date]="","",IF(Table1[Date of Initial Assessment]="","",IF(AND(Table1[Leaving Date]&gt;42094,Table1[Leaving Date]&lt;42461),IF(Table1[Date of Last Assessment]="",Table1[Managing Money and Personal Administration],Table1[Managing Money and Personal Administration2]),"")))</f>
        <v/>
      </c>
      <c r="FN28" s="44" t="str">
        <f>IF(Table1[Leaving Date]="","",IF(Table1[Date of Initial Assessment]="","",IF(AND(Table1[Leaving Date]&gt;42094,Table1[Leaving Date]&lt;42461),IF(Table1[Date of Last Assessment]="",Table1[Social Networks and Relationships],Table1[Social Networks and Relationships2]),"")))</f>
        <v/>
      </c>
      <c r="FO28" s="44" t="str">
        <f>IF(Table1[Leaving Date]="","",IF(Table1[Date of Initial Assessment]="","",IF(AND(Table1[Leaving Date]&gt;42094,Table1[Leaving Date]&lt;42461),IF(Table1[Date of Last Assessment]="",Table1[Drug and Alcohol Misuse],Table1[Drug and Alcohol Misuse2]),"")))</f>
        <v/>
      </c>
      <c r="FP28" s="44" t="str">
        <f>IF(Table1[Leaving Date]="","",IF(Table1[Date of Initial Assessment]="","",IF(AND(Table1[Leaving Date]&gt;42094,Table1[Leaving Date]&lt;42461),IF(Table1[Date of Last Assessment]="",Table1[Physical Health],Table1[Physical Health2]),"")))</f>
        <v/>
      </c>
      <c r="FQ28" s="44" t="str">
        <f>IF(Table1[Leaving Date]="","",IF(Table1[Date of Initial Assessment]="","",IF(AND(Table1[Leaving Date]&gt;42094,Table1[Leaving Date]&lt;42461),IF(Table1[Date of Last Assessment]="",Table1[Emotional and Mental Health],Table1[Emotional and Mental Health2]),"")))</f>
        <v/>
      </c>
      <c r="FR28" s="44" t="str">
        <f>IF(Table1[Leaving Date]="","",IF(Table1[Date of Initial Assessment]="","",IF(AND(Table1[Leaving Date]&gt;42094,Table1[Leaving Date]&lt;42461),IF(Table1[Date of Last Assessment]="",Table1[Meaningful Use of Time],Table1[Meaningful Use of Time2]),"")))</f>
        <v/>
      </c>
      <c r="FS28" s="44" t="str">
        <f>IF(Table1[Leaving Date]="","",IF(Table1[Date of Initial Assessment]="","",IF(AND(Table1[Leaving Date]&gt;42094,Table1[Leaving Date]&lt;42461),IF(Table1[Date of Last Assessment]="",Table1[Managing Tenancy and Accommodation],Table1[Managing Tenancy and Accommodation2]),"")))</f>
        <v/>
      </c>
      <c r="FT28" s="44" t="str">
        <f>IF(Table1[Leaving Date]="","",IF(Table1[Date of Initial Assessment]="","",IF(AND(Table1[Leaving Date]&gt;42094,Table1[Leaving Date]&lt;42461),IF(Table1[Date of Last Assessment]="",Table1[Offending],Table1[Offending2]),"")))</f>
        <v/>
      </c>
      <c r="FU28" s="44" t="str">
        <f>IF(Table1[Date of Initial Assessment]="","",IF(AND(Table1[Start Date]&gt;42460,Table1[Start Date]&lt;42826),Table1[Motivation and Taking Responsibility],""))</f>
        <v/>
      </c>
      <c r="FV28" s="44" t="str">
        <f>IF(Table1[Date of Initial Assessment]="","",IF(AND(Table1[Start Date]&gt;42460,Table1[Start Date]&lt;42826),Table1[Self-Care and Living Skills],""))</f>
        <v/>
      </c>
      <c r="FW28" s="44" t="str">
        <f>IF(Table1[Date of Initial Assessment]="","",IF(AND(Table1[Start Date]&gt;42460,Table1[Start Date]&lt;42826),Table1[Managing Money and Personal Administration],""))</f>
        <v/>
      </c>
      <c r="FX28" s="44" t="str">
        <f>IF(Table1[Date of Initial Assessment]="","",IF(AND(Table1[Start Date]&gt;42460,Table1[Start Date]&lt;42826),Table1[Social Networks and Relationships],""))</f>
        <v/>
      </c>
      <c r="FY28" s="44" t="str">
        <f>IF(Table1[Date of Initial Assessment]="","",IF(AND(Table1[Start Date]&gt;42460,Table1[Start Date]&lt;42826),Table1[Drug and Alcohol Misuse],""))</f>
        <v/>
      </c>
      <c r="FZ28" s="44" t="str">
        <f>IF(Table1[Date of Initial Assessment]="","",IF(AND(Table1[Start Date]&gt;42460,Table1[Start Date]&lt;42826),Table1[Physical Health],""))</f>
        <v/>
      </c>
      <c r="GA28" s="44" t="str">
        <f>IF(Table1[Date of Initial Assessment]="","",IF(AND(Table1[Start Date]&gt;42460,Table1[Start Date]&lt;42826),Table1[Emotional and Mental Health],""))</f>
        <v/>
      </c>
      <c r="GB28" s="44" t="str">
        <f>IF(Table1[Date of Initial Assessment]="","",IF(AND(Table1[Start Date]&gt;42460,Table1[Start Date]&lt;42826),Table1[Meaningful Use of Time],""))</f>
        <v/>
      </c>
      <c r="GC28" s="44" t="str">
        <f>IF(Table1[Date of Initial Assessment]="","",IF(AND(Table1[Start Date]&gt;42460,Table1[Start Date]&lt;42826),Table1[Managing Tenancy and Accommodation],""))</f>
        <v/>
      </c>
      <c r="GD28" s="44" t="str">
        <f>IF(Table1[Date of Initial Assessment]="","",IF(AND(Table1[Start Date]&gt;42460,Table1[Start Date]&lt;42826),Table1[Offending],""))</f>
        <v/>
      </c>
      <c r="GE28" s="44" t="str">
        <f>IF(Table1[Leaving Date]="","",IF(AND(Table1[Leaving Date]&gt;42460,Table1[Leaving Date]&lt;42826),IF(Table1[Date of Last Assessment]="",Table1[Motivation and Taking Responsibility],Table1[Motivation and Taking Responsibility2]),""))</f>
        <v/>
      </c>
      <c r="GF28" s="44" t="str">
        <f>IF(Table1[Leaving Date]="","",IF(AND(Table1[Leaving Date]&gt;42460,Table1[Leaving Date]&lt;42826),IF(Table1[Date of Last Assessment]="",Table1[Self-Care and Living Skills],Table1[Self-Care and Living Skills2]),""))</f>
        <v/>
      </c>
      <c r="GG28" s="44" t="str">
        <f>IF(Table1[Leaving Date]="","",IF(AND(Table1[Leaving Date]&gt;42460,Table1[Leaving Date]&lt;42826),IF(Table1[Date of Last Assessment]="",Table1[Managing Money and Personal Administration],Table1[Managing Money and Personal Administration2]),""))</f>
        <v/>
      </c>
      <c r="GH28" s="44" t="str">
        <f>IF(Table1[Leaving Date]="","",IF(AND(Table1[Leaving Date]&gt;42460,Table1[Leaving Date]&lt;42826),IF(Table1[Date of Last Assessment]="",Table1[Social Networks and Relationships],Table1[Social Networks and Relationships2]),""))</f>
        <v/>
      </c>
      <c r="GI28" s="44" t="str">
        <f>IF(Table1[Leaving Date]="","",IF(AND(Table1[Leaving Date]&gt;42460,Table1[Leaving Date]&lt;42826),IF(Table1[Date of Last Assessment]="",Table1[Drug and Alcohol Misuse],Table1[Drug and Alcohol Misuse2]),""))</f>
        <v/>
      </c>
      <c r="GJ28" s="44" t="str">
        <f>IF(Table1[Leaving Date]="","",IF(AND(Table1[Leaving Date]&gt;42460,Table1[Leaving Date]&lt;42826),IF(Table1[Date of Last Assessment]="",Table1[Physical Health],Table1[Physical Health2]),""))</f>
        <v/>
      </c>
      <c r="GK28" s="44" t="str">
        <f>IF(Table1[Leaving Date]="","",IF(AND(Table1[Leaving Date]&gt;42460,Table1[Leaving Date]&lt;42826),IF(Table1[Date of Last Assessment]="",Table1[Emotional and Mental Health],Table1[Emotional and Mental Health2]),""))</f>
        <v/>
      </c>
      <c r="GL28" s="44" t="str">
        <f>IF(Table1[Leaving Date]="","",IF(AND(Table1[Leaving Date]&gt;42460,Table1[Leaving Date]&lt;42826),IF(Table1[Date of Last Assessment]="",Table1[Meaningful Use of Time],Table1[Meaningful Use of Time2]),""))</f>
        <v/>
      </c>
      <c r="GM28" s="44" t="str">
        <f>IF(Table1[Leaving Date]="","",IF(AND(Table1[Leaving Date]&gt;42460,Table1[Leaving Date]&lt;42826),IF(Table1[Date of Last Assessment]="",Table1[Managing Tenancy and Accommodation],Table1[Managing Tenancy and Accommodation2]),""))</f>
        <v/>
      </c>
      <c r="GN28" s="44" t="str">
        <f>IF(Table1[Leaving Date]="","",IF(AND(Table1[Leaving Date]&gt;42460,Table1[Leaving Date]&lt;42826),IF(Table1[Date of Last Assessment]="",Table1[Offending],Table1[Offending2]),""))</f>
        <v/>
      </c>
    </row>
    <row r="29" spans="2:196" ht="20.100000000000001" customHeight="1" x14ac:dyDescent="0.2">
      <c r="B29" s="86">
        <f>+'Service Data'!$C$5:$C$5</f>
        <v>0</v>
      </c>
      <c r="C29" s="86"/>
      <c r="D29" s="86"/>
      <c r="E29" s="86"/>
      <c r="F29" s="86"/>
      <c r="G29" s="86"/>
      <c r="H29" s="6"/>
      <c r="I29" s="99" t="str">
        <f ca="1">IF(Table1[[#This Row],[Date of Birth]]="","",SUM(TODAY()-Table1[[#This Row],[Date of Birth]])/365)</f>
        <v/>
      </c>
      <c r="L29" s="86"/>
      <c r="M29" s="77"/>
      <c r="N29" s="86"/>
      <c r="O29" s="86"/>
      <c r="P29" s="91"/>
      <c r="Q29" s="86"/>
      <c r="R29" s="77"/>
      <c r="S29" s="77"/>
      <c r="T29" s="68"/>
      <c r="U29" s="68"/>
      <c r="V29" s="67"/>
      <c r="W29" s="67"/>
      <c r="X29" s="67"/>
      <c r="Y29" s="67"/>
      <c r="Z29" s="67"/>
      <c r="AA29" s="67"/>
      <c r="AB29" s="67"/>
      <c r="AC29" s="67"/>
      <c r="AD29" s="67"/>
      <c r="AE29" s="67"/>
      <c r="AF29" s="67"/>
      <c r="AG29" s="67"/>
      <c r="AH29" s="67"/>
      <c r="AI29" s="67"/>
      <c r="AJ29" s="67"/>
      <c r="AK29" s="67"/>
      <c r="AL29" s="67"/>
      <c r="AM29" s="67"/>
      <c r="AN29" s="77"/>
      <c r="AO29" s="76"/>
      <c r="AP29" s="77"/>
      <c r="AQ29" s="76"/>
      <c r="AR29" s="76"/>
      <c r="AS29" s="76"/>
      <c r="AT29" s="76"/>
      <c r="AU29" s="76"/>
      <c r="AV29" s="77"/>
      <c r="AW29" s="76"/>
      <c r="AX29" s="77"/>
      <c r="AY29" s="76"/>
      <c r="AZ29" s="76"/>
      <c r="BA29" s="76"/>
      <c r="BB29" s="76"/>
      <c r="BC29" s="76"/>
      <c r="BD29" s="77"/>
      <c r="BE29" s="76"/>
      <c r="BF29" s="77"/>
      <c r="BG29" s="76"/>
      <c r="BH29" s="76"/>
      <c r="BI29" s="76"/>
      <c r="BJ29" s="76"/>
      <c r="BK29" s="76"/>
      <c r="BL29" s="77"/>
      <c r="BM29" s="76"/>
      <c r="BN29" s="77"/>
      <c r="BO29" s="76"/>
      <c r="BP29" s="76"/>
      <c r="BQ29" s="76"/>
      <c r="BR29" s="76"/>
      <c r="BS29" s="76"/>
      <c r="BT29" s="77"/>
      <c r="BU29" s="76"/>
      <c r="BV29" s="77"/>
      <c r="BW29" s="76"/>
      <c r="BX29" s="76"/>
      <c r="BY29" s="76"/>
      <c r="BZ29" s="76"/>
      <c r="CA29" s="76"/>
      <c r="CB29" s="77"/>
      <c r="CC29" s="76"/>
      <c r="CD29" s="77"/>
      <c r="CE29" s="76"/>
      <c r="CF29" s="76"/>
      <c r="CG29" s="76"/>
      <c r="CH29" s="76"/>
      <c r="CI29" s="76"/>
      <c r="CJ29" s="77"/>
      <c r="CK29" s="76"/>
      <c r="CL29" s="77"/>
      <c r="CM29" s="76"/>
      <c r="CN29" s="76"/>
      <c r="CO29" s="76"/>
      <c r="CP29" s="76"/>
      <c r="CQ29" s="76"/>
      <c r="CR29" s="78" t="str">
        <f t="shared" si="15"/>
        <v/>
      </c>
      <c r="CS29" s="79" t="str">
        <f t="shared" si="16"/>
        <v/>
      </c>
      <c r="CT29" s="79" t="str">
        <f t="shared" si="17"/>
        <v/>
      </c>
      <c r="CU29" s="79" t="str">
        <f t="shared" si="18"/>
        <v/>
      </c>
      <c r="CV29" s="79" t="str">
        <f t="shared" si="19"/>
        <v/>
      </c>
      <c r="CW29" s="79" t="str">
        <f t="shared" si="20"/>
        <v/>
      </c>
      <c r="CX29" s="79" t="str">
        <f t="shared" si="21"/>
        <v/>
      </c>
      <c r="CY29" s="79" t="str">
        <f t="shared" si="22"/>
        <v/>
      </c>
      <c r="CZ29" s="79" t="str">
        <f t="shared" si="23"/>
        <v/>
      </c>
      <c r="DA29" s="79" t="str">
        <f t="shared" si="24"/>
        <v/>
      </c>
      <c r="DB29" s="79" t="str">
        <f t="shared" si="25"/>
        <v/>
      </c>
      <c r="DC29" s="79" t="str">
        <f t="shared" si="26"/>
        <v/>
      </c>
      <c r="DD29" s="79" t="str">
        <f t="shared" si="27"/>
        <v/>
      </c>
      <c r="DE29" s="79" t="str">
        <f t="shared" si="28"/>
        <v/>
      </c>
      <c r="DF29" s="79" t="str">
        <f t="shared" si="29"/>
        <v/>
      </c>
      <c r="DG29" s="79" t="str">
        <f t="shared" si="30"/>
        <v/>
      </c>
      <c r="DH29" s="76"/>
      <c r="DI29" s="78"/>
      <c r="DJ29" s="76"/>
      <c r="DK29" s="77"/>
      <c r="DL29" s="77"/>
      <c r="DM29" s="77"/>
      <c r="DN29" s="80"/>
      <c r="DO29" s="80"/>
      <c r="DP29" s="92" t="str">
        <f>IF(Table1[Start Date]="","",IF(Table1[Start Date]&gt;42185,"",IF(AND(Table1[Leaving Date]&gt;1,Table1[Leaving Date]&lt;42095),"",1)))</f>
        <v/>
      </c>
      <c r="DQ29" s="92" t="str">
        <f>IF(Table1[Start Date]="","",IF(Table1[Start Date]&gt;42277,"",IF(AND(Table1[Leaving Date]&gt;1,Table1[Leaving Date]&lt;42186),"",1)))</f>
        <v/>
      </c>
      <c r="DR29" s="92" t="str">
        <f>IF(Table1[Start Date]="","",IF(Table1[Start Date]&gt;42369,"",IF(AND(Table1[Leaving Date]&gt;1,Table1[Leaving Date]&lt;42278),"",1)))</f>
        <v/>
      </c>
      <c r="DS29" s="92" t="str">
        <f>IF(Table1[Start Date]="","",IF(Table1[Start Date]&gt;42460,"",IF(AND(Table1[Leaving Date]&gt;1,Table1[Leaving Date]&lt;42370),"",1)))</f>
        <v/>
      </c>
      <c r="DT29" s="92" t="str">
        <f>IF(Table1[Start Date]="","",IF(Table1[Start Date]&gt;42551,"",IF(AND(Table1[Leaving Date]&gt;1,Table1[Leaving Date]&lt;42461),"",1)))</f>
        <v/>
      </c>
      <c r="DU29" s="92" t="str">
        <f>IF(Table1[Start Date]="","",IF(Table1[Start Date]&gt;42643,"",IF(AND(Table1[Leaving Date]&gt;1,Table1[Leaving Date]&lt;42552),"",1)))</f>
        <v/>
      </c>
      <c r="DV29" s="92" t="str">
        <f>IF(Table1[Start Date]="","",IF(Table1[Start Date]&gt;42735,"",IF(AND(Table1[Leaving Date]&gt;1,Table1[Leaving Date]&lt;42644),"",1)))</f>
        <v/>
      </c>
      <c r="DW29" s="92" t="str">
        <f>IF(Table1[Start Date]="","",IF(Table1[Start Date]&gt;42825,"",IF(AND(Table1[Leaving Date]&gt;1,Table1[Leaving Date]&lt;42736),"",1)))</f>
        <v/>
      </c>
      <c r="DX29"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29" s="44" t="e">
        <f>VLOOKUP(Table1[Referral Source],Lists!$G$2:$H$20,2,FALSE)</f>
        <v>#N/A</v>
      </c>
      <c r="DZ29" s="93" t="e">
        <f>SUM(Table1[Data Referral Quarter]+Table1[Data Referral Source])</f>
        <v>#N/A</v>
      </c>
      <c r="EA29" s="44" t="b">
        <f>IF(Table1[Referral Decision]="Accepted",100,IF(Table1[Referral Decision]="Rejected by Provider",200,IF(Table1[Referral Decision]="Rejected by Applicant",300)))</f>
        <v>0</v>
      </c>
      <c r="EB29" s="44">
        <f>SUM(Table1[Data Referral Quarter]+Table1[Data Referral Decision])</f>
        <v>0</v>
      </c>
      <c r="EC29" s="44" t="b">
        <f>IF(Table1[Start Date]&gt;42735,8000,IF(Table1[Start Date]&gt;42643,7000,IF(Table1[Start Date]&gt;42551,6000,IF(Table1[Start Date]&gt;42460,5000,IF(Table1[Start Date]&gt;42369,4000,IF(Table1[Start Date]&gt;42277,3000,IF(Table1[Start Date]&gt;42185,2000,IF(Table1[Start Date]&gt;42094,1000))))))))</f>
        <v>0</v>
      </c>
      <c r="ED29" s="44" t="str">
        <f>IF(Table1[Start Date]="","",IF(Table1[Current Local Authority]="Swindon",1,"2"))</f>
        <v/>
      </c>
      <c r="EE29" s="44" t="e">
        <f>SUM(Table1[Data Start Date]+Table1[Data Local Authority])</f>
        <v>#VALUE!</v>
      </c>
      <c r="EF29" s="44">
        <f>IF(Table1[Registered with GP]="Yes",1,0)</f>
        <v>0</v>
      </c>
      <c r="EG29" s="44">
        <f>SUM(Table1[Data Start Date]+Table1[Data GP Start])</f>
        <v>0</v>
      </c>
      <c r="EH29" s="44" t="str">
        <f>IF(Table1[EET]="NEET",1,IF(Table1[EET]="Education",2,IF(Table1[EET]="Employment",2,IF(Table1[EET]="Training",2,IF(Table1[EET]="Retired",3,"")))))</f>
        <v/>
      </c>
      <c r="EI29" s="44" t="e">
        <f>Table1[Data Start Date]+Table1[Data EET Start]</f>
        <v>#VALUE!</v>
      </c>
      <c r="EJ29" s="44" t="b">
        <f>IF(Table1[Leaving Date]&gt;42735,8000,IF(Table1[Leaving Date]&gt;42643,7000,IF(Table1[Leaving Date]&gt;42551,6000,IF(Table1[Leaving Date]&gt;42460,5000,IF(Table1[Leaving Date]&gt;42369,4000,IF(Table1[Leaving Date]&gt;42277,3000,IF(Table1[Leaving Date]&gt;42185,2000,IF(Table1[Leaving Date]&gt;42094,1000))))))))</f>
        <v>0</v>
      </c>
      <c r="EK29" s="44" t="e">
        <f>VLOOKUP(Table1[Reason for Leaving],Lists!$T$2:$U$15,2,FALSE)</f>
        <v>#N/A</v>
      </c>
      <c r="EL29" s="44" t="e">
        <f>SUM(Table1[Data Leavers Date]+Table1[Data Move On])</f>
        <v>#N/A</v>
      </c>
      <c r="EM29" s="44" t="b">
        <f>IF(Table1[Registered with GP2]="Yes",1,IF(Table1[Registered with GP2]="No",0,IF(Table1[Registered with GP]="Yes",1,IF(Table1[Registered with GP]="No",0))))</f>
        <v>0</v>
      </c>
      <c r="EN29" s="44">
        <f>SUM(Table1[Data Leavers Date]+Table1[Data GP End])</f>
        <v>0</v>
      </c>
      <c r="EO29" s="44" t="str">
        <f>IF(Table1[EET2]="NEET",1,IF(Table1[EET2]="Employment",2,IF(Table1[EET2]="Education",2,IF(Table1[EET2]="Training",2,IF(Table1[EET2]="Retired",3,IF(Table1[EET]="NEET",1,IF(Table1[EET]="Employment",2,IF(Table1[EET]="Education",2,IF(Table1[EET]="Training",2,IF(Table1[EET]="Retired",3,""))))))))))</f>
        <v/>
      </c>
      <c r="EP29" s="44" t="e">
        <f>+Table1[[#This Row],[Data Leavers Date]]+Table1[[#This Row],[Data EET End]]</f>
        <v>#VALUE!</v>
      </c>
      <c r="EQ29" s="44">
        <f>IF(Table1[Exit Form Received]="Yes",1,0)</f>
        <v>0</v>
      </c>
      <c r="ER29" s="44">
        <f>+Table1[[#This Row],[Data Leavers Date]]+Table1[[#This Row],[Data Exit Forms]]</f>
        <v>0</v>
      </c>
      <c r="ES29" s="44" t="str">
        <f>IF(Table1[Data Leavers Date]=1000,SUM(Table1[Leaving Date]-Table1[Start Date]),"")</f>
        <v/>
      </c>
      <c r="ET29" s="44" t="str">
        <f>IF(Table1[Data Leavers Date]=2000,SUM(Table1[Leaving Date]-Table1[Start Date]),"")</f>
        <v/>
      </c>
      <c r="EU29" s="44" t="str">
        <f>IF(Table1[Data Leavers Date]=3000,SUM(Table1[Leaving Date]-Table1[Start Date]),"")</f>
        <v/>
      </c>
      <c r="EV29" s="44" t="str">
        <f>IF(Table1[Data Leavers Date]=4000,SUM(Table1[Leaving Date]-Table1[Start Date]),"")</f>
        <v/>
      </c>
      <c r="EW29" s="44" t="str">
        <f>IF(Table1[Data Leavers Date]=5000,SUM(Table1[Leaving Date]-Table1[Start Date]),"")</f>
        <v/>
      </c>
      <c r="EX29" s="44" t="str">
        <f>IF(Table1[Data Leavers Date]=6000,SUM(Table1[Leaving Date]-Table1[Start Date]),"")</f>
        <v/>
      </c>
      <c r="EY29" s="44" t="str">
        <f>IF(Table1[Data Leavers Date]=7000,SUM(Table1[Leaving Date]-Table1[Start Date]),"")</f>
        <v/>
      </c>
      <c r="EZ29" s="44" t="str">
        <f>IF(Table1[Data Leavers Date]=8000,SUM(Table1[Leaving Date]-Table1[Start Date]),"")</f>
        <v/>
      </c>
      <c r="FA29" s="44" t="str">
        <f>IF(Table1[Date of Initial Assessment]="","",IF(AND(Table1[Start Date]&gt;42094,Table1[Start Date]&lt;42461),Table1[Motivation and Taking Responsibility],""))</f>
        <v/>
      </c>
      <c r="FB29" s="44" t="str">
        <f>IF(Table1[Date of Initial Assessment]="","",IF(AND(Table1[Start Date]&gt;42094,Table1[Start Date]&lt;42461),Table1[Self-Care and Living Skills],""))</f>
        <v/>
      </c>
      <c r="FC29" s="44" t="str">
        <f>IF(Table1[Date of Initial Assessment]="","",IF(AND(Table1[Start Date]&gt;42094,Table1[Start Date]&lt;42461),Table1[Managing Money and Personal Administration],""))</f>
        <v/>
      </c>
      <c r="FD29" s="44" t="str">
        <f>IF(Table1[Date of Initial Assessment]="","",IF(AND(Table1[Start Date]&gt;42094,Table1[Start Date]&lt;42461),Table1[Social Networks and Relationships],""))</f>
        <v/>
      </c>
      <c r="FE29" s="44" t="str">
        <f>IF(Table1[Date of Initial Assessment]="","",IF(AND(Table1[Start Date]&gt;42094,Table1[Start Date]&lt;42461),Table1[Drug and Alcohol Misuse],""))</f>
        <v/>
      </c>
      <c r="FF29" s="44" t="str">
        <f>IF(Table1[Date of Initial Assessment]="","",IF(AND(Table1[Start Date]&gt;42094,Table1[Start Date]&lt;42461),Table1[Physical Health],""))</f>
        <v/>
      </c>
      <c r="FG29" s="44" t="str">
        <f>IF(Table1[Date of Initial Assessment]="","",IF(AND(Table1[Start Date]&gt;42094,Table1[Start Date]&lt;42461),Table1[Emotional and Mental Health],""))</f>
        <v/>
      </c>
      <c r="FH29" s="44" t="str">
        <f>IF(Table1[Date of Initial Assessment]="","",IF(AND(Table1[Start Date]&gt;42094,Table1[Start Date]&lt;42461),Table1[Meaningful Use of Time],""))</f>
        <v/>
      </c>
      <c r="FI29" s="44" t="str">
        <f>IF(Table1[Date of Initial Assessment]="","",IF(AND(Table1[Start Date]&gt;42094,Table1[Start Date]&lt;42461),Table1[Managing Tenancy and Accommodation],""))</f>
        <v/>
      </c>
      <c r="FJ29" s="44" t="str">
        <f>IF(Table1[Date of Initial Assessment]="","",IF(AND(Table1[Start Date]&gt;42094,Table1[Start Date]&lt;42461),Table1[Offending],""))</f>
        <v/>
      </c>
      <c r="FK29" s="44" t="str">
        <f>IF(Table1[Leaving Date]="","",IF(Table1[Date of Initial Assessment]="","",IF(AND(Table1[Leaving Date]&gt;42094,Table1[Leaving Date]&lt;42461),IF(Table1[Date of Last Assessment]="",Table1[Motivation and Taking Responsibility],Table1[Motivation and Taking Responsibility2]),"")))</f>
        <v/>
      </c>
      <c r="FL29" s="44" t="str">
        <f>IF(Table1[Leaving Date]="","",IF(Table1[Date of Initial Assessment]="","",IF(AND(Table1[Leaving Date]&gt;42094,Table1[Leaving Date]&lt;42461),IF(Table1[Date of Last Assessment]="",Table1[Self-Care and Living Skills],Table1[Self-Care and Living Skills2]),"")))</f>
        <v/>
      </c>
      <c r="FM29" s="44" t="str">
        <f>IF(Table1[Leaving Date]="","",IF(Table1[Date of Initial Assessment]="","",IF(AND(Table1[Leaving Date]&gt;42094,Table1[Leaving Date]&lt;42461),IF(Table1[Date of Last Assessment]="",Table1[Managing Money and Personal Administration],Table1[Managing Money and Personal Administration2]),"")))</f>
        <v/>
      </c>
      <c r="FN29" s="44" t="str">
        <f>IF(Table1[Leaving Date]="","",IF(Table1[Date of Initial Assessment]="","",IF(AND(Table1[Leaving Date]&gt;42094,Table1[Leaving Date]&lt;42461),IF(Table1[Date of Last Assessment]="",Table1[Social Networks and Relationships],Table1[Social Networks and Relationships2]),"")))</f>
        <v/>
      </c>
      <c r="FO29" s="44" t="str">
        <f>IF(Table1[Leaving Date]="","",IF(Table1[Date of Initial Assessment]="","",IF(AND(Table1[Leaving Date]&gt;42094,Table1[Leaving Date]&lt;42461),IF(Table1[Date of Last Assessment]="",Table1[Drug and Alcohol Misuse],Table1[Drug and Alcohol Misuse2]),"")))</f>
        <v/>
      </c>
      <c r="FP29" s="44" t="str">
        <f>IF(Table1[Leaving Date]="","",IF(Table1[Date of Initial Assessment]="","",IF(AND(Table1[Leaving Date]&gt;42094,Table1[Leaving Date]&lt;42461),IF(Table1[Date of Last Assessment]="",Table1[Physical Health],Table1[Physical Health2]),"")))</f>
        <v/>
      </c>
      <c r="FQ29" s="44" t="str">
        <f>IF(Table1[Leaving Date]="","",IF(Table1[Date of Initial Assessment]="","",IF(AND(Table1[Leaving Date]&gt;42094,Table1[Leaving Date]&lt;42461),IF(Table1[Date of Last Assessment]="",Table1[Emotional and Mental Health],Table1[Emotional and Mental Health2]),"")))</f>
        <v/>
      </c>
      <c r="FR29" s="44" t="str">
        <f>IF(Table1[Leaving Date]="","",IF(Table1[Date of Initial Assessment]="","",IF(AND(Table1[Leaving Date]&gt;42094,Table1[Leaving Date]&lt;42461),IF(Table1[Date of Last Assessment]="",Table1[Meaningful Use of Time],Table1[Meaningful Use of Time2]),"")))</f>
        <v/>
      </c>
      <c r="FS29" s="44" t="str">
        <f>IF(Table1[Leaving Date]="","",IF(Table1[Date of Initial Assessment]="","",IF(AND(Table1[Leaving Date]&gt;42094,Table1[Leaving Date]&lt;42461),IF(Table1[Date of Last Assessment]="",Table1[Managing Tenancy and Accommodation],Table1[Managing Tenancy and Accommodation2]),"")))</f>
        <v/>
      </c>
      <c r="FT29" s="44" t="str">
        <f>IF(Table1[Leaving Date]="","",IF(Table1[Date of Initial Assessment]="","",IF(AND(Table1[Leaving Date]&gt;42094,Table1[Leaving Date]&lt;42461),IF(Table1[Date of Last Assessment]="",Table1[Offending],Table1[Offending2]),"")))</f>
        <v/>
      </c>
      <c r="FU29" s="44" t="str">
        <f>IF(Table1[Date of Initial Assessment]="","",IF(AND(Table1[Start Date]&gt;42460,Table1[Start Date]&lt;42826),Table1[Motivation and Taking Responsibility],""))</f>
        <v/>
      </c>
      <c r="FV29" s="44" t="str">
        <f>IF(Table1[Date of Initial Assessment]="","",IF(AND(Table1[Start Date]&gt;42460,Table1[Start Date]&lt;42826),Table1[Self-Care and Living Skills],""))</f>
        <v/>
      </c>
      <c r="FW29" s="44" t="str">
        <f>IF(Table1[Date of Initial Assessment]="","",IF(AND(Table1[Start Date]&gt;42460,Table1[Start Date]&lt;42826),Table1[Managing Money and Personal Administration],""))</f>
        <v/>
      </c>
      <c r="FX29" s="44" t="str">
        <f>IF(Table1[Date of Initial Assessment]="","",IF(AND(Table1[Start Date]&gt;42460,Table1[Start Date]&lt;42826),Table1[Social Networks and Relationships],""))</f>
        <v/>
      </c>
      <c r="FY29" s="44" t="str">
        <f>IF(Table1[Date of Initial Assessment]="","",IF(AND(Table1[Start Date]&gt;42460,Table1[Start Date]&lt;42826),Table1[Drug and Alcohol Misuse],""))</f>
        <v/>
      </c>
      <c r="FZ29" s="44" t="str">
        <f>IF(Table1[Date of Initial Assessment]="","",IF(AND(Table1[Start Date]&gt;42460,Table1[Start Date]&lt;42826),Table1[Physical Health],""))</f>
        <v/>
      </c>
      <c r="GA29" s="44" t="str">
        <f>IF(Table1[Date of Initial Assessment]="","",IF(AND(Table1[Start Date]&gt;42460,Table1[Start Date]&lt;42826),Table1[Emotional and Mental Health],""))</f>
        <v/>
      </c>
      <c r="GB29" s="44" t="str">
        <f>IF(Table1[Date of Initial Assessment]="","",IF(AND(Table1[Start Date]&gt;42460,Table1[Start Date]&lt;42826),Table1[Meaningful Use of Time],""))</f>
        <v/>
      </c>
      <c r="GC29" s="44" t="str">
        <f>IF(Table1[Date of Initial Assessment]="","",IF(AND(Table1[Start Date]&gt;42460,Table1[Start Date]&lt;42826),Table1[Managing Tenancy and Accommodation],""))</f>
        <v/>
      </c>
      <c r="GD29" s="44" t="str">
        <f>IF(Table1[Date of Initial Assessment]="","",IF(AND(Table1[Start Date]&gt;42460,Table1[Start Date]&lt;42826),Table1[Offending],""))</f>
        <v/>
      </c>
      <c r="GE29" s="44" t="str">
        <f>IF(Table1[Leaving Date]="","",IF(AND(Table1[Leaving Date]&gt;42460,Table1[Leaving Date]&lt;42826),IF(Table1[Date of Last Assessment]="",Table1[Motivation and Taking Responsibility],Table1[Motivation and Taking Responsibility2]),""))</f>
        <v/>
      </c>
      <c r="GF29" s="44" t="str">
        <f>IF(Table1[Leaving Date]="","",IF(AND(Table1[Leaving Date]&gt;42460,Table1[Leaving Date]&lt;42826),IF(Table1[Date of Last Assessment]="",Table1[Self-Care and Living Skills],Table1[Self-Care and Living Skills2]),""))</f>
        <v/>
      </c>
      <c r="GG29" s="44" t="str">
        <f>IF(Table1[Leaving Date]="","",IF(AND(Table1[Leaving Date]&gt;42460,Table1[Leaving Date]&lt;42826),IF(Table1[Date of Last Assessment]="",Table1[Managing Money and Personal Administration],Table1[Managing Money and Personal Administration2]),""))</f>
        <v/>
      </c>
      <c r="GH29" s="44" t="str">
        <f>IF(Table1[Leaving Date]="","",IF(AND(Table1[Leaving Date]&gt;42460,Table1[Leaving Date]&lt;42826),IF(Table1[Date of Last Assessment]="",Table1[Social Networks and Relationships],Table1[Social Networks and Relationships2]),""))</f>
        <v/>
      </c>
      <c r="GI29" s="44" t="str">
        <f>IF(Table1[Leaving Date]="","",IF(AND(Table1[Leaving Date]&gt;42460,Table1[Leaving Date]&lt;42826),IF(Table1[Date of Last Assessment]="",Table1[Drug and Alcohol Misuse],Table1[Drug and Alcohol Misuse2]),""))</f>
        <v/>
      </c>
      <c r="GJ29" s="44" t="str">
        <f>IF(Table1[Leaving Date]="","",IF(AND(Table1[Leaving Date]&gt;42460,Table1[Leaving Date]&lt;42826),IF(Table1[Date of Last Assessment]="",Table1[Physical Health],Table1[Physical Health2]),""))</f>
        <v/>
      </c>
      <c r="GK29" s="44" t="str">
        <f>IF(Table1[Leaving Date]="","",IF(AND(Table1[Leaving Date]&gt;42460,Table1[Leaving Date]&lt;42826),IF(Table1[Date of Last Assessment]="",Table1[Emotional and Mental Health],Table1[Emotional and Mental Health2]),""))</f>
        <v/>
      </c>
      <c r="GL29" s="44" t="str">
        <f>IF(Table1[Leaving Date]="","",IF(AND(Table1[Leaving Date]&gt;42460,Table1[Leaving Date]&lt;42826),IF(Table1[Date of Last Assessment]="",Table1[Meaningful Use of Time],Table1[Meaningful Use of Time2]),""))</f>
        <v/>
      </c>
      <c r="GM29" s="44" t="str">
        <f>IF(Table1[Leaving Date]="","",IF(AND(Table1[Leaving Date]&gt;42460,Table1[Leaving Date]&lt;42826),IF(Table1[Date of Last Assessment]="",Table1[Managing Tenancy and Accommodation],Table1[Managing Tenancy and Accommodation2]),""))</f>
        <v/>
      </c>
      <c r="GN29" s="44" t="str">
        <f>IF(Table1[Leaving Date]="","",IF(AND(Table1[Leaving Date]&gt;42460,Table1[Leaving Date]&lt;42826),IF(Table1[Date of Last Assessment]="",Table1[Offending],Table1[Offending2]),""))</f>
        <v/>
      </c>
    </row>
    <row r="30" spans="2:196" ht="20.100000000000001" customHeight="1" x14ac:dyDescent="0.2">
      <c r="B30" s="86">
        <f>+'Service Data'!$C$5:$C$5</f>
        <v>0</v>
      </c>
      <c r="C30" s="86"/>
      <c r="D30" s="86"/>
      <c r="E30" s="86"/>
      <c r="F30" s="86"/>
      <c r="G30" s="86"/>
      <c r="H30" s="6"/>
      <c r="I30" s="99" t="str">
        <f ca="1">IF(Table1[[#This Row],[Date of Birth]]="","",SUM(TODAY()-Table1[[#This Row],[Date of Birth]])/365)</f>
        <v/>
      </c>
      <c r="L30" s="86"/>
      <c r="M30" s="77"/>
      <c r="N30" s="86"/>
      <c r="O30" s="86"/>
      <c r="P30" s="91"/>
      <c r="Q30" s="86"/>
      <c r="R30" s="77"/>
      <c r="S30" s="77"/>
      <c r="T30" s="68"/>
      <c r="U30" s="68"/>
      <c r="V30" s="67"/>
      <c r="W30" s="67"/>
      <c r="X30" s="67"/>
      <c r="Y30" s="67"/>
      <c r="Z30" s="67"/>
      <c r="AA30" s="67"/>
      <c r="AB30" s="67"/>
      <c r="AC30" s="67"/>
      <c r="AD30" s="67"/>
      <c r="AE30" s="67"/>
      <c r="AF30" s="67"/>
      <c r="AG30" s="67"/>
      <c r="AH30" s="67"/>
      <c r="AI30" s="67"/>
      <c r="AJ30" s="67"/>
      <c r="AK30" s="67"/>
      <c r="AL30" s="67"/>
      <c r="AM30" s="67"/>
      <c r="AN30" s="77"/>
      <c r="AO30" s="76"/>
      <c r="AP30" s="77"/>
      <c r="AQ30" s="76"/>
      <c r="AR30" s="76"/>
      <c r="AS30" s="76"/>
      <c r="AT30" s="76"/>
      <c r="AU30" s="76"/>
      <c r="AV30" s="77"/>
      <c r="AW30" s="76"/>
      <c r="AX30" s="77"/>
      <c r="AY30" s="76"/>
      <c r="AZ30" s="76"/>
      <c r="BA30" s="76"/>
      <c r="BB30" s="76"/>
      <c r="BC30" s="76"/>
      <c r="BD30" s="77"/>
      <c r="BE30" s="76"/>
      <c r="BF30" s="77"/>
      <c r="BG30" s="76"/>
      <c r="BH30" s="76"/>
      <c r="BI30" s="76"/>
      <c r="BJ30" s="76"/>
      <c r="BK30" s="76"/>
      <c r="BL30" s="77"/>
      <c r="BM30" s="76"/>
      <c r="BN30" s="77"/>
      <c r="BO30" s="76"/>
      <c r="BP30" s="76"/>
      <c r="BQ30" s="76"/>
      <c r="BR30" s="76"/>
      <c r="BS30" s="76"/>
      <c r="BT30" s="77"/>
      <c r="BU30" s="76"/>
      <c r="BV30" s="77"/>
      <c r="BW30" s="76"/>
      <c r="BX30" s="76"/>
      <c r="BY30" s="76"/>
      <c r="BZ30" s="76"/>
      <c r="CA30" s="76"/>
      <c r="CB30" s="77"/>
      <c r="CC30" s="76"/>
      <c r="CD30" s="77"/>
      <c r="CE30" s="76"/>
      <c r="CF30" s="76"/>
      <c r="CG30" s="76"/>
      <c r="CH30" s="76"/>
      <c r="CI30" s="76"/>
      <c r="CJ30" s="77"/>
      <c r="CK30" s="76"/>
      <c r="CL30" s="77"/>
      <c r="CM30" s="76"/>
      <c r="CN30" s="76"/>
      <c r="CO30" s="76"/>
      <c r="CP30" s="76"/>
      <c r="CQ30" s="76"/>
      <c r="CR30" s="78" t="str">
        <f t="shared" si="15"/>
        <v/>
      </c>
      <c r="CS30" s="79" t="str">
        <f t="shared" si="16"/>
        <v/>
      </c>
      <c r="CT30" s="79" t="str">
        <f t="shared" si="17"/>
        <v/>
      </c>
      <c r="CU30" s="79" t="str">
        <f t="shared" si="18"/>
        <v/>
      </c>
      <c r="CV30" s="79" t="str">
        <f t="shared" si="19"/>
        <v/>
      </c>
      <c r="CW30" s="79" t="str">
        <f t="shared" si="20"/>
        <v/>
      </c>
      <c r="CX30" s="79" t="str">
        <f t="shared" si="21"/>
        <v/>
      </c>
      <c r="CY30" s="79" t="str">
        <f t="shared" si="22"/>
        <v/>
      </c>
      <c r="CZ30" s="79" t="str">
        <f t="shared" si="23"/>
        <v/>
      </c>
      <c r="DA30" s="79" t="str">
        <f t="shared" si="24"/>
        <v/>
      </c>
      <c r="DB30" s="79" t="str">
        <f t="shared" si="25"/>
        <v/>
      </c>
      <c r="DC30" s="79" t="str">
        <f t="shared" si="26"/>
        <v/>
      </c>
      <c r="DD30" s="79" t="str">
        <f t="shared" si="27"/>
        <v/>
      </c>
      <c r="DE30" s="79" t="str">
        <f t="shared" si="28"/>
        <v/>
      </c>
      <c r="DF30" s="79" t="str">
        <f t="shared" si="29"/>
        <v/>
      </c>
      <c r="DG30" s="79" t="str">
        <f t="shared" si="30"/>
        <v/>
      </c>
      <c r="DH30" s="76"/>
      <c r="DI30" s="78"/>
      <c r="DJ30" s="76"/>
      <c r="DK30" s="77"/>
      <c r="DL30" s="77"/>
      <c r="DM30" s="77"/>
      <c r="DN30" s="80"/>
      <c r="DO30" s="80"/>
      <c r="DP30" s="92" t="str">
        <f>IF(Table1[Start Date]="","",IF(Table1[Start Date]&gt;42185,"",IF(AND(Table1[Leaving Date]&gt;1,Table1[Leaving Date]&lt;42095),"",1)))</f>
        <v/>
      </c>
      <c r="DQ30" s="92" t="str">
        <f>IF(Table1[Start Date]="","",IF(Table1[Start Date]&gt;42277,"",IF(AND(Table1[Leaving Date]&gt;1,Table1[Leaving Date]&lt;42186),"",1)))</f>
        <v/>
      </c>
      <c r="DR30" s="92" t="str">
        <f>IF(Table1[Start Date]="","",IF(Table1[Start Date]&gt;42369,"",IF(AND(Table1[Leaving Date]&gt;1,Table1[Leaving Date]&lt;42278),"",1)))</f>
        <v/>
      </c>
      <c r="DS30" s="92" t="str">
        <f>IF(Table1[Start Date]="","",IF(Table1[Start Date]&gt;42460,"",IF(AND(Table1[Leaving Date]&gt;1,Table1[Leaving Date]&lt;42370),"",1)))</f>
        <v/>
      </c>
      <c r="DT30" s="92" t="str">
        <f>IF(Table1[Start Date]="","",IF(Table1[Start Date]&gt;42551,"",IF(AND(Table1[Leaving Date]&gt;1,Table1[Leaving Date]&lt;42461),"",1)))</f>
        <v/>
      </c>
      <c r="DU30" s="92" t="str">
        <f>IF(Table1[Start Date]="","",IF(Table1[Start Date]&gt;42643,"",IF(AND(Table1[Leaving Date]&gt;1,Table1[Leaving Date]&lt;42552),"",1)))</f>
        <v/>
      </c>
      <c r="DV30" s="92" t="str">
        <f>IF(Table1[Start Date]="","",IF(Table1[Start Date]&gt;42735,"",IF(AND(Table1[Leaving Date]&gt;1,Table1[Leaving Date]&lt;42644),"",1)))</f>
        <v/>
      </c>
      <c r="DW30" s="92" t="str">
        <f>IF(Table1[Start Date]="","",IF(Table1[Start Date]&gt;42825,"",IF(AND(Table1[Leaving Date]&gt;1,Table1[Leaving Date]&lt;42736),"",1)))</f>
        <v/>
      </c>
      <c r="DX30"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30" s="44" t="e">
        <f>VLOOKUP(Table1[Referral Source],Lists!$G$2:$H$20,2,FALSE)</f>
        <v>#N/A</v>
      </c>
      <c r="DZ30" s="93" t="e">
        <f>SUM(Table1[Data Referral Quarter]+Table1[Data Referral Source])</f>
        <v>#N/A</v>
      </c>
      <c r="EA30" s="44" t="b">
        <f>IF(Table1[Referral Decision]="Accepted",100,IF(Table1[Referral Decision]="Rejected by Provider",200,IF(Table1[Referral Decision]="Rejected by Applicant",300)))</f>
        <v>0</v>
      </c>
      <c r="EB30" s="44">
        <f>SUM(Table1[Data Referral Quarter]+Table1[Data Referral Decision])</f>
        <v>0</v>
      </c>
      <c r="EC30" s="44" t="b">
        <f>IF(Table1[Start Date]&gt;42735,8000,IF(Table1[Start Date]&gt;42643,7000,IF(Table1[Start Date]&gt;42551,6000,IF(Table1[Start Date]&gt;42460,5000,IF(Table1[Start Date]&gt;42369,4000,IF(Table1[Start Date]&gt;42277,3000,IF(Table1[Start Date]&gt;42185,2000,IF(Table1[Start Date]&gt;42094,1000))))))))</f>
        <v>0</v>
      </c>
      <c r="ED30" s="44" t="str">
        <f>IF(Table1[Start Date]="","",IF(Table1[Current Local Authority]="Swindon",1,"2"))</f>
        <v/>
      </c>
      <c r="EE30" s="44" t="e">
        <f>SUM(Table1[Data Start Date]+Table1[Data Local Authority])</f>
        <v>#VALUE!</v>
      </c>
      <c r="EF30" s="44">
        <f>IF(Table1[Registered with GP]="Yes",1,0)</f>
        <v>0</v>
      </c>
      <c r="EG30" s="44">
        <f>SUM(Table1[Data Start Date]+Table1[Data GP Start])</f>
        <v>0</v>
      </c>
      <c r="EH30" s="44" t="str">
        <f>IF(Table1[EET]="NEET",1,IF(Table1[EET]="Education",2,IF(Table1[EET]="Employment",2,IF(Table1[EET]="Training",2,IF(Table1[EET]="Retired",3,"")))))</f>
        <v/>
      </c>
      <c r="EI30" s="44" t="e">
        <f>Table1[Data Start Date]+Table1[Data EET Start]</f>
        <v>#VALUE!</v>
      </c>
      <c r="EJ30" s="44" t="b">
        <f>IF(Table1[Leaving Date]&gt;42735,8000,IF(Table1[Leaving Date]&gt;42643,7000,IF(Table1[Leaving Date]&gt;42551,6000,IF(Table1[Leaving Date]&gt;42460,5000,IF(Table1[Leaving Date]&gt;42369,4000,IF(Table1[Leaving Date]&gt;42277,3000,IF(Table1[Leaving Date]&gt;42185,2000,IF(Table1[Leaving Date]&gt;42094,1000))))))))</f>
        <v>0</v>
      </c>
      <c r="EK30" s="44" t="e">
        <f>VLOOKUP(Table1[Reason for Leaving],Lists!$T$2:$U$15,2,FALSE)</f>
        <v>#N/A</v>
      </c>
      <c r="EL30" s="44" t="e">
        <f>SUM(Table1[Data Leavers Date]+Table1[Data Move On])</f>
        <v>#N/A</v>
      </c>
      <c r="EM30" s="44" t="b">
        <f>IF(Table1[Registered with GP2]="Yes",1,IF(Table1[Registered with GP2]="No",0,IF(Table1[Registered with GP]="Yes",1,IF(Table1[Registered with GP]="No",0))))</f>
        <v>0</v>
      </c>
      <c r="EN30" s="44">
        <f>SUM(Table1[Data Leavers Date]+Table1[Data GP End])</f>
        <v>0</v>
      </c>
      <c r="EO30" s="44" t="str">
        <f>IF(Table1[EET2]="NEET",1,IF(Table1[EET2]="Employment",2,IF(Table1[EET2]="Education",2,IF(Table1[EET2]="Training",2,IF(Table1[EET2]="Retired",3,IF(Table1[EET]="NEET",1,IF(Table1[EET]="Employment",2,IF(Table1[EET]="Education",2,IF(Table1[EET]="Training",2,IF(Table1[EET]="Retired",3,""))))))))))</f>
        <v/>
      </c>
      <c r="EP30" s="44" t="e">
        <f>+Table1[[#This Row],[Data Leavers Date]]+Table1[[#This Row],[Data EET End]]</f>
        <v>#VALUE!</v>
      </c>
      <c r="EQ30" s="44">
        <f>IF(Table1[Exit Form Received]="Yes",1,0)</f>
        <v>0</v>
      </c>
      <c r="ER30" s="44">
        <f>+Table1[[#This Row],[Data Leavers Date]]+Table1[[#This Row],[Data Exit Forms]]</f>
        <v>0</v>
      </c>
      <c r="ES30" s="44" t="str">
        <f>IF(Table1[Data Leavers Date]=1000,SUM(Table1[Leaving Date]-Table1[Start Date]),"")</f>
        <v/>
      </c>
      <c r="ET30" s="44" t="str">
        <f>IF(Table1[Data Leavers Date]=2000,SUM(Table1[Leaving Date]-Table1[Start Date]),"")</f>
        <v/>
      </c>
      <c r="EU30" s="44" t="str">
        <f>IF(Table1[Data Leavers Date]=3000,SUM(Table1[Leaving Date]-Table1[Start Date]),"")</f>
        <v/>
      </c>
      <c r="EV30" s="44" t="str">
        <f>IF(Table1[Data Leavers Date]=4000,SUM(Table1[Leaving Date]-Table1[Start Date]),"")</f>
        <v/>
      </c>
      <c r="EW30" s="44" t="str">
        <f>IF(Table1[Data Leavers Date]=5000,SUM(Table1[Leaving Date]-Table1[Start Date]),"")</f>
        <v/>
      </c>
      <c r="EX30" s="44" t="str">
        <f>IF(Table1[Data Leavers Date]=6000,SUM(Table1[Leaving Date]-Table1[Start Date]),"")</f>
        <v/>
      </c>
      <c r="EY30" s="44" t="str">
        <f>IF(Table1[Data Leavers Date]=7000,SUM(Table1[Leaving Date]-Table1[Start Date]),"")</f>
        <v/>
      </c>
      <c r="EZ30" s="44" t="str">
        <f>IF(Table1[Data Leavers Date]=8000,SUM(Table1[Leaving Date]-Table1[Start Date]),"")</f>
        <v/>
      </c>
      <c r="FA30" s="44" t="str">
        <f>IF(Table1[Date of Initial Assessment]="","",IF(AND(Table1[Start Date]&gt;42094,Table1[Start Date]&lt;42461),Table1[Motivation and Taking Responsibility],""))</f>
        <v/>
      </c>
      <c r="FB30" s="44" t="str">
        <f>IF(Table1[Date of Initial Assessment]="","",IF(AND(Table1[Start Date]&gt;42094,Table1[Start Date]&lt;42461),Table1[Self-Care and Living Skills],""))</f>
        <v/>
      </c>
      <c r="FC30" s="44" t="str">
        <f>IF(Table1[Date of Initial Assessment]="","",IF(AND(Table1[Start Date]&gt;42094,Table1[Start Date]&lt;42461),Table1[Managing Money and Personal Administration],""))</f>
        <v/>
      </c>
      <c r="FD30" s="44" t="str">
        <f>IF(Table1[Date of Initial Assessment]="","",IF(AND(Table1[Start Date]&gt;42094,Table1[Start Date]&lt;42461),Table1[Social Networks and Relationships],""))</f>
        <v/>
      </c>
      <c r="FE30" s="44" t="str">
        <f>IF(Table1[Date of Initial Assessment]="","",IF(AND(Table1[Start Date]&gt;42094,Table1[Start Date]&lt;42461),Table1[Drug and Alcohol Misuse],""))</f>
        <v/>
      </c>
      <c r="FF30" s="44" t="str">
        <f>IF(Table1[Date of Initial Assessment]="","",IF(AND(Table1[Start Date]&gt;42094,Table1[Start Date]&lt;42461),Table1[Physical Health],""))</f>
        <v/>
      </c>
      <c r="FG30" s="44" t="str">
        <f>IF(Table1[Date of Initial Assessment]="","",IF(AND(Table1[Start Date]&gt;42094,Table1[Start Date]&lt;42461),Table1[Emotional and Mental Health],""))</f>
        <v/>
      </c>
      <c r="FH30" s="44" t="str">
        <f>IF(Table1[Date of Initial Assessment]="","",IF(AND(Table1[Start Date]&gt;42094,Table1[Start Date]&lt;42461),Table1[Meaningful Use of Time],""))</f>
        <v/>
      </c>
      <c r="FI30" s="44" t="str">
        <f>IF(Table1[Date of Initial Assessment]="","",IF(AND(Table1[Start Date]&gt;42094,Table1[Start Date]&lt;42461),Table1[Managing Tenancy and Accommodation],""))</f>
        <v/>
      </c>
      <c r="FJ30" s="44" t="str">
        <f>IF(Table1[Date of Initial Assessment]="","",IF(AND(Table1[Start Date]&gt;42094,Table1[Start Date]&lt;42461),Table1[Offending],""))</f>
        <v/>
      </c>
      <c r="FK30" s="44" t="str">
        <f>IF(Table1[Leaving Date]="","",IF(Table1[Date of Initial Assessment]="","",IF(AND(Table1[Leaving Date]&gt;42094,Table1[Leaving Date]&lt;42461),IF(Table1[Date of Last Assessment]="",Table1[Motivation and Taking Responsibility],Table1[Motivation and Taking Responsibility2]),"")))</f>
        <v/>
      </c>
      <c r="FL30" s="44" t="str">
        <f>IF(Table1[Leaving Date]="","",IF(Table1[Date of Initial Assessment]="","",IF(AND(Table1[Leaving Date]&gt;42094,Table1[Leaving Date]&lt;42461),IF(Table1[Date of Last Assessment]="",Table1[Self-Care and Living Skills],Table1[Self-Care and Living Skills2]),"")))</f>
        <v/>
      </c>
      <c r="FM30" s="44" t="str">
        <f>IF(Table1[Leaving Date]="","",IF(Table1[Date of Initial Assessment]="","",IF(AND(Table1[Leaving Date]&gt;42094,Table1[Leaving Date]&lt;42461),IF(Table1[Date of Last Assessment]="",Table1[Managing Money and Personal Administration],Table1[Managing Money and Personal Administration2]),"")))</f>
        <v/>
      </c>
      <c r="FN30" s="44" t="str">
        <f>IF(Table1[Leaving Date]="","",IF(Table1[Date of Initial Assessment]="","",IF(AND(Table1[Leaving Date]&gt;42094,Table1[Leaving Date]&lt;42461),IF(Table1[Date of Last Assessment]="",Table1[Social Networks and Relationships],Table1[Social Networks and Relationships2]),"")))</f>
        <v/>
      </c>
      <c r="FO30" s="44" t="str">
        <f>IF(Table1[Leaving Date]="","",IF(Table1[Date of Initial Assessment]="","",IF(AND(Table1[Leaving Date]&gt;42094,Table1[Leaving Date]&lt;42461),IF(Table1[Date of Last Assessment]="",Table1[Drug and Alcohol Misuse],Table1[Drug and Alcohol Misuse2]),"")))</f>
        <v/>
      </c>
      <c r="FP30" s="44" t="str">
        <f>IF(Table1[Leaving Date]="","",IF(Table1[Date of Initial Assessment]="","",IF(AND(Table1[Leaving Date]&gt;42094,Table1[Leaving Date]&lt;42461),IF(Table1[Date of Last Assessment]="",Table1[Physical Health],Table1[Physical Health2]),"")))</f>
        <v/>
      </c>
      <c r="FQ30" s="44" t="str">
        <f>IF(Table1[Leaving Date]="","",IF(Table1[Date of Initial Assessment]="","",IF(AND(Table1[Leaving Date]&gt;42094,Table1[Leaving Date]&lt;42461),IF(Table1[Date of Last Assessment]="",Table1[Emotional and Mental Health],Table1[Emotional and Mental Health2]),"")))</f>
        <v/>
      </c>
      <c r="FR30" s="44" t="str">
        <f>IF(Table1[Leaving Date]="","",IF(Table1[Date of Initial Assessment]="","",IF(AND(Table1[Leaving Date]&gt;42094,Table1[Leaving Date]&lt;42461),IF(Table1[Date of Last Assessment]="",Table1[Meaningful Use of Time],Table1[Meaningful Use of Time2]),"")))</f>
        <v/>
      </c>
      <c r="FS30" s="44" t="str">
        <f>IF(Table1[Leaving Date]="","",IF(Table1[Date of Initial Assessment]="","",IF(AND(Table1[Leaving Date]&gt;42094,Table1[Leaving Date]&lt;42461),IF(Table1[Date of Last Assessment]="",Table1[Managing Tenancy and Accommodation],Table1[Managing Tenancy and Accommodation2]),"")))</f>
        <v/>
      </c>
      <c r="FT30" s="44" t="str">
        <f>IF(Table1[Leaving Date]="","",IF(Table1[Date of Initial Assessment]="","",IF(AND(Table1[Leaving Date]&gt;42094,Table1[Leaving Date]&lt;42461),IF(Table1[Date of Last Assessment]="",Table1[Offending],Table1[Offending2]),"")))</f>
        <v/>
      </c>
      <c r="FU30" s="44" t="str">
        <f>IF(Table1[Date of Initial Assessment]="","",IF(AND(Table1[Start Date]&gt;42460,Table1[Start Date]&lt;42826),Table1[Motivation and Taking Responsibility],""))</f>
        <v/>
      </c>
      <c r="FV30" s="44" t="str">
        <f>IF(Table1[Date of Initial Assessment]="","",IF(AND(Table1[Start Date]&gt;42460,Table1[Start Date]&lt;42826),Table1[Self-Care and Living Skills],""))</f>
        <v/>
      </c>
      <c r="FW30" s="44" t="str">
        <f>IF(Table1[Date of Initial Assessment]="","",IF(AND(Table1[Start Date]&gt;42460,Table1[Start Date]&lt;42826),Table1[Managing Money and Personal Administration],""))</f>
        <v/>
      </c>
      <c r="FX30" s="44" t="str">
        <f>IF(Table1[Date of Initial Assessment]="","",IF(AND(Table1[Start Date]&gt;42460,Table1[Start Date]&lt;42826),Table1[Social Networks and Relationships],""))</f>
        <v/>
      </c>
      <c r="FY30" s="44" t="str">
        <f>IF(Table1[Date of Initial Assessment]="","",IF(AND(Table1[Start Date]&gt;42460,Table1[Start Date]&lt;42826),Table1[Drug and Alcohol Misuse],""))</f>
        <v/>
      </c>
      <c r="FZ30" s="44" t="str">
        <f>IF(Table1[Date of Initial Assessment]="","",IF(AND(Table1[Start Date]&gt;42460,Table1[Start Date]&lt;42826),Table1[Physical Health],""))</f>
        <v/>
      </c>
      <c r="GA30" s="44" t="str">
        <f>IF(Table1[Date of Initial Assessment]="","",IF(AND(Table1[Start Date]&gt;42460,Table1[Start Date]&lt;42826),Table1[Emotional and Mental Health],""))</f>
        <v/>
      </c>
      <c r="GB30" s="44" t="str">
        <f>IF(Table1[Date of Initial Assessment]="","",IF(AND(Table1[Start Date]&gt;42460,Table1[Start Date]&lt;42826),Table1[Meaningful Use of Time],""))</f>
        <v/>
      </c>
      <c r="GC30" s="44" t="str">
        <f>IF(Table1[Date of Initial Assessment]="","",IF(AND(Table1[Start Date]&gt;42460,Table1[Start Date]&lt;42826),Table1[Managing Tenancy and Accommodation],""))</f>
        <v/>
      </c>
      <c r="GD30" s="44" t="str">
        <f>IF(Table1[Date of Initial Assessment]="","",IF(AND(Table1[Start Date]&gt;42460,Table1[Start Date]&lt;42826),Table1[Offending],""))</f>
        <v/>
      </c>
      <c r="GE30" s="44" t="str">
        <f>IF(Table1[Leaving Date]="","",IF(AND(Table1[Leaving Date]&gt;42460,Table1[Leaving Date]&lt;42826),IF(Table1[Date of Last Assessment]="",Table1[Motivation and Taking Responsibility],Table1[Motivation and Taking Responsibility2]),""))</f>
        <v/>
      </c>
      <c r="GF30" s="44" t="str">
        <f>IF(Table1[Leaving Date]="","",IF(AND(Table1[Leaving Date]&gt;42460,Table1[Leaving Date]&lt;42826),IF(Table1[Date of Last Assessment]="",Table1[Self-Care and Living Skills],Table1[Self-Care and Living Skills2]),""))</f>
        <v/>
      </c>
      <c r="GG30" s="44" t="str">
        <f>IF(Table1[Leaving Date]="","",IF(AND(Table1[Leaving Date]&gt;42460,Table1[Leaving Date]&lt;42826),IF(Table1[Date of Last Assessment]="",Table1[Managing Money and Personal Administration],Table1[Managing Money and Personal Administration2]),""))</f>
        <v/>
      </c>
      <c r="GH30" s="44" t="str">
        <f>IF(Table1[Leaving Date]="","",IF(AND(Table1[Leaving Date]&gt;42460,Table1[Leaving Date]&lt;42826),IF(Table1[Date of Last Assessment]="",Table1[Social Networks and Relationships],Table1[Social Networks and Relationships2]),""))</f>
        <v/>
      </c>
      <c r="GI30" s="44" t="str">
        <f>IF(Table1[Leaving Date]="","",IF(AND(Table1[Leaving Date]&gt;42460,Table1[Leaving Date]&lt;42826),IF(Table1[Date of Last Assessment]="",Table1[Drug and Alcohol Misuse],Table1[Drug and Alcohol Misuse2]),""))</f>
        <v/>
      </c>
      <c r="GJ30" s="44" t="str">
        <f>IF(Table1[Leaving Date]="","",IF(AND(Table1[Leaving Date]&gt;42460,Table1[Leaving Date]&lt;42826),IF(Table1[Date of Last Assessment]="",Table1[Physical Health],Table1[Physical Health2]),""))</f>
        <v/>
      </c>
      <c r="GK30" s="44" t="str">
        <f>IF(Table1[Leaving Date]="","",IF(AND(Table1[Leaving Date]&gt;42460,Table1[Leaving Date]&lt;42826),IF(Table1[Date of Last Assessment]="",Table1[Emotional and Mental Health],Table1[Emotional and Mental Health2]),""))</f>
        <v/>
      </c>
      <c r="GL30" s="44" t="str">
        <f>IF(Table1[Leaving Date]="","",IF(AND(Table1[Leaving Date]&gt;42460,Table1[Leaving Date]&lt;42826),IF(Table1[Date of Last Assessment]="",Table1[Meaningful Use of Time],Table1[Meaningful Use of Time2]),""))</f>
        <v/>
      </c>
      <c r="GM30" s="44" t="str">
        <f>IF(Table1[Leaving Date]="","",IF(AND(Table1[Leaving Date]&gt;42460,Table1[Leaving Date]&lt;42826),IF(Table1[Date of Last Assessment]="",Table1[Managing Tenancy and Accommodation],Table1[Managing Tenancy and Accommodation2]),""))</f>
        <v/>
      </c>
      <c r="GN30" s="44" t="str">
        <f>IF(Table1[Leaving Date]="","",IF(AND(Table1[Leaving Date]&gt;42460,Table1[Leaving Date]&lt;42826),IF(Table1[Date of Last Assessment]="",Table1[Offending],Table1[Offending2]),""))</f>
        <v/>
      </c>
    </row>
    <row r="31" spans="2:196" ht="20.100000000000001" customHeight="1" x14ac:dyDescent="0.2">
      <c r="B31" s="86">
        <f>+'Service Data'!$C$5:$C$5</f>
        <v>0</v>
      </c>
      <c r="C31" s="86"/>
      <c r="D31" s="86"/>
      <c r="E31" s="86"/>
      <c r="F31" s="86"/>
      <c r="G31" s="86"/>
      <c r="H31" s="6"/>
      <c r="I31" s="99" t="str">
        <f ca="1">IF(Table1[[#This Row],[Date of Birth]]="","",SUM(TODAY()-Table1[[#This Row],[Date of Birth]])/365)</f>
        <v/>
      </c>
      <c r="L31" s="86"/>
      <c r="M31" s="77"/>
      <c r="N31" s="86"/>
      <c r="O31" s="86"/>
      <c r="P31" s="91"/>
      <c r="Q31" s="86"/>
      <c r="R31" s="77"/>
      <c r="S31" s="77"/>
      <c r="T31" s="68"/>
      <c r="U31" s="68"/>
      <c r="V31" s="67"/>
      <c r="W31" s="67"/>
      <c r="X31" s="67"/>
      <c r="Y31" s="67"/>
      <c r="Z31" s="67"/>
      <c r="AA31" s="67"/>
      <c r="AB31" s="67"/>
      <c r="AC31" s="67"/>
      <c r="AD31" s="67"/>
      <c r="AE31" s="67"/>
      <c r="AF31" s="67"/>
      <c r="AG31" s="67"/>
      <c r="AH31" s="67"/>
      <c r="AI31" s="67"/>
      <c r="AJ31" s="67"/>
      <c r="AK31" s="67"/>
      <c r="AL31" s="67"/>
      <c r="AM31" s="67"/>
      <c r="AN31" s="77"/>
      <c r="AO31" s="76"/>
      <c r="AP31" s="77"/>
      <c r="AQ31" s="76"/>
      <c r="AR31" s="76"/>
      <c r="AS31" s="76"/>
      <c r="AT31" s="76"/>
      <c r="AU31" s="76"/>
      <c r="AV31" s="77"/>
      <c r="AW31" s="76"/>
      <c r="AX31" s="77"/>
      <c r="AY31" s="76"/>
      <c r="AZ31" s="76"/>
      <c r="BA31" s="76"/>
      <c r="BB31" s="76"/>
      <c r="BC31" s="76"/>
      <c r="BD31" s="77"/>
      <c r="BE31" s="76"/>
      <c r="BF31" s="77"/>
      <c r="BG31" s="76"/>
      <c r="BH31" s="76"/>
      <c r="BI31" s="76"/>
      <c r="BJ31" s="76"/>
      <c r="BK31" s="76"/>
      <c r="BL31" s="77"/>
      <c r="BM31" s="76"/>
      <c r="BN31" s="77"/>
      <c r="BO31" s="76"/>
      <c r="BP31" s="76"/>
      <c r="BQ31" s="76"/>
      <c r="BR31" s="76"/>
      <c r="BS31" s="76"/>
      <c r="BT31" s="77"/>
      <c r="BU31" s="76"/>
      <c r="BV31" s="77"/>
      <c r="BW31" s="76"/>
      <c r="BX31" s="76"/>
      <c r="BY31" s="76"/>
      <c r="BZ31" s="76"/>
      <c r="CA31" s="76"/>
      <c r="CB31" s="77"/>
      <c r="CC31" s="76"/>
      <c r="CD31" s="77"/>
      <c r="CE31" s="76"/>
      <c r="CF31" s="76"/>
      <c r="CG31" s="76"/>
      <c r="CH31" s="76"/>
      <c r="CI31" s="76"/>
      <c r="CJ31" s="77"/>
      <c r="CK31" s="76"/>
      <c r="CL31" s="77"/>
      <c r="CM31" s="76"/>
      <c r="CN31" s="76"/>
      <c r="CO31" s="76"/>
      <c r="CP31" s="76"/>
      <c r="CQ31" s="76"/>
      <c r="CR31" s="78" t="str">
        <f t="shared" si="15"/>
        <v/>
      </c>
      <c r="CS31" s="79" t="str">
        <f t="shared" si="16"/>
        <v/>
      </c>
      <c r="CT31" s="79" t="str">
        <f t="shared" si="17"/>
        <v/>
      </c>
      <c r="CU31" s="79" t="str">
        <f t="shared" si="18"/>
        <v/>
      </c>
      <c r="CV31" s="79" t="str">
        <f t="shared" si="19"/>
        <v/>
      </c>
      <c r="CW31" s="79" t="str">
        <f t="shared" si="20"/>
        <v/>
      </c>
      <c r="CX31" s="79" t="str">
        <f t="shared" si="21"/>
        <v/>
      </c>
      <c r="CY31" s="79" t="str">
        <f t="shared" si="22"/>
        <v/>
      </c>
      <c r="CZ31" s="79" t="str">
        <f t="shared" si="23"/>
        <v/>
      </c>
      <c r="DA31" s="79" t="str">
        <f t="shared" si="24"/>
        <v/>
      </c>
      <c r="DB31" s="79" t="str">
        <f t="shared" si="25"/>
        <v/>
      </c>
      <c r="DC31" s="79" t="str">
        <f t="shared" si="26"/>
        <v/>
      </c>
      <c r="DD31" s="79" t="str">
        <f t="shared" si="27"/>
        <v/>
      </c>
      <c r="DE31" s="79" t="str">
        <f t="shared" si="28"/>
        <v/>
      </c>
      <c r="DF31" s="79" t="str">
        <f t="shared" si="29"/>
        <v/>
      </c>
      <c r="DG31" s="79" t="str">
        <f t="shared" si="30"/>
        <v/>
      </c>
      <c r="DH31" s="76"/>
      <c r="DI31" s="78"/>
      <c r="DJ31" s="76"/>
      <c r="DK31" s="77"/>
      <c r="DL31" s="77"/>
      <c r="DM31" s="77"/>
      <c r="DN31" s="80"/>
      <c r="DO31" s="80"/>
      <c r="DP31" s="92" t="str">
        <f>IF(Table1[Start Date]="","",IF(Table1[Start Date]&gt;42185,"",IF(AND(Table1[Leaving Date]&gt;1,Table1[Leaving Date]&lt;42095),"",1)))</f>
        <v/>
      </c>
      <c r="DQ31" s="92" t="str">
        <f>IF(Table1[Start Date]="","",IF(Table1[Start Date]&gt;42277,"",IF(AND(Table1[Leaving Date]&gt;1,Table1[Leaving Date]&lt;42186),"",1)))</f>
        <v/>
      </c>
      <c r="DR31" s="92" t="str">
        <f>IF(Table1[Start Date]="","",IF(Table1[Start Date]&gt;42369,"",IF(AND(Table1[Leaving Date]&gt;1,Table1[Leaving Date]&lt;42278),"",1)))</f>
        <v/>
      </c>
      <c r="DS31" s="92" t="str">
        <f>IF(Table1[Start Date]="","",IF(Table1[Start Date]&gt;42460,"",IF(AND(Table1[Leaving Date]&gt;1,Table1[Leaving Date]&lt;42370),"",1)))</f>
        <v/>
      </c>
      <c r="DT31" s="92" t="str">
        <f>IF(Table1[Start Date]="","",IF(Table1[Start Date]&gt;42551,"",IF(AND(Table1[Leaving Date]&gt;1,Table1[Leaving Date]&lt;42461),"",1)))</f>
        <v/>
      </c>
      <c r="DU31" s="92" t="str">
        <f>IF(Table1[Start Date]="","",IF(Table1[Start Date]&gt;42643,"",IF(AND(Table1[Leaving Date]&gt;1,Table1[Leaving Date]&lt;42552),"",1)))</f>
        <v/>
      </c>
      <c r="DV31" s="92" t="str">
        <f>IF(Table1[Start Date]="","",IF(Table1[Start Date]&gt;42735,"",IF(AND(Table1[Leaving Date]&gt;1,Table1[Leaving Date]&lt;42644),"",1)))</f>
        <v/>
      </c>
      <c r="DW31" s="92" t="str">
        <f>IF(Table1[Start Date]="","",IF(Table1[Start Date]&gt;42825,"",IF(AND(Table1[Leaving Date]&gt;1,Table1[Leaving Date]&lt;42736),"",1)))</f>
        <v/>
      </c>
      <c r="DX31"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31" s="44" t="e">
        <f>VLOOKUP(Table1[Referral Source],Lists!$G$2:$H$20,2,FALSE)</f>
        <v>#N/A</v>
      </c>
      <c r="DZ31" s="93" t="e">
        <f>SUM(Table1[Data Referral Quarter]+Table1[Data Referral Source])</f>
        <v>#N/A</v>
      </c>
      <c r="EA31" s="44" t="b">
        <f>IF(Table1[Referral Decision]="Accepted",100,IF(Table1[Referral Decision]="Rejected by Provider",200,IF(Table1[Referral Decision]="Rejected by Applicant",300)))</f>
        <v>0</v>
      </c>
      <c r="EB31" s="44">
        <f>SUM(Table1[Data Referral Quarter]+Table1[Data Referral Decision])</f>
        <v>0</v>
      </c>
      <c r="EC31" s="44" t="b">
        <f>IF(Table1[Start Date]&gt;42735,8000,IF(Table1[Start Date]&gt;42643,7000,IF(Table1[Start Date]&gt;42551,6000,IF(Table1[Start Date]&gt;42460,5000,IF(Table1[Start Date]&gt;42369,4000,IF(Table1[Start Date]&gt;42277,3000,IF(Table1[Start Date]&gt;42185,2000,IF(Table1[Start Date]&gt;42094,1000))))))))</f>
        <v>0</v>
      </c>
      <c r="ED31" s="44" t="str">
        <f>IF(Table1[Start Date]="","",IF(Table1[Current Local Authority]="Swindon",1,"2"))</f>
        <v/>
      </c>
      <c r="EE31" s="44" t="e">
        <f>SUM(Table1[Data Start Date]+Table1[Data Local Authority])</f>
        <v>#VALUE!</v>
      </c>
      <c r="EF31" s="44">
        <f>IF(Table1[Registered with GP]="Yes",1,0)</f>
        <v>0</v>
      </c>
      <c r="EG31" s="44">
        <f>SUM(Table1[Data Start Date]+Table1[Data GP Start])</f>
        <v>0</v>
      </c>
      <c r="EH31" s="44" t="str">
        <f>IF(Table1[EET]="NEET",1,IF(Table1[EET]="Education",2,IF(Table1[EET]="Employment",2,IF(Table1[EET]="Training",2,IF(Table1[EET]="Retired",3,"")))))</f>
        <v/>
      </c>
      <c r="EI31" s="44" t="e">
        <f>Table1[Data Start Date]+Table1[Data EET Start]</f>
        <v>#VALUE!</v>
      </c>
      <c r="EJ31" s="44" t="b">
        <f>IF(Table1[Leaving Date]&gt;42735,8000,IF(Table1[Leaving Date]&gt;42643,7000,IF(Table1[Leaving Date]&gt;42551,6000,IF(Table1[Leaving Date]&gt;42460,5000,IF(Table1[Leaving Date]&gt;42369,4000,IF(Table1[Leaving Date]&gt;42277,3000,IF(Table1[Leaving Date]&gt;42185,2000,IF(Table1[Leaving Date]&gt;42094,1000))))))))</f>
        <v>0</v>
      </c>
      <c r="EK31" s="44" t="e">
        <f>VLOOKUP(Table1[Reason for Leaving],Lists!$T$2:$U$15,2,FALSE)</f>
        <v>#N/A</v>
      </c>
      <c r="EL31" s="44" t="e">
        <f>SUM(Table1[Data Leavers Date]+Table1[Data Move On])</f>
        <v>#N/A</v>
      </c>
      <c r="EM31" s="44" t="b">
        <f>IF(Table1[Registered with GP2]="Yes",1,IF(Table1[Registered with GP2]="No",0,IF(Table1[Registered with GP]="Yes",1,IF(Table1[Registered with GP]="No",0))))</f>
        <v>0</v>
      </c>
      <c r="EN31" s="44">
        <f>SUM(Table1[Data Leavers Date]+Table1[Data GP End])</f>
        <v>0</v>
      </c>
      <c r="EO31" s="44" t="str">
        <f>IF(Table1[EET2]="NEET",1,IF(Table1[EET2]="Employment",2,IF(Table1[EET2]="Education",2,IF(Table1[EET2]="Training",2,IF(Table1[EET2]="Retired",3,IF(Table1[EET]="NEET",1,IF(Table1[EET]="Employment",2,IF(Table1[EET]="Education",2,IF(Table1[EET]="Training",2,IF(Table1[EET]="Retired",3,""))))))))))</f>
        <v/>
      </c>
      <c r="EP31" s="44" t="e">
        <f>+Table1[[#This Row],[Data Leavers Date]]+Table1[[#This Row],[Data EET End]]</f>
        <v>#VALUE!</v>
      </c>
      <c r="EQ31" s="44">
        <f>IF(Table1[Exit Form Received]="Yes",1,0)</f>
        <v>0</v>
      </c>
      <c r="ER31" s="44">
        <f>+Table1[[#This Row],[Data Leavers Date]]+Table1[[#This Row],[Data Exit Forms]]</f>
        <v>0</v>
      </c>
      <c r="ES31" s="44" t="str">
        <f>IF(Table1[Data Leavers Date]=1000,SUM(Table1[Leaving Date]-Table1[Start Date]),"")</f>
        <v/>
      </c>
      <c r="ET31" s="44" t="str">
        <f>IF(Table1[Data Leavers Date]=2000,SUM(Table1[Leaving Date]-Table1[Start Date]),"")</f>
        <v/>
      </c>
      <c r="EU31" s="44" t="str">
        <f>IF(Table1[Data Leavers Date]=3000,SUM(Table1[Leaving Date]-Table1[Start Date]),"")</f>
        <v/>
      </c>
      <c r="EV31" s="44" t="str">
        <f>IF(Table1[Data Leavers Date]=4000,SUM(Table1[Leaving Date]-Table1[Start Date]),"")</f>
        <v/>
      </c>
      <c r="EW31" s="44" t="str">
        <f>IF(Table1[Data Leavers Date]=5000,SUM(Table1[Leaving Date]-Table1[Start Date]),"")</f>
        <v/>
      </c>
      <c r="EX31" s="44" t="str">
        <f>IF(Table1[Data Leavers Date]=6000,SUM(Table1[Leaving Date]-Table1[Start Date]),"")</f>
        <v/>
      </c>
      <c r="EY31" s="44" t="str">
        <f>IF(Table1[Data Leavers Date]=7000,SUM(Table1[Leaving Date]-Table1[Start Date]),"")</f>
        <v/>
      </c>
      <c r="EZ31" s="44" t="str">
        <f>IF(Table1[Data Leavers Date]=8000,SUM(Table1[Leaving Date]-Table1[Start Date]),"")</f>
        <v/>
      </c>
      <c r="FA31" s="44" t="str">
        <f>IF(Table1[Date of Initial Assessment]="","",IF(AND(Table1[Start Date]&gt;42094,Table1[Start Date]&lt;42461),Table1[Motivation and Taking Responsibility],""))</f>
        <v/>
      </c>
      <c r="FB31" s="44" t="str">
        <f>IF(Table1[Date of Initial Assessment]="","",IF(AND(Table1[Start Date]&gt;42094,Table1[Start Date]&lt;42461),Table1[Self-Care and Living Skills],""))</f>
        <v/>
      </c>
      <c r="FC31" s="44" t="str">
        <f>IF(Table1[Date of Initial Assessment]="","",IF(AND(Table1[Start Date]&gt;42094,Table1[Start Date]&lt;42461),Table1[Managing Money and Personal Administration],""))</f>
        <v/>
      </c>
      <c r="FD31" s="44" t="str">
        <f>IF(Table1[Date of Initial Assessment]="","",IF(AND(Table1[Start Date]&gt;42094,Table1[Start Date]&lt;42461),Table1[Social Networks and Relationships],""))</f>
        <v/>
      </c>
      <c r="FE31" s="44" t="str">
        <f>IF(Table1[Date of Initial Assessment]="","",IF(AND(Table1[Start Date]&gt;42094,Table1[Start Date]&lt;42461),Table1[Drug and Alcohol Misuse],""))</f>
        <v/>
      </c>
      <c r="FF31" s="44" t="str">
        <f>IF(Table1[Date of Initial Assessment]="","",IF(AND(Table1[Start Date]&gt;42094,Table1[Start Date]&lt;42461),Table1[Physical Health],""))</f>
        <v/>
      </c>
      <c r="FG31" s="44" t="str">
        <f>IF(Table1[Date of Initial Assessment]="","",IF(AND(Table1[Start Date]&gt;42094,Table1[Start Date]&lt;42461),Table1[Emotional and Mental Health],""))</f>
        <v/>
      </c>
      <c r="FH31" s="44" t="str">
        <f>IF(Table1[Date of Initial Assessment]="","",IF(AND(Table1[Start Date]&gt;42094,Table1[Start Date]&lt;42461),Table1[Meaningful Use of Time],""))</f>
        <v/>
      </c>
      <c r="FI31" s="44" t="str">
        <f>IF(Table1[Date of Initial Assessment]="","",IF(AND(Table1[Start Date]&gt;42094,Table1[Start Date]&lt;42461),Table1[Managing Tenancy and Accommodation],""))</f>
        <v/>
      </c>
      <c r="FJ31" s="44" t="str">
        <f>IF(Table1[Date of Initial Assessment]="","",IF(AND(Table1[Start Date]&gt;42094,Table1[Start Date]&lt;42461),Table1[Offending],""))</f>
        <v/>
      </c>
      <c r="FK31" s="44" t="str">
        <f>IF(Table1[Leaving Date]="","",IF(Table1[Date of Initial Assessment]="","",IF(AND(Table1[Leaving Date]&gt;42094,Table1[Leaving Date]&lt;42461),IF(Table1[Date of Last Assessment]="",Table1[Motivation and Taking Responsibility],Table1[Motivation and Taking Responsibility2]),"")))</f>
        <v/>
      </c>
      <c r="FL31" s="44" t="str">
        <f>IF(Table1[Leaving Date]="","",IF(Table1[Date of Initial Assessment]="","",IF(AND(Table1[Leaving Date]&gt;42094,Table1[Leaving Date]&lt;42461),IF(Table1[Date of Last Assessment]="",Table1[Self-Care and Living Skills],Table1[Self-Care and Living Skills2]),"")))</f>
        <v/>
      </c>
      <c r="FM31" s="44" t="str">
        <f>IF(Table1[Leaving Date]="","",IF(Table1[Date of Initial Assessment]="","",IF(AND(Table1[Leaving Date]&gt;42094,Table1[Leaving Date]&lt;42461),IF(Table1[Date of Last Assessment]="",Table1[Managing Money and Personal Administration],Table1[Managing Money and Personal Administration2]),"")))</f>
        <v/>
      </c>
      <c r="FN31" s="44" t="str">
        <f>IF(Table1[Leaving Date]="","",IF(Table1[Date of Initial Assessment]="","",IF(AND(Table1[Leaving Date]&gt;42094,Table1[Leaving Date]&lt;42461),IF(Table1[Date of Last Assessment]="",Table1[Social Networks and Relationships],Table1[Social Networks and Relationships2]),"")))</f>
        <v/>
      </c>
      <c r="FO31" s="44" t="str">
        <f>IF(Table1[Leaving Date]="","",IF(Table1[Date of Initial Assessment]="","",IF(AND(Table1[Leaving Date]&gt;42094,Table1[Leaving Date]&lt;42461),IF(Table1[Date of Last Assessment]="",Table1[Drug and Alcohol Misuse],Table1[Drug and Alcohol Misuse2]),"")))</f>
        <v/>
      </c>
      <c r="FP31" s="44" t="str">
        <f>IF(Table1[Leaving Date]="","",IF(Table1[Date of Initial Assessment]="","",IF(AND(Table1[Leaving Date]&gt;42094,Table1[Leaving Date]&lt;42461),IF(Table1[Date of Last Assessment]="",Table1[Physical Health],Table1[Physical Health2]),"")))</f>
        <v/>
      </c>
      <c r="FQ31" s="44" t="str">
        <f>IF(Table1[Leaving Date]="","",IF(Table1[Date of Initial Assessment]="","",IF(AND(Table1[Leaving Date]&gt;42094,Table1[Leaving Date]&lt;42461),IF(Table1[Date of Last Assessment]="",Table1[Emotional and Mental Health],Table1[Emotional and Mental Health2]),"")))</f>
        <v/>
      </c>
      <c r="FR31" s="44" t="str">
        <f>IF(Table1[Leaving Date]="","",IF(Table1[Date of Initial Assessment]="","",IF(AND(Table1[Leaving Date]&gt;42094,Table1[Leaving Date]&lt;42461),IF(Table1[Date of Last Assessment]="",Table1[Meaningful Use of Time],Table1[Meaningful Use of Time2]),"")))</f>
        <v/>
      </c>
      <c r="FS31" s="44" t="str">
        <f>IF(Table1[Leaving Date]="","",IF(Table1[Date of Initial Assessment]="","",IF(AND(Table1[Leaving Date]&gt;42094,Table1[Leaving Date]&lt;42461),IF(Table1[Date of Last Assessment]="",Table1[Managing Tenancy and Accommodation],Table1[Managing Tenancy and Accommodation2]),"")))</f>
        <v/>
      </c>
      <c r="FT31" s="44" t="str">
        <f>IF(Table1[Leaving Date]="","",IF(Table1[Date of Initial Assessment]="","",IF(AND(Table1[Leaving Date]&gt;42094,Table1[Leaving Date]&lt;42461),IF(Table1[Date of Last Assessment]="",Table1[Offending],Table1[Offending2]),"")))</f>
        <v/>
      </c>
      <c r="FU31" s="44" t="str">
        <f>IF(Table1[Date of Initial Assessment]="","",IF(AND(Table1[Start Date]&gt;42460,Table1[Start Date]&lt;42826),Table1[Motivation and Taking Responsibility],""))</f>
        <v/>
      </c>
      <c r="FV31" s="44" t="str">
        <f>IF(Table1[Date of Initial Assessment]="","",IF(AND(Table1[Start Date]&gt;42460,Table1[Start Date]&lt;42826),Table1[Self-Care and Living Skills],""))</f>
        <v/>
      </c>
      <c r="FW31" s="44" t="str">
        <f>IF(Table1[Date of Initial Assessment]="","",IF(AND(Table1[Start Date]&gt;42460,Table1[Start Date]&lt;42826),Table1[Managing Money and Personal Administration],""))</f>
        <v/>
      </c>
      <c r="FX31" s="44" t="str">
        <f>IF(Table1[Date of Initial Assessment]="","",IF(AND(Table1[Start Date]&gt;42460,Table1[Start Date]&lt;42826),Table1[Social Networks and Relationships],""))</f>
        <v/>
      </c>
      <c r="FY31" s="44" t="str">
        <f>IF(Table1[Date of Initial Assessment]="","",IF(AND(Table1[Start Date]&gt;42460,Table1[Start Date]&lt;42826),Table1[Drug and Alcohol Misuse],""))</f>
        <v/>
      </c>
      <c r="FZ31" s="44" t="str">
        <f>IF(Table1[Date of Initial Assessment]="","",IF(AND(Table1[Start Date]&gt;42460,Table1[Start Date]&lt;42826),Table1[Physical Health],""))</f>
        <v/>
      </c>
      <c r="GA31" s="44" t="str">
        <f>IF(Table1[Date of Initial Assessment]="","",IF(AND(Table1[Start Date]&gt;42460,Table1[Start Date]&lt;42826),Table1[Emotional and Mental Health],""))</f>
        <v/>
      </c>
      <c r="GB31" s="44" t="str">
        <f>IF(Table1[Date of Initial Assessment]="","",IF(AND(Table1[Start Date]&gt;42460,Table1[Start Date]&lt;42826),Table1[Meaningful Use of Time],""))</f>
        <v/>
      </c>
      <c r="GC31" s="44" t="str">
        <f>IF(Table1[Date of Initial Assessment]="","",IF(AND(Table1[Start Date]&gt;42460,Table1[Start Date]&lt;42826),Table1[Managing Tenancy and Accommodation],""))</f>
        <v/>
      </c>
      <c r="GD31" s="44" t="str">
        <f>IF(Table1[Date of Initial Assessment]="","",IF(AND(Table1[Start Date]&gt;42460,Table1[Start Date]&lt;42826),Table1[Offending],""))</f>
        <v/>
      </c>
      <c r="GE31" s="44" t="str">
        <f>IF(Table1[Leaving Date]="","",IF(AND(Table1[Leaving Date]&gt;42460,Table1[Leaving Date]&lt;42826),IF(Table1[Date of Last Assessment]="",Table1[Motivation and Taking Responsibility],Table1[Motivation and Taking Responsibility2]),""))</f>
        <v/>
      </c>
      <c r="GF31" s="44" t="str">
        <f>IF(Table1[Leaving Date]="","",IF(AND(Table1[Leaving Date]&gt;42460,Table1[Leaving Date]&lt;42826),IF(Table1[Date of Last Assessment]="",Table1[Self-Care and Living Skills],Table1[Self-Care and Living Skills2]),""))</f>
        <v/>
      </c>
      <c r="GG31" s="44" t="str">
        <f>IF(Table1[Leaving Date]="","",IF(AND(Table1[Leaving Date]&gt;42460,Table1[Leaving Date]&lt;42826),IF(Table1[Date of Last Assessment]="",Table1[Managing Money and Personal Administration],Table1[Managing Money and Personal Administration2]),""))</f>
        <v/>
      </c>
      <c r="GH31" s="44" t="str">
        <f>IF(Table1[Leaving Date]="","",IF(AND(Table1[Leaving Date]&gt;42460,Table1[Leaving Date]&lt;42826),IF(Table1[Date of Last Assessment]="",Table1[Social Networks and Relationships],Table1[Social Networks and Relationships2]),""))</f>
        <v/>
      </c>
      <c r="GI31" s="44" t="str">
        <f>IF(Table1[Leaving Date]="","",IF(AND(Table1[Leaving Date]&gt;42460,Table1[Leaving Date]&lt;42826),IF(Table1[Date of Last Assessment]="",Table1[Drug and Alcohol Misuse],Table1[Drug and Alcohol Misuse2]),""))</f>
        <v/>
      </c>
      <c r="GJ31" s="44" t="str">
        <f>IF(Table1[Leaving Date]="","",IF(AND(Table1[Leaving Date]&gt;42460,Table1[Leaving Date]&lt;42826),IF(Table1[Date of Last Assessment]="",Table1[Physical Health],Table1[Physical Health2]),""))</f>
        <v/>
      </c>
      <c r="GK31" s="44" t="str">
        <f>IF(Table1[Leaving Date]="","",IF(AND(Table1[Leaving Date]&gt;42460,Table1[Leaving Date]&lt;42826),IF(Table1[Date of Last Assessment]="",Table1[Emotional and Mental Health],Table1[Emotional and Mental Health2]),""))</f>
        <v/>
      </c>
      <c r="GL31" s="44" t="str">
        <f>IF(Table1[Leaving Date]="","",IF(AND(Table1[Leaving Date]&gt;42460,Table1[Leaving Date]&lt;42826),IF(Table1[Date of Last Assessment]="",Table1[Meaningful Use of Time],Table1[Meaningful Use of Time2]),""))</f>
        <v/>
      </c>
      <c r="GM31" s="44" t="str">
        <f>IF(Table1[Leaving Date]="","",IF(AND(Table1[Leaving Date]&gt;42460,Table1[Leaving Date]&lt;42826),IF(Table1[Date of Last Assessment]="",Table1[Managing Tenancy and Accommodation],Table1[Managing Tenancy and Accommodation2]),""))</f>
        <v/>
      </c>
      <c r="GN31" s="44" t="str">
        <f>IF(Table1[Leaving Date]="","",IF(AND(Table1[Leaving Date]&gt;42460,Table1[Leaving Date]&lt;42826),IF(Table1[Date of Last Assessment]="",Table1[Offending],Table1[Offending2]),""))</f>
        <v/>
      </c>
    </row>
    <row r="32" spans="2:196" ht="20.100000000000001" customHeight="1" x14ac:dyDescent="0.2">
      <c r="B32" s="86">
        <f>+'Service Data'!$C$5:$C$5</f>
        <v>0</v>
      </c>
      <c r="C32" s="86"/>
      <c r="D32" s="86"/>
      <c r="E32" s="86"/>
      <c r="F32" s="86"/>
      <c r="G32" s="86"/>
      <c r="H32" s="6"/>
      <c r="I32" s="99" t="str">
        <f ca="1">IF(Table1[[#This Row],[Date of Birth]]="","",SUM(TODAY()-Table1[[#This Row],[Date of Birth]])/365)</f>
        <v/>
      </c>
      <c r="L32" s="86"/>
      <c r="M32" s="77"/>
      <c r="N32" s="86"/>
      <c r="O32" s="86"/>
      <c r="P32" s="91"/>
      <c r="Q32" s="86"/>
      <c r="R32" s="77"/>
      <c r="S32" s="77"/>
      <c r="T32" s="68"/>
      <c r="U32" s="68"/>
      <c r="V32" s="67"/>
      <c r="W32" s="67"/>
      <c r="X32" s="67"/>
      <c r="Y32" s="67"/>
      <c r="Z32" s="67"/>
      <c r="AA32" s="67"/>
      <c r="AB32" s="67"/>
      <c r="AC32" s="67"/>
      <c r="AD32" s="67"/>
      <c r="AE32" s="67"/>
      <c r="AF32" s="67"/>
      <c r="AG32" s="67"/>
      <c r="AH32" s="67"/>
      <c r="AI32" s="67"/>
      <c r="AJ32" s="67"/>
      <c r="AK32" s="67"/>
      <c r="AL32" s="67"/>
      <c r="AM32" s="67"/>
      <c r="AN32" s="77"/>
      <c r="AO32" s="76"/>
      <c r="AP32" s="77"/>
      <c r="AQ32" s="76"/>
      <c r="AR32" s="76"/>
      <c r="AS32" s="76"/>
      <c r="AT32" s="76"/>
      <c r="AU32" s="76"/>
      <c r="AV32" s="77"/>
      <c r="AW32" s="76"/>
      <c r="AX32" s="77"/>
      <c r="AY32" s="76"/>
      <c r="AZ32" s="76"/>
      <c r="BA32" s="76"/>
      <c r="BB32" s="76"/>
      <c r="BC32" s="76"/>
      <c r="BD32" s="77"/>
      <c r="BE32" s="76"/>
      <c r="BF32" s="77"/>
      <c r="BG32" s="76"/>
      <c r="BH32" s="76"/>
      <c r="BI32" s="76"/>
      <c r="BJ32" s="76"/>
      <c r="BK32" s="76"/>
      <c r="BL32" s="77"/>
      <c r="BM32" s="76"/>
      <c r="BN32" s="77"/>
      <c r="BO32" s="76"/>
      <c r="BP32" s="76"/>
      <c r="BQ32" s="76"/>
      <c r="BR32" s="76"/>
      <c r="BS32" s="76"/>
      <c r="BT32" s="77"/>
      <c r="BU32" s="76"/>
      <c r="BV32" s="77"/>
      <c r="BW32" s="76"/>
      <c r="BX32" s="76"/>
      <c r="BY32" s="76"/>
      <c r="BZ32" s="76"/>
      <c r="CA32" s="76"/>
      <c r="CB32" s="77"/>
      <c r="CC32" s="76"/>
      <c r="CD32" s="77"/>
      <c r="CE32" s="76"/>
      <c r="CF32" s="76"/>
      <c r="CG32" s="76"/>
      <c r="CH32" s="76"/>
      <c r="CI32" s="76"/>
      <c r="CJ32" s="77"/>
      <c r="CK32" s="76"/>
      <c r="CL32" s="77"/>
      <c r="CM32" s="76"/>
      <c r="CN32" s="76"/>
      <c r="CO32" s="76"/>
      <c r="CP32" s="76"/>
      <c r="CQ32" s="76"/>
      <c r="CR32" s="78" t="str">
        <f t="shared" si="15"/>
        <v/>
      </c>
      <c r="CS32" s="79" t="str">
        <f t="shared" si="16"/>
        <v/>
      </c>
      <c r="CT32" s="79" t="str">
        <f t="shared" si="17"/>
        <v/>
      </c>
      <c r="CU32" s="79" t="str">
        <f t="shared" si="18"/>
        <v/>
      </c>
      <c r="CV32" s="79" t="str">
        <f t="shared" si="19"/>
        <v/>
      </c>
      <c r="CW32" s="79" t="str">
        <f t="shared" si="20"/>
        <v/>
      </c>
      <c r="CX32" s="79" t="str">
        <f t="shared" si="21"/>
        <v/>
      </c>
      <c r="CY32" s="79" t="str">
        <f t="shared" si="22"/>
        <v/>
      </c>
      <c r="CZ32" s="79" t="str">
        <f t="shared" si="23"/>
        <v/>
      </c>
      <c r="DA32" s="79" t="str">
        <f t="shared" si="24"/>
        <v/>
      </c>
      <c r="DB32" s="79" t="str">
        <f t="shared" si="25"/>
        <v/>
      </c>
      <c r="DC32" s="79" t="str">
        <f t="shared" si="26"/>
        <v/>
      </c>
      <c r="DD32" s="79" t="str">
        <f t="shared" si="27"/>
        <v/>
      </c>
      <c r="DE32" s="79" t="str">
        <f t="shared" si="28"/>
        <v/>
      </c>
      <c r="DF32" s="79" t="str">
        <f t="shared" si="29"/>
        <v/>
      </c>
      <c r="DG32" s="79" t="str">
        <f t="shared" si="30"/>
        <v/>
      </c>
      <c r="DH32" s="76"/>
      <c r="DI32" s="78"/>
      <c r="DJ32" s="76"/>
      <c r="DK32" s="77"/>
      <c r="DL32" s="77"/>
      <c r="DM32" s="77"/>
      <c r="DN32" s="80"/>
      <c r="DO32" s="80"/>
      <c r="DP32" s="92" t="str">
        <f>IF(Table1[Start Date]="","",IF(Table1[Start Date]&gt;42185,"",IF(AND(Table1[Leaving Date]&gt;1,Table1[Leaving Date]&lt;42095),"",1)))</f>
        <v/>
      </c>
      <c r="DQ32" s="92" t="str">
        <f>IF(Table1[Start Date]="","",IF(Table1[Start Date]&gt;42277,"",IF(AND(Table1[Leaving Date]&gt;1,Table1[Leaving Date]&lt;42186),"",1)))</f>
        <v/>
      </c>
      <c r="DR32" s="92" t="str">
        <f>IF(Table1[Start Date]="","",IF(Table1[Start Date]&gt;42369,"",IF(AND(Table1[Leaving Date]&gt;1,Table1[Leaving Date]&lt;42278),"",1)))</f>
        <v/>
      </c>
      <c r="DS32" s="92" t="str">
        <f>IF(Table1[Start Date]="","",IF(Table1[Start Date]&gt;42460,"",IF(AND(Table1[Leaving Date]&gt;1,Table1[Leaving Date]&lt;42370),"",1)))</f>
        <v/>
      </c>
      <c r="DT32" s="92" t="str">
        <f>IF(Table1[Start Date]="","",IF(Table1[Start Date]&gt;42551,"",IF(AND(Table1[Leaving Date]&gt;1,Table1[Leaving Date]&lt;42461),"",1)))</f>
        <v/>
      </c>
      <c r="DU32" s="92" t="str">
        <f>IF(Table1[Start Date]="","",IF(Table1[Start Date]&gt;42643,"",IF(AND(Table1[Leaving Date]&gt;1,Table1[Leaving Date]&lt;42552),"",1)))</f>
        <v/>
      </c>
      <c r="DV32" s="92" t="str">
        <f>IF(Table1[Start Date]="","",IF(Table1[Start Date]&gt;42735,"",IF(AND(Table1[Leaving Date]&gt;1,Table1[Leaving Date]&lt;42644),"",1)))</f>
        <v/>
      </c>
      <c r="DW32" s="92" t="str">
        <f>IF(Table1[Start Date]="","",IF(Table1[Start Date]&gt;42825,"",IF(AND(Table1[Leaving Date]&gt;1,Table1[Leaving Date]&lt;42736),"",1)))</f>
        <v/>
      </c>
      <c r="DX32"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32" s="44" t="e">
        <f>VLOOKUP(Table1[Referral Source],Lists!$G$2:$H$20,2,FALSE)</f>
        <v>#N/A</v>
      </c>
      <c r="DZ32" s="93" t="e">
        <f>SUM(Table1[Data Referral Quarter]+Table1[Data Referral Source])</f>
        <v>#N/A</v>
      </c>
      <c r="EA32" s="44" t="b">
        <f>IF(Table1[Referral Decision]="Accepted",100,IF(Table1[Referral Decision]="Rejected by Provider",200,IF(Table1[Referral Decision]="Rejected by Applicant",300)))</f>
        <v>0</v>
      </c>
      <c r="EB32" s="44">
        <f>SUM(Table1[Data Referral Quarter]+Table1[Data Referral Decision])</f>
        <v>0</v>
      </c>
      <c r="EC32" s="44" t="b">
        <f>IF(Table1[Start Date]&gt;42735,8000,IF(Table1[Start Date]&gt;42643,7000,IF(Table1[Start Date]&gt;42551,6000,IF(Table1[Start Date]&gt;42460,5000,IF(Table1[Start Date]&gt;42369,4000,IF(Table1[Start Date]&gt;42277,3000,IF(Table1[Start Date]&gt;42185,2000,IF(Table1[Start Date]&gt;42094,1000))))))))</f>
        <v>0</v>
      </c>
      <c r="ED32" s="44" t="str">
        <f>IF(Table1[Start Date]="","",IF(Table1[Current Local Authority]="Swindon",1,"2"))</f>
        <v/>
      </c>
      <c r="EE32" s="44" t="e">
        <f>SUM(Table1[Data Start Date]+Table1[Data Local Authority])</f>
        <v>#VALUE!</v>
      </c>
      <c r="EF32" s="44">
        <f>IF(Table1[Registered with GP]="Yes",1,0)</f>
        <v>0</v>
      </c>
      <c r="EG32" s="44">
        <f>SUM(Table1[Data Start Date]+Table1[Data GP Start])</f>
        <v>0</v>
      </c>
      <c r="EH32" s="44" t="str">
        <f>IF(Table1[EET]="NEET",1,IF(Table1[EET]="Education",2,IF(Table1[EET]="Employment",2,IF(Table1[EET]="Training",2,IF(Table1[EET]="Retired",3,"")))))</f>
        <v/>
      </c>
      <c r="EI32" s="44" t="e">
        <f>Table1[Data Start Date]+Table1[Data EET Start]</f>
        <v>#VALUE!</v>
      </c>
      <c r="EJ32" s="44" t="b">
        <f>IF(Table1[Leaving Date]&gt;42735,8000,IF(Table1[Leaving Date]&gt;42643,7000,IF(Table1[Leaving Date]&gt;42551,6000,IF(Table1[Leaving Date]&gt;42460,5000,IF(Table1[Leaving Date]&gt;42369,4000,IF(Table1[Leaving Date]&gt;42277,3000,IF(Table1[Leaving Date]&gt;42185,2000,IF(Table1[Leaving Date]&gt;42094,1000))))))))</f>
        <v>0</v>
      </c>
      <c r="EK32" s="44" t="e">
        <f>VLOOKUP(Table1[Reason for Leaving],Lists!$T$2:$U$15,2,FALSE)</f>
        <v>#N/A</v>
      </c>
      <c r="EL32" s="44" t="e">
        <f>SUM(Table1[Data Leavers Date]+Table1[Data Move On])</f>
        <v>#N/A</v>
      </c>
      <c r="EM32" s="44" t="b">
        <f>IF(Table1[Registered with GP2]="Yes",1,IF(Table1[Registered with GP2]="No",0,IF(Table1[Registered with GP]="Yes",1,IF(Table1[Registered with GP]="No",0))))</f>
        <v>0</v>
      </c>
      <c r="EN32" s="44">
        <f>SUM(Table1[Data Leavers Date]+Table1[Data GP End])</f>
        <v>0</v>
      </c>
      <c r="EO32" s="44" t="str">
        <f>IF(Table1[EET2]="NEET",1,IF(Table1[EET2]="Employment",2,IF(Table1[EET2]="Education",2,IF(Table1[EET2]="Training",2,IF(Table1[EET2]="Retired",3,IF(Table1[EET]="NEET",1,IF(Table1[EET]="Employment",2,IF(Table1[EET]="Education",2,IF(Table1[EET]="Training",2,IF(Table1[EET]="Retired",3,""))))))))))</f>
        <v/>
      </c>
      <c r="EP32" s="44" t="e">
        <f>+Table1[[#This Row],[Data Leavers Date]]+Table1[[#This Row],[Data EET End]]</f>
        <v>#VALUE!</v>
      </c>
      <c r="EQ32" s="44">
        <f>IF(Table1[Exit Form Received]="Yes",1,0)</f>
        <v>0</v>
      </c>
      <c r="ER32" s="44">
        <f>+Table1[[#This Row],[Data Leavers Date]]+Table1[[#This Row],[Data Exit Forms]]</f>
        <v>0</v>
      </c>
      <c r="ES32" s="44" t="str">
        <f>IF(Table1[Data Leavers Date]=1000,SUM(Table1[Leaving Date]-Table1[Start Date]),"")</f>
        <v/>
      </c>
      <c r="ET32" s="44" t="str">
        <f>IF(Table1[Data Leavers Date]=2000,SUM(Table1[Leaving Date]-Table1[Start Date]),"")</f>
        <v/>
      </c>
      <c r="EU32" s="44" t="str">
        <f>IF(Table1[Data Leavers Date]=3000,SUM(Table1[Leaving Date]-Table1[Start Date]),"")</f>
        <v/>
      </c>
      <c r="EV32" s="44" t="str">
        <f>IF(Table1[Data Leavers Date]=4000,SUM(Table1[Leaving Date]-Table1[Start Date]),"")</f>
        <v/>
      </c>
      <c r="EW32" s="44" t="str">
        <f>IF(Table1[Data Leavers Date]=5000,SUM(Table1[Leaving Date]-Table1[Start Date]),"")</f>
        <v/>
      </c>
      <c r="EX32" s="44" t="str">
        <f>IF(Table1[Data Leavers Date]=6000,SUM(Table1[Leaving Date]-Table1[Start Date]),"")</f>
        <v/>
      </c>
      <c r="EY32" s="44" t="str">
        <f>IF(Table1[Data Leavers Date]=7000,SUM(Table1[Leaving Date]-Table1[Start Date]),"")</f>
        <v/>
      </c>
      <c r="EZ32" s="44" t="str">
        <f>IF(Table1[Data Leavers Date]=8000,SUM(Table1[Leaving Date]-Table1[Start Date]),"")</f>
        <v/>
      </c>
      <c r="FA32" s="44" t="str">
        <f>IF(Table1[Date of Initial Assessment]="","",IF(AND(Table1[Start Date]&gt;42094,Table1[Start Date]&lt;42461),Table1[Motivation and Taking Responsibility],""))</f>
        <v/>
      </c>
      <c r="FB32" s="44" t="str">
        <f>IF(Table1[Date of Initial Assessment]="","",IF(AND(Table1[Start Date]&gt;42094,Table1[Start Date]&lt;42461),Table1[Self-Care and Living Skills],""))</f>
        <v/>
      </c>
      <c r="FC32" s="44" t="str">
        <f>IF(Table1[Date of Initial Assessment]="","",IF(AND(Table1[Start Date]&gt;42094,Table1[Start Date]&lt;42461),Table1[Managing Money and Personal Administration],""))</f>
        <v/>
      </c>
      <c r="FD32" s="44" t="str">
        <f>IF(Table1[Date of Initial Assessment]="","",IF(AND(Table1[Start Date]&gt;42094,Table1[Start Date]&lt;42461),Table1[Social Networks and Relationships],""))</f>
        <v/>
      </c>
      <c r="FE32" s="44" t="str">
        <f>IF(Table1[Date of Initial Assessment]="","",IF(AND(Table1[Start Date]&gt;42094,Table1[Start Date]&lt;42461),Table1[Drug and Alcohol Misuse],""))</f>
        <v/>
      </c>
      <c r="FF32" s="44" t="str">
        <f>IF(Table1[Date of Initial Assessment]="","",IF(AND(Table1[Start Date]&gt;42094,Table1[Start Date]&lt;42461),Table1[Physical Health],""))</f>
        <v/>
      </c>
      <c r="FG32" s="44" t="str">
        <f>IF(Table1[Date of Initial Assessment]="","",IF(AND(Table1[Start Date]&gt;42094,Table1[Start Date]&lt;42461),Table1[Emotional and Mental Health],""))</f>
        <v/>
      </c>
      <c r="FH32" s="44" t="str">
        <f>IF(Table1[Date of Initial Assessment]="","",IF(AND(Table1[Start Date]&gt;42094,Table1[Start Date]&lt;42461),Table1[Meaningful Use of Time],""))</f>
        <v/>
      </c>
      <c r="FI32" s="44" t="str">
        <f>IF(Table1[Date of Initial Assessment]="","",IF(AND(Table1[Start Date]&gt;42094,Table1[Start Date]&lt;42461),Table1[Managing Tenancy and Accommodation],""))</f>
        <v/>
      </c>
      <c r="FJ32" s="44" t="str">
        <f>IF(Table1[Date of Initial Assessment]="","",IF(AND(Table1[Start Date]&gt;42094,Table1[Start Date]&lt;42461),Table1[Offending],""))</f>
        <v/>
      </c>
      <c r="FK32" s="44" t="str">
        <f>IF(Table1[Leaving Date]="","",IF(Table1[Date of Initial Assessment]="","",IF(AND(Table1[Leaving Date]&gt;42094,Table1[Leaving Date]&lt;42461),IF(Table1[Date of Last Assessment]="",Table1[Motivation and Taking Responsibility],Table1[Motivation and Taking Responsibility2]),"")))</f>
        <v/>
      </c>
      <c r="FL32" s="44" t="str">
        <f>IF(Table1[Leaving Date]="","",IF(Table1[Date of Initial Assessment]="","",IF(AND(Table1[Leaving Date]&gt;42094,Table1[Leaving Date]&lt;42461),IF(Table1[Date of Last Assessment]="",Table1[Self-Care and Living Skills],Table1[Self-Care and Living Skills2]),"")))</f>
        <v/>
      </c>
      <c r="FM32" s="44" t="str">
        <f>IF(Table1[Leaving Date]="","",IF(Table1[Date of Initial Assessment]="","",IF(AND(Table1[Leaving Date]&gt;42094,Table1[Leaving Date]&lt;42461),IF(Table1[Date of Last Assessment]="",Table1[Managing Money and Personal Administration],Table1[Managing Money and Personal Administration2]),"")))</f>
        <v/>
      </c>
      <c r="FN32" s="44" t="str">
        <f>IF(Table1[Leaving Date]="","",IF(Table1[Date of Initial Assessment]="","",IF(AND(Table1[Leaving Date]&gt;42094,Table1[Leaving Date]&lt;42461),IF(Table1[Date of Last Assessment]="",Table1[Social Networks and Relationships],Table1[Social Networks and Relationships2]),"")))</f>
        <v/>
      </c>
      <c r="FO32" s="44" t="str">
        <f>IF(Table1[Leaving Date]="","",IF(Table1[Date of Initial Assessment]="","",IF(AND(Table1[Leaving Date]&gt;42094,Table1[Leaving Date]&lt;42461),IF(Table1[Date of Last Assessment]="",Table1[Drug and Alcohol Misuse],Table1[Drug and Alcohol Misuse2]),"")))</f>
        <v/>
      </c>
      <c r="FP32" s="44" t="str">
        <f>IF(Table1[Leaving Date]="","",IF(Table1[Date of Initial Assessment]="","",IF(AND(Table1[Leaving Date]&gt;42094,Table1[Leaving Date]&lt;42461),IF(Table1[Date of Last Assessment]="",Table1[Physical Health],Table1[Physical Health2]),"")))</f>
        <v/>
      </c>
      <c r="FQ32" s="44" t="str">
        <f>IF(Table1[Leaving Date]="","",IF(Table1[Date of Initial Assessment]="","",IF(AND(Table1[Leaving Date]&gt;42094,Table1[Leaving Date]&lt;42461),IF(Table1[Date of Last Assessment]="",Table1[Emotional and Mental Health],Table1[Emotional and Mental Health2]),"")))</f>
        <v/>
      </c>
      <c r="FR32" s="44" t="str">
        <f>IF(Table1[Leaving Date]="","",IF(Table1[Date of Initial Assessment]="","",IF(AND(Table1[Leaving Date]&gt;42094,Table1[Leaving Date]&lt;42461),IF(Table1[Date of Last Assessment]="",Table1[Meaningful Use of Time],Table1[Meaningful Use of Time2]),"")))</f>
        <v/>
      </c>
      <c r="FS32" s="44" t="str">
        <f>IF(Table1[Leaving Date]="","",IF(Table1[Date of Initial Assessment]="","",IF(AND(Table1[Leaving Date]&gt;42094,Table1[Leaving Date]&lt;42461),IF(Table1[Date of Last Assessment]="",Table1[Managing Tenancy and Accommodation],Table1[Managing Tenancy and Accommodation2]),"")))</f>
        <v/>
      </c>
      <c r="FT32" s="44" t="str">
        <f>IF(Table1[Leaving Date]="","",IF(Table1[Date of Initial Assessment]="","",IF(AND(Table1[Leaving Date]&gt;42094,Table1[Leaving Date]&lt;42461),IF(Table1[Date of Last Assessment]="",Table1[Offending],Table1[Offending2]),"")))</f>
        <v/>
      </c>
      <c r="FU32" s="44" t="str">
        <f>IF(Table1[Date of Initial Assessment]="","",IF(AND(Table1[Start Date]&gt;42460,Table1[Start Date]&lt;42826),Table1[Motivation and Taking Responsibility],""))</f>
        <v/>
      </c>
      <c r="FV32" s="44" t="str">
        <f>IF(Table1[Date of Initial Assessment]="","",IF(AND(Table1[Start Date]&gt;42460,Table1[Start Date]&lt;42826),Table1[Self-Care and Living Skills],""))</f>
        <v/>
      </c>
      <c r="FW32" s="44" t="str">
        <f>IF(Table1[Date of Initial Assessment]="","",IF(AND(Table1[Start Date]&gt;42460,Table1[Start Date]&lt;42826),Table1[Managing Money and Personal Administration],""))</f>
        <v/>
      </c>
      <c r="FX32" s="44" t="str">
        <f>IF(Table1[Date of Initial Assessment]="","",IF(AND(Table1[Start Date]&gt;42460,Table1[Start Date]&lt;42826),Table1[Social Networks and Relationships],""))</f>
        <v/>
      </c>
      <c r="FY32" s="44" t="str">
        <f>IF(Table1[Date of Initial Assessment]="","",IF(AND(Table1[Start Date]&gt;42460,Table1[Start Date]&lt;42826),Table1[Drug and Alcohol Misuse],""))</f>
        <v/>
      </c>
      <c r="FZ32" s="44" t="str">
        <f>IF(Table1[Date of Initial Assessment]="","",IF(AND(Table1[Start Date]&gt;42460,Table1[Start Date]&lt;42826),Table1[Physical Health],""))</f>
        <v/>
      </c>
      <c r="GA32" s="44" t="str">
        <f>IF(Table1[Date of Initial Assessment]="","",IF(AND(Table1[Start Date]&gt;42460,Table1[Start Date]&lt;42826),Table1[Emotional and Mental Health],""))</f>
        <v/>
      </c>
      <c r="GB32" s="44" t="str">
        <f>IF(Table1[Date of Initial Assessment]="","",IF(AND(Table1[Start Date]&gt;42460,Table1[Start Date]&lt;42826),Table1[Meaningful Use of Time],""))</f>
        <v/>
      </c>
      <c r="GC32" s="44" t="str">
        <f>IF(Table1[Date of Initial Assessment]="","",IF(AND(Table1[Start Date]&gt;42460,Table1[Start Date]&lt;42826),Table1[Managing Tenancy and Accommodation],""))</f>
        <v/>
      </c>
      <c r="GD32" s="44" t="str">
        <f>IF(Table1[Date of Initial Assessment]="","",IF(AND(Table1[Start Date]&gt;42460,Table1[Start Date]&lt;42826),Table1[Offending],""))</f>
        <v/>
      </c>
      <c r="GE32" s="44" t="str">
        <f>IF(Table1[Leaving Date]="","",IF(AND(Table1[Leaving Date]&gt;42460,Table1[Leaving Date]&lt;42826),IF(Table1[Date of Last Assessment]="",Table1[Motivation and Taking Responsibility],Table1[Motivation and Taking Responsibility2]),""))</f>
        <v/>
      </c>
      <c r="GF32" s="44" t="str">
        <f>IF(Table1[Leaving Date]="","",IF(AND(Table1[Leaving Date]&gt;42460,Table1[Leaving Date]&lt;42826),IF(Table1[Date of Last Assessment]="",Table1[Self-Care and Living Skills],Table1[Self-Care and Living Skills2]),""))</f>
        <v/>
      </c>
      <c r="GG32" s="44" t="str">
        <f>IF(Table1[Leaving Date]="","",IF(AND(Table1[Leaving Date]&gt;42460,Table1[Leaving Date]&lt;42826),IF(Table1[Date of Last Assessment]="",Table1[Managing Money and Personal Administration],Table1[Managing Money and Personal Administration2]),""))</f>
        <v/>
      </c>
      <c r="GH32" s="44" t="str">
        <f>IF(Table1[Leaving Date]="","",IF(AND(Table1[Leaving Date]&gt;42460,Table1[Leaving Date]&lt;42826),IF(Table1[Date of Last Assessment]="",Table1[Social Networks and Relationships],Table1[Social Networks and Relationships2]),""))</f>
        <v/>
      </c>
      <c r="GI32" s="44" t="str">
        <f>IF(Table1[Leaving Date]="","",IF(AND(Table1[Leaving Date]&gt;42460,Table1[Leaving Date]&lt;42826),IF(Table1[Date of Last Assessment]="",Table1[Drug and Alcohol Misuse],Table1[Drug and Alcohol Misuse2]),""))</f>
        <v/>
      </c>
      <c r="GJ32" s="44" t="str">
        <f>IF(Table1[Leaving Date]="","",IF(AND(Table1[Leaving Date]&gt;42460,Table1[Leaving Date]&lt;42826),IF(Table1[Date of Last Assessment]="",Table1[Physical Health],Table1[Physical Health2]),""))</f>
        <v/>
      </c>
      <c r="GK32" s="44" t="str">
        <f>IF(Table1[Leaving Date]="","",IF(AND(Table1[Leaving Date]&gt;42460,Table1[Leaving Date]&lt;42826),IF(Table1[Date of Last Assessment]="",Table1[Emotional and Mental Health],Table1[Emotional and Mental Health2]),""))</f>
        <v/>
      </c>
      <c r="GL32" s="44" t="str">
        <f>IF(Table1[Leaving Date]="","",IF(AND(Table1[Leaving Date]&gt;42460,Table1[Leaving Date]&lt;42826),IF(Table1[Date of Last Assessment]="",Table1[Meaningful Use of Time],Table1[Meaningful Use of Time2]),""))</f>
        <v/>
      </c>
      <c r="GM32" s="44" t="str">
        <f>IF(Table1[Leaving Date]="","",IF(AND(Table1[Leaving Date]&gt;42460,Table1[Leaving Date]&lt;42826),IF(Table1[Date of Last Assessment]="",Table1[Managing Tenancy and Accommodation],Table1[Managing Tenancy and Accommodation2]),""))</f>
        <v/>
      </c>
      <c r="GN32" s="44" t="str">
        <f>IF(Table1[Leaving Date]="","",IF(AND(Table1[Leaving Date]&gt;42460,Table1[Leaving Date]&lt;42826),IF(Table1[Date of Last Assessment]="",Table1[Offending],Table1[Offending2]),""))</f>
        <v/>
      </c>
    </row>
    <row r="33" spans="2:196" ht="20.100000000000001" customHeight="1" x14ac:dyDescent="0.2">
      <c r="B33" s="86">
        <f>+'Service Data'!$C$5:$C$5</f>
        <v>0</v>
      </c>
      <c r="C33" s="86"/>
      <c r="D33" s="86"/>
      <c r="E33" s="86"/>
      <c r="F33" s="86"/>
      <c r="G33" s="86"/>
      <c r="H33" s="6"/>
      <c r="I33" s="99" t="str">
        <f ca="1">IF(Table1[[#This Row],[Date of Birth]]="","",SUM(TODAY()-Table1[[#This Row],[Date of Birth]])/365)</f>
        <v/>
      </c>
      <c r="L33" s="86"/>
      <c r="M33" s="77"/>
      <c r="N33" s="86"/>
      <c r="O33" s="86"/>
      <c r="P33" s="91"/>
      <c r="Q33" s="86"/>
      <c r="R33" s="77"/>
      <c r="S33" s="77"/>
      <c r="T33" s="68"/>
      <c r="U33" s="68"/>
      <c r="V33" s="67"/>
      <c r="W33" s="67"/>
      <c r="X33" s="67"/>
      <c r="Y33" s="67"/>
      <c r="Z33" s="67"/>
      <c r="AA33" s="67"/>
      <c r="AB33" s="67"/>
      <c r="AC33" s="67"/>
      <c r="AD33" s="67"/>
      <c r="AE33" s="67"/>
      <c r="AF33" s="67"/>
      <c r="AG33" s="67"/>
      <c r="AH33" s="67"/>
      <c r="AI33" s="67"/>
      <c r="AJ33" s="67"/>
      <c r="AK33" s="67"/>
      <c r="AL33" s="67"/>
      <c r="AM33" s="67"/>
      <c r="AN33" s="77"/>
      <c r="AO33" s="76"/>
      <c r="AP33" s="77"/>
      <c r="AQ33" s="76"/>
      <c r="AR33" s="76"/>
      <c r="AS33" s="76"/>
      <c r="AT33" s="76"/>
      <c r="AU33" s="76"/>
      <c r="AV33" s="77"/>
      <c r="AW33" s="76"/>
      <c r="AX33" s="77"/>
      <c r="AY33" s="76"/>
      <c r="AZ33" s="76"/>
      <c r="BA33" s="76"/>
      <c r="BB33" s="76"/>
      <c r="BC33" s="76"/>
      <c r="BD33" s="77"/>
      <c r="BE33" s="76"/>
      <c r="BF33" s="77"/>
      <c r="BG33" s="76"/>
      <c r="BH33" s="76"/>
      <c r="BI33" s="76"/>
      <c r="BJ33" s="76"/>
      <c r="BK33" s="76"/>
      <c r="BL33" s="77"/>
      <c r="BM33" s="76"/>
      <c r="BN33" s="77"/>
      <c r="BO33" s="76"/>
      <c r="BP33" s="76"/>
      <c r="BQ33" s="76"/>
      <c r="BR33" s="76"/>
      <c r="BS33" s="76"/>
      <c r="BT33" s="77"/>
      <c r="BU33" s="76"/>
      <c r="BV33" s="77"/>
      <c r="BW33" s="76"/>
      <c r="BX33" s="76"/>
      <c r="BY33" s="76"/>
      <c r="BZ33" s="76"/>
      <c r="CA33" s="76"/>
      <c r="CB33" s="77"/>
      <c r="CC33" s="76"/>
      <c r="CD33" s="77"/>
      <c r="CE33" s="76"/>
      <c r="CF33" s="76"/>
      <c r="CG33" s="76"/>
      <c r="CH33" s="76"/>
      <c r="CI33" s="76"/>
      <c r="CJ33" s="77"/>
      <c r="CK33" s="76"/>
      <c r="CL33" s="77"/>
      <c r="CM33" s="76"/>
      <c r="CN33" s="76"/>
      <c r="CO33" s="76"/>
      <c r="CP33" s="76"/>
      <c r="CQ33" s="76"/>
      <c r="CR33" s="78" t="str">
        <f t="shared" si="15"/>
        <v/>
      </c>
      <c r="CS33" s="79" t="str">
        <f t="shared" si="16"/>
        <v/>
      </c>
      <c r="CT33" s="79" t="str">
        <f t="shared" si="17"/>
        <v/>
      </c>
      <c r="CU33" s="79" t="str">
        <f t="shared" si="18"/>
        <v/>
      </c>
      <c r="CV33" s="79" t="str">
        <f t="shared" si="19"/>
        <v/>
      </c>
      <c r="CW33" s="79" t="str">
        <f t="shared" si="20"/>
        <v/>
      </c>
      <c r="CX33" s="79" t="str">
        <f t="shared" si="21"/>
        <v/>
      </c>
      <c r="CY33" s="79" t="str">
        <f t="shared" si="22"/>
        <v/>
      </c>
      <c r="CZ33" s="79" t="str">
        <f t="shared" si="23"/>
        <v/>
      </c>
      <c r="DA33" s="79" t="str">
        <f t="shared" si="24"/>
        <v/>
      </c>
      <c r="DB33" s="79" t="str">
        <f t="shared" si="25"/>
        <v/>
      </c>
      <c r="DC33" s="79" t="str">
        <f t="shared" si="26"/>
        <v/>
      </c>
      <c r="DD33" s="79" t="str">
        <f t="shared" si="27"/>
        <v/>
      </c>
      <c r="DE33" s="79" t="str">
        <f t="shared" si="28"/>
        <v/>
      </c>
      <c r="DF33" s="79" t="str">
        <f t="shared" si="29"/>
        <v/>
      </c>
      <c r="DG33" s="79" t="str">
        <f t="shared" si="30"/>
        <v/>
      </c>
      <c r="DH33" s="76"/>
      <c r="DI33" s="78"/>
      <c r="DJ33" s="76"/>
      <c r="DK33" s="77"/>
      <c r="DL33" s="77"/>
      <c r="DM33" s="77"/>
      <c r="DN33" s="80"/>
      <c r="DO33" s="80"/>
      <c r="DP33" s="92" t="str">
        <f>IF(Table1[Start Date]="","",IF(Table1[Start Date]&gt;42185,"",IF(AND(Table1[Leaving Date]&gt;1,Table1[Leaving Date]&lt;42095),"",1)))</f>
        <v/>
      </c>
      <c r="DQ33" s="92" t="str">
        <f>IF(Table1[Start Date]="","",IF(Table1[Start Date]&gt;42277,"",IF(AND(Table1[Leaving Date]&gt;1,Table1[Leaving Date]&lt;42186),"",1)))</f>
        <v/>
      </c>
      <c r="DR33" s="92" t="str">
        <f>IF(Table1[Start Date]="","",IF(Table1[Start Date]&gt;42369,"",IF(AND(Table1[Leaving Date]&gt;1,Table1[Leaving Date]&lt;42278),"",1)))</f>
        <v/>
      </c>
      <c r="DS33" s="92" t="str">
        <f>IF(Table1[Start Date]="","",IF(Table1[Start Date]&gt;42460,"",IF(AND(Table1[Leaving Date]&gt;1,Table1[Leaving Date]&lt;42370),"",1)))</f>
        <v/>
      </c>
      <c r="DT33" s="92" t="str">
        <f>IF(Table1[Start Date]="","",IF(Table1[Start Date]&gt;42551,"",IF(AND(Table1[Leaving Date]&gt;1,Table1[Leaving Date]&lt;42461),"",1)))</f>
        <v/>
      </c>
      <c r="DU33" s="92" t="str">
        <f>IF(Table1[Start Date]="","",IF(Table1[Start Date]&gt;42643,"",IF(AND(Table1[Leaving Date]&gt;1,Table1[Leaving Date]&lt;42552),"",1)))</f>
        <v/>
      </c>
      <c r="DV33" s="92" t="str">
        <f>IF(Table1[Start Date]="","",IF(Table1[Start Date]&gt;42735,"",IF(AND(Table1[Leaving Date]&gt;1,Table1[Leaving Date]&lt;42644),"",1)))</f>
        <v/>
      </c>
      <c r="DW33" s="92" t="str">
        <f>IF(Table1[Start Date]="","",IF(Table1[Start Date]&gt;42825,"",IF(AND(Table1[Leaving Date]&gt;1,Table1[Leaving Date]&lt;42736),"",1)))</f>
        <v/>
      </c>
      <c r="DX33"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33" s="44" t="e">
        <f>VLOOKUP(Table1[Referral Source],Lists!$G$2:$H$20,2,FALSE)</f>
        <v>#N/A</v>
      </c>
      <c r="DZ33" s="93" t="e">
        <f>SUM(Table1[Data Referral Quarter]+Table1[Data Referral Source])</f>
        <v>#N/A</v>
      </c>
      <c r="EA33" s="44" t="b">
        <f>IF(Table1[Referral Decision]="Accepted",100,IF(Table1[Referral Decision]="Rejected by Provider",200,IF(Table1[Referral Decision]="Rejected by Applicant",300)))</f>
        <v>0</v>
      </c>
      <c r="EB33" s="44">
        <f>SUM(Table1[Data Referral Quarter]+Table1[Data Referral Decision])</f>
        <v>0</v>
      </c>
      <c r="EC33" s="44" t="b">
        <f>IF(Table1[Start Date]&gt;42735,8000,IF(Table1[Start Date]&gt;42643,7000,IF(Table1[Start Date]&gt;42551,6000,IF(Table1[Start Date]&gt;42460,5000,IF(Table1[Start Date]&gt;42369,4000,IF(Table1[Start Date]&gt;42277,3000,IF(Table1[Start Date]&gt;42185,2000,IF(Table1[Start Date]&gt;42094,1000))))))))</f>
        <v>0</v>
      </c>
      <c r="ED33" s="44" t="str">
        <f>IF(Table1[Start Date]="","",IF(Table1[Current Local Authority]="Swindon",1,"2"))</f>
        <v/>
      </c>
      <c r="EE33" s="44" t="e">
        <f>SUM(Table1[Data Start Date]+Table1[Data Local Authority])</f>
        <v>#VALUE!</v>
      </c>
      <c r="EF33" s="44">
        <f>IF(Table1[Registered with GP]="Yes",1,0)</f>
        <v>0</v>
      </c>
      <c r="EG33" s="44">
        <f>SUM(Table1[Data Start Date]+Table1[Data GP Start])</f>
        <v>0</v>
      </c>
      <c r="EH33" s="44" t="str">
        <f>IF(Table1[EET]="NEET",1,IF(Table1[EET]="Education",2,IF(Table1[EET]="Employment",2,IF(Table1[EET]="Training",2,IF(Table1[EET]="Retired",3,"")))))</f>
        <v/>
      </c>
      <c r="EI33" s="44" t="e">
        <f>Table1[Data Start Date]+Table1[Data EET Start]</f>
        <v>#VALUE!</v>
      </c>
      <c r="EJ33" s="44" t="b">
        <f>IF(Table1[Leaving Date]&gt;42735,8000,IF(Table1[Leaving Date]&gt;42643,7000,IF(Table1[Leaving Date]&gt;42551,6000,IF(Table1[Leaving Date]&gt;42460,5000,IF(Table1[Leaving Date]&gt;42369,4000,IF(Table1[Leaving Date]&gt;42277,3000,IF(Table1[Leaving Date]&gt;42185,2000,IF(Table1[Leaving Date]&gt;42094,1000))))))))</f>
        <v>0</v>
      </c>
      <c r="EK33" s="44" t="e">
        <f>VLOOKUP(Table1[Reason for Leaving],Lists!$T$2:$U$15,2,FALSE)</f>
        <v>#N/A</v>
      </c>
      <c r="EL33" s="44" t="e">
        <f>SUM(Table1[Data Leavers Date]+Table1[Data Move On])</f>
        <v>#N/A</v>
      </c>
      <c r="EM33" s="44" t="b">
        <f>IF(Table1[Registered with GP2]="Yes",1,IF(Table1[Registered with GP2]="No",0,IF(Table1[Registered with GP]="Yes",1,IF(Table1[Registered with GP]="No",0))))</f>
        <v>0</v>
      </c>
      <c r="EN33" s="44">
        <f>SUM(Table1[Data Leavers Date]+Table1[Data GP End])</f>
        <v>0</v>
      </c>
      <c r="EO33" s="44" t="str">
        <f>IF(Table1[EET2]="NEET",1,IF(Table1[EET2]="Employment",2,IF(Table1[EET2]="Education",2,IF(Table1[EET2]="Training",2,IF(Table1[EET2]="Retired",3,IF(Table1[EET]="NEET",1,IF(Table1[EET]="Employment",2,IF(Table1[EET]="Education",2,IF(Table1[EET]="Training",2,IF(Table1[EET]="Retired",3,""))))))))))</f>
        <v/>
      </c>
      <c r="EP33" s="44" t="e">
        <f>+Table1[[#This Row],[Data Leavers Date]]+Table1[[#This Row],[Data EET End]]</f>
        <v>#VALUE!</v>
      </c>
      <c r="EQ33" s="44">
        <f>IF(Table1[Exit Form Received]="Yes",1,0)</f>
        <v>0</v>
      </c>
      <c r="ER33" s="44">
        <f>+Table1[[#This Row],[Data Leavers Date]]+Table1[[#This Row],[Data Exit Forms]]</f>
        <v>0</v>
      </c>
      <c r="ES33" s="44" t="str">
        <f>IF(Table1[Data Leavers Date]=1000,SUM(Table1[Leaving Date]-Table1[Start Date]),"")</f>
        <v/>
      </c>
      <c r="ET33" s="44" t="str">
        <f>IF(Table1[Data Leavers Date]=2000,SUM(Table1[Leaving Date]-Table1[Start Date]),"")</f>
        <v/>
      </c>
      <c r="EU33" s="44" t="str">
        <f>IF(Table1[Data Leavers Date]=3000,SUM(Table1[Leaving Date]-Table1[Start Date]),"")</f>
        <v/>
      </c>
      <c r="EV33" s="44" t="str">
        <f>IF(Table1[Data Leavers Date]=4000,SUM(Table1[Leaving Date]-Table1[Start Date]),"")</f>
        <v/>
      </c>
      <c r="EW33" s="44" t="str">
        <f>IF(Table1[Data Leavers Date]=5000,SUM(Table1[Leaving Date]-Table1[Start Date]),"")</f>
        <v/>
      </c>
      <c r="EX33" s="44" t="str">
        <f>IF(Table1[Data Leavers Date]=6000,SUM(Table1[Leaving Date]-Table1[Start Date]),"")</f>
        <v/>
      </c>
      <c r="EY33" s="44" t="str">
        <f>IF(Table1[Data Leavers Date]=7000,SUM(Table1[Leaving Date]-Table1[Start Date]),"")</f>
        <v/>
      </c>
      <c r="EZ33" s="44" t="str">
        <f>IF(Table1[Data Leavers Date]=8000,SUM(Table1[Leaving Date]-Table1[Start Date]),"")</f>
        <v/>
      </c>
      <c r="FA33" s="44" t="str">
        <f>IF(Table1[Date of Initial Assessment]="","",IF(AND(Table1[Start Date]&gt;42094,Table1[Start Date]&lt;42461),Table1[Motivation and Taking Responsibility],""))</f>
        <v/>
      </c>
      <c r="FB33" s="44" t="str">
        <f>IF(Table1[Date of Initial Assessment]="","",IF(AND(Table1[Start Date]&gt;42094,Table1[Start Date]&lt;42461),Table1[Self-Care and Living Skills],""))</f>
        <v/>
      </c>
      <c r="FC33" s="44" t="str">
        <f>IF(Table1[Date of Initial Assessment]="","",IF(AND(Table1[Start Date]&gt;42094,Table1[Start Date]&lt;42461),Table1[Managing Money and Personal Administration],""))</f>
        <v/>
      </c>
      <c r="FD33" s="44" t="str">
        <f>IF(Table1[Date of Initial Assessment]="","",IF(AND(Table1[Start Date]&gt;42094,Table1[Start Date]&lt;42461),Table1[Social Networks and Relationships],""))</f>
        <v/>
      </c>
      <c r="FE33" s="44" t="str">
        <f>IF(Table1[Date of Initial Assessment]="","",IF(AND(Table1[Start Date]&gt;42094,Table1[Start Date]&lt;42461),Table1[Drug and Alcohol Misuse],""))</f>
        <v/>
      </c>
      <c r="FF33" s="44" t="str">
        <f>IF(Table1[Date of Initial Assessment]="","",IF(AND(Table1[Start Date]&gt;42094,Table1[Start Date]&lt;42461),Table1[Physical Health],""))</f>
        <v/>
      </c>
      <c r="FG33" s="44" t="str">
        <f>IF(Table1[Date of Initial Assessment]="","",IF(AND(Table1[Start Date]&gt;42094,Table1[Start Date]&lt;42461),Table1[Emotional and Mental Health],""))</f>
        <v/>
      </c>
      <c r="FH33" s="44" t="str">
        <f>IF(Table1[Date of Initial Assessment]="","",IF(AND(Table1[Start Date]&gt;42094,Table1[Start Date]&lt;42461),Table1[Meaningful Use of Time],""))</f>
        <v/>
      </c>
      <c r="FI33" s="44" t="str">
        <f>IF(Table1[Date of Initial Assessment]="","",IF(AND(Table1[Start Date]&gt;42094,Table1[Start Date]&lt;42461),Table1[Managing Tenancy and Accommodation],""))</f>
        <v/>
      </c>
      <c r="FJ33" s="44" t="str">
        <f>IF(Table1[Date of Initial Assessment]="","",IF(AND(Table1[Start Date]&gt;42094,Table1[Start Date]&lt;42461),Table1[Offending],""))</f>
        <v/>
      </c>
      <c r="FK33" s="44" t="str">
        <f>IF(Table1[Leaving Date]="","",IF(Table1[Date of Initial Assessment]="","",IF(AND(Table1[Leaving Date]&gt;42094,Table1[Leaving Date]&lt;42461),IF(Table1[Date of Last Assessment]="",Table1[Motivation and Taking Responsibility],Table1[Motivation and Taking Responsibility2]),"")))</f>
        <v/>
      </c>
      <c r="FL33" s="44" t="str">
        <f>IF(Table1[Leaving Date]="","",IF(Table1[Date of Initial Assessment]="","",IF(AND(Table1[Leaving Date]&gt;42094,Table1[Leaving Date]&lt;42461),IF(Table1[Date of Last Assessment]="",Table1[Self-Care and Living Skills],Table1[Self-Care and Living Skills2]),"")))</f>
        <v/>
      </c>
      <c r="FM33" s="44" t="str">
        <f>IF(Table1[Leaving Date]="","",IF(Table1[Date of Initial Assessment]="","",IF(AND(Table1[Leaving Date]&gt;42094,Table1[Leaving Date]&lt;42461),IF(Table1[Date of Last Assessment]="",Table1[Managing Money and Personal Administration],Table1[Managing Money and Personal Administration2]),"")))</f>
        <v/>
      </c>
      <c r="FN33" s="44" t="str">
        <f>IF(Table1[Leaving Date]="","",IF(Table1[Date of Initial Assessment]="","",IF(AND(Table1[Leaving Date]&gt;42094,Table1[Leaving Date]&lt;42461),IF(Table1[Date of Last Assessment]="",Table1[Social Networks and Relationships],Table1[Social Networks and Relationships2]),"")))</f>
        <v/>
      </c>
      <c r="FO33" s="44" t="str">
        <f>IF(Table1[Leaving Date]="","",IF(Table1[Date of Initial Assessment]="","",IF(AND(Table1[Leaving Date]&gt;42094,Table1[Leaving Date]&lt;42461),IF(Table1[Date of Last Assessment]="",Table1[Drug and Alcohol Misuse],Table1[Drug and Alcohol Misuse2]),"")))</f>
        <v/>
      </c>
      <c r="FP33" s="44" t="str">
        <f>IF(Table1[Leaving Date]="","",IF(Table1[Date of Initial Assessment]="","",IF(AND(Table1[Leaving Date]&gt;42094,Table1[Leaving Date]&lt;42461),IF(Table1[Date of Last Assessment]="",Table1[Physical Health],Table1[Physical Health2]),"")))</f>
        <v/>
      </c>
      <c r="FQ33" s="44" t="str">
        <f>IF(Table1[Leaving Date]="","",IF(Table1[Date of Initial Assessment]="","",IF(AND(Table1[Leaving Date]&gt;42094,Table1[Leaving Date]&lt;42461),IF(Table1[Date of Last Assessment]="",Table1[Emotional and Mental Health],Table1[Emotional and Mental Health2]),"")))</f>
        <v/>
      </c>
      <c r="FR33" s="44" t="str">
        <f>IF(Table1[Leaving Date]="","",IF(Table1[Date of Initial Assessment]="","",IF(AND(Table1[Leaving Date]&gt;42094,Table1[Leaving Date]&lt;42461),IF(Table1[Date of Last Assessment]="",Table1[Meaningful Use of Time],Table1[Meaningful Use of Time2]),"")))</f>
        <v/>
      </c>
      <c r="FS33" s="44" t="str">
        <f>IF(Table1[Leaving Date]="","",IF(Table1[Date of Initial Assessment]="","",IF(AND(Table1[Leaving Date]&gt;42094,Table1[Leaving Date]&lt;42461),IF(Table1[Date of Last Assessment]="",Table1[Managing Tenancy and Accommodation],Table1[Managing Tenancy and Accommodation2]),"")))</f>
        <v/>
      </c>
      <c r="FT33" s="44" t="str">
        <f>IF(Table1[Leaving Date]="","",IF(Table1[Date of Initial Assessment]="","",IF(AND(Table1[Leaving Date]&gt;42094,Table1[Leaving Date]&lt;42461),IF(Table1[Date of Last Assessment]="",Table1[Offending],Table1[Offending2]),"")))</f>
        <v/>
      </c>
      <c r="FU33" s="44" t="str">
        <f>IF(Table1[Date of Initial Assessment]="","",IF(AND(Table1[Start Date]&gt;42460,Table1[Start Date]&lt;42826),Table1[Motivation and Taking Responsibility],""))</f>
        <v/>
      </c>
      <c r="FV33" s="44" t="str">
        <f>IF(Table1[Date of Initial Assessment]="","",IF(AND(Table1[Start Date]&gt;42460,Table1[Start Date]&lt;42826),Table1[Self-Care and Living Skills],""))</f>
        <v/>
      </c>
      <c r="FW33" s="44" t="str">
        <f>IF(Table1[Date of Initial Assessment]="","",IF(AND(Table1[Start Date]&gt;42460,Table1[Start Date]&lt;42826),Table1[Managing Money and Personal Administration],""))</f>
        <v/>
      </c>
      <c r="FX33" s="44" t="str">
        <f>IF(Table1[Date of Initial Assessment]="","",IF(AND(Table1[Start Date]&gt;42460,Table1[Start Date]&lt;42826),Table1[Social Networks and Relationships],""))</f>
        <v/>
      </c>
      <c r="FY33" s="44" t="str">
        <f>IF(Table1[Date of Initial Assessment]="","",IF(AND(Table1[Start Date]&gt;42460,Table1[Start Date]&lt;42826),Table1[Drug and Alcohol Misuse],""))</f>
        <v/>
      </c>
      <c r="FZ33" s="44" t="str">
        <f>IF(Table1[Date of Initial Assessment]="","",IF(AND(Table1[Start Date]&gt;42460,Table1[Start Date]&lt;42826),Table1[Physical Health],""))</f>
        <v/>
      </c>
      <c r="GA33" s="44" t="str">
        <f>IF(Table1[Date of Initial Assessment]="","",IF(AND(Table1[Start Date]&gt;42460,Table1[Start Date]&lt;42826),Table1[Emotional and Mental Health],""))</f>
        <v/>
      </c>
      <c r="GB33" s="44" t="str">
        <f>IF(Table1[Date of Initial Assessment]="","",IF(AND(Table1[Start Date]&gt;42460,Table1[Start Date]&lt;42826),Table1[Meaningful Use of Time],""))</f>
        <v/>
      </c>
      <c r="GC33" s="44" t="str">
        <f>IF(Table1[Date of Initial Assessment]="","",IF(AND(Table1[Start Date]&gt;42460,Table1[Start Date]&lt;42826),Table1[Managing Tenancy and Accommodation],""))</f>
        <v/>
      </c>
      <c r="GD33" s="44" t="str">
        <f>IF(Table1[Date of Initial Assessment]="","",IF(AND(Table1[Start Date]&gt;42460,Table1[Start Date]&lt;42826),Table1[Offending],""))</f>
        <v/>
      </c>
      <c r="GE33" s="44" t="str">
        <f>IF(Table1[Leaving Date]="","",IF(AND(Table1[Leaving Date]&gt;42460,Table1[Leaving Date]&lt;42826),IF(Table1[Date of Last Assessment]="",Table1[Motivation and Taking Responsibility],Table1[Motivation and Taking Responsibility2]),""))</f>
        <v/>
      </c>
      <c r="GF33" s="44" t="str">
        <f>IF(Table1[Leaving Date]="","",IF(AND(Table1[Leaving Date]&gt;42460,Table1[Leaving Date]&lt;42826),IF(Table1[Date of Last Assessment]="",Table1[Self-Care and Living Skills],Table1[Self-Care and Living Skills2]),""))</f>
        <v/>
      </c>
      <c r="GG33" s="44" t="str">
        <f>IF(Table1[Leaving Date]="","",IF(AND(Table1[Leaving Date]&gt;42460,Table1[Leaving Date]&lt;42826),IF(Table1[Date of Last Assessment]="",Table1[Managing Money and Personal Administration],Table1[Managing Money and Personal Administration2]),""))</f>
        <v/>
      </c>
      <c r="GH33" s="44" t="str">
        <f>IF(Table1[Leaving Date]="","",IF(AND(Table1[Leaving Date]&gt;42460,Table1[Leaving Date]&lt;42826),IF(Table1[Date of Last Assessment]="",Table1[Social Networks and Relationships],Table1[Social Networks and Relationships2]),""))</f>
        <v/>
      </c>
      <c r="GI33" s="44" t="str">
        <f>IF(Table1[Leaving Date]="","",IF(AND(Table1[Leaving Date]&gt;42460,Table1[Leaving Date]&lt;42826),IF(Table1[Date of Last Assessment]="",Table1[Drug and Alcohol Misuse],Table1[Drug and Alcohol Misuse2]),""))</f>
        <v/>
      </c>
      <c r="GJ33" s="44" t="str">
        <f>IF(Table1[Leaving Date]="","",IF(AND(Table1[Leaving Date]&gt;42460,Table1[Leaving Date]&lt;42826),IF(Table1[Date of Last Assessment]="",Table1[Physical Health],Table1[Physical Health2]),""))</f>
        <v/>
      </c>
      <c r="GK33" s="44" t="str">
        <f>IF(Table1[Leaving Date]="","",IF(AND(Table1[Leaving Date]&gt;42460,Table1[Leaving Date]&lt;42826),IF(Table1[Date of Last Assessment]="",Table1[Emotional and Mental Health],Table1[Emotional and Mental Health2]),""))</f>
        <v/>
      </c>
      <c r="GL33" s="44" t="str">
        <f>IF(Table1[Leaving Date]="","",IF(AND(Table1[Leaving Date]&gt;42460,Table1[Leaving Date]&lt;42826),IF(Table1[Date of Last Assessment]="",Table1[Meaningful Use of Time],Table1[Meaningful Use of Time2]),""))</f>
        <v/>
      </c>
      <c r="GM33" s="44" t="str">
        <f>IF(Table1[Leaving Date]="","",IF(AND(Table1[Leaving Date]&gt;42460,Table1[Leaving Date]&lt;42826),IF(Table1[Date of Last Assessment]="",Table1[Managing Tenancy and Accommodation],Table1[Managing Tenancy and Accommodation2]),""))</f>
        <v/>
      </c>
      <c r="GN33" s="44" t="str">
        <f>IF(Table1[Leaving Date]="","",IF(AND(Table1[Leaving Date]&gt;42460,Table1[Leaving Date]&lt;42826),IF(Table1[Date of Last Assessment]="",Table1[Offending],Table1[Offending2]),""))</f>
        <v/>
      </c>
    </row>
    <row r="34" spans="2:196" ht="20.100000000000001" customHeight="1" x14ac:dyDescent="0.2">
      <c r="B34" s="86">
        <f>+'Service Data'!$C$5:$C$5</f>
        <v>0</v>
      </c>
      <c r="C34" s="86"/>
      <c r="D34" s="86"/>
      <c r="E34" s="86"/>
      <c r="F34" s="86"/>
      <c r="G34" s="86"/>
      <c r="H34" s="6"/>
      <c r="I34" s="99" t="str">
        <f ca="1">IF(Table1[[#This Row],[Date of Birth]]="","",SUM(TODAY()-Table1[[#This Row],[Date of Birth]])/365)</f>
        <v/>
      </c>
      <c r="L34" s="86"/>
      <c r="M34" s="77"/>
      <c r="N34" s="86"/>
      <c r="O34" s="86"/>
      <c r="P34" s="91"/>
      <c r="Q34" s="86"/>
      <c r="R34" s="77"/>
      <c r="S34" s="77"/>
      <c r="T34" s="68"/>
      <c r="U34" s="68"/>
      <c r="V34" s="67"/>
      <c r="W34" s="67"/>
      <c r="X34" s="67"/>
      <c r="Y34" s="67"/>
      <c r="Z34" s="67"/>
      <c r="AA34" s="67"/>
      <c r="AB34" s="67"/>
      <c r="AC34" s="67"/>
      <c r="AD34" s="67"/>
      <c r="AE34" s="67"/>
      <c r="AF34" s="67"/>
      <c r="AG34" s="67"/>
      <c r="AH34" s="67"/>
      <c r="AI34" s="67"/>
      <c r="AJ34" s="67"/>
      <c r="AK34" s="67"/>
      <c r="AL34" s="67"/>
      <c r="AM34" s="67"/>
      <c r="AN34" s="77"/>
      <c r="AO34" s="76"/>
      <c r="AP34" s="77"/>
      <c r="AQ34" s="76"/>
      <c r="AR34" s="76"/>
      <c r="AS34" s="76"/>
      <c r="AT34" s="76"/>
      <c r="AU34" s="76"/>
      <c r="AV34" s="77"/>
      <c r="AW34" s="76"/>
      <c r="AX34" s="77"/>
      <c r="AY34" s="76"/>
      <c r="AZ34" s="76"/>
      <c r="BA34" s="76"/>
      <c r="BB34" s="76"/>
      <c r="BC34" s="76"/>
      <c r="BD34" s="77"/>
      <c r="BE34" s="76"/>
      <c r="BF34" s="77"/>
      <c r="BG34" s="76"/>
      <c r="BH34" s="76"/>
      <c r="BI34" s="76"/>
      <c r="BJ34" s="76"/>
      <c r="BK34" s="76"/>
      <c r="BL34" s="77"/>
      <c r="BM34" s="76"/>
      <c r="BN34" s="77"/>
      <c r="BO34" s="76"/>
      <c r="BP34" s="76"/>
      <c r="BQ34" s="76"/>
      <c r="BR34" s="76"/>
      <c r="BS34" s="76"/>
      <c r="BT34" s="77"/>
      <c r="BU34" s="76"/>
      <c r="BV34" s="77"/>
      <c r="BW34" s="76"/>
      <c r="BX34" s="76"/>
      <c r="BY34" s="76"/>
      <c r="BZ34" s="76"/>
      <c r="CA34" s="76"/>
      <c r="CB34" s="77"/>
      <c r="CC34" s="76"/>
      <c r="CD34" s="77"/>
      <c r="CE34" s="76"/>
      <c r="CF34" s="76"/>
      <c r="CG34" s="76"/>
      <c r="CH34" s="76"/>
      <c r="CI34" s="76"/>
      <c r="CJ34" s="77"/>
      <c r="CK34" s="76"/>
      <c r="CL34" s="77"/>
      <c r="CM34" s="76"/>
      <c r="CN34" s="76"/>
      <c r="CO34" s="76"/>
      <c r="CP34" s="76"/>
      <c r="CQ34" s="76"/>
      <c r="CR34" s="78" t="str">
        <f t="shared" si="15"/>
        <v/>
      </c>
      <c r="CS34" s="79" t="str">
        <f t="shared" si="16"/>
        <v/>
      </c>
      <c r="CT34" s="79" t="str">
        <f t="shared" si="17"/>
        <v/>
      </c>
      <c r="CU34" s="79" t="str">
        <f t="shared" si="18"/>
        <v/>
      </c>
      <c r="CV34" s="79" t="str">
        <f t="shared" si="19"/>
        <v/>
      </c>
      <c r="CW34" s="79" t="str">
        <f t="shared" si="20"/>
        <v/>
      </c>
      <c r="CX34" s="79" t="str">
        <f t="shared" si="21"/>
        <v/>
      </c>
      <c r="CY34" s="79" t="str">
        <f t="shared" si="22"/>
        <v/>
      </c>
      <c r="CZ34" s="79" t="str">
        <f t="shared" si="23"/>
        <v/>
      </c>
      <c r="DA34" s="79" t="str">
        <f t="shared" si="24"/>
        <v/>
      </c>
      <c r="DB34" s="79" t="str">
        <f t="shared" si="25"/>
        <v/>
      </c>
      <c r="DC34" s="79" t="str">
        <f t="shared" si="26"/>
        <v/>
      </c>
      <c r="DD34" s="79" t="str">
        <f t="shared" si="27"/>
        <v/>
      </c>
      <c r="DE34" s="79" t="str">
        <f t="shared" si="28"/>
        <v/>
      </c>
      <c r="DF34" s="79" t="str">
        <f t="shared" si="29"/>
        <v/>
      </c>
      <c r="DG34" s="79" t="str">
        <f t="shared" si="30"/>
        <v/>
      </c>
      <c r="DH34" s="76"/>
      <c r="DI34" s="78"/>
      <c r="DJ34" s="76"/>
      <c r="DK34" s="77"/>
      <c r="DL34" s="77"/>
      <c r="DM34" s="77"/>
      <c r="DN34" s="80"/>
      <c r="DO34" s="80"/>
      <c r="DP34" s="92" t="str">
        <f>IF(Table1[Start Date]="","",IF(Table1[Start Date]&gt;42185,"",IF(AND(Table1[Leaving Date]&gt;1,Table1[Leaving Date]&lt;42095),"",1)))</f>
        <v/>
      </c>
      <c r="DQ34" s="92" t="str">
        <f>IF(Table1[Start Date]="","",IF(Table1[Start Date]&gt;42277,"",IF(AND(Table1[Leaving Date]&gt;1,Table1[Leaving Date]&lt;42186),"",1)))</f>
        <v/>
      </c>
      <c r="DR34" s="92" t="str">
        <f>IF(Table1[Start Date]="","",IF(Table1[Start Date]&gt;42369,"",IF(AND(Table1[Leaving Date]&gt;1,Table1[Leaving Date]&lt;42278),"",1)))</f>
        <v/>
      </c>
      <c r="DS34" s="92" t="str">
        <f>IF(Table1[Start Date]="","",IF(Table1[Start Date]&gt;42460,"",IF(AND(Table1[Leaving Date]&gt;1,Table1[Leaving Date]&lt;42370),"",1)))</f>
        <v/>
      </c>
      <c r="DT34" s="92" t="str">
        <f>IF(Table1[Start Date]="","",IF(Table1[Start Date]&gt;42551,"",IF(AND(Table1[Leaving Date]&gt;1,Table1[Leaving Date]&lt;42461),"",1)))</f>
        <v/>
      </c>
      <c r="DU34" s="92" t="str">
        <f>IF(Table1[Start Date]="","",IF(Table1[Start Date]&gt;42643,"",IF(AND(Table1[Leaving Date]&gt;1,Table1[Leaving Date]&lt;42552),"",1)))</f>
        <v/>
      </c>
      <c r="DV34" s="92" t="str">
        <f>IF(Table1[Start Date]="","",IF(Table1[Start Date]&gt;42735,"",IF(AND(Table1[Leaving Date]&gt;1,Table1[Leaving Date]&lt;42644),"",1)))</f>
        <v/>
      </c>
      <c r="DW34" s="92" t="str">
        <f>IF(Table1[Start Date]="","",IF(Table1[Start Date]&gt;42825,"",IF(AND(Table1[Leaving Date]&gt;1,Table1[Leaving Date]&lt;42736),"",1)))</f>
        <v/>
      </c>
      <c r="DX34"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34" s="44" t="e">
        <f>VLOOKUP(Table1[Referral Source],Lists!$G$2:$H$20,2,FALSE)</f>
        <v>#N/A</v>
      </c>
      <c r="DZ34" s="93" t="e">
        <f>SUM(Table1[Data Referral Quarter]+Table1[Data Referral Source])</f>
        <v>#N/A</v>
      </c>
      <c r="EA34" s="44" t="b">
        <f>IF(Table1[Referral Decision]="Accepted",100,IF(Table1[Referral Decision]="Rejected by Provider",200,IF(Table1[Referral Decision]="Rejected by Applicant",300)))</f>
        <v>0</v>
      </c>
      <c r="EB34" s="44">
        <f>SUM(Table1[Data Referral Quarter]+Table1[Data Referral Decision])</f>
        <v>0</v>
      </c>
      <c r="EC34" s="44" t="b">
        <f>IF(Table1[Start Date]&gt;42735,8000,IF(Table1[Start Date]&gt;42643,7000,IF(Table1[Start Date]&gt;42551,6000,IF(Table1[Start Date]&gt;42460,5000,IF(Table1[Start Date]&gt;42369,4000,IF(Table1[Start Date]&gt;42277,3000,IF(Table1[Start Date]&gt;42185,2000,IF(Table1[Start Date]&gt;42094,1000))))))))</f>
        <v>0</v>
      </c>
      <c r="ED34" s="44" t="str">
        <f>IF(Table1[Start Date]="","",IF(Table1[Current Local Authority]="Swindon",1,"2"))</f>
        <v/>
      </c>
      <c r="EE34" s="44" t="e">
        <f>SUM(Table1[Data Start Date]+Table1[Data Local Authority])</f>
        <v>#VALUE!</v>
      </c>
      <c r="EF34" s="44">
        <f>IF(Table1[Registered with GP]="Yes",1,0)</f>
        <v>0</v>
      </c>
      <c r="EG34" s="44">
        <f>SUM(Table1[Data Start Date]+Table1[Data GP Start])</f>
        <v>0</v>
      </c>
      <c r="EH34" s="44" t="str">
        <f>IF(Table1[EET]="NEET",1,IF(Table1[EET]="Education",2,IF(Table1[EET]="Employment",2,IF(Table1[EET]="Training",2,IF(Table1[EET]="Retired",3,"")))))</f>
        <v/>
      </c>
      <c r="EI34" s="44" t="e">
        <f>Table1[Data Start Date]+Table1[Data EET Start]</f>
        <v>#VALUE!</v>
      </c>
      <c r="EJ34" s="44" t="b">
        <f>IF(Table1[Leaving Date]&gt;42735,8000,IF(Table1[Leaving Date]&gt;42643,7000,IF(Table1[Leaving Date]&gt;42551,6000,IF(Table1[Leaving Date]&gt;42460,5000,IF(Table1[Leaving Date]&gt;42369,4000,IF(Table1[Leaving Date]&gt;42277,3000,IF(Table1[Leaving Date]&gt;42185,2000,IF(Table1[Leaving Date]&gt;42094,1000))))))))</f>
        <v>0</v>
      </c>
      <c r="EK34" s="44" t="e">
        <f>VLOOKUP(Table1[Reason for Leaving],Lists!$T$2:$U$15,2,FALSE)</f>
        <v>#N/A</v>
      </c>
      <c r="EL34" s="44" t="e">
        <f>SUM(Table1[Data Leavers Date]+Table1[Data Move On])</f>
        <v>#N/A</v>
      </c>
      <c r="EM34" s="44" t="b">
        <f>IF(Table1[Registered with GP2]="Yes",1,IF(Table1[Registered with GP2]="No",0,IF(Table1[Registered with GP]="Yes",1,IF(Table1[Registered with GP]="No",0))))</f>
        <v>0</v>
      </c>
      <c r="EN34" s="44">
        <f>SUM(Table1[Data Leavers Date]+Table1[Data GP End])</f>
        <v>0</v>
      </c>
      <c r="EO34" s="44" t="str">
        <f>IF(Table1[EET2]="NEET",1,IF(Table1[EET2]="Employment",2,IF(Table1[EET2]="Education",2,IF(Table1[EET2]="Training",2,IF(Table1[EET2]="Retired",3,IF(Table1[EET]="NEET",1,IF(Table1[EET]="Employment",2,IF(Table1[EET]="Education",2,IF(Table1[EET]="Training",2,IF(Table1[EET]="Retired",3,""))))))))))</f>
        <v/>
      </c>
      <c r="EP34" s="44" t="e">
        <f>+Table1[[#This Row],[Data Leavers Date]]+Table1[[#This Row],[Data EET End]]</f>
        <v>#VALUE!</v>
      </c>
      <c r="EQ34" s="44">
        <f>IF(Table1[Exit Form Received]="Yes",1,0)</f>
        <v>0</v>
      </c>
      <c r="ER34" s="44">
        <f>+Table1[[#This Row],[Data Leavers Date]]+Table1[[#This Row],[Data Exit Forms]]</f>
        <v>0</v>
      </c>
      <c r="ES34" s="44" t="str">
        <f>IF(Table1[Data Leavers Date]=1000,SUM(Table1[Leaving Date]-Table1[Start Date]),"")</f>
        <v/>
      </c>
      <c r="ET34" s="44" t="str">
        <f>IF(Table1[Data Leavers Date]=2000,SUM(Table1[Leaving Date]-Table1[Start Date]),"")</f>
        <v/>
      </c>
      <c r="EU34" s="44" t="str">
        <f>IF(Table1[Data Leavers Date]=3000,SUM(Table1[Leaving Date]-Table1[Start Date]),"")</f>
        <v/>
      </c>
      <c r="EV34" s="44" t="str">
        <f>IF(Table1[Data Leavers Date]=4000,SUM(Table1[Leaving Date]-Table1[Start Date]),"")</f>
        <v/>
      </c>
      <c r="EW34" s="44" t="str">
        <f>IF(Table1[Data Leavers Date]=5000,SUM(Table1[Leaving Date]-Table1[Start Date]),"")</f>
        <v/>
      </c>
      <c r="EX34" s="44" t="str">
        <f>IF(Table1[Data Leavers Date]=6000,SUM(Table1[Leaving Date]-Table1[Start Date]),"")</f>
        <v/>
      </c>
      <c r="EY34" s="44" t="str">
        <f>IF(Table1[Data Leavers Date]=7000,SUM(Table1[Leaving Date]-Table1[Start Date]),"")</f>
        <v/>
      </c>
      <c r="EZ34" s="44" t="str">
        <f>IF(Table1[Data Leavers Date]=8000,SUM(Table1[Leaving Date]-Table1[Start Date]),"")</f>
        <v/>
      </c>
      <c r="FA34" s="44" t="str">
        <f>IF(Table1[Date of Initial Assessment]="","",IF(AND(Table1[Start Date]&gt;42094,Table1[Start Date]&lt;42461),Table1[Motivation and Taking Responsibility],""))</f>
        <v/>
      </c>
      <c r="FB34" s="44" t="str">
        <f>IF(Table1[Date of Initial Assessment]="","",IF(AND(Table1[Start Date]&gt;42094,Table1[Start Date]&lt;42461),Table1[Self-Care and Living Skills],""))</f>
        <v/>
      </c>
      <c r="FC34" s="44" t="str">
        <f>IF(Table1[Date of Initial Assessment]="","",IF(AND(Table1[Start Date]&gt;42094,Table1[Start Date]&lt;42461),Table1[Managing Money and Personal Administration],""))</f>
        <v/>
      </c>
      <c r="FD34" s="44" t="str">
        <f>IF(Table1[Date of Initial Assessment]="","",IF(AND(Table1[Start Date]&gt;42094,Table1[Start Date]&lt;42461),Table1[Social Networks and Relationships],""))</f>
        <v/>
      </c>
      <c r="FE34" s="44" t="str">
        <f>IF(Table1[Date of Initial Assessment]="","",IF(AND(Table1[Start Date]&gt;42094,Table1[Start Date]&lt;42461),Table1[Drug and Alcohol Misuse],""))</f>
        <v/>
      </c>
      <c r="FF34" s="44" t="str">
        <f>IF(Table1[Date of Initial Assessment]="","",IF(AND(Table1[Start Date]&gt;42094,Table1[Start Date]&lt;42461),Table1[Physical Health],""))</f>
        <v/>
      </c>
      <c r="FG34" s="44" t="str">
        <f>IF(Table1[Date of Initial Assessment]="","",IF(AND(Table1[Start Date]&gt;42094,Table1[Start Date]&lt;42461),Table1[Emotional and Mental Health],""))</f>
        <v/>
      </c>
      <c r="FH34" s="44" t="str">
        <f>IF(Table1[Date of Initial Assessment]="","",IF(AND(Table1[Start Date]&gt;42094,Table1[Start Date]&lt;42461),Table1[Meaningful Use of Time],""))</f>
        <v/>
      </c>
      <c r="FI34" s="44" t="str">
        <f>IF(Table1[Date of Initial Assessment]="","",IF(AND(Table1[Start Date]&gt;42094,Table1[Start Date]&lt;42461),Table1[Managing Tenancy and Accommodation],""))</f>
        <v/>
      </c>
      <c r="FJ34" s="44" t="str">
        <f>IF(Table1[Date of Initial Assessment]="","",IF(AND(Table1[Start Date]&gt;42094,Table1[Start Date]&lt;42461),Table1[Offending],""))</f>
        <v/>
      </c>
      <c r="FK34" s="44" t="str">
        <f>IF(Table1[Leaving Date]="","",IF(Table1[Date of Initial Assessment]="","",IF(AND(Table1[Leaving Date]&gt;42094,Table1[Leaving Date]&lt;42461),IF(Table1[Date of Last Assessment]="",Table1[Motivation and Taking Responsibility],Table1[Motivation and Taking Responsibility2]),"")))</f>
        <v/>
      </c>
      <c r="FL34" s="44" t="str">
        <f>IF(Table1[Leaving Date]="","",IF(Table1[Date of Initial Assessment]="","",IF(AND(Table1[Leaving Date]&gt;42094,Table1[Leaving Date]&lt;42461),IF(Table1[Date of Last Assessment]="",Table1[Self-Care and Living Skills],Table1[Self-Care and Living Skills2]),"")))</f>
        <v/>
      </c>
      <c r="FM34" s="44" t="str">
        <f>IF(Table1[Leaving Date]="","",IF(Table1[Date of Initial Assessment]="","",IF(AND(Table1[Leaving Date]&gt;42094,Table1[Leaving Date]&lt;42461),IF(Table1[Date of Last Assessment]="",Table1[Managing Money and Personal Administration],Table1[Managing Money and Personal Administration2]),"")))</f>
        <v/>
      </c>
      <c r="FN34" s="44" t="str">
        <f>IF(Table1[Leaving Date]="","",IF(Table1[Date of Initial Assessment]="","",IF(AND(Table1[Leaving Date]&gt;42094,Table1[Leaving Date]&lt;42461),IF(Table1[Date of Last Assessment]="",Table1[Social Networks and Relationships],Table1[Social Networks and Relationships2]),"")))</f>
        <v/>
      </c>
      <c r="FO34" s="44" t="str">
        <f>IF(Table1[Leaving Date]="","",IF(Table1[Date of Initial Assessment]="","",IF(AND(Table1[Leaving Date]&gt;42094,Table1[Leaving Date]&lt;42461),IF(Table1[Date of Last Assessment]="",Table1[Drug and Alcohol Misuse],Table1[Drug and Alcohol Misuse2]),"")))</f>
        <v/>
      </c>
      <c r="FP34" s="44" t="str">
        <f>IF(Table1[Leaving Date]="","",IF(Table1[Date of Initial Assessment]="","",IF(AND(Table1[Leaving Date]&gt;42094,Table1[Leaving Date]&lt;42461),IF(Table1[Date of Last Assessment]="",Table1[Physical Health],Table1[Physical Health2]),"")))</f>
        <v/>
      </c>
      <c r="FQ34" s="44" t="str">
        <f>IF(Table1[Leaving Date]="","",IF(Table1[Date of Initial Assessment]="","",IF(AND(Table1[Leaving Date]&gt;42094,Table1[Leaving Date]&lt;42461),IF(Table1[Date of Last Assessment]="",Table1[Emotional and Mental Health],Table1[Emotional and Mental Health2]),"")))</f>
        <v/>
      </c>
      <c r="FR34" s="44" t="str">
        <f>IF(Table1[Leaving Date]="","",IF(Table1[Date of Initial Assessment]="","",IF(AND(Table1[Leaving Date]&gt;42094,Table1[Leaving Date]&lt;42461),IF(Table1[Date of Last Assessment]="",Table1[Meaningful Use of Time],Table1[Meaningful Use of Time2]),"")))</f>
        <v/>
      </c>
      <c r="FS34" s="44" t="str">
        <f>IF(Table1[Leaving Date]="","",IF(Table1[Date of Initial Assessment]="","",IF(AND(Table1[Leaving Date]&gt;42094,Table1[Leaving Date]&lt;42461),IF(Table1[Date of Last Assessment]="",Table1[Managing Tenancy and Accommodation],Table1[Managing Tenancy and Accommodation2]),"")))</f>
        <v/>
      </c>
      <c r="FT34" s="44" t="str">
        <f>IF(Table1[Leaving Date]="","",IF(Table1[Date of Initial Assessment]="","",IF(AND(Table1[Leaving Date]&gt;42094,Table1[Leaving Date]&lt;42461),IF(Table1[Date of Last Assessment]="",Table1[Offending],Table1[Offending2]),"")))</f>
        <v/>
      </c>
      <c r="FU34" s="44" t="str">
        <f>IF(Table1[Date of Initial Assessment]="","",IF(AND(Table1[Start Date]&gt;42460,Table1[Start Date]&lt;42826),Table1[Motivation and Taking Responsibility],""))</f>
        <v/>
      </c>
      <c r="FV34" s="44" t="str">
        <f>IF(Table1[Date of Initial Assessment]="","",IF(AND(Table1[Start Date]&gt;42460,Table1[Start Date]&lt;42826),Table1[Self-Care and Living Skills],""))</f>
        <v/>
      </c>
      <c r="FW34" s="44" t="str">
        <f>IF(Table1[Date of Initial Assessment]="","",IF(AND(Table1[Start Date]&gt;42460,Table1[Start Date]&lt;42826),Table1[Managing Money and Personal Administration],""))</f>
        <v/>
      </c>
      <c r="FX34" s="44" t="str">
        <f>IF(Table1[Date of Initial Assessment]="","",IF(AND(Table1[Start Date]&gt;42460,Table1[Start Date]&lt;42826),Table1[Social Networks and Relationships],""))</f>
        <v/>
      </c>
      <c r="FY34" s="44" t="str">
        <f>IF(Table1[Date of Initial Assessment]="","",IF(AND(Table1[Start Date]&gt;42460,Table1[Start Date]&lt;42826),Table1[Drug and Alcohol Misuse],""))</f>
        <v/>
      </c>
      <c r="FZ34" s="44" t="str">
        <f>IF(Table1[Date of Initial Assessment]="","",IF(AND(Table1[Start Date]&gt;42460,Table1[Start Date]&lt;42826),Table1[Physical Health],""))</f>
        <v/>
      </c>
      <c r="GA34" s="44" t="str">
        <f>IF(Table1[Date of Initial Assessment]="","",IF(AND(Table1[Start Date]&gt;42460,Table1[Start Date]&lt;42826),Table1[Emotional and Mental Health],""))</f>
        <v/>
      </c>
      <c r="GB34" s="44" t="str">
        <f>IF(Table1[Date of Initial Assessment]="","",IF(AND(Table1[Start Date]&gt;42460,Table1[Start Date]&lt;42826),Table1[Meaningful Use of Time],""))</f>
        <v/>
      </c>
      <c r="GC34" s="44" t="str">
        <f>IF(Table1[Date of Initial Assessment]="","",IF(AND(Table1[Start Date]&gt;42460,Table1[Start Date]&lt;42826),Table1[Managing Tenancy and Accommodation],""))</f>
        <v/>
      </c>
      <c r="GD34" s="44" t="str">
        <f>IF(Table1[Date of Initial Assessment]="","",IF(AND(Table1[Start Date]&gt;42460,Table1[Start Date]&lt;42826),Table1[Offending],""))</f>
        <v/>
      </c>
      <c r="GE34" s="44" t="str">
        <f>IF(Table1[Leaving Date]="","",IF(AND(Table1[Leaving Date]&gt;42460,Table1[Leaving Date]&lt;42826),IF(Table1[Date of Last Assessment]="",Table1[Motivation and Taking Responsibility],Table1[Motivation and Taking Responsibility2]),""))</f>
        <v/>
      </c>
      <c r="GF34" s="44" t="str">
        <f>IF(Table1[Leaving Date]="","",IF(AND(Table1[Leaving Date]&gt;42460,Table1[Leaving Date]&lt;42826),IF(Table1[Date of Last Assessment]="",Table1[Self-Care and Living Skills],Table1[Self-Care and Living Skills2]),""))</f>
        <v/>
      </c>
      <c r="GG34" s="44" t="str">
        <f>IF(Table1[Leaving Date]="","",IF(AND(Table1[Leaving Date]&gt;42460,Table1[Leaving Date]&lt;42826),IF(Table1[Date of Last Assessment]="",Table1[Managing Money and Personal Administration],Table1[Managing Money and Personal Administration2]),""))</f>
        <v/>
      </c>
      <c r="GH34" s="44" t="str">
        <f>IF(Table1[Leaving Date]="","",IF(AND(Table1[Leaving Date]&gt;42460,Table1[Leaving Date]&lt;42826),IF(Table1[Date of Last Assessment]="",Table1[Social Networks and Relationships],Table1[Social Networks and Relationships2]),""))</f>
        <v/>
      </c>
      <c r="GI34" s="44" t="str">
        <f>IF(Table1[Leaving Date]="","",IF(AND(Table1[Leaving Date]&gt;42460,Table1[Leaving Date]&lt;42826),IF(Table1[Date of Last Assessment]="",Table1[Drug and Alcohol Misuse],Table1[Drug and Alcohol Misuse2]),""))</f>
        <v/>
      </c>
      <c r="GJ34" s="44" t="str">
        <f>IF(Table1[Leaving Date]="","",IF(AND(Table1[Leaving Date]&gt;42460,Table1[Leaving Date]&lt;42826),IF(Table1[Date of Last Assessment]="",Table1[Physical Health],Table1[Physical Health2]),""))</f>
        <v/>
      </c>
      <c r="GK34" s="44" t="str">
        <f>IF(Table1[Leaving Date]="","",IF(AND(Table1[Leaving Date]&gt;42460,Table1[Leaving Date]&lt;42826),IF(Table1[Date of Last Assessment]="",Table1[Emotional and Mental Health],Table1[Emotional and Mental Health2]),""))</f>
        <v/>
      </c>
      <c r="GL34" s="44" t="str">
        <f>IF(Table1[Leaving Date]="","",IF(AND(Table1[Leaving Date]&gt;42460,Table1[Leaving Date]&lt;42826),IF(Table1[Date of Last Assessment]="",Table1[Meaningful Use of Time],Table1[Meaningful Use of Time2]),""))</f>
        <v/>
      </c>
      <c r="GM34" s="44" t="str">
        <f>IF(Table1[Leaving Date]="","",IF(AND(Table1[Leaving Date]&gt;42460,Table1[Leaving Date]&lt;42826),IF(Table1[Date of Last Assessment]="",Table1[Managing Tenancy and Accommodation],Table1[Managing Tenancy and Accommodation2]),""))</f>
        <v/>
      </c>
      <c r="GN34" s="44" t="str">
        <f>IF(Table1[Leaving Date]="","",IF(AND(Table1[Leaving Date]&gt;42460,Table1[Leaving Date]&lt;42826),IF(Table1[Date of Last Assessment]="",Table1[Offending],Table1[Offending2]),""))</f>
        <v/>
      </c>
    </row>
    <row r="35" spans="2:196" ht="20.100000000000001" customHeight="1" x14ac:dyDescent="0.2">
      <c r="B35" s="86">
        <f>+'Service Data'!$C$5:$C$5</f>
        <v>0</v>
      </c>
      <c r="C35" s="86"/>
      <c r="D35" s="86"/>
      <c r="E35" s="86"/>
      <c r="F35" s="86"/>
      <c r="G35" s="86"/>
      <c r="H35" s="6"/>
      <c r="I35" s="99" t="str">
        <f ca="1">IF(Table1[[#This Row],[Date of Birth]]="","",SUM(TODAY()-Table1[[#This Row],[Date of Birth]])/365)</f>
        <v/>
      </c>
      <c r="L35" s="86"/>
      <c r="M35" s="77"/>
      <c r="N35" s="86"/>
      <c r="O35" s="86"/>
      <c r="P35" s="91"/>
      <c r="Q35" s="86"/>
      <c r="R35" s="77"/>
      <c r="S35" s="77"/>
      <c r="T35" s="68"/>
      <c r="U35" s="68"/>
      <c r="V35" s="67"/>
      <c r="W35" s="67"/>
      <c r="X35" s="67"/>
      <c r="Y35" s="67"/>
      <c r="Z35" s="67"/>
      <c r="AA35" s="67"/>
      <c r="AB35" s="67"/>
      <c r="AC35" s="67"/>
      <c r="AD35" s="67"/>
      <c r="AE35" s="67"/>
      <c r="AF35" s="67"/>
      <c r="AG35" s="67"/>
      <c r="AH35" s="67"/>
      <c r="AI35" s="67"/>
      <c r="AJ35" s="67"/>
      <c r="AK35" s="67"/>
      <c r="AL35" s="67"/>
      <c r="AM35" s="67"/>
      <c r="AN35" s="77"/>
      <c r="AO35" s="76"/>
      <c r="AP35" s="77"/>
      <c r="AQ35" s="76"/>
      <c r="AR35" s="76"/>
      <c r="AS35" s="76"/>
      <c r="AT35" s="76"/>
      <c r="AU35" s="76"/>
      <c r="AV35" s="77"/>
      <c r="AW35" s="76"/>
      <c r="AX35" s="77"/>
      <c r="AY35" s="76"/>
      <c r="AZ35" s="76"/>
      <c r="BA35" s="76"/>
      <c r="BB35" s="76"/>
      <c r="BC35" s="76"/>
      <c r="BD35" s="77"/>
      <c r="BE35" s="76"/>
      <c r="BF35" s="77"/>
      <c r="BG35" s="76"/>
      <c r="BH35" s="76"/>
      <c r="BI35" s="76"/>
      <c r="BJ35" s="76"/>
      <c r="BK35" s="76"/>
      <c r="BL35" s="77"/>
      <c r="BM35" s="76"/>
      <c r="BN35" s="77"/>
      <c r="BO35" s="76"/>
      <c r="BP35" s="76"/>
      <c r="BQ35" s="76"/>
      <c r="BR35" s="76"/>
      <c r="BS35" s="76"/>
      <c r="BT35" s="77"/>
      <c r="BU35" s="76"/>
      <c r="BV35" s="77"/>
      <c r="BW35" s="76"/>
      <c r="BX35" s="76"/>
      <c r="BY35" s="76"/>
      <c r="BZ35" s="76"/>
      <c r="CA35" s="76"/>
      <c r="CB35" s="77"/>
      <c r="CC35" s="76"/>
      <c r="CD35" s="77"/>
      <c r="CE35" s="76"/>
      <c r="CF35" s="76"/>
      <c r="CG35" s="76"/>
      <c r="CH35" s="76"/>
      <c r="CI35" s="76"/>
      <c r="CJ35" s="77"/>
      <c r="CK35" s="76"/>
      <c r="CL35" s="77"/>
      <c r="CM35" s="76"/>
      <c r="CN35" s="76"/>
      <c r="CO35" s="76"/>
      <c r="CP35" s="76"/>
      <c r="CQ35" s="76"/>
      <c r="CR35" s="78" t="str">
        <f t="shared" si="15"/>
        <v/>
      </c>
      <c r="CS35" s="79" t="str">
        <f t="shared" si="16"/>
        <v/>
      </c>
      <c r="CT35" s="79" t="str">
        <f t="shared" si="17"/>
        <v/>
      </c>
      <c r="CU35" s="79" t="str">
        <f t="shared" si="18"/>
        <v/>
      </c>
      <c r="CV35" s="79" t="str">
        <f t="shared" si="19"/>
        <v/>
      </c>
      <c r="CW35" s="79" t="str">
        <f t="shared" si="20"/>
        <v/>
      </c>
      <c r="CX35" s="79" t="str">
        <f t="shared" si="21"/>
        <v/>
      </c>
      <c r="CY35" s="79" t="str">
        <f t="shared" si="22"/>
        <v/>
      </c>
      <c r="CZ35" s="79" t="str">
        <f t="shared" si="23"/>
        <v/>
      </c>
      <c r="DA35" s="79" t="str">
        <f t="shared" si="24"/>
        <v/>
      </c>
      <c r="DB35" s="79" t="str">
        <f t="shared" si="25"/>
        <v/>
      </c>
      <c r="DC35" s="79" t="str">
        <f t="shared" si="26"/>
        <v/>
      </c>
      <c r="DD35" s="79" t="str">
        <f t="shared" si="27"/>
        <v/>
      </c>
      <c r="DE35" s="79" t="str">
        <f t="shared" si="28"/>
        <v/>
      </c>
      <c r="DF35" s="79" t="str">
        <f t="shared" si="29"/>
        <v/>
      </c>
      <c r="DG35" s="79" t="str">
        <f t="shared" si="30"/>
        <v/>
      </c>
      <c r="DH35" s="76"/>
      <c r="DI35" s="78"/>
      <c r="DJ35" s="76"/>
      <c r="DK35" s="77"/>
      <c r="DL35" s="77"/>
      <c r="DM35" s="77"/>
      <c r="DN35" s="80"/>
      <c r="DO35" s="80"/>
      <c r="DP35" s="92" t="str">
        <f>IF(Table1[Start Date]="","",IF(Table1[Start Date]&gt;42185,"",IF(AND(Table1[Leaving Date]&gt;1,Table1[Leaving Date]&lt;42095),"",1)))</f>
        <v/>
      </c>
      <c r="DQ35" s="92" t="str">
        <f>IF(Table1[Start Date]="","",IF(Table1[Start Date]&gt;42277,"",IF(AND(Table1[Leaving Date]&gt;1,Table1[Leaving Date]&lt;42186),"",1)))</f>
        <v/>
      </c>
      <c r="DR35" s="92" t="str">
        <f>IF(Table1[Start Date]="","",IF(Table1[Start Date]&gt;42369,"",IF(AND(Table1[Leaving Date]&gt;1,Table1[Leaving Date]&lt;42278),"",1)))</f>
        <v/>
      </c>
      <c r="DS35" s="92" t="str">
        <f>IF(Table1[Start Date]="","",IF(Table1[Start Date]&gt;42460,"",IF(AND(Table1[Leaving Date]&gt;1,Table1[Leaving Date]&lt;42370),"",1)))</f>
        <v/>
      </c>
      <c r="DT35" s="92" t="str">
        <f>IF(Table1[Start Date]="","",IF(Table1[Start Date]&gt;42551,"",IF(AND(Table1[Leaving Date]&gt;1,Table1[Leaving Date]&lt;42461),"",1)))</f>
        <v/>
      </c>
      <c r="DU35" s="92" t="str">
        <f>IF(Table1[Start Date]="","",IF(Table1[Start Date]&gt;42643,"",IF(AND(Table1[Leaving Date]&gt;1,Table1[Leaving Date]&lt;42552),"",1)))</f>
        <v/>
      </c>
      <c r="DV35" s="92" t="str">
        <f>IF(Table1[Start Date]="","",IF(Table1[Start Date]&gt;42735,"",IF(AND(Table1[Leaving Date]&gt;1,Table1[Leaving Date]&lt;42644),"",1)))</f>
        <v/>
      </c>
      <c r="DW35" s="92" t="str">
        <f>IF(Table1[Start Date]="","",IF(Table1[Start Date]&gt;42825,"",IF(AND(Table1[Leaving Date]&gt;1,Table1[Leaving Date]&lt;42736),"",1)))</f>
        <v/>
      </c>
      <c r="DX35"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35" s="44" t="e">
        <f>VLOOKUP(Table1[Referral Source],Lists!$G$2:$H$20,2,FALSE)</f>
        <v>#N/A</v>
      </c>
      <c r="DZ35" s="93" t="e">
        <f>SUM(Table1[Data Referral Quarter]+Table1[Data Referral Source])</f>
        <v>#N/A</v>
      </c>
      <c r="EA35" s="44" t="b">
        <f>IF(Table1[Referral Decision]="Accepted",100,IF(Table1[Referral Decision]="Rejected by Provider",200,IF(Table1[Referral Decision]="Rejected by Applicant",300)))</f>
        <v>0</v>
      </c>
      <c r="EB35" s="44">
        <f>SUM(Table1[Data Referral Quarter]+Table1[Data Referral Decision])</f>
        <v>0</v>
      </c>
      <c r="EC35" s="44" t="b">
        <f>IF(Table1[Start Date]&gt;42735,8000,IF(Table1[Start Date]&gt;42643,7000,IF(Table1[Start Date]&gt;42551,6000,IF(Table1[Start Date]&gt;42460,5000,IF(Table1[Start Date]&gt;42369,4000,IF(Table1[Start Date]&gt;42277,3000,IF(Table1[Start Date]&gt;42185,2000,IF(Table1[Start Date]&gt;42094,1000))))))))</f>
        <v>0</v>
      </c>
      <c r="ED35" s="44" t="str">
        <f>IF(Table1[Start Date]="","",IF(Table1[Current Local Authority]="Swindon",1,"2"))</f>
        <v/>
      </c>
      <c r="EE35" s="44" t="e">
        <f>SUM(Table1[Data Start Date]+Table1[Data Local Authority])</f>
        <v>#VALUE!</v>
      </c>
      <c r="EF35" s="44">
        <f>IF(Table1[Registered with GP]="Yes",1,0)</f>
        <v>0</v>
      </c>
      <c r="EG35" s="44">
        <f>SUM(Table1[Data Start Date]+Table1[Data GP Start])</f>
        <v>0</v>
      </c>
      <c r="EH35" s="44" t="str">
        <f>IF(Table1[EET]="NEET",1,IF(Table1[EET]="Education",2,IF(Table1[EET]="Employment",2,IF(Table1[EET]="Training",2,IF(Table1[EET]="Retired",3,"")))))</f>
        <v/>
      </c>
      <c r="EI35" s="44" t="e">
        <f>Table1[Data Start Date]+Table1[Data EET Start]</f>
        <v>#VALUE!</v>
      </c>
      <c r="EJ35" s="44" t="b">
        <f>IF(Table1[Leaving Date]&gt;42735,8000,IF(Table1[Leaving Date]&gt;42643,7000,IF(Table1[Leaving Date]&gt;42551,6000,IF(Table1[Leaving Date]&gt;42460,5000,IF(Table1[Leaving Date]&gt;42369,4000,IF(Table1[Leaving Date]&gt;42277,3000,IF(Table1[Leaving Date]&gt;42185,2000,IF(Table1[Leaving Date]&gt;42094,1000))))))))</f>
        <v>0</v>
      </c>
      <c r="EK35" s="44" t="e">
        <f>VLOOKUP(Table1[Reason for Leaving],Lists!$T$2:$U$15,2,FALSE)</f>
        <v>#N/A</v>
      </c>
      <c r="EL35" s="44" t="e">
        <f>SUM(Table1[Data Leavers Date]+Table1[Data Move On])</f>
        <v>#N/A</v>
      </c>
      <c r="EM35" s="44" t="b">
        <f>IF(Table1[Registered with GP2]="Yes",1,IF(Table1[Registered with GP2]="No",0,IF(Table1[Registered with GP]="Yes",1,IF(Table1[Registered with GP]="No",0))))</f>
        <v>0</v>
      </c>
      <c r="EN35" s="44">
        <f>SUM(Table1[Data Leavers Date]+Table1[Data GP End])</f>
        <v>0</v>
      </c>
      <c r="EO35" s="44" t="str">
        <f>IF(Table1[EET2]="NEET",1,IF(Table1[EET2]="Employment",2,IF(Table1[EET2]="Education",2,IF(Table1[EET2]="Training",2,IF(Table1[EET2]="Retired",3,IF(Table1[EET]="NEET",1,IF(Table1[EET]="Employment",2,IF(Table1[EET]="Education",2,IF(Table1[EET]="Training",2,IF(Table1[EET]="Retired",3,""))))))))))</f>
        <v/>
      </c>
      <c r="EP35" s="44" t="e">
        <f>+Table1[[#This Row],[Data Leavers Date]]+Table1[[#This Row],[Data EET End]]</f>
        <v>#VALUE!</v>
      </c>
      <c r="EQ35" s="44">
        <f>IF(Table1[Exit Form Received]="Yes",1,0)</f>
        <v>0</v>
      </c>
      <c r="ER35" s="44">
        <f>+Table1[[#This Row],[Data Leavers Date]]+Table1[[#This Row],[Data Exit Forms]]</f>
        <v>0</v>
      </c>
      <c r="ES35" s="44" t="str">
        <f>IF(Table1[Data Leavers Date]=1000,SUM(Table1[Leaving Date]-Table1[Start Date]),"")</f>
        <v/>
      </c>
      <c r="ET35" s="44" t="str">
        <f>IF(Table1[Data Leavers Date]=2000,SUM(Table1[Leaving Date]-Table1[Start Date]),"")</f>
        <v/>
      </c>
      <c r="EU35" s="44" t="str">
        <f>IF(Table1[Data Leavers Date]=3000,SUM(Table1[Leaving Date]-Table1[Start Date]),"")</f>
        <v/>
      </c>
      <c r="EV35" s="44" t="str">
        <f>IF(Table1[Data Leavers Date]=4000,SUM(Table1[Leaving Date]-Table1[Start Date]),"")</f>
        <v/>
      </c>
      <c r="EW35" s="44" t="str">
        <f>IF(Table1[Data Leavers Date]=5000,SUM(Table1[Leaving Date]-Table1[Start Date]),"")</f>
        <v/>
      </c>
      <c r="EX35" s="44" t="str">
        <f>IF(Table1[Data Leavers Date]=6000,SUM(Table1[Leaving Date]-Table1[Start Date]),"")</f>
        <v/>
      </c>
      <c r="EY35" s="44" t="str">
        <f>IF(Table1[Data Leavers Date]=7000,SUM(Table1[Leaving Date]-Table1[Start Date]),"")</f>
        <v/>
      </c>
      <c r="EZ35" s="44" t="str">
        <f>IF(Table1[Data Leavers Date]=8000,SUM(Table1[Leaving Date]-Table1[Start Date]),"")</f>
        <v/>
      </c>
      <c r="FA35" s="44" t="str">
        <f>IF(Table1[Date of Initial Assessment]="","",IF(AND(Table1[Start Date]&gt;42094,Table1[Start Date]&lt;42461),Table1[Motivation and Taking Responsibility],""))</f>
        <v/>
      </c>
      <c r="FB35" s="44" t="str">
        <f>IF(Table1[Date of Initial Assessment]="","",IF(AND(Table1[Start Date]&gt;42094,Table1[Start Date]&lt;42461),Table1[Self-Care and Living Skills],""))</f>
        <v/>
      </c>
      <c r="FC35" s="44" t="str">
        <f>IF(Table1[Date of Initial Assessment]="","",IF(AND(Table1[Start Date]&gt;42094,Table1[Start Date]&lt;42461),Table1[Managing Money and Personal Administration],""))</f>
        <v/>
      </c>
      <c r="FD35" s="44" t="str">
        <f>IF(Table1[Date of Initial Assessment]="","",IF(AND(Table1[Start Date]&gt;42094,Table1[Start Date]&lt;42461),Table1[Social Networks and Relationships],""))</f>
        <v/>
      </c>
      <c r="FE35" s="44" t="str">
        <f>IF(Table1[Date of Initial Assessment]="","",IF(AND(Table1[Start Date]&gt;42094,Table1[Start Date]&lt;42461),Table1[Drug and Alcohol Misuse],""))</f>
        <v/>
      </c>
      <c r="FF35" s="44" t="str">
        <f>IF(Table1[Date of Initial Assessment]="","",IF(AND(Table1[Start Date]&gt;42094,Table1[Start Date]&lt;42461),Table1[Physical Health],""))</f>
        <v/>
      </c>
      <c r="FG35" s="44" t="str">
        <f>IF(Table1[Date of Initial Assessment]="","",IF(AND(Table1[Start Date]&gt;42094,Table1[Start Date]&lt;42461),Table1[Emotional and Mental Health],""))</f>
        <v/>
      </c>
      <c r="FH35" s="44" t="str">
        <f>IF(Table1[Date of Initial Assessment]="","",IF(AND(Table1[Start Date]&gt;42094,Table1[Start Date]&lt;42461),Table1[Meaningful Use of Time],""))</f>
        <v/>
      </c>
      <c r="FI35" s="44" t="str">
        <f>IF(Table1[Date of Initial Assessment]="","",IF(AND(Table1[Start Date]&gt;42094,Table1[Start Date]&lt;42461),Table1[Managing Tenancy and Accommodation],""))</f>
        <v/>
      </c>
      <c r="FJ35" s="44" t="str">
        <f>IF(Table1[Date of Initial Assessment]="","",IF(AND(Table1[Start Date]&gt;42094,Table1[Start Date]&lt;42461),Table1[Offending],""))</f>
        <v/>
      </c>
      <c r="FK35" s="44" t="str">
        <f>IF(Table1[Leaving Date]="","",IF(Table1[Date of Initial Assessment]="","",IF(AND(Table1[Leaving Date]&gt;42094,Table1[Leaving Date]&lt;42461),IF(Table1[Date of Last Assessment]="",Table1[Motivation and Taking Responsibility],Table1[Motivation and Taking Responsibility2]),"")))</f>
        <v/>
      </c>
      <c r="FL35" s="44" t="str">
        <f>IF(Table1[Leaving Date]="","",IF(Table1[Date of Initial Assessment]="","",IF(AND(Table1[Leaving Date]&gt;42094,Table1[Leaving Date]&lt;42461),IF(Table1[Date of Last Assessment]="",Table1[Self-Care and Living Skills],Table1[Self-Care and Living Skills2]),"")))</f>
        <v/>
      </c>
      <c r="FM35" s="44" t="str">
        <f>IF(Table1[Leaving Date]="","",IF(Table1[Date of Initial Assessment]="","",IF(AND(Table1[Leaving Date]&gt;42094,Table1[Leaving Date]&lt;42461),IF(Table1[Date of Last Assessment]="",Table1[Managing Money and Personal Administration],Table1[Managing Money and Personal Administration2]),"")))</f>
        <v/>
      </c>
      <c r="FN35" s="44" t="str">
        <f>IF(Table1[Leaving Date]="","",IF(Table1[Date of Initial Assessment]="","",IF(AND(Table1[Leaving Date]&gt;42094,Table1[Leaving Date]&lt;42461),IF(Table1[Date of Last Assessment]="",Table1[Social Networks and Relationships],Table1[Social Networks and Relationships2]),"")))</f>
        <v/>
      </c>
      <c r="FO35" s="44" t="str">
        <f>IF(Table1[Leaving Date]="","",IF(Table1[Date of Initial Assessment]="","",IF(AND(Table1[Leaving Date]&gt;42094,Table1[Leaving Date]&lt;42461),IF(Table1[Date of Last Assessment]="",Table1[Drug and Alcohol Misuse],Table1[Drug and Alcohol Misuse2]),"")))</f>
        <v/>
      </c>
      <c r="FP35" s="44" t="str">
        <f>IF(Table1[Leaving Date]="","",IF(Table1[Date of Initial Assessment]="","",IF(AND(Table1[Leaving Date]&gt;42094,Table1[Leaving Date]&lt;42461),IF(Table1[Date of Last Assessment]="",Table1[Physical Health],Table1[Physical Health2]),"")))</f>
        <v/>
      </c>
      <c r="FQ35" s="44" t="str">
        <f>IF(Table1[Leaving Date]="","",IF(Table1[Date of Initial Assessment]="","",IF(AND(Table1[Leaving Date]&gt;42094,Table1[Leaving Date]&lt;42461),IF(Table1[Date of Last Assessment]="",Table1[Emotional and Mental Health],Table1[Emotional and Mental Health2]),"")))</f>
        <v/>
      </c>
      <c r="FR35" s="44" t="str">
        <f>IF(Table1[Leaving Date]="","",IF(Table1[Date of Initial Assessment]="","",IF(AND(Table1[Leaving Date]&gt;42094,Table1[Leaving Date]&lt;42461),IF(Table1[Date of Last Assessment]="",Table1[Meaningful Use of Time],Table1[Meaningful Use of Time2]),"")))</f>
        <v/>
      </c>
      <c r="FS35" s="44" t="str">
        <f>IF(Table1[Leaving Date]="","",IF(Table1[Date of Initial Assessment]="","",IF(AND(Table1[Leaving Date]&gt;42094,Table1[Leaving Date]&lt;42461),IF(Table1[Date of Last Assessment]="",Table1[Managing Tenancy and Accommodation],Table1[Managing Tenancy and Accommodation2]),"")))</f>
        <v/>
      </c>
      <c r="FT35" s="44" t="str">
        <f>IF(Table1[Leaving Date]="","",IF(Table1[Date of Initial Assessment]="","",IF(AND(Table1[Leaving Date]&gt;42094,Table1[Leaving Date]&lt;42461),IF(Table1[Date of Last Assessment]="",Table1[Offending],Table1[Offending2]),"")))</f>
        <v/>
      </c>
      <c r="FU35" s="44" t="str">
        <f>IF(Table1[Date of Initial Assessment]="","",IF(AND(Table1[Start Date]&gt;42460,Table1[Start Date]&lt;42826),Table1[Motivation and Taking Responsibility],""))</f>
        <v/>
      </c>
      <c r="FV35" s="44" t="str">
        <f>IF(Table1[Date of Initial Assessment]="","",IF(AND(Table1[Start Date]&gt;42460,Table1[Start Date]&lt;42826),Table1[Self-Care and Living Skills],""))</f>
        <v/>
      </c>
      <c r="FW35" s="44" t="str">
        <f>IF(Table1[Date of Initial Assessment]="","",IF(AND(Table1[Start Date]&gt;42460,Table1[Start Date]&lt;42826),Table1[Managing Money and Personal Administration],""))</f>
        <v/>
      </c>
      <c r="FX35" s="44" t="str">
        <f>IF(Table1[Date of Initial Assessment]="","",IF(AND(Table1[Start Date]&gt;42460,Table1[Start Date]&lt;42826),Table1[Social Networks and Relationships],""))</f>
        <v/>
      </c>
      <c r="FY35" s="44" t="str">
        <f>IF(Table1[Date of Initial Assessment]="","",IF(AND(Table1[Start Date]&gt;42460,Table1[Start Date]&lt;42826),Table1[Drug and Alcohol Misuse],""))</f>
        <v/>
      </c>
      <c r="FZ35" s="44" t="str">
        <f>IF(Table1[Date of Initial Assessment]="","",IF(AND(Table1[Start Date]&gt;42460,Table1[Start Date]&lt;42826),Table1[Physical Health],""))</f>
        <v/>
      </c>
      <c r="GA35" s="44" t="str">
        <f>IF(Table1[Date of Initial Assessment]="","",IF(AND(Table1[Start Date]&gt;42460,Table1[Start Date]&lt;42826),Table1[Emotional and Mental Health],""))</f>
        <v/>
      </c>
      <c r="GB35" s="44" t="str">
        <f>IF(Table1[Date of Initial Assessment]="","",IF(AND(Table1[Start Date]&gt;42460,Table1[Start Date]&lt;42826),Table1[Meaningful Use of Time],""))</f>
        <v/>
      </c>
      <c r="GC35" s="44" t="str">
        <f>IF(Table1[Date of Initial Assessment]="","",IF(AND(Table1[Start Date]&gt;42460,Table1[Start Date]&lt;42826),Table1[Managing Tenancy and Accommodation],""))</f>
        <v/>
      </c>
      <c r="GD35" s="44" t="str">
        <f>IF(Table1[Date of Initial Assessment]="","",IF(AND(Table1[Start Date]&gt;42460,Table1[Start Date]&lt;42826),Table1[Offending],""))</f>
        <v/>
      </c>
      <c r="GE35" s="44" t="str">
        <f>IF(Table1[Leaving Date]="","",IF(AND(Table1[Leaving Date]&gt;42460,Table1[Leaving Date]&lt;42826),IF(Table1[Date of Last Assessment]="",Table1[Motivation and Taking Responsibility],Table1[Motivation and Taking Responsibility2]),""))</f>
        <v/>
      </c>
      <c r="GF35" s="44" t="str">
        <f>IF(Table1[Leaving Date]="","",IF(AND(Table1[Leaving Date]&gt;42460,Table1[Leaving Date]&lt;42826),IF(Table1[Date of Last Assessment]="",Table1[Self-Care and Living Skills],Table1[Self-Care and Living Skills2]),""))</f>
        <v/>
      </c>
      <c r="GG35" s="44" t="str">
        <f>IF(Table1[Leaving Date]="","",IF(AND(Table1[Leaving Date]&gt;42460,Table1[Leaving Date]&lt;42826),IF(Table1[Date of Last Assessment]="",Table1[Managing Money and Personal Administration],Table1[Managing Money and Personal Administration2]),""))</f>
        <v/>
      </c>
      <c r="GH35" s="44" t="str">
        <f>IF(Table1[Leaving Date]="","",IF(AND(Table1[Leaving Date]&gt;42460,Table1[Leaving Date]&lt;42826),IF(Table1[Date of Last Assessment]="",Table1[Social Networks and Relationships],Table1[Social Networks and Relationships2]),""))</f>
        <v/>
      </c>
      <c r="GI35" s="44" t="str">
        <f>IF(Table1[Leaving Date]="","",IF(AND(Table1[Leaving Date]&gt;42460,Table1[Leaving Date]&lt;42826),IF(Table1[Date of Last Assessment]="",Table1[Drug and Alcohol Misuse],Table1[Drug and Alcohol Misuse2]),""))</f>
        <v/>
      </c>
      <c r="GJ35" s="44" t="str">
        <f>IF(Table1[Leaving Date]="","",IF(AND(Table1[Leaving Date]&gt;42460,Table1[Leaving Date]&lt;42826),IF(Table1[Date of Last Assessment]="",Table1[Physical Health],Table1[Physical Health2]),""))</f>
        <v/>
      </c>
      <c r="GK35" s="44" t="str">
        <f>IF(Table1[Leaving Date]="","",IF(AND(Table1[Leaving Date]&gt;42460,Table1[Leaving Date]&lt;42826),IF(Table1[Date of Last Assessment]="",Table1[Emotional and Mental Health],Table1[Emotional and Mental Health2]),""))</f>
        <v/>
      </c>
      <c r="GL35" s="44" t="str">
        <f>IF(Table1[Leaving Date]="","",IF(AND(Table1[Leaving Date]&gt;42460,Table1[Leaving Date]&lt;42826),IF(Table1[Date of Last Assessment]="",Table1[Meaningful Use of Time],Table1[Meaningful Use of Time2]),""))</f>
        <v/>
      </c>
      <c r="GM35" s="44" t="str">
        <f>IF(Table1[Leaving Date]="","",IF(AND(Table1[Leaving Date]&gt;42460,Table1[Leaving Date]&lt;42826),IF(Table1[Date of Last Assessment]="",Table1[Managing Tenancy and Accommodation],Table1[Managing Tenancy and Accommodation2]),""))</f>
        <v/>
      </c>
      <c r="GN35" s="44" t="str">
        <f>IF(Table1[Leaving Date]="","",IF(AND(Table1[Leaving Date]&gt;42460,Table1[Leaving Date]&lt;42826),IF(Table1[Date of Last Assessment]="",Table1[Offending],Table1[Offending2]),""))</f>
        <v/>
      </c>
    </row>
    <row r="36" spans="2:196" ht="20.100000000000001" customHeight="1" x14ac:dyDescent="0.2">
      <c r="B36" s="86">
        <f>+'Service Data'!$C$5:$C$5</f>
        <v>0</v>
      </c>
      <c r="C36" s="86"/>
      <c r="D36" s="86"/>
      <c r="E36" s="86"/>
      <c r="F36" s="86"/>
      <c r="G36" s="86"/>
      <c r="H36" s="6"/>
      <c r="I36" s="99" t="str">
        <f ca="1">IF(Table1[[#This Row],[Date of Birth]]="","",SUM(TODAY()-Table1[[#This Row],[Date of Birth]])/365)</f>
        <v/>
      </c>
      <c r="L36" s="86"/>
      <c r="M36" s="77"/>
      <c r="N36" s="86"/>
      <c r="O36" s="86"/>
      <c r="P36" s="91"/>
      <c r="Q36" s="86"/>
      <c r="R36" s="77"/>
      <c r="S36" s="77"/>
      <c r="T36" s="68"/>
      <c r="U36" s="68"/>
      <c r="V36" s="67"/>
      <c r="W36" s="67"/>
      <c r="X36" s="67"/>
      <c r="Y36" s="67"/>
      <c r="Z36" s="67"/>
      <c r="AA36" s="67"/>
      <c r="AB36" s="67"/>
      <c r="AC36" s="67"/>
      <c r="AD36" s="67"/>
      <c r="AE36" s="67"/>
      <c r="AF36" s="67"/>
      <c r="AG36" s="67"/>
      <c r="AH36" s="67"/>
      <c r="AI36" s="67"/>
      <c r="AJ36" s="67"/>
      <c r="AK36" s="67"/>
      <c r="AL36" s="67"/>
      <c r="AM36" s="67"/>
      <c r="AN36" s="77"/>
      <c r="AO36" s="76"/>
      <c r="AP36" s="77"/>
      <c r="AQ36" s="76"/>
      <c r="AR36" s="76"/>
      <c r="AS36" s="76"/>
      <c r="AT36" s="76"/>
      <c r="AU36" s="76"/>
      <c r="AV36" s="77"/>
      <c r="AW36" s="76"/>
      <c r="AX36" s="77"/>
      <c r="AY36" s="76"/>
      <c r="AZ36" s="76"/>
      <c r="BA36" s="76"/>
      <c r="BB36" s="76"/>
      <c r="BC36" s="76"/>
      <c r="BD36" s="77"/>
      <c r="BE36" s="76"/>
      <c r="BF36" s="77"/>
      <c r="BG36" s="76"/>
      <c r="BH36" s="76"/>
      <c r="BI36" s="76"/>
      <c r="BJ36" s="76"/>
      <c r="BK36" s="76"/>
      <c r="BL36" s="77"/>
      <c r="BM36" s="76"/>
      <c r="BN36" s="77"/>
      <c r="BO36" s="76"/>
      <c r="BP36" s="76"/>
      <c r="BQ36" s="76"/>
      <c r="BR36" s="76"/>
      <c r="BS36" s="76"/>
      <c r="BT36" s="77"/>
      <c r="BU36" s="76"/>
      <c r="BV36" s="77"/>
      <c r="BW36" s="76"/>
      <c r="BX36" s="76"/>
      <c r="BY36" s="76"/>
      <c r="BZ36" s="76"/>
      <c r="CA36" s="76"/>
      <c r="CB36" s="77"/>
      <c r="CC36" s="76"/>
      <c r="CD36" s="77"/>
      <c r="CE36" s="76"/>
      <c r="CF36" s="76"/>
      <c r="CG36" s="76"/>
      <c r="CH36" s="76"/>
      <c r="CI36" s="76"/>
      <c r="CJ36" s="77"/>
      <c r="CK36" s="76"/>
      <c r="CL36" s="77"/>
      <c r="CM36" s="76"/>
      <c r="CN36" s="76"/>
      <c r="CO36" s="76"/>
      <c r="CP36" s="76"/>
      <c r="CQ36" s="76"/>
      <c r="CR36" s="78" t="str">
        <f t="shared" si="15"/>
        <v/>
      </c>
      <c r="CS36" s="79" t="str">
        <f t="shared" si="16"/>
        <v/>
      </c>
      <c r="CT36" s="79" t="str">
        <f t="shared" si="17"/>
        <v/>
      </c>
      <c r="CU36" s="79" t="str">
        <f t="shared" si="18"/>
        <v/>
      </c>
      <c r="CV36" s="79" t="str">
        <f t="shared" si="19"/>
        <v/>
      </c>
      <c r="CW36" s="79" t="str">
        <f t="shared" si="20"/>
        <v/>
      </c>
      <c r="CX36" s="79" t="str">
        <f t="shared" si="21"/>
        <v/>
      </c>
      <c r="CY36" s="79" t="str">
        <f t="shared" si="22"/>
        <v/>
      </c>
      <c r="CZ36" s="79" t="str">
        <f t="shared" si="23"/>
        <v/>
      </c>
      <c r="DA36" s="79" t="str">
        <f t="shared" si="24"/>
        <v/>
      </c>
      <c r="DB36" s="79" t="str">
        <f t="shared" si="25"/>
        <v/>
      </c>
      <c r="DC36" s="79" t="str">
        <f t="shared" si="26"/>
        <v/>
      </c>
      <c r="DD36" s="79" t="str">
        <f t="shared" si="27"/>
        <v/>
      </c>
      <c r="DE36" s="79" t="str">
        <f t="shared" si="28"/>
        <v/>
      </c>
      <c r="DF36" s="79" t="str">
        <f t="shared" si="29"/>
        <v/>
      </c>
      <c r="DG36" s="79" t="str">
        <f t="shared" si="30"/>
        <v/>
      </c>
      <c r="DH36" s="76"/>
      <c r="DI36" s="78"/>
      <c r="DJ36" s="76"/>
      <c r="DK36" s="77"/>
      <c r="DL36" s="77"/>
      <c r="DM36" s="77"/>
      <c r="DN36" s="80"/>
      <c r="DO36" s="80"/>
      <c r="DP36" s="92" t="str">
        <f>IF(Table1[Start Date]="","",IF(Table1[Start Date]&gt;42185,"",IF(AND(Table1[Leaving Date]&gt;1,Table1[Leaving Date]&lt;42095),"",1)))</f>
        <v/>
      </c>
      <c r="DQ36" s="92" t="str">
        <f>IF(Table1[Start Date]="","",IF(Table1[Start Date]&gt;42277,"",IF(AND(Table1[Leaving Date]&gt;1,Table1[Leaving Date]&lt;42186),"",1)))</f>
        <v/>
      </c>
      <c r="DR36" s="92" t="str">
        <f>IF(Table1[Start Date]="","",IF(Table1[Start Date]&gt;42369,"",IF(AND(Table1[Leaving Date]&gt;1,Table1[Leaving Date]&lt;42278),"",1)))</f>
        <v/>
      </c>
      <c r="DS36" s="92" t="str">
        <f>IF(Table1[Start Date]="","",IF(Table1[Start Date]&gt;42460,"",IF(AND(Table1[Leaving Date]&gt;1,Table1[Leaving Date]&lt;42370),"",1)))</f>
        <v/>
      </c>
      <c r="DT36" s="92" t="str">
        <f>IF(Table1[Start Date]="","",IF(Table1[Start Date]&gt;42551,"",IF(AND(Table1[Leaving Date]&gt;1,Table1[Leaving Date]&lt;42461),"",1)))</f>
        <v/>
      </c>
      <c r="DU36" s="92" t="str">
        <f>IF(Table1[Start Date]="","",IF(Table1[Start Date]&gt;42643,"",IF(AND(Table1[Leaving Date]&gt;1,Table1[Leaving Date]&lt;42552),"",1)))</f>
        <v/>
      </c>
      <c r="DV36" s="92" t="str">
        <f>IF(Table1[Start Date]="","",IF(Table1[Start Date]&gt;42735,"",IF(AND(Table1[Leaving Date]&gt;1,Table1[Leaving Date]&lt;42644),"",1)))</f>
        <v/>
      </c>
      <c r="DW36" s="92" t="str">
        <f>IF(Table1[Start Date]="","",IF(Table1[Start Date]&gt;42825,"",IF(AND(Table1[Leaving Date]&gt;1,Table1[Leaving Date]&lt;42736),"",1)))</f>
        <v/>
      </c>
      <c r="DX36"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36" s="44" t="e">
        <f>VLOOKUP(Table1[Referral Source],Lists!$G$2:$H$20,2,FALSE)</f>
        <v>#N/A</v>
      </c>
      <c r="DZ36" s="93" t="e">
        <f>SUM(Table1[Data Referral Quarter]+Table1[Data Referral Source])</f>
        <v>#N/A</v>
      </c>
      <c r="EA36" s="44" t="b">
        <f>IF(Table1[Referral Decision]="Accepted",100,IF(Table1[Referral Decision]="Rejected by Provider",200,IF(Table1[Referral Decision]="Rejected by Applicant",300)))</f>
        <v>0</v>
      </c>
      <c r="EB36" s="44">
        <f>SUM(Table1[Data Referral Quarter]+Table1[Data Referral Decision])</f>
        <v>0</v>
      </c>
      <c r="EC36" s="44" t="b">
        <f>IF(Table1[Start Date]&gt;42735,8000,IF(Table1[Start Date]&gt;42643,7000,IF(Table1[Start Date]&gt;42551,6000,IF(Table1[Start Date]&gt;42460,5000,IF(Table1[Start Date]&gt;42369,4000,IF(Table1[Start Date]&gt;42277,3000,IF(Table1[Start Date]&gt;42185,2000,IF(Table1[Start Date]&gt;42094,1000))))))))</f>
        <v>0</v>
      </c>
      <c r="ED36" s="44" t="str">
        <f>IF(Table1[Start Date]="","",IF(Table1[Current Local Authority]="Swindon",1,"2"))</f>
        <v/>
      </c>
      <c r="EE36" s="44" t="e">
        <f>SUM(Table1[Data Start Date]+Table1[Data Local Authority])</f>
        <v>#VALUE!</v>
      </c>
      <c r="EF36" s="44">
        <f>IF(Table1[Registered with GP]="Yes",1,0)</f>
        <v>0</v>
      </c>
      <c r="EG36" s="44">
        <f>SUM(Table1[Data Start Date]+Table1[Data GP Start])</f>
        <v>0</v>
      </c>
      <c r="EH36" s="44" t="str">
        <f>IF(Table1[EET]="NEET",1,IF(Table1[EET]="Education",2,IF(Table1[EET]="Employment",2,IF(Table1[EET]="Training",2,IF(Table1[EET]="Retired",3,"")))))</f>
        <v/>
      </c>
      <c r="EI36" s="44" t="e">
        <f>Table1[Data Start Date]+Table1[Data EET Start]</f>
        <v>#VALUE!</v>
      </c>
      <c r="EJ36" s="44" t="b">
        <f>IF(Table1[Leaving Date]&gt;42735,8000,IF(Table1[Leaving Date]&gt;42643,7000,IF(Table1[Leaving Date]&gt;42551,6000,IF(Table1[Leaving Date]&gt;42460,5000,IF(Table1[Leaving Date]&gt;42369,4000,IF(Table1[Leaving Date]&gt;42277,3000,IF(Table1[Leaving Date]&gt;42185,2000,IF(Table1[Leaving Date]&gt;42094,1000))))))))</f>
        <v>0</v>
      </c>
      <c r="EK36" s="44" t="e">
        <f>VLOOKUP(Table1[Reason for Leaving],Lists!$T$2:$U$15,2,FALSE)</f>
        <v>#N/A</v>
      </c>
      <c r="EL36" s="44" t="e">
        <f>SUM(Table1[Data Leavers Date]+Table1[Data Move On])</f>
        <v>#N/A</v>
      </c>
      <c r="EM36" s="44" t="b">
        <f>IF(Table1[Registered with GP2]="Yes",1,IF(Table1[Registered with GP2]="No",0,IF(Table1[Registered with GP]="Yes",1,IF(Table1[Registered with GP]="No",0))))</f>
        <v>0</v>
      </c>
      <c r="EN36" s="44">
        <f>SUM(Table1[Data Leavers Date]+Table1[Data GP End])</f>
        <v>0</v>
      </c>
      <c r="EO36" s="44" t="str">
        <f>IF(Table1[EET2]="NEET",1,IF(Table1[EET2]="Employment",2,IF(Table1[EET2]="Education",2,IF(Table1[EET2]="Training",2,IF(Table1[EET2]="Retired",3,IF(Table1[EET]="NEET",1,IF(Table1[EET]="Employment",2,IF(Table1[EET]="Education",2,IF(Table1[EET]="Training",2,IF(Table1[EET]="Retired",3,""))))))))))</f>
        <v/>
      </c>
      <c r="EP36" s="44" t="e">
        <f>+Table1[[#This Row],[Data Leavers Date]]+Table1[[#This Row],[Data EET End]]</f>
        <v>#VALUE!</v>
      </c>
      <c r="EQ36" s="44">
        <f>IF(Table1[Exit Form Received]="Yes",1,0)</f>
        <v>0</v>
      </c>
      <c r="ER36" s="44">
        <f>+Table1[[#This Row],[Data Leavers Date]]+Table1[[#This Row],[Data Exit Forms]]</f>
        <v>0</v>
      </c>
      <c r="ES36" s="44" t="str">
        <f>IF(Table1[Data Leavers Date]=1000,SUM(Table1[Leaving Date]-Table1[Start Date]),"")</f>
        <v/>
      </c>
      <c r="ET36" s="44" t="str">
        <f>IF(Table1[Data Leavers Date]=2000,SUM(Table1[Leaving Date]-Table1[Start Date]),"")</f>
        <v/>
      </c>
      <c r="EU36" s="44" t="str">
        <f>IF(Table1[Data Leavers Date]=3000,SUM(Table1[Leaving Date]-Table1[Start Date]),"")</f>
        <v/>
      </c>
      <c r="EV36" s="44" t="str">
        <f>IF(Table1[Data Leavers Date]=4000,SUM(Table1[Leaving Date]-Table1[Start Date]),"")</f>
        <v/>
      </c>
      <c r="EW36" s="44" t="str">
        <f>IF(Table1[Data Leavers Date]=5000,SUM(Table1[Leaving Date]-Table1[Start Date]),"")</f>
        <v/>
      </c>
      <c r="EX36" s="44" t="str">
        <f>IF(Table1[Data Leavers Date]=6000,SUM(Table1[Leaving Date]-Table1[Start Date]),"")</f>
        <v/>
      </c>
      <c r="EY36" s="44" t="str">
        <f>IF(Table1[Data Leavers Date]=7000,SUM(Table1[Leaving Date]-Table1[Start Date]),"")</f>
        <v/>
      </c>
      <c r="EZ36" s="44" t="str">
        <f>IF(Table1[Data Leavers Date]=8000,SUM(Table1[Leaving Date]-Table1[Start Date]),"")</f>
        <v/>
      </c>
      <c r="FA36" s="44" t="str">
        <f>IF(Table1[Date of Initial Assessment]="","",IF(AND(Table1[Start Date]&gt;42094,Table1[Start Date]&lt;42461),Table1[Motivation and Taking Responsibility],""))</f>
        <v/>
      </c>
      <c r="FB36" s="44" t="str">
        <f>IF(Table1[Date of Initial Assessment]="","",IF(AND(Table1[Start Date]&gt;42094,Table1[Start Date]&lt;42461),Table1[Self-Care and Living Skills],""))</f>
        <v/>
      </c>
      <c r="FC36" s="44" t="str">
        <f>IF(Table1[Date of Initial Assessment]="","",IF(AND(Table1[Start Date]&gt;42094,Table1[Start Date]&lt;42461),Table1[Managing Money and Personal Administration],""))</f>
        <v/>
      </c>
      <c r="FD36" s="44" t="str">
        <f>IF(Table1[Date of Initial Assessment]="","",IF(AND(Table1[Start Date]&gt;42094,Table1[Start Date]&lt;42461),Table1[Social Networks and Relationships],""))</f>
        <v/>
      </c>
      <c r="FE36" s="44" t="str">
        <f>IF(Table1[Date of Initial Assessment]="","",IF(AND(Table1[Start Date]&gt;42094,Table1[Start Date]&lt;42461),Table1[Drug and Alcohol Misuse],""))</f>
        <v/>
      </c>
      <c r="FF36" s="44" t="str">
        <f>IF(Table1[Date of Initial Assessment]="","",IF(AND(Table1[Start Date]&gt;42094,Table1[Start Date]&lt;42461),Table1[Physical Health],""))</f>
        <v/>
      </c>
      <c r="FG36" s="44" t="str">
        <f>IF(Table1[Date of Initial Assessment]="","",IF(AND(Table1[Start Date]&gt;42094,Table1[Start Date]&lt;42461),Table1[Emotional and Mental Health],""))</f>
        <v/>
      </c>
      <c r="FH36" s="44" t="str">
        <f>IF(Table1[Date of Initial Assessment]="","",IF(AND(Table1[Start Date]&gt;42094,Table1[Start Date]&lt;42461),Table1[Meaningful Use of Time],""))</f>
        <v/>
      </c>
      <c r="FI36" s="44" t="str">
        <f>IF(Table1[Date of Initial Assessment]="","",IF(AND(Table1[Start Date]&gt;42094,Table1[Start Date]&lt;42461),Table1[Managing Tenancy and Accommodation],""))</f>
        <v/>
      </c>
      <c r="FJ36" s="44" t="str">
        <f>IF(Table1[Date of Initial Assessment]="","",IF(AND(Table1[Start Date]&gt;42094,Table1[Start Date]&lt;42461),Table1[Offending],""))</f>
        <v/>
      </c>
      <c r="FK36" s="44" t="str">
        <f>IF(Table1[Leaving Date]="","",IF(Table1[Date of Initial Assessment]="","",IF(AND(Table1[Leaving Date]&gt;42094,Table1[Leaving Date]&lt;42461),IF(Table1[Date of Last Assessment]="",Table1[Motivation and Taking Responsibility],Table1[Motivation and Taking Responsibility2]),"")))</f>
        <v/>
      </c>
      <c r="FL36" s="44" t="str">
        <f>IF(Table1[Leaving Date]="","",IF(Table1[Date of Initial Assessment]="","",IF(AND(Table1[Leaving Date]&gt;42094,Table1[Leaving Date]&lt;42461),IF(Table1[Date of Last Assessment]="",Table1[Self-Care and Living Skills],Table1[Self-Care and Living Skills2]),"")))</f>
        <v/>
      </c>
      <c r="FM36" s="44" t="str">
        <f>IF(Table1[Leaving Date]="","",IF(Table1[Date of Initial Assessment]="","",IF(AND(Table1[Leaving Date]&gt;42094,Table1[Leaving Date]&lt;42461),IF(Table1[Date of Last Assessment]="",Table1[Managing Money and Personal Administration],Table1[Managing Money and Personal Administration2]),"")))</f>
        <v/>
      </c>
      <c r="FN36" s="44" t="str">
        <f>IF(Table1[Leaving Date]="","",IF(Table1[Date of Initial Assessment]="","",IF(AND(Table1[Leaving Date]&gt;42094,Table1[Leaving Date]&lt;42461),IF(Table1[Date of Last Assessment]="",Table1[Social Networks and Relationships],Table1[Social Networks and Relationships2]),"")))</f>
        <v/>
      </c>
      <c r="FO36" s="44" t="str">
        <f>IF(Table1[Leaving Date]="","",IF(Table1[Date of Initial Assessment]="","",IF(AND(Table1[Leaving Date]&gt;42094,Table1[Leaving Date]&lt;42461),IF(Table1[Date of Last Assessment]="",Table1[Drug and Alcohol Misuse],Table1[Drug and Alcohol Misuse2]),"")))</f>
        <v/>
      </c>
      <c r="FP36" s="44" t="str">
        <f>IF(Table1[Leaving Date]="","",IF(Table1[Date of Initial Assessment]="","",IF(AND(Table1[Leaving Date]&gt;42094,Table1[Leaving Date]&lt;42461),IF(Table1[Date of Last Assessment]="",Table1[Physical Health],Table1[Physical Health2]),"")))</f>
        <v/>
      </c>
      <c r="FQ36" s="44" t="str">
        <f>IF(Table1[Leaving Date]="","",IF(Table1[Date of Initial Assessment]="","",IF(AND(Table1[Leaving Date]&gt;42094,Table1[Leaving Date]&lt;42461),IF(Table1[Date of Last Assessment]="",Table1[Emotional and Mental Health],Table1[Emotional and Mental Health2]),"")))</f>
        <v/>
      </c>
      <c r="FR36" s="44" t="str">
        <f>IF(Table1[Leaving Date]="","",IF(Table1[Date of Initial Assessment]="","",IF(AND(Table1[Leaving Date]&gt;42094,Table1[Leaving Date]&lt;42461),IF(Table1[Date of Last Assessment]="",Table1[Meaningful Use of Time],Table1[Meaningful Use of Time2]),"")))</f>
        <v/>
      </c>
      <c r="FS36" s="44" t="str">
        <f>IF(Table1[Leaving Date]="","",IF(Table1[Date of Initial Assessment]="","",IF(AND(Table1[Leaving Date]&gt;42094,Table1[Leaving Date]&lt;42461),IF(Table1[Date of Last Assessment]="",Table1[Managing Tenancy and Accommodation],Table1[Managing Tenancy and Accommodation2]),"")))</f>
        <v/>
      </c>
      <c r="FT36" s="44" t="str">
        <f>IF(Table1[Leaving Date]="","",IF(Table1[Date of Initial Assessment]="","",IF(AND(Table1[Leaving Date]&gt;42094,Table1[Leaving Date]&lt;42461),IF(Table1[Date of Last Assessment]="",Table1[Offending],Table1[Offending2]),"")))</f>
        <v/>
      </c>
      <c r="FU36" s="44" t="str">
        <f>IF(Table1[Date of Initial Assessment]="","",IF(AND(Table1[Start Date]&gt;42460,Table1[Start Date]&lt;42826),Table1[Motivation and Taking Responsibility],""))</f>
        <v/>
      </c>
      <c r="FV36" s="44" t="str">
        <f>IF(Table1[Date of Initial Assessment]="","",IF(AND(Table1[Start Date]&gt;42460,Table1[Start Date]&lt;42826),Table1[Self-Care and Living Skills],""))</f>
        <v/>
      </c>
      <c r="FW36" s="44" t="str">
        <f>IF(Table1[Date of Initial Assessment]="","",IF(AND(Table1[Start Date]&gt;42460,Table1[Start Date]&lt;42826),Table1[Managing Money and Personal Administration],""))</f>
        <v/>
      </c>
      <c r="FX36" s="44" t="str">
        <f>IF(Table1[Date of Initial Assessment]="","",IF(AND(Table1[Start Date]&gt;42460,Table1[Start Date]&lt;42826),Table1[Social Networks and Relationships],""))</f>
        <v/>
      </c>
      <c r="FY36" s="44" t="str">
        <f>IF(Table1[Date of Initial Assessment]="","",IF(AND(Table1[Start Date]&gt;42460,Table1[Start Date]&lt;42826),Table1[Drug and Alcohol Misuse],""))</f>
        <v/>
      </c>
      <c r="FZ36" s="44" t="str">
        <f>IF(Table1[Date of Initial Assessment]="","",IF(AND(Table1[Start Date]&gt;42460,Table1[Start Date]&lt;42826),Table1[Physical Health],""))</f>
        <v/>
      </c>
      <c r="GA36" s="44" t="str">
        <f>IF(Table1[Date of Initial Assessment]="","",IF(AND(Table1[Start Date]&gt;42460,Table1[Start Date]&lt;42826),Table1[Emotional and Mental Health],""))</f>
        <v/>
      </c>
      <c r="GB36" s="44" t="str">
        <f>IF(Table1[Date of Initial Assessment]="","",IF(AND(Table1[Start Date]&gt;42460,Table1[Start Date]&lt;42826),Table1[Meaningful Use of Time],""))</f>
        <v/>
      </c>
      <c r="GC36" s="44" t="str">
        <f>IF(Table1[Date of Initial Assessment]="","",IF(AND(Table1[Start Date]&gt;42460,Table1[Start Date]&lt;42826),Table1[Managing Tenancy and Accommodation],""))</f>
        <v/>
      </c>
      <c r="GD36" s="44" t="str">
        <f>IF(Table1[Date of Initial Assessment]="","",IF(AND(Table1[Start Date]&gt;42460,Table1[Start Date]&lt;42826),Table1[Offending],""))</f>
        <v/>
      </c>
      <c r="GE36" s="44" t="str">
        <f>IF(Table1[Leaving Date]="","",IF(AND(Table1[Leaving Date]&gt;42460,Table1[Leaving Date]&lt;42826),IF(Table1[Date of Last Assessment]="",Table1[Motivation and Taking Responsibility],Table1[Motivation and Taking Responsibility2]),""))</f>
        <v/>
      </c>
      <c r="GF36" s="44" t="str">
        <f>IF(Table1[Leaving Date]="","",IF(AND(Table1[Leaving Date]&gt;42460,Table1[Leaving Date]&lt;42826),IF(Table1[Date of Last Assessment]="",Table1[Self-Care and Living Skills],Table1[Self-Care and Living Skills2]),""))</f>
        <v/>
      </c>
      <c r="GG36" s="44" t="str">
        <f>IF(Table1[Leaving Date]="","",IF(AND(Table1[Leaving Date]&gt;42460,Table1[Leaving Date]&lt;42826),IF(Table1[Date of Last Assessment]="",Table1[Managing Money and Personal Administration],Table1[Managing Money and Personal Administration2]),""))</f>
        <v/>
      </c>
      <c r="GH36" s="44" t="str">
        <f>IF(Table1[Leaving Date]="","",IF(AND(Table1[Leaving Date]&gt;42460,Table1[Leaving Date]&lt;42826),IF(Table1[Date of Last Assessment]="",Table1[Social Networks and Relationships],Table1[Social Networks and Relationships2]),""))</f>
        <v/>
      </c>
      <c r="GI36" s="44" t="str">
        <f>IF(Table1[Leaving Date]="","",IF(AND(Table1[Leaving Date]&gt;42460,Table1[Leaving Date]&lt;42826),IF(Table1[Date of Last Assessment]="",Table1[Drug and Alcohol Misuse],Table1[Drug and Alcohol Misuse2]),""))</f>
        <v/>
      </c>
      <c r="GJ36" s="44" t="str">
        <f>IF(Table1[Leaving Date]="","",IF(AND(Table1[Leaving Date]&gt;42460,Table1[Leaving Date]&lt;42826),IF(Table1[Date of Last Assessment]="",Table1[Physical Health],Table1[Physical Health2]),""))</f>
        <v/>
      </c>
      <c r="GK36" s="44" t="str">
        <f>IF(Table1[Leaving Date]="","",IF(AND(Table1[Leaving Date]&gt;42460,Table1[Leaving Date]&lt;42826),IF(Table1[Date of Last Assessment]="",Table1[Emotional and Mental Health],Table1[Emotional and Mental Health2]),""))</f>
        <v/>
      </c>
      <c r="GL36" s="44" t="str">
        <f>IF(Table1[Leaving Date]="","",IF(AND(Table1[Leaving Date]&gt;42460,Table1[Leaving Date]&lt;42826),IF(Table1[Date of Last Assessment]="",Table1[Meaningful Use of Time],Table1[Meaningful Use of Time2]),""))</f>
        <v/>
      </c>
      <c r="GM36" s="44" t="str">
        <f>IF(Table1[Leaving Date]="","",IF(AND(Table1[Leaving Date]&gt;42460,Table1[Leaving Date]&lt;42826),IF(Table1[Date of Last Assessment]="",Table1[Managing Tenancy and Accommodation],Table1[Managing Tenancy and Accommodation2]),""))</f>
        <v/>
      </c>
      <c r="GN36" s="44" t="str">
        <f>IF(Table1[Leaving Date]="","",IF(AND(Table1[Leaving Date]&gt;42460,Table1[Leaving Date]&lt;42826),IF(Table1[Date of Last Assessment]="",Table1[Offending],Table1[Offending2]),""))</f>
        <v/>
      </c>
    </row>
    <row r="37" spans="2:196" ht="20.100000000000001" customHeight="1" x14ac:dyDescent="0.2">
      <c r="B37" s="86">
        <f>+'Service Data'!$C$5:$C$5</f>
        <v>0</v>
      </c>
      <c r="C37" s="86"/>
      <c r="D37" s="86"/>
      <c r="E37" s="86"/>
      <c r="F37" s="86"/>
      <c r="G37" s="86"/>
      <c r="H37" s="6"/>
      <c r="I37" s="99" t="str">
        <f ca="1">IF(Table1[[#This Row],[Date of Birth]]="","",SUM(TODAY()-Table1[[#This Row],[Date of Birth]])/365)</f>
        <v/>
      </c>
      <c r="L37" s="86"/>
      <c r="M37" s="77"/>
      <c r="N37" s="86"/>
      <c r="O37" s="86"/>
      <c r="P37" s="91"/>
      <c r="Q37" s="86"/>
      <c r="R37" s="77"/>
      <c r="S37" s="77"/>
      <c r="T37" s="68"/>
      <c r="U37" s="68"/>
      <c r="V37" s="67"/>
      <c r="W37" s="67"/>
      <c r="X37" s="67"/>
      <c r="Y37" s="67"/>
      <c r="Z37" s="67"/>
      <c r="AA37" s="67"/>
      <c r="AB37" s="67"/>
      <c r="AC37" s="67"/>
      <c r="AD37" s="67"/>
      <c r="AE37" s="67"/>
      <c r="AF37" s="67"/>
      <c r="AG37" s="67"/>
      <c r="AH37" s="67"/>
      <c r="AI37" s="67"/>
      <c r="AJ37" s="67"/>
      <c r="AK37" s="67"/>
      <c r="AL37" s="67"/>
      <c r="AM37" s="67"/>
      <c r="AN37" s="77"/>
      <c r="AO37" s="76"/>
      <c r="AP37" s="77"/>
      <c r="AQ37" s="76"/>
      <c r="AR37" s="76"/>
      <c r="AS37" s="76"/>
      <c r="AT37" s="76"/>
      <c r="AU37" s="76"/>
      <c r="AV37" s="77"/>
      <c r="AW37" s="76"/>
      <c r="AX37" s="77"/>
      <c r="AY37" s="76"/>
      <c r="AZ37" s="76"/>
      <c r="BA37" s="76"/>
      <c r="BB37" s="76"/>
      <c r="BC37" s="76"/>
      <c r="BD37" s="77"/>
      <c r="BE37" s="76"/>
      <c r="BF37" s="77"/>
      <c r="BG37" s="76"/>
      <c r="BH37" s="76"/>
      <c r="BI37" s="76"/>
      <c r="BJ37" s="76"/>
      <c r="BK37" s="76"/>
      <c r="BL37" s="77"/>
      <c r="BM37" s="76"/>
      <c r="BN37" s="77"/>
      <c r="BO37" s="76"/>
      <c r="BP37" s="76"/>
      <c r="BQ37" s="76"/>
      <c r="BR37" s="76"/>
      <c r="BS37" s="76"/>
      <c r="BT37" s="77"/>
      <c r="BU37" s="76"/>
      <c r="BV37" s="77"/>
      <c r="BW37" s="76"/>
      <c r="BX37" s="76"/>
      <c r="BY37" s="76"/>
      <c r="BZ37" s="76"/>
      <c r="CA37" s="76"/>
      <c r="CB37" s="77"/>
      <c r="CC37" s="76"/>
      <c r="CD37" s="77"/>
      <c r="CE37" s="76"/>
      <c r="CF37" s="76"/>
      <c r="CG37" s="76"/>
      <c r="CH37" s="76"/>
      <c r="CI37" s="76"/>
      <c r="CJ37" s="77"/>
      <c r="CK37" s="76"/>
      <c r="CL37" s="77"/>
      <c r="CM37" s="76"/>
      <c r="CN37" s="76"/>
      <c r="CO37" s="76"/>
      <c r="CP37" s="76"/>
      <c r="CQ37" s="76"/>
      <c r="CR37" s="78" t="str">
        <f t="shared" si="15"/>
        <v/>
      </c>
      <c r="CS37" s="79" t="str">
        <f t="shared" si="16"/>
        <v/>
      </c>
      <c r="CT37" s="79" t="str">
        <f t="shared" si="17"/>
        <v/>
      </c>
      <c r="CU37" s="79" t="str">
        <f t="shared" si="18"/>
        <v/>
      </c>
      <c r="CV37" s="79" t="str">
        <f t="shared" si="19"/>
        <v/>
      </c>
      <c r="CW37" s="79" t="str">
        <f t="shared" si="20"/>
        <v/>
      </c>
      <c r="CX37" s="79" t="str">
        <f t="shared" si="21"/>
        <v/>
      </c>
      <c r="CY37" s="79" t="str">
        <f t="shared" si="22"/>
        <v/>
      </c>
      <c r="CZ37" s="79" t="str">
        <f t="shared" si="23"/>
        <v/>
      </c>
      <c r="DA37" s="79" t="str">
        <f t="shared" si="24"/>
        <v/>
      </c>
      <c r="DB37" s="79" t="str">
        <f t="shared" si="25"/>
        <v/>
      </c>
      <c r="DC37" s="79" t="str">
        <f t="shared" si="26"/>
        <v/>
      </c>
      <c r="DD37" s="79" t="str">
        <f t="shared" si="27"/>
        <v/>
      </c>
      <c r="DE37" s="79" t="str">
        <f t="shared" si="28"/>
        <v/>
      </c>
      <c r="DF37" s="79" t="str">
        <f t="shared" si="29"/>
        <v/>
      </c>
      <c r="DG37" s="79" t="str">
        <f t="shared" si="30"/>
        <v/>
      </c>
      <c r="DH37" s="76"/>
      <c r="DI37" s="78"/>
      <c r="DJ37" s="76"/>
      <c r="DK37" s="77"/>
      <c r="DL37" s="77"/>
      <c r="DM37" s="77"/>
      <c r="DN37" s="80"/>
      <c r="DO37" s="80"/>
      <c r="DP37" s="92" t="str">
        <f>IF(Table1[Start Date]="","",IF(Table1[Start Date]&gt;42185,"",IF(AND(Table1[Leaving Date]&gt;1,Table1[Leaving Date]&lt;42095),"",1)))</f>
        <v/>
      </c>
      <c r="DQ37" s="92" t="str">
        <f>IF(Table1[Start Date]="","",IF(Table1[Start Date]&gt;42277,"",IF(AND(Table1[Leaving Date]&gt;1,Table1[Leaving Date]&lt;42186),"",1)))</f>
        <v/>
      </c>
      <c r="DR37" s="92" t="str">
        <f>IF(Table1[Start Date]="","",IF(Table1[Start Date]&gt;42369,"",IF(AND(Table1[Leaving Date]&gt;1,Table1[Leaving Date]&lt;42278),"",1)))</f>
        <v/>
      </c>
      <c r="DS37" s="92" t="str">
        <f>IF(Table1[Start Date]="","",IF(Table1[Start Date]&gt;42460,"",IF(AND(Table1[Leaving Date]&gt;1,Table1[Leaving Date]&lt;42370),"",1)))</f>
        <v/>
      </c>
      <c r="DT37" s="92" t="str">
        <f>IF(Table1[Start Date]="","",IF(Table1[Start Date]&gt;42551,"",IF(AND(Table1[Leaving Date]&gt;1,Table1[Leaving Date]&lt;42461),"",1)))</f>
        <v/>
      </c>
      <c r="DU37" s="92" t="str">
        <f>IF(Table1[Start Date]="","",IF(Table1[Start Date]&gt;42643,"",IF(AND(Table1[Leaving Date]&gt;1,Table1[Leaving Date]&lt;42552),"",1)))</f>
        <v/>
      </c>
      <c r="DV37" s="92" t="str">
        <f>IF(Table1[Start Date]="","",IF(Table1[Start Date]&gt;42735,"",IF(AND(Table1[Leaving Date]&gt;1,Table1[Leaving Date]&lt;42644),"",1)))</f>
        <v/>
      </c>
      <c r="DW37" s="92" t="str">
        <f>IF(Table1[Start Date]="","",IF(Table1[Start Date]&gt;42825,"",IF(AND(Table1[Leaving Date]&gt;1,Table1[Leaving Date]&lt;42736),"",1)))</f>
        <v/>
      </c>
      <c r="DX37"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37" s="44" t="e">
        <f>VLOOKUP(Table1[Referral Source],Lists!$G$2:$H$20,2,FALSE)</f>
        <v>#N/A</v>
      </c>
      <c r="DZ37" s="93" t="e">
        <f>SUM(Table1[Data Referral Quarter]+Table1[Data Referral Source])</f>
        <v>#N/A</v>
      </c>
      <c r="EA37" s="44" t="b">
        <f>IF(Table1[Referral Decision]="Accepted",100,IF(Table1[Referral Decision]="Rejected by Provider",200,IF(Table1[Referral Decision]="Rejected by Applicant",300)))</f>
        <v>0</v>
      </c>
      <c r="EB37" s="44">
        <f>SUM(Table1[Data Referral Quarter]+Table1[Data Referral Decision])</f>
        <v>0</v>
      </c>
      <c r="EC37" s="44" t="b">
        <f>IF(Table1[Start Date]&gt;42735,8000,IF(Table1[Start Date]&gt;42643,7000,IF(Table1[Start Date]&gt;42551,6000,IF(Table1[Start Date]&gt;42460,5000,IF(Table1[Start Date]&gt;42369,4000,IF(Table1[Start Date]&gt;42277,3000,IF(Table1[Start Date]&gt;42185,2000,IF(Table1[Start Date]&gt;42094,1000))))))))</f>
        <v>0</v>
      </c>
      <c r="ED37" s="44" t="str">
        <f>IF(Table1[Start Date]="","",IF(Table1[Current Local Authority]="Swindon",1,"2"))</f>
        <v/>
      </c>
      <c r="EE37" s="44" t="e">
        <f>SUM(Table1[Data Start Date]+Table1[Data Local Authority])</f>
        <v>#VALUE!</v>
      </c>
      <c r="EF37" s="44">
        <f>IF(Table1[Registered with GP]="Yes",1,0)</f>
        <v>0</v>
      </c>
      <c r="EG37" s="44">
        <f>SUM(Table1[Data Start Date]+Table1[Data GP Start])</f>
        <v>0</v>
      </c>
      <c r="EH37" s="44" t="str">
        <f>IF(Table1[EET]="NEET",1,IF(Table1[EET]="Education",2,IF(Table1[EET]="Employment",2,IF(Table1[EET]="Training",2,IF(Table1[EET]="Retired",3,"")))))</f>
        <v/>
      </c>
      <c r="EI37" s="44" t="e">
        <f>Table1[Data Start Date]+Table1[Data EET Start]</f>
        <v>#VALUE!</v>
      </c>
      <c r="EJ37" s="44" t="b">
        <f>IF(Table1[Leaving Date]&gt;42735,8000,IF(Table1[Leaving Date]&gt;42643,7000,IF(Table1[Leaving Date]&gt;42551,6000,IF(Table1[Leaving Date]&gt;42460,5000,IF(Table1[Leaving Date]&gt;42369,4000,IF(Table1[Leaving Date]&gt;42277,3000,IF(Table1[Leaving Date]&gt;42185,2000,IF(Table1[Leaving Date]&gt;42094,1000))))))))</f>
        <v>0</v>
      </c>
      <c r="EK37" s="44" t="e">
        <f>VLOOKUP(Table1[Reason for Leaving],Lists!$T$2:$U$15,2,FALSE)</f>
        <v>#N/A</v>
      </c>
      <c r="EL37" s="44" t="e">
        <f>SUM(Table1[Data Leavers Date]+Table1[Data Move On])</f>
        <v>#N/A</v>
      </c>
      <c r="EM37" s="44" t="b">
        <f>IF(Table1[Registered with GP2]="Yes",1,IF(Table1[Registered with GP2]="No",0,IF(Table1[Registered with GP]="Yes",1,IF(Table1[Registered with GP]="No",0))))</f>
        <v>0</v>
      </c>
      <c r="EN37" s="44">
        <f>SUM(Table1[Data Leavers Date]+Table1[Data GP End])</f>
        <v>0</v>
      </c>
      <c r="EO37" s="44" t="str">
        <f>IF(Table1[EET2]="NEET",1,IF(Table1[EET2]="Employment",2,IF(Table1[EET2]="Education",2,IF(Table1[EET2]="Training",2,IF(Table1[EET2]="Retired",3,IF(Table1[EET]="NEET",1,IF(Table1[EET]="Employment",2,IF(Table1[EET]="Education",2,IF(Table1[EET]="Training",2,IF(Table1[EET]="Retired",3,""))))))))))</f>
        <v/>
      </c>
      <c r="EP37" s="44" t="e">
        <f>+Table1[[#This Row],[Data Leavers Date]]+Table1[[#This Row],[Data EET End]]</f>
        <v>#VALUE!</v>
      </c>
      <c r="EQ37" s="44">
        <f>IF(Table1[Exit Form Received]="Yes",1,0)</f>
        <v>0</v>
      </c>
      <c r="ER37" s="44">
        <f>+Table1[[#This Row],[Data Leavers Date]]+Table1[[#This Row],[Data Exit Forms]]</f>
        <v>0</v>
      </c>
      <c r="ES37" s="44" t="str">
        <f>IF(Table1[Data Leavers Date]=1000,SUM(Table1[Leaving Date]-Table1[Start Date]),"")</f>
        <v/>
      </c>
      <c r="ET37" s="44" t="str">
        <f>IF(Table1[Data Leavers Date]=2000,SUM(Table1[Leaving Date]-Table1[Start Date]),"")</f>
        <v/>
      </c>
      <c r="EU37" s="44" t="str">
        <f>IF(Table1[Data Leavers Date]=3000,SUM(Table1[Leaving Date]-Table1[Start Date]),"")</f>
        <v/>
      </c>
      <c r="EV37" s="44" t="str">
        <f>IF(Table1[Data Leavers Date]=4000,SUM(Table1[Leaving Date]-Table1[Start Date]),"")</f>
        <v/>
      </c>
      <c r="EW37" s="44" t="str">
        <f>IF(Table1[Data Leavers Date]=5000,SUM(Table1[Leaving Date]-Table1[Start Date]),"")</f>
        <v/>
      </c>
      <c r="EX37" s="44" t="str">
        <f>IF(Table1[Data Leavers Date]=6000,SUM(Table1[Leaving Date]-Table1[Start Date]),"")</f>
        <v/>
      </c>
      <c r="EY37" s="44" t="str">
        <f>IF(Table1[Data Leavers Date]=7000,SUM(Table1[Leaving Date]-Table1[Start Date]),"")</f>
        <v/>
      </c>
      <c r="EZ37" s="44" t="str">
        <f>IF(Table1[Data Leavers Date]=8000,SUM(Table1[Leaving Date]-Table1[Start Date]),"")</f>
        <v/>
      </c>
      <c r="FA37" s="44" t="str">
        <f>IF(Table1[Date of Initial Assessment]="","",IF(AND(Table1[Start Date]&gt;42094,Table1[Start Date]&lt;42461),Table1[Motivation and Taking Responsibility],""))</f>
        <v/>
      </c>
      <c r="FB37" s="44" t="str">
        <f>IF(Table1[Date of Initial Assessment]="","",IF(AND(Table1[Start Date]&gt;42094,Table1[Start Date]&lt;42461),Table1[Self-Care and Living Skills],""))</f>
        <v/>
      </c>
      <c r="FC37" s="44" t="str">
        <f>IF(Table1[Date of Initial Assessment]="","",IF(AND(Table1[Start Date]&gt;42094,Table1[Start Date]&lt;42461),Table1[Managing Money and Personal Administration],""))</f>
        <v/>
      </c>
      <c r="FD37" s="44" t="str">
        <f>IF(Table1[Date of Initial Assessment]="","",IF(AND(Table1[Start Date]&gt;42094,Table1[Start Date]&lt;42461),Table1[Social Networks and Relationships],""))</f>
        <v/>
      </c>
      <c r="FE37" s="44" t="str">
        <f>IF(Table1[Date of Initial Assessment]="","",IF(AND(Table1[Start Date]&gt;42094,Table1[Start Date]&lt;42461),Table1[Drug and Alcohol Misuse],""))</f>
        <v/>
      </c>
      <c r="FF37" s="44" t="str">
        <f>IF(Table1[Date of Initial Assessment]="","",IF(AND(Table1[Start Date]&gt;42094,Table1[Start Date]&lt;42461),Table1[Physical Health],""))</f>
        <v/>
      </c>
      <c r="FG37" s="44" t="str">
        <f>IF(Table1[Date of Initial Assessment]="","",IF(AND(Table1[Start Date]&gt;42094,Table1[Start Date]&lt;42461),Table1[Emotional and Mental Health],""))</f>
        <v/>
      </c>
      <c r="FH37" s="44" t="str">
        <f>IF(Table1[Date of Initial Assessment]="","",IF(AND(Table1[Start Date]&gt;42094,Table1[Start Date]&lt;42461),Table1[Meaningful Use of Time],""))</f>
        <v/>
      </c>
      <c r="FI37" s="44" t="str">
        <f>IF(Table1[Date of Initial Assessment]="","",IF(AND(Table1[Start Date]&gt;42094,Table1[Start Date]&lt;42461),Table1[Managing Tenancy and Accommodation],""))</f>
        <v/>
      </c>
      <c r="FJ37" s="44" t="str">
        <f>IF(Table1[Date of Initial Assessment]="","",IF(AND(Table1[Start Date]&gt;42094,Table1[Start Date]&lt;42461),Table1[Offending],""))</f>
        <v/>
      </c>
      <c r="FK37" s="44" t="str">
        <f>IF(Table1[Leaving Date]="","",IF(Table1[Date of Initial Assessment]="","",IF(AND(Table1[Leaving Date]&gt;42094,Table1[Leaving Date]&lt;42461),IF(Table1[Date of Last Assessment]="",Table1[Motivation and Taking Responsibility],Table1[Motivation and Taking Responsibility2]),"")))</f>
        <v/>
      </c>
      <c r="FL37" s="44" t="str">
        <f>IF(Table1[Leaving Date]="","",IF(Table1[Date of Initial Assessment]="","",IF(AND(Table1[Leaving Date]&gt;42094,Table1[Leaving Date]&lt;42461),IF(Table1[Date of Last Assessment]="",Table1[Self-Care and Living Skills],Table1[Self-Care and Living Skills2]),"")))</f>
        <v/>
      </c>
      <c r="FM37" s="44" t="str">
        <f>IF(Table1[Leaving Date]="","",IF(Table1[Date of Initial Assessment]="","",IF(AND(Table1[Leaving Date]&gt;42094,Table1[Leaving Date]&lt;42461),IF(Table1[Date of Last Assessment]="",Table1[Managing Money and Personal Administration],Table1[Managing Money and Personal Administration2]),"")))</f>
        <v/>
      </c>
      <c r="FN37" s="44" t="str">
        <f>IF(Table1[Leaving Date]="","",IF(Table1[Date of Initial Assessment]="","",IF(AND(Table1[Leaving Date]&gt;42094,Table1[Leaving Date]&lt;42461),IF(Table1[Date of Last Assessment]="",Table1[Social Networks and Relationships],Table1[Social Networks and Relationships2]),"")))</f>
        <v/>
      </c>
      <c r="FO37" s="44" t="str">
        <f>IF(Table1[Leaving Date]="","",IF(Table1[Date of Initial Assessment]="","",IF(AND(Table1[Leaving Date]&gt;42094,Table1[Leaving Date]&lt;42461),IF(Table1[Date of Last Assessment]="",Table1[Drug and Alcohol Misuse],Table1[Drug and Alcohol Misuse2]),"")))</f>
        <v/>
      </c>
      <c r="FP37" s="44" t="str">
        <f>IF(Table1[Leaving Date]="","",IF(Table1[Date of Initial Assessment]="","",IF(AND(Table1[Leaving Date]&gt;42094,Table1[Leaving Date]&lt;42461),IF(Table1[Date of Last Assessment]="",Table1[Physical Health],Table1[Physical Health2]),"")))</f>
        <v/>
      </c>
      <c r="FQ37" s="44" t="str">
        <f>IF(Table1[Leaving Date]="","",IF(Table1[Date of Initial Assessment]="","",IF(AND(Table1[Leaving Date]&gt;42094,Table1[Leaving Date]&lt;42461),IF(Table1[Date of Last Assessment]="",Table1[Emotional and Mental Health],Table1[Emotional and Mental Health2]),"")))</f>
        <v/>
      </c>
      <c r="FR37" s="44" t="str">
        <f>IF(Table1[Leaving Date]="","",IF(Table1[Date of Initial Assessment]="","",IF(AND(Table1[Leaving Date]&gt;42094,Table1[Leaving Date]&lt;42461),IF(Table1[Date of Last Assessment]="",Table1[Meaningful Use of Time],Table1[Meaningful Use of Time2]),"")))</f>
        <v/>
      </c>
      <c r="FS37" s="44" t="str">
        <f>IF(Table1[Leaving Date]="","",IF(Table1[Date of Initial Assessment]="","",IF(AND(Table1[Leaving Date]&gt;42094,Table1[Leaving Date]&lt;42461),IF(Table1[Date of Last Assessment]="",Table1[Managing Tenancy and Accommodation],Table1[Managing Tenancy and Accommodation2]),"")))</f>
        <v/>
      </c>
      <c r="FT37" s="44" t="str">
        <f>IF(Table1[Leaving Date]="","",IF(Table1[Date of Initial Assessment]="","",IF(AND(Table1[Leaving Date]&gt;42094,Table1[Leaving Date]&lt;42461),IF(Table1[Date of Last Assessment]="",Table1[Offending],Table1[Offending2]),"")))</f>
        <v/>
      </c>
      <c r="FU37" s="44" t="str">
        <f>IF(Table1[Date of Initial Assessment]="","",IF(AND(Table1[Start Date]&gt;42460,Table1[Start Date]&lt;42826),Table1[Motivation and Taking Responsibility],""))</f>
        <v/>
      </c>
      <c r="FV37" s="44" t="str">
        <f>IF(Table1[Date of Initial Assessment]="","",IF(AND(Table1[Start Date]&gt;42460,Table1[Start Date]&lt;42826),Table1[Self-Care and Living Skills],""))</f>
        <v/>
      </c>
      <c r="FW37" s="44" t="str">
        <f>IF(Table1[Date of Initial Assessment]="","",IF(AND(Table1[Start Date]&gt;42460,Table1[Start Date]&lt;42826),Table1[Managing Money and Personal Administration],""))</f>
        <v/>
      </c>
      <c r="FX37" s="44" t="str">
        <f>IF(Table1[Date of Initial Assessment]="","",IF(AND(Table1[Start Date]&gt;42460,Table1[Start Date]&lt;42826),Table1[Social Networks and Relationships],""))</f>
        <v/>
      </c>
      <c r="FY37" s="44" t="str">
        <f>IF(Table1[Date of Initial Assessment]="","",IF(AND(Table1[Start Date]&gt;42460,Table1[Start Date]&lt;42826),Table1[Drug and Alcohol Misuse],""))</f>
        <v/>
      </c>
      <c r="FZ37" s="44" t="str">
        <f>IF(Table1[Date of Initial Assessment]="","",IF(AND(Table1[Start Date]&gt;42460,Table1[Start Date]&lt;42826),Table1[Physical Health],""))</f>
        <v/>
      </c>
      <c r="GA37" s="44" t="str">
        <f>IF(Table1[Date of Initial Assessment]="","",IF(AND(Table1[Start Date]&gt;42460,Table1[Start Date]&lt;42826),Table1[Emotional and Mental Health],""))</f>
        <v/>
      </c>
      <c r="GB37" s="44" t="str">
        <f>IF(Table1[Date of Initial Assessment]="","",IF(AND(Table1[Start Date]&gt;42460,Table1[Start Date]&lt;42826),Table1[Meaningful Use of Time],""))</f>
        <v/>
      </c>
      <c r="GC37" s="44" t="str">
        <f>IF(Table1[Date of Initial Assessment]="","",IF(AND(Table1[Start Date]&gt;42460,Table1[Start Date]&lt;42826),Table1[Managing Tenancy and Accommodation],""))</f>
        <v/>
      </c>
      <c r="GD37" s="44" t="str">
        <f>IF(Table1[Date of Initial Assessment]="","",IF(AND(Table1[Start Date]&gt;42460,Table1[Start Date]&lt;42826),Table1[Offending],""))</f>
        <v/>
      </c>
      <c r="GE37" s="44" t="str">
        <f>IF(Table1[Leaving Date]="","",IF(AND(Table1[Leaving Date]&gt;42460,Table1[Leaving Date]&lt;42826),IF(Table1[Date of Last Assessment]="",Table1[Motivation and Taking Responsibility],Table1[Motivation and Taking Responsibility2]),""))</f>
        <v/>
      </c>
      <c r="GF37" s="44" t="str">
        <f>IF(Table1[Leaving Date]="","",IF(AND(Table1[Leaving Date]&gt;42460,Table1[Leaving Date]&lt;42826),IF(Table1[Date of Last Assessment]="",Table1[Self-Care and Living Skills],Table1[Self-Care and Living Skills2]),""))</f>
        <v/>
      </c>
      <c r="GG37" s="44" t="str">
        <f>IF(Table1[Leaving Date]="","",IF(AND(Table1[Leaving Date]&gt;42460,Table1[Leaving Date]&lt;42826),IF(Table1[Date of Last Assessment]="",Table1[Managing Money and Personal Administration],Table1[Managing Money and Personal Administration2]),""))</f>
        <v/>
      </c>
      <c r="GH37" s="44" t="str">
        <f>IF(Table1[Leaving Date]="","",IF(AND(Table1[Leaving Date]&gt;42460,Table1[Leaving Date]&lt;42826),IF(Table1[Date of Last Assessment]="",Table1[Social Networks and Relationships],Table1[Social Networks and Relationships2]),""))</f>
        <v/>
      </c>
      <c r="GI37" s="44" t="str">
        <f>IF(Table1[Leaving Date]="","",IF(AND(Table1[Leaving Date]&gt;42460,Table1[Leaving Date]&lt;42826),IF(Table1[Date of Last Assessment]="",Table1[Drug and Alcohol Misuse],Table1[Drug and Alcohol Misuse2]),""))</f>
        <v/>
      </c>
      <c r="GJ37" s="44" t="str">
        <f>IF(Table1[Leaving Date]="","",IF(AND(Table1[Leaving Date]&gt;42460,Table1[Leaving Date]&lt;42826),IF(Table1[Date of Last Assessment]="",Table1[Physical Health],Table1[Physical Health2]),""))</f>
        <v/>
      </c>
      <c r="GK37" s="44" t="str">
        <f>IF(Table1[Leaving Date]="","",IF(AND(Table1[Leaving Date]&gt;42460,Table1[Leaving Date]&lt;42826),IF(Table1[Date of Last Assessment]="",Table1[Emotional and Mental Health],Table1[Emotional and Mental Health2]),""))</f>
        <v/>
      </c>
      <c r="GL37" s="44" t="str">
        <f>IF(Table1[Leaving Date]="","",IF(AND(Table1[Leaving Date]&gt;42460,Table1[Leaving Date]&lt;42826),IF(Table1[Date of Last Assessment]="",Table1[Meaningful Use of Time],Table1[Meaningful Use of Time2]),""))</f>
        <v/>
      </c>
      <c r="GM37" s="44" t="str">
        <f>IF(Table1[Leaving Date]="","",IF(AND(Table1[Leaving Date]&gt;42460,Table1[Leaving Date]&lt;42826),IF(Table1[Date of Last Assessment]="",Table1[Managing Tenancy and Accommodation],Table1[Managing Tenancy and Accommodation2]),""))</f>
        <v/>
      </c>
      <c r="GN37" s="44" t="str">
        <f>IF(Table1[Leaving Date]="","",IF(AND(Table1[Leaving Date]&gt;42460,Table1[Leaving Date]&lt;42826),IF(Table1[Date of Last Assessment]="",Table1[Offending],Table1[Offending2]),""))</f>
        <v/>
      </c>
    </row>
    <row r="38" spans="2:196" ht="20.100000000000001" customHeight="1" x14ac:dyDescent="0.2">
      <c r="B38" s="86">
        <f>+'Service Data'!$C$5:$C$5</f>
        <v>0</v>
      </c>
      <c r="C38" s="86"/>
      <c r="D38" s="86"/>
      <c r="E38" s="86"/>
      <c r="F38" s="86"/>
      <c r="G38" s="86"/>
      <c r="H38" s="6"/>
      <c r="I38" s="99" t="str">
        <f ca="1">IF(Table1[[#This Row],[Date of Birth]]="","",SUM(TODAY()-Table1[[#This Row],[Date of Birth]])/365)</f>
        <v/>
      </c>
      <c r="L38" s="86"/>
      <c r="M38" s="77"/>
      <c r="N38" s="86"/>
      <c r="O38" s="86"/>
      <c r="P38" s="91"/>
      <c r="Q38" s="86"/>
      <c r="R38" s="77"/>
      <c r="S38" s="77"/>
      <c r="T38" s="68"/>
      <c r="U38" s="68"/>
      <c r="V38" s="67"/>
      <c r="W38" s="67"/>
      <c r="X38" s="67"/>
      <c r="Y38" s="67"/>
      <c r="Z38" s="67"/>
      <c r="AA38" s="67"/>
      <c r="AB38" s="67"/>
      <c r="AC38" s="67"/>
      <c r="AD38" s="67"/>
      <c r="AE38" s="67"/>
      <c r="AF38" s="67"/>
      <c r="AG38" s="67"/>
      <c r="AH38" s="67"/>
      <c r="AI38" s="67"/>
      <c r="AJ38" s="67"/>
      <c r="AK38" s="67"/>
      <c r="AL38" s="67"/>
      <c r="AM38" s="67"/>
      <c r="AN38" s="77"/>
      <c r="AO38" s="76"/>
      <c r="AP38" s="77"/>
      <c r="AQ38" s="76"/>
      <c r="AR38" s="76"/>
      <c r="AS38" s="76"/>
      <c r="AT38" s="76"/>
      <c r="AU38" s="76"/>
      <c r="AV38" s="77"/>
      <c r="AW38" s="76"/>
      <c r="AX38" s="77"/>
      <c r="AY38" s="76"/>
      <c r="AZ38" s="76"/>
      <c r="BA38" s="76"/>
      <c r="BB38" s="76"/>
      <c r="BC38" s="76"/>
      <c r="BD38" s="77"/>
      <c r="BE38" s="76"/>
      <c r="BF38" s="77"/>
      <c r="BG38" s="76"/>
      <c r="BH38" s="76"/>
      <c r="BI38" s="76"/>
      <c r="BJ38" s="76"/>
      <c r="BK38" s="76"/>
      <c r="BL38" s="77"/>
      <c r="BM38" s="76"/>
      <c r="BN38" s="77"/>
      <c r="BO38" s="76"/>
      <c r="BP38" s="76"/>
      <c r="BQ38" s="76"/>
      <c r="BR38" s="76"/>
      <c r="BS38" s="76"/>
      <c r="BT38" s="77"/>
      <c r="BU38" s="76"/>
      <c r="BV38" s="77"/>
      <c r="BW38" s="76"/>
      <c r="BX38" s="76"/>
      <c r="BY38" s="76"/>
      <c r="BZ38" s="76"/>
      <c r="CA38" s="76"/>
      <c r="CB38" s="77"/>
      <c r="CC38" s="76"/>
      <c r="CD38" s="77"/>
      <c r="CE38" s="76"/>
      <c r="CF38" s="76"/>
      <c r="CG38" s="76"/>
      <c r="CH38" s="76"/>
      <c r="CI38" s="76"/>
      <c r="CJ38" s="77"/>
      <c r="CK38" s="76"/>
      <c r="CL38" s="77"/>
      <c r="CM38" s="76"/>
      <c r="CN38" s="76"/>
      <c r="CO38" s="76"/>
      <c r="CP38" s="76"/>
      <c r="CQ38" s="76"/>
      <c r="CR38" s="78" t="str">
        <f t="shared" si="15"/>
        <v/>
      </c>
      <c r="CS38" s="79" t="str">
        <f t="shared" si="16"/>
        <v/>
      </c>
      <c r="CT38" s="79" t="str">
        <f t="shared" si="17"/>
        <v/>
      </c>
      <c r="CU38" s="79" t="str">
        <f t="shared" si="18"/>
        <v/>
      </c>
      <c r="CV38" s="79" t="str">
        <f t="shared" si="19"/>
        <v/>
      </c>
      <c r="CW38" s="79" t="str">
        <f t="shared" si="20"/>
        <v/>
      </c>
      <c r="CX38" s="79" t="str">
        <f t="shared" si="21"/>
        <v/>
      </c>
      <c r="CY38" s="79" t="str">
        <f t="shared" si="22"/>
        <v/>
      </c>
      <c r="CZ38" s="79" t="str">
        <f t="shared" si="23"/>
        <v/>
      </c>
      <c r="DA38" s="79" t="str">
        <f t="shared" si="24"/>
        <v/>
      </c>
      <c r="DB38" s="79" t="str">
        <f t="shared" si="25"/>
        <v/>
      </c>
      <c r="DC38" s="79" t="str">
        <f t="shared" si="26"/>
        <v/>
      </c>
      <c r="DD38" s="79" t="str">
        <f t="shared" si="27"/>
        <v/>
      </c>
      <c r="DE38" s="79" t="str">
        <f t="shared" si="28"/>
        <v/>
      </c>
      <c r="DF38" s="79" t="str">
        <f t="shared" si="29"/>
        <v/>
      </c>
      <c r="DG38" s="79" t="str">
        <f t="shared" si="30"/>
        <v/>
      </c>
      <c r="DH38" s="76"/>
      <c r="DI38" s="78"/>
      <c r="DJ38" s="76"/>
      <c r="DK38" s="77"/>
      <c r="DL38" s="77"/>
      <c r="DM38" s="77"/>
      <c r="DN38" s="80"/>
      <c r="DO38" s="80"/>
      <c r="DP38" s="92" t="str">
        <f>IF(Table1[Start Date]="","",IF(Table1[Start Date]&gt;42185,"",IF(AND(Table1[Leaving Date]&gt;1,Table1[Leaving Date]&lt;42095),"",1)))</f>
        <v/>
      </c>
      <c r="DQ38" s="92" t="str">
        <f>IF(Table1[Start Date]="","",IF(Table1[Start Date]&gt;42277,"",IF(AND(Table1[Leaving Date]&gt;1,Table1[Leaving Date]&lt;42186),"",1)))</f>
        <v/>
      </c>
      <c r="DR38" s="92" t="str">
        <f>IF(Table1[Start Date]="","",IF(Table1[Start Date]&gt;42369,"",IF(AND(Table1[Leaving Date]&gt;1,Table1[Leaving Date]&lt;42278),"",1)))</f>
        <v/>
      </c>
      <c r="DS38" s="92" t="str">
        <f>IF(Table1[Start Date]="","",IF(Table1[Start Date]&gt;42460,"",IF(AND(Table1[Leaving Date]&gt;1,Table1[Leaving Date]&lt;42370),"",1)))</f>
        <v/>
      </c>
      <c r="DT38" s="92" t="str">
        <f>IF(Table1[Start Date]="","",IF(Table1[Start Date]&gt;42551,"",IF(AND(Table1[Leaving Date]&gt;1,Table1[Leaving Date]&lt;42461),"",1)))</f>
        <v/>
      </c>
      <c r="DU38" s="92" t="str">
        <f>IF(Table1[Start Date]="","",IF(Table1[Start Date]&gt;42643,"",IF(AND(Table1[Leaving Date]&gt;1,Table1[Leaving Date]&lt;42552),"",1)))</f>
        <v/>
      </c>
      <c r="DV38" s="92" t="str">
        <f>IF(Table1[Start Date]="","",IF(Table1[Start Date]&gt;42735,"",IF(AND(Table1[Leaving Date]&gt;1,Table1[Leaving Date]&lt;42644),"",1)))</f>
        <v/>
      </c>
      <c r="DW38" s="92" t="str">
        <f>IF(Table1[Start Date]="","",IF(Table1[Start Date]&gt;42825,"",IF(AND(Table1[Leaving Date]&gt;1,Table1[Leaving Date]&lt;42736),"",1)))</f>
        <v/>
      </c>
      <c r="DX38"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38" s="44" t="e">
        <f>VLOOKUP(Table1[Referral Source],Lists!$G$2:$H$20,2,FALSE)</f>
        <v>#N/A</v>
      </c>
      <c r="DZ38" s="93" t="e">
        <f>SUM(Table1[Data Referral Quarter]+Table1[Data Referral Source])</f>
        <v>#N/A</v>
      </c>
      <c r="EA38" s="44" t="b">
        <f>IF(Table1[Referral Decision]="Accepted",100,IF(Table1[Referral Decision]="Rejected by Provider",200,IF(Table1[Referral Decision]="Rejected by Applicant",300)))</f>
        <v>0</v>
      </c>
      <c r="EB38" s="44">
        <f>SUM(Table1[Data Referral Quarter]+Table1[Data Referral Decision])</f>
        <v>0</v>
      </c>
      <c r="EC38" s="44" t="b">
        <f>IF(Table1[Start Date]&gt;42735,8000,IF(Table1[Start Date]&gt;42643,7000,IF(Table1[Start Date]&gt;42551,6000,IF(Table1[Start Date]&gt;42460,5000,IF(Table1[Start Date]&gt;42369,4000,IF(Table1[Start Date]&gt;42277,3000,IF(Table1[Start Date]&gt;42185,2000,IF(Table1[Start Date]&gt;42094,1000))))))))</f>
        <v>0</v>
      </c>
      <c r="ED38" s="44" t="str">
        <f>IF(Table1[Start Date]="","",IF(Table1[Current Local Authority]="Swindon",1,"2"))</f>
        <v/>
      </c>
      <c r="EE38" s="44" t="e">
        <f>SUM(Table1[Data Start Date]+Table1[Data Local Authority])</f>
        <v>#VALUE!</v>
      </c>
      <c r="EF38" s="44">
        <f>IF(Table1[Registered with GP]="Yes",1,0)</f>
        <v>0</v>
      </c>
      <c r="EG38" s="44">
        <f>SUM(Table1[Data Start Date]+Table1[Data GP Start])</f>
        <v>0</v>
      </c>
      <c r="EH38" s="44" t="str">
        <f>IF(Table1[EET]="NEET",1,IF(Table1[EET]="Education",2,IF(Table1[EET]="Employment",2,IF(Table1[EET]="Training",2,IF(Table1[EET]="Retired",3,"")))))</f>
        <v/>
      </c>
      <c r="EI38" s="44" t="e">
        <f>Table1[Data Start Date]+Table1[Data EET Start]</f>
        <v>#VALUE!</v>
      </c>
      <c r="EJ38" s="44" t="b">
        <f>IF(Table1[Leaving Date]&gt;42735,8000,IF(Table1[Leaving Date]&gt;42643,7000,IF(Table1[Leaving Date]&gt;42551,6000,IF(Table1[Leaving Date]&gt;42460,5000,IF(Table1[Leaving Date]&gt;42369,4000,IF(Table1[Leaving Date]&gt;42277,3000,IF(Table1[Leaving Date]&gt;42185,2000,IF(Table1[Leaving Date]&gt;42094,1000))))))))</f>
        <v>0</v>
      </c>
      <c r="EK38" s="44" t="e">
        <f>VLOOKUP(Table1[Reason for Leaving],Lists!$T$2:$U$15,2,FALSE)</f>
        <v>#N/A</v>
      </c>
      <c r="EL38" s="44" t="e">
        <f>SUM(Table1[Data Leavers Date]+Table1[Data Move On])</f>
        <v>#N/A</v>
      </c>
      <c r="EM38" s="44" t="b">
        <f>IF(Table1[Registered with GP2]="Yes",1,IF(Table1[Registered with GP2]="No",0,IF(Table1[Registered with GP]="Yes",1,IF(Table1[Registered with GP]="No",0))))</f>
        <v>0</v>
      </c>
      <c r="EN38" s="44">
        <f>SUM(Table1[Data Leavers Date]+Table1[Data GP End])</f>
        <v>0</v>
      </c>
      <c r="EO38" s="44" t="str">
        <f>IF(Table1[EET2]="NEET",1,IF(Table1[EET2]="Employment",2,IF(Table1[EET2]="Education",2,IF(Table1[EET2]="Training",2,IF(Table1[EET2]="Retired",3,IF(Table1[EET]="NEET",1,IF(Table1[EET]="Employment",2,IF(Table1[EET]="Education",2,IF(Table1[EET]="Training",2,IF(Table1[EET]="Retired",3,""))))))))))</f>
        <v/>
      </c>
      <c r="EP38" s="44" t="e">
        <f>+Table1[[#This Row],[Data Leavers Date]]+Table1[[#This Row],[Data EET End]]</f>
        <v>#VALUE!</v>
      </c>
      <c r="EQ38" s="44">
        <f>IF(Table1[Exit Form Received]="Yes",1,0)</f>
        <v>0</v>
      </c>
      <c r="ER38" s="44">
        <f>+Table1[[#This Row],[Data Leavers Date]]+Table1[[#This Row],[Data Exit Forms]]</f>
        <v>0</v>
      </c>
      <c r="ES38" s="44" t="str">
        <f>IF(Table1[Data Leavers Date]=1000,SUM(Table1[Leaving Date]-Table1[Start Date]),"")</f>
        <v/>
      </c>
      <c r="ET38" s="44" t="str">
        <f>IF(Table1[Data Leavers Date]=2000,SUM(Table1[Leaving Date]-Table1[Start Date]),"")</f>
        <v/>
      </c>
      <c r="EU38" s="44" t="str">
        <f>IF(Table1[Data Leavers Date]=3000,SUM(Table1[Leaving Date]-Table1[Start Date]),"")</f>
        <v/>
      </c>
      <c r="EV38" s="44" t="str">
        <f>IF(Table1[Data Leavers Date]=4000,SUM(Table1[Leaving Date]-Table1[Start Date]),"")</f>
        <v/>
      </c>
      <c r="EW38" s="44" t="str">
        <f>IF(Table1[Data Leavers Date]=5000,SUM(Table1[Leaving Date]-Table1[Start Date]),"")</f>
        <v/>
      </c>
      <c r="EX38" s="44" t="str">
        <f>IF(Table1[Data Leavers Date]=6000,SUM(Table1[Leaving Date]-Table1[Start Date]),"")</f>
        <v/>
      </c>
      <c r="EY38" s="44" t="str">
        <f>IF(Table1[Data Leavers Date]=7000,SUM(Table1[Leaving Date]-Table1[Start Date]),"")</f>
        <v/>
      </c>
      <c r="EZ38" s="44" t="str">
        <f>IF(Table1[Data Leavers Date]=8000,SUM(Table1[Leaving Date]-Table1[Start Date]),"")</f>
        <v/>
      </c>
      <c r="FA38" s="44" t="str">
        <f>IF(Table1[Date of Initial Assessment]="","",IF(AND(Table1[Start Date]&gt;42094,Table1[Start Date]&lt;42461),Table1[Motivation and Taking Responsibility],""))</f>
        <v/>
      </c>
      <c r="FB38" s="44" t="str">
        <f>IF(Table1[Date of Initial Assessment]="","",IF(AND(Table1[Start Date]&gt;42094,Table1[Start Date]&lt;42461),Table1[Self-Care and Living Skills],""))</f>
        <v/>
      </c>
      <c r="FC38" s="44" t="str">
        <f>IF(Table1[Date of Initial Assessment]="","",IF(AND(Table1[Start Date]&gt;42094,Table1[Start Date]&lt;42461),Table1[Managing Money and Personal Administration],""))</f>
        <v/>
      </c>
      <c r="FD38" s="44" t="str">
        <f>IF(Table1[Date of Initial Assessment]="","",IF(AND(Table1[Start Date]&gt;42094,Table1[Start Date]&lt;42461),Table1[Social Networks and Relationships],""))</f>
        <v/>
      </c>
      <c r="FE38" s="44" t="str">
        <f>IF(Table1[Date of Initial Assessment]="","",IF(AND(Table1[Start Date]&gt;42094,Table1[Start Date]&lt;42461),Table1[Drug and Alcohol Misuse],""))</f>
        <v/>
      </c>
      <c r="FF38" s="44" t="str">
        <f>IF(Table1[Date of Initial Assessment]="","",IF(AND(Table1[Start Date]&gt;42094,Table1[Start Date]&lt;42461),Table1[Physical Health],""))</f>
        <v/>
      </c>
      <c r="FG38" s="44" t="str">
        <f>IF(Table1[Date of Initial Assessment]="","",IF(AND(Table1[Start Date]&gt;42094,Table1[Start Date]&lt;42461),Table1[Emotional and Mental Health],""))</f>
        <v/>
      </c>
      <c r="FH38" s="44" t="str">
        <f>IF(Table1[Date of Initial Assessment]="","",IF(AND(Table1[Start Date]&gt;42094,Table1[Start Date]&lt;42461),Table1[Meaningful Use of Time],""))</f>
        <v/>
      </c>
      <c r="FI38" s="44" t="str">
        <f>IF(Table1[Date of Initial Assessment]="","",IF(AND(Table1[Start Date]&gt;42094,Table1[Start Date]&lt;42461),Table1[Managing Tenancy and Accommodation],""))</f>
        <v/>
      </c>
      <c r="FJ38" s="44" t="str">
        <f>IF(Table1[Date of Initial Assessment]="","",IF(AND(Table1[Start Date]&gt;42094,Table1[Start Date]&lt;42461),Table1[Offending],""))</f>
        <v/>
      </c>
      <c r="FK38" s="44" t="str">
        <f>IF(Table1[Leaving Date]="","",IF(Table1[Date of Initial Assessment]="","",IF(AND(Table1[Leaving Date]&gt;42094,Table1[Leaving Date]&lt;42461),IF(Table1[Date of Last Assessment]="",Table1[Motivation and Taking Responsibility],Table1[Motivation and Taking Responsibility2]),"")))</f>
        <v/>
      </c>
      <c r="FL38" s="44" t="str">
        <f>IF(Table1[Leaving Date]="","",IF(Table1[Date of Initial Assessment]="","",IF(AND(Table1[Leaving Date]&gt;42094,Table1[Leaving Date]&lt;42461),IF(Table1[Date of Last Assessment]="",Table1[Self-Care and Living Skills],Table1[Self-Care and Living Skills2]),"")))</f>
        <v/>
      </c>
      <c r="FM38" s="44" t="str">
        <f>IF(Table1[Leaving Date]="","",IF(Table1[Date of Initial Assessment]="","",IF(AND(Table1[Leaving Date]&gt;42094,Table1[Leaving Date]&lt;42461),IF(Table1[Date of Last Assessment]="",Table1[Managing Money and Personal Administration],Table1[Managing Money and Personal Administration2]),"")))</f>
        <v/>
      </c>
      <c r="FN38" s="44" t="str">
        <f>IF(Table1[Leaving Date]="","",IF(Table1[Date of Initial Assessment]="","",IF(AND(Table1[Leaving Date]&gt;42094,Table1[Leaving Date]&lt;42461),IF(Table1[Date of Last Assessment]="",Table1[Social Networks and Relationships],Table1[Social Networks and Relationships2]),"")))</f>
        <v/>
      </c>
      <c r="FO38" s="44" t="str">
        <f>IF(Table1[Leaving Date]="","",IF(Table1[Date of Initial Assessment]="","",IF(AND(Table1[Leaving Date]&gt;42094,Table1[Leaving Date]&lt;42461),IF(Table1[Date of Last Assessment]="",Table1[Drug and Alcohol Misuse],Table1[Drug and Alcohol Misuse2]),"")))</f>
        <v/>
      </c>
      <c r="FP38" s="44" t="str">
        <f>IF(Table1[Leaving Date]="","",IF(Table1[Date of Initial Assessment]="","",IF(AND(Table1[Leaving Date]&gt;42094,Table1[Leaving Date]&lt;42461),IF(Table1[Date of Last Assessment]="",Table1[Physical Health],Table1[Physical Health2]),"")))</f>
        <v/>
      </c>
      <c r="FQ38" s="44" t="str">
        <f>IF(Table1[Leaving Date]="","",IF(Table1[Date of Initial Assessment]="","",IF(AND(Table1[Leaving Date]&gt;42094,Table1[Leaving Date]&lt;42461),IF(Table1[Date of Last Assessment]="",Table1[Emotional and Mental Health],Table1[Emotional and Mental Health2]),"")))</f>
        <v/>
      </c>
      <c r="FR38" s="44" t="str">
        <f>IF(Table1[Leaving Date]="","",IF(Table1[Date of Initial Assessment]="","",IF(AND(Table1[Leaving Date]&gt;42094,Table1[Leaving Date]&lt;42461),IF(Table1[Date of Last Assessment]="",Table1[Meaningful Use of Time],Table1[Meaningful Use of Time2]),"")))</f>
        <v/>
      </c>
      <c r="FS38" s="44" t="str">
        <f>IF(Table1[Leaving Date]="","",IF(Table1[Date of Initial Assessment]="","",IF(AND(Table1[Leaving Date]&gt;42094,Table1[Leaving Date]&lt;42461),IF(Table1[Date of Last Assessment]="",Table1[Managing Tenancy and Accommodation],Table1[Managing Tenancy and Accommodation2]),"")))</f>
        <v/>
      </c>
      <c r="FT38" s="44" t="str">
        <f>IF(Table1[Leaving Date]="","",IF(Table1[Date of Initial Assessment]="","",IF(AND(Table1[Leaving Date]&gt;42094,Table1[Leaving Date]&lt;42461),IF(Table1[Date of Last Assessment]="",Table1[Offending],Table1[Offending2]),"")))</f>
        <v/>
      </c>
      <c r="FU38" s="44" t="str">
        <f>IF(Table1[Date of Initial Assessment]="","",IF(AND(Table1[Start Date]&gt;42460,Table1[Start Date]&lt;42826),Table1[Motivation and Taking Responsibility],""))</f>
        <v/>
      </c>
      <c r="FV38" s="44" t="str">
        <f>IF(Table1[Date of Initial Assessment]="","",IF(AND(Table1[Start Date]&gt;42460,Table1[Start Date]&lt;42826),Table1[Self-Care and Living Skills],""))</f>
        <v/>
      </c>
      <c r="FW38" s="44" t="str">
        <f>IF(Table1[Date of Initial Assessment]="","",IF(AND(Table1[Start Date]&gt;42460,Table1[Start Date]&lt;42826),Table1[Managing Money and Personal Administration],""))</f>
        <v/>
      </c>
      <c r="FX38" s="44" t="str">
        <f>IF(Table1[Date of Initial Assessment]="","",IF(AND(Table1[Start Date]&gt;42460,Table1[Start Date]&lt;42826),Table1[Social Networks and Relationships],""))</f>
        <v/>
      </c>
      <c r="FY38" s="44" t="str">
        <f>IF(Table1[Date of Initial Assessment]="","",IF(AND(Table1[Start Date]&gt;42460,Table1[Start Date]&lt;42826),Table1[Drug and Alcohol Misuse],""))</f>
        <v/>
      </c>
      <c r="FZ38" s="44" t="str">
        <f>IF(Table1[Date of Initial Assessment]="","",IF(AND(Table1[Start Date]&gt;42460,Table1[Start Date]&lt;42826),Table1[Physical Health],""))</f>
        <v/>
      </c>
      <c r="GA38" s="44" t="str">
        <f>IF(Table1[Date of Initial Assessment]="","",IF(AND(Table1[Start Date]&gt;42460,Table1[Start Date]&lt;42826),Table1[Emotional and Mental Health],""))</f>
        <v/>
      </c>
      <c r="GB38" s="44" t="str">
        <f>IF(Table1[Date of Initial Assessment]="","",IF(AND(Table1[Start Date]&gt;42460,Table1[Start Date]&lt;42826),Table1[Meaningful Use of Time],""))</f>
        <v/>
      </c>
      <c r="GC38" s="44" t="str">
        <f>IF(Table1[Date of Initial Assessment]="","",IF(AND(Table1[Start Date]&gt;42460,Table1[Start Date]&lt;42826),Table1[Managing Tenancy and Accommodation],""))</f>
        <v/>
      </c>
      <c r="GD38" s="44" t="str">
        <f>IF(Table1[Date of Initial Assessment]="","",IF(AND(Table1[Start Date]&gt;42460,Table1[Start Date]&lt;42826),Table1[Offending],""))</f>
        <v/>
      </c>
      <c r="GE38" s="44" t="str">
        <f>IF(Table1[Leaving Date]="","",IF(AND(Table1[Leaving Date]&gt;42460,Table1[Leaving Date]&lt;42826),IF(Table1[Date of Last Assessment]="",Table1[Motivation and Taking Responsibility],Table1[Motivation and Taking Responsibility2]),""))</f>
        <v/>
      </c>
      <c r="GF38" s="44" t="str">
        <f>IF(Table1[Leaving Date]="","",IF(AND(Table1[Leaving Date]&gt;42460,Table1[Leaving Date]&lt;42826),IF(Table1[Date of Last Assessment]="",Table1[Self-Care and Living Skills],Table1[Self-Care and Living Skills2]),""))</f>
        <v/>
      </c>
      <c r="GG38" s="44" t="str">
        <f>IF(Table1[Leaving Date]="","",IF(AND(Table1[Leaving Date]&gt;42460,Table1[Leaving Date]&lt;42826),IF(Table1[Date of Last Assessment]="",Table1[Managing Money and Personal Administration],Table1[Managing Money and Personal Administration2]),""))</f>
        <v/>
      </c>
      <c r="GH38" s="44" t="str">
        <f>IF(Table1[Leaving Date]="","",IF(AND(Table1[Leaving Date]&gt;42460,Table1[Leaving Date]&lt;42826),IF(Table1[Date of Last Assessment]="",Table1[Social Networks and Relationships],Table1[Social Networks and Relationships2]),""))</f>
        <v/>
      </c>
      <c r="GI38" s="44" t="str">
        <f>IF(Table1[Leaving Date]="","",IF(AND(Table1[Leaving Date]&gt;42460,Table1[Leaving Date]&lt;42826),IF(Table1[Date of Last Assessment]="",Table1[Drug and Alcohol Misuse],Table1[Drug and Alcohol Misuse2]),""))</f>
        <v/>
      </c>
      <c r="GJ38" s="44" t="str">
        <f>IF(Table1[Leaving Date]="","",IF(AND(Table1[Leaving Date]&gt;42460,Table1[Leaving Date]&lt;42826),IF(Table1[Date of Last Assessment]="",Table1[Physical Health],Table1[Physical Health2]),""))</f>
        <v/>
      </c>
      <c r="GK38" s="44" t="str">
        <f>IF(Table1[Leaving Date]="","",IF(AND(Table1[Leaving Date]&gt;42460,Table1[Leaving Date]&lt;42826),IF(Table1[Date of Last Assessment]="",Table1[Emotional and Mental Health],Table1[Emotional and Mental Health2]),""))</f>
        <v/>
      </c>
      <c r="GL38" s="44" t="str">
        <f>IF(Table1[Leaving Date]="","",IF(AND(Table1[Leaving Date]&gt;42460,Table1[Leaving Date]&lt;42826),IF(Table1[Date of Last Assessment]="",Table1[Meaningful Use of Time],Table1[Meaningful Use of Time2]),""))</f>
        <v/>
      </c>
      <c r="GM38" s="44" t="str">
        <f>IF(Table1[Leaving Date]="","",IF(AND(Table1[Leaving Date]&gt;42460,Table1[Leaving Date]&lt;42826),IF(Table1[Date of Last Assessment]="",Table1[Managing Tenancy and Accommodation],Table1[Managing Tenancy and Accommodation2]),""))</f>
        <v/>
      </c>
      <c r="GN38" s="44" t="str">
        <f>IF(Table1[Leaving Date]="","",IF(AND(Table1[Leaving Date]&gt;42460,Table1[Leaving Date]&lt;42826),IF(Table1[Date of Last Assessment]="",Table1[Offending],Table1[Offending2]),""))</f>
        <v/>
      </c>
    </row>
    <row r="39" spans="2:196" ht="20.100000000000001" customHeight="1" x14ac:dyDescent="0.2">
      <c r="B39" s="86">
        <f>+'Service Data'!$C$5:$C$5</f>
        <v>0</v>
      </c>
      <c r="C39" s="86"/>
      <c r="D39" s="86"/>
      <c r="E39" s="86"/>
      <c r="F39" s="86"/>
      <c r="G39" s="86"/>
      <c r="H39" s="6"/>
      <c r="I39" s="99" t="str">
        <f ca="1">IF(Table1[[#This Row],[Date of Birth]]="","",SUM(TODAY()-Table1[[#This Row],[Date of Birth]])/365)</f>
        <v/>
      </c>
      <c r="L39" s="86"/>
      <c r="M39" s="77"/>
      <c r="N39" s="86"/>
      <c r="O39" s="86"/>
      <c r="P39" s="91"/>
      <c r="Q39" s="86"/>
      <c r="R39" s="77"/>
      <c r="S39" s="77"/>
      <c r="T39" s="68"/>
      <c r="U39" s="68"/>
      <c r="V39" s="67"/>
      <c r="W39" s="67"/>
      <c r="X39" s="67"/>
      <c r="Y39" s="67"/>
      <c r="Z39" s="67"/>
      <c r="AA39" s="67"/>
      <c r="AB39" s="67"/>
      <c r="AC39" s="67"/>
      <c r="AD39" s="67"/>
      <c r="AE39" s="67"/>
      <c r="AF39" s="67"/>
      <c r="AG39" s="67"/>
      <c r="AH39" s="67"/>
      <c r="AI39" s="67"/>
      <c r="AJ39" s="67"/>
      <c r="AK39" s="67"/>
      <c r="AL39" s="67"/>
      <c r="AM39" s="67"/>
      <c r="AN39" s="77"/>
      <c r="AO39" s="76"/>
      <c r="AP39" s="77"/>
      <c r="AQ39" s="76"/>
      <c r="AR39" s="76"/>
      <c r="AS39" s="76"/>
      <c r="AT39" s="76"/>
      <c r="AU39" s="76"/>
      <c r="AV39" s="77"/>
      <c r="AW39" s="76"/>
      <c r="AX39" s="77"/>
      <c r="AY39" s="76"/>
      <c r="AZ39" s="76"/>
      <c r="BA39" s="76"/>
      <c r="BB39" s="76"/>
      <c r="BC39" s="76"/>
      <c r="BD39" s="77"/>
      <c r="BE39" s="76"/>
      <c r="BF39" s="77"/>
      <c r="BG39" s="76"/>
      <c r="BH39" s="76"/>
      <c r="BI39" s="76"/>
      <c r="BJ39" s="76"/>
      <c r="BK39" s="76"/>
      <c r="BL39" s="77"/>
      <c r="BM39" s="76"/>
      <c r="BN39" s="77"/>
      <c r="BO39" s="76"/>
      <c r="BP39" s="76"/>
      <c r="BQ39" s="76"/>
      <c r="BR39" s="76"/>
      <c r="BS39" s="76"/>
      <c r="BT39" s="77"/>
      <c r="BU39" s="76"/>
      <c r="BV39" s="77"/>
      <c r="BW39" s="76"/>
      <c r="BX39" s="76"/>
      <c r="BY39" s="76"/>
      <c r="BZ39" s="76"/>
      <c r="CA39" s="76"/>
      <c r="CB39" s="77"/>
      <c r="CC39" s="76"/>
      <c r="CD39" s="77"/>
      <c r="CE39" s="76"/>
      <c r="CF39" s="76"/>
      <c r="CG39" s="76"/>
      <c r="CH39" s="76"/>
      <c r="CI39" s="76"/>
      <c r="CJ39" s="77"/>
      <c r="CK39" s="76"/>
      <c r="CL39" s="77"/>
      <c r="CM39" s="76"/>
      <c r="CN39" s="76"/>
      <c r="CO39" s="76"/>
      <c r="CP39" s="76"/>
      <c r="CQ39" s="76"/>
      <c r="CR39" s="78" t="str">
        <f t="shared" si="15"/>
        <v/>
      </c>
      <c r="CS39" s="79" t="str">
        <f t="shared" si="16"/>
        <v/>
      </c>
      <c r="CT39" s="79" t="str">
        <f t="shared" si="17"/>
        <v/>
      </c>
      <c r="CU39" s="79" t="str">
        <f t="shared" si="18"/>
        <v/>
      </c>
      <c r="CV39" s="79" t="str">
        <f t="shared" si="19"/>
        <v/>
      </c>
      <c r="CW39" s="79" t="str">
        <f t="shared" si="20"/>
        <v/>
      </c>
      <c r="CX39" s="79" t="str">
        <f t="shared" si="21"/>
        <v/>
      </c>
      <c r="CY39" s="79" t="str">
        <f t="shared" si="22"/>
        <v/>
      </c>
      <c r="CZ39" s="79" t="str">
        <f t="shared" si="23"/>
        <v/>
      </c>
      <c r="DA39" s="79" t="str">
        <f t="shared" si="24"/>
        <v/>
      </c>
      <c r="DB39" s="79" t="str">
        <f t="shared" si="25"/>
        <v/>
      </c>
      <c r="DC39" s="79" t="str">
        <f t="shared" si="26"/>
        <v/>
      </c>
      <c r="DD39" s="79" t="str">
        <f t="shared" si="27"/>
        <v/>
      </c>
      <c r="DE39" s="79" t="str">
        <f t="shared" si="28"/>
        <v/>
      </c>
      <c r="DF39" s="79" t="str">
        <f t="shared" si="29"/>
        <v/>
      </c>
      <c r="DG39" s="79" t="str">
        <f t="shared" si="30"/>
        <v/>
      </c>
      <c r="DH39" s="76"/>
      <c r="DI39" s="78"/>
      <c r="DJ39" s="76"/>
      <c r="DK39" s="77"/>
      <c r="DL39" s="77"/>
      <c r="DM39" s="77"/>
      <c r="DN39" s="80"/>
      <c r="DO39" s="80"/>
      <c r="DP39" s="92" t="str">
        <f>IF(Table1[Start Date]="","",IF(Table1[Start Date]&gt;42185,"",IF(AND(Table1[Leaving Date]&gt;1,Table1[Leaving Date]&lt;42095),"",1)))</f>
        <v/>
      </c>
      <c r="DQ39" s="92" t="str">
        <f>IF(Table1[Start Date]="","",IF(Table1[Start Date]&gt;42277,"",IF(AND(Table1[Leaving Date]&gt;1,Table1[Leaving Date]&lt;42186),"",1)))</f>
        <v/>
      </c>
      <c r="DR39" s="92" t="str">
        <f>IF(Table1[Start Date]="","",IF(Table1[Start Date]&gt;42369,"",IF(AND(Table1[Leaving Date]&gt;1,Table1[Leaving Date]&lt;42278),"",1)))</f>
        <v/>
      </c>
      <c r="DS39" s="92" t="str">
        <f>IF(Table1[Start Date]="","",IF(Table1[Start Date]&gt;42460,"",IF(AND(Table1[Leaving Date]&gt;1,Table1[Leaving Date]&lt;42370),"",1)))</f>
        <v/>
      </c>
      <c r="DT39" s="92" t="str">
        <f>IF(Table1[Start Date]="","",IF(Table1[Start Date]&gt;42551,"",IF(AND(Table1[Leaving Date]&gt;1,Table1[Leaving Date]&lt;42461),"",1)))</f>
        <v/>
      </c>
      <c r="DU39" s="92" t="str">
        <f>IF(Table1[Start Date]="","",IF(Table1[Start Date]&gt;42643,"",IF(AND(Table1[Leaving Date]&gt;1,Table1[Leaving Date]&lt;42552),"",1)))</f>
        <v/>
      </c>
      <c r="DV39" s="92" t="str">
        <f>IF(Table1[Start Date]="","",IF(Table1[Start Date]&gt;42735,"",IF(AND(Table1[Leaving Date]&gt;1,Table1[Leaving Date]&lt;42644),"",1)))</f>
        <v/>
      </c>
      <c r="DW39" s="92" t="str">
        <f>IF(Table1[Start Date]="","",IF(Table1[Start Date]&gt;42825,"",IF(AND(Table1[Leaving Date]&gt;1,Table1[Leaving Date]&lt;42736),"",1)))</f>
        <v/>
      </c>
      <c r="DX39"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39" s="44" t="e">
        <f>VLOOKUP(Table1[Referral Source],Lists!$G$2:$H$20,2,FALSE)</f>
        <v>#N/A</v>
      </c>
      <c r="DZ39" s="93" t="e">
        <f>SUM(Table1[Data Referral Quarter]+Table1[Data Referral Source])</f>
        <v>#N/A</v>
      </c>
      <c r="EA39" s="44" t="b">
        <f>IF(Table1[Referral Decision]="Accepted",100,IF(Table1[Referral Decision]="Rejected by Provider",200,IF(Table1[Referral Decision]="Rejected by Applicant",300)))</f>
        <v>0</v>
      </c>
      <c r="EB39" s="44">
        <f>SUM(Table1[Data Referral Quarter]+Table1[Data Referral Decision])</f>
        <v>0</v>
      </c>
      <c r="EC39" s="44" t="b">
        <f>IF(Table1[Start Date]&gt;42735,8000,IF(Table1[Start Date]&gt;42643,7000,IF(Table1[Start Date]&gt;42551,6000,IF(Table1[Start Date]&gt;42460,5000,IF(Table1[Start Date]&gt;42369,4000,IF(Table1[Start Date]&gt;42277,3000,IF(Table1[Start Date]&gt;42185,2000,IF(Table1[Start Date]&gt;42094,1000))))))))</f>
        <v>0</v>
      </c>
      <c r="ED39" s="44" t="str">
        <f>IF(Table1[Start Date]="","",IF(Table1[Current Local Authority]="Swindon",1,"2"))</f>
        <v/>
      </c>
      <c r="EE39" s="44" t="e">
        <f>SUM(Table1[Data Start Date]+Table1[Data Local Authority])</f>
        <v>#VALUE!</v>
      </c>
      <c r="EF39" s="44">
        <f>IF(Table1[Registered with GP]="Yes",1,0)</f>
        <v>0</v>
      </c>
      <c r="EG39" s="44">
        <f>SUM(Table1[Data Start Date]+Table1[Data GP Start])</f>
        <v>0</v>
      </c>
      <c r="EH39" s="44" t="str">
        <f>IF(Table1[EET]="NEET",1,IF(Table1[EET]="Education",2,IF(Table1[EET]="Employment",2,IF(Table1[EET]="Training",2,IF(Table1[EET]="Retired",3,"")))))</f>
        <v/>
      </c>
      <c r="EI39" s="44" t="e">
        <f>Table1[Data Start Date]+Table1[Data EET Start]</f>
        <v>#VALUE!</v>
      </c>
      <c r="EJ39" s="44" t="b">
        <f>IF(Table1[Leaving Date]&gt;42735,8000,IF(Table1[Leaving Date]&gt;42643,7000,IF(Table1[Leaving Date]&gt;42551,6000,IF(Table1[Leaving Date]&gt;42460,5000,IF(Table1[Leaving Date]&gt;42369,4000,IF(Table1[Leaving Date]&gt;42277,3000,IF(Table1[Leaving Date]&gt;42185,2000,IF(Table1[Leaving Date]&gt;42094,1000))))))))</f>
        <v>0</v>
      </c>
      <c r="EK39" s="44" t="e">
        <f>VLOOKUP(Table1[Reason for Leaving],Lists!$T$2:$U$15,2,FALSE)</f>
        <v>#N/A</v>
      </c>
      <c r="EL39" s="44" t="e">
        <f>SUM(Table1[Data Leavers Date]+Table1[Data Move On])</f>
        <v>#N/A</v>
      </c>
      <c r="EM39" s="44" t="b">
        <f>IF(Table1[Registered with GP2]="Yes",1,IF(Table1[Registered with GP2]="No",0,IF(Table1[Registered with GP]="Yes",1,IF(Table1[Registered with GP]="No",0))))</f>
        <v>0</v>
      </c>
      <c r="EN39" s="44">
        <f>SUM(Table1[Data Leavers Date]+Table1[Data GP End])</f>
        <v>0</v>
      </c>
      <c r="EO39" s="44" t="str">
        <f>IF(Table1[EET2]="NEET",1,IF(Table1[EET2]="Employment",2,IF(Table1[EET2]="Education",2,IF(Table1[EET2]="Training",2,IF(Table1[EET2]="Retired",3,IF(Table1[EET]="NEET",1,IF(Table1[EET]="Employment",2,IF(Table1[EET]="Education",2,IF(Table1[EET]="Training",2,IF(Table1[EET]="Retired",3,""))))))))))</f>
        <v/>
      </c>
      <c r="EP39" s="44" t="e">
        <f>+Table1[[#This Row],[Data Leavers Date]]+Table1[[#This Row],[Data EET End]]</f>
        <v>#VALUE!</v>
      </c>
      <c r="EQ39" s="44">
        <f>IF(Table1[Exit Form Received]="Yes",1,0)</f>
        <v>0</v>
      </c>
      <c r="ER39" s="44">
        <f>+Table1[[#This Row],[Data Leavers Date]]+Table1[[#This Row],[Data Exit Forms]]</f>
        <v>0</v>
      </c>
      <c r="ES39" s="44" t="str">
        <f>IF(Table1[Data Leavers Date]=1000,SUM(Table1[Leaving Date]-Table1[Start Date]),"")</f>
        <v/>
      </c>
      <c r="ET39" s="44" t="str">
        <f>IF(Table1[Data Leavers Date]=2000,SUM(Table1[Leaving Date]-Table1[Start Date]),"")</f>
        <v/>
      </c>
      <c r="EU39" s="44" t="str">
        <f>IF(Table1[Data Leavers Date]=3000,SUM(Table1[Leaving Date]-Table1[Start Date]),"")</f>
        <v/>
      </c>
      <c r="EV39" s="44" t="str">
        <f>IF(Table1[Data Leavers Date]=4000,SUM(Table1[Leaving Date]-Table1[Start Date]),"")</f>
        <v/>
      </c>
      <c r="EW39" s="44" t="str">
        <f>IF(Table1[Data Leavers Date]=5000,SUM(Table1[Leaving Date]-Table1[Start Date]),"")</f>
        <v/>
      </c>
      <c r="EX39" s="44" t="str">
        <f>IF(Table1[Data Leavers Date]=6000,SUM(Table1[Leaving Date]-Table1[Start Date]),"")</f>
        <v/>
      </c>
      <c r="EY39" s="44" t="str">
        <f>IF(Table1[Data Leavers Date]=7000,SUM(Table1[Leaving Date]-Table1[Start Date]),"")</f>
        <v/>
      </c>
      <c r="EZ39" s="44" t="str">
        <f>IF(Table1[Data Leavers Date]=8000,SUM(Table1[Leaving Date]-Table1[Start Date]),"")</f>
        <v/>
      </c>
      <c r="FA39" s="44" t="str">
        <f>IF(Table1[Date of Initial Assessment]="","",IF(AND(Table1[Start Date]&gt;42094,Table1[Start Date]&lt;42461),Table1[Motivation and Taking Responsibility],""))</f>
        <v/>
      </c>
      <c r="FB39" s="44" t="str">
        <f>IF(Table1[Date of Initial Assessment]="","",IF(AND(Table1[Start Date]&gt;42094,Table1[Start Date]&lt;42461),Table1[Self-Care and Living Skills],""))</f>
        <v/>
      </c>
      <c r="FC39" s="44" t="str">
        <f>IF(Table1[Date of Initial Assessment]="","",IF(AND(Table1[Start Date]&gt;42094,Table1[Start Date]&lt;42461),Table1[Managing Money and Personal Administration],""))</f>
        <v/>
      </c>
      <c r="FD39" s="44" t="str">
        <f>IF(Table1[Date of Initial Assessment]="","",IF(AND(Table1[Start Date]&gt;42094,Table1[Start Date]&lt;42461),Table1[Social Networks and Relationships],""))</f>
        <v/>
      </c>
      <c r="FE39" s="44" t="str">
        <f>IF(Table1[Date of Initial Assessment]="","",IF(AND(Table1[Start Date]&gt;42094,Table1[Start Date]&lt;42461),Table1[Drug and Alcohol Misuse],""))</f>
        <v/>
      </c>
      <c r="FF39" s="44" t="str">
        <f>IF(Table1[Date of Initial Assessment]="","",IF(AND(Table1[Start Date]&gt;42094,Table1[Start Date]&lt;42461),Table1[Physical Health],""))</f>
        <v/>
      </c>
      <c r="FG39" s="44" t="str">
        <f>IF(Table1[Date of Initial Assessment]="","",IF(AND(Table1[Start Date]&gt;42094,Table1[Start Date]&lt;42461),Table1[Emotional and Mental Health],""))</f>
        <v/>
      </c>
      <c r="FH39" s="44" t="str">
        <f>IF(Table1[Date of Initial Assessment]="","",IF(AND(Table1[Start Date]&gt;42094,Table1[Start Date]&lt;42461),Table1[Meaningful Use of Time],""))</f>
        <v/>
      </c>
      <c r="FI39" s="44" t="str">
        <f>IF(Table1[Date of Initial Assessment]="","",IF(AND(Table1[Start Date]&gt;42094,Table1[Start Date]&lt;42461),Table1[Managing Tenancy and Accommodation],""))</f>
        <v/>
      </c>
      <c r="FJ39" s="44" t="str">
        <f>IF(Table1[Date of Initial Assessment]="","",IF(AND(Table1[Start Date]&gt;42094,Table1[Start Date]&lt;42461),Table1[Offending],""))</f>
        <v/>
      </c>
      <c r="FK39" s="44" t="str">
        <f>IF(Table1[Leaving Date]="","",IF(Table1[Date of Initial Assessment]="","",IF(AND(Table1[Leaving Date]&gt;42094,Table1[Leaving Date]&lt;42461),IF(Table1[Date of Last Assessment]="",Table1[Motivation and Taking Responsibility],Table1[Motivation and Taking Responsibility2]),"")))</f>
        <v/>
      </c>
      <c r="FL39" s="44" t="str">
        <f>IF(Table1[Leaving Date]="","",IF(Table1[Date of Initial Assessment]="","",IF(AND(Table1[Leaving Date]&gt;42094,Table1[Leaving Date]&lt;42461),IF(Table1[Date of Last Assessment]="",Table1[Self-Care and Living Skills],Table1[Self-Care and Living Skills2]),"")))</f>
        <v/>
      </c>
      <c r="FM39" s="44" t="str">
        <f>IF(Table1[Leaving Date]="","",IF(Table1[Date of Initial Assessment]="","",IF(AND(Table1[Leaving Date]&gt;42094,Table1[Leaving Date]&lt;42461),IF(Table1[Date of Last Assessment]="",Table1[Managing Money and Personal Administration],Table1[Managing Money and Personal Administration2]),"")))</f>
        <v/>
      </c>
      <c r="FN39" s="44" t="str">
        <f>IF(Table1[Leaving Date]="","",IF(Table1[Date of Initial Assessment]="","",IF(AND(Table1[Leaving Date]&gt;42094,Table1[Leaving Date]&lt;42461),IF(Table1[Date of Last Assessment]="",Table1[Social Networks and Relationships],Table1[Social Networks and Relationships2]),"")))</f>
        <v/>
      </c>
      <c r="FO39" s="44" t="str">
        <f>IF(Table1[Leaving Date]="","",IF(Table1[Date of Initial Assessment]="","",IF(AND(Table1[Leaving Date]&gt;42094,Table1[Leaving Date]&lt;42461),IF(Table1[Date of Last Assessment]="",Table1[Drug and Alcohol Misuse],Table1[Drug and Alcohol Misuse2]),"")))</f>
        <v/>
      </c>
      <c r="FP39" s="44" t="str">
        <f>IF(Table1[Leaving Date]="","",IF(Table1[Date of Initial Assessment]="","",IF(AND(Table1[Leaving Date]&gt;42094,Table1[Leaving Date]&lt;42461),IF(Table1[Date of Last Assessment]="",Table1[Physical Health],Table1[Physical Health2]),"")))</f>
        <v/>
      </c>
      <c r="FQ39" s="44" t="str">
        <f>IF(Table1[Leaving Date]="","",IF(Table1[Date of Initial Assessment]="","",IF(AND(Table1[Leaving Date]&gt;42094,Table1[Leaving Date]&lt;42461),IF(Table1[Date of Last Assessment]="",Table1[Emotional and Mental Health],Table1[Emotional and Mental Health2]),"")))</f>
        <v/>
      </c>
      <c r="FR39" s="44" t="str">
        <f>IF(Table1[Leaving Date]="","",IF(Table1[Date of Initial Assessment]="","",IF(AND(Table1[Leaving Date]&gt;42094,Table1[Leaving Date]&lt;42461),IF(Table1[Date of Last Assessment]="",Table1[Meaningful Use of Time],Table1[Meaningful Use of Time2]),"")))</f>
        <v/>
      </c>
      <c r="FS39" s="44" t="str">
        <f>IF(Table1[Leaving Date]="","",IF(Table1[Date of Initial Assessment]="","",IF(AND(Table1[Leaving Date]&gt;42094,Table1[Leaving Date]&lt;42461),IF(Table1[Date of Last Assessment]="",Table1[Managing Tenancy and Accommodation],Table1[Managing Tenancy and Accommodation2]),"")))</f>
        <v/>
      </c>
      <c r="FT39" s="44" t="str">
        <f>IF(Table1[Leaving Date]="","",IF(Table1[Date of Initial Assessment]="","",IF(AND(Table1[Leaving Date]&gt;42094,Table1[Leaving Date]&lt;42461),IF(Table1[Date of Last Assessment]="",Table1[Offending],Table1[Offending2]),"")))</f>
        <v/>
      </c>
      <c r="FU39" s="44" t="str">
        <f>IF(Table1[Date of Initial Assessment]="","",IF(AND(Table1[Start Date]&gt;42460,Table1[Start Date]&lt;42826),Table1[Motivation and Taking Responsibility],""))</f>
        <v/>
      </c>
      <c r="FV39" s="44" t="str">
        <f>IF(Table1[Date of Initial Assessment]="","",IF(AND(Table1[Start Date]&gt;42460,Table1[Start Date]&lt;42826),Table1[Self-Care and Living Skills],""))</f>
        <v/>
      </c>
      <c r="FW39" s="44" t="str">
        <f>IF(Table1[Date of Initial Assessment]="","",IF(AND(Table1[Start Date]&gt;42460,Table1[Start Date]&lt;42826),Table1[Managing Money and Personal Administration],""))</f>
        <v/>
      </c>
      <c r="FX39" s="44" t="str">
        <f>IF(Table1[Date of Initial Assessment]="","",IF(AND(Table1[Start Date]&gt;42460,Table1[Start Date]&lt;42826),Table1[Social Networks and Relationships],""))</f>
        <v/>
      </c>
      <c r="FY39" s="44" t="str">
        <f>IF(Table1[Date of Initial Assessment]="","",IF(AND(Table1[Start Date]&gt;42460,Table1[Start Date]&lt;42826),Table1[Drug and Alcohol Misuse],""))</f>
        <v/>
      </c>
      <c r="FZ39" s="44" t="str">
        <f>IF(Table1[Date of Initial Assessment]="","",IF(AND(Table1[Start Date]&gt;42460,Table1[Start Date]&lt;42826),Table1[Physical Health],""))</f>
        <v/>
      </c>
      <c r="GA39" s="44" t="str">
        <f>IF(Table1[Date of Initial Assessment]="","",IF(AND(Table1[Start Date]&gt;42460,Table1[Start Date]&lt;42826),Table1[Emotional and Mental Health],""))</f>
        <v/>
      </c>
      <c r="GB39" s="44" t="str">
        <f>IF(Table1[Date of Initial Assessment]="","",IF(AND(Table1[Start Date]&gt;42460,Table1[Start Date]&lt;42826),Table1[Meaningful Use of Time],""))</f>
        <v/>
      </c>
      <c r="GC39" s="44" t="str">
        <f>IF(Table1[Date of Initial Assessment]="","",IF(AND(Table1[Start Date]&gt;42460,Table1[Start Date]&lt;42826),Table1[Managing Tenancy and Accommodation],""))</f>
        <v/>
      </c>
      <c r="GD39" s="44" t="str">
        <f>IF(Table1[Date of Initial Assessment]="","",IF(AND(Table1[Start Date]&gt;42460,Table1[Start Date]&lt;42826),Table1[Offending],""))</f>
        <v/>
      </c>
      <c r="GE39" s="44" t="str">
        <f>IF(Table1[Leaving Date]="","",IF(AND(Table1[Leaving Date]&gt;42460,Table1[Leaving Date]&lt;42826),IF(Table1[Date of Last Assessment]="",Table1[Motivation and Taking Responsibility],Table1[Motivation and Taking Responsibility2]),""))</f>
        <v/>
      </c>
      <c r="GF39" s="44" t="str">
        <f>IF(Table1[Leaving Date]="","",IF(AND(Table1[Leaving Date]&gt;42460,Table1[Leaving Date]&lt;42826),IF(Table1[Date of Last Assessment]="",Table1[Self-Care and Living Skills],Table1[Self-Care and Living Skills2]),""))</f>
        <v/>
      </c>
      <c r="GG39" s="44" t="str">
        <f>IF(Table1[Leaving Date]="","",IF(AND(Table1[Leaving Date]&gt;42460,Table1[Leaving Date]&lt;42826),IF(Table1[Date of Last Assessment]="",Table1[Managing Money and Personal Administration],Table1[Managing Money and Personal Administration2]),""))</f>
        <v/>
      </c>
      <c r="GH39" s="44" t="str">
        <f>IF(Table1[Leaving Date]="","",IF(AND(Table1[Leaving Date]&gt;42460,Table1[Leaving Date]&lt;42826),IF(Table1[Date of Last Assessment]="",Table1[Social Networks and Relationships],Table1[Social Networks and Relationships2]),""))</f>
        <v/>
      </c>
      <c r="GI39" s="44" t="str">
        <f>IF(Table1[Leaving Date]="","",IF(AND(Table1[Leaving Date]&gt;42460,Table1[Leaving Date]&lt;42826),IF(Table1[Date of Last Assessment]="",Table1[Drug and Alcohol Misuse],Table1[Drug and Alcohol Misuse2]),""))</f>
        <v/>
      </c>
      <c r="GJ39" s="44" t="str">
        <f>IF(Table1[Leaving Date]="","",IF(AND(Table1[Leaving Date]&gt;42460,Table1[Leaving Date]&lt;42826),IF(Table1[Date of Last Assessment]="",Table1[Physical Health],Table1[Physical Health2]),""))</f>
        <v/>
      </c>
      <c r="GK39" s="44" t="str">
        <f>IF(Table1[Leaving Date]="","",IF(AND(Table1[Leaving Date]&gt;42460,Table1[Leaving Date]&lt;42826),IF(Table1[Date of Last Assessment]="",Table1[Emotional and Mental Health],Table1[Emotional and Mental Health2]),""))</f>
        <v/>
      </c>
      <c r="GL39" s="44" t="str">
        <f>IF(Table1[Leaving Date]="","",IF(AND(Table1[Leaving Date]&gt;42460,Table1[Leaving Date]&lt;42826),IF(Table1[Date of Last Assessment]="",Table1[Meaningful Use of Time],Table1[Meaningful Use of Time2]),""))</f>
        <v/>
      </c>
      <c r="GM39" s="44" t="str">
        <f>IF(Table1[Leaving Date]="","",IF(AND(Table1[Leaving Date]&gt;42460,Table1[Leaving Date]&lt;42826),IF(Table1[Date of Last Assessment]="",Table1[Managing Tenancy and Accommodation],Table1[Managing Tenancy and Accommodation2]),""))</f>
        <v/>
      </c>
      <c r="GN39" s="44" t="str">
        <f>IF(Table1[Leaving Date]="","",IF(AND(Table1[Leaving Date]&gt;42460,Table1[Leaving Date]&lt;42826),IF(Table1[Date of Last Assessment]="",Table1[Offending],Table1[Offending2]),""))</f>
        <v/>
      </c>
    </row>
    <row r="40" spans="2:196" ht="20.100000000000001" customHeight="1" x14ac:dyDescent="0.2">
      <c r="B40" s="86">
        <f>+'Service Data'!$C$5:$C$5</f>
        <v>0</v>
      </c>
      <c r="C40" s="86"/>
      <c r="D40" s="86"/>
      <c r="E40" s="86"/>
      <c r="F40" s="86"/>
      <c r="G40" s="86"/>
      <c r="H40" s="6"/>
      <c r="I40" s="99" t="str">
        <f ca="1">IF(Table1[[#This Row],[Date of Birth]]="","",SUM(TODAY()-Table1[[#This Row],[Date of Birth]])/365)</f>
        <v/>
      </c>
      <c r="L40" s="86"/>
      <c r="M40" s="77"/>
      <c r="N40" s="86"/>
      <c r="O40" s="86"/>
      <c r="P40" s="91"/>
      <c r="Q40" s="86"/>
      <c r="R40" s="77"/>
      <c r="S40" s="77"/>
      <c r="T40" s="68"/>
      <c r="U40" s="68"/>
      <c r="V40" s="67"/>
      <c r="W40" s="67"/>
      <c r="X40" s="67"/>
      <c r="Y40" s="67"/>
      <c r="Z40" s="67"/>
      <c r="AA40" s="67"/>
      <c r="AB40" s="67"/>
      <c r="AC40" s="67"/>
      <c r="AD40" s="67"/>
      <c r="AE40" s="67"/>
      <c r="AF40" s="67"/>
      <c r="AG40" s="67"/>
      <c r="AH40" s="67"/>
      <c r="AI40" s="67"/>
      <c r="AJ40" s="67"/>
      <c r="AK40" s="67"/>
      <c r="AL40" s="67"/>
      <c r="AM40" s="67"/>
      <c r="AN40" s="77"/>
      <c r="AO40" s="76"/>
      <c r="AP40" s="77"/>
      <c r="AQ40" s="76"/>
      <c r="AR40" s="76"/>
      <c r="AS40" s="76"/>
      <c r="AT40" s="76"/>
      <c r="AU40" s="76"/>
      <c r="AV40" s="77"/>
      <c r="AW40" s="76"/>
      <c r="AX40" s="77"/>
      <c r="AY40" s="76"/>
      <c r="AZ40" s="76"/>
      <c r="BA40" s="76"/>
      <c r="BB40" s="76"/>
      <c r="BC40" s="76"/>
      <c r="BD40" s="77"/>
      <c r="BE40" s="76"/>
      <c r="BF40" s="77"/>
      <c r="BG40" s="76"/>
      <c r="BH40" s="76"/>
      <c r="BI40" s="76"/>
      <c r="BJ40" s="76"/>
      <c r="BK40" s="76"/>
      <c r="BL40" s="77"/>
      <c r="BM40" s="76"/>
      <c r="BN40" s="77"/>
      <c r="BO40" s="76"/>
      <c r="BP40" s="76"/>
      <c r="BQ40" s="76"/>
      <c r="BR40" s="76"/>
      <c r="BS40" s="76"/>
      <c r="BT40" s="77"/>
      <c r="BU40" s="76"/>
      <c r="BV40" s="77"/>
      <c r="BW40" s="76"/>
      <c r="BX40" s="76"/>
      <c r="BY40" s="76"/>
      <c r="BZ40" s="76"/>
      <c r="CA40" s="76"/>
      <c r="CB40" s="77"/>
      <c r="CC40" s="76"/>
      <c r="CD40" s="77"/>
      <c r="CE40" s="76"/>
      <c r="CF40" s="76"/>
      <c r="CG40" s="76"/>
      <c r="CH40" s="76"/>
      <c r="CI40" s="76"/>
      <c r="CJ40" s="77"/>
      <c r="CK40" s="76"/>
      <c r="CL40" s="77"/>
      <c r="CM40" s="76"/>
      <c r="CN40" s="76"/>
      <c r="CO40" s="76"/>
      <c r="CP40" s="76"/>
      <c r="CQ40" s="76"/>
      <c r="CR40" s="78" t="str">
        <f t="shared" si="15"/>
        <v/>
      </c>
      <c r="CS40" s="79" t="str">
        <f t="shared" si="16"/>
        <v/>
      </c>
      <c r="CT40" s="79" t="str">
        <f t="shared" si="17"/>
        <v/>
      </c>
      <c r="CU40" s="79" t="str">
        <f t="shared" si="18"/>
        <v/>
      </c>
      <c r="CV40" s="79" t="str">
        <f t="shared" si="19"/>
        <v/>
      </c>
      <c r="CW40" s="79" t="str">
        <f t="shared" si="20"/>
        <v/>
      </c>
      <c r="CX40" s="79" t="str">
        <f t="shared" si="21"/>
        <v/>
      </c>
      <c r="CY40" s="79" t="str">
        <f t="shared" si="22"/>
        <v/>
      </c>
      <c r="CZ40" s="79" t="str">
        <f t="shared" si="23"/>
        <v/>
      </c>
      <c r="DA40" s="79" t="str">
        <f t="shared" si="24"/>
        <v/>
      </c>
      <c r="DB40" s="79" t="str">
        <f t="shared" si="25"/>
        <v/>
      </c>
      <c r="DC40" s="79" t="str">
        <f t="shared" si="26"/>
        <v/>
      </c>
      <c r="DD40" s="79" t="str">
        <f t="shared" si="27"/>
        <v/>
      </c>
      <c r="DE40" s="79" t="str">
        <f t="shared" si="28"/>
        <v/>
      </c>
      <c r="DF40" s="79" t="str">
        <f t="shared" si="29"/>
        <v/>
      </c>
      <c r="DG40" s="79" t="str">
        <f t="shared" si="30"/>
        <v/>
      </c>
      <c r="DH40" s="76"/>
      <c r="DI40" s="78"/>
      <c r="DJ40" s="76"/>
      <c r="DK40" s="77"/>
      <c r="DL40" s="77"/>
      <c r="DM40" s="77"/>
      <c r="DN40" s="80"/>
      <c r="DO40" s="80"/>
      <c r="DP40" s="92" t="str">
        <f>IF(Table1[Start Date]="","",IF(Table1[Start Date]&gt;42185,"",IF(AND(Table1[Leaving Date]&gt;1,Table1[Leaving Date]&lt;42095),"",1)))</f>
        <v/>
      </c>
      <c r="DQ40" s="92" t="str">
        <f>IF(Table1[Start Date]="","",IF(Table1[Start Date]&gt;42277,"",IF(AND(Table1[Leaving Date]&gt;1,Table1[Leaving Date]&lt;42186),"",1)))</f>
        <v/>
      </c>
      <c r="DR40" s="92" t="str">
        <f>IF(Table1[Start Date]="","",IF(Table1[Start Date]&gt;42369,"",IF(AND(Table1[Leaving Date]&gt;1,Table1[Leaving Date]&lt;42278),"",1)))</f>
        <v/>
      </c>
      <c r="DS40" s="92" t="str">
        <f>IF(Table1[Start Date]="","",IF(Table1[Start Date]&gt;42460,"",IF(AND(Table1[Leaving Date]&gt;1,Table1[Leaving Date]&lt;42370),"",1)))</f>
        <v/>
      </c>
      <c r="DT40" s="92" t="str">
        <f>IF(Table1[Start Date]="","",IF(Table1[Start Date]&gt;42551,"",IF(AND(Table1[Leaving Date]&gt;1,Table1[Leaving Date]&lt;42461),"",1)))</f>
        <v/>
      </c>
      <c r="DU40" s="92" t="str">
        <f>IF(Table1[Start Date]="","",IF(Table1[Start Date]&gt;42643,"",IF(AND(Table1[Leaving Date]&gt;1,Table1[Leaving Date]&lt;42552),"",1)))</f>
        <v/>
      </c>
      <c r="DV40" s="92" t="str">
        <f>IF(Table1[Start Date]="","",IF(Table1[Start Date]&gt;42735,"",IF(AND(Table1[Leaving Date]&gt;1,Table1[Leaving Date]&lt;42644),"",1)))</f>
        <v/>
      </c>
      <c r="DW40" s="92" t="str">
        <f>IF(Table1[Start Date]="","",IF(Table1[Start Date]&gt;42825,"",IF(AND(Table1[Leaving Date]&gt;1,Table1[Leaving Date]&lt;42736),"",1)))</f>
        <v/>
      </c>
      <c r="DX40"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40" s="44" t="e">
        <f>VLOOKUP(Table1[Referral Source],Lists!$G$2:$H$20,2,FALSE)</f>
        <v>#N/A</v>
      </c>
      <c r="DZ40" s="93" t="e">
        <f>SUM(Table1[Data Referral Quarter]+Table1[Data Referral Source])</f>
        <v>#N/A</v>
      </c>
      <c r="EA40" s="44" t="b">
        <f>IF(Table1[Referral Decision]="Accepted",100,IF(Table1[Referral Decision]="Rejected by Provider",200,IF(Table1[Referral Decision]="Rejected by Applicant",300)))</f>
        <v>0</v>
      </c>
      <c r="EB40" s="44">
        <f>SUM(Table1[Data Referral Quarter]+Table1[Data Referral Decision])</f>
        <v>0</v>
      </c>
      <c r="EC40" s="44" t="b">
        <f>IF(Table1[Start Date]&gt;42735,8000,IF(Table1[Start Date]&gt;42643,7000,IF(Table1[Start Date]&gt;42551,6000,IF(Table1[Start Date]&gt;42460,5000,IF(Table1[Start Date]&gt;42369,4000,IF(Table1[Start Date]&gt;42277,3000,IF(Table1[Start Date]&gt;42185,2000,IF(Table1[Start Date]&gt;42094,1000))))))))</f>
        <v>0</v>
      </c>
      <c r="ED40" s="44" t="str">
        <f>IF(Table1[Start Date]="","",IF(Table1[Current Local Authority]="Swindon",1,"2"))</f>
        <v/>
      </c>
      <c r="EE40" s="44" t="e">
        <f>SUM(Table1[Data Start Date]+Table1[Data Local Authority])</f>
        <v>#VALUE!</v>
      </c>
      <c r="EF40" s="44">
        <f>IF(Table1[Registered with GP]="Yes",1,0)</f>
        <v>0</v>
      </c>
      <c r="EG40" s="44">
        <f>SUM(Table1[Data Start Date]+Table1[Data GP Start])</f>
        <v>0</v>
      </c>
      <c r="EH40" s="44" t="str">
        <f>IF(Table1[EET]="NEET",1,IF(Table1[EET]="Education",2,IF(Table1[EET]="Employment",2,IF(Table1[EET]="Training",2,IF(Table1[EET]="Retired",3,"")))))</f>
        <v/>
      </c>
      <c r="EI40" s="44" t="e">
        <f>Table1[Data Start Date]+Table1[Data EET Start]</f>
        <v>#VALUE!</v>
      </c>
      <c r="EJ40" s="44" t="b">
        <f>IF(Table1[Leaving Date]&gt;42735,8000,IF(Table1[Leaving Date]&gt;42643,7000,IF(Table1[Leaving Date]&gt;42551,6000,IF(Table1[Leaving Date]&gt;42460,5000,IF(Table1[Leaving Date]&gt;42369,4000,IF(Table1[Leaving Date]&gt;42277,3000,IF(Table1[Leaving Date]&gt;42185,2000,IF(Table1[Leaving Date]&gt;42094,1000))))))))</f>
        <v>0</v>
      </c>
      <c r="EK40" s="44" t="e">
        <f>VLOOKUP(Table1[Reason for Leaving],Lists!$T$2:$U$15,2,FALSE)</f>
        <v>#N/A</v>
      </c>
      <c r="EL40" s="44" t="e">
        <f>SUM(Table1[Data Leavers Date]+Table1[Data Move On])</f>
        <v>#N/A</v>
      </c>
      <c r="EM40" s="44" t="b">
        <f>IF(Table1[Registered with GP2]="Yes",1,IF(Table1[Registered with GP2]="No",0,IF(Table1[Registered with GP]="Yes",1,IF(Table1[Registered with GP]="No",0))))</f>
        <v>0</v>
      </c>
      <c r="EN40" s="44">
        <f>SUM(Table1[Data Leavers Date]+Table1[Data GP End])</f>
        <v>0</v>
      </c>
      <c r="EO40" s="44" t="str">
        <f>IF(Table1[EET2]="NEET",1,IF(Table1[EET2]="Employment",2,IF(Table1[EET2]="Education",2,IF(Table1[EET2]="Training",2,IF(Table1[EET2]="Retired",3,IF(Table1[EET]="NEET",1,IF(Table1[EET]="Employment",2,IF(Table1[EET]="Education",2,IF(Table1[EET]="Training",2,IF(Table1[EET]="Retired",3,""))))))))))</f>
        <v/>
      </c>
      <c r="EP40" s="44" t="e">
        <f>+Table1[[#This Row],[Data Leavers Date]]+Table1[[#This Row],[Data EET End]]</f>
        <v>#VALUE!</v>
      </c>
      <c r="EQ40" s="44">
        <f>IF(Table1[Exit Form Received]="Yes",1,0)</f>
        <v>0</v>
      </c>
      <c r="ER40" s="44">
        <f>+Table1[[#This Row],[Data Leavers Date]]+Table1[[#This Row],[Data Exit Forms]]</f>
        <v>0</v>
      </c>
      <c r="ES40" s="44" t="str">
        <f>IF(Table1[Data Leavers Date]=1000,SUM(Table1[Leaving Date]-Table1[Start Date]),"")</f>
        <v/>
      </c>
      <c r="ET40" s="44" t="str">
        <f>IF(Table1[Data Leavers Date]=2000,SUM(Table1[Leaving Date]-Table1[Start Date]),"")</f>
        <v/>
      </c>
      <c r="EU40" s="44" t="str">
        <f>IF(Table1[Data Leavers Date]=3000,SUM(Table1[Leaving Date]-Table1[Start Date]),"")</f>
        <v/>
      </c>
      <c r="EV40" s="44" t="str">
        <f>IF(Table1[Data Leavers Date]=4000,SUM(Table1[Leaving Date]-Table1[Start Date]),"")</f>
        <v/>
      </c>
      <c r="EW40" s="44" t="str">
        <f>IF(Table1[Data Leavers Date]=5000,SUM(Table1[Leaving Date]-Table1[Start Date]),"")</f>
        <v/>
      </c>
      <c r="EX40" s="44" t="str">
        <f>IF(Table1[Data Leavers Date]=6000,SUM(Table1[Leaving Date]-Table1[Start Date]),"")</f>
        <v/>
      </c>
      <c r="EY40" s="44" t="str">
        <f>IF(Table1[Data Leavers Date]=7000,SUM(Table1[Leaving Date]-Table1[Start Date]),"")</f>
        <v/>
      </c>
      <c r="EZ40" s="44" t="str">
        <f>IF(Table1[Data Leavers Date]=8000,SUM(Table1[Leaving Date]-Table1[Start Date]),"")</f>
        <v/>
      </c>
      <c r="FA40" s="44" t="str">
        <f>IF(Table1[Date of Initial Assessment]="","",IF(AND(Table1[Start Date]&gt;42094,Table1[Start Date]&lt;42461),Table1[Motivation and Taking Responsibility],""))</f>
        <v/>
      </c>
      <c r="FB40" s="44" t="str">
        <f>IF(Table1[Date of Initial Assessment]="","",IF(AND(Table1[Start Date]&gt;42094,Table1[Start Date]&lt;42461),Table1[Self-Care and Living Skills],""))</f>
        <v/>
      </c>
      <c r="FC40" s="44" t="str">
        <f>IF(Table1[Date of Initial Assessment]="","",IF(AND(Table1[Start Date]&gt;42094,Table1[Start Date]&lt;42461),Table1[Managing Money and Personal Administration],""))</f>
        <v/>
      </c>
      <c r="FD40" s="44" t="str">
        <f>IF(Table1[Date of Initial Assessment]="","",IF(AND(Table1[Start Date]&gt;42094,Table1[Start Date]&lt;42461),Table1[Social Networks and Relationships],""))</f>
        <v/>
      </c>
      <c r="FE40" s="44" t="str">
        <f>IF(Table1[Date of Initial Assessment]="","",IF(AND(Table1[Start Date]&gt;42094,Table1[Start Date]&lt;42461),Table1[Drug and Alcohol Misuse],""))</f>
        <v/>
      </c>
      <c r="FF40" s="44" t="str">
        <f>IF(Table1[Date of Initial Assessment]="","",IF(AND(Table1[Start Date]&gt;42094,Table1[Start Date]&lt;42461),Table1[Physical Health],""))</f>
        <v/>
      </c>
      <c r="FG40" s="44" t="str">
        <f>IF(Table1[Date of Initial Assessment]="","",IF(AND(Table1[Start Date]&gt;42094,Table1[Start Date]&lt;42461),Table1[Emotional and Mental Health],""))</f>
        <v/>
      </c>
      <c r="FH40" s="44" t="str">
        <f>IF(Table1[Date of Initial Assessment]="","",IF(AND(Table1[Start Date]&gt;42094,Table1[Start Date]&lt;42461),Table1[Meaningful Use of Time],""))</f>
        <v/>
      </c>
      <c r="FI40" s="44" t="str">
        <f>IF(Table1[Date of Initial Assessment]="","",IF(AND(Table1[Start Date]&gt;42094,Table1[Start Date]&lt;42461),Table1[Managing Tenancy and Accommodation],""))</f>
        <v/>
      </c>
      <c r="FJ40" s="44" t="str">
        <f>IF(Table1[Date of Initial Assessment]="","",IF(AND(Table1[Start Date]&gt;42094,Table1[Start Date]&lt;42461),Table1[Offending],""))</f>
        <v/>
      </c>
      <c r="FK40" s="44" t="str">
        <f>IF(Table1[Leaving Date]="","",IF(Table1[Date of Initial Assessment]="","",IF(AND(Table1[Leaving Date]&gt;42094,Table1[Leaving Date]&lt;42461),IF(Table1[Date of Last Assessment]="",Table1[Motivation and Taking Responsibility],Table1[Motivation and Taking Responsibility2]),"")))</f>
        <v/>
      </c>
      <c r="FL40" s="44" t="str">
        <f>IF(Table1[Leaving Date]="","",IF(Table1[Date of Initial Assessment]="","",IF(AND(Table1[Leaving Date]&gt;42094,Table1[Leaving Date]&lt;42461),IF(Table1[Date of Last Assessment]="",Table1[Self-Care and Living Skills],Table1[Self-Care and Living Skills2]),"")))</f>
        <v/>
      </c>
      <c r="FM40" s="44" t="str">
        <f>IF(Table1[Leaving Date]="","",IF(Table1[Date of Initial Assessment]="","",IF(AND(Table1[Leaving Date]&gt;42094,Table1[Leaving Date]&lt;42461),IF(Table1[Date of Last Assessment]="",Table1[Managing Money and Personal Administration],Table1[Managing Money and Personal Administration2]),"")))</f>
        <v/>
      </c>
      <c r="FN40" s="44" t="str">
        <f>IF(Table1[Leaving Date]="","",IF(Table1[Date of Initial Assessment]="","",IF(AND(Table1[Leaving Date]&gt;42094,Table1[Leaving Date]&lt;42461),IF(Table1[Date of Last Assessment]="",Table1[Social Networks and Relationships],Table1[Social Networks and Relationships2]),"")))</f>
        <v/>
      </c>
      <c r="FO40" s="44" t="str">
        <f>IF(Table1[Leaving Date]="","",IF(Table1[Date of Initial Assessment]="","",IF(AND(Table1[Leaving Date]&gt;42094,Table1[Leaving Date]&lt;42461),IF(Table1[Date of Last Assessment]="",Table1[Drug and Alcohol Misuse],Table1[Drug and Alcohol Misuse2]),"")))</f>
        <v/>
      </c>
      <c r="FP40" s="44" t="str">
        <f>IF(Table1[Leaving Date]="","",IF(Table1[Date of Initial Assessment]="","",IF(AND(Table1[Leaving Date]&gt;42094,Table1[Leaving Date]&lt;42461),IF(Table1[Date of Last Assessment]="",Table1[Physical Health],Table1[Physical Health2]),"")))</f>
        <v/>
      </c>
      <c r="FQ40" s="44" t="str">
        <f>IF(Table1[Leaving Date]="","",IF(Table1[Date of Initial Assessment]="","",IF(AND(Table1[Leaving Date]&gt;42094,Table1[Leaving Date]&lt;42461),IF(Table1[Date of Last Assessment]="",Table1[Emotional and Mental Health],Table1[Emotional and Mental Health2]),"")))</f>
        <v/>
      </c>
      <c r="FR40" s="44" t="str">
        <f>IF(Table1[Leaving Date]="","",IF(Table1[Date of Initial Assessment]="","",IF(AND(Table1[Leaving Date]&gt;42094,Table1[Leaving Date]&lt;42461),IF(Table1[Date of Last Assessment]="",Table1[Meaningful Use of Time],Table1[Meaningful Use of Time2]),"")))</f>
        <v/>
      </c>
      <c r="FS40" s="44" t="str">
        <f>IF(Table1[Leaving Date]="","",IF(Table1[Date of Initial Assessment]="","",IF(AND(Table1[Leaving Date]&gt;42094,Table1[Leaving Date]&lt;42461),IF(Table1[Date of Last Assessment]="",Table1[Managing Tenancy and Accommodation],Table1[Managing Tenancy and Accommodation2]),"")))</f>
        <v/>
      </c>
      <c r="FT40" s="44" t="str">
        <f>IF(Table1[Leaving Date]="","",IF(Table1[Date of Initial Assessment]="","",IF(AND(Table1[Leaving Date]&gt;42094,Table1[Leaving Date]&lt;42461),IF(Table1[Date of Last Assessment]="",Table1[Offending],Table1[Offending2]),"")))</f>
        <v/>
      </c>
      <c r="FU40" s="44" t="str">
        <f>IF(Table1[Date of Initial Assessment]="","",IF(AND(Table1[Start Date]&gt;42460,Table1[Start Date]&lt;42826),Table1[Motivation and Taking Responsibility],""))</f>
        <v/>
      </c>
      <c r="FV40" s="44" t="str">
        <f>IF(Table1[Date of Initial Assessment]="","",IF(AND(Table1[Start Date]&gt;42460,Table1[Start Date]&lt;42826),Table1[Self-Care and Living Skills],""))</f>
        <v/>
      </c>
      <c r="FW40" s="44" t="str">
        <f>IF(Table1[Date of Initial Assessment]="","",IF(AND(Table1[Start Date]&gt;42460,Table1[Start Date]&lt;42826),Table1[Managing Money and Personal Administration],""))</f>
        <v/>
      </c>
      <c r="FX40" s="44" t="str">
        <f>IF(Table1[Date of Initial Assessment]="","",IF(AND(Table1[Start Date]&gt;42460,Table1[Start Date]&lt;42826),Table1[Social Networks and Relationships],""))</f>
        <v/>
      </c>
      <c r="FY40" s="44" t="str">
        <f>IF(Table1[Date of Initial Assessment]="","",IF(AND(Table1[Start Date]&gt;42460,Table1[Start Date]&lt;42826),Table1[Drug and Alcohol Misuse],""))</f>
        <v/>
      </c>
      <c r="FZ40" s="44" t="str">
        <f>IF(Table1[Date of Initial Assessment]="","",IF(AND(Table1[Start Date]&gt;42460,Table1[Start Date]&lt;42826),Table1[Physical Health],""))</f>
        <v/>
      </c>
      <c r="GA40" s="44" t="str">
        <f>IF(Table1[Date of Initial Assessment]="","",IF(AND(Table1[Start Date]&gt;42460,Table1[Start Date]&lt;42826),Table1[Emotional and Mental Health],""))</f>
        <v/>
      </c>
      <c r="GB40" s="44" t="str">
        <f>IF(Table1[Date of Initial Assessment]="","",IF(AND(Table1[Start Date]&gt;42460,Table1[Start Date]&lt;42826),Table1[Meaningful Use of Time],""))</f>
        <v/>
      </c>
      <c r="GC40" s="44" t="str">
        <f>IF(Table1[Date of Initial Assessment]="","",IF(AND(Table1[Start Date]&gt;42460,Table1[Start Date]&lt;42826),Table1[Managing Tenancy and Accommodation],""))</f>
        <v/>
      </c>
      <c r="GD40" s="44" t="str">
        <f>IF(Table1[Date of Initial Assessment]="","",IF(AND(Table1[Start Date]&gt;42460,Table1[Start Date]&lt;42826),Table1[Offending],""))</f>
        <v/>
      </c>
      <c r="GE40" s="44" t="str">
        <f>IF(Table1[Leaving Date]="","",IF(AND(Table1[Leaving Date]&gt;42460,Table1[Leaving Date]&lt;42826),IF(Table1[Date of Last Assessment]="",Table1[Motivation and Taking Responsibility],Table1[Motivation and Taking Responsibility2]),""))</f>
        <v/>
      </c>
      <c r="GF40" s="44" t="str">
        <f>IF(Table1[Leaving Date]="","",IF(AND(Table1[Leaving Date]&gt;42460,Table1[Leaving Date]&lt;42826),IF(Table1[Date of Last Assessment]="",Table1[Self-Care and Living Skills],Table1[Self-Care and Living Skills2]),""))</f>
        <v/>
      </c>
      <c r="GG40" s="44" t="str">
        <f>IF(Table1[Leaving Date]="","",IF(AND(Table1[Leaving Date]&gt;42460,Table1[Leaving Date]&lt;42826),IF(Table1[Date of Last Assessment]="",Table1[Managing Money and Personal Administration],Table1[Managing Money and Personal Administration2]),""))</f>
        <v/>
      </c>
      <c r="GH40" s="44" t="str">
        <f>IF(Table1[Leaving Date]="","",IF(AND(Table1[Leaving Date]&gt;42460,Table1[Leaving Date]&lt;42826),IF(Table1[Date of Last Assessment]="",Table1[Social Networks and Relationships],Table1[Social Networks and Relationships2]),""))</f>
        <v/>
      </c>
      <c r="GI40" s="44" t="str">
        <f>IF(Table1[Leaving Date]="","",IF(AND(Table1[Leaving Date]&gt;42460,Table1[Leaving Date]&lt;42826),IF(Table1[Date of Last Assessment]="",Table1[Drug and Alcohol Misuse],Table1[Drug and Alcohol Misuse2]),""))</f>
        <v/>
      </c>
      <c r="GJ40" s="44" t="str">
        <f>IF(Table1[Leaving Date]="","",IF(AND(Table1[Leaving Date]&gt;42460,Table1[Leaving Date]&lt;42826),IF(Table1[Date of Last Assessment]="",Table1[Physical Health],Table1[Physical Health2]),""))</f>
        <v/>
      </c>
      <c r="GK40" s="44" t="str">
        <f>IF(Table1[Leaving Date]="","",IF(AND(Table1[Leaving Date]&gt;42460,Table1[Leaving Date]&lt;42826),IF(Table1[Date of Last Assessment]="",Table1[Emotional and Mental Health],Table1[Emotional and Mental Health2]),""))</f>
        <v/>
      </c>
      <c r="GL40" s="44" t="str">
        <f>IF(Table1[Leaving Date]="","",IF(AND(Table1[Leaving Date]&gt;42460,Table1[Leaving Date]&lt;42826),IF(Table1[Date of Last Assessment]="",Table1[Meaningful Use of Time],Table1[Meaningful Use of Time2]),""))</f>
        <v/>
      </c>
      <c r="GM40" s="44" t="str">
        <f>IF(Table1[Leaving Date]="","",IF(AND(Table1[Leaving Date]&gt;42460,Table1[Leaving Date]&lt;42826),IF(Table1[Date of Last Assessment]="",Table1[Managing Tenancy and Accommodation],Table1[Managing Tenancy and Accommodation2]),""))</f>
        <v/>
      </c>
      <c r="GN40" s="44" t="str">
        <f>IF(Table1[Leaving Date]="","",IF(AND(Table1[Leaving Date]&gt;42460,Table1[Leaving Date]&lt;42826),IF(Table1[Date of Last Assessment]="",Table1[Offending],Table1[Offending2]),""))</f>
        <v/>
      </c>
    </row>
    <row r="41" spans="2:196" ht="20.100000000000001" customHeight="1" x14ac:dyDescent="0.2">
      <c r="B41" s="86">
        <f>+'Service Data'!$C$5:$C$5</f>
        <v>0</v>
      </c>
      <c r="C41" s="86"/>
      <c r="D41" s="86"/>
      <c r="E41" s="86"/>
      <c r="F41" s="86"/>
      <c r="G41" s="86"/>
      <c r="H41" s="6"/>
      <c r="I41" s="99" t="str">
        <f ca="1">IF(Table1[[#This Row],[Date of Birth]]="","",SUM(TODAY()-Table1[[#This Row],[Date of Birth]])/365)</f>
        <v/>
      </c>
      <c r="L41" s="86"/>
      <c r="M41" s="77"/>
      <c r="N41" s="86"/>
      <c r="O41" s="86"/>
      <c r="P41" s="91"/>
      <c r="Q41" s="86"/>
      <c r="R41" s="77"/>
      <c r="S41" s="77"/>
      <c r="T41" s="68"/>
      <c r="U41" s="68"/>
      <c r="V41" s="67"/>
      <c r="W41" s="67"/>
      <c r="X41" s="67"/>
      <c r="Y41" s="67"/>
      <c r="Z41" s="67"/>
      <c r="AA41" s="67"/>
      <c r="AB41" s="67"/>
      <c r="AC41" s="67"/>
      <c r="AD41" s="67"/>
      <c r="AE41" s="67"/>
      <c r="AF41" s="67"/>
      <c r="AG41" s="67"/>
      <c r="AH41" s="67"/>
      <c r="AI41" s="67"/>
      <c r="AJ41" s="67"/>
      <c r="AK41" s="67"/>
      <c r="AL41" s="67"/>
      <c r="AM41" s="67"/>
      <c r="AN41" s="77"/>
      <c r="AO41" s="76"/>
      <c r="AP41" s="77"/>
      <c r="AQ41" s="76"/>
      <c r="AR41" s="76"/>
      <c r="AS41" s="76"/>
      <c r="AT41" s="76"/>
      <c r="AU41" s="76"/>
      <c r="AV41" s="77"/>
      <c r="AW41" s="76"/>
      <c r="AX41" s="77"/>
      <c r="AY41" s="76"/>
      <c r="AZ41" s="76"/>
      <c r="BA41" s="76"/>
      <c r="BB41" s="76"/>
      <c r="BC41" s="76"/>
      <c r="BD41" s="77"/>
      <c r="BE41" s="76"/>
      <c r="BF41" s="77"/>
      <c r="BG41" s="76"/>
      <c r="BH41" s="76"/>
      <c r="BI41" s="76"/>
      <c r="BJ41" s="76"/>
      <c r="BK41" s="76"/>
      <c r="BL41" s="77"/>
      <c r="BM41" s="76"/>
      <c r="BN41" s="77"/>
      <c r="BO41" s="76"/>
      <c r="BP41" s="76"/>
      <c r="BQ41" s="76"/>
      <c r="BR41" s="76"/>
      <c r="BS41" s="76"/>
      <c r="BT41" s="77"/>
      <c r="BU41" s="76"/>
      <c r="BV41" s="77"/>
      <c r="BW41" s="76"/>
      <c r="BX41" s="76"/>
      <c r="BY41" s="76"/>
      <c r="BZ41" s="76"/>
      <c r="CA41" s="76"/>
      <c r="CB41" s="77"/>
      <c r="CC41" s="76"/>
      <c r="CD41" s="77"/>
      <c r="CE41" s="76"/>
      <c r="CF41" s="76"/>
      <c r="CG41" s="76"/>
      <c r="CH41" s="76"/>
      <c r="CI41" s="76"/>
      <c r="CJ41" s="77"/>
      <c r="CK41" s="76"/>
      <c r="CL41" s="77"/>
      <c r="CM41" s="76"/>
      <c r="CN41" s="76"/>
      <c r="CO41" s="76"/>
      <c r="CP41" s="76"/>
      <c r="CQ41" s="76"/>
      <c r="CR41" s="78" t="str">
        <f t="shared" si="15"/>
        <v/>
      </c>
      <c r="CS41" s="79" t="str">
        <f t="shared" si="16"/>
        <v/>
      </c>
      <c r="CT41" s="79" t="str">
        <f t="shared" si="17"/>
        <v/>
      </c>
      <c r="CU41" s="79" t="str">
        <f t="shared" si="18"/>
        <v/>
      </c>
      <c r="CV41" s="79" t="str">
        <f t="shared" si="19"/>
        <v/>
      </c>
      <c r="CW41" s="79" t="str">
        <f t="shared" si="20"/>
        <v/>
      </c>
      <c r="CX41" s="79" t="str">
        <f t="shared" si="21"/>
        <v/>
      </c>
      <c r="CY41" s="79" t="str">
        <f t="shared" si="22"/>
        <v/>
      </c>
      <c r="CZ41" s="79" t="str">
        <f t="shared" si="23"/>
        <v/>
      </c>
      <c r="DA41" s="79" t="str">
        <f t="shared" si="24"/>
        <v/>
      </c>
      <c r="DB41" s="79" t="str">
        <f t="shared" si="25"/>
        <v/>
      </c>
      <c r="DC41" s="79" t="str">
        <f t="shared" si="26"/>
        <v/>
      </c>
      <c r="DD41" s="79" t="str">
        <f t="shared" si="27"/>
        <v/>
      </c>
      <c r="DE41" s="79" t="str">
        <f t="shared" si="28"/>
        <v/>
      </c>
      <c r="DF41" s="79" t="str">
        <f t="shared" si="29"/>
        <v/>
      </c>
      <c r="DG41" s="79" t="str">
        <f t="shared" si="30"/>
        <v/>
      </c>
      <c r="DH41" s="76"/>
      <c r="DI41" s="78"/>
      <c r="DJ41" s="76"/>
      <c r="DK41" s="77"/>
      <c r="DL41" s="77"/>
      <c r="DM41" s="77"/>
      <c r="DN41" s="80"/>
      <c r="DO41" s="80"/>
      <c r="DP41" s="92" t="str">
        <f>IF(Table1[Start Date]="","",IF(Table1[Start Date]&gt;42185,"",IF(AND(Table1[Leaving Date]&gt;1,Table1[Leaving Date]&lt;42095),"",1)))</f>
        <v/>
      </c>
      <c r="DQ41" s="92" t="str">
        <f>IF(Table1[Start Date]="","",IF(Table1[Start Date]&gt;42277,"",IF(AND(Table1[Leaving Date]&gt;1,Table1[Leaving Date]&lt;42186),"",1)))</f>
        <v/>
      </c>
      <c r="DR41" s="92" t="str">
        <f>IF(Table1[Start Date]="","",IF(Table1[Start Date]&gt;42369,"",IF(AND(Table1[Leaving Date]&gt;1,Table1[Leaving Date]&lt;42278),"",1)))</f>
        <v/>
      </c>
      <c r="DS41" s="92" t="str">
        <f>IF(Table1[Start Date]="","",IF(Table1[Start Date]&gt;42460,"",IF(AND(Table1[Leaving Date]&gt;1,Table1[Leaving Date]&lt;42370),"",1)))</f>
        <v/>
      </c>
      <c r="DT41" s="92" t="str">
        <f>IF(Table1[Start Date]="","",IF(Table1[Start Date]&gt;42551,"",IF(AND(Table1[Leaving Date]&gt;1,Table1[Leaving Date]&lt;42461),"",1)))</f>
        <v/>
      </c>
      <c r="DU41" s="92" t="str">
        <f>IF(Table1[Start Date]="","",IF(Table1[Start Date]&gt;42643,"",IF(AND(Table1[Leaving Date]&gt;1,Table1[Leaving Date]&lt;42552),"",1)))</f>
        <v/>
      </c>
      <c r="DV41" s="92" t="str">
        <f>IF(Table1[Start Date]="","",IF(Table1[Start Date]&gt;42735,"",IF(AND(Table1[Leaving Date]&gt;1,Table1[Leaving Date]&lt;42644),"",1)))</f>
        <v/>
      </c>
      <c r="DW41" s="92" t="str">
        <f>IF(Table1[Start Date]="","",IF(Table1[Start Date]&gt;42825,"",IF(AND(Table1[Leaving Date]&gt;1,Table1[Leaving Date]&lt;42736),"",1)))</f>
        <v/>
      </c>
      <c r="DX41"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41" s="44" t="e">
        <f>VLOOKUP(Table1[Referral Source],Lists!$G$2:$H$20,2,FALSE)</f>
        <v>#N/A</v>
      </c>
      <c r="DZ41" s="93" t="e">
        <f>SUM(Table1[Data Referral Quarter]+Table1[Data Referral Source])</f>
        <v>#N/A</v>
      </c>
      <c r="EA41" s="44" t="b">
        <f>IF(Table1[Referral Decision]="Accepted",100,IF(Table1[Referral Decision]="Rejected by Provider",200,IF(Table1[Referral Decision]="Rejected by Applicant",300)))</f>
        <v>0</v>
      </c>
      <c r="EB41" s="44">
        <f>SUM(Table1[Data Referral Quarter]+Table1[Data Referral Decision])</f>
        <v>0</v>
      </c>
      <c r="EC41" s="44" t="b">
        <f>IF(Table1[Start Date]&gt;42735,8000,IF(Table1[Start Date]&gt;42643,7000,IF(Table1[Start Date]&gt;42551,6000,IF(Table1[Start Date]&gt;42460,5000,IF(Table1[Start Date]&gt;42369,4000,IF(Table1[Start Date]&gt;42277,3000,IF(Table1[Start Date]&gt;42185,2000,IF(Table1[Start Date]&gt;42094,1000))))))))</f>
        <v>0</v>
      </c>
      <c r="ED41" s="44" t="str">
        <f>IF(Table1[Start Date]="","",IF(Table1[Current Local Authority]="Swindon",1,"2"))</f>
        <v/>
      </c>
      <c r="EE41" s="44" t="e">
        <f>SUM(Table1[Data Start Date]+Table1[Data Local Authority])</f>
        <v>#VALUE!</v>
      </c>
      <c r="EF41" s="44">
        <f>IF(Table1[Registered with GP]="Yes",1,0)</f>
        <v>0</v>
      </c>
      <c r="EG41" s="44">
        <f>SUM(Table1[Data Start Date]+Table1[Data GP Start])</f>
        <v>0</v>
      </c>
      <c r="EH41" s="44" t="str">
        <f>IF(Table1[EET]="NEET",1,IF(Table1[EET]="Education",2,IF(Table1[EET]="Employment",2,IF(Table1[EET]="Training",2,IF(Table1[EET]="Retired",3,"")))))</f>
        <v/>
      </c>
      <c r="EI41" s="44" t="e">
        <f>Table1[Data Start Date]+Table1[Data EET Start]</f>
        <v>#VALUE!</v>
      </c>
      <c r="EJ41" s="44" t="b">
        <f>IF(Table1[Leaving Date]&gt;42735,8000,IF(Table1[Leaving Date]&gt;42643,7000,IF(Table1[Leaving Date]&gt;42551,6000,IF(Table1[Leaving Date]&gt;42460,5000,IF(Table1[Leaving Date]&gt;42369,4000,IF(Table1[Leaving Date]&gt;42277,3000,IF(Table1[Leaving Date]&gt;42185,2000,IF(Table1[Leaving Date]&gt;42094,1000))))))))</f>
        <v>0</v>
      </c>
      <c r="EK41" s="44" t="e">
        <f>VLOOKUP(Table1[Reason for Leaving],Lists!$T$2:$U$15,2,FALSE)</f>
        <v>#N/A</v>
      </c>
      <c r="EL41" s="44" t="e">
        <f>SUM(Table1[Data Leavers Date]+Table1[Data Move On])</f>
        <v>#N/A</v>
      </c>
      <c r="EM41" s="44" t="b">
        <f>IF(Table1[Registered with GP2]="Yes",1,IF(Table1[Registered with GP2]="No",0,IF(Table1[Registered with GP]="Yes",1,IF(Table1[Registered with GP]="No",0))))</f>
        <v>0</v>
      </c>
      <c r="EN41" s="44">
        <f>SUM(Table1[Data Leavers Date]+Table1[Data GP End])</f>
        <v>0</v>
      </c>
      <c r="EO41" s="44" t="str">
        <f>IF(Table1[EET2]="NEET",1,IF(Table1[EET2]="Employment",2,IF(Table1[EET2]="Education",2,IF(Table1[EET2]="Training",2,IF(Table1[EET2]="Retired",3,IF(Table1[EET]="NEET",1,IF(Table1[EET]="Employment",2,IF(Table1[EET]="Education",2,IF(Table1[EET]="Training",2,IF(Table1[EET]="Retired",3,""))))))))))</f>
        <v/>
      </c>
      <c r="EP41" s="44" t="e">
        <f>+Table1[[#This Row],[Data Leavers Date]]+Table1[[#This Row],[Data EET End]]</f>
        <v>#VALUE!</v>
      </c>
      <c r="EQ41" s="44">
        <f>IF(Table1[Exit Form Received]="Yes",1,0)</f>
        <v>0</v>
      </c>
      <c r="ER41" s="44">
        <f>+Table1[[#This Row],[Data Leavers Date]]+Table1[[#This Row],[Data Exit Forms]]</f>
        <v>0</v>
      </c>
      <c r="ES41" s="44" t="str">
        <f>IF(Table1[Data Leavers Date]=1000,SUM(Table1[Leaving Date]-Table1[Start Date]),"")</f>
        <v/>
      </c>
      <c r="ET41" s="44" t="str">
        <f>IF(Table1[Data Leavers Date]=2000,SUM(Table1[Leaving Date]-Table1[Start Date]),"")</f>
        <v/>
      </c>
      <c r="EU41" s="44" t="str">
        <f>IF(Table1[Data Leavers Date]=3000,SUM(Table1[Leaving Date]-Table1[Start Date]),"")</f>
        <v/>
      </c>
      <c r="EV41" s="44" t="str">
        <f>IF(Table1[Data Leavers Date]=4000,SUM(Table1[Leaving Date]-Table1[Start Date]),"")</f>
        <v/>
      </c>
      <c r="EW41" s="44" t="str">
        <f>IF(Table1[Data Leavers Date]=5000,SUM(Table1[Leaving Date]-Table1[Start Date]),"")</f>
        <v/>
      </c>
      <c r="EX41" s="44" t="str">
        <f>IF(Table1[Data Leavers Date]=6000,SUM(Table1[Leaving Date]-Table1[Start Date]),"")</f>
        <v/>
      </c>
      <c r="EY41" s="44" t="str">
        <f>IF(Table1[Data Leavers Date]=7000,SUM(Table1[Leaving Date]-Table1[Start Date]),"")</f>
        <v/>
      </c>
      <c r="EZ41" s="44" t="str">
        <f>IF(Table1[Data Leavers Date]=8000,SUM(Table1[Leaving Date]-Table1[Start Date]),"")</f>
        <v/>
      </c>
      <c r="FA41" s="44" t="str">
        <f>IF(Table1[Date of Initial Assessment]="","",IF(AND(Table1[Start Date]&gt;42094,Table1[Start Date]&lt;42461),Table1[Motivation and Taking Responsibility],""))</f>
        <v/>
      </c>
      <c r="FB41" s="44" t="str">
        <f>IF(Table1[Date of Initial Assessment]="","",IF(AND(Table1[Start Date]&gt;42094,Table1[Start Date]&lt;42461),Table1[Self-Care and Living Skills],""))</f>
        <v/>
      </c>
      <c r="FC41" s="44" t="str">
        <f>IF(Table1[Date of Initial Assessment]="","",IF(AND(Table1[Start Date]&gt;42094,Table1[Start Date]&lt;42461),Table1[Managing Money and Personal Administration],""))</f>
        <v/>
      </c>
      <c r="FD41" s="44" t="str">
        <f>IF(Table1[Date of Initial Assessment]="","",IF(AND(Table1[Start Date]&gt;42094,Table1[Start Date]&lt;42461),Table1[Social Networks and Relationships],""))</f>
        <v/>
      </c>
      <c r="FE41" s="44" t="str">
        <f>IF(Table1[Date of Initial Assessment]="","",IF(AND(Table1[Start Date]&gt;42094,Table1[Start Date]&lt;42461),Table1[Drug and Alcohol Misuse],""))</f>
        <v/>
      </c>
      <c r="FF41" s="44" t="str">
        <f>IF(Table1[Date of Initial Assessment]="","",IF(AND(Table1[Start Date]&gt;42094,Table1[Start Date]&lt;42461),Table1[Physical Health],""))</f>
        <v/>
      </c>
      <c r="FG41" s="44" t="str">
        <f>IF(Table1[Date of Initial Assessment]="","",IF(AND(Table1[Start Date]&gt;42094,Table1[Start Date]&lt;42461),Table1[Emotional and Mental Health],""))</f>
        <v/>
      </c>
      <c r="FH41" s="44" t="str">
        <f>IF(Table1[Date of Initial Assessment]="","",IF(AND(Table1[Start Date]&gt;42094,Table1[Start Date]&lt;42461),Table1[Meaningful Use of Time],""))</f>
        <v/>
      </c>
      <c r="FI41" s="44" t="str">
        <f>IF(Table1[Date of Initial Assessment]="","",IF(AND(Table1[Start Date]&gt;42094,Table1[Start Date]&lt;42461),Table1[Managing Tenancy and Accommodation],""))</f>
        <v/>
      </c>
      <c r="FJ41" s="44" t="str">
        <f>IF(Table1[Date of Initial Assessment]="","",IF(AND(Table1[Start Date]&gt;42094,Table1[Start Date]&lt;42461),Table1[Offending],""))</f>
        <v/>
      </c>
      <c r="FK41" s="44" t="str">
        <f>IF(Table1[Leaving Date]="","",IF(Table1[Date of Initial Assessment]="","",IF(AND(Table1[Leaving Date]&gt;42094,Table1[Leaving Date]&lt;42461),IF(Table1[Date of Last Assessment]="",Table1[Motivation and Taking Responsibility],Table1[Motivation and Taking Responsibility2]),"")))</f>
        <v/>
      </c>
      <c r="FL41" s="44" t="str">
        <f>IF(Table1[Leaving Date]="","",IF(Table1[Date of Initial Assessment]="","",IF(AND(Table1[Leaving Date]&gt;42094,Table1[Leaving Date]&lt;42461),IF(Table1[Date of Last Assessment]="",Table1[Self-Care and Living Skills],Table1[Self-Care and Living Skills2]),"")))</f>
        <v/>
      </c>
      <c r="FM41" s="44" t="str">
        <f>IF(Table1[Leaving Date]="","",IF(Table1[Date of Initial Assessment]="","",IF(AND(Table1[Leaving Date]&gt;42094,Table1[Leaving Date]&lt;42461),IF(Table1[Date of Last Assessment]="",Table1[Managing Money and Personal Administration],Table1[Managing Money and Personal Administration2]),"")))</f>
        <v/>
      </c>
      <c r="FN41" s="44" t="str">
        <f>IF(Table1[Leaving Date]="","",IF(Table1[Date of Initial Assessment]="","",IF(AND(Table1[Leaving Date]&gt;42094,Table1[Leaving Date]&lt;42461),IF(Table1[Date of Last Assessment]="",Table1[Social Networks and Relationships],Table1[Social Networks and Relationships2]),"")))</f>
        <v/>
      </c>
      <c r="FO41" s="44" t="str">
        <f>IF(Table1[Leaving Date]="","",IF(Table1[Date of Initial Assessment]="","",IF(AND(Table1[Leaving Date]&gt;42094,Table1[Leaving Date]&lt;42461),IF(Table1[Date of Last Assessment]="",Table1[Drug and Alcohol Misuse],Table1[Drug and Alcohol Misuse2]),"")))</f>
        <v/>
      </c>
      <c r="FP41" s="44" t="str">
        <f>IF(Table1[Leaving Date]="","",IF(Table1[Date of Initial Assessment]="","",IF(AND(Table1[Leaving Date]&gt;42094,Table1[Leaving Date]&lt;42461),IF(Table1[Date of Last Assessment]="",Table1[Physical Health],Table1[Physical Health2]),"")))</f>
        <v/>
      </c>
      <c r="FQ41" s="44" t="str">
        <f>IF(Table1[Leaving Date]="","",IF(Table1[Date of Initial Assessment]="","",IF(AND(Table1[Leaving Date]&gt;42094,Table1[Leaving Date]&lt;42461),IF(Table1[Date of Last Assessment]="",Table1[Emotional and Mental Health],Table1[Emotional and Mental Health2]),"")))</f>
        <v/>
      </c>
      <c r="FR41" s="44" t="str">
        <f>IF(Table1[Leaving Date]="","",IF(Table1[Date of Initial Assessment]="","",IF(AND(Table1[Leaving Date]&gt;42094,Table1[Leaving Date]&lt;42461),IF(Table1[Date of Last Assessment]="",Table1[Meaningful Use of Time],Table1[Meaningful Use of Time2]),"")))</f>
        <v/>
      </c>
      <c r="FS41" s="44" t="str">
        <f>IF(Table1[Leaving Date]="","",IF(Table1[Date of Initial Assessment]="","",IF(AND(Table1[Leaving Date]&gt;42094,Table1[Leaving Date]&lt;42461),IF(Table1[Date of Last Assessment]="",Table1[Managing Tenancy and Accommodation],Table1[Managing Tenancy and Accommodation2]),"")))</f>
        <v/>
      </c>
      <c r="FT41" s="44" t="str">
        <f>IF(Table1[Leaving Date]="","",IF(Table1[Date of Initial Assessment]="","",IF(AND(Table1[Leaving Date]&gt;42094,Table1[Leaving Date]&lt;42461),IF(Table1[Date of Last Assessment]="",Table1[Offending],Table1[Offending2]),"")))</f>
        <v/>
      </c>
      <c r="FU41" s="44" t="str">
        <f>IF(Table1[Date of Initial Assessment]="","",IF(AND(Table1[Start Date]&gt;42460,Table1[Start Date]&lt;42826),Table1[Motivation and Taking Responsibility],""))</f>
        <v/>
      </c>
      <c r="FV41" s="44" t="str">
        <f>IF(Table1[Date of Initial Assessment]="","",IF(AND(Table1[Start Date]&gt;42460,Table1[Start Date]&lt;42826),Table1[Self-Care and Living Skills],""))</f>
        <v/>
      </c>
      <c r="FW41" s="44" t="str">
        <f>IF(Table1[Date of Initial Assessment]="","",IF(AND(Table1[Start Date]&gt;42460,Table1[Start Date]&lt;42826),Table1[Managing Money and Personal Administration],""))</f>
        <v/>
      </c>
      <c r="FX41" s="44" t="str">
        <f>IF(Table1[Date of Initial Assessment]="","",IF(AND(Table1[Start Date]&gt;42460,Table1[Start Date]&lt;42826),Table1[Social Networks and Relationships],""))</f>
        <v/>
      </c>
      <c r="FY41" s="44" t="str">
        <f>IF(Table1[Date of Initial Assessment]="","",IF(AND(Table1[Start Date]&gt;42460,Table1[Start Date]&lt;42826),Table1[Drug and Alcohol Misuse],""))</f>
        <v/>
      </c>
      <c r="FZ41" s="44" t="str">
        <f>IF(Table1[Date of Initial Assessment]="","",IF(AND(Table1[Start Date]&gt;42460,Table1[Start Date]&lt;42826),Table1[Physical Health],""))</f>
        <v/>
      </c>
      <c r="GA41" s="44" t="str">
        <f>IF(Table1[Date of Initial Assessment]="","",IF(AND(Table1[Start Date]&gt;42460,Table1[Start Date]&lt;42826),Table1[Emotional and Mental Health],""))</f>
        <v/>
      </c>
      <c r="GB41" s="44" t="str">
        <f>IF(Table1[Date of Initial Assessment]="","",IF(AND(Table1[Start Date]&gt;42460,Table1[Start Date]&lt;42826),Table1[Meaningful Use of Time],""))</f>
        <v/>
      </c>
      <c r="GC41" s="44" t="str">
        <f>IF(Table1[Date of Initial Assessment]="","",IF(AND(Table1[Start Date]&gt;42460,Table1[Start Date]&lt;42826),Table1[Managing Tenancy and Accommodation],""))</f>
        <v/>
      </c>
      <c r="GD41" s="44" t="str">
        <f>IF(Table1[Date of Initial Assessment]="","",IF(AND(Table1[Start Date]&gt;42460,Table1[Start Date]&lt;42826),Table1[Offending],""))</f>
        <v/>
      </c>
      <c r="GE41" s="44" t="str">
        <f>IF(Table1[Leaving Date]="","",IF(AND(Table1[Leaving Date]&gt;42460,Table1[Leaving Date]&lt;42826),IF(Table1[Date of Last Assessment]="",Table1[Motivation and Taking Responsibility],Table1[Motivation and Taking Responsibility2]),""))</f>
        <v/>
      </c>
      <c r="GF41" s="44" t="str">
        <f>IF(Table1[Leaving Date]="","",IF(AND(Table1[Leaving Date]&gt;42460,Table1[Leaving Date]&lt;42826),IF(Table1[Date of Last Assessment]="",Table1[Self-Care and Living Skills],Table1[Self-Care and Living Skills2]),""))</f>
        <v/>
      </c>
      <c r="GG41" s="44" t="str">
        <f>IF(Table1[Leaving Date]="","",IF(AND(Table1[Leaving Date]&gt;42460,Table1[Leaving Date]&lt;42826),IF(Table1[Date of Last Assessment]="",Table1[Managing Money and Personal Administration],Table1[Managing Money and Personal Administration2]),""))</f>
        <v/>
      </c>
      <c r="GH41" s="44" t="str">
        <f>IF(Table1[Leaving Date]="","",IF(AND(Table1[Leaving Date]&gt;42460,Table1[Leaving Date]&lt;42826),IF(Table1[Date of Last Assessment]="",Table1[Social Networks and Relationships],Table1[Social Networks and Relationships2]),""))</f>
        <v/>
      </c>
      <c r="GI41" s="44" t="str">
        <f>IF(Table1[Leaving Date]="","",IF(AND(Table1[Leaving Date]&gt;42460,Table1[Leaving Date]&lt;42826),IF(Table1[Date of Last Assessment]="",Table1[Drug and Alcohol Misuse],Table1[Drug and Alcohol Misuse2]),""))</f>
        <v/>
      </c>
      <c r="GJ41" s="44" t="str">
        <f>IF(Table1[Leaving Date]="","",IF(AND(Table1[Leaving Date]&gt;42460,Table1[Leaving Date]&lt;42826),IF(Table1[Date of Last Assessment]="",Table1[Physical Health],Table1[Physical Health2]),""))</f>
        <v/>
      </c>
      <c r="GK41" s="44" t="str">
        <f>IF(Table1[Leaving Date]="","",IF(AND(Table1[Leaving Date]&gt;42460,Table1[Leaving Date]&lt;42826),IF(Table1[Date of Last Assessment]="",Table1[Emotional and Mental Health],Table1[Emotional and Mental Health2]),""))</f>
        <v/>
      </c>
      <c r="GL41" s="44" t="str">
        <f>IF(Table1[Leaving Date]="","",IF(AND(Table1[Leaving Date]&gt;42460,Table1[Leaving Date]&lt;42826),IF(Table1[Date of Last Assessment]="",Table1[Meaningful Use of Time],Table1[Meaningful Use of Time2]),""))</f>
        <v/>
      </c>
      <c r="GM41" s="44" t="str">
        <f>IF(Table1[Leaving Date]="","",IF(AND(Table1[Leaving Date]&gt;42460,Table1[Leaving Date]&lt;42826),IF(Table1[Date of Last Assessment]="",Table1[Managing Tenancy and Accommodation],Table1[Managing Tenancy and Accommodation2]),""))</f>
        <v/>
      </c>
      <c r="GN41" s="44" t="str">
        <f>IF(Table1[Leaving Date]="","",IF(AND(Table1[Leaving Date]&gt;42460,Table1[Leaving Date]&lt;42826),IF(Table1[Date of Last Assessment]="",Table1[Offending],Table1[Offending2]),""))</f>
        <v/>
      </c>
    </row>
    <row r="42" spans="2:196" ht="20.100000000000001" customHeight="1" x14ac:dyDescent="0.2">
      <c r="B42" s="86">
        <f>+'Service Data'!$C$5:$C$5</f>
        <v>0</v>
      </c>
      <c r="C42" s="86"/>
      <c r="D42" s="86"/>
      <c r="E42" s="86"/>
      <c r="F42" s="86"/>
      <c r="G42" s="86"/>
      <c r="H42" s="6"/>
      <c r="I42" s="99" t="str">
        <f ca="1">IF(Table1[[#This Row],[Date of Birth]]="","",SUM(TODAY()-Table1[[#This Row],[Date of Birth]])/365)</f>
        <v/>
      </c>
      <c r="L42" s="86"/>
      <c r="M42" s="77"/>
      <c r="N42" s="86"/>
      <c r="O42" s="86"/>
      <c r="P42" s="91"/>
      <c r="Q42" s="86"/>
      <c r="R42" s="77"/>
      <c r="S42" s="77"/>
      <c r="T42" s="68"/>
      <c r="U42" s="68"/>
      <c r="V42" s="67"/>
      <c r="W42" s="67"/>
      <c r="X42" s="67"/>
      <c r="Y42" s="67"/>
      <c r="Z42" s="67"/>
      <c r="AA42" s="67"/>
      <c r="AB42" s="67"/>
      <c r="AC42" s="67"/>
      <c r="AD42" s="67"/>
      <c r="AE42" s="67"/>
      <c r="AF42" s="67"/>
      <c r="AG42" s="67"/>
      <c r="AH42" s="67"/>
      <c r="AI42" s="67"/>
      <c r="AJ42" s="67"/>
      <c r="AK42" s="67"/>
      <c r="AL42" s="67"/>
      <c r="AM42" s="67"/>
      <c r="AN42" s="77"/>
      <c r="AO42" s="76"/>
      <c r="AP42" s="77"/>
      <c r="AQ42" s="76"/>
      <c r="AR42" s="76"/>
      <c r="AS42" s="76"/>
      <c r="AT42" s="76"/>
      <c r="AU42" s="76"/>
      <c r="AV42" s="77"/>
      <c r="AW42" s="76"/>
      <c r="AX42" s="77"/>
      <c r="AY42" s="76"/>
      <c r="AZ42" s="76"/>
      <c r="BA42" s="76"/>
      <c r="BB42" s="76"/>
      <c r="BC42" s="76"/>
      <c r="BD42" s="77"/>
      <c r="BE42" s="76"/>
      <c r="BF42" s="77"/>
      <c r="BG42" s="76"/>
      <c r="BH42" s="76"/>
      <c r="BI42" s="76"/>
      <c r="BJ42" s="76"/>
      <c r="BK42" s="76"/>
      <c r="BL42" s="77"/>
      <c r="BM42" s="76"/>
      <c r="BN42" s="77"/>
      <c r="BO42" s="76"/>
      <c r="BP42" s="76"/>
      <c r="BQ42" s="76"/>
      <c r="BR42" s="76"/>
      <c r="BS42" s="76"/>
      <c r="BT42" s="77"/>
      <c r="BU42" s="76"/>
      <c r="BV42" s="77"/>
      <c r="BW42" s="76"/>
      <c r="BX42" s="76"/>
      <c r="BY42" s="76"/>
      <c r="BZ42" s="76"/>
      <c r="CA42" s="76"/>
      <c r="CB42" s="77"/>
      <c r="CC42" s="76"/>
      <c r="CD42" s="77"/>
      <c r="CE42" s="76"/>
      <c r="CF42" s="76"/>
      <c r="CG42" s="76"/>
      <c r="CH42" s="76"/>
      <c r="CI42" s="76"/>
      <c r="CJ42" s="77"/>
      <c r="CK42" s="76"/>
      <c r="CL42" s="77"/>
      <c r="CM42" s="76"/>
      <c r="CN42" s="76"/>
      <c r="CO42" s="76"/>
      <c r="CP42" s="76"/>
      <c r="CQ42" s="76"/>
      <c r="CR42" s="78" t="str">
        <f t="shared" si="15"/>
        <v/>
      </c>
      <c r="CS42" s="79" t="str">
        <f t="shared" si="16"/>
        <v/>
      </c>
      <c r="CT42" s="79" t="str">
        <f t="shared" si="17"/>
        <v/>
      </c>
      <c r="CU42" s="79" t="str">
        <f t="shared" si="18"/>
        <v/>
      </c>
      <c r="CV42" s="79" t="str">
        <f t="shared" si="19"/>
        <v/>
      </c>
      <c r="CW42" s="79" t="str">
        <f t="shared" si="20"/>
        <v/>
      </c>
      <c r="CX42" s="79" t="str">
        <f t="shared" si="21"/>
        <v/>
      </c>
      <c r="CY42" s="79" t="str">
        <f t="shared" si="22"/>
        <v/>
      </c>
      <c r="CZ42" s="79" t="str">
        <f t="shared" si="23"/>
        <v/>
      </c>
      <c r="DA42" s="79" t="str">
        <f t="shared" si="24"/>
        <v/>
      </c>
      <c r="DB42" s="79" t="str">
        <f t="shared" si="25"/>
        <v/>
      </c>
      <c r="DC42" s="79" t="str">
        <f t="shared" si="26"/>
        <v/>
      </c>
      <c r="DD42" s="79" t="str">
        <f t="shared" si="27"/>
        <v/>
      </c>
      <c r="DE42" s="79" t="str">
        <f t="shared" si="28"/>
        <v/>
      </c>
      <c r="DF42" s="79" t="str">
        <f t="shared" si="29"/>
        <v/>
      </c>
      <c r="DG42" s="79" t="str">
        <f t="shared" si="30"/>
        <v/>
      </c>
      <c r="DH42" s="76"/>
      <c r="DI42" s="78"/>
      <c r="DJ42" s="76"/>
      <c r="DK42" s="77"/>
      <c r="DL42" s="77"/>
      <c r="DM42" s="77"/>
      <c r="DN42" s="80"/>
      <c r="DO42" s="80"/>
      <c r="DP42" s="92" t="str">
        <f>IF(Table1[Start Date]="","",IF(Table1[Start Date]&gt;42185,"",IF(AND(Table1[Leaving Date]&gt;1,Table1[Leaving Date]&lt;42095),"",1)))</f>
        <v/>
      </c>
      <c r="DQ42" s="92" t="str">
        <f>IF(Table1[Start Date]="","",IF(Table1[Start Date]&gt;42277,"",IF(AND(Table1[Leaving Date]&gt;1,Table1[Leaving Date]&lt;42186),"",1)))</f>
        <v/>
      </c>
      <c r="DR42" s="92" t="str">
        <f>IF(Table1[Start Date]="","",IF(Table1[Start Date]&gt;42369,"",IF(AND(Table1[Leaving Date]&gt;1,Table1[Leaving Date]&lt;42278),"",1)))</f>
        <v/>
      </c>
      <c r="DS42" s="92" t="str">
        <f>IF(Table1[Start Date]="","",IF(Table1[Start Date]&gt;42460,"",IF(AND(Table1[Leaving Date]&gt;1,Table1[Leaving Date]&lt;42370),"",1)))</f>
        <v/>
      </c>
      <c r="DT42" s="92" t="str">
        <f>IF(Table1[Start Date]="","",IF(Table1[Start Date]&gt;42551,"",IF(AND(Table1[Leaving Date]&gt;1,Table1[Leaving Date]&lt;42461),"",1)))</f>
        <v/>
      </c>
      <c r="DU42" s="92" t="str">
        <f>IF(Table1[Start Date]="","",IF(Table1[Start Date]&gt;42643,"",IF(AND(Table1[Leaving Date]&gt;1,Table1[Leaving Date]&lt;42552),"",1)))</f>
        <v/>
      </c>
      <c r="DV42" s="92" t="str">
        <f>IF(Table1[Start Date]="","",IF(Table1[Start Date]&gt;42735,"",IF(AND(Table1[Leaving Date]&gt;1,Table1[Leaving Date]&lt;42644),"",1)))</f>
        <v/>
      </c>
      <c r="DW42" s="92" t="str">
        <f>IF(Table1[Start Date]="","",IF(Table1[Start Date]&gt;42825,"",IF(AND(Table1[Leaving Date]&gt;1,Table1[Leaving Date]&lt;42736),"",1)))</f>
        <v/>
      </c>
      <c r="DX42"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42" s="44" t="e">
        <f>VLOOKUP(Table1[Referral Source],Lists!$G$2:$H$20,2,FALSE)</f>
        <v>#N/A</v>
      </c>
      <c r="DZ42" s="93" t="e">
        <f>SUM(Table1[Data Referral Quarter]+Table1[Data Referral Source])</f>
        <v>#N/A</v>
      </c>
      <c r="EA42" s="44" t="b">
        <f>IF(Table1[Referral Decision]="Accepted",100,IF(Table1[Referral Decision]="Rejected by Provider",200,IF(Table1[Referral Decision]="Rejected by Applicant",300)))</f>
        <v>0</v>
      </c>
      <c r="EB42" s="44">
        <f>SUM(Table1[Data Referral Quarter]+Table1[Data Referral Decision])</f>
        <v>0</v>
      </c>
      <c r="EC42" s="44" t="b">
        <f>IF(Table1[Start Date]&gt;42735,8000,IF(Table1[Start Date]&gt;42643,7000,IF(Table1[Start Date]&gt;42551,6000,IF(Table1[Start Date]&gt;42460,5000,IF(Table1[Start Date]&gt;42369,4000,IF(Table1[Start Date]&gt;42277,3000,IF(Table1[Start Date]&gt;42185,2000,IF(Table1[Start Date]&gt;42094,1000))))))))</f>
        <v>0</v>
      </c>
      <c r="ED42" s="44" t="str">
        <f>IF(Table1[Start Date]="","",IF(Table1[Current Local Authority]="Swindon",1,"2"))</f>
        <v/>
      </c>
      <c r="EE42" s="44" t="e">
        <f>SUM(Table1[Data Start Date]+Table1[Data Local Authority])</f>
        <v>#VALUE!</v>
      </c>
      <c r="EF42" s="44">
        <f>IF(Table1[Registered with GP]="Yes",1,0)</f>
        <v>0</v>
      </c>
      <c r="EG42" s="44">
        <f>SUM(Table1[Data Start Date]+Table1[Data GP Start])</f>
        <v>0</v>
      </c>
      <c r="EH42" s="44" t="str">
        <f>IF(Table1[EET]="NEET",1,IF(Table1[EET]="Education",2,IF(Table1[EET]="Employment",2,IF(Table1[EET]="Training",2,IF(Table1[EET]="Retired",3,"")))))</f>
        <v/>
      </c>
      <c r="EI42" s="44" t="e">
        <f>Table1[Data Start Date]+Table1[Data EET Start]</f>
        <v>#VALUE!</v>
      </c>
      <c r="EJ42" s="44" t="b">
        <f>IF(Table1[Leaving Date]&gt;42735,8000,IF(Table1[Leaving Date]&gt;42643,7000,IF(Table1[Leaving Date]&gt;42551,6000,IF(Table1[Leaving Date]&gt;42460,5000,IF(Table1[Leaving Date]&gt;42369,4000,IF(Table1[Leaving Date]&gt;42277,3000,IF(Table1[Leaving Date]&gt;42185,2000,IF(Table1[Leaving Date]&gt;42094,1000))))))))</f>
        <v>0</v>
      </c>
      <c r="EK42" s="44" t="e">
        <f>VLOOKUP(Table1[Reason for Leaving],Lists!$T$2:$U$15,2,FALSE)</f>
        <v>#N/A</v>
      </c>
      <c r="EL42" s="44" t="e">
        <f>SUM(Table1[Data Leavers Date]+Table1[Data Move On])</f>
        <v>#N/A</v>
      </c>
      <c r="EM42" s="44" t="b">
        <f>IF(Table1[Registered with GP2]="Yes",1,IF(Table1[Registered with GP2]="No",0,IF(Table1[Registered with GP]="Yes",1,IF(Table1[Registered with GP]="No",0))))</f>
        <v>0</v>
      </c>
      <c r="EN42" s="44">
        <f>SUM(Table1[Data Leavers Date]+Table1[Data GP End])</f>
        <v>0</v>
      </c>
      <c r="EO42" s="44" t="str">
        <f>IF(Table1[EET2]="NEET",1,IF(Table1[EET2]="Employment",2,IF(Table1[EET2]="Education",2,IF(Table1[EET2]="Training",2,IF(Table1[EET2]="Retired",3,IF(Table1[EET]="NEET",1,IF(Table1[EET]="Employment",2,IF(Table1[EET]="Education",2,IF(Table1[EET]="Training",2,IF(Table1[EET]="Retired",3,""))))))))))</f>
        <v/>
      </c>
      <c r="EP42" s="44" t="e">
        <f>+Table1[[#This Row],[Data Leavers Date]]+Table1[[#This Row],[Data EET End]]</f>
        <v>#VALUE!</v>
      </c>
      <c r="EQ42" s="44">
        <f>IF(Table1[Exit Form Received]="Yes",1,0)</f>
        <v>0</v>
      </c>
      <c r="ER42" s="44">
        <f>+Table1[[#This Row],[Data Leavers Date]]+Table1[[#This Row],[Data Exit Forms]]</f>
        <v>0</v>
      </c>
      <c r="ES42" s="44" t="str">
        <f>IF(Table1[Data Leavers Date]=1000,SUM(Table1[Leaving Date]-Table1[Start Date]),"")</f>
        <v/>
      </c>
      <c r="ET42" s="44" t="str">
        <f>IF(Table1[Data Leavers Date]=2000,SUM(Table1[Leaving Date]-Table1[Start Date]),"")</f>
        <v/>
      </c>
      <c r="EU42" s="44" t="str">
        <f>IF(Table1[Data Leavers Date]=3000,SUM(Table1[Leaving Date]-Table1[Start Date]),"")</f>
        <v/>
      </c>
      <c r="EV42" s="44" t="str">
        <f>IF(Table1[Data Leavers Date]=4000,SUM(Table1[Leaving Date]-Table1[Start Date]),"")</f>
        <v/>
      </c>
      <c r="EW42" s="44" t="str">
        <f>IF(Table1[Data Leavers Date]=5000,SUM(Table1[Leaving Date]-Table1[Start Date]),"")</f>
        <v/>
      </c>
      <c r="EX42" s="44" t="str">
        <f>IF(Table1[Data Leavers Date]=6000,SUM(Table1[Leaving Date]-Table1[Start Date]),"")</f>
        <v/>
      </c>
      <c r="EY42" s="44" t="str">
        <f>IF(Table1[Data Leavers Date]=7000,SUM(Table1[Leaving Date]-Table1[Start Date]),"")</f>
        <v/>
      </c>
      <c r="EZ42" s="44" t="str">
        <f>IF(Table1[Data Leavers Date]=8000,SUM(Table1[Leaving Date]-Table1[Start Date]),"")</f>
        <v/>
      </c>
      <c r="FA42" s="44" t="str">
        <f>IF(Table1[Date of Initial Assessment]="","",IF(AND(Table1[Start Date]&gt;42094,Table1[Start Date]&lt;42461),Table1[Motivation and Taking Responsibility],""))</f>
        <v/>
      </c>
      <c r="FB42" s="44" t="str">
        <f>IF(Table1[Date of Initial Assessment]="","",IF(AND(Table1[Start Date]&gt;42094,Table1[Start Date]&lt;42461),Table1[Self-Care and Living Skills],""))</f>
        <v/>
      </c>
      <c r="FC42" s="44" t="str">
        <f>IF(Table1[Date of Initial Assessment]="","",IF(AND(Table1[Start Date]&gt;42094,Table1[Start Date]&lt;42461),Table1[Managing Money and Personal Administration],""))</f>
        <v/>
      </c>
      <c r="FD42" s="44" t="str">
        <f>IF(Table1[Date of Initial Assessment]="","",IF(AND(Table1[Start Date]&gt;42094,Table1[Start Date]&lt;42461),Table1[Social Networks and Relationships],""))</f>
        <v/>
      </c>
      <c r="FE42" s="44" t="str">
        <f>IF(Table1[Date of Initial Assessment]="","",IF(AND(Table1[Start Date]&gt;42094,Table1[Start Date]&lt;42461),Table1[Drug and Alcohol Misuse],""))</f>
        <v/>
      </c>
      <c r="FF42" s="44" t="str">
        <f>IF(Table1[Date of Initial Assessment]="","",IF(AND(Table1[Start Date]&gt;42094,Table1[Start Date]&lt;42461),Table1[Physical Health],""))</f>
        <v/>
      </c>
      <c r="FG42" s="44" t="str">
        <f>IF(Table1[Date of Initial Assessment]="","",IF(AND(Table1[Start Date]&gt;42094,Table1[Start Date]&lt;42461),Table1[Emotional and Mental Health],""))</f>
        <v/>
      </c>
      <c r="FH42" s="44" t="str">
        <f>IF(Table1[Date of Initial Assessment]="","",IF(AND(Table1[Start Date]&gt;42094,Table1[Start Date]&lt;42461),Table1[Meaningful Use of Time],""))</f>
        <v/>
      </c>
      <c r="FI42" s="44" t="str">
        <f>IF(Table1[Date of Initial Assessment]="","",IF(AND(Table1[Start Date]&gt;42094,Table1[Start Date]&lt;42461),Table1[Managing Tenancy and Accommodation],""))</f>
        <v/>
      </c>
      <c r="FJ42" s="44" t="str">
        <f>IF(Table1[Date of Initial Assessment]="","",IF(AND(Table1[Start Date]&gt;42094,Table1[Start Date]&lt;42461),Table1[Offending],""))</f>
        <v/>
      </c>
      <c r="FK42" s="44" t="str">
        <f>IF(Table1[Leaving Date]="","",IF(Table1[Date of Initial Assessment]="","",IF(AND(Table1[Leaving Date]&gt;42094,Table1[Leaving Date]&lt;42461),IF(Table1[Date of Last Assessment]="",Table1[Motivation and Taking Responsibility],Table1[Motivation and Taking Responsibility2]),"")))</f>
        <v/>
      </c>
      <c r="FL42" s="44" t="str">
        <f>IF(Table1[Leaving Date]="","",IF(Table1[Date of Initial Assessment]="","",IF(AND(Table1[Leaving Date]&gt;42094,Table1[Leaving Date]&lt;42461),IF(Table1[Date of Last Assessment]="",Table1[Self-Care and Living Skills],Table1[Self-Care and Living Skills2]),"")))</f>
        <v/>
      </c>
      <c r="FM42" s="44" t="str">
        <f>IF(Table1[Leaving Date]="","",IF(Table1[Date of Initial Assessment]="","",IF(AND(Table1[Leaving Date]&gt;42094,Table1[Leaving Date]&lt;42461),IF(Table1[Date of Last Assessment]="",Table1[Managing Money and Personal Administration],Table1[Managing Money and Personal Administration2]),"")))</f>
        <v/>
      </c>
      <c r="FN42" s="44" t="str">
        <f>IF(Table1[Leaving Date]="","",IF(Table1[Date of Initial Assessment]="","",IF(AND(Table1[Leaving Date]&gt;42094,Table1[Leaving Date]&lt;42461),IF(Table1[Date of Last Assessment]="",Table1[Social Networks and Relationships],Table1[Social Networks and Relationships2]),"")))</f>
        <v/>
      </c>
      <c r="FO42" s="44" t="str">
        <f>IF(Table1[Leaving Date]="","",IF(Table1[Date of Initial Assessment]="","",IF(AND(Table1[Leaving Date]&gt;42094,Table1[Leaving Date]&lt;42461),IF(Table1[Date of Last Assessment]="",Table1[Drug and Alcohol Misuse],Table1[Drug and Alcohol Misuse2]),"")))</f>
        <v/>
      </c>
      <c r="FP42" s="44" t="str">
        <f>IF(Table1[Leaving Date]="","",IF(Table1[Date of Initial Assessment]="","",IF(AND(Table1[Leaving Date]&gt;42094,Table1[Leaving Date]&lt;42461),IF(Table1[Date of Last Assessment]="",Table1[Physical Health],Table1[Physical Health2]),"")))</f>
        <v/>
      </c>
      <c r="FQ42" s="44" t="str">
        <f>IF(Table1[Leaving Date]="","",IF(Table1[Date of Initial Assessment]="","",IF(AND(Table1[Leaving Date]&gt;42094,Table1[Leaving Date]&lt;42461),IF(Table1[Date of Last Assessment]="",Table1[Emotional and Mental Health],Table1[Emotional and Mental Health2]),"")))</f>
        <v/>
      </c>
      <c r="FR42" s="44" t="str">
        <f>IF(Table1[Leaving Date]="","",IF(Table1[Date of Initial Assessment]="","",IF(AND(Table1[Leaving Date]&gt;42094,Table1[Leaving Date]&lt;42461),IF(Table1[Date of Last Assessment]="",Table1[Meaningful Use of Time],Table1[Meaningful Use of Time2]),"")))</f>
        <v/>
      </c>
      <c r="FS42" s="44" t="str">
        <f>IF(Table1[Leaving Date]="","",IF(Table1[Date of Initial Assessment]="","",IF(AND(Table1[Leaving Date]&gt;42094,Table1[Leaving Date]&lt;42461),IF(Table1[Date of Last Assessment]="",Table1[Managing Tenancy and Accommodation],Table1[Managing Tenancy and Accommodation2]),"")))</f>
        <v/>
      </c>
      <c r="FT42" s="44" t="str">
        <f>IF(Table1[Leaving Date]="","",IF(Table1[Date of Initial Assessment]="","",IF(AND(Table1[Leaving Date]&gt;42094,Table1[Leaving Date]&lt;42461),IF(Table1[Date of Last Assessment]="",Table1[Offending],Table1[Offending2]),"")))</f>
        <v/>
      </c>
      <c r="FU42" s="44" t="str">
        <f>IF(Table1[Date of Initial Assessment]="","",IF(AND(Table1[Start Date]&gt;42460,Table1[Start Date]&lt;42826),Table1[Motivation and Taking Responsibility],""))</f>
        <v/>
      </c>
      <c r="FV42" s="44" t="str">
        <f>IF(Table1[Date of Initial Assessment]="","",IF(AND(Table1[Start Date]&gt;42460,Table1[Start Date]&lt;42826),Table1[Self-Care and Living Skills],""))</f>
        <v/>
      </c>
      <c r="FW42" s="44" t="str">
        <f>IF(Table1[Date of Initial Assessment]="","",IF(AND(Table1[Start Date]&gt;42460,Table1[Start Date]&lt;42826),Table1[Managing Money and Personal Administration],""))</f>
        <v/>
      </c>
      <c r="FX42" s="44" t="str">
        <f>IF(Table1[Date of Initial Assessment]="","",IF(AND(Table1[Start Date]&gt;42460,Table1[Start Date]&lt;42826),Table1[Social Networks and Relationships],""))</f>
        <v/>
      </c>
      <c r="FY42" s="44" t="str">
        <f>IF(Table1[Date of Initial Assessment]="","",IF(AND(Table1[Start Date]&gt;42460,Table1[Start Date]&lt;42826),Table1[Drug and Alcohol Misuse],""))</f>
        <v/>
      </c>
      <c r="FZ42" s="44" t="str">
        <f>IF(Table1[Date of Initial Assessment]="","",IF(AND(Table1[Start Date]&gt;42460,Table1[Start Date]&lt;42826),Table1[Physical Health],""))</f>
        <v/>
      </c>
      <c r="GA42" s="44" t="str">
        <f>IF(Table1[Date of Initial Assessment]="","",IF(AND(Table1[Start Date]&gt;42460,Table1[Start Date]&lt;42826),Table1[Emotional and Mental Health],""))</f>
        <v/>
      </c>
      <c r="GB42" s="44" t="str">
        <f>IF(Table1[Date of Initial Assessment]="","",IF(AND(Table1[Start Date]&gt;42460,Table1[Start Date]&lt;42826),Table1[Meaningful Use of Time],""))</f>
        <v/>
      </c>
      <c r="GC42" s="44" t="str">
        <f>IF(Table1[Date of Initial Assessment]="","",IF(AND(Table1[Start Date]&gt;42460,Table1[Start Date]&lt;42826),Table1[Managing Tenancy and Accommodation],""))</f>
        <v/>
      </c>
      <c r="GD42" s="44" t="str">
        <f>IF(Table1[Date of Initial Assessment]="","",IF(AND(Table1[Start Date]&gt;42460,Table1[Start Date]&lt;42826),Table1[Offending],""))</f>
        <v/>
      </c>
      <c r="GE42" s="44" t="str">
        <f>IF(Table1[Leaving Date]="","",IF(AND(Table1[Leaving Date]&gt;42460,Table1[Leaving Date]&lt;42826),IF(Table1[Date of Last Assessment]="",Table1[Motivation and Taking Responsibility],Table1[Motivation and Taking Responsibility2]),""))</f>
        <v/>
      </c>
      <c r="GF42" s="44" t="str">
        <f>IF(Table1[Leaving Date]="","",IF(AND(Table1[Leaving Date]&gt;42460,Table1[Leaving Date]&lt;42826),IF(Table1[Date of Last Assessment]="",Table1[Self-Care and Living Skills],Table1[Self-Care and Living Skills2]),""))</f>
        <v/>
      </c>
      <c r="GG42" s="44" t="str">
        <f>IF(Table1[Leaving Date]="","",IF(AND(Table1[Leaving Date]&gt;42460,Table1[Leaving Date]&lt;42826),IF(Table1[Date of Last Assessment]="",Table1[Managing Money and Personal Administration],Table1[Managing Money and Personal Administration2]),""))</f>
        <v/>
      </c>
      <c r="GH42" s="44" t="str">
        <f>IF(Table1[Leaving Date]="","",IF(AND(Table1[Leaving Date]&gt;42460,Table1[Leaving Date]&lt;42826),IF(Table1[Date of Last Assessment]="",Table1[Social Networks and Relationships],Table1[Social Networks and Relationships2]),""))</f>
        <v/>
      </c>
      <c r="GI42" s="44" t="str">
        <f>IF(Table1[Leaving Date]="","",IF(AND(Table1[Leaving Date]&gt;42460,Table1[Leaving Date]&lt;42826),IF(Table1[Date of Last Assessment]="",Table1[Drug and Alcohol Misuse],Table1[Drug and Alcohol Misuse2]),""))</f>
        <v/>
      </c>
      <c r="GJ42" s="44" t="str">
        <f>IF(Table1[Leaving Date]="","",IF(AND(Table1[Leaving Date]&gt;42460,Table1[Leaving Date]&lt;42826),IF(Table1[Date of Last Assessment]="",Table1[Physical Health],Table1[Physical Health2]),""))</f>
        <v/>
      </c>
      <c r="GK42" s="44" t="str">
        <f>IF(Table1[Leaving Date]="","",IF(AND(Table1[Leaving Date]&gt;42460,Table1[Leaving Date]&lt;42826),IF(Table1[Date of Last Assessment]="",Table1[Emotional and Mental Health],Table1[Emotional and Mental Health2]),""))</f>
        <v/>
      </c>
      <c r="GL42" s="44" t="str">
        <f>IF(Table1[Leaving Date]="","",IF(AND(Table1[Leaving Date]&gt;42460,Table1[Leaving Date]&lt;42826),IF(Table1[Date of Last Assessment]="",Table1[Meaningful Use of Time],Table1[Meaningful Use of Time2]),""))</f>
        <v/>
      </c>
      <c r="GM42" s="44" t="str">
        <f>IF(Table1[Leaving Date]="","",IF(AND(Table1[Leaving Date]&gt;42460,Table1[Leaving Date]&lt;42826),IF(Table1[Date of Last Assessment]="",Table1[Managing Tenancy and Accommodation],Table1[Managing Tenancy and Accommodation2]),""))</f>
        <v/>
      </c>
      <c r="GN42" s="44" t="str">
        <f>IF(Table1[Leaving Date]="","",IF(AND(Table1[Leaving Date]&gt;42460,Table1[Leaving Date]&lt;42826),IF(Table1[Date of Last Assessment]="",Table1[Offending],Table1[Offending2]),""))</f>
        <v/>
      </c>
    </row>
    <row r="43" spans="2:196" ht="20.100000000000001" customHeight="1" x14ac:dyDescent="0.2">
      <c r="B43" s="86">
        <f>+'Service Data'!$C$5:$C$5</f>
        <v>0</v>
      </c>
      <c r="C43" s="86"/>
      <c r="D43" s="86"/>
      <c r="E43" s="86"/>
      <c r="F43" s="86"/>
      <c r="G43" s="86"/>
      <c r="H43" s="6"/>
      <c r="I43" s="99" t="str">
        <f ca="1">IF(Table1[[#This Row],[Date of Birth]]="","",SUM(TODAY()-Table1[[#This Row],[Date of Birth]])/365)</f>
        <v/>
      </c>
      <c r="L43" s="86"/>
      <c r="M43" s="77"/>
      <c r="N43" s="86"/>
      <c r="O43" s="86"/>
      <c r="P43" s="91"/>
      <c r="Q43" s="86"/>
      <c r="R43" s="77"/>
      <c r="S43" s="77"/>
      <c r="T43" s="68"/>
      <c r="U43" s="68"/>
      <c r="V43" s="67"/>
      <c r="W43" s="67"/>
      <c r="X43" s="67"/>
      <c r="Y43" s="67"/>
      <c r="Z43" s="67"/>
      <c r="AA43" s="67"/>
      <c r="AB43" s="67"/>
      <c r="AC43" s="67"/>
      <c r="AD43" s="67"/>
      <c r="AE43" s="67"/>
      <c r="AF43" s="67"/>
      <c r="AG43" s="67"/>
      <c r="AH43" s="67"/>
      <c r="AI43" s="67"/>
      <c r="AJ43" s="67"/>
      <c r="AK43" s="67"/>
      <c r="AL43" s="67"/>
      <c r="AM43" s="67"/>
      <c r="AN43" s="77"/>
      <c r="AO43" s="76"/>
      <c r="AP43" s="77"/>
      <c r="AQ43" s="76"/>
      <c r="AR43" s="76"/>
      <c r="AS43" s="76"/>
      <c r="AT43" s="76"/>
      <c r="AU43" s="76"/>
      <c r="AV43" s="77"/>
      <c r="AW43" s="76"/>
      <c r="AX43" s="77"/>
      <c r="AY43" s="76"/>
      <c r="AZ43" s="76"/>
      <c r="BA43" s="76"/>
      <c r="BB43" s="76"/>
      <c r="BC43" s="76"/>
      <c r="BD43" s="77"/>
      <c r="BE43" s="76"/>
      <c r="BF43" s="77"/>
      <c r="BG43" s="76"/>
      <c r="BH43" s="76"/>
      <c r="BI43" s="76"/>
      <c r="BJ43" s="76"/>
      <c r="BK43" s="76"/>
      <c r="BL43" s="77"/>
      <c r="BM43" s="76"/>
      <c r="BN43" s="77"/>
      <c r="BO43" s="76"/>
      <c r="BP43" s="76"/>
      <c r="BQ43" s="76"/>
      <c r="BR43" s="76"/>
      <c r="BS43" s="76"/>
      <c r="BT43" s="77"/>
      <c r="BU43" s="76"/>
      <c r="BV43" s="77"/>
      <c r="BW43" s="76"/>
      <c r="BX43" s="76"/>
      <c r="BY43" s="76"/>
      <c r="BZ43" s="76"/>
      <c r="CA43" s="76"/>
      <c r="CB43" s="77"/>
      <c r="CC43" s="76"/>
      <c r="CD43" s="77"/>
      <c r="CE43" s="76"/>
      <c r="CF43" s="76"/>
      <c r="CG43" s="76"/>
      <c r="CH43" s="76"/>
      <c r="CI43" s="76"/>
      <c r="CJ43" s="77"/>
      <c r="CK43" s="76"/>
      <c r="CL43" s="77"/>
      <c r="CM43" s="76"/>
      <c r="CN43" s="76"/>
      <c r="CO43" s="76"/>
      <c r="CP43" s="76"/>
      <c r="CQ43" s="76"/>
      <c r="CR43" s="78" t="str">
        <f t="shared" si="15"/>
        <v/>
      </c>
      <c r="CS43" s="79" t="str">
        <f t="shared" si="16"/>
        <v/>
      </c>
      <c r="CT43" s="79" t="str">
        <f t="shared" si="17"/>
        <v/>
      </c>
      <c r="CU43" s="79" t="str">
        <f t="shared" si="18"/>
        <v/>
      </c>
      <c r="CV43" s="79" t="str">
        <f t="shared" si="19"/>
        <v/>
      </c>
      <c r="CW43" s="79" t="str">
        <f t="shared" si="20"/>
        <v/>
      </c>
      <c r="CX43" s="79" t="str">
        <f t="shared" si="21"/>
        <v/>
      </c>
      <c r="CY43" s="79" t="str">
        <f t="shared" si="22"/>
        <v/>
      </c>
      <c r="CZ43" s="79" t="str">
        <f t="shared" si="23"/>
        <v/>
      </c>
      <c r="DA43" s="79" t="str">
        <f t="shared" si="24"/>
        <v/>
      </c>
      <c r="DB43" s="79" t="str">
        <f t="shared" si="25"/>
        <v/>
      </c>
      <c r="DC43" s="79" t="str">
        <f t="shared" si="26"/>
        <v/>
      </c>
      <c r="DD43" s="79" t="str">
        <f t="shared" si="27"/>
        <v/>
      </c>
      <c r="DE43" s="79" t="str">
        <f t="shared" si="28"/>
        <v/>
      </c>
      <c r="DF43" s="79" t="str">
        <f t="shared" si="29"/>
        <v/>
      </c>
      <c r="DG43" s="79" t="str">
        <f t="shared" si="30"/>
        <v/>
      </c>
      <c r="DH43" s="76"/>
      <c r="DI43" s="78"/>
      <c r="DJ43" s="76"/>
      <c r="DK43" s="77"/>
      <c r="DL43" s="77"/>
      <c r="DM43" s="77"/>
      <c r="DN43" s="80"/>
      <c r="DO43" s="80"/>
      <c r="DP43" s="92" t="str">
        <f>IF(Table1[Start Date]="","",IF(Table1[Start Date]&gt;42185,"",IF(AND(Table1[Leaving Date]&gt;1,Table1[Leaving Date]&lt;42095),"",1)))</f>
        <v/>
      </c>
      <c r="DQ43" s="92" t="str">
        <f>IF(Table1[Start Date]="","",IF(Table1[Start Date]&gt;42277,"",IF(AND(Table1[Leaving Date]&gt;1,Table1[Leaving Date]&lt;42186),"",1)))</f>
        <v/>
      </c>
      <c r="DR43" s="92" t="str">
        <f>IF(Table1[Start Date]="","",IF(Table1[Start Date]&gt;42369,"",IF(AND(Table1[Leaving Date]&gt;1,Table1[Leaving Date]&lt;42278),"",1)))</f>
        <v/>
      </c>
      <c r="DS43" s="92" t="str">
        <f>IF(Table1[Start Date]="","",IF(Table1[Start Date]&gt;42460,"",IF(AND(Table1[Leaving Date]&gt;1,Table1[Leaving Date]&lt;42370),"",1)))</f>
        <v/>
      </c>
      <c r="DT43" s="92" t="str">
        <f>IF(Table1[Start Date]="","",IF(Table1[Start Date]&gt;42551,"",IF(AND(Table1[Leaving Date]&gt;1,Table1[Leaving Date]&lt;42461),"",1)))</f>
        <v/>
      </c>
      <c r="DU43" s="92" t="str">
        <f>IF(Table1[Start Date]="","",IF(Table1[Start Date]&gt;42643,"",IF(AND(Table1[Leaving Date]&gt;1,Table1[Leaving Date]&lt;42552),"",1)))</f>
        <v/>
      </c>
      <c r="DV43" s="92" t="str">
        <f>IF(Table1[Start Date]="","",IF(Table1[Start Date]&gt;42735,"",IF(AND(Table1[Leaving Date]&gt;1,Table1[Leaving Date]&lt;42644),"",1)))</f>
        <v/>
      </c>
      <c r="DW43" s="92" t="str">
        <f>IF(Table1[Start Date]="","",IF(Table1[Start Date]&gt;42825,"",IF(AND(Table1[Leaving Date]&gt;1,Table1[Leaving Date]&lt;42736),"",1)))</f>
        <v/>
      </c>
      <c r="DX43"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43" s="44" t="e">
        <f>VLOOKUP(Table1[Referral Source],Lists!$G$2:$H$20,2,FALSE)</f>
        <v>#N/A</v>
      </c>
      <c r="DZ43" s="93" t="e">
        <f>SUM(Table1[Data Referral Quarter]+Table1[Data Referral Source])</f>
        <v>#N/A</v>
      </c>
      <c r="EA43" s="44" t="b">
        <f>IF(Table1[Referral Decision]="Accepted",100,IF(Table1[Referral Decision]="Rejected by Provider",200,IF(Table1[Referral Decision]="Rejected by Applicant",300)))</f>
        <v>0</v>
      </c>
      <c r="EB43" s="44">
        <f>SUM(Table1[Data Referral Quarter]+Table1[Data Referral Decision])</f>
        <v>0</v>
      </c>
      <c r="EC43" s="44" t="b">
        <f>IF(Table1[Start Date]&gt;42735,8000,IF(Table1[Start Date]&gt;42643,7000,IF(Table1[Start Date]&gt;42551,6000,IF(Table1[Start Date]&gt;42460,5000,IF(Table1[Start Date]&gt;42369,4000,IF(Table1[Start Date]&gt;42277,3000,IF(Table1[Start Date]&gt;42185,2000,IF(Table1[Start Date]&gt;42094,1000))))))))</f>
        <v>0</v>
      </c>
      <c r="ED43" s="44" t="str">
        <f>IF(Table1[Start Date]="","",IF(Table1[Current Local Authority]="Swindon",1,"2"))</f>
        <v/>
      </c>
      <c r="EE43" s="44" t="e">
        <f>SUM(Table1[Data Start Date]+Table1[Data Local Authority])</f>
        <v>#VALUE!</v>
      </c>
      <c r="EF43" s="44">
        <f>IF(Table1[Registered with GP]="Yes",1,0)</f>
        <v>0</v>
      </c>
      <c r="EG43" s="44">
        <f>SUM(Table1[Data Start Date]+Table1[Data GP Start])</f>
        <v>0</v>
      </c>
      <c r="EH43" s="44" t="str">
        <f>IF(Table1[EET]="NEET",1,IF(Table1[EET]="Education",2,IF(Table1[EET]="Employment",2,IF(Table1[EET]="Training",2,IF(Table1[EET]="Retired",3,"")))))</f>
        <v/>
      </c>
      <c r="EI43" s="44" t="e">
        <f>Table1[Data Start Date]+Table1[Data EET Start]</f>
        <v>#VALUE!</v>
      </c>
      <c r="EJ43" s="44" t="b">
        <f>IF(Table1[Leaving Date]&gt;42735,8000,IF(Table1[Leaving Date]&gt;42643,7000,IF(Table1[Leaving Date]&gt;42551,6000,IF(Table1[Leaving Date]&gt;42460,5000,IF(Table1[Leaving Date]&gt;42369,4000,IF(Table1[Leaving Date]&gt;42277,3000,IF(Table1[Leaving Date]&gt;42185,2000,IF(Table1[Leaving Date]&gt;42094,1000))))))))</f>
        <v>0</v>
      </c>
      <c r="EK43" s="44" t="e">
        <f>VLOOKUP(Table1[Reason for Leaving],Lists!$T$2:$U$15,2,FALSE)</f>
        <v>#N/A</v>
      </c>
      <c r="EL43" s="44" t="e">
        <f>SUM(Table1[Data Leavers Date]+Table1[Data Move On])</f>
        <v>#N/A</v>
      </c>
      <c r="EM43" s="44" t="b">
        <f>IF(Table1[Registered with GP2]="Yes",1,IF(Table1[Registered with GP2]="No",0,IF(Table1[Registered with GP]="Yes",1,IF(Table1[Registered with GP]="No",0))))</f>
        <v>0</v>
      </c>
      <c r="EN43" s="44">
        <f>SUM(Table1[Data Leavers Date]+Table1[Data GP End])</f>
        <v>0</v>
      </c>
      <c r="EO43" s="44" t="str">
        <f>IF(Table1[EET2]="NEET",1,IF(Table1[EET2]="Employment",2,IF(Table1[EET2]="Education",2,IF(Table1[EET2]="Training",2,IF(Table1[EET2]="Retired",3,IF(Table1[EET]="NEET",1,IF(Table1[EET]="Employment",2,IF(Table1[EET]="Education",2,IF(Table1[EET]="Training",2,IF(Table1[EET]="Retired",3,""))))))))))</f>
        <v/>
      </c>
      <c r="EP43" s="44" t="e">
        <f>+Table1[[#This Row],[Data Leavers Date]]+Table1[[#This Row],[Data EET End]]</f>
        <v>#VALUE!</v>
      </c>
      <c r="EQ43" s="44">
        <f>IF(Table1[Exit Form Received]="Yes",1,0)</f>
        <v>0</v>
      </c>
      <c r="ER43" s="44">
        <f>+Table1[[#This Row],[Data Leavers Date]]+Table1[[#This Row],[Data Exit Forms]]</f>
        <v>0</v>
      </c>
      <c r="ES43" s="44" t="str">
        <f>IF(Table1[Data Leavers Date]=1000,SUM(Table1[Leaving Date]-Table1[Start Date]),"")</f>
        <v/>
      </c>
      <c r="ET43" s="44" t="str">
        <f>IF(Table1[Data Leavers Date]=2000,SUM(Table1[Leaving Date]-Table1[Start Date]),"")</f>
        <v/>
      </c>
      <c r="EU43" s="44" t="str">
        <f>IF(Table1[Data Leavers Date]=3000,SUM(Table1[Leaving Date]-Table1[Start Date]),"")</f>
        <v/>
      </c>
      <c r="EV43" s="44" t="str">
        <f>IF(Table1[Data Leavers Date]=4000,SUM(Table1[Leaving Date]-Table1[Start Date]),"")</f>
        <v/>
      </c>
      <c r="EW43" s="44" t="str">
        <f>IF(Table1[Data Leavers Date]=5000,SUM(Table1[Leaving Date]-Table1[Start Date]),"")</f>
        <v/>
      </c>
      <c r="EX43" s="44" t="str">
        <f>IF(Table1[Data Leavers Date]=6000,SUM(Table1[Leaving Date]-Table1[Start Date]),"")</f>
        <v/>
      </c>
      <c r="EY43" s="44" t="str">
        <f>IF(Table1[Data Leavers Date]=7000,SUM(Table1[Leaving Date]-Table1[Start Date]),"")</f>
        <v/>
      </c>
      <c r="EZ43" s="44" t="str">
        <f>IF(Table1[Data Leavers Date]=8000,SUM(Table1[Leaving Date]-Table1[Start Date]),"")</f>
        <v/>
      </c>
      <c r="FA43" s="44" t="str">
        <f>IF(Table1[Date of Initial Assessment]="","",IF(AND(Table1[Start Date]&gt;42094,Table1[Start Date]&lt;42461),Table1[Motivation and Taking Responsibility],""))</f>
        <v/>
      </c>
      <c r="FB43" s="44" t="str">
        <f>IF(Table1[Date of Initial Assessment]="","",IF(AND(Table1[Start Date]&gt;42094,Table1[Start Date]&lt;42461),Table1[Self-Care and Living Skills],""))</f>
        <v/>
      </c>
      <c r="FC43" s="44" t="str">
        <f>IF(Table1[Date of Initial Assessment]="","",IF(AND(Table1[Start Date]&gt;42094,Table1[Start Date]&lt;42461),Table1[Managing Money and Personal Administration],""))</f>
        <v/>
      </c>
      <c r="FD43" s="44" t="str">
        <f>IF(Table1[Date of Initial Assessment]="","",IF(AND(Table1[Start Date]&gt;42094,Table1[Start Date]&lt;42461),Table1[Social Networks and Relationships],""))</f>
        <v/>
      </c>
      <c r="FE43" s="44" t="str">
        <f>IF(Table1[Date of Initial Assessment]="","",IF(AND(Table1[Start Date]&gt;42094,Table1[Start Date]&lt;42461),Table1[Drug and Alcohol Misuse],""))</f>
        <v/>
      </c>
      <c r="FF43" s="44" t="str">
        <f>IF(Table1[Date of Initial Assessment]="","",IF(AND(Table1[Start Date]&gt;42094,Table1[Start Date]&lt;42461),Table1[Physical Health],""))</f>
        <v/>
      </c>
      <c r="FG43" s="44" t="str">
        <f>IF(Table1[Date of Initial Assessment]="","",IF(AND(Table1[Start Date]&gt;42094,Table1[Start Date]&lt;42461),Table1[Emotional and Mental Health],""))</f>
        <v/>
      </c>
      <c r="FH43" s="44" t="str">
        <f>IF(Table1[Date of Initial Assessment]="","",IF(AND(Table1[Start Date]&gt;42094,Table1[Start Date]&lt;42461),Table1[Meaningful Use of Time],""))</f>
        <v/>
      </c>
      <c r="FI43" s="44" t="str">
        <f>IF(Table1[Date of Initial Assessment]="","",IF(AND(Table1[Start Date]&gt;42094,Table1[Start Date]&lt;42461),Table1[Managing Tenancy and Accommodation],""))</f>
        <v/>
      </c>
      <c r="FJ43" s="44" t="str">
        <f>IF(Table1[Date of Initial Assessment]="","",IF(AND(Table1[Start Date]&gt;42094,Table1[Start Date]&lt;42461),Table1[Offending],""))</f>
        <v/>
      </c>
      <c r="FK43" s="44" t="str">
        <f>IF(Table1[Leaving Date]="","",IF(Table1[Date of Initial Assessment]="","",IF(AND(Table1[Leaving Date]&gt;42094,Table1[Leaving Date]&lt;42461),IF(Table1[Date of Last Assessment]="",Table1[Motivation and Taking Responsibility],Table1[Motivation and Taking Responsibility2]),"")))</f>
        <v/>
      </c>
      <c r="FL43" s="44" t="str">
        <f>IF(Table1[Leaving Date]="","",IF(Table1[Date of Initial Assessment]="","",IF(AND(Table1[Leaving Date]&gt;42094,Table1[Leaving Date]&lt;42461),IF(Table1[Date of Last Assessment]="",Table1[Self-Care and Living Skills],Table1[Self-Care and Living Skills2]),"")))</f>
        <v/>
      </c>
      <c r="FM43" s="44" t="str">
        <f>IF(Table1[Leaving Date]="","",IF(Table1[Date of Initial Assessment]="","",IF(AND(Table1[Leaving Date]&gt;42094,Table1[Leaving Date]&lt;42461),IF(Table1[Date of Last Assessment]="",Table1[Managing Money and Personal Administration],Table1[Managing Money and Personal Administration2]),"")))</f>
        <v/>
      </c>
      <c r="FN43" s="44" t="str">
        <f>IF(Table1[Leaving Date]="","",IF(Table1[Date of Initial Assessment]="","",IF(AND(Table1[Leaving Date]&gt;42094,Table1[Leaving Date]&lt;42461),IF(Table1[Date of Last Assessment]="",Table1[Social Networks and Relationships],Table1[Social Networks and Relationships2]),"")))</f>
        <v/>
      </c>
      <c r="FO43" s="44" t="str">
        <f>IF(Table1[Leaving Date]="","",IF(Table1[Date of Initial Assessment]="","",IF(AND(Table1[Leaving Date]&gt;42094,Table1[Leaving Date]&lt;42461),IF(Table1[Date of Last Assessment]="",Table1[Drug and Alcohol Misuse],Table1[Drug and Alcohol Misuse2]),"")))</f>
        <v/>
      </c>
      <c r="FP43" s="44" t="str">
        <f>IF(Table1[Leaving Date]="","",IF(Table1[Date of Initial Assessment]="","",IF(AND(Table1[Leaving Date]&gt;42094,Table1[Leaving Date]&lt;42461),IF(Table1[Date of Last Assessment]="",Table1[Physical Health],Table1[Physical Health2]),"")))</f>
        <v/>
      </c>
      <c r="FQ43" s="44" t="str">
        <f>IF(Table1[Leaving Date]="","",IF(Table1[Date of Initial Assessment]="","",IF(AND(Table1[Leaving Date]&gt;42094,Table1[Leaving Date]&lt;42461),IF(Table1[Date of Last Assessment]="",Table1[Emotional and Mental Health],Table1[Emotional and Mental Health2]),"")))</f>
        <v/>
      </c>
      <c r="FR43" s="44" t="str">
        <f>IF(Table1[Leaving Date]="","",IF(Table1[Date of Initial Assessment]="","",IF(AND(Table1[Leaving Date]&gt;42094,Table1[Leaving Date]&lt;42461),IF(Table1[Date of Last Assessment]="",Table1[Meaningful Use of Time],Table1[Meaningful Use of Time2]),"")))</f>
        <v/>
      </c>
      <c r="FS43" s="44" t="str">
        <f>IF(Table1[Leaving Date]="","",IF(Table1[Date of Initial Assessment]="","",IF(AND(Table1[Leaving Date]&gt;42094,Table1[Leaving Date]&lt;42461),IF(Table1[Date of Last Assessment]="",Table1[Managing Tenancy and Accommodation],Table1[Managing Tenancy and Accommodation2]),"")))</f>
        <v/>
      </c>
      <c r="FT43" s="44" t="str">
        <f>IF(Table1[Leaving Date]="","",IF(Table1[Date of Initial Assessment]="","",IF(AND(Table1[Leaving Date]&gt;42094,Table1[Leaving Date]&lt;42461),IF(Table1[Date of Last Assessment]="",Table1[Offending],Table1[Offending2]),"")))</f>
        <v/>
      </c>
      <c r="FU43" s="44" t="str">
        <f>IF(Table1[Date of Initial Assessment]="","",IF(AND(Table1[Start Date]&gt;42460,Table1[Start Date]&lt;42826),Table1[Motivation and Taking Responsibility],""))</f>
        <v/>
      </c>
      <c r="FV43" s="44" t="str">
        <f>IF(Table1[Date of Initial Assessment]="","",IF(AND(Table1[Start Date]&gt;42460,Table1[Start Date]&lt;42826),Table1[Self-Care and Living Skills],""))</f>
        <v/>
      </c>
      <c r="FW43" s="44" t="str">
        <f>IF(Table1[Date of Initial Assessment]="","",IF(AND(Table1[Start Date]&gt;42460,Table1[Start Date]&lt;42826),Table1[Managing Money and Personal Administration],""))</f>
        <v/>
      </c>
      <c r="FX43" s="44" t="str">
        <f>IF(Table1[Date of Initial Assessment]="","",IF(AND(Table1[Start Date]&gt;42460,Table1[Start Date]&lt;42826),Table1[Social Networks and Relationships],""))</f>
        <v/>
      </c>
      <c r="FY43" s="44" t="str">
        <f>IF(Table1[Date of Initial Assessment]="","",IF(AND(Table1[Start Date]&gt;42460,Table1[Start Date]&lt;42826),Table1[Drug and Alcohol Misuse],""))</f>
        <v/>
      </c>
      <c r="FZ43" s="44" t="str">
        <f>IF(Table1[Date of Initial Assessment]="","",IF(AND(Table1[Start Date]&gt;42460,Table1[Start Date]&lt;42826),Table1[Physical Health],""))</f>
        <v/>
      </c>
      <c r="GA43" s="44" t="str">
        <f>IF(Table1[Date of Initial Assessment]="","",IF(AND(Table1[Start Date]&gt;42460,Table1[Start Date]&lt;42826),Table1[Emotional and Mental Health],""))</f>
        <v/>
      </c>
      <c r="GB43" s="44" t="str">
        <f>IF(Table1[Date of Initial Assessment]="","",IF(AND(Table1[Start Date]&gt;42460,Table1[Start Date]&lt;42826),Table1[Meaningful Use of Time],""))</f>
        <v/>
      </c>
      <c r="GC43" s="44" t="str">
        <f>IF(Table1[Date of Initial Assessment]="","",IF(AND(Table1[Start Date]&gt;42460,Table1[Start Date]&lt;42826),Table1[Managing Tenancy and Accommodation],""))</f>
        <v/>
      </c>
      <c r="GD43" s="44" t="str">
        <f>IF(Table1[Date of Initial Assessment]="","",IF(AND(Table1[Start Date]&gt;42460,Table1[Start Date]&lt;42826),Table1[Offending],""))</f>
        <v/>
      </c>
      <c r="GE43" s="44" t="str">
        <f>IF(Table1[Leaving Date]="","",IF(AND(Table1[Leaving Date]&gt;42460,Table1[Leaving Date]&lt;42826),IF(Table1[Date of Last Assessment]="",Table1[Motivation and Taking Responsibility],Table1[Motivation and Taking Responsibility2]),""))</f>
        <v/>
      </c>
      <c r="GF43" s="44" t="str">
        <f>IF(Table1[Leaving Date]="","",IF(AND(Table1[Leaving Date]&gt;42460,Table1[Leaving Date]&lt;42826),IF(Table1[Date of Last Assessment]="",Table1[Self-Care and Living Skills],Table1[Self-Care and Living Skills2]),""))</f>
        <v/>
      </c>
      <c r="GG43" s="44" t="str">
        <f>IF(Table1[Leaving Date]="","",IF(AND(Table1[Leaving Date]&gt;42460,Table1[Leaving Date]&lt;42826),IF(Table1[Date of Last Assessment]="",Table1[Managing Money and Personal Administration],Table1[Managing Money and Personal Administration2]),""))</f>
        <v/>
      </c>
      <c r="GH43" s="44" t="str">
        <f>IF(Table1[Leaving Date]="","",IF(AND(Table1[Leaving Date]&gt;42460,Table1[Leaving Date]&lt;42826),IF(Table1[Date of Last Assessment]="",Table1[Social Networks and Relationships],Table1[Social Networks and Relationships2]),""))</f>
        <v/>
      </c>
      <c r="GI43" s="44" t="str">
        <f>IF(Table1[Leaving Date]="","",IF(AND(Table1[Leaving Date]&gt;42460,Table1[Leaving Date]&lt;42826),IF(Table1[Date of Last Assessment]="",Table1[Drug and Alcohol Misuse],Table1[Drug and Alcohol Misuse2]),""))</f>
        <v/>
      </c>
      <c r="GJ43" s="44" t="str">
        <f>IF(Table1[Leaving Date]="","",IF(AND(Table1[Leaving Date]&gt;42460,Table1[Leaving Date]&lt;42826),IF(Table1[Date of Last Assessment]="",Table1[Physical Health],Table1[Physical Health2]),""))</f>
        <v/>
      </c>
      <c r="GK43" s="44" t="str">
        <f>IF(Table1[Leaving Date]="","",IF(AND(Table1[Leaving Date]&gt;42460,Table1[Leaving Date]&lt;42826),IF(Table1[Date of Last Assessment]="",Table1[Emotional and Mental Health],Table1[Emotional and Mental Health2]),""))</f>
        <v/>
      </c>
      <c r="GL43" s="44" t="str">
        <f>IF(Table1[Leaving Date]="","",IF(AND(Table1[Leaving Date]&gt;42460,Table1[Leaving Date]&lt;42826),IF(Table1[Date of Last Assessment]="",Table1[Meaningful Use of Time],Table1[Meaningful Use of Time2]),""))</f>
        <v/>
      </c>
      <c r="GM43" s="44" t="str">
        <f>IF(Table1[Leaving Date]="","",IF(AND(Table1[Leaving Date]&gt;42460,Table1[Leaving Date]&lt;42826),IF(Table1[Date of Last Assessment]="",Table1[Managing Tenancy and Accommodation],Table1[Managing Tenancy and Accommodation2]),""))</f>
        <v/>
      </c>
      <c r="GN43" s="44" t="str">
        <f>IF(Table1[Leaving Date]="","",IF(AND(Table1[Leaving Date]&gt;42460,Table1[Leaving Date]&lt;42826),IF(Table1[Date of Last Assessment]="",Table1[Offending],Table1[Offending2]),""))</f>
        <v/>
      </c>
    </row>
    <row r="44" spans="2:196" ht="20.100000000000001" customHeight="1" x14ac:dyDescent="0.2">
      <c r="B44" s="86">
        <f>+'Service Data'!$C$5:$C$5</f>
        <v>0</v>
      </c>
      <c r="C44" s="86"/>
      <c r="D44" s="86"/>
      <c r="E44" s="86"/>
      <c r="F44" s="86"/>
      <c r="G44" s="86"/>
      <c r="H44" s="6"/>
      <c r="I44" s="99" t="str">
        <f ca="1">IF(Table1[[#This Row],[Date of Birth]]="","",SUM(TODAY()-Table1[[#This Row],[Date of Birth]])/365)</f>
        <v/>
      </c>
      <c r="L44" s="86"/>
      <c r="M44" s="77"/>
      <c r="N44" s="86"/>
      <c r="O44" s="86"/>
      <c r="P44" s="91"/>
      <c r="Q44" s="86"/>
      <c r="R44" s="77"/>
      <c r="S44" s="77"/>
      <c r="T44" s="68"/>
      <c r="U44" s="68"/>
      <c r="V44" s="67"/>
      <c r="W44" s="67"/>
      <c r="X44" s="67"/>
      <c r="Y44" s="67"/>
      <c r="Z44" s="67"/>
      <c r="AA44" s="67"/>
      <c r="AB44" s="67"/>
      <c r="AC44" s="67"/>
      <c r="AD44" s="67"/>
      <c r="AE44" s="67"/>
      <c r="AF44" s="67"/>
      <c r="AG44" s="67"/>
      <c r="AH44" s="67"/>
      <c r="AI44" s="67"/>
      <c r="AJ44" s="67"/>
      <c r="AK44" s="67"/>
      <c r="AL44" s="67"/>
      <c r="AM44" s="67"/>
      <c r="AN44" s="77"/>
      <c r="AO44" s="76"/>
      <c r="AP44" s="77"/>
      <c r="AQ44" s="76"/>
      <c r="AR44" s="76"/>
      <c r="AS44" s="76"/>
      <c r="AT44" s="76"/>
      <c r="AU44" s="76"/>
      <c r="AV44" s="77"/>
      <c r="AW44" s="76"/>
      <c r="AX44" s="77"/>
      <c r="AY44" s="76"/>
      <c r="AZ44" s="76"/>
      <c r="BA44" s="76"/>
      <c r="BB44" s="76"/>
      <c r="BC44" s="76"/>
      <c r="BD44" s="77"/>
      <c r="BE44" s="76"/>
      <c r="BF44" s="77"/>
      <c r="BG44" s="76"/>
      <c r="BH44" s="76"/>
      <c r="BI44" s="76"/>
      <c r="BJ44" s="76"/>
      <c r="BK44" s="76"/>
      <c r="BL44" s="77"/>
      <c r="BM44" s="76"/>
      <c r="BN44" s="77"/>
      <c r="BO44" s="76"/>
      <c r="BP44" s="76"/>
      <c r="BQ44" s="76"/>
      <c r="BR44" s="76"/>
      <c r="BS44" s="76"/>
      <c r="BT44" s="77"/>
      <c r="BU44" s="76"/>
      <c r="BV44" s="77"/>
      <c r="BW44" s="76"/>
      <c r="BX44" s="76"/>
      <c r="BY44" s="76"/>
      <c r="BZ44" s="76"/>
      <c r="CA44" s="76"/>
      <c r="CB44" s="77"/>
      <c r="CC44" s="76"/>
      <c r="CD44" s="77"/>
      <c r="CE44" s="76"/>
      <c r="CF44" s="76"/>
      <c r="CG44" s="76"/>
      <c r="CH44" s="76"/>
      <c r="CI44" s="76"/>
      <c r="CJ44" s="77"/>
      <c r="CK44" s="76"/>
      <c r="CL44" s="77"/>
      <c r="CM44" s="76"/>
      <c r="CN44" s="76"/>
      <c r="CO44" s="76"/>
      <c r="CP44" s="76"/>
      <c r="CQ44" s="76"/>
      <c r="CR44" s="78" t="str">
        <f t="shared" si="15"/>
        <v/>
      </c>
      <c r="CS44" s="79" t="str">
        <f t="shared" si="16"/>
        <v/>
      </c>
      <c r="CT44" s="79" t="str">
        <f t="shared" si="17"/>
        <v/>
      </c>
      <c r="CU44" s="79" t="str">
        <f t="shared" si="18"/>
        <v/>
      </c>
      <c r="CV44" s="79" t="str">
        <f t="shared" si="19"/>
        <v/>
      </c>
      <c r="CW44" s="79" t="str">
        <f t="shared" si="20"/>
        <v/>
      </c>
      <c r="CX44" s="79" t="str">
        <f t="shared" si="21"/>
        <v/>
      </c>
      <c r="CY44" s="79" t="str">
        <f t="shared" si="22"/>
        <v/>
      </c>
      <c r="CZ44" s="79" t="str">
        <f t="shared" si="23"/>
        <v/>
      </c>
      <c r="DA44" s="79" t="str">
        <f t="shared" si="24"/>
        <v/>
      </c>
      <c r="DB44" s="79" t="str">
        <f t="shared" si="25"/>
        <v/>
      </c>
      <c r="DC44" s="79" t="str">
        <f t="shared" si="26"/>
        <v/>
      </c>
      <c r="DD44" s="79" t="str">
        <f t="shared" si="27"/>
        <v/>
      </c>
      <c r="DE44" s="79" t="str">
        <f t="shared" si="28"/>
        <v/>
      </c>
      <c r="DF44" s="79" t="str">
        <f t="shared" si="29"/>
        <v/>
      </c>
      <c r="DG44" s="79" t="str">
        <f t="shared" si="30"/>
        <v/>
      </c>
      <c r="DH44" s="76"/>
      <c r="DI44" s="78"/>
      <c r="DJ44" s="76"/>
      <c r="DK44" s="77"/>
      <c r="DL44" s="77"/>
      <c r="DM44" s="77"/>
      <c r="DN44" s="80"/>
      <c r="DO44" s="80"/>
      <c r="DP44" s="92" t="str">
        <f>IF(Table1[Start Date]="","",IF(Table1[Start Date]&gt;42185,"",IF(AND(Table1[Leaving Date]&gt;1,Table1[Leaving Date]&lt;42095),"",1)))</f>
        <v/>
      </c>
      <c r="DQ44" s="92" t="str">
        <f>IF(Table1[Start Date]="","",IF(Table1[Start Date]&gt;42277,"",IF(AND(Table1[Leaving Date]&gt;1,Table1[Leaving Date]&lt;42186),"",1)))</f>
        <v/>
      </c>
      <c r="DR44" s="92" t="str">
        <f>IF(Table1[Start Date]="","",IF(Table1[Start Date]&gt;42369,"",IF(AND(Table1[Leaving Date]&gt;1,Table1[Leaving Date]&lt;42278),"",1)))</f>
        <v/>
      </c>
      <c r="DS44" s="92" t="str">
        <f>IF(Table1[Start Date]="","",IF(Table1[Start Date]&gt;42460,"",IF(AND(Table1[Leaving Date]&gt;1,Table1[Leaving Date]&lt;42370),"",1)))</f>
        <v/>
      </c>
      <c r="DT44" s="92" t="str">
        <f>IF(Table1[Start Date]="","",IF(Table1[Start Date]&gt;42551,"",IF(AND(Table1[Leaving Date]&gt;1,Table1[Leaving Date]&lt;42461),"",1)))</f>
        <v/>
      </c>
      <c r="DU44" s="92" t="str">
        <f>IF(Table1[Start Date]="","",IF(Table1[Start Date]&gt;42643,"",IF(AND(Table1[Leaving Date]&gt;1,Table1[Leaving Date]&lt;42552),"",1)))</f>
        <v/>
      </c>
      <c r="DV44" s="92" t="str">
        <f>IF(Table1[Start Date]="","",IF(Table1[Start Date]&gt;42735,"",IF(AND(Table1[Leaving Date]&gt;1,Table1[Leaving Date]&lt;42644),"",1)))</f>
        <v/>
      </c>
      <c r="DW44" s="92" t="str">
        <f>IF(Table1[Start Date]="","",IF(Table1[Start Date]&gt;42825,"",IF(AND(Table1[Leaving Date]&gt;1,Table1[Leaving Date]&lt;42736),"",1)))</f>
        <v/>
      </c>
      <c r="DX44"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44" s="44" t="e">
        <f>VLOOKUP(Table1[Referral Source],Lists!$G$2:$H$20,2,FALSE)</f>
        <v>#N/A</v>
      </c>
      <c r="DZ44" s="93" t="e">
        <f>SUM(Table1[Data Referral Quarter]+Table1[Data Referral Source])</f>
        <v>#N/A</v>
      </c>
      <c r="EA44" s="44" t="b">
        <f>IF(Table1[Referral Decision]="Accepted",100,IF(Table1[Referral Decision]="Rejected by Provider",200,IF(Table1[Referral Decision]="Rejected by Applicant",300)))</f>
        <v>0</v>
      </c>
      <c r="EB44" s="44">
        <f>SUM(Table1[Data Referral Quarter]+Table1[Data Referral Decision])</f>
        <v>0</v>
      </c>
      <c r="EC44" s="44" t="b">
        <f>IF(Table1[Start Date]&gt;42735,8000,IF(Table1[Start Date]&gt;42643,7000,IF(Table1[Start Date]&gt;42551,6000,IF(Table1[Start Date]&gt;42460,5000,IF(Table1[Start Date]&gt;42369,4000,IF(Table1[Start Date]&gt;42277,3000,IF(Table1[Start Date]&gt;42185,2000,IF(Table1[Start Date]&gt;42094,1000))))))))</f>
        <v>0</v>
      </c>
      <c r="ED44" s="44" t="str">
        <f>IF(Table1[Start Date]="","",IF(Table1[Current Local Authority]="Swindon",1,"2"))</f>
        <v/>
      </c>
      <c r="EE44" s="44" t="e">
        <f>SUM(Table1[Data Start Date]+Table1[Data Local Authority])</f>
        <v>#VALUE!</v>
      </c>
      <c r="EF44" s="44">
        <f>IF(Table1[Registered with GP]="Yes",1,0)</f>
        <v>0</v>
      </c>
      <c r="EG44" s="44">
        <f>SUM(Table1[Data Start Date]+Table1[Data GP Start])</f>
        <v>0</v>
      </c>
      <c r="EH44" s="44" t="str">
        <f>IF(Table1[EET]="NEET",1,IF(Table1[EET]="Education",2,IF(Table1[EET]="Employment",2,IF(Table1[EET]="Training",2,IF(Table1[EET]="Retired",3,"")))))</f>
        <v/>
      </c>
      <c r="EI44" s="44" t="e">
        <f>Table1[Data Start Date]+Table1[Data EET Start]</f>
        <v>#VALUE!</v>
      </c>
      <c r="EJ44" s="44" t="b">
        <f>IF(Table1[Leaving Date]&gt;42735,8000,IF(Table1[Leaving Date]&gt;42643,7000,IF(Table1[Leaving Date]&gt;42551,6000,IF(Table1[Leaving Date]&gt;42460,5000,IF(Table1[Leaving Date]&gt;42369,4000,IF(Table1[Leaving Date]&gt;42277,3000,IF(Table1[Leaving Date]&gt;42185,2000,IF(Table1[Leaving Date]&gt;42094,1000))))))))</f>
        <v>0</v>
      </c>
      <c r="EK44" s="44" t="e">
        <f>VLOOKUP(Table1[Reason for Leaving],Lists!$T$2:$U$15,2,FALSE)</f>
        <v>#N/A</v>
      </c>
      <c r="EL44" s="44" t="e">
        <f>SUM(Table1[Data Leavers Date]+Table1[Data Move On])</f>
        <v>#N/A</v>
      </c>
      <c r="EM44" s="44" t="b">
        <f>IF(Table1[Registered with GP2]="Yes",1,IF(Table1[Registered with GP2]="No",0,IF(Table1[Registered with GP]="Yes",1,IF(Table1[Registered with GP]="No",0))))</f>
        <v>0</v>
      </c>
      <c r="EN44" s="44">
        <f>SUM(Table1[Data Leavers Date]+Table1[Data GP End])</f>
        <v>0</v>
      </c>
      <c r="EO44" s="44" t="str">
        <f>IF(Table1[EET2]="NEET",1,IF(Table1[EET2]="Employment",2,IF(Table1[EET2]="Education",2,IF(Table1[EET2]="Training",2,IF(Table1[EET2]="Retired",3,IF(Table1[EET]="NEET",1,IF(Table1[EET]="Employment",2,IF(Table1[EET]="Education",2,IF(Table1[EET]="Training",2,IF(Table1[EET]="Retired",3,""))))))))))</f>
        <v/>
      </c>
      <c r="EP44" s="44" t="e">
        <f>+Table1[[#This Row],[Data Leavers Date]]+Table1[[#This Row],[Data EET End]]</f>
        <v>#VALUE!</v>
      </c>
      <c r="EQ44" s="44">
        <f>IF(Table1[Exit Form Received]="Yes",1,0)</f>
        <v>0</v>
      </c>
      <c r="ER44" s="44">
        <f>+Table1[[#This Row],[Data Leavers Date]]+Table1[[#This Row],[Data Exit Forms]]</f>
        <v>0</v>
      </c>
      <c r="ES44" s="44" t="str">
        <f>IF(Table1[Data Leavers Date]=1000,SUM(Table1[Leaving Date]-Table1[Start Date]),"")</f>
        <v/>
      </c>
      <c r="ET44" s="44" t="str">
        <f>IF(Table1[Data Leavers Date]=2000,SUM(Table1[Leaving Date]-Table1[Start Date]),"")</f>
        <v/>
      </c>
      <c r="EU44" s="44" t="str">
        <f>IF(Table1[Data Leavers Date]=3000,SUM(Table1[Leaving Date]-Table1[Start Date]),"")</f>
        <v/>
      </c>
      <c r="EV44" s="44" t="str">
        <f>IF(Table1[Data Leavers Date]=4000,SUM(Table1[Leaving Date]-Table1[Start Date]),"")</f>
        <v/>
      </c>
      <c r="EW44" s="44" t="str">
        <f>IF(Table1[Data Leavers Date]=5000,SUM(Table1[Leaving Date]-Table1[Start Date]),"")</f>
        <v/>
      </c>
      <c r="EX44" s="44" t="str">
        <f>IF(Table1[Data Leavers Date]=6000,SUM(Table1[Leaving Date]-Table1[Start Date]),"")</f>
        <v/>
      </c>
      <c r="EY44" s="44" t="str">
        <f>IF(Table1[Data Leavers Date]=7000,SUM(Table1[Leaving Date]-Table1[Start Date]),"")</f>
        <v/>
      </c>
      <c r="EZ44" s="44" t="str">
        <f>IF(Table1[Data Leavers Date]=8000,SUM(Table1[Leaving Date]-Table1[Start Date]),"")</f>
        <v/>
      </c>
      <c r="FA44" s="44" t="str">
        <f>IF(Table1[Date of Initial Assessment]="","",IF(AND(Table1[Start Date]&gt;42094,Table1[Start Date]&lt;42461),Table1[Motivation and Taking Responsibility],""))</f>
        <v/>
      </c>
      <c r="FB44" s="44" t="str">
        <f>IF(Table1[Date of Initial Assessment]="","",IF(AND(Table1[Start Date]&gt;42094,Table1[Start Date]&lt;42461),Table1[Self-Care and Living Skills],""))</f>
        <v/>
      </c>
      <c r="FC44" s="44" t="str">
        <f>IF(Table1[Date of Initial Assessment]="","",IF(AND(Table1[Start Date]&gt;42094,Table1[Start Date]&lt;42461),Table1[Managing Money and Personal Administration],""))</f>
        <v/>
      </c>
      <c r="FD44" s="44" t="str">
        <f>IF(Table1[Date of Initial Assessment]="","",IF(AND(Table1[Start Date]&gt;42094,Table1[Start Date]&lt;42461),Table1[Social Networks and Relationships],""))</f>
        <v/>
      </c>
      <c r="FE44" s="44" t="str">
        <f>IF(Table1[Date of Initial Assessment]="","",IF(AND(Table1[Start Date]&gt;42094,Table1[Start Date]&lt;42461),Table1[Drug and Alcohol Misuse],""))</f>
        <v/>
      </c>
      <c r="FF44" s="44" t="str">
        <f>IF(Table1[Date of Initial Assessment]="","",IF(AND(Table1[Start Date]&gt;42094,Table1[Start Date]&lt;42461),Table1[Physical Health],""))</f>
        <v/>
      </c>
      <c r="FG44" s="44" t="str">
        <f>IF(Table1[Date of Initial Assessment]="","",IF(AND(Table1[Start Date]&gt;42094,Table1[Start Date]&lt;42461),Table1[Emotional and Mental Health],""))</f>
        <v/>
      </c>
      <c r="FH44" s="44" t="str">
        <f>IF(Table1[Date of Initial Assessment]="","",IF(AND(Table1[Start Date]&gt;42094,Table1[Start Date]&lt;42461),Table1[Meaningful Use of Time],""))</f>
        <v/>
      </c>
      <c r="FI44" s="44" t="str">
        <f>IF(Table1[Date of Initial Assessment]="","",IF(AND(Table1[Start Date]&gt;42094,Table1[Start Date]&lt;42461),Table1[Managing Tenancy and Accommodation],""))</f>
        <v/>
      </c>
      <c r="FJ44" s="44" t="str">
        <f>IF(Table1[Date of Initial Assessment]="","",IF(AND(Table1[Start Date]&gt;42094,Table1[Start Date]&lt;42461),Table1[Offending],""))</f>
        <v/>
      </c>
      <c r="FK44" s="44" t="str">
        <f>IF(Table1[Leaving Date]="","",IF(Table1[Date of Initial Assessment]="","",IF(AND(Table1[Leaving Date]&gt;42094,Table1[Leaving Date]&lt;42461),IF(Table1[Date of Last Assessment]="",Table1[Motivation and Taking Responsibility],Table1[Motivation and Taking Responsibility2]),"")))</f>
        <v/>
      </c>
      <c r="FL44" s="44" t="str">
        <f>IF(Table1[Leaving Date]="","",IF(Table1[Date of Initial Assessment]="","",IF(AND(Table1[Leaving Date]&gt;42094,Table1[Leaving Date]&lt;42461),IF(Table1[Date of Last Assessment]="",Table1[Self-Care and Living Skills],Table1[Self-Care and Living Skills2]),"")))</f>
        <v/>
      </c>
      <c r="FM44" s="44" t="str">
        <f>IF(Table1[Leaving Date]="","",IF(Table1[Date of Initial Assessment]="","",IF(AND(Table1[Leaving Date]&gt;42094,Table1[Leaving Date]&lt;42461),IF(Table1[Date of Last Assessment]="",Table1[Managing Money and Personal Administration],Table1[Managing Money and Personal Administration2]),"")))</f>
        <v/>
      </c>
      <c r="FN44" s="44" t="str">
        <f>IF(Table1[Leaving Date]="","",IF(Table1[Date of Initial Assessment]="","",IF(AND(Table1[Leaving Date]&gt;42094,Table1[Leaving Date]&lt;42461),IF(Table1[Date of Last Assessment]="",Table1[Social Networks and Relationships],Table1[Social Networks and Relationships2]),"")))</f>
        <v/>
      </c>
      <c r="FO44" s="44" t="str">
        <f>IF(Table1[Leaving Date]="","",IF(Table1[Date of Initial Assessment]="","",IF(AND(Table1[Leaving Date]&gt;42094,Table1[Leaving Date]&lt;42461),IF(Table1[Date of Last Assessment]="",Table1[Drug and Alcohol Misuse],Table1[Drug and Alcohol Misuse2]),"")))</f>
        <v/>
      </c>
      <c r="FP44" s="44" t="str">
        <f>IF(Table1[Leaving Date]="","",IF(Table1[Date of Initial Assessment]="","",IF(AND(Table1[Leaving Date]&gt;42094,Table1[Leaving Date]&lt;42461),IF(Table1[Date of Last Assessment]="",Table1[Physical Health],Table1[Physical Health2]),"")))</f>
        <v/>
      </c>
      <c r="FQ44" s="44" t="str">
        <f>IF(Table1[Leaving Date]="","",IF(Table1[Date of Initial Assessment]="","",IF(AND(Table1[Leaving Date]&gt;42094,Table1[Leaving Date]&lt;42461),IF(Table1[Date of Last Assessment]="",Table1[Emotional and Mental Health],Table1[Emotional and Mental Health2]),"")))</f>
        <v/>
      </c>
      <c r="FR44" s="44" t="str">
        <f>IF(Table1[Leaving Date]="","",IF(Table1[Date of Initial Assessment]="","",IF(AND(Table1[Leaving Date]&gt;42094,Table1[Leaving Date]&lt;42461),IF(Table1[Date of Last Assessment]="",Table1[Meaningful Use of Time],Table1[Meaningful Use of Time2]),"")))</f>
        <v/>
      </c>
      <c r="FS44" s="44" t="str">
        <f>IF(Table1[Leaving Date]="","",IF(Table1[Date of Initial Assessment]="","",IF(AND(Table1[Leaving Date]&gt;42094,Table1[Leaving Date]&lt;42461),IF(Table1[Date of Last Assessment]="",Table1[Managing Tenancy and Accommodation],Table1[Managing Tenancy and Accommodation2]),"")))</f>
        <v/>
      </c>
      <c r="FT44" s="44" t="str">
        <f>IF(Table1[Leaving Date]="","",IF(Table1[Date of Initial Assessment]="","",IF(AND(Table1[Leaving Date]&gt;42094,Table1[Leaving Date]&lt;42461),IF(Table1[Date of Last Assessment]="",Table1[Offending],Table1[Offending2]),"")))</f>
        <v/>
      </c>
      <c r="FU44" s="44" t="str">
        <f>IF(Table1[Date of Initial Assessment]="","",IF(AND(Table1[Start Date]&gt;42460,Table1[Start Date]&lt;42826),Table1[Motivation and Taking Responsibility],""))</f>
        <v/>
      </c>
      <c r="FV44" s="44" t="str">
        <f>IF(Table1[Date of Initial Assessment]="","",IF(AND(Table1[Start Date]&gt;42460,Table1[Start Date]&lt;42826),Table1[Self-Care and Living Skills],""))</f>
        <v/>
      </c>
      <c r="FW44" s="44" t="str">
        <f>IF(Table1[Date of Initial Assessment]="","",IF(AND(Table1[Start Date]&gt;42460,Table1[Start Date]&lt;42826),Table1[Managing Money and Personal Administration],""))</f>
        <v/>
      </c>
      <c r="FX44" s="44" t="str">
        <f>IF(Table1[Date of Initial Assessment]="","",IF(AND(Table1[Start Date]&gt;42460,Table1[Start Date]&lt;42826),Table1[Social Networks and Relationships],""))</f>
        <v/>
      </c>
      <c r="FY44" s="44" t="str">
        <f>IF(Table1[Date of Initial Assessment]="","",IF(AND(Table1[Start Date]&gt;42460,Table1[Start Date]&lt;42826),Table1[Drug and Alcohol Misuse],""))</f>
        <v/>
      </c>
      <c r="FZ44" s="44" t="str">
        <f>IF(Table1[Date of Initial Assessment]="","",IF(AND(Table1[Start Date]&gt;42460,Table1[Start Date]&lt;42826),Table1[Physical Health],""))</f>
        <v/>
      </c>
      <c r="GA44" s="44" t="str">
        <f>IF(Table1[Date of Initial Assessment]="","",IF(AND(Table1[Start Date]&gt;42460,Table1[Start Date]&lt;42826),Table1[Emotional and Mental Health],""))</f>
        <v/>
      </c>
      <c r="GB44" s="44" t="str">
        <f>IF(Table1[Date of Initial Assessment]="","",IF(AND(Table1[Start Date]&gt;42460,Table1[Start Date]&lt;42826),Table1[Meaningful Use of Time],""))</f>
        <v/>
      </c>
      <c r="GC44" s="44" t="str">
        <f>IF(Table1[Date of Initial Assessment]="","",IF(AND(Table1[Start Date]&gt;42460,Table1[Start Date]&lt;42826),Table1[Managing Tenancy and Accommodation],""))</f>
        <v/>
      </c>
      <c r="GD44" s="44" t="str">
        <f>IF(Table1[Date of Initial Assessment]="","",IF(AND(Table1[Start Date]&gt;42460,Table1[Start Date]&lt;42826),Table1[Offending],""))</f>
        <v/>
      </c>
      <c r="GE44" s="44" t="str">
        <f>IF(Table1[Leaving Date]="","",IF(AND(Table1[Leaving Date]&gt;42460,Table1[Leaving Date]&lt;42826),IF(Table1[Date of Last Assessment]="",Table1[Motivation and Taking Responsibility],Table1[Motivation and Taking Responsibility2]),""))</f>
        <v/>
      </c>
      <c r="GF44" s="44" t="str">
        <f>IF(Table1[Leaving Date]="","",IF(AND(Table1[Leaving Date]&gt;42460,Table1[Leaving Date]&lt;42826),IF(Table1[Date of Last Assessment]="",Table1[Self-Care and Living Skills],Table1[Self-Care and Living Skills2]),""))</f>
        <v/>
      </c>
      <c r="GG44" s="44" t="str">
        <f>IF(Table1[Leaving Date]="","",IF(AND(Table1[Leaving Date]&gt;42460,Table1[Leaving Date]&lt;42826),IF(Table1[Date of Last Assessment]="",Table1[Managing Money and Personal Administration],Table1[Managing Money and Personal Administration2]),""))</f>
        <v/>
      </c>
      <c r="GH44" s="44" t="str">
        <f>IF(Table1[Leaving Date]="","",IF(AND(Table1[Leaving Date]&gt;42460,Table1[Leaving Date]&lt;42826),IF(Table1[Date of Last Assessment]="",Table1[Social Networks and Relationships],Table1[Social Networks and Relationships2]),""))</f>
        <v/>
      </c>
      <c r="GI44" s="44" t="str">
        <f>IF(Table1[Leaving Date]="","",IF(AND(Table1[Leaving Date]&gt;42460,Table1[Leaving Date]&lt;42826),IF(Table1[Date of Last Assessment]="",Table1[Drug and Alcohol Misuse],Table1[Drug and Alcohol Misuse2]),""))</f>
        <v/>
      </c>
      <c r="GJ44" s="44" t="str">
        <f>IF(Table1[Leaving Date]="","",IF(AND(Table1[Leaving Date]&gt;42460,Table1[Leaving Date]&lt;42826),IF(Table1[Date of Last Assessment]="",Table1[Physical Health],Table1[Physical Health2]),""))</f>
        <v/>
      </c>
      <c r="GK44" s="44" t="str">
        <f>IF(Table1[Leaving Date]="","",IF(AND(Table1[Leaving Date]&gt;42460,Table1[Leaving Date]&lt;42826),IF(Table1[Date of Last Assessment]="",Table1[Emotional and Mental Health],Table1[Emotional and Mental Health2]),""))</f>
        <v/>
      </c>
      <c r="GL44" s="44" t="str">
        <f>IF(Table1[Leaving Date]="","",IF(AND(Table1[Leaving Date]&gt;42460,Table1[Leaving Date]&lt;42826),IF(Table1[Date of Last Assessment]="",Table1[Meaningful Use of Time],Table1[Meaningful Use of Time2]),""))</f>
        <v/>
      </c>
      <c r="GM44" s="44" t="str">
        <f>IF(Table1[Leaving Date]="","",IF(AND(Table1[Leaving Date]&gt;42460,Table1[Leaving Date]&lt;42826),IF(Table1[Date of Last Assessment]="",Table1[Managing Tenancy and Accommodation],Table1[Managing Tenancy and Accommodation2]),""))</f>
        <v/>
      </c>
      <c r="GN44" s="44" t="str">
        <f>IF(Table1[Leaving Date]="","",IF(AND(Table1[Leaving Date]&gt;42460,Table1[Leaving Date]&lt;42826),IF(Table1[Date of Last Assessment]="",Table1[Offending],Table1[Offending2]),""))</f>
        <v/>
      </c>
    </row>
    <row r="45" spans="2:196" ht="20.100000000000001" customHeight="1" x14ac:dyDescent="0.2">
      <c r="B45" s="86">
        <f>+'Service Data'!$C$5:$C$5</f>
        <v>0</v>
      </c>
      <c r="C45" s="86"/>
      <c r="D45" s="86"/>
      <c r="E45" s="86"/>
      <c r="F45" s="86"/>
      <c r="G45" s="86"/>
      <c r="H45" s="6"/>
      <c r="I45" s="99" t="str">
        <f ca="1">IF(Table1[[#This Row],[Date of Birth]]="","",SUM(TODAY()-Table1[[#This Row],[Date of Birth]])/365)</f>
        <v/>
      </c>
      <c r="L45" s="86"/>
      <c r="M45" s="77"/>
      <c r="N45" s="86"/>
      <c r="O45" s="86"/>
      <c r="P45" s="91"/>
      <c r="Q45" s="86"/>
      <c r="R45" s="77"/>
      <c r="S45" s="77"/>
      <c r="T45" s="68"/>
      <c r="U45" s="68"/>
      <c r="V45" s="67"/>
      <c r="W45" s="67"/>
      <c r="X45" s="67"/>
      <c r="Y45" s="67"/>
      <c r="Z45" s="67"/>
      <c r="AA45" s="67"/>
      <c r="AB45" s="67"/>
      <c r="AC45" s="67"/>
      <c r="AD45" s="67"/>
      <c r="AE45" s="67"/>
      <c r="AF45" s="67"/>
      <c r="AG45" s="67"/>
      <c r="AH45" s="67"/>
      <c r="AI45" s="67"/>
      <c r="AJ45" s="67"/>
      <c r="AK45" s="67"/>
      <c r="AL45" s="67"/>
      <c r="AM45" s="67"/>
      <c r="AN45" s="77"/>
      <c r="AO45" s="76"/>
      <c r="AP45" s="77"/>
      <c r="AQ45" s="76"/>
      <c r="AR45" s="76"/>
      <c r="AS45" s="76"/>
      <c r="AT45" s="76"/>
      <c r="AU45" s="76"/>
      <c r="AV45" s="77"/>
      <c r="AW45" s="76"/>
      <c r="AX45" s="77"/>
      <c r="AY45" s="76"/>
      <c r="AZ45" s="76"/>
      <c r="BA45" s="76"/>
      <c r="BB45" s="76"/>
      <c r="BC45" s="76"/>
      <c r="BD45" s="77"/>
      <c r="BE45" s="76"/>
      <c r="BF45" s="77"/>
      <c r="BG45" s="76"/>
      <c r="BH45" s="76"/>
      <c r="BI45" s="76"/>
      <c r="BJ45" s="76"/>
      <c r="BK45" s="76"/>
      <c r="BL45" s="77"/>
      <c r="BM45" s="76"/>
      <c r="BN45" s="77"/>
      <c r="BO45" s="76"/>
      <c r="BP45" s="76"/>
      <c r="BQ45" s="76"/>
      <c r="BR45" s="76"/>
      <c r="BS45" s="76"/>
      <c r="BT45" s="77"/>
      <c r="BU45" s="76"/>
      <c r="BV45" s="77"/>
      <c r="BW45" s="76"/>
      <c r="BX45" s="76"/>
      <c r="BY45" s="76"/>
      <c r="BZ45" s="76"/>
      <c r="CA45" s="76"/>
      <c r="CB45" s="77"/>
      <c r="CC45" s="76"/>
      <c r="CD45" s="77"/>
      <c r="CE45" s="76"/>
      <c r="CF45" s="76"/>
      <c r="CG45" s="76"/>
      <c r="CH45" s="76"/>
      <c r="CI45" s="76"/>
      <c r="CJ45" s="77"/>
      <c r="CK45" s="76"/>
      <c r="CL45" s="77"/>
      <c r="CM45" s="76"/>
      <c r="CN45" s="76"/>
      <c r="CO45" s="76"/>
      <c r="CP45" s="76"/>
      <c r="CQ45" s="76"/>
      <c r="CR45" s="78" t="str">
        <f t="shared" si="15"/>
        <v/>
      </c>
      <c r="CS45" s="79" t="str">
        <f t="shared" si="16"/>
        <v/>
      </c>
      <c r="CT45" s="79" t="str">
        <f t="shared" si="17"/>
        <v/>
      </c>
      <c r="CU45" s="79" t="str">
        <f t="shared" si="18"/>
        <v/>
      </c>
      <c r="CV45" s="79" t="str">
        <f t="shared" si="19"/>
        <v/>
      </c>
      <c r="CW45" s="79" t="str">
        <f t="shared" si="20"/>
        <v/>
      </c>
      <c r="CX45" s="79" t="str">
        <f t="shared" si="21"/>
        <v/>
      </c>
      <c r="CY45" s="79" t="str">
        <f t="shared" si="22"/>
        <v/>
      </c>
      <c r="CZ45" s="79" t="str">
        <f t="shared" si="23"/>
        <v/>
      </c>
      <c r="DA45" s="79" t="str">
        <f t="shared" si="24"/>
        <v/>
      </c>
      <c r="DB45" s="79" t="str">
        <f t="shared" si="25"/>
        <v/>
      </c>
      <c r="DC45" s="79" t="str">
        <f t="shared" si="26"/>
        <v/>
      </c>
      <c r="DD45" s="79" t="str">
        <f t="shared" si="27"/>
        <v/>
      </c>
      <c r="DE45" s="79" t="str">
        <f t="shared" si="28"/>
        <v/>
      </c>
      <c r="DF45" s="79" t="str">
        <f t="shared" si="29"/>
        <v/>
      </c>
      <c r="DG45" s="79" t="str">
        <f t="shared" si="30"/>
        <v/>
      </c>
      <c r="DH45" s="76"/>
      <c r="DI45" s="78"/>
      <c r="DJ45" s="76"/>
      <c r="DK45" s="77"/>
      <c r="DL45" s="77"/>
      <c r="DM45" s="77"/>
      <c r="DN45" s="80"/>
      <c r="DO45" s="80"/>
      <c r="DP45" s="92" t="str">
        <f>IF(Table1[Start Date]="","",IF(Table1[Start Date]&gt;42185,"",IF(AND(Table1[Leaving Date]&gt;1,Table1[Leaving Date]&lt;42095),"",1)))</f>
        <v/>
      </c>
      <c r="DQ45" s="92" t="str">
        <f>IF(Table1[Start Date]="","",IF(Table1[Start Date]&gt;42277,"",IF(AND(Table1[Leaving Date]&gt;1,Table1[Leaving Date]&lt;42186),"",1)))</f>
        <v/>
      </c>
      <c r="DR45" s="92" t="str">
        <f>IF(Table1[Start Date]="","",IF(Table1[Start Date]&gt;42369,"",IF(AND(Table1[Leaving Date]&gt;1,Table1[Leaving Date]&lt;42278),"",1)))</f>
        <v/>
      </c>
      <c r="DS45" s="92" t="str">
        <f>IF(Table1[Start Date]="","",IF(Table1[Start Date]&gt;42460,"",IF(AND(Table1[Leaving Date]&gt;1,Table1[Leaving Date]&lt;42370),"",1)))</f>
        <v/>
      </c>
      <c r="DT45" s="92" t="str">
        <f>IF(Table1[Start Date]="","",IF(Table1[Start Date]&gt;42551,"",IF(AND(Table1[Leaving Date]&gt;1,Table1[Leaving Date]&lt;42461),"",1)))</f>
        <v/>
      </c>
      <c r="DU45" s="92" t="str">
        <f>IF(Table1[Start Date]="","",IF(Table1[Start Date]&gt;42643,"",IF(AND(Table1[Leaving Date]&gt;1,Table1[Leaving Date]&lt;42552),"",1)))</f>
        <v/>
      </c>
      <c r="DV45" s="92" t="str">
        <f>IF(Table1[Start Date]="","",IF(Table1[Start Date]&gt;42735,"",IF(AND(Table1[Leaving Date]&gt;1,Table1[Leaving Date]&lt;42644),"",1)))</f>
        <v/>
      </c>
      <c r="DW45" s="92" t="str">
        <f>IF(Table1[Start Date]="","",IF(Table1[Start Date]&gt;42825,"",IF(AND(Table1[Leaving Date]&gt;1,Table1[Leaving Date]&lt;42736),"",1)))</f>
        <v/>
      </c>
      <c r="DX45"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45" s="44" t="e">
        <f>VLOOKUP(Table1[Referral Source],Lists!$G$2:$H$20,2,FALSE)</f>
        <v>#N/A</v>
      </c>
      <c r="DZ45" s="93" t="e">
        <f>SUM(Table1[Data Referral Quarter]+Table1[Data Referral Source])</f>
        <v>#N/A</v>
      </c>
      <c r="EA45" s="44" t="b">
        <f>IF(Table1[Referral Decision]="Accepted",100,IF(Table1[Referral Decision]="Rejected by Provider",200,IF(Table1[Referral Decision]="Rejected by Applicant",300)))</f>
        <v>0</v>
      </c>
      <c r="EB45" s="44">
        <f>SUM(Table1[Data Referral Quarter]+Table1[Data Referral Decision])</f>
        <v>0</v>
      </c>
      <c r="EC45" s="44" t="b">
        <f>IF(Table1[Start Date]&gt;42735,8000,IF(Table1[Start Date]&gt;42643,7000,IF(Table1[Start Date]&gt;42551,6000,IF(Table1[Start Date]&gt;42460,5000,IF(Table1[Start Date]&gt;42369,4000,IF(Table1[Start Date]&gt;42277,3000,IF(Table1[Start Date]&gt;42185,2000,IF(Table1[Start Date]&gt;42094,1000))))))))</f>
        <v>0</v>
      </c>
      <c r="ED45" s="44" t="str">
        <f>IF(Table1[Start Date]="","",IF(Table1[Current Local Authority]="Swindon",1,"2"))</f>
        <v/>
      </c>
      <c r="EE45" s="44" t="e">
        <f>SUM(Table1[Data Start Date]+Table1[Data Local Authority])</f>
        <v>#VALUE!</v>
      </c>
      <c r="EF45" s="44">
        <f>IF(Table1[Registered with GP]="Yes",1,0)</f>
        <v>0</v>
      </c>
      <c r="EG45" s="44">
        <f>SUM(Table1[Data Start Date]+Table1[Data GP Start])</f>
        <v>0</v>
      </c>
      <c r="EH45" s="44" t="str">
        <f>IF(Table1[EET]="NEET",1,IF(Table1[EET]="Education",2,IF(Table1[EET]="Employment",2,IF(Table1[EET]="Training",2,IF(Table1[EET]="Retired",3,"")))))</f>
        <v/>
      </c>
      <c r="EI45" s="44" t="e">
        <f>Table1[Data Start Date]+Table1[Data EET Start]</f>
        <v>#VALUE!</v>
      </c>
      <c r="EJ45" s="44" t="b">
        <f>IF(Table1[Leaving Date]&gt;42735,8000,IF(Table1[Leaving Date]&gt;42643,7000,IF(Table1[Leaving Date]&gt;42551,6000,IF(Table1[Leaving Date]&gt;42460,5000,IF(Table1[Leaving Date]&gt;42369,4000,IF(Table1[Leaving Date]&gt;42277,3000,IF(Table1[Leaving Date]&gt;42185,2000,IF(Table1[Leaving Date]&gt;42094,1000))))))))</f>
        <v>0</v>
      </c>
      <c r="EK45" s="44" t="e">
        <f>VLOOKUP(Table1[Reason for Leaving],Lists!$T$2:$U$15,2,FALSE)</f>
        <v>#N/A</v>
      </c>
      <c r="EL45" s="44" t="e">
        <f>SUM(Table1[Data Leavers Date]+Table1[Data Move On])</f>
        <v>#N/A</v>
      </c>
      <c r="EM45" s="44" t="b">
        <f>IF(Table1[Registered with GP2]="Yes",1,IF(Table1[Registered with GP2]="No",0,IF(Table1[Registered with GP]="Yes",1,IF(Table1[Registered with GP]="No",0))))</f>
        <v>0</v>
      </c>
      <c r="EN45" s="44">
        <f>SUM(Table1[Data Leavers Date]+Table1[Data GP End])</f>
        <v>0</v>
      </c>
      <c r="EO45" s="44" t="str">
        <f>IF(Table1[EET2]="NEET",1,IF(Table1[EET2]="Employment",2,IF(Table1[EET2]="Education",2,IF(Table1[EET2]="Training",2,IF(Table1[EET2]="Retired",3,IF(Table1[EET]="NEET",1,IF(Table1[EET]="Employment",2,IF(Table1[EET]="Education",2,IF(Table1[EET]="Training",2,IF(Table1[EET]="Retired",3,""))))))))))</f>
        <v/>
      </c>
      <c r="EP45" s="44" t="e">
        <f>+Table1[[#This Row],[Data Leavers Date]]+Table1[[#This Row],[Data EET End]]</f>
        <v>#VALUE!</v>
      </c>
      <c r="EQ45" s="44">
        <f>IF(Table1[Exit Form Received]="Yes",1,0)</f>
        <v>0</v>
      </c>
      <c r="ER45" s="44">
        <f>+Table1[[#This Row],[Data Leavers Date]]+Table1[[#This Row],[Data Exit Forms]]</f>
        <v>0</v>
      </c>
      <c r="ES45" s="44" t="str">
        <f>IF(Table1[Data Leavers Date]=1000,SUM(Table1[Leaving Date]-Table1[Start Date]),"")</f>
        <v/>
      </c>
      <c r="ET45" s="44" t="str">
        <f>IF(Table1[Data Leavers Date]=2000,SUM(Table1[Leaving Date]-Table1[Start Date]),"")</f>
        <v/>
      </c>
      <c r="EU45" s="44" t="str">
        <f>IF(Table1[Data Leavers Date]=3000,SUM(Table1[Leaving Date]-Table1[Start Date]),"")</f>
        <v/>
      </c>
      <c r="EV45" s="44" t="str">
        <f>IF(Table1[Data Leavers Date]=4000,SUM(Table1[Leaving Date]-Table1[Start Date]),"")</f>
        <v/>
      </c>
      <c r="EW45" s="44" t="str">
        <f>IF(Table1[Data Leavers Date]=5000,SUM(Table1[Leaving Date]-Table1[Start Date]),"")</f>
        <v/>
      </c>
      <c r="EX45" s="44" t="str">
        <f>IF(Table1[Data Leavers Date]=6000,SUM(Table1[Leaving Date]-Table1[Start Date]),"")</f>
        <v/>
      </c>
      <c r="EY45" s="44" t="str">
        <f>IF(Table1[Data Leavers Date]=7000,SUM(Table1[Leaving Date]-Table1[Start Date]),"")</f>
        <v/>
      </c>
      <c r="EZ45" s="44" t="str">
        <f>IF(Table1[Data Leavers Date]=8000,SUM(Table1[Leaving Date]-Table1[Start Date]),"")</f>
        <v/>
      </c>
      <c r="FA45" s="44" t="str">
        <f>IF(Table1[Date of Initial Assessment]="","",IF(AND(Table1[Start Date]&gt;42094,Table1[Start Date]&lt;42461),Table1[Motivation and Taking Responsibility],""))</f>
        <v/>
      </c>
      <c r="FB45" s="44" t="str">
        <f>IF(Table1[Date of Initial Assessment]="","",IF(AND(Table1[Start Date]&gt;42094,Table1[Start Date]&lt;42461),Table1[Self-Care and Living Skills],""))</f>
        <v/>
      </c>
      <c r="FC45" s="44" t="str">
        <f>IF(Table1[Date of Initial Assessment]="","",IF(AND(Table1[Start Date]&gt;42094,Table1[Start Date]&lt;42461),Table1[Managing Money and Personal Administration],""))</f>
        <v/>
      </c>
      <c r="FD45" s="44" t="str">
        <f>IF(Table1[Date of Initial Assessment]="","",IF(AND(Table1[Start Date]&gt;42094,Table1[Start Date]&lt;42461),Table1[Social Networks and Relationships],""))</f>
        <v/>
      </c>
      <c r="FE45" s="44" t="str">
        <f>IF(Table1[Date of Initial Assessment]="","",IF(AND(Table1[Start Date]&gt;42094,Table1[Start Date]&lt;42461),Table1[Drug and Alcohol Misuse],""))</f>
        <v/>
      </c>
      <c r="FF45" s="44" t="str">
        <f>IF(Table1[Date of Initial Assessment]="","",IF(AND(Table1[Start Date]&gt;42094,Table1[Start Date]&lt;42461),Table1[Physical Health],""))</f>
        <v/>
      </c>
      <c r="FG45" s="44" t="str">
        <f>IF(Table1[Date of Initial Assessment]="","",IF(AND(Table1[Start Date]&gt;42094,Table1[Start Date]&lt;42461),Table1[Emotional and Mental Health],""))</f>
        <v/>
      </c>
      <c r="FH45" s="44" t="str">
        <f>IF(Table1[Date of Initial Assessment]="","",IF(AND(Table1[Start Date]&gt;42094,Table1[Start Date]&lt;42461),Table1[Meaningful Use of Time],""))</f>
        <v/>
      </c>
      <c r="FI45" s="44" t="str">
        <f>IF(Table1[Date of Initial Assessment]="","",IF(AND(Table1[Start Date]&gt;42094,Table1[Start Date]&lt;42461),Table1[Managing Tenancy and Accommodation],""))</f>
        <v/>
      </c>
      <c r="FJ45" s="44" t="str">
        <f>IF(Table1[Date of Initial Assessment]="","",IF(AND(Table1[Start Date]&gt;42094,Table1[Start Date]&lt;42461),Table1[Offending],""))</f>
        <v/>
      </c>
      <c r="FK45" s="44" t="str">
        <f>IF(Table1[Leaving Date]="","",IF(Table1[Date of Initial Assessment]="","",IF(AND(Table1[Leaving Date]&gt;42094,Table1[Leaving Date]&lt;42461),IF(Table1[Date of Last Assessment]="",Table1[Motivation and Taking Responsibility],Table1[Motivation and Taking Responsibility2]),"")))</f>
        <v/>
      </c>
      <c r="FL45" s="44" t="str">
        <f>IF(Table1[Leaving Date]="","",IF(Table1[Date of Initial Assessment]="","",IF(AND(Table1[Leaving Date]&gt;42094,Table1[Leaving Date]&lt;42461),IF(Table1[Date of Last Assessment]="",Table1[Self-Care and Living Skills],Table1[Self-Care and Living Skills2]),"")))</f>
        <v/>
      </c>
      <c r="FM45" s="44" t="str">
        <f>IF(Table1[Leaving Date]="","",IF(Table1[Date of Initial Assessment]="","",IF(AND(Table1[Leaving Date]&gt;42094,Table1[Leaving Date]&lt;42461),IF(Table1[Date of Last Assessment]="",Table1[Managing Money and Personal Administration],Table1[Managing Money and Personal Administration2]),"")))</f>
        <v/>
      </c>
      <c r="FN45" s="44" t="str">
        <f>IF(Table1[Leaving Date]="","",IF(Table1[Date of Initial Assessment]="","",IF(AND(Table1[Leaving Date]&gt;42094,Table1[Leaving Date]&lt;42461),IF(Table1[Date of Last Assessment]="",Table1[Social Networks and Relationships],Table1[Social Networks and Relationships2]),"")))</f>
        <v/>
      </c>
      <c r="FO45" s="44" t="str">
        <f>IF(Table1[Leaving Date]="","",IF(Table1[Date of Initial Assessment]="","",IF(AND(Table1[Leaving Date]&gt;42094,Table1[Leaving Date]&lt;42461),IF(Table1[Date of Last Assessment]="",Table1[Drug and Alcohol Misuse],Table1[Drug and Alcohol Misuse2]),"")))</f>
        <v/>
      </c>
      <c r="FP45" s="44" t="str">
        <f>IF(Table1[Leaving Date]="","",IF(Table1[Date of Initial Assessment]="","",IF(AND(Table1[Leaving Date]&gt;42094,Table1[Leaving Date]&lt;42461),IF(Table1[Date of Last Assessment]="",Table1[Physical Health],Table1[Physical Health2]),"")))</f>
        <v/>
      </c>
      <c r="FQ45" s="44" t="str">
        <f>IF(Table1[Leaving Date]="","",IF(Table1[Date of Initial Assessment]="","",IF(AND(Table1[Leaving Date]&gt;42094,Table1[Leaving Date]&lt;42461),IF(Table1[Date of Last Assessment]="",Table1[Emotional and Mental Health],Table1[Emotional and Mental Health2]),"")))</f>
        <v/>
      </c>
      <c r="FR45" s="44" t="str">
        <f>IF(Table1[Leaving Date]="","",IF(Table1[Date of Initial Assessment]="","",IF(AND(Table1[Leaving Date]&gt;42094,Table1[Leaving Date]&lt;42461),IF(Table1[Date of Last Assessment]="",Table1[Meaningful Use of Time],Table1[Meaningful Use of Time2]),"")))</f>
        <v/>
      </c>
      <c r="FS45" s="44" t="str">
        <f>IF(Table1[Leaving Date]="","",IF(Table1[Date of Initial Assessment]="","",IF(AND(Table1[Leaving Date]&gt;42094,Table1[Leaving Date]&lt;42461),IF(Table1[Date of Last Assessment]="",Table1[Managing Tenancy and Accommodation],Table1[Managing Tenancy and Accommodation2]),"")))</f>
        <v/>
      </c>
      <c r="FT45" s="44" t="str">
        <f>IF(Table1[Leaving Date]="","",IF(Table1[Date of Initial Assessment]="","",IF(AND(Table1[Leaving Date]&gt;42094,Table1[Leaving Date]&lt;42461),IF(Table1[Date of Last Assessment]="",Table1[Offending],Table1[Offending2]),"")))</f>
        <v/>
      </c>
      <c r="FU45" s="44" t="str">
        <f>IF(Table1[Date of Initial Assessment]="","",IF(AND(Table1[Start Date]&gt;42460,Table1[Start Date]&lt;42826),Table1[Motivation and Taking Responsibility],""))</f>
        <v/>
      </c>
      <c r="FV45" s="44" t="str">
        <f>IF(Table1[Date of Initial Assessment]="","",IF(AND(Table1[Start Date]&gt;42460,Table1[Start Date]&lt;42826),Table1[Self-Care and Living Skills],""))</f>
        <v/>
      </c>
      <c r="FW45" s="44" t="str">
        <f>IF(Table1[Date of Initial Assessment]="","",IF(AND(Table1[Start Date]&gt;42460,Table1[Start Date]&lt;42826),Table1[Managing Money and Personal Administration],""))</f>
        <v/>
      </c>
      <c r="FX45" s="44" t="str">
        <f>IF(Table1[Date of Initial Assessment]="","",IF(AND(Table1[Start Date]&gt;42460,Table1[Start Date]&lt;42826),Table1[Social Networks and Relationships],""))</f>
        <v/>
      </c>
      <c r="FY45" s="44" t="str">
        <f>IF(Table1[Date of Initial Assessment]="","",IF(AND(Table1[Start Date]&gt;42460,Table1[Start Date]&lt;42826),Table1[Drug and Alcohol Misuse],""))</f>
        <v/>
      </c>
      <c r="FZ45" s="44" t="str">
        <f>IF(Table1[Date of Initial Assessment]="","",IF(AND(Table1[Start Date]&gt;42460,Table1[Start Date]&lt;42826),Table1[Physical Health],""))</f>
        <v/>
      </c>
      <c r="GA45" s="44" t="str">
        <f>IF(Table1[Date of Initial Assessment]="","",IF(AND(Table1[Start Date]&gt;42460,Table1[Start Date]&lt;42826),Table1[Emotional and Mental Health],""))</f>
        <v/>
      </c>
      <c r="GB45" s="44" t="str">
        <f>IF(Table1[Date of Initial Assessment]="","",IF(AND(Table1[Start Date]&gt;42460,Table1[Start Date]&lt;42826),Table1[Meaningful Use of Time],""))</f>
        <v/>
      </c>
      <c r="GC45" s="44" t="str">
        <f>IF(Table1[Date of Initial Assessment]="","",IF(AND(Table1[Start Date]&gt;42460,Table1[Start Date]&lt;42826),Table1[Managing Tenancy and Accommodation],""))</f>
        <v/>
      </c>
      <c r="GD45" s="44" t="str">
        <f>IF(Table1[Date of Initial Assessment]="","",IF(AND(Table1[Start Date]&gt;42460,Table1[Start Date]&lt;42826),Table1[Offending],""))</f>
        <v/>
      </c>
      <c r="GE45" s="44" t="str">
        <f>IF(Table1[Leaving Date]="","",IF(AND(Table1[Leaving Date]&gt;42460,Table1[Leaving Date]&lt;42826),IF(Table1[Date of Last Assessment]="",Table1[Motivation and Taking Responsibility],Table1[Motivation and Taking Responsibility2]),""))</f>
        <v/>
      </c>
      <c r="GF45" s="44" t="str">
        <f>IF(Table1[Leaving Date]="","",IF(AND(Table1[Leaving Date]&gt;42460,Table1[Leaving Date]&lt;42826),IF(Table1[Date of Last Assessment]="",Table1[Self-Care and Living Skills],Table1[Self-Care and Living Skills2]),""))</f>
        <v/>
      </c>
      <c r="GG45" s="44" t="str">
        <f>IF(Table1[Leaving Date]="","",IF(AND(Table1[Leaving Date]&gt;42460,Table1[Leaving Date]&lt;42826),IF(Table1[Date of Last Assessment]="",Table1[Managing Money and Personal Administration],Table1[Managing Money and Personal Administration2]),""))</f>
        <v/>
      </c>
      <c r="GH45" s="44" t="str">
        <f>IF(Table1[Leaving Date]="","",IF(AND(Table1[Leaving Date]&gt;42460,Table1[Leaving Date]&lt;42826),IF(Table1[Date of Last Assessment]="",Table1[Social Networks and Relationships],Table1[Social Networks and Relationships2]),""))</f>
        <v/>
      </c>
      <c r="GI45" s="44" t="str">
        <f>IF(Table1[Leaving Date]="","",IF(AND(Table1[Leaving Date]&gt;42460,Table1[Leaving Date]&lt;42826),IF(Table1[Date of Last Assessment]="",Table1[Drug and Alcohol Misuse],Table1[Drug and Alcohol Misuse2]),""))</f>
        <v/>
      </c>
      <c r="GJ45" s="44" t="str">
        <f>IF(Table1[Leaving Date]="","",IF(AND(Table1[Leaving Date]&gt;42460,Table1[Leaving Date]&lt;42826),IF(Table1[Date of Last Assessment]="",Table1[Physical Health],Table1[Physical Health2]),""))</f>
        <v/>
      </c>
      <c r="GK45" s="44" t="str">
        <f>IF(Table1[Leaving Date]="","",IF(AND(Table1[Leaving Date]&gt;42460,Table1[Leaving Date]&lt;42826),IF(Table1[Date of Last Assessment]="",Table1[Emotional and Mental Health],Table1[Emotional and Mental Health2]),""))</f>
        <v/>
      </c>
      <c r="GL45" s="44" t="str">
        <f>IF(Table1[Leaving Date]="","",IF(AND(Table1[Leaving Date]&gt;42460,Table1[Leaving Date]&lt;42826),IF(Table1[Date of Last Assessment]="",Table1[Meaningful Use of Time],Table1[Meaningful Use of Time2]),""))</f>
        <v/>
      </c>
      <c r="GM45" s="44" t="str">
        <f>IF(Table1[Leaving Date]="","",IF(AND(Table1[Leaving Date]&gt;42460,Table1[Leaving Date]&lt;42826),IF(Table1[Date of Last Assessment]="",Table1[Managing Tenancy and Accommodation],Table1[Managing Tenancy and Accommodation2]),""))</f>
        <v/>
      </c>
      <c r="GN45" s="44" t="str">
        <f>IF(Table1[Leaving Date]="","",IF(AND(Table1[Leaving Date]&gt;42460,Table1[Leaving Date]&lt;42826),IF(Table1[Date of Last Assessment]="",Table1[Offending],Table1[Offending2]),""))</f>
        <v/>
      </c>
    </row>
    <row r="46" spans="2:196" ht="20.100000000000001" customHeight="1" x14ac:dyDescent="0.2">
      <c r="B46" s="86">
        <f>+'Service Data'!$C$5:$C$5</f>
        <v>0</v>
      </c>
      <c r="C46" s="86"/>
      <c r="D46" s="86"/>
      <c r="E46" s="86"/>
      <c r="F46" s="86"/>
      <c r="G46" s="86"/>
      <c r="H46" s="6"/>
      <c r="I46" s="99" t="str">
        <f ca="1">IF(Table1[[#This Row],[Date of Birth]]="","",SUM(TODAY()-Table1[[#This Row],[Date of Birth]])/365)</f>
        <v/>
      </c>
      <c r="L46" s="86"/>
      <c r="M46" s="77"/>
      <c r="N46" s="86"/>
      <c r="O46" s="86"/>
      <c r="P46" s="91"/>
      <c r="Q46" s="86"/>
      <c r="R46" s="77"/>
      <c r="S46" s="77"/>
      <c r="T46" s="68"/>
      <c r="U46" s="68"/>
      <c r="V46" s="67"/>
      <c r="W46" s="67"/>
      <c r="X46" s="67"/>
      <c r="Y46" s="67"/>
      <c r="Z46" s="67"/>
      <c r="AA46" s="67"/>
      <c r="AB46" s="67"/>
      <c r="AC46" s="67"/>
      <c r="AD46" s="67"/>
      <c r="AE46" s="67"/>
      <c r="AF46" s="67"/>
      <c r="AG46" s="67"/>
      <c r="AH46" s="67"/>
      <c r="AI46" s="67"/>
      <c r="AJ46" s="67"/>
      <c r="AK46" s="67"/>
      <c r="AL46" s="67"/>
      <c r="AM46" s="67"/>
      <c r="AN46" s="77"/>
      <c r="AO46" s="76"/>
      <c r="AP46" s="77"/>
      <c r="AQ46" s="76"/>
      <c r="AR46" s="76"/>
      <c r="AS46" s="76"/>
      <c r="AT46" s="76"/>
      <c r="AU46" s="76"/>
      <c r="AV46" s="77"/>
      <c r="AW46" s="76"/>
      <c r="AX46" s="77"/>
      <c r="AY46" s="76"/>
      <c r="AZ46" s="76"/>
      <c r="BA46" s="76"/>
      <c r="BB46" s="76"/>
      <c r="BC46" s="76"/>
      <c r="BD46" s="77"/>
      <c r="BE46" s="76"/>
      <c r="BF46" s="77"/>
      <c r="BG46" s="76"/>
      <c r="BH46" s="76"/>
      <c r="BI46" s="76"/>
      <c r="BJ46" s="76"/>
      <c r="BK46" s="76"/>
      <c r="BL46" s="77"/>
      <c r="BM46" s="76"/>
      <c r="BN46" s="77"/>
      <c r="BO46" s="76"/>
      <c r="BP46" s="76"/>
      <c r="BQ46" s="76"/>
      <c r="BR46" s="76"/>
      <c r="BS46" s="76"/>
      <c r="BT46" s="77"/>
      <c r="BU46" s="76"/>
      <c r="BV46" s="77"/>
      <c r="BW46" s="76"/>
      <c r="BX46" s="76"/>
      <c r="BY46" s="76"/>
      <c r="BZ46" s="76"/>
      <c r="CA46" s="76"/>
      <c r="CB46" s="77"/>
      <c r="CC46" s="76"/>
      <c r="CD46" s="77"/>
      <c r="CE46" s="76"/>
      <c r="CF46" s="76"/>
      <c r="CG46" s="76"/>
      <c r="CH46" s="76"/>
      <c r="CI46" s="76"/>
      <c r="CJ46" s="77"/>
      <c r="CK46" s="76"/>
      <c r="CL46" s="77"/>
      <c r="CM46" s="76"/>
      <c r="CN46" s="76"/>
      <c r="CO46" s="76"/>
      <c r="CP46" s="76"/>
      <c r="CQ46" s="76"/>
      <c r="CR46" s="78" t="str">
        <f t="shared" si="15"/>
        <v/>
      </c>
      <c r="CS46" s="79" t="str">
        <f t="shared" si="16"/>
        <v/>
      </c>
      <c r="CT46" s="79" t="str">
        <f t="shared" si="17"/>
        <v/>
      </c>
      <c r="CU46" s="79" t="str">
        <f t="shared" si="18"/>
        <v/>
      </c>
      <c r="CV46" s="79" t="str">
        <f t="shared" si="19"/>
        <v/>
      </c>
      <c r="CW46" s="79" t="str">
        <f t="shared" si="20"/>
        <v/>
      </c>
      <c r="CX46" s="79" t="str">
        <f t="shared" si="21"/>
        <v/>
      </c>
      <c r="CY46" s="79" t="str">
        <f t="shared" si="22"/>
        <v/>
      </c>
      <c r="CZ46" s="79" t="str">
        <f t="shared" si="23"/>
        <v/>
      </c>
      <c r="DA46" s="79" t="str">
        <f t="shared" si="24"/>
        <v/>
      </c>
      <c r="DB46" s="79" t="str">
        <f t="shared" si="25"/>
        <v/>
      </c>
      <c r="DC46" s="79" t="str">
        <f t="shared" si="26"/>
        <v/>
      </c>
      <c r="DD46" s="79" t="str">
        <f t="shared" si="27"/>
        <v/>
      </c>
      <c r="DE46" s="79" t="str">
        <f t="shared" si="28"/>
        <v/>
      </c>
      <c r="DF46" s="79" t="str">
        <f t="shared" si="29"/>
        <v/>
      </c>
      <c r="DG46" s="79" t="str">
        <f t="shared" si="30"/>
        <v/>
      </c>
      <c r="DH46" s="76"/>
      <c r="DI46" s="78"/>
      <c r="DJ46" s="76"/>
      <c r="DK46" s="77"/>
      <c r="DL46" s="77"/>
      <c r="DM46" s="77"/>
      <c r="DN46" s="80"/>
      <c r="DO46" s="80"/>
      <c r="DP46" s="92" t="str">
        <f>IF(Table1[Start Date]="","",IF(Table1[Start Date]&gt;42185,"",IF(AND(Table1[Leaving Date]&gt;1,Table1[Leaving Date]&lt;42095),"",1)))</f>
        <v/>
      </c>
      <c r="DQ46" s="92" t="str">
        <f>IF(Table1[Start Date]="","",IF(Table1[Start Date]&gt;42277,"",IF(AND(Table1[Leaving Date]&gt;1,Table1[Leaving Date]&lt;42186),"",1)))</f>
        <v/>
      </c>
      <c r="DR46" s="92" t="str">
        <f>IF(Table1[Start Date]="","",IF(Table1[Start Date]&gt;42369,"",IF(AND(Table1[Leaving Date]&gt;1,Table1[Leaving Date]&lt;42278),"",1)))</f>
        <v/>
      </c>
      <c r="DS46" s="92" t="str">
        <f>IF(Table1[Start Date]="","",IF(Table1[Start Date]&gt;42460,"",IF(AND(Table1[Leaving Date]&gt;1,Table1[Leaving Date]&lt;42370),"",1)))</f>
        <v/>
      </c>
      <c r="DT46" s="92" t="str">
        <f>IF(Table1[Start Date]="","",IF(Table1[Start Date]&gt;42551,"",IF(AND(Table1[Leaving Date]&gt;1,Table1[Leaving Date]&lt;42461),"",1)))</f>
        <v/>
      </c>
      <c r="DU46" s="92" t="str">
        <f>IF(Table1[Start Date]="","",IF(Table1[Start Date]&gt;42643,"",IF(AND(Table1[Leaving Date]&gt;1,Table1[Leaving Date]&lt;42552),"",1)))</f>
        <v/>
      </c>
      <c r="DV46" s="92" t="str">
        <f>IF(Table1[Start Date]="","",IF(Table1[Start Date]&gt;42735,"",IF(AND(Table1[Leaving Date]&gt;1,Table1[Leaving Date]&lt;42644),"",1)))</f>
        <v/>
      </c>
      <c r="DW46" s="92" t="str">
        <f>IF(Table1[Start Date]="","",IF(Table1[Start Date]&gt;42825,"",IF(AND(Table1[Leaving Date]&gt;1,Table1[Leaving Date]&lt;42736),"",1)))</f>
        <v/>
      </c>
      <c r="DX46"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46" s="44" t="e">
        <f>VLOOKUP(Table1[Referral Source],Lists!$G$2:$H$20,2,FALSE)</f>
        <v>#N/A</v>
      </c>
      <c r="DZ46" s="93" t="e">
        <f>SUM(Table1[Data Referral Quarter]+Table1[Data Referral Source])</f>
        <v>#N/A</v>
      </c>
      <c r="EA46" s="44" t="b">
        <f>IF(Table1[Referral Decision]="Accepted",100,IF(Table1[Referral Decision]="Rejected by Provider",200,IF(Table1[Referral Decision]="Rejected by Applicant",300)))</f>
        <v>0</v>
      </c>
      <c r="EB46" s="44">
        <f>SUM(Table1[Data Referral Quarter]+Table1[Data Referral Decision])</f>
        <v>0</v>
      </c>
      <c r="EC46" s="44" t="b">
        <f>IF(Table1[Start Date]&gt;42735,8000,IF(Table1[Start Date]&gt;42643,7000,IF(Table1[Start Date]&gt;42551,6000,IF(Table1[Start Date]&gt;42460,5000,IF(Table1[Start Date]&gt;42369,4000,IF(Table1[Start Date]&gt;42277,3000,IF(Table1[Start Date]&gt;42185,2000,IF(Table1[Start Date]&gt;42094,1000))))))))</f>
        <v>0</v>
      </c>
      <c r="ED46" s="44" t="str">
        <f>IF(Table1[Start Date]="","",IF(Table1[Current Local Authority]="Swindon",1,"2"))</f>
        <v/>
      </c>
      <c r="EE46" s="44" t="e">
        <f>SUM(Table1[Data Start Date]+Table1[Data Local Authority])</f>
        <v>#VALUE!</v>
      </c>
      <c r="EF46" s="44">
        <f>IF(Table1[Registered with GP]="Yes",1,0)</f>
        <v>0</v>
      </c>
      <c r="EG46" s="44">
        <f>SUM(Table1[Data Start Date]+Table1[Data GP Start])</f>
        <v>0</v>
      </c>
      <c r="EH46" s="44" t="str">
        <f>IF(Table1[EET]="NEET",1,IF(Table1[EET]="Education",2,IF(Table1[EET]="Employment",2,IF(Table1[EET]="Training",2,IF(Table1[EET]="Retired",3,"")))))</f>
        <v/>
      </c>
      <c r="EI46" s="44" t="e">
        <f>Table1[Data Start Date]+Table1[Data EET Start]</f>
        <v>#VALUE!</v>
      </c>
      <c r="EJ46" s="44" t="b">
        <f>IF(Table1[Leaving Date]&gt;42735,8000,IF(Table1[Leaving Date]&gt;42643,7000,IF(Table1[Leaving Date]&gt;42551,6000,IF(Table1[Leaving Date]&gt;42460,5000,IF(Table1[Leaving Date]&gt;42369,4000,IF(Table1[Leaving Date]&gt;42277,3000,IF(Table1[Leaving Date]&gt;42185,2000,IF(Table1[Leaving Date]&gt;42094,1000))))))))</f>
        <v>0</v>
      </c>
      <c r="EK46" s="44" t="e">
        <f>VLOOKUP(Table1[Reason for Leaving],Lists!$T$2:$U$15,2,FALSE)</f>
        <v>#N/A</v>
      </c>
      <c r="EL46" s="44" t="e">
        <f>SUM(Table1[Data Leavers Date]+Table1[Data Move On])</f>
        <v>#N/A</v>
      </c>
      <c r="EM46" s="44" t="b">
        <f>IF(Table1[Registered with GP2]="Yes",1,IF(Table1[Registered with GP2]="No",0,IF(Table1[Registered with GP]="Yes",1,IF(Table1[Registered with GP]="No",0))))</f>
        <v>0</v>
      </c>
      <c r="EN46" s="44">
        <f>SUM(Table1[Data Leavers Date]+Table1[Data GP End])</f>
        <v>0</v>
      </c>
      <c r="EO46" s="44" t="str">
        <f>IF(Table1[EET2]="NEET",1,IF(Table1[EET2]="Employment",2,IF(Table1[EET2]="Education",2,IF(Table1[EET2]="Training",2,IF(Table1[EET2]="Retired",3,IF(Table1[EET]="NEET",1,IF(Table1[EET]="Employment",2,IF(Table1[EET]="Education",2,IF(Table1[EET]="Training",2,IF(Table1[EET]="Retired",3,""))))))))))</f>
        <v/>
      </c>
      <c r="EP46" s="44" t="e">
        <f>+Table1[[#This Row],[Data Leavers Date]]+Table1[[#This Row],[Data EET End]]</f>
        <v>#VALUE!</v>
      </c>
      <c r="EQ46" s="44">
        <f>IF(Table1[Exit Form Received]="Yes",1,0)</f>
        <v>0</v>
      </c>
      <c r="ER46" s="44">
        <f>+Table1[[#This Row],[Data Leavers Date]]+Table1[[#This Row],[Data Exit Forms]]</f>
        <v>0</v>
      </c>
      <c r="ES46" s="44" t="str">
        <f>IF(Table1[Data Leavers Date]=1000,SUM(Table1[Leaving Date]-Table1[Start Date]),"")</f>
        <v/>
      </c>
      <c r="ET46" s="44" t="str">
        <f>IF(Table1[Data Leavers Date]=2000,SUM(Table1[Leaving Date]-Table1[Start Date]),"")</f>
        <v/>
      </c>
      <c r="EU46" s="44" t="str">
        <f>IF(Table1[Data Leavers Date]=3000,SUM(Table1[Leaving Date]-Table1[Start Date]),"")</f>
        <v/>
      </c>
      <c r="EV46" s="44" t="str">
        <f>IF(Table1[Data Leavers Date]=4000,SUM(Table1[Leaving Date]-Table1[Start Date]),"")</f>
        <v/>
      </c>
      <c r="EW46" s="44" t="str">
        <f>IF(Table1[Data Leavers Date]=5000,SUM(Table1[Leaving Date]-Table1[Start Date]),"")</f>
        <v/>
      </c>
      <c r="EX46" s="44" t="str">
        <f>IF(Table1[Data Leavers Date]=6000,SUM(Table1[Leaving Date]-Table1[Start Date]),"")</f>
        <v/>
      </c>
      <c r="EY46" s="44" t="str">
        <f>IF(Table1[Data Leavers Date]=7000,SUM(Table1[Leaving Date]-Table1[Start Date]),"")</f>
        <v/>
      </c>
      <c r="EZ46" s="44" t="str">
        <f>IF(Table1[Data Leavers Date]=8000,SUM(Table1[Leaving Date]-Table1[Start Date]),"")</f>
        <v/>
      </c>
      <c r="FA46" s="44" t="str">
        <f>IF(Table1[Date of Initial Assessment]="","",IF(AND(Table1[Start Date]&gt;42094,Table1[Start Date]&lt;42461),Table1[Motivation and Taking Responsibility],""))</f>
        <v/>
      </c>
      <c r="FB46" s="44" t="str">
        <f>IF(Table1[Date of Initial Assessment]="","",IF(AND(Table1[Start Date]&gt;42094,Table1[Start Date]&lt;42461),Table1[Self-Care and Living Skills],""))</f>
        <v/>
      </c>
      <c r="FC46" s="44" t="str">
        <f>IF(Table1[Date of Initial Assessment]="","",IF(AND(Table1[Start Date]&gt;42094,Table1[Start Date]&lt;42461),Table1[Managing Money and Personal Administration],""))</f>
        <v/>
      </c>
      <c r="FD46" s="44" t="str">
        <f>IF(Table1[Date of Initial Assessment]="","",IF(AND(Table1[Start Date]&gt;42094,Table1[Start Date]&lt;42461),Table1[Social Networks and Relationships],""))</f>
        <v/>
      </c>
      <c r="FE46" s="44" t="str">
        <f>IF(Table1[Date of Initial Assessment]="","",IF(AND(Table1[Start Date]&gt;42094,Table1[Start Date]&lt;42461),Table1[Drug and Alcohol Misuse],""))</f>
        <v/>
      </c>
      <c r="FF46" s="44" t="str">
        <f>IF(Table1[Date of Initial Assessment]="","",IF(AND(Table1[Start Date]&gt;42094,Table1[Start Date]&lt;42461),Table1[Physical Health],""))</f>
        <v/>
      </c>
      <c r="FG46" s="44" t="str">
        <f>IF(Table1[Date of Initial Assessment]="","",IF(AND(Table1[Start Date]&gt;42094,Table1[Start Date]&lt;42461),Table1[Emotional and Mental Health],""))</f>
        <v/>
      </c>
      <c r="FH46" s="44" t="str">
        <f>IF(Table1[Date of Initial Assessment]="","",IF(AND(Table1[Start Date]&gt;42094,Table1[Start Date]&lt;42461),Table1[Meaningful Use of Time],""))</f>
        <v/>
      </c>
      <c r="FI46" s="44" t="str">
        <f>IF(Table1[Date of Initial Assessment]="","",IF(AND(Table1[Start Date]&gt;42094,Table1[Start Date]&lt;42461),Table1[Managing Tenancy and Accommodation],""))</f>
        <v/>
      </c>
      <c r="FJ46" s="44" t="str">
        <f>IF(Table1[Date of Initial Assessment]="","",IF(AND(Table1[Start Date]&gt;42094,Table1[Start Date]&lt;42461),Table1[Offending],""))</f>
        <v/>
      </c>
      <c r="FK46" s="44" t="str">
        <f>IF(Table1[Leaving Date]="","",IF(Table1[Date of Initial Assessment]="","",IF(AND(Table1[Leaving Date]&gt;42094,Table1[Leaving Date]&lt;42461),IF(Table1[Date of Last Assessment]="",Table1[Motivation and Taking Responsibility],Table1[Motivation and Taking Responsibility2]),"")))</f>
        <v/>
      </c>
      <c r="FL46" s="44" t="str">
        <f>IF(Table1[Leaving Date]="","",IF(Table1[Date of Initial Assessment]="","",IF(AND(Table1[Leaving Date]&gt;42094,Table1[Leaving Date]&lt;42461),IF(Table1[Date of Last Assessment]="",Table1[Self-Care and Living Skills],Table1[Self-Care and Living Skills2]),"")))</f>
        <v/>
      </c>
      <c r="FM46" s="44" t="str">
        <f>IF(Table1[Leaving Date]="","",IF(Table1[Date of Initial Assessment]="","",IF(AND(Table1[Leaving Date]&gt;42094,Table1[Leaving Date]&lt;42461),IF(Table1[Date of Last Assessment]="",Table1[Managing Money and Personal Administration],Table1[Managing Money and Personal Administration2]),"")))</f>
        <v/>
      </c>
      <c r="FN46" s="44" t="str">
        <f>IF(Table1[Leaving Date]="","",IF(Table1[Date of Initial Assessment]="","",IF(AND(Table1[Leaving Date]&gt;42094,Table1[Leaving Date]&lt;42461),IF(Table1[Date of Last Assessment]="",Table1[Social Networks and Relationships],Table1[Social Networks and Relationships2]),"")))</f>
        <v/>
      </c>
      <c r="FO46" s="44" t="str">
        <f>IF(Table1[Leaving Date]="","",IF(Table1[Date of Initial Assessment]="","",IF(AND(Table1[Leaving Date]&gt;42094,Table1[Leaving Date]&lt;42461),IF(Table1[Date of Last Assessment]="",Table1[Drug and Alcohol Misuse],Table1[Drug and Alcohol Misuse2]),"")))</f>
        <v/>
      </c>
      <c r="FP46" s="44" t="str">
        <f>IF(Table1[Leaving Date]="","",IF(Table1[Date of Initial Assessment]="","",IF(AND(Table1[Leaving Date]&gt;42094,Table1[Leaving Date]&lt;42461),IF(Table1[Date of Last Assessment]="",Table1[Physical Health],Table1[Physical Health2]),"")))</f>
        <v/>
      </c>
      <c r="FQ46" s="44" t="str">
        <f>IF(Table1[Leaving Date]="","",IF(Table1[Date of Initial Assessment]="","",IF(AND(Table1[Leaving Date]&gt;42094,Table1[Leaving Date]&lt;42461),IF(Table1[Date of Last Assessment]="",Table1[Emotional and Mental Health],Table1[Emotional and Mental Health2]),"")))</f>
        <v/>
      </c>
      <c r="FR46" s="44" t="str">
        <f>IF(Table1[Leaving Date]="","",IF(Table1[Date of Initial Assessment]="","",IF(AND(Table1[Leaving Date]&gt;42094,Table1[Leaving Date]&lt;42461),IF(Table1[Date of Last Assessment]="",Table1[Meaningful Use of Time],Table1[Meaningful Use of Time2]),"")))</f>
        <v/>
      </c>
      <c r="FS46" s="44" t="str">
        <f>IF(Table1[Leaving Date]="","",IF(Table1[Date of Initial Assessment]="","",IF(AND(Table1[Leaving Date]&gt;42094,Table1[Leaving Date]&lt;42461),IF(Table1[Date of Last Assessment]="",Table1[Managing Tenancy and Accommodation],Table1[Managing Tenancy and Accommodation2]),"")))</f>
        <v/>
      </c>
      <c r="FT46" s="44" t="str">
        <f>IF(Table1[Leaving Date]="","",IF(Table1[Date of Initial Assessment]="","",IF(AND(Table1[Leaving Date]&gt;42094,Table1[Leaving Date]&lt;42461),IF(Table1[Date of Last Assessment]="",Table1[Offending],Table1[Offending2]),"")))</f>
        <v/>
      </c>
      <c r="FU46" s="44" t="str">
        <f>IF(Table1[Date of Initial Assessment]="","",IF(AND(Table1[Start Date]&gt;42460,Table1[Start Date]&lt;42826),Table1[Motivation and Taking Responsibility],""))</f>
        <v/>
      </c>
      <c r="FV46" s="44" t="str">
        <f>IF(Table1[Date of Initial Assessment]="","",IF(AND(Table1[Start Date]&gt;42460,Table1[Start Date]&lt;42826),Table1[Self-Care and Living Skills],""))</f>
        <v/>
      </c>
      <c r="FW46" s="44" t="str">
        <f>IF(Table1[Date of Initial Assessment]="","",IF(AND(Table1[Start Date]&gt;42460,Table1[Start Date]&lt;42826),Table1[Managing Money and Personal Administration],""))</f>
        <v/>
      </c>
      <c r="FX46" s="44" t="str">
        <f>IF(Table1[Date of Initial Assessment]="","",IF(AND(Table1[Start Date]&gt;42460,Table1[Start Date]&lt;42826),Table1[Social Networks and Relationships],""))</f>
        <v/>
      </c>
      <c r="FY46" s="44" t="str">
        <f>IF(Table1[Date of Initial Assessment]="","",IF(AND(Table1[Start Date]&gt;42460,Table1[Start Date]&lt;42826),Table1[Drug and Alcohol Misuse],""))</f>
        <v/>
      </c>
      <c r="FZ46" s="44" t="str">
        <f>IF(Table1[Date of Initial Assessment]="","",IF(AND(Table1[Start Date]&gt;42460,Table1[Start Date]&lt;42826),Table1[Physical Health],""))</f>
        <v/>
      </c>
      <c r="GA46" s="44" t="str">
        <f>IF(Table1[Date of Initial Assessment]="","",IF(AND(Table1[Start Date]&gt;42460,Table1[Start Date]&lt;42826),Table1[Emotional and Mental Health],""))</f>
        <v/>
      </c>
      <c r="GB46" s="44" t="str">
        <f>IF(Table1[Date of Initial Assessment]="","",IF(AND(Table1[Start Date]&gt;42460,Table1[Start Date]&lt;42826),Table1[Meaningful Use of Time],""))</f>
        <v/>
      </c>
      <c r="GC46" s="44" t="str">
        <f>IF(Table1[Date of Initial Assessment]="","",IF(AND(Table1[Start Date]&gt;42460,Table1[Start Date]&lt;42826),Table1[Managing Tenancy and Accommodation],""))</f>
        <v/>
      </c>
      <c r="GD46" s="44" t="str">
        <f>IF(Table1[Date of Initial Assessment]="","",IF(AND(Table1[Start Date]&gt;42460,Table1[Start Date]&lt;42826),Table1[Offending],""))</f>
        <v/>
      </c>
      <c r="GE46" s="44" t="str">
        <f>IF(Table1[Leaving Date]="","",IF(AND(Table1[Leaving Date]&gt;42460,Table1[Leaving Date]&lt;42826),IF(Table1[Date of Last Assessment]="",Table1[Motivation and Taking Responsibility],Table1[Motivation and Taking Responsibility2]),""))</f>
        <v/>
      </c>
      <c r="GF46" s="44" t="str">
        <f>IF(Table1[Leaving Date]="","",IF(AND(Table1[Leaving Date]&gt;42460,Table1[Leaving Date]&lt;42826),IF(Table1[Date of Last Assessment]="",Table1[Self-Care and Living Skills],Table1[Self-Care and Living Skills2]),""))</f>
        <v/>
      </c>
      <c r="GG46" s="44" t="str">
        <f>IF(Table1[Leaving Date]="","",IF(AND(Table1[Leaving Date]&gt;42460,Table1[Leaving Date]&lt;42826),IF(Table1[Date of Last Assessment]="",Table1[Managing Money and Personal Administration],Table1[Managing Money and Personal Administration2]),""))</f>
        <v/>
      </c>
      <c r="GH46" s="44" t="str">
        <f>IF(Table1[Leaving Date]="","",IF(AND(Table1[Leaving Date]&gt;42460,Table1[Leaving Date]&lt;42826),IF(Table1[Date of Last Assessment]="",Table1[Social Networks and Relationships],Table1[Social Networks and Relationships2]),""))</f>
        <v/>
      </c>
      <c r="GI46" s="44" t="str">
        <f>IF(Table1[Leaving Date]="","",IF(AND(Table1[Leaving Date]&gt;42460,Table1[Leaving Date]&lt;42826),IF(Table1[Date of Last Assessment]="",Table1[Drug and Alcohol Misuse],Table1[Drug and Alcohol Misuse2]),""))</f>
        <v/>
      </c>
      <c r="GJ46" s="44" t="str">
        <f>IF(Table1[Leaving Date]="","",IF(AND(Table1[Leaving Date]&gt;42460,Table1[Leaving Date]&lt;42826),IF(Table1[Date of Last Assessment]="",Table1[Physical Health],Table1[Physical Health2]),""))</f>
        <v/>
      </c>
      <c r="GK46" s="44" t="str">
        <f>IF(Table1[Leaving Date]="","",IF(AND(Table1[Leaving Date]&gt;42460,Table1[Leaving Date]&lt;42826),IF(Table1[Date of Last Assessment]="",Table1[Emotional and Mental Health],Table1[Emotional and Mental Health2]),""))</f>
        <v/>
      </c>
      <c r="GL46" s="44" t="str">
        <f>IF(Table1[Leaving Date]="","",IF(AND(Table1[Leaving Date]&gt;42460,Table1[Leaving Date]&lt;42826),IF(Table1[Date of Last Assessment]="",Table1[Meaningful Use of Time],Table1[Meaningful Use of Time2]),""))</f>
        <v/>
      </c>
      <c r="GM46" s="44" t="str">
        <f>IF(Table1[Leaving Date]="","",IF(AND(Table1[Leaving Date]&gt;42460,Table1[Leaving Date]&lt;42826),IF(Table1[Date of Last Assessment]="",Table1[Managing Tenancy and Accommodation],Table1[Managing Tenancy and Accommodation2]),""))</f>
        <v/>
      </c>
      <c r="GN46" s="44" t="str">
        <f>IF(Table1[Leaving Date]="","",IF(AND(Table1[Leaving Date]&gt;42460,Table1[Leaving Date]&lt;42826),IF(Table1[Date of Last Assessment]="",Table1[Offending],Table1[Offending2]),""))</f>
        <v/>
      </c>
    </row>
    <row r="47" spans="2:196" ht="20.100000000000001" customHeight="1" x14ac:dyDescent="0.2">
      <c r="B47" s="86">
        <f>+'Service Data'!$C$5:$C$5</f>
        <v>0</v>
      </c>
      <c r="C47" s="86"/>
      <c r="D47" s="86"/>
      <c r="E47" s="86"/>
      <c r="F47" s="86"/>
      <c r="G47" s="86"/>
      <c r="H47" s="6"/>
      <c r="I47" s="99" t="str">
        <f ca="1">IF(Table1[[#This Row],[Date of Birth]]="","",SUM(TODAY()-Table1[[#This Row],[Date of Birth]])/365)</f>
        <v/>
      </c>
      <c r="L47" s="86"/>
      <c r="M47" s="77"/>
      <c r="N47" s="86"/>
      <c r="O47" s="86"/>
      <c r="P47" s="91"/>
      <c r="Q47" s="86"/>
      <c r="R47" s="77"/>
      <c r="S47" s="77"/>
      <c r="T47" s="68"/>
      <c r="U47" s="68"/>
      <c r="V47" s="67"/>
      <c r="W47" s="67"/>
      <c r="X47" s="67"/>
      <c r="Y47" s="67"/>
      <c r="Z47" s="67"/>
      <c r="AA47" s="67"/>
      <c r="AB47" s="67"/>
      <c r="AC47" s="67"/>
      <c r="AD47" s="67"/>
      <c r="AE47" s="67"/>
      <c r="AF47" s="67"/>
      <c r="AG47" s="67"/>
      <c r="AH47" s="67"/>
      <c r="AI47" s="67"/>
      <c r="AJ47" s="67"/>
      <c r="AK47" s="67"/>
      <c r="AL47" s="67"/>
      <c r="AM47" s="67"/>
      <c r="AN47" s="77"/>
      <c r="AO47" s="76"/>
      <c r="AP47" s="77"/>
      <c r="AQ47" s="76"/>
      <c r="AR47" s="76"/>
      <c r="AS47" s="76"/>
      <c r="AT47" s="76"/>
      <c r="AU47" s="76"/>
      <c r="AV47" s="77"/>
      <c r="AW47" s="76"/>
      <c r="AX47" s="77"/>
      <c r="AY47" s="76"/>
      <c r="AZ47" s="76"/>
      <c r="BA47" s="76"/>
      <c r="BB47" s="76"/>
      <c r="BC47" s="76"/>
      <c r="BD47" s="77"/>
      <c r="BE47" s="76"/>
      <c r="BF47" s="77"/>
      <c r="BG47" s="76"/>
      <c r="BH47" s="76"/>
      <c r="BI47" s="76"/>
      <c r="BJ47" s="76"/>
      <c r="BK47" s="76"/>
      <c r="BL47" s="77"/>
      <c r="BM47" s="76"/>
      <c r="BN47" s="77"/>
      <c r="BO47" s="76"/>
      <c r="BP47" s="76"/>
      <c r="BQ47" s="76"/>
      <c r="BR47" s="76"/>
      <c r="BS47" s="76"/>
      <c r="BT47" s="77"/>
      <c r="BU47" s="76"/>
      <c r="BV47" s="77"/>
      <c r="BW47" s="76"/>
      <c r="BX47" s="76"/>
      <c r="BY47" s="76"/>
      <c r="BZ47" s="76"/>
      <c r="CA47" s="76"/>
      <c r="CB47" s="77"/>
      <c r="CC47" s="76"/>
      <c r="CD47" s="77"/>
      <c r="CE47" s="76"/>
      <c r="CF47" s="76"/>
      <c r="CG47" s="76"/>
      <c r="CH47" s="76"/>
      <c r="CI47" s="76"/>
      <c r="CJ47" s="77"/>
      <c r="CK47" s="76"/>
      <c r="CL47" s="77"/>
      <c r="CM47" s="76"/>
      <c r="CN47" s="76"/>
      <c r="CO47" s="76"/>
      <c r="CP47" s="76"/>
      <c r="CQ47" s="76"/>
      <c r="CR47" s="78" t="str">
        <f t="shared" si="15"/>
        <v/>
      </c>
      <c r="CS47" s="79" t="str">
        <f t="shared" si="16"/>
        <v/>
      </c>
      <c r="CT47" s="79" t="str">
        <f t="shared" si="17"/>
        <v/>
      </c>
      <c r="CU47" s="79" t="str">
        <f t="shared" si="18"/>
        <v/>
      </c>
      <c r="CV47" s="79" t="str">
        <f t="shared" si="19"/>
        <v/>
      </c>
      <c r="CW47" s="79" t="str">
        <f t="shared" si="20"/>
        <v/>
      </c>
      <c r="CX47" s="79" t="str">
        <f t="shared" si="21"/>
        <v/>
      </c>
      <c r="CY47" s="79" t="str">
        <f t="shared" si="22"/>
        <v/>
      </c>
      <c r="CZ47" s="79" t="str">
        <f t="shared" si="23"/>
        <v/>
      </c>
      <c r="DA47" s="79" t="str">
        <f t="shared" si="24"/>
        <v/>
      </c>
      <c r="DB47" s="79" t="str">
        <f t="shared" si="25"/>
        <v/>
      </c>
      <c r="DC47" s="79" t="str">
        <f t="shared" si="26"/>
        <v/>
      </c>
      <c r="DD47" s="79" t="str">
        <f t="shared" si="27"/>
        <v/>
      </c>
      <c r="DE47" s="79" t="str">
        <f t="shared" si="28"/>
        <v/>
      </c>
      <c r="DF47" s="79" t="str">
        <f t="shared" si="29"/>
        <v/>
      </c>
      <c r="DG47" s="79" t="str">
        <f t="shared" si="30"/>
        <v/>
      </c>
      <c r="DH47" s="76"/>
      <c r="DI47" s="78"/>
      <c r="DJ47" s="76"/>
      <c r="DK47" s="77"/>
      <c r="DL47" s="77"/>
      <c r="DM47" s="77"/>
      <c r="DN47" s="80"/>
      <c r="DO47" s="80"/>
      <c r="DP47" s="92" t="str">
        <f>IF(Table1[Start Date]="","",IF(Table1[Start Date]&gt;42185,"",IF(AND(Table1[Leaving Date]&gt;1,Table1[Leaving Date]&lt;42095),"",1)))</f>
        <v/>
      </c>
      <c r="DQ47" s="92" t="str">
        <f>IF(Table1[Start Date]="","",IF(Table1[Start Date]&gt;42277,"",IF(AND(Table1[Leaving Date]&gt;1,Table1[Leaving Date]&lt;42186),"",1)))</f>
        <v/>
      </c>
      <c r="DR47" s="92" t="str">
        <f>IF(Table1[Start Date]="","",IF(Table1[Start Date]&gt;42369,"",IF(AND(Table1[Leaving Date]&gt;1,Table1[Leaving Date]&lt;42278),"",1)))</f>
        <v/>
      </c>
      <c r="DS47" s="92" t="str">
        <f>IF(Table1[Start Date]="","",IF(Table1[Start Date]&gt;42460,"",IF(AND(Table1[Leaving Date]&gt;1,Table1[Leaving Date]&lt;42370),"",1)))</f>
        <v/>
      </c>
      <c r="DT47" s="92" t="str">
        <f>IF(Table1[Start Date]="","",IF(Table1[Start Date]&gt;42551,"",IF(AND(Table1[Leaving Date]&gt;1,Table1[Leaving Date]&lt;42461),"",1)))</f>
        <v/>
      </c>
      <c r="DU47" s="92" t="str">
        <f>IF(Table1[Start Date]="","",IF(Table1[Start Date]&gt;42643,"",IF(AND(Table1[Leaving Date]&gt;1,Table1[Leaving Date]&lt;42552),"",1)))</f>
        <v/>
      </c>
      <c r="DV47" s="92" t="str">
        <f>IF(Table1[Start Date]="","",IF(Table1[Start Date]&gt;42735,"",IF(AND(Table1[Leaving Date]&gt;1,Table1[Leaving Date]&lt;42644),"",1)))</f>
        <v/>
      </c>
      <c r="DW47" s="92" t="str">
        <f>IF(Table1[Start Date]="","",IF(Table1[Start Date]&gt;42825,"",IF(AND(Table1[Leaving Date]&gt;1,Table1[Leaving Date]&lt;42736),"",1)))</f>
        <v/>
      </c>
      <c r="DX47"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47" s="44" t="e">
        <f>VLOOKUP(Table1[Referral Source],Lists!$G$2:$H$20,2,FALSE)</f>
        <v>#N/A</v>
      </c>
      <c r="DZ47" s="93" t="e">
        <f>SUM(Table1[Data Referral Quarter]+Table1[Data Referral Source])</f>
        <v>#N/A</v>
      </c>
      <c r="EA47" s="44" t="b">
        <f>IF(Table1[Referral Decision]="Accepted",100,IF(Table1[Referral Decision]="Rejected by Provider",200,IF(Table1[Referral Decision]="Rejected by Applicant",300)))</f>
        <v>0</v>
      </c>
      <c r="EB47" s="44">
        <f>SUM(Table1[Data Referral Quarter]+Table1[Data Referral Decision])</f>
        <v>0</v>
      </c>
      <c r="EC47" s="44" t="b">
        <f>IF(Table1[Start Date]&gt;42735,8000,IF(Table1[Start Date]&gt;42643,7000,IF(Table1[Start Date]&gt;42551,6000,IF(Table1[Start Date]&gt;42460,5000,IF(Table1[Start Date]&gt;42369,4000,IF(Table1[Start Date]&gt;42277,3000,IF(Table1[Start Date]&gt;42185,2000,IF(Table1[Start Date]&gt;42094,1000))))))))</f>
        <v>0</v>
      </c>
      <c r="ED47" s="44" t="str">
        <f>IF(Table1[Start Date]="","",IF(Table1[Current Local Authority]="Swindon",1,"2"))</f>
        <v/>
      </c>
      <c r="EE47" s="44" t="e">
        <f>SUM(Table1[Data Start Date]+Table1[Data Local Authority])</f>
        <v>#VALUE!</v>
      </c>
      <c r="EF47" s="44">
        <f>IF(Table1[Registered with GP]="Yes",1,0)</f>
        <v>0</v>
      </c>
      <c r="EG47" s="44">
        <f>SUM(Table1[Data Start Date]+Table1[Data GP Start])</f>
        <v>0</v>
      </c>
      <c r="EH47" s="44" t="str">
        <f>IF(Table1[EET]="NEET",1,IF(Table1[EET]="Education",2,IF(Table1[EET]="Employment",2,IF(Table1[EET]="Training",2,IF(Table1[EET]="Retired",3,"")))))</f>
        <v/>
      </c>
      <c r="EI47" s="44" t="e">
        <f>Table1[Data Start Date]+Table1[Data EET Start]</f>
        <v>#VALUE!</v>
      </c>
      <c r="EJ47" s="44" t="b">
        <f>IF(Table1[Leaving Date]&gt;42735,8000,IF(Table1[Leaving Date]&gt;42643,7000,IF(Table1[Leaving Date]&gt;42551,6000,IF(Table1[Leaving Date]&gt;42460,5000,IF(Table1[Leaving Date]&gt;42369,4000,IF(Table1[Leaving Date]&gt;42277,3000,IF(Table1[Leaving Date]&gt;42185,2000,IF(Table1[Leaving Date]&gt;42094,1000))))))))</f>
        <v>0</v>
      </c>
      <c r="EK47" s="44" t="e">
        <f>VLOOKUP(Table1[Reason for Leaving],Lists!$T$2:$U$15,2,FALSE)</f>
        <v>#N/A</v>
      </c>
      <c r="EL47" s="44" t="e">
        <f>SUM(Table1[Data Leavers Date]+Table1[Data Move On])</f>
        <v>#N/A</v>
      </c>
      <c r="EM47" s="44" t="b">
        <f>IF(Table1[Registered with GP2]="Yes",1,IF(Table1[Registered with GP2]="No",0,IF(Table1[Registered with GP]="Yes",1,IF(Table1[Registered with GP]="No",0))))</f>
        <v>0</v>
      </c>
      <c r="EN47" s="44">
        <f>SUM(Table1[Data Leavers Date]+Table1[Data GP End])</f>
        <v>0</v>
      </c>
      <c r="EO47" s="44" t="str">
        <f>IF(Table1[EET2]="NEET",1,IF(Table1[EET2]="Employment",2,IF(Table1[EET2]="Education",2,IF(Table1[EET2]="Training",2,IF(Table1[EET2]="Retired",3,IF(Table1[EET]="NEET",1,IF(Table1[EET]="Employment",2,IF(Table1[EET]="Education",2,IF(Table1[EET]="Training",2,IF(Table1[EET]="Retired",3,""))))))))))</f>
        <v/>
      </c>
      <c r="EP47" s="44" t="e">
        <f>+Table1[[#This Row],[Data Leavers Date]]+Table1[[#This Row],[Data EET End]]</f>
        <v>#VALUE!</v>
      </c>
      <c r="EQ47" s="44">
        <f>IF(Table1[Exit Form Received]="Yes",1,0)</f>
        <v>0</v>
      </c>
      <c r="ER47" s="44">
        <f>+Table1[[#This Row],[Data Leavers Date]]+Table1[[#This Row],[Data Exit Forms]]</f>
        <v>0</v>
      </c>
      <c r="ES47" s="44" t="str">
        <f>IF(Table1[Data Leavers Date]=1000,SUM(Table1[Leaving Date]-Table1[Start Date]),"")</f>
        <v/>
      </c>
      <c r="ET47" s="44" t="str">
        <f>IF(Table1[Data Leavers Date]=2000,SUM(Table1[Leaving Date]-Table1[Start Date]),"")</f>
        <v/>
      </c>
      <c r="EU47" s="44" t="str">
        <f>IF(Table1[Data Leavers Date]=3000,SUM(Table1[Leaving Date]-Table1[Start Date]),"")</f>
        <v/>
      </c>
      <c r="EV47" s="44" t="str">
        <f>IF(Table1[Data Leavers Date]=4000,SUM(Table1[Leaving Date]-Table1[Start Date]),"")</f>
        <v/>
      </c>
      <c r="EW47" s="44" t="str">
        <f>IF(Table1[Data Leavers Date]=5000,SUM(Table1[Leaving Date]-Table1[Start Date]),"")</f>
        <v/>
      </c>
      <c r="EX47" s="44" t="str">
        <f>IF(Table1[Data Leavers Date]=6000,SUM(Table1[Leaving Date]-Table1[Start Date]),"")</f>
        <v/>
      </c>
      <c r="EY47" s="44" t="str">
        <f>IF(Table1[Data Leavers Date]=7000,SUM(Table1[Leaving Date]-Table1[Start Date]),"")</f>
        <v/>
      </c>
      <c r="EZ47" s="44" t="str">
        <f>IF(Table1[Data Leavers Date]=8000,SUM(Table1[Leaving Date]-Table1[Start Date]),"")</f>
        <v/>
      </c>
      <c r="FA47" s="44" t="str">
        <f>IF(Table1[Date of Initial Assessment]="","",IF(AND(Table1[Start Date]&gt;42094,Table1[Start Date]&lt;42461),Table1[Motivation and Taking Responsibility],""))</f>
        <v/>
      </c>
      <c r="FB47" s="44" t="str">
        <f>IF(Table1[Date of Initial Assessment]="","",IF(AND(Table1[Start Date]&gt;42094,Table1[Start Date]&lt;42461),Table1[Self-Care and Living Skills],""))</f>
        <v/>
      </c>
      <c r="FC47" s="44" t="str">
        <f>IF(Table1[Date of Initial Assessment]="","",IF(AND(Table1[Start Date]&gt;42094,Table1[Start Date]&lt;42461),Table1[Managing Money and Personal Administration],""))</f>
        <v/>
      </c>
      <c r="FD47" s="44" t="str">
        <f>IF(Table1[Date of Initial Assessment]="","",IF(AND(Table1[Start Date]&gt;42094,Table1[Start Date]&lt;42461),Table1[Social Networks and Relationships],""))</f>
        <v/>
      </c>
      <c r="FE47" s="44" t="str">
        <f>IF(Table1[Date of Initial Assessment]="","",IF(AND(Table1[Start Date]&gt;42094,Table1[Start Date]&lt;42461),Table1[Drug and Alcohol Misuse],""))</f>
        <v/>
      </c>
      <c r="FF47" s="44" t="str">
        <f>IF(Table1[Date of Initial Assessment]="","",IF(AND(Table1[Start Date]&gt;42094,Table1[Start Date]&lt;42461),Table1[Physical Health],""))</f>
        <v/>
      </c>
      <c r="FG47" s="44" t="str">
        <f>IF(Table1[Date of Initial Assessment]="","",IF(AND(Table1[Start Date]&gt;42094,Table1[Start Date]&lt;42461),Table1[Emotional and Mental Health],""))</f>
        <v/>
      </c>
      <c r="FH47" s="44" t="str">
        <f>IF(Table1[Date of Initial Assessment]="","",IF(AND(Table1[Start Date]&gt;42094,Table1[Start Date]&lt;42461),Table1[Meaningful Use of Time],""))</f>
        <v/>
      </c>
      <c r="FI47" s="44" t="str">
        <f>IF(Table1[Date of Initial Assessment]="","",IF(AND(Table1[Start Date]&gt;42094,Table1[Start Date]&lt;42461),Table1[Managing Tenancy and Accommodation],""))</f>
        <v/>
      </c>
      <c r="FJ47" s="44" t="str">
        <f>IF(Table1[Date of Initial Assessment]="","",IF(AND(Table1[Start Date]&gt;42094,Table1[Start Date]&lt;42461),Table1[Offending],""))</f>
        <v/>
      </c>
      <c r="FK47" s="44" t="str">
        <f>IF(Table1[Leaving Date]="","",IF(Table1[Date of Initial Assessment]="","",IF(AND(Table1[Leaving Date]&gt;42094,Table1[Leaving Date]&lt;42461),IF(Table1[Date of Last Assessment]="",Table1[Motivation and Taking Responsibility],Table1[Motivation and Taking Responsibility2]),"")))</f>
        <v/>
      </c>
      <c r="FL47" s="44" t="str">
        <f>IF(Table1[Leaving Date]="","",IF(Table1[Date of Initial Assessment]="","",IF(AND(Table1[Leaving Date]&gt;42094,Table1[Leaving Date]&lt;42461),IF(Table1[Date of Last Assessment]="",Table1[Self-Care and Living Skills],Table1[Self-Care and Living Skills2]),"")))</f>
        <v/>
      </c>
      <c r="FM47" s="44" t="str">
        <f>IF(Table1[Leaving Date]="","",IF(Table1[Date of Initial Assessment]="","",IF(AND(Table1[Leaving Date]&gt;42094,Table1[Leaving Date]&lt;42461),IF(Table1[Date of Last Assessment]="",Table1[Managing Money and Personal Administration],Table1[Managing Money and Personal Administration2]),"")))</f>
        <v/>
      </c>
      <c r="FN47" s="44" t="str">
        <f>IF(Table1[Leaving Date]="","",IF(Table1[Date of Initial Assessment]="","",IF(AND(Table1[Leaving Date]&gt;42094,Table1[Leaving Date]&lt;42461),IF(Table1[Date of Last Assessment]="",Table1[Social Networks and Relationships],Table1[Social Networks and Relationships2]),"")))</f>
        <v/>
      </c>
      <c r="FO47" s="44" t="str">
        <f>IF(Table1[Leaving Date]="","",IF(Table1[Date of Initial Assessment]="","",IF(AND(Table1[Leaving Date]&gt;42094,Table1[Leaving Date]&lt;42461),IF(Table1[Date of Last Assessment]="",Table1[Drug and Alcohol Misuse],Table1[Drug and Alcohol Misuse2]),"")))</f>
        <v/>
      </c>
      <c r="FP47" s="44" t="str">
        <f>IF(Table1[Leaving Date]="","",IF(Table1[Date of Initial Assessment]="","",IF(AND(Table1[Leaving Date]&gt;42094,Table1[Leaving Date]&lt;42461),IF(Table1[Date of Last Assessment]="",Table1[Physical Health],Table1[Physical Health2]),"")))</f>
        <v/>
      </c>
      <c r="FQ47" s="44" t="str">
        <f>IF(Table1[Leaving Date]="","",IF(Table1[Date of Initial Assessment]="","",IF(AND(Table1[Leaving Date]&gt;42094,Table1[Leaving Date]&lt;42461),IF(Table1[Date of Last Assessment]="",Table1[Emotional and Mental Health],Table1[Emotional and Mental Health2]),"")))</f>
        <v/>
      </c>
      <c r="FR47" s="44" t="str">
        <f>IF(Table1[Leaving Date]="","",IF(Table1[Date of Initial Assessment]="","",IF(AND(Table1[Leaving Date]&gt;42094,Table1[Leaving Date]&lt;42461),IF(Table1[Date of Last Assessment]="",Table1[Meaningful Use of Time],Table1[Meaningful Use of Time2]),"")))</f>
        <v/>
      </c>
      <c r="FS47" s="44" t="str">
        <f>IF(Table1[Leaving Date]="","",IF(Table1[Date of Initial Assessment]="","",IF(AND(Table1[Leaving Date]&gt;42094,Table1[Leaving Date]&lt;42461),IF(Table1[Date of Last Assessment]="",Table1[Managing Tenancy and Accommodation],Table1[Managing Tenancy and Accommodation2]),"")))</f>
        <v/>
      </c>
      <c r="FT47" s="44" t="str">
        <f>IF(Table1[Leaving Date]="","",IF(Table1[Date of Initial Assessment]="","",IF(AND(Table1[Leaving Date]&gt;42094,Table1[Leaving Date]&lt;42461),IF(Table1[Date of Last Assessment]="",Table1[Offending],Table1[Offending2]),"")))</f>
        <v/>
      </c>
      <c r="FU47" s="44" t="str">
        <f>IF(Table1[Date of Initial Assessment]="","",IF(AND(Table1[Start Date]&gt;42460,Table1[Start Date]&lt;42826),Table1[Motivation and Taking Responsibility],""))</f>
        <v/>
      </c>
      <c r="FV47" s="44" t="str">
        <f>IF(Table1[Date of Initial Assessment]="","",IF(AND(Table1[Start Date]&gt;42460,Table1[Start Date]&lt;42826),Table1[Self-Care and Living Skills],""))</f>
        <v/>
      </c>
      <c r="FW47" s="44" t="str">
        <f>IF(Table1[Date of Initial Assessment]="","",IF(AND(Table1[Start Date]&gt;42460,Table1[Start Date]&lt;42826),Table1[Managing Money and Personal Administration],""))</f>
        <v/>
      </c>
      <c r="FX47" s="44" t="str">
        <f>IF(Table1[Date of Initial Assessment]="","",IF(AND(Table1[Start Date]&gt;42460,Table1[Start Date]&lt;42826),Table1[Social Networks and Relationships],""))</f>
        <v/>
      </c>
      <c r="FY47" s="44" t="str">
        <f>IF(Table1[Date of Initial Assessment]="","",IF(AND(Table1[Start Date]&gt;42460,Table1[Start Date]&lt;42826),Table1[Drug and Alcohol Misuse],""))</f>
        <v/>
      </c>
      <c r="FZ47" s="44" t="str">
        <f>IF(Table1[Date of Initial Assessment]="","",IF(AND(Table1[Start Date]&gt;42460,Table1[Start Date]&lt;42826),Table1[Physical Health],""))</f>
        <v/>
      </c>
      <c r="GA47" s="44" t="str">
        <f>IF(Table1[Date of Initial Assessment]="","",IF(AND(Table1[Start Date]&gt;42460,Table1[Start Date]&lt;42826),Table1[Emotional and Mental Health],""))</f>
        <v/>
      </c>
      <c r="GB47" s="44" t="str">
        <f>IF(Table1[Date of Initial Assessment]="","",IF(AND(Table1[Start Date]&gt;42460,Table1[Start Date]&lt;42826),Table1[Meaningful Use of Time],""))</f>
        <v/>
      </c>
      <c r="GC47" s="44" t="str">
        <f>IF(Table1[Date of Initial Assessment]="","",IF(AND(Table1[Start Date]&gt;42460,Table1[Start Date]&lt;42826),Table1[Managing Tenancy and Accommodation],""))</f>
        <v/>
      </c>
      <c r="GD47" s="44" t="str">
        <f>IF(Table1[Date of Initial Assessment]="","",IF(AND(Table1[Start Date]&gt;42460,Table1[Start Date]&lt;42826),Table1[Offending],""))</f>
        <v/>
      </c>
      <c r="GE47" s="44" t="str">
        <f>IF(Table1[Leaving Date]="","",IF(AND(Table1[Leaving Date]&gt;42460,Table1[Leaving Date]&lt;42826),IF(Table1[Date of Last Assessment]="",Table1[Motivation and Taking Responsibility],Table1[Motivation and Taking Responsibility2]),""))</f>
        <v/>
      </c>
      <c r="GF47" s="44" t="str">
        <f>IF(Table1[Leaving Date]="","",IF(AND(Table1[Leaving Date]&gt;42460,Table1[Leaving Date]&lt;42826),IF(Table1[Date of Last Assessment]="",Table1[Self-Care and Living Skills],Table1[Self-Care and Living Skills2]),""))</f>
        <v/>
      </c>
      <c r="GG47" s="44" t="str">
        <f>IF(Table1[Leaving Date]="","",IF(AND(Table1[Leaving Date]&gt;42460,Table1[Leaving Date]&lt;42826),IF(Table1[Date of Last Assessment]="",Table1[Managing Money and Personal Administration],Table1[Managing Money and Personal Administration2]),""))</f>
        <v/>
      </c>
      <c r="GH47" s="44" t="str">
        <f>IF(Table1[Leaving Date]="","",IF(AND(Table1[Leaving Date]&gt;42460,Table1[Leaving Date]&lt;42826),IF(Table1[Date of Last Assessment]="",Table1[Social Networks and Relationships],Table1[Social Networks and Relationships2]),""))</f>
        <v/>
      </c>
      <c r="GI47" s="44" t="str">
        <f>IF(Table1[Leaving Date]="","",IF(AND(Table1[Leaving Date]&gt;42460,Table1[Leaving Date]&lt;42826),IF(Table1[Date of Last Assessment]="",Table1[Drug and Alcohol Misuse],Table1[Drug and Alcohol Misuse2]),""))</f>
        <v/>
      </c>
      <c r="GJ47" s="44" t="str">
        <f>IF(Table1[Leaving Date]="","",IF(AND(Table1[Leaving Date]&gt;42460,Table1[Leaving Date]&lt;42826),IF(Table1[Date of Last Assessment]="",Table1[Physical Health],Table1[Physical Health2]),""))</f>
        <v/>
      </c>
      <c r="GK47" s="44" t="str">
        <f>IF(Table1[Leaving Date]="","",IF(AND(Table1[Leaving Date]&gt;42460,Table1[Leaving Date]&lt;42826),IF(Table1[Date of Last Assessment]="",Table1[Emotional and Mental Health],Table1[Emotional and Mental Health2]),""))</f>
        <v/>
      </c>
      <c r="GL47" s="44" t="str">
        <f>IF(Table1[Leaving Date]="","",IF(AND(Table1[Leaving Date]&gt;42460,Table1[Leaving Date]&lt;42826),IF(Table1[Date of Last Assessment]="",Table1[Meaningful Use of Time],Table1[Meaningful Use of Time2]),""))</f>
        <v/>
      </c>
      <c r="GM47" s="44" t="str">
        <f>IF(Table1[Leaving Date]="","",IF(AND(Table1[Leaving Date]&gt;42460,Table1[Leaving Date]&lt;42826),IF(Table1[Date of Last Assessment]="",Table1[Managing Tenancy and Accommodation],Table1[Managing Tenancy and Accommodation2]),""))</f>
        <v/>
      </c>
      <c r="GN47" s="44" t="str">
        <f>IF(Table1[Leaving Date]="","",IF(AND(Table1[Leaving Date]&gt;42460,Table1[Leaving Date]&lt;42826),IF(Table1[Date of Last Assessment]="",Table1[Offending],Table1[Offending2]),""))</f>
        <v/>
      </c>
    </row>
    <row r="48" spans="2:196" ht="20.100000000000001" customHeight="1" x14ac:dyDescent="0.2">
      <c r="B48" s="86">
        <f>+'Service Data'!$C$5:$C$5</f>
        <v>0</v>
      </c>
      <c r="C48" s="86"/>
      <c r="D48" s="86"/>
      <c r="E48" s="86"/>
      <c r="F48" s="86"/>
      <c r="G48" s="86"/>
      <c r="H48" s="6"/>
      <c r="I48" s="99" t="str">
        <f ca="1">IF(Table1[[#This Row],[Date of Birth]]="","",SUM(TODAY()-Table1[[#This Row],[Date of Birth]])/365)</f>
        <v/>
      </c>
      <c r="L48" s="86"/>
      <c r="M48" s="77"/>
      <c r="N48" s="86"/>
      <c r="O48" s="86"/>
      <c r="P48" s="91"/>
      <c r="Q48" s="86"/>
      <c r="R48" s="77"/>
      <c r="S48" s="77"/>
      <c r="T48" s="68"/>
      <c r="U48" s="68"/>
      <c r="V48" s="67"/>
      <c r="W48" s="67"/>
      <c r="X48" s="67"/>
      <c r="Y48" s="67"/>
      <c r="Z48" s="67"/>
      <c r="AA48" s="67"/>
      <c r="AB48" s="67"/>
      <c r="AC48" s="67"/>
      <c r="AD48" s="67"/>
      <c r="AE48" s="67"/>
      <c r="AF48" s="67"/>
      <c r="AG48" s="67"/>
      <c r="AH48" s="67"/>
      <c r="AI48" s="67"/>
      <c r="AJ48" s="67"/>
      <c r="AK48" s="67"/>
      <c r="AL48" s="67"/>
      <c r="AM48" s="67"/>
      <c r="AN48" s="77"/>
      <c r="AO48" s="76"/>
      <c r="AP48" s="77"/>
      <c r="AQ48" s="76"/>
      <c r="AR48" s="76"/>
      <c r="AS48" s="76"/>
      <c r="AT48" s="76"/>
      <c r="AU48" s="76"/>
      <c r="AV48" s="77"/>
      <c r="AW48" s="76"/>
      <c r="AX48" s="77"/>
      <c r="AY48" s="76"/>
      <c r="AZ48" s="76"/>
      <c r="BA48" s="76"/>
      <c r="BB48" s="76"/>
      <c r="BC48" s="76"/>
      <c r="BD48" s="77"/>
      <c r="BE48" s="76"/>
      <c r="BF48" s="77"/>
      <c r="BG48" s="76"/>
      <c r="BH48" s="76"/>
      <c r="BI48" s="76"/>
      <c r="BJ48" s="76"/>
      <c r="BK48" s="76"/>
      <c r="BL48" s="77"/>
      <c r="BM48" s="76"/>
      <c r="BN48" s="77"/>
      <c r="BO48" s="76"/>
      <c r="BP48" s="76"/>
      <c r="BQ48" s="76"/>
      <c r="BR48" s="76"/>
      <c r="BS48" s="76"/>
      <c r="BT48" s="77"/>
      <c r="BU48" s="76"/>
      <c r="BV48" s="77"/>
      <c r="BW48" s="76"/>
      <c r="BX48" s="76"/>
      <c r="BY48" s="76"/>
      <c r="BZ48" s="76"/>
      <c r="CA48" s="76"/>
      <c r="CB48" s="77"/>
      <c r="CC48" s="76"/>
      <c r="CD48" s="77"/>
      <c r="CE48" s="76"/>
      <c r="CF48" s="76"/>
      <c r="CG48" s="76"/>
      <c r="CH48" s="76"/>
      <c r="CI48" s="76"/>
      <c r="CJ48" s="77"/>
      <c r="CK48" s="76"/>
      <c r="CL48" s="77"/>
      <c r="CM48" s="76"/>
      <c r="CN48" s="76"/>
      <c r="CO48" s="76"/>
      <c r="CP48" s="76"/>
      <c r="CQ48" s="76"/>
      <c r="CR48" s="78" t="str">
        <f t="shared" si="15"/>
        <v/>
      </c>
      <c r="CS48" s="79" t="str">
        <f t="shared" si="16"/>
        <v/>
      </c>
      <c r="CT48" s="79" t="str">
        <f t="shared" si="17"/>
        <v/>
      </c>
      <c r="CU48" s="79" t="str">
        <f t="shared" si="18"/>
        <v/>
      </c>
      <c r="CV48" s="79" t="str">
        <f t="shared" si="19"/>
        <v/>
      </c>
      <c r="CW48" s="79" t="str">
        <f t="shared" si="20"/>
        <v/>
      </c>
      <c r="CX48" s="79" t="str">
        <f t="shared" si="21"/>
        <v/>
      </c>
      <c r="CY48" s="79" t="str">
        <f t="shared" si="22"/>
        <v/>
      </c>
      <c r="CZ48" s="79" t="str">
        <f t="shared" si="23"/>
        <v/>
      </c>
      <c r="DA48" s="79" t="str">
        <f t="shared" si="24"/>
        <v/>
      </c>
      <c r="DB48" s="79" t="str">
        <f t="shared" si="25"/>
        <v/>
      </c>
      <c r="DC48" s="79" t="str">
        <f t="shared" si="26"/>
        <v/>
      </c>
      <c r="DD48" s="79" t="str">
        <f t="shared" si="27"/>
        <v/>
      </c>
      <c r="DE48" s="79" t="str">
        <f t="shared" si="28"/>
        <v/>
      </c>
      <c r="DF48" s="79" t="str">
        <f t="shared" si="29"/>
        <v/>
      </c>
      <c r="DG48" s="79" t="str">
        <f t="shared" si="30"/>
        <v/>
      </c>
      <c r="DH48" s="76"/>
      <c r="DI48" s="78"/>
      <c r="DJ48" s="76"/>
      <c r="DK48" s="77"/>
      <c r="DL48" s="77"/>
      <c r="DM48" s="77"/>
      <c r="DN48" s="80"/>
      <c r="DO48" s="80"/>
      <c r="DP48" s="92" t="str">
        <f>IF(Table1[Start Date]="","",IF(Table1[Start Date]&gt;42185,"",IF(AND(Table1[Leaving Date]&gt;1,Table1[Leaving Date]&lt;42095),"",1)))</f>
        <v/>
      </c>
      <c r="DQ48" s="92" t="str">
        <f>IF(Table1[Start Date]="","",IF(Table1[Start Date]&gt;42277,"",IF(AND(Table1[Leaving Date]&gt;1,Table1[Leaving Date]&lt;42186),"",1)))</f>
        <v/>
      </c>
      <c r="DR48" s="92" t="str">
        <f>IF(Table1[Start Date]="","",IF(Table1[Start Date]&gt;42369,"",IF(AND(Table1[Leaving Date]&gt;1,Table1[Leaving Date]&lt;42278),"",1)))</f>
        <v/>
      </c>
      <c r="DS48" s="92" t="str">
        <f>IF(Table1[Start Date]="","",IF(Table1[Start Date]&gt;42460,"",IF(AND(Table1[Leaving Date]&gt;1,Table1[Leaving Date]&lt;42370),"",1)))</f>
        <v/>
      </c>
      <c r="DT48" s="92" t="str">
        <f>IF(Table1[Start Date]="","",IF(Table1[Start Date]&gt;42551,"",IF(AND(Table1[Leaving Date]&gt;1,Table1[Leaving Date]&lt;42461),"",1)))</f>
        <v/>
      </c>
      <c r="DU48" s="92" t="str">
        <f>IF(Table1[Start Date]="","",IF(Table1[Start Date]&gt;42643,"",IF(AND(Table1[Leaving Date]&gt;1,Table1[Leaving Date]&lt;42552),"",1)))</f>
        <v/>
      </c>
      <c r="DV48" s="92" t="str">
        <f>IF(Table1[Start Date]="","",IF(Table1[Start Date]&gt;42735,"",IF(AND(Table1[Leaving Date]&gt;1,Table1[Leaving Date]&lt;42644),"",1)))</f>
        <v/>
      </c>
      <c r="DW48" s="92" t="str">
        <f>IF(Table1[Start Date]="","",IF(Table1[Start Date]&gt;42825,"",IF(AND(Table1[Leaving Date]&gt;1,Table1[Leaving Date]&lt;42736),"",1)))</f>
        <v/>
      </c>
      <c r="DX48"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48" s="44" t="e">
        <f>VLOOKUP(Table1[Referral Source],Lists!$G$2:$H$20,2,FALSE)</f>
        <v>#N/A</v>
      </c>
      <c r="DZ48" s="93" t="e">
        <f>SUM(Table1[Data Referral Quarter]+Table1[Data Referral Source])</f>
        <v>#N/A</v>
      </c>
      <c r="EA48" s="44" t="b">
        <f>IF(Table1[Referral Decision]="Accepted",100,IF(Table1[Referral Decision]="Rejected by Provider",200,IF(Table1[Referral Decision]="Rejected by Applicant",300)))</f>
        <v>0</v>
      </c>
      <c r="EB48" s="44">
        <f>SUM(Table1[Data Referral Quarter]+Table1[Data Referral Decision])</f>
        <v>0</v>
      </c>
      <c r="EC48" s="44" t="b">
        <f>IF(Table1[Start Date]&gt;42735,8000,IF(Table1[Start Date]&gt;42643,7000,IF(Table1[Start Date]&gt;42551,6000,IF(Table1[Start Date]&gt;42460,5000,IF(Table1[Start Date]&gt;42369,4000,IF(Table1[Start Date]&gt;42277,3000,IF(Table1[Start Date]&gt;42185,2000,IF(Table1[Start Date]&gt;42094,1000))))))))</f>
        <v>0</v>
      </c>
      <c r="ED48" s="44" t="str">
        <f>IF(Table1[Start Date]="","",IF(Table1[Current Local Authority]="Swindon",1,"2"))</f>
        <v/>
      </c>
      <c r="EE48" s="44" t="e">
        <f>SUM(Table1[Data Start Date]+Table1[Data Local Authority])</f>
        <v>#VALUE!</v>
      </c>
      <c r="EF48" s="44">
        <f>IF(Table1[Registered with GP]="Yes",1,0)</f>
        <v>0</v>
      </c>
      <c r="EG48" s="44">
        <f>SUM(Table1[Data Start Date]+Table1[Data GP Start])</f>
        <v>0</v>
      </c>
      <c r="EH48" s="44" t="str">
        <f>IF(Table1[EET]="NEET",1,IF(Table1[EET]="Education",2,IF(Table1[EET]="Employment",2,IF(Table1[EET]="Training",2,IF(Table1[EET]="Retired",3,"")))))</f>
        <v/>
      </c>
      <c r="EI48" s="44" t="e">
        <f>Table1[Data Start Date]+Table1[Data EET Start]</f>
        <v>#VALUE!</v>
      </c>
      <c r="EJ48" s="44" t="b">
        <f>IF(Table1[Leaving Date]&gt;42735,8000,IF(Table1[Leaving Date]&gt;42643,7000,IF(Table1[Leaving Date]&gt;42551,6000,IF(Table1[Leaving Date]&gt;42460,5000,IF(Table1[Leaving Date]&gt;42369,4000,IF(Table1[Leaving Date]&gt;42277,3000,IF(Table1[Leaving Date]&gt;42185,2000,IF(Table1[Leaving Date]&gt;42094,1000))))))))</f>
        <v>0</v>
      </c>
      <c r="EK48" s="44" t="e">
        <f>VLOOKUP(Table1[Reason for Leaving],Lists!$T$2:$U$15,2,FALSE)</f>
        <v>#N/A</v>
      </c>
      <c r="EL48" s="44" t="e">
        <f>SUM(Table1[Data Leavers Date]+Table1[Data Move On])</f>
        <v>#N/A</v>
      </c>
      <c r="EM48" s="44" t="b">
        <f>IF(Table1[Registered with GP2]="Yes",1,IF(Table1[Registered with GP2]="No",0,IF(Table1[Registered with GP]="Yes",1,IF(Table1[Registered with GP]="No",0))))</f>
        <v>0</v>
      </c>
      <c r="EN48" s="44">
        <f>SUM(Table1[Data Leavers Date]+Table1[Data GP End])</f>
        <v>0</v>
      </c>
      <c r="EO48" s="44" t="str">
        <f>IF(Table1[EET2]="NEET",1,IF(Table1[EET2]="Employment",2,IF(Table1[EET2]="Education",2,IF(Table1[EET2]="Training",2,IF(Table1[EET2]="Retired",3,IF(Table1[EET]="NEET",1,IF(Table1[EET]="Employment",2,IF(Table1[EET]="Education",2,IF(Table1[EET]="Training",2,IF(Table1[EET]="Retired",3,""))))))))))</f>
        <v/>
      </c>
      <c r="EP48" s="44" t="e">
        <f>+Table1[[#This Row],[Data Leavers Date]]+Table1[[#This Row],[Data EET End]]</f>
        <v>#VALUE!</v>
      </c>
      <c r="EQ48" s="44">
        <f>IF(Table1[Exit Form Received]="Yes",1,0)</f>
        <v>0</v>
      </c>
      <c r="ER48" s="44">
        <f>+Table1[[#This Row],[Data Leavers Date]]+Table1[[#This Row],[Data Exit Forms]]</f>
        <v>0</v>
      </c>
      <c r="ES48" s="44" t="str">
        <f>IF(Table1[Data Leavers Date]=1000,SUM(Table1[Leaving Date]-Table1[Start Date]),"")</f>
        <v/>
      </c>
      <c r="ET48" s="44" t="str">
        <f>IF(Table1[Data Leavers Date]=2000,SUM(Table1[Leaving Date]-Table1[Start Date]),"")</f>
        <v/>
      </c>
      <c r="EU48" s="44" t="str">
        <f>IF(Table1[Data Leavers Date]=3000,SUM(Table1[Leaving Date]-Table1[Start Date]),"")</f>
        <v/>
      </c>
      <c r="EV48" s="44" t="str">
        <f>IF(Table1[Data Leavers Date]=4000,SUM(Table1[Leaving Date]-Table1[Start Date]),"")</f>
        <v/>
      </c>
      <c r="EW48" s="44" t="str">
        <f>IF(Table1[Data Leavers Date]=5000,SUM(Table1[Leaving Date]-Table1[Start Date]),"")</f>
        <v/>
      </c>
      <c r="EX48" s="44" t="str">
        <f>IF(Table1[Data Leavers Date]=6000,SUM(Table1[Leaving Date]-Table1[Start Date]),"")</f>
        <v/>
      </c>
      <c r="EY48" s="44" t="str">
        <f>IF(Table1[Data Leavers Date]=7000,SUM(Table1[Leaving Date]-Table1[Start Date]),"")</f>
        <v/>
      </c>
      <c r="EZ48" s="44" t="str">
        <f>IF(Table1[Data Leavers Date]=8000,SUM(Table1[Leaving Date]-Table1[Start Date]),"")</f>
        <v/>
      </c>
      <c r="FA48" s="44" t="str">
        <f>IF(Table1[Date of Initial Assessment]="","",IF(AND(Table1[Start Date]&gt;42094,Table1[Start Date]&lt;42461),Table1[Motivation and Taking Responsibility],""))</f>
        <v/>
      </c>
      <c r="FB48" s="44" t="str">
        <f>IF(Table1[Date of Initial Assessment]="","",IF(AND(Table1[Start Date]&gt;42094,Table1[Start Date]&lt;42461),Table1[Self-Care and Living Skills],""))</f>
        <v/>
      </c>
      <c r="FC48" s="44" t="str">
        <f>IF(Table1[Date of Initial Assessment]="","",IF(AND(Table1[Start Date]&gt;42094,Table1[Start Date]&lt;42461),Table1[Managing Money and Personal Administration],""))</f>
        <v/>
      </c>
      <c r="FD48" s="44" t="str">
        <f>IF(Table1[Date of Initial Assessment]="","",IF(AND(Table1[Start Date]&gt;42094,Table1[Start Date]&lt;42461),Table1[Social Networks and Relationships],""))</f>
        <v/>
      </c>
      <c r="FE48" s="44" t="str">
        <f>IF(Table1[Date of Initial Assessment]="","",IF(AND(Table1[Start Date]&gt;42094,Table1[Start Date]&lt;42461),Table1[Drug and Alcohol Misuse],""))</f>
        <v/>
      </c>
      <c r="FF48" s="44" t="str">
        <f>IF(Table1[Date of Initial Assessment]="","",IF(AND(Table1[Start Date]&gt;42094,Table1[Start Date]&lt;42461),Table1[Physical Health],""))</f>
        <v/>
      </c>
      <c r="FG48" s="44" t="str">
        <f>IF(Table1[Date of Initial Assessment]="","",IF(AND(Table1[Start Date]&gt;42094,Table1[Start Date]&lt;42461),Table1[Emotional and Mental Health],""))</f>
        <v/>
      </c>
      <c r="FH48" s="44" t="str">
        <f>IF(Table1[Date of Initial Assessment]="","",IF(AND(Table1[Start Date]&gt;42094,Table1[Start Date]&lt;42461),Table1[Meaningful Use of Time],""))</f>
        <v/>
      </c>
      <c r="FI48" s="44" t="str">
        <f>IF(Table1[Date of Initial Assessment]="","",IF(AND(Table1[Start Date]&gt;42094,Table1[Start Date]&lt;42461),Table1[Managing Tenancy and Accommodation],""))</f>
        <v/>
      </c>
      <c r="FJ48" s="44" t="str">
        <f>IF(Table1[Date of Initial Assessment]="","",IF(AND(Table1[Start Date]&gt;42094,Table1[Start Date]&lt;42461),Table1[Offending],""))</f>
        <v/>
      </c>
      <c r="FK48" s="44" t="str">
        <f>IF(Table1[Leaving Date]="","",IF(Table1[Date of Initial Assessment]="","",IF(AND(Table1[Leaving Date]&gt;42094,Table1[Leaving Date]&lt;42461),IF(Table1[Date of Last Assessment]="",Table1[Motivation and Taking Responsibility],Table1[Motivation and Taking Responsibility2]),"")))</f>
        <v/>
      </c>
      <c r="FL48" s="44" t="str">
        <f>IF(Table1[Leaving Date]="","",IF(Table1[Date of Initial Assessment]="","",IF(AND(Table1[Leaving Date]&gt;42094,Table1[Leaving Date]&lt;42461),IF(Table1[Date of Last Assessment]="",Table1[Self-Care and Living Skills],Table1[Self-Care and Living Skills2]),"")))</f>
        <v/>
      </c>
      <c r="FM48" s="44" t="str">
        <f>IF(Table1[Leaving Date]="","",IF(Table1[Date of Initial Assessment]="","",IF(AND(Table1[Leaving Date]&gt;42094,Table1[Leaving Date]&lt;42461),IF(Table1[Date of Last Assessment]="",Table1[Managing Money and Personal Administration],Table1[Managing Money and Personal Administration2]),"")))</f>
        <v/>
      </c>
      <c r="FN48" s="44" t="str">
        <f>IF(Table1[Leaving Date]="","",IF(Table1[Date of Initial Assessment]="","",IF(AND(Table1[Leaving Date]&gt;42094,Table1[Leaving Date]&lt;42461),IF(Table1[Date of Last Assessment]="",Table1[Social Networks and Relationships],Table1[Social Networks and Relationships2]),"")))</f>
        <v/>
      </c>
      <c r="FO48" s="44" t="str">
        <f>IF(Table1[Leaving Date]="","",IF(Table1[Date of Initial Assessment]="","",IF(AND(Table1[Leaving Date]&gt;42094,Table1[Leaving Date]&lt;42461),IF(Table1[Date of Last Assessment]="",Table1[Drug and Alcohol Misuse],Table1[Drug and Alcohol Misuse2]),"")))</f>
        <v/>
      </c>
      <c r="FP48" s="44" t="str">
        <f>IF(Table1[Leaving Date]="","",IF(Table1[Date of Initial Assessment]="","",IF(AND(Table1[Leaving Date]&gt;42094,Table1[Leaving Date]&lt;42461),IF(Table1[Date of Last Assessment]="",Table1[Physical Health],Table1[Physical Health2]),"")))</f>
        <v/>
      </c>
      <c r="FQ48" s="44" t="str">
        <f>IF(Table1[Leaving Date]="","",IF(Table1[Date of Initial Assessment]="","",IF(AND(Table1[Leaving Date]&gt;42094,Table1[Leaving Date]&lt;42461),IF(Table1[Date of Last Assessment]="",Table1[Emotional and Mental Health],Table1[Emotional and Mental Health2]),"")))</f>
        <v/>
      </c>
      <c r="FR48" s="44" t="str">
        <f>IF(Table1[Leaving Date]="","",IF(Table1[Date of Initial Assessment]="","",IF(AND(Table1[Leaving Date]&gt;42094,Table1[Leaving Date]&lt;42461),IF(Table1[Date of Last Assessment]="",Table1[Meaningful Use of Time],Table1[Meaningful Use of Time2]),"")))</f>
        <v/>
      </c>
      <c r="FS48" s="44" t="str">
        <f>IF(Table1[Leaving Date]="","",IF(Table1[Date of Initial Assessment]="","",IF(AND(Table1[Leaving Date]&gt;42094,Table1[Leaving Date]&lt;42461),IF(Table1[Date of Last Assessment]="",Table1[Managing Tenancy and Accommodation],Table1[Managing Tenancy and Accommodation2]),"")))</f>
        <v/>
      </c>
      <c r="FT48" s="44" t="str">
        <f>IF(Table1[Leaving Date]="","",IF(Table1[Date of Initial Assessment]="","",IF(AND(Table1[Leaving Date]&gt;42094,Table1[Leaving Date]&lt;42461),IF(Table1[Date of Last Assessment]="",Table1[Offending],Table1[Offending2]),"")))</f>
        <v/>
      </c>
      <c r="FU48" s="44" t="str">
        <f>IF(Table1[Date of Initial Assessment]="","",IF(AND(Table1[Start Date]&gt;42460,Table1[Start Date]&lt;42826),Table1[Motivation and Taking Responsibility],""))</f>
        <v/>
      </c>
      <c r="FV48" s="44" t="str">
        <f>IF(Table1[Date of Initial Assessment]="","",IF(AND(Table1[Start Date]&gt;42460,Table1[Start Date]&lt;42826),Table1[Self-Care and Living Skills],""))</f>
        <v/>
      </c>
      <c r="FW48" s="44" t="str">
        <f>IF(Table1[Date of Initial Assessment]="","",IF(AND(Table1[Start Date]&gt;42460,Table1[Start Date]&lt;42826),Table1[Managing Money and Personal Administration],""))</f>
        <v/>
      </c>
      <c r="FX48" s="44" t="str">
        <f>IF(Table1[Date of Initial Assessment]="","",IF(AND(Table1[Start Date]&gt;42460,Table1[Start Date]&lt;42826),Table1[Social Networks and Relationships],""))</f>
        <v/>
      </c>
      <c r="FY48" s="44" t="str">
        <f>IF(Table1[Date of Initial Assessment]="","",IF(AND(Table1[Start Date]&gt;42460,Table1[Start Date]&lt;42826),Table1[Drug and Alcohol Misuse],""))</f>
        <v/>
      </c>
      <c r="FZ48" s="44" t="str">
        <f>IF(Table1[Date of Initial Assessment]="","",IF(AND(Table1[Start Date]&gt;42460,Table1[Start Date]&lt;42826),Table1[Physical Health],""))</f>
        <v/>
      </c>
      <c r="GA48" s="44" t="str">
        <f>IF(Table1[Date of Initial Assessment]="","",IF(AND(Table1[Start Date]&gt;42460,Table1[Start Date]&lt;42826),Table1[Emotional and Mental Health],""))</f>
        <v/>
      </c>
      <c r="GB48" s="44" t="str">
        <f>IF(Table1[Date of Initial Assessment]="","",IF(AND(Table1[Start Date]&gt;42460,Table1[Start Date]&lt;42826),Table1[Meaningful Use of Time],""))</f>
        <v/>
      </c>
      <c r="GC48" s="44" t="str">
        <f>IF(Table1[Date of Initial Assessment]="","",IF(AND(Table1[Start Date]&gt;42460,Table1[Start Date]&lt;42826),Table1[Managing Tenancy and Accommodation],""))</f>
        <v/>
      </c>
      <c r="GD48" s="44" t="str">
        <f>IF(Table1[Date of Initial Assessment]="","",IF(AND(Table1[Start Date]&gt;42460,Table1[Start Date]&lt;42826),Table1[Offending],""))</f>
        <v/>
      </c>
      <c r="GE48" s="44" t="str">
        <f>IF(Table1[Leaving Date]="","",IF(AND(Table1[Leaving Date]&gt;42460,Table1[Leaving Date]&lt;42826),IF(Table1[Date of Last Assessment]="",Table1[Motivation and Taking Responsibility],Table1[Motivation and Taking Responsibility2]),""))</f>
        <v/>
      </c>
      <c r="GF48" s="44" t="str">
        <f>IF(Table1[Leaving Date]="","",IF(AND(Table1[Leaving Date]&gt;42460,Table1[Leaving Date]&lt;42826),IF(Table1[Date of Last Assessment]="",Table1[Self-Care and Living Skills],Table1[Self-Care and Living Skills2]),""))</f>
        <v/>
      </c>
      <c r="GG48" s="44" t="str">
        <f>IF(Table1[Leaving Date]="","",IF(AND(Table1[Leaving Date]&gt;42460,Table1[Leaving Date]&lt;42826),IF(Table1[Date of Last Assessment]="",Table1[Managing Money and Personal Administration],Table1[Managing Money and Personal Administration2]),""))</f>
        <v/>
      </c>
      <c r="GH48" s="44" t="str">
        <f>IF(Table1[Leaving Date]="","",IF(AND(Table1[Leaving Date]&gt;42460,Table1[Leaving Date]&lt;42826),IF(Table1[Date of Last Assessment]="",Table1[Social Networks and Relationships],Table1[Social Networks and Relationships2]),""))</f>
        <v/>
      </c>
      <c r="GI48" s="44" t="str">
        <f>IF(Table1[Leaving Date]="","",IF(AND(Table1[Leaving Date]&gt;42460,Table1[Leaving Date]&lt;42826),IF(Table1[Date of Last Assessment]="",Table1[Drug and Alcohol Misuse],Table1[Drug and Alcohol Misuse2]),""))</f>
        <v/>
      </c>
      <c r="GJ48" s="44" t="str">
        <f>IF(Table1[Leaving Date]="","",IF(AND(Table1[Leaving Date]&gt;42460,Table1[Leaving Date]&lt;42826),IF(Table1[Date of Last Assessment]="",Table1[Physical Health],Table1[Physical Health2]),""))</f>
        <v/>
      </c>
      <c r="GK48" s="44" t="str">
        <f>IF(Table1[Leaving Date]="","",IF(AND(Table1[Leaving Date]&gt;42460,Table1[Leaving Date]&lt;42826),IF(Table1[Date of Last Assessment]="",Table1[Emotional and Mental Health],Table1[Emotional and Mental Health2]),""))</f>
        <v/>
      </c>
      <c r="GL48" s="44" t="str">
        <f>IF(Table1[Leaving Date]="","",IF(AND(Table1[Leaving Date]&gt;42460,Table1[Leaving Date]&lt;42826),IF(Table1[Date of Last Assessment]="",Table1[Meaningful Use of Time],Table1[Meaningful Use of Time2]),""))</f>
        <v/>
      </c>
      <c r="GM48" s="44" t="str">
        <f>IF(Table1[Leaving Date]="","",IF(AND(Table1[Leaving Date]&gt;42460,Table1[Leaving Date]&lt;42826),IF(Table1[Date of Last Assessment]="",Table1[Managing Tenancy and Accommodation],Table1[Managing Tenancy and Accommodation2]),""))</f>
        <v/>
      </c>
      <c r="GN48" s="44" t="str">
        <f>IF(Table1[Leaving Date]="","",IF(AND(Table1[Leaving Date]&gt;42460,Table1[Leaving Date]&lt;42826),IF(Table1[Date of Last Assessment]="",Table1[Offending],Table1[Offending2]),""))</f>
        <v/>
      </c>
    </row>
    <row r="49" spans="2:196" ht="20.100000000000001" customHeight="1" x14ac:dyDescent="0.2">
      <c r="B49" s="86">
        <f>+'Service Data'!$C$5:$C$5</f>
        <v>0</v>
      </c>
      <c r="C49" s="86"/>
      <c r="D49" s="86"/>
      <c r="E49" s="86"/>
      <c r="F49" s="86"/>
      <c r="G49" s="86"/>
      <c r="H49" s="6"/>
      <c r="I49" s="99" t="str">
        <f ca="1">IF(Table1[[#This Row],[Date of Birth]]="","",SUM(TODAY()-Table1[[#This Row],[Date of Birth]])/365)</f>
        <v/>
      </c>
      <c r="L49" s="86"/>
      <c r="M49" s="77"/>
      <c r="N49" s="86"/>
      <c r="O49" s="86"/>
      <c r="P49" s="91"/>
      <c r="Q49" s="86"/>
      <c r="R49" s="77"/>
      <c r="S49" s="77"/>
      <c r="T49" s="68"/>
      <c r="U49" s="68"/>
      <c r="V49" s="67"/>
      <c r="W49" s="67"/>
      <c r="X49" s="67"/>
      <c r="Y49" s="67"/>
      <c r="Z49" s="67"/>
      <c r="AA49" s="67"/>
      <c r="AB49" s="67"/>
      <c r="AC49" s="67"/>
      <c r="AD49" s="67"/>
      <c r="AE49" s="67"/>
      <c r="AF49" s="67"/>
      <c r="AG49" s="67"/>
      <c r="AH49" s="67"/>
      <c r="AI49" s="67"/>
      <c r="AJ49" s="67"/>
      <c r="AK49" s="67"/>
      <c r="AL49" s="67"/>
      <c r="AM49" s="67"/>
      <c r="AN49" s="77"/>
      <c r="AO49" s="76"/>
      <c r="AP49" s="77"/>
      <c r="AQ49" s="76"/>
      <c r="AR49" s="76"/>
      <c r="AS49" s="76"/>
      <c r="AT49" s="76"/>
      <c r="AU49" s="76"/>
      <c r="AV49" s="77"/>
      <c r="AW49" s="76"/>
      <c r="AX49" s="77"/>
      <c r="AY49" s="76"/>
      <c r="AZ49" s="76"/>
      <c r="BA49" s="76"/>
      <c r="BB49" s="76"/>
      <c r="BC49" s="76"/>
      <c r="BD49" s="77"/>
      <c r="BE49" s="76"/>
      <c r="BF49" s="77"/>
      <c r="BG49" s="76"/>
      <c r="BH49" s="76"/>
      <c r="BI49" s="76"/>
      <c r="BJ49" s="76"/>
      <c r="BK49" s="76"/>
      <c r="BL49" s="77"/>
      <c r="BM49" s="76"/>
      <c r="BN49" s="77"/>
      <c r="BO49" s="76"/>
      <c r="BP49" s="76"/>
      <c r="BQ49" s="76"/>
      <c r="BR49" s="76"/>
      <c r="BS49" s="76"/>
      <c r="BT49" s="77"/>
      <c r="BU49" s="76"/>
      <c r="BV49" s="77"/>
      <c r="BW49" s="76"/>
      <c r="BX49" s="76"/>
      <c r="BY49" s="76"/>
      <c r="BZ49" s="76"/>
      <c r="CA49" s="76"/>
      <c r="CB49" s="77"/>
      <c r="CC49" s="76"/>
      <c r="CD49" s="77"/>
      <c r="CE49" s="76"/>
      <c r="CF49" s="76"/>
      <c r="CG49" s="76"/>
      <c r="CH49" s="76"/>
      <c r="CI49" s="76"/>
      <c r="CJ49" s="77"/>
      <c r="CK49" s="76"/>
      <c r="CL49" s="77"/>
      <c r="CM49" s="76"/>
      <c r="CN49" s="76"/>
      <c r="CO49" s="76"/>
      <c r="CP49" s="76"/>
      <c r="CQ49" s="76"/>
      <c r="CR49" s="78" t="str">
        <f t="shared" si="15"/>
        <v/>
      </c>
      <c r="CS49" s="79" t="str">
        <f t="shared" si="16"/>
        <v/>
      </c>
      <c r="CT49" s="79" t="str">
        <f t="shared" si="17"/>
        <v/>
      </c>
      <c r="CU49" s="79" t="str">
        <f t="shared" si="18"/>
        <v/>
      </c>
      <c r="CV49" s="79" t="str">
        <f t="shared" si="19"/>
        <v/>
      </c>
      <c r="CW49" s="79" t="str">
        <f t="shared" si="20"/>
        <v/>
      </c>
      <c r="CX49" s="79" t="str">
        <f t="shared" si="21"/>
        <v/>
      </c>
      <c r="CY49" s="79" t="str">
        <f t="shared" si="22"/>
        <v/>
      </c>
      <c r="CZ49" s="79" t="str">
        <f t="shared" si="23"/>
        <v/>
      </c>
      <c r="DA49" s="79" t="str">
        <f t="shared" si="24"/>
        <v/>
      </c>
      <c r="DB49" s="79" t="str">
        <f t="shared" si="25"/>
        <v/>
      </c>
      <c r="DC49" s="79" t="str">
        <f t="shared" si="26"/>
        <v/>
      </c>
      <c r="DD49" s="79" t="str">
        <f t="shared" si="27"/>
        <v/>
      </c>
      <c r="DE49" s="79" t="str">
        <f t="shared" si="28"/>
        <v/>
      </c>
      <c r="DF49" s="79" t="str">
        <f t="shared" si="29"/>
        <v/>
      </c>
      <c r="DG49" s="79" t="str">
        <f t="shared" si="30"/>
        <v/>
      </c>
      <c r="DH49" s="76"/>
      <c r="DI49" s="78"/>
      <c r="DJ49" s="76"/>
      <c r="DK49" s="77"/>
      <c r="DL49" s="77"/>
      <c r="DM49" s="77"/>
      <c r="DN49" s="80"/>
      <c r="DO49" s="80"/>
      <c r="DP49" s="92" t="str">
        <f>IF(Table1[Start Date]="","",IF(Table1[Start Date]&gt;42185,"",IF(AND(Table1[Leaving Date]&gt;1,Table1[Leaving Date]&lt;42095),"",1)))</f>
        <v/>
      </c>
      <c r="DQ49" s="92" t="str">
        <f>IF(Table1[Start Date]="","",IF(Table1[Start Date]&gt;42277,"",IF(AND(Table1[Leaving Date]&gt;1,Table1[Leaving Date]&lt;42186),"",1)))</f>
        <v/>
      </c>
      <c r="DR49" s="92" t="str">
        <f>IF(Table1[Start Date]="","",IF(Table1[Start Date]&gt;42369,"",IF(AND(Table1[Leaving Date]&gt;1,Table1[Leaving Date]&lt;42278),"",1)))</f>
        <v/>
      </c>
      <c r="DS49" s="92" t="str">
        <f>IF(Table1[Start Date]="","",IF(Table1[Start Date]&gt;42460,"",IF(AND(Table1[Leaving Date]&gt;1,Table1[Leaving Date]&lt;42370),"",1)))</f>
        <v/>
      </c>
      <c r="DT49" s="92" t="str">
        <f>IF(Table1[Start Date]="","",IF(Table1[Start Date]&gt;42551,"",IF(AND(Table1[Leaving Date]&gt;1,Table1[Leaving Date]&lt;42461),"",1)))</f>
        <v/>
      </c>
      <c r="DU49" s="92" t="str">
        <f>IF(Table1[Start Date]="","",IF(Table1[Start Date]&gt;42643,"",IF(AND(Table1[Leaving Date]&gt;1,Table1[Leaving Date]&lt;42552),"",1)))</f>
        <v/>
      </c>
      <c r="DV49" s="92" t="str">
        <f>IF(Table1[Start Date]="","",IF(Table1[Start Date]&gt;42735,"",IF(AND(Table1[Leaving Date]&gt;1,Table1[Leaving Date]&lt;42644),"",1)))</f>
        <v/>
      </c>
      <c r="DW49" s="92" t="str">
        <f>IF(Table1[Start Date]="","",IF(Table1[Start Date]&gt;42825,"",IF(AND(Table1[Leaving Date]&gt;1,Table1[Leaving Date]&lt;42736),"",1)))</f>
        <v/>
      </c>
      <c r="DX49"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49" s="44" t="e">
        <f>VLOOKUP(Table1[Referral Source],Lists!$G$2:$H$20,2,FALSE)</f>
        <v>#N/A</v>
      </c>
      <c r="DZ49" s="93" t="e">
        <f>SUM(Table1[Data Referral Quarter]+Table1[Data Referral Source])</f>
        <v>#N/A</v>
      </c>
      <c r="EA49" s="44" t="b">
        <f>IF(Table1[Referral Decision]="Accepted",100,IF(Table1[Referral Decision]="Rejected by Provider",200,IF(Table1[Referral Decision]="Rejected by Applicant",300)))</f>
        <v>0</v>
      </c>
      <c r="EB49" s="44">
        <f>SUM(Table1[Data Referral Quarter]+Table1[Data Referral Decision])</f>
        <v>0</v>
      </c>
      <c r="EC49" s="44" t="b">
        <f>IF(Table1[Start Date]&gt;42735,8000,IF(Table1[Start Date]&gt;42643,7000,IF(Table1[Start Date]&gt;42551,6000,IF(Table1[Start Date]&gt;42460,5000,IF(Table1[Start Date]&gt;42369,4000,IF(Table1[Start Date]&gt;42277,3000,IF(Table1[Start Date]&gt;42185,2000,IF(Table1[Start Date]&gt;42094,1000))))))))</f>
        <v>0</v>
      </c>
      <c r="ED49" s="44" t="str">
        <f>IF(Table1[Start Date]="","",IF(Table1[Current Local Authority]="Swindon",1,"2"))</f>
        <v/>
      </c>
      <c r="EE49" s="44" t="e">
        <f>SUM(Table1[Data Start Date]+Table1[Data Local Authority])</f>
        <v>#VALUE!</v>
      </c>
      <c r="EF49" s="44">
        <f>IF(Table1[Registered with GP]="Yes",1,0)</f>
        <v>0</v>
      </c>
      <c r="EG49" s="44">
        <f>SUM(Table1[Data Start Date]+Table1[Data GP Start])</f>
        <v>0</v>
      </c>
      <c r="EH49" s="44" t="str">
        <f>IF(Table1[EET]="NEET",1,IF(Table1[EET]="Education",2,IF(Table1[EET]="Employment",2,IF(Table1[EET]="Training",2,IF(Table1[EET]="Retired",3,"")))))</f>
        <v/>
      </c>
      <c r="EI49" s="44" t="e">
        <f>Table1[Data Start Date]+Table1[Data EET Start]</f>
        <v>#VALUE!</v>
      </c>
      <c r="EJ49" s="44" t="b">
        <f>IF(Table1[Leaving Date]&gt;42735,8000,IF(Table1[Leaving Date]&gt;42643,7000,IF(Table1[Leaving Date]&gt;42551,6000,IF(Table1[Leaving Date]&gt;42460,5000,IF(Table1[Leaving Date]&gt;42369,4000,IF(Table1[Leaving Date]&gt;42277,3000,IF(Table1[Leaving Date]&gt;42185,2000,IF(Table1[Leaving Date]&gt;42094,1000))))))))</f>
        <v>0</v>
      </c>
      <c r="EK49" s="44" t="e">
        <f>VLOOKUP(Table1[Reason for Leaving],Lists!$T$2:$U$15,2,FALSE)</f>
        <v>#N/A</v>
      </c>
      <c r="EL49" s="44" t="e">
        <f>SUM(Table1[Data Leavers Date]+Table1[Data Move On])</f>
        <v>#N/A</v>
      </c>
      <c r="EM49" s="44" t="b">
        <f>IF(Table1[Registered with GP2]="Yes",1,IF(Table1[Registered with GP2]="No",0,IF(Table1[Registered with GP]="Yes",1,IF(Table1[Registered with GP]="No",0))))</f>
        <v>0</v>
      </c>
      <c r="EN49" s="44">
        <f>SUM(Table1[Data Leavers Date]+Table1[Data GP End])</f>
        <v>0</v>
      </c>
      <c r="EO49" s="44" t="str">
        <f>IF(Table1[EET2]="NEET",1,IF(Table1[EET2]="Employment",2,IF(Table1[EET2]="Education",2,IF(Table1[EET2]="Training",2,IF(Table1[EET2]="Retired",3,IF(Table1[EET]="NEET",1,IF(Table1[EET]="Employment",2,IF(Table1[EET]="Education",2,IF(Table1[EET]="Training",2,IF(Table1[EET]="Retired",3,""))))))))))</f>
        <v/>
      </c>
      <c r="EP49" s="44" t="e">
        <f>+Table1[[#This Row],[Data Leavers Date]]+Table1[[#This Row],[Data EET End]]</f>
        <v>#VALUE!</v>
      </c>
      <c r="EQ49" s="44">
        <f>IF(Table1[Exit Form Received]="Yes",1,0)</f>
        <v>0</v>
      </c>
      <c r="ER49" s="44">
        <f>+Table1[[#This Row],[Data Leavers Date]]+Table1[[#This Row],[Data Exit Forms]]</f>
        <v>0</v>
      </c>
      <c r="ES49" s="44" t="str">
        <f>IF(Table1[Data Leavers Date]=1000,SUM(Table1[Leaving Date]-Table1[Start Date]),"")</f>
        <v/>
      </c>
      <c r="ET49" s="44" t="str">
        <f>IF(Table1[Data Leavers Date]=2000,SUM(Table1[Leaving Date]-Table1[Start Date]),"")</f>
        <v/>
      </c>
      <c r="EU49" s="44" t="str">
        <f>IF(Table1[Data Leavers Date]=3000,SUM(Table1[Leaving Date]-Table1[Start Date]),"")</f>
        <v/>
      </c>
      <c r="EV49" s="44" t="str">
        <f>IF(Table1[Data Leavers Date]=4000,SUM(Table1[Leaving Date]-Table1[Start Date]),"")</f>
        <v/>
      </c>
      <c r="EW49" s="44" t="str">
        <f>IF(Table1[Data Leavers Date]=5000,SUM(Table1[Leaving Date]-Table1[Start Date]),"")</f>
        <v/>
      </c>
      <c r="EX49" s="44" t="str">
        <f>IF(Table1[Data Leavers Date]=6000,SUM(Table1[Leaving Date]-Table1[Start Date]),"")</f>
        <v/>
      </c>
      <c r="EY49" s="44" t="str">
        <f>IF(Table1[Data Leavers Date]=7000,SUM(Table1[Leaving Date]-Table1[Start Date]),"")</f>
        <v/>
      </c>
      <c r="EZ49" s="44" t="str">
        <f>IF(Table1[Data Leavers Date]=8000,SUM(Table1[Leaving Date]-Table1[Start Date]),"")</f>
        <v/>
      </c>
      <c r="FA49" s="44" t="str">
        <f>IF(Table1[Date of Initial Assessment]="","",IF(AND(Table1[Start Date]&gt;42094,Table1[Start Date]&lt;42461),Table1[Motivation and Taking Responsibility],""))</f>
        <v/>
      </c>
      <c r="FB49" s="44" t="str">
        <f>IF(Table1[Date of Initial Assessment]="","",IF(AND(Table1[Start Date]&gt;42094,Table1[Start Date]&lt;42461),Table1[Self-Care and Living Skills],""))</f>
        <v/>
      </c>
      <c r="FC49" s="44" t="str">
        <f>IF(Table1[Date of Initial Assessment]="","",IF(AND(Table1[Start Date]&gt;42094,Table1[Start Date]&lt;42461),Table1[Managing Money and Personal Administration],""))</f>
        <v/>
      </c>
      <c r="FD49" s="44" t="str">
        <f>IF(Table1[Date of Initial Assessment]="","",IF(AND(Table1[Start Date]&gt;42094,Table1[Start Date]&lt;42461),Table1[Social Networks and Relationships],""))</f>
        <v/>
      </c>
      <c r="FE49" s="44" t="str">
        <f>IF(Table1[Date of Initial Assessment]="","",IF(AND(Table1[Start Date]&gt;42094,Table1[Start Date]&lt;42461),Table1[Drug and Alcohol Misuse],""))</f>
        <v/>
      </c>
      <c r="FF49" s="44" t="str">
        <f>IF(Table1[Date of Initial Assessment]="","",IF(AND(Table1[Start Date]&gt;42094,Table1[Start Date]&lt;42461),Table1[Physical Health],""))</f>
        <v/>
      </c>
      <c r="FG49" s="44" t="str">
        <f>IF(Table1[Date of Initial Assessment]="","",IF(AND(Table1[Start Date]&gt;42094,Table1[Start Date]&lt;42461),Table1[Emotional and Mental Health],""))</f>
        <v/>
      </c>
      <c r="FH49" s="44" t="str">
        <f>IF(Table1[Date of Initial Assessment]="","",IF(AND(Table1[Start Date]&gt;42094,Table1[Start Date]&lt;42461),Table1[Meaningful Use of Time],""))</f>
        <v/>
      </c>
      <c r="FI49" s="44" t="str">
        <f>IF(Table1[Date of Initial Assessment]="","",IF(AND(Table1[Start Date]&gt;42094,Table1[Start Date]&lt;42461),Table1[Managing Tenancy and Accommodation],""))</f>
        <v/>
      </c>
      <c r="FJ49" s="44" t="str">
        <f>IF(Table1[Date of Initial Assessment]="","",IF(AND(Table1[Start Date]&gt;42094,Table1[Start Date]&lt;42461),Table1[Offending],""))</f>
        <v/>
      </c>
      <c r="FK49" s="44" t="str">
        <f>IF(Table1[Leaving Date]="","",IF(Table1[Date of Initial Assessment]="","",IF(AND(Table1[Leaving Date]&gt;42094,Table1[Leaving Date]&lt;42461),IF(Table1[Date of Last Assessment]="",Table1[Motivation and Taking Responsibility],Table1[Motivation and Taking Responsibility2]),"")))</f>
        <v/>
      </c>
      <c r="FL49" s="44" t="str">
        <f>IF(Table1[Leaving Date]="","",IF(Table1[Date of Initial Assessment]="","",IF(AND(Table1[Leaving Date]&gt;42094,Table1[Leaving Date]&lt;42461),IF(Table1[Date of Last Assessment]="",Table1[Self-Care and Living Skills],Table1[Self-Care and Living Skills2]),"")))</f>
        <v/>
      </c>
      <c r="FM49" s="44" t="str">
        <f>IF(Table1[Leaving Date]="","",IF(Table1[Date of Initial Assessment]="","",IF(AND(Table1[Leaving Date]&gt;42094,Table1[Leaving Date]&lt;42461),IF(Table1[Date of Last Assessment]="",Table1[Managing Money and Personal Administration],Table1[Managing Money and Personal Administration2]),"")))</f>
        <v/>
      </c>
      <c r="FN49" s="44" t="str">
        <f>IF(Table1[Leaving Date]="","",IF(Table1[Date of Initial Assessment]="","",IF(AND(Table1[Leaving Date]&gt;42094,Table1[Leaving Date]&lt;42461),IF(Table1[Date of Last Assessment]="",Table1[Social Networks and Relationships],Table1[Social Networks and Relationships2]),"")))</f>
        <v/>
      </c>
      <c r="FO49" s="44" t="str">
        <f>IF(Table1[Leaving Date]="","",IF(Table1[Date of Initial Assessment]="","",IF(AND(Table1[Leaving Date]&gt;42094,Table1[Leaving Date]&lt;42461),IF(Table1[Date of Last Assessment]="",Table1[Drug and Alcohol Misuse],Table1[Drug and Alcohol Misuse2]),"")))</f>
        <v/>
      </c>
      <c r="FP49" s="44" t="str">
        <f>IF(Table1[Leaving Date]="","",IF(Table1[Date of Initial Assessment]="","",IF(AND(Table1[Leaving Date]&gt;42094,Table1[Leaving Date]&lt;42461),IF(Table1[Date of Last Assessment]="",Table1[Physical Health],Table1[Physical Health2]),"")))</f>
        <v/>
      </c>
      <c r="FQ49" s="44" t="str">
        <f>IF(Table1[Leaving Date]="","",IF(Table1[Date of Initial Assessment]="","",IF(AND(Table1[Leaving Date]&gt;42094,Table1[Leaving Date]&lt;42461),IF(Table1[Date of Last Assessment]="",Table1[Emotional and Mental Health],Table1[Emotional and Mental Health2]),"")))</f>
        <v/>
      </c>
      <c r="FR49" s="44" t="str">
        <f>IF(Table1[Leaving Date]="","",IF(Table1[Date of Initial Assessment]="","",IF(AND(Table1[Leaving Date]&gt;42094,Table1[Leaving Date]&lt;42461),IF(Table1[Date of Last Assessment]="",Table1[Meaningful Use of Time],Table1[Meaningful Use of Time2]),"")))</f>
        <v/>
      </c>
      <c r="FS49" s="44" t="str">
        <f>IF(Table1[Leaving Date]="","",IF(Table1[Date of Initial Assessment]="","",IF(AND(Table1[Leaving Date]&gt;42094,Table1[Leaving Date]&lt;42461),IF(Table1[Date of Last Assessment]="",Table1[Managing Tenancy and Accommodation],Table1[Managing Tenancy and Accommodation2]),"")))</f>
        <v/>
      </c>
      <c r="FT49" s="44" t="str">
        <f>IF(Table1[Leaving Date]="","",IF(Table1[Date of Initial Assessment]="","",IF(AND(Table1[Leaving Date]&gt;42094,Table1[Leaving Date]&lt;42461),IF(Table1[Date of Last Assessment]="",Table1[Offending],Table1[Offending2]),"")))</f>
        <v/>
      </c>
      <c r="FU49" s="44" t="str">
        <f>IF(Table1[Date of Initial Assessment]="","",IF(AND(Table1[Start Date]&gt;42460,Table1[Start Date]&lt;42826),Table1[Motivation and Taking Responsibility],""))</f>
        <v/>
      </c>
      <c r="FV49" s="44" t="str">
        <f>IF(Table1[Date of Initial Assessment]="","",IF(AND(Table1[Start Date]&gt;42460,Table1[Start Date]&lt;42826),Table1[Self-Care and Living Skills],""))</f>
        <v/>
      </c>
      <c r="FW49" s="44" t="str">
        <f>IF(Table1[Date of Initial Assessment]="","",IF(AND(Table1[Start Date]&gt;42460,Table1[Start Date]&lt;42826),Table1[Managing Money and Personal Administration],""))</f>
        <v/>
      </c>
      <c r="FX49" s="44" t="str">
        <f>IF(Table1[Date of Initial Assessment]="","",IF(AND(Table1[Start Date]&gt;42460,Table1[Start Date]&lt;42826),Table1[Social Networks and Relationships],""))</f>
        <v/>
      </c>
      <c r="FY49" s="44" t="str">
        <f>IF(Table1[Date of Initial Assessment]="","",IF(AND(Table1[Start Date]&gt;42460,Table1[Start Date]&lt;42826),Table1[Drug and Alcohol Misuse],""))</f>
        <v/>
      </c>
      <c r="FZ49" s="44" t="str">
        <f>IF(Table1[Date of Initial Assessment]="","",IF(AND(Table1[Start Date]&gt;42460,Table1[Start Date]&lt;42826),Table1[Physical Health],""))</f>
        <v/>
      </c>
      <c r="GA49" s="44" t="str">
        <f>IF(Table1[Date of Initial Assessment]="","",IF(AND(Table1[Start Date]&gt;42460,Table1[Start Date]&lt;42826),Table1[Emotional and Mental Health],""))</f>
        <v/>
      </c>
      <c r="GB49" s="44" t="str">
        <f>IF(Table1[Date of Initial Assessment]="","",IF(AND(Table1[Start Date]&gt;42460,Table1[Start Date]&lt;42826),Table1[Meaningful Use of Time],""))</f>
        <v/>
      </c>
      <c r="GC49" s="44" t="str">
        <f>IF(Table1[Date of Initial Assessment]="","",IF(AND(Table1[Start Date]&gt;42460,Table1[Start Date]&lt;42826),Table1[Managing Tenancy and Accommodation],""))</f>
        <v/>
      </c>
      <c r="GD49" s="44" t="str">
        <f>IF(Table1[Date of Initial Assessment]="","",IF(AND(Table1[Start Date]&gt;42460,Table1[Start Date]&lt;42826),Table1[Offending],""))</f>
        <v/>
      </c>
      <c r="GE49" s="44" t="str">
        <f>IF(Table1[Leaving Date]="","",IF(AND(Table1[Leaving Date]&gt;42460,Table1[Leaving Date]&lt;42826),IF(Table1[Date of Last Assessment]="",Table1[Motivation and Taking Responsibility],Table1[Motivation and Taking Responsibility2]),""))</f>
        <v/>
      </c>
      <c r="GF49" s="44" t="str">
        <f>IF(Table1[Leaving Date]="","",IF(AND(Table1[Leaving Date]&gt;42460,Table1[Leaving Date]&lt;42826),IF(Table1[Date of Last Assessment]="",Table1[Self-Care and Living Skills],Table1[Self-Care and Living Skills2]),""))</f>
        <v/>
      </c>
      <c r="GG49" s="44" t="str">
        <f>IF(Table1[Leaving Date]="","",IF(AND(Table1[Leaving Date]&gt;42460,Table1[Leaving Date]&lt;42826),IF(Table1[Date of Last Assessment]="",Table1[Managing Money and Personal Administration],Table1[Managing Money and Personal Administration2]),""))</f>
        <v/>
      </c>
      <c r="GH49" s="44" t="str">
        <f>IF(Table1[Leaving Date]="","",IF(AND(Table1[Leaving Date]&gt;42460,Table1[Leaving Date]&lt;42826),IF(Table1[Date of Last Assessment]="",Table1[Social Networks and Relationships],Table1[Social Networks and Relationships2]),""))</f>
        <v/>
      </c>
      <c r="GI49" s="44" t="str">
        <f>IF(Table1[Leaving Date]="","",IF(AND(Table1[Leaving Date]&gt;42460,Table1[Leaving Date]&lt;42826),IF(Table1[Date of Last Assessment]="",Table1[Drug and Alcohol Misuse],Table1[Drug and Alcohol Misuse2]),""))</f>
        <v/>
      </c>
      <c r="GJ49" s="44" t="str">
        <f>IF(Table1[Leaving Date]="","",IF(AND(Table1[Leaving Date]&gt;42460,Table1[Leaving Date]&lt;42826),IF(Table1[Date of Last Assessment]="",Table1[Physical Health],Table1[Physical Health2]),""))</f>
        <v/>
      </c>
      <c r="GK49" s="44" t="str">
        <f>IF(Table1[Leaving Date]="","",IF(AND(Table1[Leaving Date]&gt;42460,Table1[Leaving Date]&lt;42826),IF(Table1[Date of Last Assessment]="",Table1[Emotional and Mental Health],Table1[Emotional and Mental Health2]),""))</f>
        <v/>
      </c>
      <c r="GL49" s="44" t="str">
        <f>IF(Table1[Leaving Date]="","",IF(AND(Table1[Leaving Date]&gt;42460,Table1[Leaving Date]&lt;42826),IF(Table1[Date of Last Assessment]="",Table1[Meaningful Use of Time],Table1[Meaningful Use of Time2]),""))</f>
        <v/>
      </c>
      <c r="GM49" s="44" t="str">
        <f>IF(Table1[Leaving Date]="","",IF(AND(Table1[Leaving Date]&gt;42460,Table1[Leaving Date]&lt;42826),IF(Table1[Date of Last Assessment]="",Table1[Managing Tenancy and Accommodation],Table1[Managing Tenancy and Accommodation2]),""))</f>
        <v/>
      </c>
      <c r="GN49" s="44" t="str">
        <f>IF(Table1[Leaving Date]="","",IF(AND(Table1[Leaving Date]&gt;42460,Table1[Leaving Date]&lt;42826),IF(Table1[Date of Last Assessment]="",Table1[Offending],Table1[Offending2]),""))</f>
        <v/>
      </c>
    </row>
    <row r="50" spans="2:196" ht="20.100000000000001" customHeight="1" x14ac:dyDescent="0.2">
      <c r="B50" s="86">
        <f>+'Service Data'!$C$5:$C$5</f>
        <v>0</v>
      </c>
      <c r="C50" s="86"/>
      <c r="D50" s="86"/>
      <c r="E50" s="86"/>
      <c r="F50" s="86"/>
      <c r="G50" s="86"/>
      <c r="H50" s="6"/>
      <c r="I50" s="99" t="str">
        <f ca="1">IF(Table1[[#This Row],[Date of Birth]]="","",SUM(TODAY()-Table1[[#This Row],[Date of Birth]])/365)</f>
        <v/>
      </c>
      <c r="L50" s="86"/>
      <c r="M50" s="77"/>
      <c r="N50" s="86"/>
      <c r="O50" s="86"/>
      <c r="P50" s="91"/>
      <c r="Q50" s="86"/>
      <c r="R50" s="77"/>
      <c r="S50" s="77"/>
      <c r="T50" s="68"/>
      <c r="U50" s="68"/>
      <c r="V50" s="67"/>
      <c r="W50" s="67"/>
      <c r="X50" s="67"/>
      <c r="Y50" s="67"/>
      <c r="Z50" s="67"/>
      <c r="AA50" s="67"/>
      <c r="AB50" s="67"/>
      <c r="AC50" s="67"/>
      <c r="AD50" s="67"/>
      <c r="AE50" s="67"/>
      <c r="AF50" s="67"/>
      <c r="AG50" s="67"/>
      <c r="AH50" s="67"/>
      <c r="AI50" s="67"/>
      <c r="AJ50" s="67"/>
      <c r="AK50" s="67"/>
      <c r="AL50" s="67"/>
      <c r="AM50" s="67"/>
      <c r="AN50" s="77"/>
      <c r="AO50" s="76"/>
      <c r="AP50" s="77"/>
      <c r="AQ50" s="76"/>
      <c r="AR50" s="76"/>
      <c r="AS50" s="76"/>
      <c r="AT50" s="76"/>
      <c r="AU50" s="76"/>
      <c r="AV50" s="77"/>
      <c r="AW50" s="76"/>
      <c r="AX50" s="77"/>
      <c r="AY50" s="76"/>
      <c r="AZ50" s="76"/>
      <c r="BA50" s="76"/>
      <c r="BB50" s="76"/>
      <c r="BC50" s="76"/>
      <c r="BD50" s="77"/>
      <c r="BE50" s="76"/>
      <c r="BF50" s="77"/>
      <c r="BG50" s="76"/>
      <c r="BH50" s="76"/>
      <c r="BI50" s="76"/>
      <c r="BJ50" s="76"/>
      <c r="BK50" s="76"/>
      <c r="BL50" s="77"/>
      <c r="BM50" s="76"/>
      <c r="BN50" s="77"/>
      <c r="BO50" s="76"/>
      <c r="BP50" s="76"/>
      <c r="BQ50" s="76"/>
      <c r="BR50" s="76"/>
      <c r="BS50" s="76"/>
      <c r="BT50" s="77"/>
      <c r="BU50" s="76"/>
      <c r="BV50" s="77"/>
      <c r="BW50" s="76"/>
      <c r="BX50" s="76"/>
      <c r="BY50" s="76"/>
      <c r="BZ50" s="76"/>
      <c r="CA50" s="76"/>
      <c r="CB50" s="77"/>
      <c r="CC50" s="76"/>
      <c r="CD50" s="77"/>
      <c r="CE50" s="76"/>
      <c r="CF50" s="76"/>
      <c r="CG50" s="76"/>
      <c r="CH50" s="76"/>
      <c r="CI50" s="76"/>
      <c r="CJ50" s="77"/>
      <c r="CK50" s="76"/>
      <c r="CL50" s="77"/>
      <c r="CM50" s="76"/>
      <c r="CN50" s="76"/>
      <c r="CO50" s="76"/>
      <c r="CP50" s="76"/>
      <c r="CQ50" s="76"/>
      <c r="CR50" s="78" t="str">
        <f t="shared" si="15"/>
        <v/>
      </c>
      <c r="CS50" s="79" t="str">
        <f t="shared" si="16"/>
        <v/>
      </c>
      <c r="CT50" s="79" t="str">
        <f t="shared" si="17"/>
        <v/>
      </c>
      <c r="CU50" s="79" t="str">
        <f t="shared" si="18"/>
        <v/>
      </c>
      <c r="CV50" s="79" t="str">
        <f t="shared" si="19"/>
        <v/>
      </c>
      <c r="CW50" s="79" t="str">
        <f t="shared" si="20"/>
        <v/>
      </c>
      <c r="CX50" s="79" t="str">
        <f t="shared" si="21"/>
        <v/>
      </c>
      <c r="CY50" s="79" t="str">
        <f t="shared" si="22"/>
        <v/>
      </c>
      <c r="CZ50" s="79" t="str">
        <f t="shared" si="23"/>
        <v/>
      </c>
      <c r="DA50" s="79" t="str">
        <f t="shared" si="24"/>
        <v/>
      </c>
      <c r="DB50" s="79" t="str">
        <f t="shared" si="25"/>
        <v/>
      </c>
      <c r="DC50" s="79" t="str">
        <f t="shared" si="26"/>
        <v/>
      </c>
      <c r="DD50" s="79" t="str">
        <f t="shared" si="27"/>
        <v/>
      </c>
      <c r="DE50" s="79" t="str">
        <f t="shared" si="28"/>
        <v/>
      </c>
      <c r="DF50" s="79" t="str">
        <f t="shared" si="29"/>
        <v/>
      </c>
      <c r="DG50" s="79" t="str">
        <f t="shared" si="30"/>
        <v/>
      </c>
      <c r="DH50" s="76"/>
      <c r="DI50" s="78"/>
      <c r="DJ50" s="76"/>
      <c r="DK50" s="77"/>
      <c r="DL50" s="77"/>
      <c r="DM50" s="77"/>
      <c r="DN50" s="80"/>
      <c r="DO50" s="80"/>
      <c r="DP50" s="92" t="str">
        <f>IF(Table1[Start Date]="","",IF(Table1[Start Date]&gt;42185,"",IF(AND(Table1[Leaving Date]&gt;1,Table1[Leaving Date]&lt;42095),"",1)))</f>
        <v/>
      </c>
      <c r="DQ50" s="92" t="str">
        <f>IF(Table1[Start Date]="","",IF(Table1[Start Date]&gt;42277,"",IF(AND(Table1[Leaving Date]&gt;1,Table1[Leaving Date]&lt;42186),"",1)))</f>
        <v/>
      </c>
      <c r="DR50" s="92" t="str">
        <f>IF(Table1[Start Date]="","",IF(Table1[Start Date]&gt;42369,"",IF(AND(Table1[Leaving Date]&gt;1,Table1[Leaving Date]&lt;42278),"",1)))</f>
        <v/>
      </c>
      <c r="DS50" s="92" t="str">
        <f>IF(Table1[Start Date]="","",IF(Table1[Start Date]&gt;42460,"",IF(AND(Table1[Leaving Date]&gt;1,Table1[Leaving Date]&lt;42370),"",1)))</f>
        <v/>
      </c>
      <c r="DT50" s="92" t="str">
        <f>IF(Table1[Start Date]="","",IF(Table1[Start Date]&gt;42551,"",IF(AND(Table1[Leaving Date]&gt;1,Table1[Leaving Date]&lt;42461),"",1)))</f>
        <v/>
      </c>
      <c r="DU50" s="92" t="str">
        <f>IF(Table1[Start Date]="","",IF(Table1[Start Date]&gt;42643,"",IF(AND(Table1[Leaving Date]&gt;1,Table1[Leaving Date]&lt;42552),"",1)))</f>
        <v/>
      </c>
      <c r="DV50" s="92" t="str">
        <f>IF(Table1[Start Date]="","",IF(Table1[Start Date]&gt;42735,"",IF(AND(Table1[Leaving Date]&gt;1,Table1[Leaving Date]&lt;42644),"",1)))</f>
        <v/>
      </c>
      <c r="DW50" s="92" t="str">
        <f>IF(Table1[Start Date]="","",IF(Table1[Start Date]&gt;42825,"",IF(AND(Table1[Leaving Date]&gt;1,Table1[Leaving Date]&lt;42736),"",1)))</f>
        <v/>
      </c>
      <c r="DX50"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50" s="44" t="e">
        <f>VLOOKUP(Table1[Referral Source],Lists!$G$2:$H$20,2,FALSE)</f>
        <v>#N/A</v>
      </c>
      <c r="DZ50" s="93" t="e">
        <f>SUM(Table1[Data Referral Quarter]+Table1[Data Referral Source])</f>
        <v>#N/A</v>
      </c>
      <c r="EA50" s="44" t="b">
        <f>IF(Table1[Referral Decision]="Accepted",100,IF(Table1[Referral Decision]="Rejected by Provider",200,IF(Table1[Referral Decision]="Rejected by Applicant",300)))</f>
        <v>0</v>
      </c>
      <c r="EB50" s="44">
        <f>SUM(Table1[Data Referral Quarter]+Table1[Data Referral Decision])</f>
        <v>0</v>
      </c>
      <c r="EC50" s="44" t="b">
        <f>IF(Table1[Start Date]&gt;42735,8000,IF(Table1[Start Date]&gt;42643,7000,IF(Table1[Start Date]&gt;42551,6000,IF(Table1[Start Date]&gt;42460,5000,IF(Table1[Start Date]&gt;42369,4000,IF(Table1[Start Date]&gt;42277,3000,IF(Table1[Start Date]&gt;42185,2000,IF(Table1[Start Date]&gt;42094,1000))))))))</f>
        <v>0</v>
      </c>
      <c r="ED50" s="44" t="str">
        <f>IF(Table1[Start Date]="","",IF(Table1[Current Local Authority]="Swindon",1,"2"))</f>
        <v/>
      </c>
      <c r="EE50" s="44" t="e">
        <f>SUM(Table1[Data Start Date]+Table1[Data Local Authority])</f>
        <v>#VALUE!</v>
      </c>
      <c r="EF50" s="44">
        <f>IF(Table1[Registered with GP]="Yes",1,0)</f>
        <v>0</v>
      </c>
      <c r="EG50" s="44">
        <f>SUM(Table1[Data Start Date]+Table1[Data GP Start])</f>
        <v>0</v>
      </c>
      <c r="EH50" s="44" t="str">
        <f>IF(Table1[EET]="NEET",1,IF(Table1[EET]="Education",2,IF(Table1[EET]="Employment",2,IF(Table1[EET]="Training",2,IF(Table1[EET]="Retired",3,"")))))</f>
        <v/>
      </c>
      <c r="EI50" s="44" t="e">
        <f>Table1[Data Start Date]+Table1[Data EET Start]</f>
        <v>#VALUE!</v>
      </c>
      <c r="EJ50" s="44" t="b">
        <f>IF(Table1[Leaving Date]&gt;42735,8000,IF(Table1[Leaving Date]&gt;42643,7000,IF(Table1[Leaving Date]&gt;42551,6000,IF(Table1[Leaving Date]&gt;42460,5000,IF(Table1[Leaving Date]&gt;42369,4000,IF(Table1[Leaving Date]&gt;42277,3000,IF(Table1[Leaving Date]&gt;42185,2000,IF(Table1[Leaving Date]&gt;42094,1000))))))))</f>
        <v>0</v>
      </c>
      <c r="EK50" s="44" t="e">
        <f>VLOOKUP(Table1[Reason for Leaving],Lists!$T$2:$U$15,2,FALSE)</f>
        <v>#N/A</v>
      </c>
      <c r="EL50" s="44" t="e">
        <f>SUM(Table1[Data Leavers Date]+Table1[Data Move On])</f>
        <v>#N/A</v>
      </c>
      <c r="EM50" s="44" t="b">
        <f>IF(Table1[Registered with GP2]="Yes",1,IF(Table1[Registered with GP2]="No",0,IF(Table1[Registered with GP]="Yes",1,IF(Table1[Registered with GP]="No",0))))</f>
        <v>0</v>
      </c>
      <c r="EN50" s="44">
        <f>SUM(Table1[Data Leavers Date]+Table1[Data GP End])</f>
        <v>0</v>
      </c>
      <c r="EO50" s="44" t="str">
        <f>IF(Table1[EET2]="NEET",1,IF(Table1[EET2]="Employment",2,IF(Table1[EET2]="Education",2,IF(Table1[EET2]="Training",2,IF(Table1[EET2]="Retired",3,IF(Table1[EET]="NEET",1,IF(Table1[EET]="Employment",2,IF(Table1[EET]="Education",2,IF(Table1[EET]="Training",2,IF(Table1[EET]="Retired",3,""))))))))))</f>
        <v/>
      </c>
      <c r="EP50" s="44" t="e">
        <f>+Table1[[#This Row],[Data Leavers Date]]+Table1[[#This Row],[Data EET End]]</f>
        <v>#VALUE!</v>
      </c>
      <c r="EQ50" s="44">
        <f>IF(Table1[Exit Form Received]="Yes",1,0)</f>
        <v>0</v>
      </c>
      <c r="ER50" s="44">
        <f>+Table1[[#This Row],[Data Leavers Date]]+Table1[[#This Row],[Data Exit Forms]]</f>
        <v>0</v>
      </c>
      <c r="ES50" s="44" t="str">
        <f>IF(Table1[Data Leavers Date]=1000,SUM(Table1[Leaving Date]-Table1[Start Date]),"")</f>
        <v/>
      </c>
      <c r="ET50" s="44" t="str">
        <f>IF(Table1[Data Leavers Date]=2000,SUM(Table1[Leaving Date]-Table1[Start Date]),"")</f>
        <v/>
      </c>
      <c r="EU50" s="44" t="str">
        <f>IF(Table1[Data Leavers Date]=3000,SUM(Table1[Leaving Date]-Table1[Start Date]),"")</f>
        <v/>
      </c>
      <c r="EV50" s="44" t="str">
        <f>IF(Table1[Data Leavers Date]=4000,SUM(Table1[Leaving Date]-Table1[Start Date]),"")</f>
        <v/>
      </c>
      <c r="EW50" s="44" t="str">
        <f>IF(Table1[Data Leavers Date]=5000,SUM(Table1[Leaving Date]-Table1[Start Date]),"")</f>
        <v/>
      </c>
      <c r="EX50" s="44" t="str">
        <f>IF(Table1[Data Leavers Date]=6000,SUM(Table1[Leaving Date]-Table1[Start Date]),"")</f>
        <v/>
      </c>
      <c r="EY50" s="44" t="str">
        <f>IF(Table1[Data Leavers Date]=7000,SUM(Table1[Leaving Date]-Table1[Start Date]),"")</f>
        <v/>
      </c>
      <c r="EZ50" s="44" t="str">
        <f>IF(Table1[Data Leavers Date]=8000,SUM(Table1[Leaving Date]-Table1[Start Date]),"")</f>
        <v/>
      </c>
      <c r="FA50" s="44" t="str">
        <f>IF(Table1[Date of Initial Assessment]="","",IF(AND(Table1[Start Date]&gt;42094,Table1[Start Date]&lt;42461),Table1[Motivation and Taking Responsibility],""))</f>
        <v/>
      </c>
      <c r="FB50" s="44" t="str">
        <f>IF(Table1[Date of Initial Assessment]="","",IF(AND(Table1[Start Date]&gt;42094,Table1[Start Date]&lt;42461),Table1[Self-Care and Living Skills],""))</f>
        <v/>
      </c>
      <c r="FC50" s="44" t="str">
        <f>IF(Table1[Date of Initial Assessment]="","",IF(AND(Table1[Start Date]&gt;42094,Table1[Start Date]&lt;42461),Table1[Managing Money and Personal Administration],""))</f>
        <v/>
      </c>
      <c r="FD50" s="44" t="str">
        <f>IF(Table1[Date of Initial Assessment]="","",IF(AND(Table1[Start Date]&gt;42094,Table1[Start Date]&lt;42461),Table1[Social Networks and Relationships],""))</f>
        <v/>
      </c>
      <c r="FE50" s="44" t="str">
        <f>IF(Table1[Date of Initial Assessment]="","",IF(AND(Table1[Start Date]&gt;42094,Table1[Start Date]&lt;42461),Table1[Drug and Alcohol Misuse],""))</f>
        <v/>
      </c>
      <c r="FF50" s="44" t="str">
        <f>IF(Table1[Date of Initial Assessment]="","",IF(AND(Table1[Start Date]&gt;42094,Table1[Start Date]&lt;42461),Table1[Physical Health],""))</f>
        <v/>
      </c>
      <c r="FG50" s="44" t="str">
        <f>IF(Table1[Date of Initial Assessment]="","",IF(AND(Table1[Start Date]&gt;42094,Table1[Start Date]&lt;42461),Table1[Emotional and Mental Health],""))</f>
        <v/>
      </c>
      <c r="FH50" s="44" t="str">
        <f>IF(Table1[Date of Initial Assessment]="","",IF(AND(Table1[Start Date]&gt;42094,Table1[Start Date]&lt;42461),Table1[Meaningful Use of Time],""))</f>
        <v/>
      </c>
      <c r="FI50" s="44" t="str">
        <f>IF(Table1[Date of Initial Assessment]="","",IF(AND(Table1[Start Date]&gt;42094,Table1[Start Date]&lt;42461),Table1[Managing Tenancy and Accommodation],""))</f>
        <v/>
      </c>
      <c r="FJ50" s="44" t="str">
        <f>IF(Table1[Date of Initial Assessment]="","",IF(AND(Table1[Start Date]&gt;42094,Table1[Start Date]&lt;42461),Table1[Offending],""))</f>
        <v/>
      </c>
      <c r="FK50" s="44" t="str">
        <f>IF(Table1[Leaving Date]="","",IF(Table1[Date of Initial Assessment]="","",IF(AND(Table1[Leaving Date]&gt;42094,Table1[Leaving Date]&lt;42461),IF(Table1[Date of Last Assessment]="",Table1[Motivation and Taking Responsibility],Table1[Motivation and Taking Responsibility2]),"")))</f>
        <v/>
      </c>
      <c r="FL50" s="44" t="str">
        <f>IF(Table1[Leaving Date]="","",IF(Table1[Date of Initial Assessment]="","",IF(AND(Table1[Leaving Date]&gt;42094,Table1[Leaving Date]&lt;42461),IF(Table1[Date of Last Assessment]="",Table1[Self-Care and Living Skills],Table1[Self-Care and Living Skills2]),"")))</f>
        <v/>
      </c>
      <c r="FM50" s="44" t="str">
        <f>IF(Table1[Leaving Date]="","",IF(Table1[Date of Initial Assessment]="","",IF(AND(Table1[Leaving Date]&gt;42094,Table1[Leaving Date]&lt;42461),IF(Table1[Date of Last Assessment]="",Table1[Managing Money and Personal Administration],Table1[Managing Money and Personal Administration2]),"")))</f>
        <v/>
      </c>
      <c r="FN50" s="44" t="str">
        <f>IF(Table1[Leaving Date]="","",IF(Table1[Date of Initial Assessment]="","",IF(AND(Table1[Leaving Date]&gt;42094,Table1[Leaving Date]&lt;42461),IF(Table1[Date of Last Assessment]="",Table1[Social Networks and Relationships],Table1[Social Networks and Relationships2]),"")))</f>
        <v/>
      </c>
      <c r="FO50" s="44" t="str">
        <f>IF(Table1[Leaving Date]="","",IF(Table1[Date of Initial Assessment]="","",IF(AND(Table1[Leaving Date]&gt;42094,Table1[Leaving Date]&lt;42461),IF(Table1[Date of Last Assessment]="",Table1[Drug and Alcohol Misuse],Table1[Drug and Alcohol Misuse2]),"")))</f>
        <v/>
      </c>
      <c r="FP50" s="44" t="str">
        <f>IF(Table1[Leaving Date]="","",IF(Table1[Date of Initial Assessment]="","",IF(AND(Table1[Leaving Date]&gt;42094,Table1[Leaving Date]&lt;42461),IF(Table1[Date of Last Assessment]="",Table1[Physical Health],Table1[Physical Health2]),"")))</f>
        <v/>
      </c>
      <c r="FQ50" s="44" t="str">
        <f>IF(Table1[Leaving Date]="","",IF(Table1[Date of Initial Assessment]="","",IF(AND(Table1[Leaving Date]&gt;42094,Table1[Leaving Date]&lt;42461),IF(Table1[Date of Last Assessment]="",Table1[Emotional and Mental Health],Table1[Emotional and Mental Health2]),"")))</f>
        <v/>
      </c>
      <c r="FR50" s="44" t="str">
        <f>IF(Table1[Leaving Date]="","",IF(Table1[Date of Initial Assessment]="","",IF(AND(Table1[Leaving Date]&gt;42094,Table1[Leaving Date]&lt;42461),IF(Table1[Date of Last Assessment]="",Table1[Meaningful Use of Time],Table1[Meaningful Use of Time2]),"")))</f>
        <v/>
      </c>
      <c r="FS50" s="44" t="str">
        <f>IF(Table1[Leaving Date]="","",IF(Table1[Date of Initial Assessment]="","",IF(AND(Table1[Leaving Date]&gt;42094,Table1[Leaving Date]&lt;42461),IF(Table1[Date of Last Assessment]="",Table1[Managing Tenancy and Accommodation],Table1[Managing Tenancy and Accommodation2]),"")))</f>
        <v/>
      </c>
      <c r="FT50" s="44" t="str">
        <f>IF(Table1[Leaving Date]="","",IF(Table1[Date of Initial Assessment]="","",IF(AND(Table1[Leaving Date]&gt;42094,Table1[Leaving Date]&lt;42461),IF(Table1[Date of Last Assessment]="",Table1[Offending],Table1[Offending2]),"")))</f>
        <v/>
      </c>
      <c r="FU50" s="44" t="str">
        <f>IF(Table1[Date of Initial Assessment]="","",IF(AND(Table1[Start Date]&gt;42460,Table1[Start Date]&lt;42826),Table1[Motivation and Taking Responsibility],""))</f>
        <v/>
      </c>
      <c r="FV50" s="44" t="str">
        <f>IF(Table1[Date of Initial Assessment]="","",IF(AND(Table1[Start Date]&gt;42460,Table1[Start Date]&lt;42826),Table1[Self-Care and Living Skills],""))</f>
        <v/>
      </c>
      <c r="FW50" s="44" t="str">
        <f>IF(Table1[Date of Initial Assessment]="","",IF(AND(Table1[Start Date]&gt;42460,Table1[Start Date]&lt;42826),Table1[Managing Money and Personal Administration],""))</f>
        <v/>
      </c>
      <c r="FX50" s="44" t="str">
        <f>IF(Table1[Date of Initial Assessment]="","",IF(AND(Table1[Start Date]&gt;42460,Table1[Start Date]&lt;42826),Table1[Social Networks and Relationships],""))</f>
        <v/>
      </c>
      <c r="FY50" s="44" t="str">
        <f>IF(Table1[Date of Initial Assessment]="","",IF(AND(Table1[Start Date]&gt;42460,Table1[Start Date]&lt;42826),Table1[Drug and Alcohol Misuse],""))</f>
        <v/>
      </c>
      <c r="FZ50" s="44" t="str">
        <f>IF(Table1[Date of Initial Assessment]="","",IF(AND(Table1[Start Date]&gt;42460,Table1[Start Date]&lt;42826),Table1[Physical Health],""))</f>
        <v/>
      </c>
      <c r="GA50" s="44" t="str">
        <f>IF(Table1[Date of Initial Assessment]="","",IF(AND(Table1[Start Date]&gt;42460,Table1[Start Date]&lt;42826),Table1[Emotional and Mental Health],""))</f>
        <v/>
      </c>
      <c r="GB50" s="44" t="str">
        <f>IF(Table1[Date of Initial Assessment]="","",IF(AND(Table1[Start Date]&gt;42460,Table1[Start Date]&lt;42826),Table1[Meaningful Use of Time],""))</f>
        <v/>
      </c>
      <c r="GC50" s="44" t="str">
        <f>IF(Table1[Date of Initial Assessment]="","",IF(AND(Table1[Start Date]&gt;42460,Table1[Start Date]&lt;42826),Table1[Managing Tenancy and Accommodation],""))</f>
        <v/>
      </c>
      <c r="GD50" s="44" t="str">
        <f>IF(Table1[Date of Initial Assessment]="","",IF(AND(Table1[Start Date]&gt;42460,Table1[Start Date]&lt;42826),Table1[Offending],""))</f>
        <v/>
      </c>
      <c r="GE50" s="44" t="str">
        <f>IF(Table1[Leaving Date]="","",IF(AND(Table1[Leaving Date]&gt;42460,Table1[Leaving Date]&lt;42826),IF(Table1[Date of Last Assessment]="",Table1[Motivation and Taking Responsibility],Table1[Motivation and Taking Responsibility2]),""))</f>
        <v/>
      </c>
      <c r="GF50" s="44" t="str">
        <f>IF(Table1[Leaving Date]="","",IF(AND(Table1[Leaving Date]&gt;42460,Table1[Leaving Date]&lt;42826),IF(Table1[Date of Last Assessment]="",Table1[Self-Care and Living Skills],Table1[Self-Care and Living Skills2]),""))</f>
        <v/>
      </c>
      <c r="GG50" s="44" t="str">
        <f>IF(Table1[Leaving Date]="","",IF(AND(Table1[Leaving Date]&gt;42460,Table1[Leaving Date]&lt;42826),IF(Table1[Date of Last Assessment]="",Table1[Managing Money and Personal Administration],Table1[Managing Money and Personal Administration2]),""))</f>
        <v/>
      </c>
      <c r="GH50" s="44" t="str">
        <f>IF(Table1[Leaving Date]="","",IF(AND(Table1[Leaving Date]&gt;42460,Table1[Leaving Date]&lt;42826),IF(Table1[Date of Last Assessment]="",Table1[Social Networks and Relationships],Table1[Social Networks and Relationships2]),""))</f>
        <v/>
      </c>
      <c r="GI50" s="44" t="str">
        <f>IF(Table1[Leaving Date]="","",IF(AND(Table1[Leaving Date]&gt;42460,Table1[Leaving Date]&lt;42826),IF(Table1[Date of Last Assessment]="",Table1[Drug and Alcohol Misuse],Table1[Drug and Alcohol Misuse2]),""))</f>
        <v/>
      </c>
      <c r="GJ50" s="44" t="str">
        <f>IF(Table1[Leaving Date]="","",IF(AND(Table1[Leaving Date]&gt;42460,Table1[Leaving Date]&lt;42826),IF(Table1[Date of Last Assessment]="",Table1[Physical Health],Table1[Physical Health2]),""))</f>
        <v/>
      </c>
      <c r="GK50" s="44" t="str">
        <f>IF(Table1[Leaving Date]="","",IF(AND(Table1[Leaving Date]&gt;42460,Table1[Leaving Date]&lt;42826),IF(Table1[Date of Last Assessment]="",Table1[Emotional and Mental Health],Table1[Emotional and Mental Health2]),""))</f>
        <v/>
      </c>
      <c r="GL50" s="44" t="str">
        <f>IF(Table1[Leaving Date]="","",IF(AND(Table1[Leaving Date]&gt;42460,Table1[Leaving Date]&lt;42826),IF(Table1[Date of Last Assessment]="",Table1[Meaningful Use of Time],Table1[Meaningful Use of Time2]),""))</f>
        <v/>
      </c>
      <c r="GM50" s="44" t="str">
        <f>IF(Table1[Leaving Date]="","",IF(AND(Table1[Leaving Date]&gt;42460,Table1[Leaving Date]&lt;42826),IF(Table1[Date of Last Assessment]="",Table1[Managing Tenancy and Accommodation],Table1[Managing Tenancy and Accommodation2]),""))</f>
        <v/>
      </c>
      <c r="GN50" s="44" t="str">
        <f>IF(Table1[Leaving Date]="","",IF(AND(Table1[Leaving Date]&gt;42460,Table1[Leaving Date]&lt;42826),IF(Table1[Date of Last Assessment]="",Table1[Offending],Table1[Offending2]),""))</f>
        <v/>
      </c>
    </row>
    <row r="51" spans="2:196" ht="20.100000000000001" customHeight="1" x14ac:dyDescent="0.2">
      <c r="B51" s="86">
        <f>+'Service Data'!$C$5:$C$5</f>
        <v>0</v>
      </c>
      <c r="C51" s="86"/>
      <c r="D51" s="86"/>
      <c r="E51" s="86"/>
      <c r="F51" s="86"/>
      <c r="G51" s="86"/>
      <c r="H51" s="6"/>
      <c r="I51" s="99" t="str">
        <f ca="1">IF(Table1[[#This Row],[Date of Birth]]="","",SUM(TODAY()-Table1[[#This Row],[Date of Birth]])/365)</f>
        <v/>
      </c>
      <c r="L51" s="86"/>
      <c r="M51" s="77"/>
      <c r="N51" s="86"/>
      <c r="O51" s="86"/>
      <c r="P51" s="91"/>
      <c r="Q51" s="86"/>
      <c r="R51" s="77"/>
      <c r="S51" s="77"/>
      <c r="T51" s="68"/>
      <c r="U51" s="68"/>
      <c r="V51" s="67"/>
      <c r="W51" s="67"/>
      <c r="X51" s="67"/>
      <c r="Y51" s="67"/>
      <c r="Z51" s="67"/>
      <c r="AA51" s="67"/>
      <c r="AB51" s="67"/>
      <c r="AC51" s="67"/>
      <c r="AD51" s="67"/>
      <c r="AE51" s="67"/>
      <c r="AF51" s="67"/>
      <c r="AG51" s="67"/>
      <c r="AH51" s="67"/>
      <c r="AI51" s="67"/>
      <c r="AJ51" s="67"/>
      <c r="AK51" s="67"/>
      <c r="AL51" s="67"/>
      <c r="AM51" s="67"/>
      <c r="AN51" s="77"/>
      <c r="AO51" s="76"/>
      <c r="AP51" s="77"/>
      <c r="AQ51" s="76"/>
      <c r="AR51" s="76"/>
      <c r="AS51" s="76"/>
      <c r="AT51" s="76"/>
      <c r="AU51" s="76"/>
      <c r="AV51" s="77"/>
      <c r="AW51" s="76"/>
      <c r="AX51" s="77"/>
      <c r="AY51" s="76"/>
      <c r="AZ51" s="76"/>
      <c r="BA51" s="76"/>
      <c r="BB51" s="76"/>
      <c r="BC51" s="76"/>
      <c r="BD51" s="77"/>
      <c r="BE51" s="76"/>
      <c r="BF51" s="77"/>
      <c r="BG51" s="76"/>
      <c r="BH51" s="76"/>
      <c r="BI51" s="76"/>
      <c r="BJ51" s="76"/>
      <c r="BK51" s="76"/>
      <c r="BL51" s="77"/>
      <c r="BM51" s="76"/>
      <c r="BN51" s="77"/>
      <c r="BO51" s="76"/>
      <c r="BP51" s="76"/>
      <c r="BQ51" s="76"/>
      <c r="BR51" s="76"/>
      <c r="BS51" s="76"/>
      <c r="BT51" s="77"/>
      <c r="BU51" s="76"/>
      <c r="BV51" s="77"/>
      <c r="BW51" s="76"/>
      <c r="BX51" s="76"/>
      <c r="BY51" s="76"/>
      <c r="BZ51" s="76"/>
      <c r="CA51" s="76"/>
      <c r="CB51" s="77"/>
      <c r="CC51" s="76"/>
      <c r="CD51" s="77"/>
      <c r="CE51" s="76"/>
      <c r="CF51" s="76"/>
      <c r="CG51" s="76"/>
      <c r="CH51" s="76"/>
      <c r="CI51" s="76"/>
      <c r="CJ51" s="77"/>
      <c r="CK51" s="76"/>
      <c r="CL51" s="77"/>
      <c r="CM51" s="76"/>
      <c r="CN51" s="76"/>
      <c r="CO51" s="76"/>
      <c r="CP51" s="76"/>
      <c r="CQ51" s="76"/>
      <c r="CR51" s="78" t="str">
        <f t="shared" si="15"/>
        <v/>
      </c>
      <c r="CS51" s="79" t="str">
        <f t="shared" si="16"/>
        <v/>
      </c>
      <c r="CT51" s="79" t="str">
        <f t="shared" si="17"/>
        <v/>
      </c>
      <c r="CU51" s="79" t="str">
        <f t="shared" si="18"/>
        <v/>
      </c>
      <c r="CV51" s="79" t="str">
        <f t="shared" si="19"/>
        <v/>
      </c>
      <c r="CW51" s="79" t="str">
        <f t="shared" si="20"/>
        <v/>
      </c>
      <c r="CX51" s="79" t="str">
        <f t="shared" si="21"/>
        <v/>
      </c>
      <c r="CY51" s="79" t="str">
        <f t="shared" si="22"/>
        <v/>
      </c>
      <c r="CZ51" s="79" t="str">
        <f t="shared" si="23"/>
        <v/>
      </c>
      <c r="DA51" s="79" t="str">
        <f t="shared" si="24"/>
        <v/>
      </c>
      <c r="DB51" s="79" t="str">
        <f t="shared" si="25"/>
        <v/>
      </c>
      <c r="DC51" s="79" t="str">
        <f t="shared" si="26"/>
        <v/>
      </c>
      <c r="DD51" s="79" t="str">
        <f t="shared" si="27"/>
        <v/>
      </c>
      <c r="DE51" s="79" t="str">
        <f t="shared" si="28"/>
        <v/>
      </c>
      <c r="DF51" s="79" t="str">
        <f t="shared" si="29"/>
        <v/>
      </c>
      <c r="DG51" s="79" t="str">
        <f t="shared" si="30"/>
        <v/>
      </c>
      <c r="DH51" s="76"/>
      <c r="DI51" s="78"/>
      <c r="DJ51" s="76"/>
      <c r="DK51" s="77"/>
      <c r="DL51" s="77"/>
      <c r="DM51" s="77"/>
      <c r="DN51" s="80"/>
      <c r="DO51" s="80"/>
      <c r="DP51" s="92" t="str">
        <f>IF(Table1[Start Date]="","",IF(Table1[Start Date]&gt;42185,"",IF(AND(Table1[Leaving Date]&gt;1,Table1[Leaving Date]&lt;42095),"",1)))</f>
        <v/>
      </c>
      <c r="DQ51" s="92" t="str">
        <f>IF(Table1[Start Date]="","",IF(Table1[Start Date]&gt;42277,"",IF(AND(Table1[Leaving Date]&gt;1,Table1[Leaving Date]&lt;42186),"",1)))</f>
        <v/>
      </c>
      <c r="DR51" s="92" t="str">
        <f>IF(Table1[Start Date]="","",IF(Table1[Start Date]&gt;42369,"",IF(AND(Table1[Leaving Date]&gt;1,Table1[Leaving Date]&lt;42278),"",1)))</f>
        <v/>
      </c>
      <c r="DS51" s="92" t="str">
        <f>IF(Table1[Start Date]="","",IF(Table1[Start Date]&gt;42460,"",IF(AND(Table1[Leaving Date]&gt;1,Table1[Leaving Date]&lt;42370),"",1)))</f>
        <v/>
      </c>
      <c r="DT51" s="92" t="str">
        <f>IF(Table1[Start Date]="","",IF(Table1[Start Date]&gt;42551,"",IF(AND(Table1[Leaving Date]&gt;1,Table1[Leaving Date]&lt;42461),"",1)))</f>
        <v/>
      </c>
      <c r="DU51" s="92" t="str">
        <f>IF(Table1[Start Date]="","",IF(Table1[Start Date]&gt;42643,"",IF(AND(Table1[Leaving Date]&gt;1,Table1[Leaving Date]&lt;42552),"",1)))</f>
        <v/>
      </c>
      <c r="DV51" s="92" t="str">
        <f>IF(Table1[Start Date]="","",IF(Table1[Start Date]&gt;42735,"",IF(AND(Table1[Leaving Date]&gt;1,Table1[Leaving Date]&lt;42644),"",1)))</f>
        <v/>
      </c>
      <c r="DW51" s="92" t="str">
        <f>IF(Table1[Start Date]="","",IF(Table1[Start Date]&gt;42825,"",IF(AND(Table1[Leaving Date]&gt;1,Table1[Leaving Date]&lt;42736),"",1)))</f>
        <v/>
      </c>
      <c r="DX51"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51" s="44" t="e">
        <f>VLOOKUP(Table1[Referral Source],Lists!$G$2:$H$20,2,FALSE)</f>
        <v>#N/A</v>
      </c>
      <c r="DZ51" s="93" t="e">
        <f>SUM(Table1[Data Referral Quarter]+Table1[Data Referral Source])</f>
        <v>#N/A</v>
      </c>
      <c r="EA51" s="44" t="b">
        <f>IF(Table1[Referral Decision]="Accepted",100,IF(Table1[Referral Decision]="Rejected by Provider",200,IF(Table1[Referral Decision]="Rejected by Applicant",300)))</f>
        <v>0</v>
      </c>
      <c r="EB51" s="44">
        <f>SUM(Table1[Data Referral Quarter]+Table1[Data Referral Decision])</f>
        <v>0</v>
      </c>
      <c r="EC51" s="44" t="b">
        <f>IF(Table1[Start Date]&gt;42735,8000,IF(Table1[Start Date]&gt;42643,7000,IF(Table1[Start Date]&gt;42551,6000,IF(Table1[Start Date]&gt;42460,5000,IF(Table1[Start Date]&gt;42369,4000,IF(Table1[Start Date]&gt;42277,3000,IF(Table1[Start Date]&gt;42185,2000,IF(Table1[Start Date]&gt;42094,1000))))))))</f>
        <v>0</v>
      </c>
      <c r="ED51" s="44" t="str">
        <f>IF(Table1[Start Date]="","",IF(Table1[Current Local Authority]="Swindon",1,"2"))</f>
        <v/>
      </c>
      <c r="EE51" s="44" t="e">
        <f>SUM(Table1[Data Start Date]+Table1[Data Local Authority])</f>
        <v>#VALUE!</v>
      </c>
      <c r="EF51" s="44">
        <f>IF(Table1[Registered with GP]="Yes",1,0)</f>
        <v>0</v>
      </c>
      <c r="EG51" s="44">
        <f>SUM(Table1[Data Start Date]+Table1[Data GP Start])</f>
        <v>0</v>
      </c>
      <c r="EH51" s="44" t="str">
        <f>IF(Table1[EET]="NEET",1,IF(Table1[EET]="Education",2,IF(Table1[EET]="Employment",2,IF(Table1[EET]="Training",2,IF(Table1[EET]="Retired",3,"")))))</f>
        <v/>
      </c>
      <c r="EI51" s="44" t="e">
        <f>Table1[Data Start Date]+Table1[Data EET Start]</f>
        <v>#VALUE!</v>
      </c>
      <c r="EJ51" s="44" t="b">
        <f>IF(Table1[Leaving Date]&gt;42735,8000,IF(Table1[Leaving Date]&gt;42643,7000,IF(Table1[Leaving Date]&gt;42551,6000,IF(Table1[Leaving Date]&gt;42460,5000,IF(Table1[Leaving Date]&gt;42369,4000,IF(Table1[Leaving Date]&gt;42277,3000,IF(Table1[Leaving Date]&gt;42185,2000,IF(Table1[Leaving Date]&gt;42094,1000))))))))</f>
        <v>0</v>
      </c>
      <c r="EK51" s="44" t="e">
        <f>VLOOKUP(Table1[Reason for Leaving],Lists!$T$2:$U$15,2,FALSE)</f>
        <v>#N/A</v>
      </c>
      <c r="EL51" s="44" t="e">
        <f>SUM(Table1[Data Leavers Date]+Table1[Data Move On])</f>
        <v>#N/A</v>
      </c>
      <c r="EM51" s="44" t="b">
        <f>IF(Table1[Registered with GP2]="Yes",1,IF(Table1[Registered with GP2]="No",0,IF(Table1[Registered with GP]="Yes",1,IF(Table1[Registered with GP]="No",0))))</f>
        <v>0</v>
      </c>
      <c r="EN51" s="44">
        <f>SUM(Table1[Data Leavers Date]+Table1[Data GP End])</f>
        <v>0</v>
      </c>
      <c r="EO51" s="44" t="str">
        <f>IF(Table1[EET2]="NEET",1,IF(Table1[EET2]="Employment",2,IF(Table1[EET2]="Education",2,IF(Table1[EET2]="Training",2,IF(Table1[EET2]="Retired",3,IF(Table1[EET]="NEET",1,IF(Table1[EET]="Employment",2,IF(Table1[EET]="Education",2,IF(Table1[EET]="Training",2,IF(Table1[EET]="Retired",3,""))))))))))</f>
        <v/>
      </c>
      <c r="EP51" s="44" t="e">
        <f>+Table1[[#This Row],[Data Leavers Date]]+Table1[[#This Row],[Data EET End]]</f>
        <v>#VALUE!</v>
      </c>
      <c r="EQ51" s="44">
        <f>IF(Table1[Exit Form Received]="Yes",1,0)</f>
        <v>0</v>
      </c>
      <c r="ER51" s="44">
        <f>+Table1[[#This Row],[Data Leavers Date]]+Table1[[#This Row],[Data Exit Forms]]</f>
        <v>0</v>
      </c>
      <c r="ES51" s="44" t="str">
        <f>IF(Table1[Data Leavers Date]=1000,SUM(Table1[Leaving Date]-Table1[Start Date]),"")</f>
        <v/>
      </c>
      <c r="ET51" s="44" t="str">
        <f>IF(Table1[Data Leavers Date]=2000,SUM(Table1[Leaving Date]-Table1[Start Date]),"")</f>
        <v/>
      </c>
      <c r="EU51" s="44" t="str">
        <f>IF(Table1[Data Leavers Date]=3000,SUM(Table1[Leaving Date]-Table1[Start Date]),"")</f>
        <v/>
      </c>
      <c r="EV51" s="44" t="str">
        <f>IF(Table1[Data Leavers Date]=4000,SUM(Table1[Leaving Date]-Table1[Start Date]),"")</f>
        <v/>
      </c>
      <c r="EW51" s="44" t="str">
        <f>IF(Table1[Data Leavers Date]=5000,SUM(Table1[Leaving Date]-Table1[Start Date]),"")</f>
        <v/>
      </c>
      <c r="EX51" s="44" t="str">
        <f>IF(Table1[Data Leavers Date]=6000,SUM(Table1[Leaving Date]-Table1[Start Date]),"")</f>
        <v/>
      </c>
      <c r="EY51" s="44" t="str">
        <f>IF(Table1[Data Leavers Date]=7000,SUM(Table1[Leaving Date]-Table1[Start Date]),"")</f>
        <v/>
      </c>
      <c r="EZ51" s="44" t="str">
        <f>IF(Table1[Data Leavers Date]=8000,SUM(Table1[Leaving Date]-Table1[Start Date]),"")</f>
        <v/>
      </c>
      <c r="FA51" s="44" t="str">
        <f>IF(Table1[Date of Initial Assessment]="","",IF(AND(Table1[Start Date]&gt;42094,Table1[Start Date]&lt;42461),Table1[Motivation and Taking Responsibility],""))</f>
        <v/>
      </c>
      <c r="FB51" s="44" t="str">
        <f>IF(Table1[Date of Initial Assessment]="","",IF(AND(Table1[Start Date]&gt;42094,Table1[Start Date]&lt;42461),Table1[Self-Care and Living Skills],""))</f>
        <v/>
      </c>
      <c r="FC51" s="44" t="str">
        <f>IF(Table1[Date of Initial Assessment]="","",IF(AND(Table1[Start Date]&gt;42094,Table1[Start Date]&lt;42461),Table1[Managing Money and Personal Administration],""))</f>
        <v/>
      </c>
      <c r="FD51" s="44" t="str">
        <f>IF(Table1[Date of Initial Assessment]="","",IF(AND(Table1[Start Date]&gt;42094,Table1[Start Date]&lt;42461),Table1[Social Networks and Relationships],""))</f>
        <v/>
      </c>
      <c r="FE51" s="44" t="str">
        <f>IF(Table1[Date of Initial Assessment]="","",IF(AND(Table1[Start Date]&gt;42094,Table1[Start Date]&lt;42461),Table1[Drug and Alcohol Misuse],""))</f>
        <v/>
      </c>
      <c r="FF51" s="44" t="str">
        <f>IF(Table1[Date of Initial Assessment]="","",IF(AND(Table1[Start Date]&gt;42094,Table1[Start Date]&lt;42461),Table1[Physical Health],""))</f>
        <v/>
      </c>
      <c r="FG51" s="44" t="str">
        <f>IF(Table1[Date of Initial Assessment]="","",IF(AND(Table1[Start Date]&gt;42094,Table1[Start Date]&lt;42461),Table1[Emotional and Mental Health],""))</f>
        <v/>
      </c>
      <c r="FH51" s="44" t="str">
        <f>IF(Table1[Date of Initial Assessment]="","",IF(AND(Table1[Start Date]&gt;42094,Table1[Start Date]&lt;42461),Table1[Meaningful Use of Time],""))</f>
        <v/>
      </c>
      <c r="FI51" s="44" t="str">
        <f>IF(Table1[Date of Initial Assessment]="","",IF(AND(Table1[Start Date]&gt;42094,Table1[Start Date]&lt;42461),Table1[Managing Tenancy and Accommodation],""))</f>
        <v/>
      </c>
      <c r="FJ51" s="44" t="str">
        <f>IF(Table1[Date of Initial Assessment]="","",IF(AND(Table1[Start Date]&gt;42094,Table1[Start Date]&lt;42461),Table1[Offending],""))</f>
        <v/>
      </c>
      <c r="FK51" s="44" t="str">
        <f>IF(Table1[Leaving Date]="","",IF(Table1[Date of Initial Assessment]="","",IF(AND(Table1[Leaving Date]&gt;42094,Table1[Leaving Date]&lt;42461),IF(Table1[Date of Last Assessment]="",Table1[Motivation and Taking Responsibility],Table1[Motivation and Taking Responsibility2]),"")))</f>
        <v/>
      </c>
      <c r="FL51" s="44" t="str">
        <f>IF(Table1[Leaving Date]="","",IF(Table1[Date of Initial Assessment]="","",IF(AND(Table1[Leaving Date]&gt;42094,Table1[Leaving Date]&lt;42461),IF(Table1[Date of Last Assessment]="",Table1[Self-Care and Living Skills],Table1[Self-Care and Living Skills2]),"")))</f>
        <v/>
      </c>
      <c r="FM51" s="44" t="str">
        <f>IF(Table1[Leaving Date]="","",IF(Table1[Date of Initial Assessment]="","",IF(AND(Table1[Leaving Date]&gt;42094,Table1[Leaving Date]&lt;42461),IF(Table1[Date of Last Assessment]="",Table1[Managing Money and Personal Administration],Table1[Managing Money and Personal Administration2]),"")))</f>
        <v/>
      </c>
      <c r="FN51" s="44" t="str">
        <f>IF(Table1[Leaving Date]="","",IF(Table1[Date of Initial Assessment]="","",IF(AND(Table1[Leaving Date]&gt;42094,Table1[Leaving Date]&lt;42461),IF(Table1[Date of Last Assessment]="",Table1[Social Networks and Relationships],Table1[Social Networks and Relationships2]),"")))</f>
        <v/>
      </c>
      <c r="FO51" s="44" t="str">
        <f>IF(Table1[Leaving Date]="","",IF(Table1[Date of Initial Assessment]="","",IF(AND(Table1[Leaving Date]&gt;42094,Table1[Leaving Date]&lt;42461),IF(Table1[Date of Last Assessment]="",Table1[Drug and Alcohol Misuse],Table1[Drug and Alcohol Misuse2]),"")))</f>
        <v/>
      </c>
      <c r="FP51" s="44" t="str">
        <f>IF(Table1[Leaving Date]="","",IF(Table1[Date of Initial Assessment]="","",IF(AND(Table1[Leaving Date]&gt;42094,Table1[Leaving Date]&lt;42461),IF(Table1[Date of Last Assessment]="",Table1[Physical Health],Table1[Physical Health2]),"")))</f>
        <v/>
      </c>
      <c r="FQ51" s="44" t="str">
        <f>IF(Table1[Leaving Date]="","",IF(Table1[Date of Initial Assessment]="","",IF(AND(Table1[Leaving Date]&gt;42094,Table1[Leaving Date]&lt;42461),IF(Table1[Date of Last Assessment]="",Table1[Emotional and Mental Health],Table1[Emotional and Mental Health2]),"")))</f>
        <v/>
      </c>
      <c r="FR51" s="44" t="str">
        <f>IF(Table1[Leaving Date]="","",IF(Table1[Date of Initial Assessment]="","",IF(AND(Table1[Leaving Date]&gt;42094,Table1[Leaving Date]&lt;42461),IF(Table1[Date of Last Assessment]="",Table1[Meaningful Use of Time],Table1[Meaningful Use of Time2]),"")))</f>
        <v/>
      </c>
      <c r="FS51" s="44" t="str">
        <f>IF(Table1[Leaving Date]="","",IF(Table1[Date of Initial Assessment]="","",IF(AND(Table1[Leaving Date]&gt;42094,Table1[Leaving Date]&lt;42461),IF(Table1[Date of Last Assessment]="",Table1[Managing Tenancy and Accommodation],Table1[Managing Tenancy and Accommodation2]),"")))</f>
        <v/>
      </c>
      <c r="FT51" s="44" t="str">
        <f>IF(Table1[Leaving Date]="","",IF(Table1[Date of Initial Assessment]="","",IF(AND(Table1[Leaving Date]&gt;42094,Table1[Leaving Date]&lt;42461),IF(Table1[Date of Last Assessment]="",Table1[Offending],Table1[Offending2]),"")))</f>
        <v/>
      </c>
      <c r="FU51" s="44" t="str">
        <f>IF(Table1[Date of Initial Assessment]="","",IF(AND(Table1[Start Date]&gt;42460,Table1[Start Date]&lt;42826),Table1[Motivation and Taking Responsibility],""))</f>
        <v/>
      </c>
      <c r="FV51" s="44" t="str">
        <f>IF(Table1[Date of Initial Assessment]="","",IF(AND(Table1[Start Date]&gt;42460,Table1[Start Date]&lt;42826),Table1[Self-Care and Living Skills],""))</f>
        <v/>
      </c>
      <c r="FW51" s="44" t="str">
        <f>IF(Table1[Date of Initial Assessment]="","",IF(AND(Table1[Start Date]&gt;42460,Table1[Start Date]&lt;42826),Table1[Managing Money and Personal Administration],""))</f>
        <v/>
      </c>
      <c r="FX51" s="44" t="str">
        <f>IF(Table1[Date of Initial Assessment]="","",IF(AND(Table1[Start Date]&gt;42460,Table1[Start Date]&lt;42826),Table1[Social Networks and Relationships],""))</f>
        <v/>
      </c>
      <c r="FY51" s="44" t="str">
        <f>IF(Table1[Date of Initial Assessment]="","",IF(AND(Table1[Start Date]&gt;42460,Table1[Start Date]&lt;42826),Table1[Drug and Alcohol Misuse],""))</f>
        <v/>
      </c>
      <c r="FZ51" s="44" t="str">
        <f>IF(Table1[Date of Initial Assessment]="","",IF(AND(Table1[Start Date]&gt;42460,Table1[Start Date]&lt;42826),Table1[Physical Health],""))</f>
        <v/>
      </c>
      <c r="GA51" s="44" t="str">
        <f>IF(Table1[Date of Initial Assessment]="","",IF(AND(Table1[Start Date]&gt;42460,Table1[Start Date]&lt;42826),Table1[Emotional and Mental Health],""))</f>
        <v/>
      </c>
      <c r="GB51" s="44" t="str">
        <f>IF(Table1[Date of Initial Assessment]="","",IF(AND(Table1[Start Date]&gt;42460,Table1[Start Date]&lt;42826),Table1[Meaningful Use of Time],""))</f>
        <v/>
      </c>
      <c r="GC51" s="44" t="str">
        <f>IF(Table1[Date of Initial Assessment]="","",IF(AND(Table1[Start Date]&gt;42460,Table1[Start Date]&lt;42826),Table1[Managing Tenancy and Accommodation],""))</f>
        <v/>
      </c>
      <c r="GD51" s="44" t="str">
        <f>IF(Table1[Date of Initial Assessment]="","",IF(AND(Table1[Start Date]&gt;42460,Table1[Start Date]&lt;42826),Table1[Offending],""))</f>
        <v/>
      </c>
      <c r="GE51" s="44" t="str">
        <f>IF(Table1[Leaving Date]="","",IF(AND(Table1[Leaving Date]&gt;42460,Table1[Leaving Date]&lt;42826),IF(Table1[Date of Last Assessment]="",Table1[Motivation and Taking Responsibility],Table1[Motivation and Taking Responsibility2]),""))</f>
        <v/>
      </c>
      <c r="GF51" s="44" t="str">
        <f>IF(Table1[Leaving Date]="","",IF(AND(Table1[Leaving Date]&gt;42460,Table1[Leaving Date]&lt;42826),IF(Table1[Date of Last Assessment]="",Table1[Self-Care and Living Skills],Table1[Self-Care and Living Skills2]),""))</f>
        <v/>
      </c>
      <c r="GG51" s="44" t="str">
        <f>IF(Table1[Leaving Date]="","",IF(AND(Table1[Leaving Date]&gt;42460,Table1[Leaving Date]&lt;42826),IF(Table1[Date of Last Assessment]="",Table1[Managing Money and Personal Administration],Table1[Managing Money and Personal Administration2]),""))</f>
        <v/>
      </c>
      <c r="GH51" s="44" t="str">
        <f>IF(Table1[Leaving Date]="","",IF(AND(Table1[Leaving Date]&gt;42460,Table1[Leaving Date]&lt;42826),IF(Table1[Date of Last Assessment]="",Table1[Social Networks and Relationships],Table1[Social Networks and Relationships2]),""))</f>
        <v/>
      </c>
      <c r="GI51" s="44" t="str">
        <f>IF(Table1[Leaving Date]="","",IF(AND(Table1[Leaving Date]&gt;42460,Table1[Leaving Date]&lt;42826),IF(Table1[Date of Last Assessment]="",Table1[Drug and Alcohol Misuse],Table1[Drug and Alcohol Misuse2]),""))</f>
        <v/>
      </c>
      <c r="GJ51" s="44" t="str">
        <f>IF(Table1[Leaving Date]="","",IF(AND(Table1[Leaving Date]&gt;42460,Table1[Leaving Date]&lt;42826),IF(Table1[Date of Last Assessment]="",Table1[Physical Health],Table1[Physical Health2]),""))</f>
        <v/>
      </c>
      <c r="GK51" s="44" t="str">
        <f>IF(Table1[Leaving Date]="","",IF(AND(Table1[Leaving Date]&gt;42460,Table1[Leaving Date]&lt;42826),IF(Table1[Date of Last Assessment]="",Table1[Emotional and Mental Health],Table1[Emotional and Mental Health2]),""))</f>
        <v/>
      </c>
      <c r="GL51" s="44" t="str">
        <f>IF(Table1[Leaving Date]="","",IF(AND(Table1[Leaving Date]&gt;42460,Table1[Leaving Date]&lt;42826),IF(Table1[Date of Last Assessment]="",Table1[Meaningful Use of Time],Table1[Meaningful Use of Time2]),""))</f>
        <v/>
      </c>
      <c r="GM51" s="44" t="str">
        <f>IF(Table1[Leaving Date]="","",IF(AND(Table1[Leaving Date]&gt;42460,Table1[Leaving Date]&lt;42826),IF(Table1[Date of Last Assessment]="",Table1[Managing Tenancy and Accommodation],Table1[Managing Tenancy and Accommodation2]),""))</f>
        <v/>
      </c>
      <c r="GN51" s="44" t="str">
        <f>IF(Table1[Leaving Date]="","",IF(AND(Table1[Leaving Date]&gt;42460,Table1[Leaving Date]&lt;42826),IF(Table1[Date of Last Assessment]="",Table1[Offending],Table1[Offending2]),""))</f>
        <v/>
      </c>
    </row>
    <row r="52" spans="2:196" ht="20.100000000000001" customHeight="1" x14ac:dyDescent="0.2">
      <c r="B52" s="86">
        <f>+'Service Data'!$C$5:$C$5</f>
        <v>0</v>
      </c>
      <c r="C52" s="86"/>
      <c r="D52" s="86"/>
      <c r="E52" s="86"/>
      <c r="F52" s="86"/>
      <c r="G52" s="86"/>
      <c r="H52" s="6"/>
      <c r="I52" s="99" t="str">
        <f ca="1">IF(Table1[[#This Row],[Date of Birth]]="","",SUM(TODAY()-Table1[[#This Row],[Date of Birth]])/365)</f>
        <v/>
      </c>
      <c r="L52" s="86"/>
      <c r="M52" s="77"/>
      <c r="N52" s="86"/>
      <c r="O52" s="86"/>
      <c r="P52" s="91"/>
      <c r="Q52" s="86"/>
      <c r="R52" s="77"/>
      <c r="S52" s="77"/>
      <c r="T52" s="68"/>
      <c r="U52" s="68"/>
      <c r="V52" s="67"/>
      <c r="W52" s="67"/>
      <c r="X52" s="67"/>
      <c r="Y52" s="67"/>
      <c r="Z52" s="67"/>
      <c r="AA52" s="67"/>
      <c r="AB52" s="67"/>
      <c r="AC52" s="67"/>
      <c r="AD52" s="67"/>
      <c r="AE52" s="67"/>
      <c r="AF52" s="67"/>
      <c r="AG52" s="67"/>
      <c r="AH52" s="67"/>
      <c r="AI52" s="67"/>
      <c r="AJ52" s="67"/>
      <c r="AK52" s="67"/>
      <c r="AL52" s="67"/>
      <c r="AM52" s="67"/>
      <c r="AN52" s="77"/>
      <c r="AO52" s="76"/>
      <c r="AP52" s="77"/>
      <c r="AQ52" s="76"/>
      <c r="AR52" s="76"/>
      <c r="AS52" s="76"/>
      <c r="AT52" s="76"/>
      <c r="AU52" s="76"/>
      <c r="AV52" s="77"/>
      <c r="AW52" s="76"/>
      <c r="AX52" s="77"/>
      <c r="AY52" s="76"/>
      <c r="AZ52" s="76"/>
      <c r="BA52" s="76"/>
      <c r="BB52" s="76"/>
      <c r="BC52" s="76"/>
      <c r="BD52" s="77"/>
      <c r="BE52" s="76"/>
      <c r="BF52" s="77"/>
      <c r="BG52" s="76"/>
      <c r="BH52" s="76"/>
      <c r="BI52" s="76"/>
      <c r="BJ52" s="76"/>
      <c r="BK52" s="76"/>
      <c r="BL52" s="77"/>
      <c r="BM52" s="76"/>
      <c r="BN52" s="77"/>
      <c r="BO52" s="76"/>
      <c r="BP52" s="76"/>
      <c r="BQ52" s="76"/>
      <c r="BR52" s="76"/>
      <c r="BS52" s="76"/>
      <c r="BT52" s="77"/>
      <c r="BU52" s="76"/>
      <c r="BV52" s="77"/>
      <c r="BW52" s="76"/>
      <c r="BX52" s="76"/>
      <c r="BY52" s="76"/>
      <c r="BZ52" s="76"/>
      <c r="CA52" s="76"/>
      <c r="CB52" s="77"/>
      <c r="CC52" s="76"/>
      <c r="CD52" s="77"/>
      <c r="CE52" s="76"/>
      <c r="CF52" s="76"/>
      <c r="CG52" s="76"/>
      <c r="CH52" s="76"/>
      <c r="CI52" s="76"/>
      <c r="CJ52" s="77"/>
      <c r="CK52" s="76"/>
      <c r="CL52" s="77"/>
      <c r="CM52" s="76"/>
      <c r="CN52" s="76"/>
      <c r="CO52" s="76"/>
      <c r="CP52" s="76"/>
      <c r="CQ52" s="76"/>
      <c r="CR52" s="78" t="str">
        <f t="shared" si="15"/>
        <v/>
      </c>
      <c r="CS52" s="79" t="str">
        <f t="shared" si="16"/>
        <v/>
      </c>
      <c r="CT52" s="79" t="str">
        <f t="shared" si="17"/>
        <v/>
      </c>
      <c r="CU52" s="79" t="str">
        <f t="shared" si="18"/>
        <v/>
      </c>
      <c r="CV52" s="79" t="str">
        <f t="shared" si="19"/>
        <v/>
      </c>
      <c r="CW52" s="79" t="str">
        <f t="shared" si="20"/>
        <v/>
      </c>
      <c r="CX52" s="79" t="str">
        <f t="shared" si="21"/>
        <v/>
      </c>
      <c r="CY52" s="79" t="str">
        <f t="shared" si="22"/>
        <v/>
      </c>
      <c r="CZ52" s="79" t="str">
        <f t="shared" si="23"/>
        <v/>
      </c>
      <c r="DA52" s="79" t="str">
        <f t="shared" si="24"/>
        <v/>
      </c>
      <c r="DB52" s="79" t="str">
        <f t="shared" si="25"/>
        <v/>
      </c>
      <c r="DC52" s="79" t="str">
        <f t="shared" si="26"/>
        <v/>
      </c>
      <c r="DD52" s="79" t="str">
        <f t="shared" si="27"/>
        <v/>
      </c>
      <c r="DE52" s="79" t="str">
        <f t="shared" si="28"/>
        <v/>
      </c>
      <c r="DF52" s="79" t="str">
        <f t="shared" si="29"/>
        <v/>
      </c>
      <c r="DG52" s="79" t="str">
        <f t="shared" si="30"/>
        <v/>
      </c>
      <c r="DH52" s="76"/>
      <c r="DI52" s="78"/>
      <c r="DJ52" s="76"/>
      <c r="DK52" s="77"/>
      <c r="DL52" s="77"/>
      <c r="DM52" s="77"/>
      <c r="DN52" s="80"/>
      <c r="DO52" s="80"/>
      <c r="DP52" s="92" t="str">
        <f>IF(Table1[Start Date]="","",IF(Table1[Start Date]&gt;42185,"",IF(AND(Table1[Leaving Date]&gt;1,Table1[Leaving Date]&lt;42095),"",1)))</f>
        <v/>
      </c>
      <c r="DQ52" s="92" t="str">
        <f>IF(Table1[Start Date]="","",IF(Table1[Start Date]&gt;42277,"",IF(AND(Table1[Leaving Date]&gt;1,Table1[Leaving Date]&lt;42186),"",1)))</f>
        <v/>
      </c>
      <c r="DR52" s="92" t="str">
        <f>IF(Table1[Start Date]="","",IF(Table1[Start Date]&gt;42369,"",IF(AND(Table1[Leaving Date]&gt;1,Table1[Leaving Date]&lt;42278),"",1)))</f>
        <v/>
      </c>
      <c r="DS52" s="92" t="str">
        <f>IF(Table1[Start Date]="","",IF(Table1[Start Date]&gt;42460,"",IF(AND(Table1[Leaving Date]&gt;1,Table1[Leaving Date]&lt;42370),"",1)))</f>
        <v/>
      </c>
      <c r="DT52" s="92" t="str">
        <f>IF(Table1[Start Date]="","",IF(Table1[Start Date]&gt;42551,"",IF(AND(Table1[Leaving Date]&gt;1,Table1[Leaving Date]&lt;42461),"",1)))</f>
        <v/>
      </c>
      <c r="DU52" s="92" t="str">
        <f>IF(Table1[Start Date]="","",IF(Table1[Start Date]&gt;42643,"",IF(AND(Table1[Leaving Date]&gt;1,Table1[Leaving Date]&lt;42552),"",1)))</f>
        <v/>
      </c>
      <c r="DV52" s="92" t="str">
        <f>IF(Table1[Start Date]="","",IF(Table1[Start Date]&gt;42735,"",IF(AND(Table1[Leaving Date]&gt;1,Table1[Leaving Date]&lt;42644),"",1)))</f>
        <v/>
      </c>
      <c r="DW52" s="92" t="str">
        <f>IF(Table1[Start Date]="","",IF(Table1[Start Date]&gt;42825,"",IF(AND(Table1[Leaving Date]&gt;1,Table1[Leaving Date]&lt;42736),"",1)))</f>
        <v/>
      </c>
      <c r="DX52"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52" s="44" t="e">
        <f>VLOOKUP(Table1[Referral Source],Lists!$G$2:$H$20,2,FALSE)</f>
        <v>#N/A</v>
      </c>
      <c r="DZ52" s="93" t="e">
        <f>SUM(Table1[Data Referral Quarter]+Table1[Data Referral Source])</f>
        <v>#N/A</v>
      </c>
      <c r="EA52" s="44" t="b">
        <f>IF(Table1[Referral Decision]="Accepted",100,IF(Table1[Referral Decision]="Rejected by Provider",200,IF(Table1[Referral Decision]="Rejected by Applicant",300)))</f>
        <v>0</v>
      </c>
      <c r="EB52" s="44">
        <f>SUM(Table1[Data Referral Quarter]+Table1[Data Referral Decision])</f>
        <v>0</v>
      </c>
      <c r="EC52" s="44" t="b">
        <f>IF(Table1[Start Date]&gt;42735,8000,IF(Table1[Start Date]&gt;42643,7000,IF(Table1[Start Date]&gt;42551,6000,IF(Table1[Start Date]&gt;42460,5000,IF(Table1[Start Date]&gt;42369,4000,IF(Table1[Start Date]&gt;42277,3000,IF(Table1[Start Date]&gt;42185,2000,IF(Table1[Start Date]&gt;42094,1000))))))))</f>
        <v>0</v>
      </c>
      <c r="ED52" s="44" t="str">
        <f>IF(Table1[Start Date]="","",IF(Table1[Current Local Authority]="Swindon",1,"2"))</f>
        <v/>
      </c>
      <c r="EE52" s="44" t="e">
        <f>SUM(Table1[Data Start Date]+Table1[Data Local Authority])</f>
        <v>#VALUE!</v>
      </c>
      <c r="EF52" s="44">
        <f>IF(Table1[Registered with GP]="Yes",1,0)</f>
        <v>0</v>
      </c>
      <c r="EG52" s="44">
        <f>SUM(Table1[Data Start Date]+Table1[Data GP Start])</f>
        <v>0</v>
      </c>
      <c r="EH52" s="44" t="str">
        <f>IF(Table1[EET]="NEET",1,IF(Table1[EET]="Education",2,IF(Table1[EET]="Employment",2,IF(Table1[EET]="Training",2,IF(Table1[EET]="Retired",3,"")))))</f>
        <v/>
      </c>
      <c r="EI52" s="44" t="e">
        <f>Table1[Data Start Date]+Table1[Data EET Start]</f>
        <v>#VALUE!</v>
      </c>
      <c r="EJ52" s="44" t="b">
        <f>IF(Table1[Leaving Date]&gt;42735,8000,IF(Table1[Leaving Date]&gt;42643,7000,IF(Table1[Leaving Date]&gt;42551,6000,IF(Table1[Leaving Date]&gt;42460,5000,IF(Table1[Leaving Date]&gt;42369,4000,IF(Table1[Leaving Date]&gt;42277,3000,IF(Table1[Leaving Date]&gt;42185,2000,IF(Table1[Leaving Date]&gt;42094,1000))))))))</f>
        <v>0</v>
      </c>
      <c r="EK52" s="44" t="e">
        <f>VLOOKUP(Table1[Reason for Leaving],Lists!$T$2:$U$15,2,FALSE)</f>
        <v>#N/A</v>
      </c>
      <c r="EL52" s="44" t="e">
        <f>SUM(Table1[Data Leavers Date]+Table1[Data Move On])</f>
        <v>#N/A</v>
      </c>
      <c r="EM52" s="44" t="b">
        <f>IF(Table1[Registered with GP2]="Yes",1,IF(Table1[Registered with GP2]="No",0,IF(Table1[Registered with GP]="Yes",1,IF(Table1[Registered with GP]="No",0))))</f>
        <v>0</v>
      </c>
      <c r="EN52" s="44">
        <f>SUM(Table1[Data Leavers Date]+Table1[Data GP End])</f>
        <v>0</v>
      </c>
      <c r="EO52" s="44" t="str">
        <f>IF(Table1[EET2]="NEET",1,IF(Table1[EET2]="Employment",2,IF(Table1[EET2]="Education",2,IF(Table1[EET2]="Training",2,IF(Table1[EET2]="Retired",3,IF(Table1[EET]="NEET",1,IF(Table1[EET]="Employment",2,IF(Table1[EET]="Education",2,IF(Table1[EET]="Training",2,IF(Table1[EET]="Retired",3,""))))))))))</f>
        <v/>
      </c>
      <c r="EP52" s="44" t="e">
        <f>+Table1[[#This Row],[Data Leavers Date]]+Table1[[#This Row],[Data EET End]]</f>
        <v>#VALUE!</v>
      </c>
      <c r="EQ52" s="44">
        <f>IF(Table1[Exit Form Received]="Yes",1,0)</f>
        <v>0</v>
      </c>
      <c r="ER52" s="44">
        <f>+Table1[[#This Row],[Data Leavers Date]]+Table1[[#This Row],[Data Exit Forms]]</f>
        <v>0</v>
      </c>
      <c r="ES52" s="44" t="str">
        <f>IF(Table1[Data Leavers Date]=1000,SUM(Table1[Leaving Date]-Table1[Start Date]),"")</f>
        <v/>
      </c>
      <c r="ET52" s="44" t="str">
        <f>IF(Table1[Data Leavers Date]=2000,SUM(Table1[Leaving Date]-Table1[Start Date]),"")</f>
        <v/>
      </c>
      <c r="EU52" s="44" t="str">
        <f>IF(Table1[Data Leavers Date]=3000,SUM(Table1[Leaving Date]-Table1[Start Date]),"")</f>
        <v/>
      </c>
      <c r="EV52" s="44" t="str">
        <f>IF(Table1[Data Leavers Date]=4000,SUM(Table1[Leaving Date]-Table1[Start Date]),"")</f>
        <v/>
      </c>
      <c r="EW52" s="44" t="str">
        <f>IF(Table1[Data Leavers Date]=5000,SUM(Table1[Leaving Date]-Table1[Start Date]),"")</f>
        <v/>
      </c>
      <c r="EX52" s="44" t="str">
        <f>IF(Table1[Data Leavers Date]=6000,SUM(Table1[Leaving Date]-Table1[Start Date]),"")</f>
        <v/>
      </c>
      <c r="EY52" s="44" t="str">
        <f>IF(Table1[Data Leavers Date]=7000,SUM(Table1[Leaving Date]-Table1[Start Date]),"")</f>
        <v/>
      </c>
      <c r="EZ52" s="44" t="str">
        <f>IF(Table1[Data Leavers Date]=8000,SUM(Table1[Leaving Date]-Table1[Start Date]),"")</f>
        <v/>
      </c>
      <c r="FA52" s="44" t="str">
        <f>IF(Table1[Date of Initial Assessment]="","",IF(AND(Table1[Start Date]&gt;42094,Table1[Start Date]&lt;42461),Table1[Motivation and Taking Responsibility],""))</f>
        <v/>
      </c>
      <c r="FB52" s="44" t="str">
        <f>IF(Table1[Date of Initial Assessment]="","",IF(AND(Table1[Start Date]&gt;42094,Table1[Start Date]&lt;42461),Table1[Self-Care and Living Skills],""))</f>
        <v/>
      </c>
      <c r="FC52" s="44" t="str">
        <f>IF(Table1[Date of Initial Assessment]="","",IF(AND(Table1[Start Date]&gt;42094,Table1[Start Date]&lt;42461),Table1[Managing Money and Personal Administration],""))</f>
        <v/>
      </c>
      <c r="FD52" s="44" t="str">
        <f>IF(Table1[Date of Initial Assessment]="","",IF(AND(Table1[Start Date]&gt;42094,Table1[Start Date]&lt;42461),Table1[Social Networks and Relationships],""))</f>
        <v/>
      </c>
      <c r="FE52" s="44" t="str">
        <f>IF(Table1[Date of Initial Assessment]="","",IF(AND(Table1[Start Date]&gt;42094,Table1[Start Date]&lt;42461),Table1[Drug and Alcohol Misuse],""))</f>
        <v/>
      </c>
      <c r="FF52" s="44" t="str">
        <f>IF(Table1[Date of Initial Assessment]="","",IF(AND(Table1[Start Date]&gt;42094,Table1[Start Date]&lt;42461),Table1[Physical Health],""))</f>
        <v/>
      </c>
      <c r="FG52" s="44" t="str">
        <f>IF(Table1[Date of Initial Assessment]="","",IF(AND(Table1[Start Date]&gt;42094,Table1[Start Date]&lt;42461),Table1[Emotional and Mental Health],""))</f>
        <v/>
      </c>
      <c r="FH52" s="44" t="str">
        <f>IF(Table1[Date of Initial Assessment]="","",IF(AND(Table1[Start Date]&gt;42094,Table1[Start Date]&lt;42461),Table1[Meaningful Use of Time],""))</f>
        <v/>
      </c>
      <c r="FI52" s="44" t="str">
        <f>IF(Table1[Date of Initial Assessment]="","",IF(AND(Table1[Start Date]&gt;42094,Table1[Start Date]&lt;42461),Table1[Managing Tenancy and Accommodation],""))</f>
        <v/>
      </c>
      <c r="FJ52" s="44" t="str">
        <f>IF(Table1[Date of Initial Assessment]="","",IF(AND(Table1[Start Date]&gt;42094,Table1[Start Date]&lt;42461),Table1[Offending],""))</f>
        <v/>
      </c>
      <c r="FK52" s="44" t="str">
        <f>IF(Table1[Leaving Date]="","",IF(Table1[Date of Initial Assessment]="","",IF(AND(Table1[Leaving Date]&gt;42094,Table1[Leaving Date]&lt;42461),IF(Table1[Date of Last Assessment]="",Table1[Motivation and Taking Responsibility],Table1[Motivation and Taking Responsibility2]),"")))</f>
        <v/>
      </c>
      <c r="FL52" s="44" t="str">
        <f>IF(Table1[Leaving Date]="","",IF(Table1[Date of Initial Assessment]="","",IF(AND(Table1[Leaving Date]&gt;42094,Table1[Leaving Date]&lt;42461),IF(Table1[Date of Last Assessment]="",Table1[Self-Care and Living Skills],Table1[Self-Care and Living Skills2]),"")))</f>
        <v/>
      </c>
      <c r="FM52" s="44" t="str">
        <f>IF(Table1[Leaving Date]="","",IF(Table1[Date of Initial Assessment]="","",IF(AND(Table1[Leaving Date]&gt;42094,Table1[Leaving Date]&lt;42461),IF(Table1[Date of Last Assessment]="",Table1[Managing Money and Personal Administration],Table1[Managing Money and Personal Administration2]),"")))</f>
        <v/>
      </c>
      <c r="FN52" s="44" t="str">
        <f>IF(Table1[Leaving Date]="","",IF(Table1[Date of Initial Assessment]="","",IF(AND(Table1[Leaving Date]&gt;42094,Table1[Leaving Date]&lt;42461),IF(Table1[Date of Last Assessment]="",Table1[Social Networks and Relationships],Table1[Social Networks and Relationships2]),"")))</f>
        <v/>
      </c>
      <c r="FO52" s="44" t="str">
        <f>IF(Table1[Leaving Date]="","",IF(Table1[Date of Initial Assessment]="","",IF(AND(Table1[Leaving Date]&gt;42094,Table1[Leaving Date]&lt;42461),IF(Table1[Date of Last Assessment]="",Table1[Drug and Alcohol Misuse],Table1[Drug and Alcohol Misuse2]),"")))</f>
        <v/>
      </c>
      <c r="FP52" s="44" t="str">
        <f>IF(Table1[Leaving Date]="","",IF(Table1[Date of Initial Assessment]="","",IF(AND(Table1[Leaving Date]&gt;42094,Table1[Leaving Date]&lt;42461),IF(Table1[Date of Last Assessment]="",Table1[Physical Health],Table1[Physical Health2]),"")))</f>
        <v/>
      </c>
      <c r="FQ52" s="44" t="str">
        <f>IF(Table1[Leaving Date]="","",IF(Table1[Date of Initial Assessment]="","",IF(AND(Table1[Leaving Date]&gt;42094,Table1[Leaving Date]&lt;42461),IF(Table1[Date of Last Assessment]="",Table1[Emotional and Mental Health],Table1[Emotional and Mental Health2]),"")))</f>
        <v/>
      </c>
      <c r="FR52" s="44" t="str">
        <f>IF(Table1[Leaving Date]="","",IF(Table1[Date of Initial Assessment]="","",IF(AND(Table1[Leaving Date]&gt;42094,Table1[Leaving Date]&lt;42461),IF(Table1[Date of Last Assessment]="",Table1[Meaningful Use of Time],Table1[Meaningful Use of Time2]),"")))</f>
        <v/>
      </c>
      <c r="FS52" s="44" t="str">
        <f>IF(Table1[Leaving Date]="","",IF(Table1[Date of Initial Assessment]="","",IF(AND(Table1[Leaving Date]&gt;42094,Table1[Leaving Date]&lt;42461),IF(Table1[Date of Last Assessment]="",Table1[Managing Tenancy and Accommodation],Table1[Managing Tenancy and Accommodation2]),"")))</f>
        <v/>
      </c>
      <c r="FT52" s="44" t="str">
        <f>IF(Table1[Leaving Date]="","",IF(Table1[Date of Initial Assessment]="","",IF(AND(Table1[Leaving Date]&gt;42094,Table1[Leaving Date]&lt;42461),IF(Table1[Date of Last Assessment]="",Table1[Offending],Table1[Offending2]),"")))</f>
        <v/>
      </c>
      <c r="FU52" s="44" t="str">
        <f>IF(Table1[Date of Initial Assessment]="","",IF(AND(Table1[Start Date]&gt;42460,Table1[Start Date]&lt;42826),Table1[Motivation and Taking Responsibility],""))</f>
        <v/>
      </c>
      <c r="FV52" s="44" t="str">
        <f>IF(Table1[Date of Initial Assessment]="","",IF(AND(Table1[Start Date]&gt;42460,Table1[Start Date]&lt;42826),Table1[Self-Care and Living Skills],""))</f>
        <v/>
      </c>
      <c r="FW52" s="44" t="str">
        <f>IF(Table1[Date of Initial Assessment]="","",IF(AND(Table1[Start Date]&gt;42460,Table1[Start Date]&lt;42826),Table1[Managing Money and Personal Administration],""))</f>
        <v/>
      </c>
      <c r="FX52" s="44" t="str">
        <f>IF(Table1[Date of Initial Assessment]="","",IF(AND(Table1[Start Date]&gt;42460,Table1[Start Date]&lt;42826),Table1[Social Networks and Relationships],""))</f>
        <v/>
      </c>
      <c r="FY52" s="44" t="str">
        <f>IF(Table1[Date of Initial Assessment]="","",IF(AND(Table1[Start Date]&gt;42460,Table1[Start Date]&lt;42826),Table1[Drug and Alcohol Misuse],""))</f>
        <v/>
      </c>
      <c r="FZ52" s="44" t="str">
        <f>IF(Table1[Date of Initial Assessment]="","",IF(AND(Table1[Start Date]&gt;42460,Table1[Start Date]&lt;42826),Table1[Physical Health],""))</f>
        <v/>
      </c>
      <c r="GA52" s="44" t="str">
        <f>IF(Table1[Date of Initial Assessment]="","",IF(AND(Table1[Start Date]&gt;42460,Table1[Start Date]&lt;42826),Table1[Emotional and Mental Health],""))</f>
        <v/>
      </c>
      <c r="GB52" s="44" t="str">
        <f>IF(Table1[Date of Initial Assessment]="","",IF(AND(Table1[Start Date]&gt;42460,Table1[Start Date]&lt;42826),Table1[Meaningful Use of Time],""))</f>
        <v/>
      </c>
      <c r="GC52" s="44" t="str">
        <f>IF(Table1[Date of Initial Assessment]="","",IF(AND(Table1[Start Date]&gt;42460,Table1[Start Date]&lt;42826),Table1[Managing Tenancy and Accommodation],""))</f>
        <v/>
      </c>
      <c r="GD52" s="44" t="str">
        <f>IF(Table1[Date of Initial Assessment]="","",IF(AND(Table1[Start Date]&gt;42460,Table1[Start Date]&lt;42826),Table1[Offending],""))</f>
        <v/>
      </c>
      <c r="GE52" s="44" t="str">
        <f>IF(Table1[Leaving Date]="","",IF(AND(Table1[Leaving Date]&gt;42460,Table1[Leaving Date]&lt;42826),IF(Table1[Date of Last Assessment]="",Table1[Motivation and Taking Responsibility],Table1[Motivation and Taking Responsibility2]),""))</f>
        <v/>
      </c>
      <c r="GF52" s="44" t="str">
        <f>IF(Table1[Leaving Date]="","",IF(AND(Table1[Leaving Date]&gt;42460,Table1[Leaving Date]&lt;42826),IF(Table1[Date of Last Assessment]="",Table1[Self-Care and Living Skills],Table1[Self-Care and Living Skills2]),""))</f>
        <v/>
      </c>
      <c r="GG52" s="44" t="str">
        <f>IF(Table1[Leaving Date]="","",IF(AND(Table1[Leaving Date]&gt;42460,Table1[Leaving Date]&lt;42826),IF(Table1[Date of Last Assessment]="",Table1[Managing Money and Personal Administration],Table1[Managing Money and Personal Administration2]),""))</f>
        <v/>
      </c>
      <c r="GH52" s="44" t="str">
        <f>IF(Table1[Leaving Date]="","",IF(AND(Table1[Leaving Date]&gt;42460,Table1[Leaving Date]&lt;42826),IF(Table1[Date of Last Assessment]="",Table1[Social Networks and Relationships],Table1[Social Networks and Relationships2]),""))</f>
        <v/>
      </c>
      <c r="GI52" s="44" t="str">
        <f>IF(Table1[Leaving Date]="","",IF(AND(Table1[Leaving Date]&gt;42460,Table1[Leaving Date]&lt;42826),IF(Table1[Date of Last Assessment]="",Table1[Drug and Alcohol Misuse],Table1[Drug and Alcohol Misuse2]),""))</f>
        <v/>
      </c>
      <c r="GJ52" s="44" t="str">
        <f>IF(Table1[Leaving Date]="","",IF(AND(Table1[Leaving Date]&gt;42460,Table1[Leaving Date]&lt;42826),IF(Table1[Date of Last Assessment]="",Table1[Physical Health],Table1[Physical Health2]),""))</f>
        <v/>
      </c>
      <c r="GK52" s="44" t="str">
        <f>IF(Table1[Leaving Date]="","",IF(AND(Table1[Leaving Date]&gt;42460,Table1[Leaving Date]&lt;42826),IF(Table1[Date of Last Assessment]="",Table1[Emotional and Mental Health],Table1[Emotional and Mental Health2]),""))</f>
        <v/>
      </c>
      <c r="GL52" s="44" t="str">
        <f>IF(Table1[Leaving Date]="","",IF(AND(Table1[Leaving Date]&gt;42460,Table1[Leaving Date]&lt;42826),IF(Table1[Date of Last Assessment]="",Table1[Meaningful Use of Time],Table1[Meaningful Use of Time2]),""))</f>
        <v/>
      </c>
      <c r="GM52" s="44" t="str">
        <f>IF(Table1[Leaving Date]="","",IF(AND(Table1[Leaving Date]&gt;42460,Table1[Leaving Date]&lt;42826),IF(Table1[Date of Last Assessment]="",Table1[Managing Tenancy and Accommodation],Table1[Managing Tenancy and Accommodation2]),""))</f>
        <v/>
      </c>
      <c r="GN52" s="44" t="str">
        <f>IF(Table1[Leaving Date]="","",IF(AND(Table1[Leaving Date]&gt;42460,Table1[Leaving Date]&lt;42826),IF(Table1[Date of Last Assessment]="",Table1[Offending],Table1[Offending2]),""))</f>
        <v/>
      </c>
    </row>
    <row r="53" spans="2:196" ht="20.100000000000001" customHeight="1" x14ac:dyDescent="0.2">
      <c r="B53" s="86">
        <f>+'Service Data'!$C$5:$C$5</f>
        <v>0</v>
      </c>
      <c r="C53" s="86"/>
      <c r="D53" s="86"/>
      <c r="E53" s="86"/>
      <c r="F53" s="86"/>
      <c r="G53" s="86"/>
      <c r="H53" s="6"/>
      <c r="I53" s="99" t="str">
        <f ca="1">IF(Table1[[#This Row],[Date of Birth]]="","",SUM(TODAY()-Table1[[#This Row],[Date of Birth]])/365)</f>
        <v/>
      </c>
      <c r="L53" s="86"/>
      <c r="M53" s="77"/>
      <c r="N53" s="86"/>
      <c r="O53" s="86"/>
      <c r="P53" s="91"/>
      <c r="Q53" s="86"/>
      <c r="R53" s="77"/>
      <c r="S53" s="77"/>
      <c r="T53" s="68"/>
      <c r="U53" s="68"/>
      <c r="V53" s="67"/>
      <c r="W53" s="67"/>
      <c r="X53" s="67"/>
      <c r="Y53" s="67"/>
      <c r="Z53" s="67"/>
      <c r="AA53" s="67"/>
      <c r="AB53" s="67"/>
      <c r="AC53" s="67"/>
      <c r="AD53" s="67"/>
      <c r="AE53" s="67"/>
      <c r="AF53" s="67"/>
      <c r="AG53" s="67"/>
      <c r="AH53" s="67"/>
      <c r="AI53" s="67"/>
      <c r="AJ53" s="67"/>
      <c r="AK53" s="67"/>
      <c r="AL53" s="67"/>
      <c r="AM53" s="67"/>
      <c r="AN53" s="77"/>
      <c r="AO53" s="76"/>
      <c r="AP53" s="77"/>
      <c r="AQ53" s="76"/>
      <c r="AR53" s="76"/>
      <c r="AS53" s="76"/>
      <c r="AT53" s="76"/>
      <c r="AU53" s="76"/>
      <c r="AV53" s="77"/>
      <c r="AW53" s="76"/>
      <c r="AX53" s="77"/>
      <c r="AY53" s="76"/>
      <c r="AZ53" s="76"/>
      <c r="BA53" s="76"/>
      <c r="BB53" s="76"/>
      <c r="BC53" s="76"/>
      <c r="BD53" s="77"/>
      <c r="BE53" s="76"/>
      <c r="BF53" s="77"/>
      <c r="BG53" s="76"/>
      <c r="BH53" s="76"/>
      <c r="BI53" s="76"/>
      <c r="BJ53" s="76"/>
      <c r="BK53" s="76"/>
      <c r="BL53" s="77"/>
      <c r="BM53" s="76"/>
      <c r="BN53" s="77"/>
      <c r="BO53" s="76"/>
      <c r="BP53" s="76"/>
      <c r="BQ53" s="76"/>
      <c r="BR53" s="76"/>
      <c r="BS53" s="76"/>
      <c r="BT53" s="77"/>
      <c r="BU53" s="76"/>
      <c r="BV53" s="77"/>
      <c r="BW53" s="76"/>
      <c r="BX53" s="76"/>
      <c r="BY53" s="76"/>
      <c r="BZ53" s="76"/>
      <c r="CA53" s="76"/>
      <c r="CB53" s="77"/>
      <c r="CC53" s="76"/>
      <c r="CD53" s="77"/>
      <c r="CE53" s="76"/>
      <c r="CF53" s="76"/>
      <c r="CG53" s="76"/>
      <c r="CH53" s="76"/>
      <c r="CI53" s="76"/>
      <c r="CJ53" s="77"/>
      <c r="CK53" s="76"/>
      <c r="CL53" s="77"/>
      <c r="CM53" s="76"/>
      <c r="CN53" s="76"/>
      <c r="CO53" s="76"/>
      <c r="CP53" s="76"/>
      <c r="CQ53" s="76"/>
      <c r="CR53" s="78" t="str">
        <f t="shared" si="15"/>
        <v/>
      </c>
      <c r="CS53" s="79" t="str">
        <f t="shared" si="16"/>
        <v/>
      </c>
      <c r="CT53" s="79" t="str">
        <f t="shared" si="17"/>
        <v/>
      </c>
      <c r="CU53" s="79" t="str">
        <f t="shared" si="18"/>
        <v/>
      </c>
      <c r="CV53" s="79" t="str">
        <f t="shared" si="19"/>
        <v/>
      </c>
      <c r="CW53" s="79" t="str">
        <f t="shared" si="20"/>
        <v/>
      </c>
      <c r="CX53" s="79" t="str">
        <f t="shared" si="21"/>
        <v/>
      </c>
      <c r="CY53" s="79" t="str">
        <f t="shared" si="22"/>
        <v/>
      </c>
      <c r="CZ53" s="79" t="str">
        <f t="shared" si="23"/>
        <v/>
      </c>
      <c r="DA53" s="79" t="str">
        <f t="shared" si="24"/>
        <v/>
      </c>
      <c r="DB53" s="79" t="str">
        <f t="shared" si="25"/>
        <v/>
      </c>
      <c r="DC53" s="79" t="str">
        <f t="shared" si="26"/>
        <v/>
      </c>
      <c r="DD53" s="79" t="str">
        <f t="shared" si="27"/>
        <v/>
      </c>
      <c r="DE53" s="79" t="str">
        <f t="shared" si="28"/>
        <v/>
      </c>
      <c r="DF53" s="79" t="str">
        <f t="shared" si="29"/>
        <v/>
      </c>
      <c r="DG53" s="79" t="str">
        <f t="shared" si="30"/>
        <v/>
      </c>
      <c r="DH53" s="76"/>
      <c r="DI53" s="78"/>
      <c r="DJ53" s="76"/>
      <c r="DK53" s="77"/>
      <c r="DL53" s="77"/>
      <c r="DM53" s="77"/>
      <c r="DN53" s="80"/>
      <c r="DO53" s="80"/>
      <c r="DP53" s="92" t="str">
        <f>IF(Table1[Start Date]="","",IF(Table1[Start Date]&gt;42185,"",IF(AND(Table1[Leaving Date]&gt;1,Table1[Leaving Date]&lt;42095),"",1)))</f>
        <v/>
      </c>
      <c r="DQ53" s="92" t="str">
        <f>IF(Table1[Start Date]="","",IF(Table1[Start Date]&gt;42277,"",IF(AND(Table1[Leaving Date]&gt;1,Table1[Leaving Date]&lt;42186),"",1)))</f>
        <v/>
      </c>
      <c r="DR53" s="92" t="str">
        <f>IF(Table1[Start Date]="","",IF(Table1[Start Date]&gt;42369,"",IF(AND(Table1[Leaving Date]&gt;1,Table1[Leaving Date]&lt;42278),"",1)))</f>
        <v/>
      </c>
      <c r="DS53" s="92" t="str">
        <f>IF(Table1[Start Date]="","",IF(Table1[Start Date]&gt;42460,"",IF(AND(Table1[Leaving Date]&gt;1,Table1[Leaving Date]&lt;42370),"",1)))</f>
        <v/>
      </c>
      <c r="DT53" s="92" t="str">
        <f>IF(Table1[Start Date]="","",IF(Table1[Start Date]&gt;42551,"",IF(AND(Table1[Leaving Date]&gt;1,Table1[Leaving Date]&lt;42461),"",1)))</f>
        <v/>
      </c>
      <c r="DU53" s="92" t="str">
        <f>IF(Table1[Start Date]="","",IF(Table1[Start Date]&gt;42643,"",IF(AND(Table1[Leaving Date]&gt;1,Table1[Leaving Date]&lt;42552),"",1)))</f>
        <v/>
      </c>
      <c r="DV53" s="92" t="str">
        <f>IF(Table1[Start Date]="","",IF(Table1[Start Date]&gt;42735,"",IF(AND(Table1[Leaving Date]&gt;1,Table1[Leaving Date]&lt;42644),"",1)))</f>
        <v/>
      </c>
      <c r="DW53" s="92" t="str">
        <f>IF(Table1[Start Date]="","",IF(Table1[Start Date]&gt;42825,"",IF(AND(Table1[Leaving Date]&gt;1,Table1[Leaving Date]&lt;42736),"",1)))</f>
        <v/>
      </c>
      <c r="DX53"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53" s="44" t="e">
        <f>VLOOKUP(Table1[Referral Source],Lists!$G$2:$H$20,2,FALSE)</f>
        <v>#N/A</v>
      </c>
      <c r="DZ53" s="93" t="e">
        <f>SUM(Table1[Data Referral Quarter]+Table1[Data Referral Source])</f>
        <v>#N/A</v>
      </c>
      <c r="EA53" s="44" t="b">
        <f>IF(Table1[Referral Decision]="Accepted",100,IF(Table1[Referral Decision]="Rejected by Provider",200,IF(Table1[Referral Decision]="Rejected by Applicant",300)))</f>
        <v>0</v>
      </c>
      <c r="EB53" s="44">
        <f>SUM(Table1[Data Referral Quarter]+Table1[Data Referral Decision])</f>
        <v>0</v>
      </c>
      <c r="EC53" s="44" t="b">
        <f>IF(Table1[Start Date]&gt;42735,8000,IF(Table1[Start Date]&gt;42643,7000,IF(Table1[Start Date]&gt;42551,6000,IF(Table1[Start Date]&gt;42460,5000,IF(Table1[Start Date]&gt;42369,4000,IF(Table1[Start Date]&gt;42277,3000,IF(Table1[Start Date]&gt;42185,2000,IF(Table1[Start Date]&gt;42094,1000))))))))</f>
        <v>0</v>
      </c>
      <c r="ED53" s="44" t="str">
        <f>IF(Table1[Start Date]="","",IF(Table1[Current Local Authority]="Swindon",1,"2"))</f>
        <v/>
      </c>
      <c r="EE53" s="44" t="e">
        <f>SUM(Table1[Data Start Date]+Table1[Data Local Authority])</f>
        <v>#VALUE!</v>
      </c>
      <c r="EF53" s="44">
        <f>IF(Table1[Registered with GP]="Yes",1,0)</f>
        <v>0</v>
      </c>
      <c r="EG53" s="44">
        <f>SUM(Table1[Data Start Date]+Table1[Data GP Start])</f>
        <v>0</v>
      </c>
      <c r="EH53" s="44" t="str">
        <f>IF(Table1[EET]="NEET",1,IF(Table1[EET]="Education",2,IF(Table1[EET]="Employment",2,IF(Table1[EET]="Training",2,IF(Table1[EET]="Retired",3,"")))))</f>
        <v/>
      </c>
      <c r="EI53" s="44" t="e">
        <f>Table1[Data Start Date]+Table1[Data EET Start]</f>
        <v>#VALUE!</v>
      </c>
      <c r="EJ53" s="44" t="b">
        <f>IF(Table1[Leaving Date]&gt;42735,8000,IF(Table1[Leaving Date]&gt;42643,7000,IF(Table1[Leaving Date]&gt;42551,6000,IF(Table1[Leaving Date]&gt;42460,5000,IF(Table1[Leaving Date]&gt;42369,4000,IF(Table1[Leaving Date]&gt;42277,3000,IF(Table1[Leaving Date]&gt;42185,2000,IF(Table1[Leaving Date]&gt;42094,1000))))))))</f>
        <v>0</v>
      </c>
      <c r="EK53" s="44" t="e">
        <f>VLOOKUP(Table1[Reason for Leaving],Lists!$T$2:$U$15,2,FALSE)</f>
        <v>#N/A</v>
      </c>
      <c r="EL53" s="44" t="e">
        <f>SUM(Table1[Data Leavers Date]+Table1[Data Move On])</f>
        <v>#N/A</v>
      </c>
      <c r="EM53" s="44" t="b">
        <f>IF(Table1[Registered with GP2]="Yes",1,IF(Table1[Registered with GP2]="No",0,IF(Table1[Registered with GP]="Yes",1,IF(Table1[Registered with GP]="No",0))))</f>
        <v>0</v>
      </c>
      <c r="EN53" s="44">
        <f>SUM(Table1[Data Leavers Date]+Table1[Data GP End])</f>
        <v>0</v>
      </c>
      <c r="EO53" s="44" t="str">
        <f>IF(Table1[EET2]="NEET",1,IF(Table1[EET2]="Employment",2,IF(Table1[EET2]="Education",2,IF(Table1[EET2]="Training",2,IF(Table1[EET2]="Retired",3,IF(Table1[EET]="NEET",1,IF(Table1[EET]="Employment",2,IF(Table1[EET]="Education",2,IF(Table1[EET]="Training",2,IF(Table1[EET]="Retired",3,""))))))))))</f>
        <v/>
      </c>
      <c r="EP53" s="44" t="e">
        <f>+Table1[[#This Row],[Data Leavers Date]]+Table1[[#This Row],[Data EET End]]</f>
        <v>#VALUE!</v>
      </c>
      <c r="EQ53" s="44">
        <f>IF(Table1[Exit Form Received]="Yes",1,0)</f>
        <v>0</v>
      </c>
      <c r="ER53" s="44">
        <f>+Table1[[#This Row],[Data Leavers Date]]+Table1[[#This Row],[Data Exit Forms]]</f>
        <v>0</v>
      </c>
      <c r="ES53" s="44" t="str">
        <f>IF(Table1[Data Leavers Date]=1000,SUM(Table1[Leaving Date]-Table1[Start Date]),"")</f>
        <v/>
      </c>
      <c r="ET53" s="44" t="str">
        <f>IF(Table1[Data Leavers Date]=2000,SUM(Table1[Leaving Date]-Table1[Start Date]),"")</f>
        <v/>
      </c>
      <c r="EU53" s="44" t="str">
        <f>IF(Table1[Data Leavers Date]=3000,SUM(Table1[Leaving Date]-Table1[Start Date]),"")</f>
        <v/>
      </c>
      <c r="EV53" s="44" t="str">
        <f>IF(Table1[Data Leavers Date]=4000,SUM(Table1[Leaving Date]-Table1[Start Date]),"")</f>
        <v/>
      </c>
      <c r="EW53" s="44" t="str">
        <f>IF(Table1[Data Leavers Date]=5000,SUM(Table1[Leaving Date]-Table1[Start Date]),"")</f>
        <v/>
      </c>
      <c r="EX53" s="44" t="str">
        <f>IF(Table1[Data Leavers Date]=6000,SUM(Table1[Leaving Date]-Table1[Start Date]),"")</f>
        <v/>
      </c>
      <c r="EY53" s="44" t="str">
        <f>IF(Table1[Data Leavers Date]=7000,SUM(Table1[Leaving Date]-Table1[Start Date]),"")</f>
        <v/>
      </c>
      <c r="EZ53" s="44" t="str">
        <f>IF(Table1[Data Leavers Date]=8000,SUM(Table1[Leaving Date]-Table1[Start Date]),"")</f>
        <v/>
      </c>
      <c r="FA53" s="44" t="str">
        <f>IF(Table1[Date of Initial Assessment]="","",IF(AND(Table1[Start Date]&gt;42094,Table1[Start Date]&lt;42461),Table1[Motivation and Taking Responsibility],""))</f>
        <v/>
      </c>
      <c r="FB53" s="44" t="str">
        <f>IF(Table1[Date of Initial Assessment]="","",IF(AND(Table1[Start Date]&gt;42094,Table1[Start Date]&lt;42461),Table1[Self-Care and Living Skills],""))</f>
        <v/>
      </c>
      <c r="FC53" s="44" t="str">
        <f>IF(Table1[Date of Initial Assessment]="","",IF(AND(Table1[Start Date]&gt;42094,Table1[Start Date]&lt;42461),Table1[Managing Money and Personal Administration],""))</f>
        <v/>
      </c>
      <c r="FD53" s="44" t="str">
        <f>IF(Table1[Date of Initial Assessment]="","",IF(AND(Table1[Start Date]&gt;42094,Table1[Start Date]&lt;42461),Table1[Social Networks and Relationships],""))</f>
        <v/>
      </c>
      <c r="FE53" s="44" t="str">
        <f>IF(Table1[Date of Initial Assessment]="","",IF(AND(Table1[Start Date]&gt;42094,Table1[Start Date]&lt;42461),Table1[Drug and Alcohol Misuse],""))</f>
        <v/>
      </c>
      <c r="FF53" s="44" t="str">
        <f>IF(Table1[Date of Initial Assessment]="","",IF(AND(Table1[Start Date]&gt;42094,Table1[Start Date]&lt;42461),Table1[Physical Health],""))</f>
        <v/>
      </c>
      <c r="FG53" s="44" t="str">
        <f>IF(Table1[Date of Initial Assessment]="","",IF(AND(Table1[Start Date]&gt;42094,Table1[Start Date]&lt;42461),Table1[Emotional and Mental Health],""))</f>
        <v/>
      </c>
      <c r="FH53" s="44" t="str">
        <f>IF(Table1[Date of Initial Assessment]="","",IF(AND(Table1[Start Date]&gt;42094,Table1[Start Date]&lt;42461),Table1[Meaningful Use of Time],""))</f>
        <v/>
      </c>
      <c r="FI53" s="44" t="str">
        <f>IF(Table1[Date of Initial Assessment]="","",IF(AND(Table1[Start Date]&gt;42094,Table1[Start Date]&lt;42461),Table1[Managing Tenancy and Accommodation],""))</f>
        <v/>
      </c>
      <c r="FJ53" s="44" t="str">
        <f>IF(Table1[Date of Initial Assessment]="","",IF(AND(Table1[Start Date]&gt;42094,Table1[Start Date]&lt;42461),Table1[Offending],""))</f>
        <v/>
      </c>
      <c r="FK53" s="44" t="str">
        <f>IF(Table1[Leaving Date]="","",IF(Table1[Date of Initial Assessment]="","",IF(AND(Table1[Leaving Date]&gt;42094,Table1[Leaving Date]&lt;42461),IF(Table1[Date of Last Assessment]="",Table1[Motivation and Taking Responsibility],Table1[Motivation and Taking Responsibility2]),"")))</f>
        <v/>
      </c>
      <c r="FL53" s="44" t="str">
        <f>IF(Table1[Leaving Date]="","",IF(Table1[Date of Initial Assessment]="","",IF(AND(Table1[Leaving Date]&gt;42094,Table1[Leaving Date]&lt;42461),IF(Table1[Date of Last Assessment]="",Table1[Self-Care and Living Skills],Table1[Self-Care and Living Skills2]),"")))</f>
        <v/>
      </c>
      <c r="FM53" s="44" t="str">
        <f>IF(Table1[Leaving Date]="","",IF(Table1[Date of Initial Assessment]="","",IF(AND(Table1[Leaving Date]&gt;42094,Table1[Leaving Date]&lt;42461),IF(Table1[Date of Last Assessment]="",Table1[Managing Money and Personal Administration],Table1[Managing Money and Personal Administration2]),"")))</f>
        <v/>
      </c>
      <c r="FN53" s="44" t="str">
        <f>IF(Table1[Leaving Date]="","",IF(Table1[Date of Initial Assessment]="","",IF(AND(Table1[Leaving Date]&gt;42094,Table1[Leaving Date]&lt;42461),IF(Table1[Date of Last Assessment]="",Table1[Social Networks and Relationships],Table1[Social Networks and Relationships2]),"")))</f>
        <v/>
      </c>
      <c r="FO53" s="44" t="str">
        <f>IF(Table1[Leaving Date]="","",IF(Table1[Date of Initial Assessment]="","",IF(AND(Table1[Leaving Date]&gt;42094,Table1[Leaving Date]&lt;42461),IF(Table1[Date of Last Assessment]="",Table1[Drug and Alcohol Misuse],Table1[Drug and Alcohol Misuse2]),"")))</f>
        <v/>
      </c>
      <c r="FP53" s="44" t="str">
        <f>IF(Table1[Leaving Date]="","",IF(Table1[Date of Initial Assessment]="","",IF(AND(Table1[Leaving Date]&gt;42094,Table1[Leaving Date]&lt;42461),IF(Table1[Date of Last Assessment]="",Table1[Physical Health],Table1[Physical Health2]),"")))</f>
        <v/>
      </c>
      <c r="FQ53" s="44" t="str">
        <f>IF(Table1[Leaving Date]="","",IF(Table1[Date of Initial Assessment]="","",IF(AND(Table1[Leaving Date]&gt;42094,Table1[Leaving Date]&lt;42461),IF(Table1[Date of Last Assessment]="",Table1[Emotional and Mental Health],Table1[Emotional and Mental Health2]),"")))</f>
        <v/>
      </c>
      <c r="FR53" s="44" t="str">
        <f>IF(Table1[Leaving Date]="","",IF(Table1[Date of Initial Assessment]="","",IF(AND(Table1[Leaving Date]&gt;42094,Table1[Leaving Date]&lt;42461),IF(Table1[Date of Last Assessment]="",Table1[Meaningful Use of Time],Table1[Meaningful Use of Time2]),"")))</f>
        <v/>
      </c>
      <c r="FS53" s="44" t="str">
        <f>IF(Table1[Leaving Date]="","",IF(Table1[Date of Initial Assessment]="","",IF(AND(Table1[Leaving Date]&gt;42094,Table1[Leaving Date]&lt;42461),IF(Table1[Date of Last Assessment]="",Table1[Managing Tenancy and Accommodation],Table1[Managing Tenancy and Accommodation2]),"")))</f>
        <v/>
      </c>
      <c r="FT53" s="44" t="str">
        <f>IF(Table1[Leaving Date]="","",IF(Table1[Date of Initial Assessment]="","",IF(AND(Table1[Leaving Date]&gt;42094,Table1[Leaving Date]&lt;42461),IF(Table1[Date of Last Assessment]="",Table1[Offending],Table1[Offending2]),"")))</f>
        <v/>
      </c>
      <c r="FU53" s="44" t="str">
        <f>IF(Table1[Date of Initial Assessment]="","",IF(AND(Table1[Start Date]&gt;42460,Table1[Start Date]&lt;42826),Table1[Motivation and Taking Responsibility],""))</f>
        <v/>
      </c>
      <c r="FV53" s="44" t="str">
        <f>IF(Table1[Date of Initial Assessment]="","",IF(AND(Table1[Start Date]&gt;42460,Table1[Start Date]&lt;42826),Table1[Self-Care and Living Skills],""))</f>
        <v/>
      </c>
      <c r="FW53" s="44" t="str">
        <f>IF(Table1[Date of Initial Assessment]="","",IF(AND(Table1[Start Date]&gt;42460,Table1[Start Date]&lt;42826),Table1[Managing Money and Personal Administration],""))</f>
        <v/>
      </c>
      <c r="FX53" s="44" t="str">
        <f>IF(Table1[Date of Initial Assessment]="","",IF(AND(Table1[Start Date]&gt;42460,Table1[Start Date]&lt;42826),Table1[Social Networks and Relationships],""))</f>
        <v/>
      </c>
      <c r="FY53" s="44" t="str">
        <f>IF(Table1[Date of Initial Assessment]="","",IF(AND(Table1[Start Date]&gt;42460,Table1[Start Date]&lt;42826),Table1[Drug and Alcohol Misuse],""))</f>
        <v/>
      </c>
      <c r="FZ53" s="44" t="str">
        <f>IF(Table1[Date of Initial Assessment]="","",IF(AND(Table1[Start Date]&gt;42460,Table1[Start Date]&lt;42826),Table1[Physical Health],""))</f>
        <v/>
      </c>
      <c r="GA53" s="44" t="str">
        <f>IF(Table1[Date of Initial Assessment]="","",IF(AND(Table1[Start Date]&gt;42460,Table1[Start Date]&lt;42826),Table1[Emotional and Mental Health],""))</f>
        <v/>
      </c>
      <c r="GB53" s="44" t="str">
        <f>IF(Table1[Date of Initial Assessment]="","",IF(AND(Table1[Start Date]&gt;42460,Table1[Start Date]&lt;42826),Table1[Meaningful Use of Time],""))</f>
        <v/>
      </c>
      <c r="GC53" s="44" t="str">
        <f>IF(Table1[Date of Initial Assessment]="","",IF(AND(Table1[Start Date]&gt;42460,Table1[Start Date]&lt;42826),Table1[Managing Tenancy and Accommodation],""))</f>
        <v/>
      </c>
      <c r="GD53" s="44" t="str">
        <f>IF(Table1[Date of Initial Assessment]="","",IF(AND(Table1[Start Date]&gt;42460,Table1[Start Date]&lt;42826),Table1[Offending],""))</f>
        <v/>
      </c>
      <c r="GE53" s="44" t="str">
        <f>IF(Table1[Leaving Date]="","",IF(AND(Table1[Leaving Date]&gt;42460,Table1[Leaving Date]&lt;42826),IF(Table1[Date of Last Assessment]="",Table1[Motivation and Taking Responsibility],Table1[Motivation and Taking Responsibility2]),""))</f>
        <v/>
      </c>
      <c r="GF53" s="44" t="str">
        <f>IF(Table1[Leaving Date]="","",IF(AND(Table1[Leaving Date]&gt;42460,Table1[Leaving Date]&lt;42826),IF(Table1[Date of Last Assessment]="",Table1[Self-Care and Living Skills],Table1[Self-Care and Living Skills2]),""))</f>
        <v/>
      </c>
      <c r="GG53" s="44" t="str">
        <f>IF(Table1[Leaving Date]="","",IF(AND(Table1[Leaving Date]&gt;42460,Table1[Leaving Date]&lt;42826),IF(Table1[Date of Last Assessment]="",Table1[Managing Money and Personal Administration],Table1[Managing Money and Personal Administration2]),""))</f>
        <v/>
      </c>
      <c r="GH53" s="44" t="str">
        <f>IF(Table1[Leaving Date]="","",IF(AND(Table1[Leaving Date]&gt;42460,Table1[Leaving Date]&lt;42826),IF(Table1[Date of Last Assessment]="",Table1[Social Networks and Relationships],Table1[Social Networks and Relationships2]),""))</f>
        <v/>
      </c>
      <c r="GI53" s="44" t="str">
        <f>IF(Table1[Leaving Date]="","",IF(AND(Table1[Leaving Date]&gt;42460,Table1[Leaving Date]&lt;42826),IF(Table1[Date of Last Assessment]="",Table1[Drug and Alcohol Misuse],Table1[Drug and Alcohol Misuse2]),""))</f>
        <v/>
      </c>
      <c r="GJ53" s="44" t="str">
        <f>IF(Table1[Leaving Date]="","",IF(AND(Table1[Leaving Date]&gt;42460,Table1[Leaving Date]&lt;42826),IF(Table1[Date of Last Assessment]="",Table1[Physical Health],Table1[Physical Health2]),""))</f>
        <v/>
      </c>
      <c r="GK53" s="44" t="str">
        <f>IF(Table1[Leaving Date]="","",IF(AND(Table1[Leaving Date]&gt;42460,Table1[Leaving Date]&lt;42826),IF(Table1[Date of Last Assessment]="",Table1[Emotional and Mental Health],Table1[Emotional and Mental Health2]),""))</f>
        <v/>
      </c>
      <c r="GL53" s="44" t="str">
        <f>IF(Table1[Leaving Date]="","",IF(AND(Table1[Leaving Date]&gt;42460,Table1[Leaving Date]&lt;42826),IF(Table1[Date of Last Assessment]="",Table1[Meaningful Use of Time],Table1[Meaningful Use of Time2]),""))</f>
        <v/>
      </c>
      <c r="GM53" s="44" t="str">
        <f>IF(Table1[Leaving Date]="","",IF(AND(Table1[Leaving Date]&gt;42460,Table1[Leaving Date]&lt;42826),IF(Table1[Date of Last Assessment]="",Table1[Managing Tenancy and Accommodation],Table1[Managing Tenancy and Accommodation2]),""))</f>
        <v/>
      </c>
      <c r="GN53" s="44" t="str">
        <f>IF(Table1[Leaving Date]="","",IF(AND(Table1[Leaving Date]&gt;42460,Table1[Leaving Date]&lt;42826),IF(Table1[Date of Last Assessment]="",Table1[Offending],Table1[Offending2]),""))</f>
        <v/>
      </c>
    </row>
    <row r="54" spans="2:196" ht="20.100000000000001" customHeight="1" x14ac:dyDescent="0.2">
      <c r="B54" s="86">
        <f>+'Service Data'!$C$5:$C$5</f>
        <v>0</v>
      </c>
      <c r="C54" s="86"/>
      <c r="D54" s="86"/>
      <c r="E54" s="86"/>
      <c r="F54" s="86"/>
      <c r="G54" s="86"/>
      <c r="H54" s="6"/>
      <c r="I54" s="99" t="str">
        <f ca="1">IF(Table1[[#This Row],[Date of Birth]]="","",SUM(TODAY()-Table1[[#This Row],[Date of Birth]])/365)</f>
        <v/>
      </c>
      <c r="L54" s="86"/>
      <c r="M54" s="77"/>
      <c r="N54" s="86"/>
      <c r="O54" s="86"/>
      <c r="P54" s="91"/>
      <c r="Q54" s="86"/>
      <c r="R54" s="77"/>
      <c r="S54" s="77"/>
      <c r="T54" s="68"/>
      <c r="U54" s="68"/>
      <c r="V54" s="67"/>
      <c r="W54" s="67"/>
      <c r="X54" s="67"/>
      <c r="Y54" s="67"/>
      <c r="Z54" s="67"/>
      <c r="AA54" s="67"/>
      <c r="AB54" s="67"/>
      <c r="AC54" s="67"/>
      <c r="AD54" s="67"/>
      <c r="AE54" s="67"/>
      <c r="AF54" s="67"/>
      <c r="AG54" s="67"/>
      <c r="AH54" s="67"/>
      <c r="AI54" s="67"/>
      <c r="AJ54" s="67"/>
      <c r="AK54" s="67"/>
      <c r="AL54" s="67"/>
      <c r="AM54" s="67"/>
      <c r="AN54" s="77"/>
      <c r="AO54" s="76"/>
      <c r="AP54" s="77"/>
      <c r="AQ54" s="76"/>
      <c r="AR54" s="76"/>
      <c r="AS54" s="76"/>
      <c r="AT54" s="76"/>
      <c r="AU54" s="76"/>
      <c r="AV54" s="77"/>
      <c r="AW54" s="76"/>
      <c r="AX54" s="77"/>
      <c r="AY54" s="76"/>
      <c r="AZ54" s="76"/>
      <c r="BA54" s="76"/>
      <c r="BB54" s="76"/>
      <c r="BC54" s="76"/>
      <c r="BD54" s="77"/>
      <c r="BE54" s="76"/>
      <c r="BF54" s="77"/>
      <c r="BG54" s="76"/>
      <c r="BH54" s="76"/>
      <c r="BI54" s="76"/>
      <c r="BJ54" s="76"/>
      <c r="BK54" s="76"/>
      <c r="BL54" s="77"/>
      <c r="BM54" s="76"/>
      <c r="BN54" s="77"/>
      <c r="BO54" s="76"/>
      <c r="BP54" s="76"/>
      <c r="BQ54" s="76"/>
      <c r="BR54" s="76"/>
      <c r="BS54" s="76"/>
      <c r="BT54" s="77"/>
      <c r="BU54" s="76"/>
      <c r="BV54" s="77"/>
      <c r="BW54" s="76"/>
      <c r="BX54" s="76"/>
      <c r="BY54" s="76"/>
      <c r="BZ54" s="76"/>
      <c r="CA54" s="76"/>
      <c r="CB54" s="77"/>
      <c r="CC54" s="76"/>
      <c r="CD54" s="77"/>
      <c r="CE54" s="76"/>
      <c r="CF54" s="76"/>
      <c r="CG54" s="76"/>
      <c r="CH54" s="76"/>
      <c r="CI54" s="76"/>
      <c r="CJ54" s="77"/>
      <c r="CK54" s="76"/>
      <c r="CL54" s="77"/>
      <c r="CM54" s="76"/>
      <c r="CN54" s="76"/>
      <c r="CO54" s="76"/>
      <c r="CP54" s="76"/>
      <c r="CQ54" s="76"/>
      <c r="CR54" s="78" t="str">
        <f t="shared" si="15"/>
        <v/>
      </c>
      <c r="CS54" s="79" t="str">
        <f t="shared" si="16"/>
        <v/>
      </c>
      <c r="CT54" s="79" t="str">
        <f t="shared" si="17"/>
        <v/>
      </c>
      <c r="CU54" s="79" t="str">
        <f t="shared" si="18"/>
        <v/>
      </c>
      <c r="CV54" s="79" t="str">
        <f t="shared" si="19"/>
        <v/>
      </c>
      <c r="CW54" s="79" t="str">
        <f t="shared" si="20"/>
        <v/>
      </c>
      <c r="CX54" s="79" t="str">
        <f t="shared" si="21"/>
        <v/>
      </c>
      <c r="CY54" s="79" t="str">
        <f t="shared" si="22"/>
        <v/>
      </c>
      <c r="CZ54" s="79" t="str">
        <f t="shared" si="23"/>
        <v/>
      </c>
      <c r="DA54" s="79" t="str">
        <f t="shared" si="24"/>
        <v/>
      </c>
      <c r="DB54" s="79" t="str">
        <f t="shared" si="25"/>
        <v/>
      </c>
      <c r="DC54" s="79" t="str">
        <f t="shared" si="26"/>
        <v/>
      </c>
      <c r="DD54" s="79" t="str">
        <f t="shared" si="27"/>
        <v/>
      </c>
      <c r="DE54" s="79" t="str">
        <f t="shared" si="28"/>
        <v/>
      </c>
      <c r="DF54" s="79" t="str">
        <f t="shared" si="29"/>
        <v/>
      </c>
      <c r="DG54" s="79" t="str">
        <f t="shared" si="30"/>
        <v/>
      </c>
      <c r="DH54" s="76"/>
      <c r="DI54" s="78"/>
      <c r="DJ54" s="76"/>
      <c r="DK54" s="77"/>
      <c r="DL54" s="77"/>
      <c r="DM54" s="77"/>
      <c r="DN54" s="80"/>
      <c r="DO54" s="80"/>
      <c r="DP54" s="92" t="str">
        <f>IF(Table1[Start Date]="","",IF(Table1[Start Date]&gt;42185,"",IF(AND(Table1[Leaving Date]&gt;1,Table1[Leaving Date]&lt;42095),"",1)))</f>
        <v/>
      </c>
      <c r="DQ54" s="92" t="str">
        <f>IF(Table1[Start Date]="","",IF(Table1[Start Date]&gt;42277,"",IF(AND(Table1[Leaving Date]&gt;1,Table1[Leaving Date]&lt;42186),"",1)))</f>
        <v/>
      </c>
      <c r="DR54" s="92" t="str">
        <f>IF(Table1[Start Date]="","",IF(Table1[Start Date]&gt;42369,"",IF(AND(Table1[Leaving Date]&gt;1,Table1[Leaving Date]&lt;42278),"",1)))</f>
        <v/>
      </c>
      <c r="DS54" s="92" t="str">
        <f>IF(Table1[Start Date]="","",IF(Table1[Start Date]&gt;42460,"",IF(AND(Table1[Leaving Date]&gt;1,Table1[Leaving Date]&lt;42370),"",1)))</f>
        <v/>
      </c>
      <c r="DT54" s="92" t="str">
        <f>IF(Table1[Start Date]="","",IF(Table1[Start Date]&gt;42551,"",IF(AND(Table1[Leaving Date]&gt;1,Table1[Leaving Date]&lt;42461),"",1)))</f>
        <v/>
      </c>
      <c r="DU54" s="92" t="str">
        <f>IF(Table1[Start Date]="","",IF(Table1[Start Date]&gt;42643,"",IF(AND(Table1[Leaving Date]&gt;1,Table1[Leaving Date]&lt;42552),"",1)))</f>
        <v/>
      </c>
      <c r="DV54" s="92" t="str">
        <f>IF(Table1[Start Date]="","",IF(Table1[Start Date]&gt;42735,"",IF(AND(Table1[Leaving Date]&gt;1,Table1[Leaving Date]&lt;42644),"",1)))</f>
        <v/>
      </c>
      <c r="DW54" s="92" t="str">
        <f>IF(Table1[Start Date]="","",IF(Table1[Start Date]&gt;42825,"",IF(AND(Table1[Leaving Date]&gt;1,Table1[Leaving Date]&lt;42736),"",1)))</f>
        <v/>
      </c>
      <c r="DX54"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54" s="44" t="e">
        <f>VLOOKUP(Table1[Referral Source],Lists!$G$2:$H$20,2,FALSE)</f>
        <v>#N/A</v>
      </c>
      <c r="DZ54" s="93" t="e">
        <f>SUM(Table1[Data Referral Quarter]+Table1[Data Referral Source])</f>
        <v>#N/A</v>
      </c>
      <c r="EA54" s="44" t="b">
        <f>IF(Table1[Referral Decision]="Accepted",100,IF(Table1[Referral Decision]="Rejected by Provider",200,IF(Table1[Referral Decision]="Rejected by Applicant",300)))</f>
        <v>0</v>
      </c>
      <c r="EB54" s="44">
        <f>SUM(Table1[Data Referral Quarter]+Table1[Data Referral Decision])</f>
        <v>0</v>
      </c>
      <c r="EC54" s="44" t="b">
        <f>IF(Table1[Start Date]&gt;42735,8000,IF(Table1[Start Date]&gt;42643,7000,IF(Table1[Start Date]&gt;42551,6000,IF(Table1[Start Date]&gt;42460,5000,IF(Table1[Start Date]&gt;42369,4000,IF(Table1[Start Date]&gt;42277,3000,IF(Table1[Start Date]&gt;42185,2000,IF(Table1[Start Date]&gt;42094,1000))))))))</f>
        <v>0</v>
      </c>
      <c r="ED54" s="44" t="str">
        <f>IF(Table1[Start Date]="","",IF(Table1[Current Local Authority]="Swindon",1,"2"))</f>
        <v/>
      </c>
      <c r="EE54" s="44" t="e">
        <f>SUM(Table1[Data Start Date]+Table1[Data Local Authority])</f>
        <v>#VALUE!</v>
      </c>
      <c r="EF54" s="44">
        <f>IF(Table1[Registered with GP]="Yes",1,0)</f>
        <v>0</v>
      </c>
      <c r="EG54" s="44">
        <f>SUM(Table1[Data Start Date]+Table1[Data GP Start])</f>
        <v>0</v>
      </c>
      <c r="EH54" s="44" t="str">
        <f>IF(Table1[EET]="NEET",1,IF(Table1[EET]="Education",2,IF(Table1[EET]="Employment",2,IF(Table1[EET]="Training",2,IF(Table1[EET]="Retired",3,"")))))</f>
        <v/>
      </c>
      <c r="EI54" s="44" t="e">
        <f>Table1[Data Start Date]+Table1[Data EET Start]</f>
        <v>#VALUE!</v>
      </c>
      <c r="EJ54" s="44" t="b">
        <f>IF(Table1[Leaving Date]&gt;42735,8000,IF(Table1[Leaving Date]&gt;42643,7000,IF(Table1[Leaving Date]&gt;42551,6000,IF(Table1[Leaving Date]&gt;42460,5000,IF(Table1[Leaving Date]&gt;42369,4000,IF(Table1[Leaving Date]&gt;42277,3000,IF(Table1[Leaving Date]&gt;42185,2000,IF(Table1[Leaving Date]&gt;42094,1000))))))))</f>
        <v>0</v>
      </c>
      <c r="EK54" s="44" t="e">
        <f>VLOOKUP(Table1[Reason for Leaving],Lists!$T$2:$U$15,2,FALSE)</f>
        <v>#N/A</v>
      </c>
      <c r="EL54" s="44" t="e">
        <f>SUM(Table1[Data Leavers Date]+Table1[Data Move On])</f>
        <v>#N/A</v>
      </c>
      <c r="EM54" s="44" t="b">
        <f>IF(Table1[Registered with GP2]="Yes",1,IF(Table1[Registered with GP2]="No",0,IF(Table1[Registered with GP]="Yes",1,IF(Table1[Registered with GP]="No",0))))</f>
        <v>0</v>
      </c>
      <c r="EN54" s="44">
        <f>SUM(Table1[Data Leavers Date]+Table1[Data GP End])</f>
        <v>0</v>
      </c>
      <c r="EO54" s="44" t="str">
        <f>IF(Table1[EET2]="NEET",1,IF(Table1[EET2]="Employment",2,IF(Table1[EET2]="Education",2,IF(Table1[EET2]="Training",2,IF(Table1[EET2]="Retired",3,IF(Table1[EET]="NEET",1,IF(Table1[EET]="Employment",2,IF(Table1[EET]="Education",2,IF(Table1[EET]="Training",2,IF(Table1[EET]="Retired",3,""))))))))))</f>
        <v/>
      </c>
      <c r="EP54" s="44" t="e">
        <f>+Table1[[#This Row],[Data Leavers Date]]+Table1[[#This Row],[Data EET End]]</f>
        <v>#VALUE!</v>
      </c>
      <c r="EQ54" s="44">
        <f>IF(Table1[Exit Form Received]="Yes",1,0)</f>
        <v>0</v>
      </c>
      <c r="ER54" s="44">
        <f>+Table1[[#This Row],[Data Leavers Date]]+Table1[[#This Row],[Data Exit Forms]]</f>
        <v>0</v>
      </c>
      <c r="ES54" s="44" t="str">
        <f>IF(Table1[Data Leavers Date]=1000,SUM(Table1[Leaving Date]-Table1[Start Date]),"")</f>
        <v/>
      </c>
      <c r="ET54" s="44" t="str">
        <f>IF(Table1[Data Leavers Date]=2000,SUM(Table1[Leaving Date]-Table1[Start Date]),"")</f>
        <v/>
      </c>
      <c r="EU54" s="44" t="str">
        <f>IF(Table1[Data Leavers Date]=3000,SUM(Table1[Leaving Date]-Table1[Start Date]),"")</f>
        <v/>
      </c>
      <c r="EV54" s="44" t="str">
        <f>IF(Table1[Data Leavers Date]=4000,SUM(Table1[Leaving Date]-Table1[Start Date]),"")</f>
        <v/>
      </c>
      <c r="EW54" s="44" t="str">
        <f>IF(Table1[Data Leavers Date]=5000,SUM(Table1[Leaving Date]-Table1[Start Date]),"")</f>
        <v/>
      </c>
      <c r="EX54" s="44" t="str">
        <f>IF(Table1[Data Leavers Date]=6000,SUM(Table1[Leaving Date]-Table1[Start Date]),"")</f>
        <v/>
      </c>
      <c r="EY54" s="44" t="str">
        <f>IF(Table1[Data Leavers Date]=7000,SUM(Table1[Leaving Date]-Table1[Start Date]),"")</f>
        <v/>
      </c>
      <c r="EZ54" s="44" t="str">
        <f>IF(Table1[Data Leavers Date]=8000,SUM(Table1[Leaving Date]-Table1[Start Date]),"")</f>
        <v/>
      </c>
      <c r="FA54" s="44" t="str">
        <f>IF(Table1[Date of Initial Assessment]="","",IF(AND(Table1[Start Date]&gt;42094,Table1[Start Date]&lt;42461),Table1[Motivation and Taking Responsibility],""))</f>
        <v/>
      </c>
      <c r="FB54" s="44" t="str">
        <f>IF(Table1[Date of Initial Assessment]="","",IF(AND(Table1[Start Date]&gt;42094,Table1[Start Date]&lt;42461),Table1[Self-Care and Living Skills],""))</f>
        <v/>
      </c>
      <c r="FC54" s="44" t="str">
        <f>IF(Table1[Date of Initial Assessment]="","",IF(AND(Table1[Start Date]&gt;42094,Table1[Start Date]&lt;42461),Table1[Managing Money and Personal Administration],""))</f>
        <v/>
      </c>
      <c r="FD54" s="44" t="str">
        <f>IF(Table1[Date of Initial Assessment]="","",IF(AND(Table1[Start Date]&gt;42094,Table1[Start Date]&lt;42461),Table1[Social Networks and Relationships],""))</f>
        <v/>
      </c>
      <c r="FE54" s="44" t="str">
        <f>IF(Table1[Date of Initial Assessment]="","",IF(AND(Table1[Start Date]&gt;42094,Table1[Start Date]&lt;42461),Table1[Drug and Alcohol Misuse],""))</f>
        <v/>
      </c>
      <c r="FF54" s="44" t="str">
        <f>IF(Table1[Date of Initial Assessment]="","",IF(AND(Table1[Start Date]&gt;42094,Table1[Start Date]&lt;42461),Table1[Physical Health],""))</f>
        <v/>
      </c>
      <c r="FG54" s="44" t="str">
        <f>IF(Table1[Date of Initial Assessment]="","",IF(AND(Table1[Start Date]&gt;42094,Table1[Start Date]&lt;42461),Table1[Emotional and Mental Health],""))</f>
        <v/>
      </c>
      <c r="FH54" s="44" t="str">
        <f>IF(Table1[Date of Initial Assessment]="","",IF(AND(Table1[Start Date]&gt;42094,Table1[Start Date]&lt;42461),Table1[Meaningful Use of Time],""))</f>
        <v/>
      </c>
      <c r="FI54" s="44" t="str">
        <f>IF(Table1[Date of Initial Assessment]="","",IF(AND(Table1[Start Date]&gt;42094,Table1[Start Date]&lt;42461),Table1[Managing Tenancy and Accommodation],""))</f>
        <v/>
      </c>
      <c r="FJ54" s="44" t="str">
        <f>IF(Table1[Date of Initial Assessment]="","",IF(AND(Table1[Start Date]&gt;42094,Table1[Start Date]&lt;42461),Table1[Offending],""))</f>
        <v/>
      </c>
      <c r="FK54" s="44" t="str">
        <f>IF(Table1[Leaving Date]="","",IF(Table1[Date of Initial Assessment]="","",IF(AND(Table1[Leaving Date]&gt;42094,Table1[Leaving Date]&lt;42461),IF(Table1[Date of Last Assessment]="",Table1[Motivation and Taking Responsibility],Table1[Motivation and Taking Responsibility2]),"")))</f>
        <v/>
      </c>
      <c r="FL54" s="44" t="str">
        <f>IF(Table1[Leaving Date]="","",IF(Table1[Date of Initial Assessment]="","",IF(AND(Table1[Leaving Date]&gt;42094,Table1[Leaving Date]&lt;42461),IF(Table1[Date of Last Assessment]="",Table1[Self-Care and Living Skills],Table1[Self-Care and Living Skills2]),"")))</f>
        <v/>
      </c>
      <c r="FM54" s="44" t="str">
        <f>IF(Table1[Leaving Date]="","",IF(Table1[Date of Initial Assessment]="","",IF(AND(Table1[Leaving Date]&gt;42094,Table1[Leaving Date]&lt;42461),IF(Table1[Date of Last Assessment]="",Table1[Managing Money and Personal Administration],Table1[Managing Money and Personal Administration2]),"")))</f>
        <v/>
      </c>
      <c r="FN54" s="44" t="str">
        <f>IF(Table1[Leaving Date]="","",IF(Table1[Date of Initial Assessment]="","",IF(AND(Table1[Leaving Date]&gt;42094,Table1[Leaving Date]&lt;42461),IF(Table1[Date of Last Assessment]="",Table1[Social Networks and Relationships],Table1[Social Networks and Relationships2]),"")))</f>
        <v/>
      </c>
      <c r="FO54" s="44" t="str">
        <f>IF(Table1[Leaving Date]="","",IF(Table1[Date of Initial Assessment]="","",IF(AND(Table1[Leaving Date]&gt;42094,Table1[Leaving Date]&lt;42461),IF(Table1[Date of Last Assessment]="",Table1[Drug and Alcohol Misuse],Table1[Drug and Alcohol Misuse2]),"")))</f>
        <v/>
      </c>
      <c r="FP54" s="44" t="str">
        <f>IF(Table1[Leaving Date]="","",IF(Table1[Date of Initial Assessment]="","",IF(AND(Table1[Leaving Date]&gt;42094,Table1[Leaving Date]&lt;42461),IF(Table1[Date of Last Assessment]="",Table1[Physical Health],Table1[Physical Health2]),"")))</f>
        <v/>
      </c>
      <c r="FQ54" s="44" t="str">
        <f>IF(Table1[Leaving Date]="","",IF(Table1[Date of Initial Assessment]="","",IF(AND(Table1[Leaving Date]&gt;42094,Table1[Leaving Date]&lt;42461),IF(Table1[Date of Last Assessment]="",Table1[Emotional and Mental Health],Table1[Emotional and Mental Health2]),"")))</f>
        <v/>
      </c>
      <c r="FR54" s="44" t="str">
        <f>IF(Table1[Leaving Date]="","",IF(Table1[Date of Initial Assessment]="","",IF(AND(Table1[Leaving Date]&gt;42094,Table1[Leaving Date]&lt;42461),IF(Table1[Date of Last Assessment]="",Table1[Meaningful Use of Time],Table1[Meaningful Use of Time2]),"")))</f>
        <v/>
      </c>
      <c r="FS54" s="44" t="str">
        <f>IF(Table1[Leaving Date]="","",IF(Table1[Date of Initial Assessment]="","",IF(AND(Table1[Leaving Date]&gt;42094,Table1[Leaving Date]&lt;42461),IF(Table1[Date of Last Assessment]="",Table1[Managing Tenancy and Accommodation],Table1[Managing Tenancy and Accommodation2]),"")))</f>
        <v/>
      </c>
      <c r="FT54" s="44" t="str">
        <f>IF(Table1[Leaving Date]="","",IF(Table1[Date of Initial Assessment]="","",IF(AND(Table1[Leaving Date]&gt;42094,Table1[Leaving Date]&lt;42461),IF(Table1[Date of Last Assessment]="",Table1[Offending],Table1[Offending2]),"")))</f>
        <v/>
      </c>
      <c r="FU54" s="44" t="str">
        <f>IF(Table1[Date of Initial Assessment]="","",IF(AND(Table1[Start Date]&gt;42460,Table1[Start Date]&lt;42826),Table1[Motivation and Taking Responsibility],""))</f>
        <v/>
      </c>
      <c r="FV54" s="44" t="str">
        <f>IF(Table1[Date of Initial Assessment]="","",IF(AND(Table1[Start Date]&gt;42460,Table1[Start Date]&lt;42826),Table1[Self-Care and Living Skills],""))</f>
        <v/>
      </c>
      <c r="FW54" s="44" t="str">
        <f>IF(Table1[Date of Initial Assessment]="","",IF(AND(Table1[Start Date]&gt;42460,Table1[Start Date]&lt;42826),Table1[Managing Money and Personal Administration],""))</f>
        <v/>
      </c>
      <c r="FX54" s="44" t="str">
        <f>IF(Table1[Date of Initial Assessment]="","",IF(AND(Table1[Start Date]&gt;42460,Table1[Start Date]&lt;42826),Table1[Social Networks and Relationships],""))</f>
        <v/>
      </c>
      <c r="FY54" s="44" t="str">
        <f>IF(Table1[Date of Initial Assessment]="","",IF(AND(Table1[Start Date]&gt;42460,Table1[Start Date]&lt;42826),Table1[Drug and Alcohol Misuse],""))</f>
        <v/>
      </c>
      <c r="FZ54" s="44" t="str">
        <f>IF(Table1[Date of Initial Assessment]="","",IF(AND(Table1[Start Date]&gt;42460,Table1[Start Date]&lt;42826),Table1[Physical Health],""))</f>
        <v/>
      </c>
      <c r="GA54" s="44" t="str">
        <f>IF(Table1[Date of Initial Assessment]="","",IF(AND(Table1[Start Date]&gt;42460,Table1[Start Date]&lt;42826),Table1[Emotional and Mental Health],""))</f>
        <v/>
      </c>
      <c r="GB54" s="44" t="str">
        <f>IF(Table1[Date of Initial Assessment]="","",IF(AND(Table1[Start Date]&gt;42460,Table1[Start Date]&lt;42826),Table1[Meaningful Use of Time],""))</f>
        <v/>
      </c>
      <c r="GC54" s="44" t="str">
        <f>IF(Table1[Date of Initial Assessment]="","",IF(AND(Table1[Start Date]&gt;42460,Table1[Start Date]&lt;42826),Table1[Managing Tenancy and Accommodation],""))</f>
        <v/>
      </c>
      <c r="GD54" s="44" t="str">
        <f>IF(Table1[Date of Initial Assessment]="","",IF(AND(Table1[Start Date]&gt;42460,Table1[Start Date]&lt;42826),Table1[Offending],""))</f>
        <v/>
      </c>
      <c r="GE54" s="44" t="str">
        <f>IF(Table1[Leaving Date]="","",IF(AND(Table1[Leaving Date]&gt;42460,Table1[Leaving Date]&lt;42826),IF(Table1[Date of Last Assessment]="",Table1[Motivation and Taking Responsibility],Table1[Motivation and Taking Responsibility2]),""))</f>
        <v/>
      </c>
      <c r="GF54" s="44" t="str">
        <f>IF(Table1[Leaving Date]="","",IF(AND(Table1[Leaving Date]&gt;42460,Table1[Leaving Date]&lt;42826),IF(Table1[Date of Last Assessment]="",Table1[Self-Care and Living Skills],Table1[Self-Care and Living Skills2]),""))</f>
        <v/>
      </c>
      <c r="GG54" s="44" t="str">
        <f>IF(Table1[Leaving Date]="","",IF(AND(Table1[Leaving Date]&gt;42460,Table1[Leaving Date]&lt;42826),IF(Table1[Date of Last Assessment]="",Table1[Managing Money and Personal Administration],Table1[Managing Money and Personal Administration2]),""))</f>
        <v/>
      </c>
      <c r="GH54" s="44" t="str">
        <f>IF(Table1[Leaving Date]="","",IF(AND(Table1[Leaving Date]&gt;42460,Table1[Leaving Date]&lt;42826),IF(Table1[Date of Last Assessment]="",Table1[Social Networks and Relationships],Table1[Social Networks and Relationships2]),""))</f>
        <v/>
      </c>
      <c r="GI54" s="44" t="str">
        <f>IF(Table1[Leaving Date]="","",IF(AND(Table1[Leaving Date]&gt;42460,Table1[Leaving Date]&lt;42826),IF(Table1[Date of Last Assessment]="",Table1[Drug and Alcohol Misuse],Table1[Drug and Alcohol Misuse2]),""))</f>
        <v/>
      </c>
      <c r="GJ54" s="44" t="str">
        <f>IF(Table1[Leaving Date]="","",IF(AND(Table1[Leaving Date]&gt;42460,Table1[Leaving Date]&lt;42826),IF(Table1[Date of Last Assessment]="",Table1[Physical Health],Table1[Physical Health2]),""))</f>
        <v/>
      </c>
      <c r="GK54" s="44" t="str">
        <f>IF(Table1[Leaving Date]="","",IF(AND(Table1[Leaving Date]&gt;42460,Table1[Leaving Date]&lt;42826),IF(Table1[Date of Last Assessment]="",Table1[Emotional and Mental Health],Table1[Emotional and Mental Health2]),""))</f>
        <v/>
      </c>
      <c r="GL54" s="44" t="str">
        <f>IF(Table1[Leaving Date]="","",IF(AND(Table1[Leaving Date]&gt;42460,Table1[Leaving Date]&lt;42826),IF(Table1[Date of Last Assessment]="",Table1[Meaningful Use of Time],Table1[Meaningful Use of Time2]),""))</f>
        <v/>
      </c>
      <c r="GM54" s="44" t="str">
        <f>IF(Table1[Leaving Date]="","",IF(AND(Table1[Leaving Date]&gt;42460,Table1[Leaving Date]&lt;42826),IF(Table1[Date of Last Assessment]="",Table1[Managing Tenancy and Accommodation],Table1[Managing Tenancy and Accommodation2]),""))</f>
        <v/>
      </c>
      <c r="GN54" s="44" t="str">
        <f>IF(Table1[Leaving Date]="","",IF(AND(Table1[Leaving Date]&gt;42460,Table1[Leaving Date]&lt;42826),IF(Table1[Date of Last Assessment]="",Table1[Offending],Table1[Offending2]),""))</f>
        <v/>
      </c>
    </row>
    <row r="55" spans="2:196" ht="20.100000000000001" customHeight="1" x14ac:dyDescent="0.2">
      <c r="B55" s="86">
        <f>+'Service Data'!$C$5:$C$5</f>
        <v>0</v>
      </c>
      <c r="C55" s="86"/>
      <c r="D55" s="86"/>
      <c r="E55" s="86"/>
      <c r="F55" s="86"/>
      <c r="G55" s="86"/>
      <c r="H55" s="6"/>
      <c r="I55" s="99" t="str">
        <f ca="1">IF(Table1[[#This Row],[Date of Birth]]="","",SUM(TODAY()-Table1[[#This Row],[Date of Birth]])/365)</f>
        <v/>
      </c>
      <c r="L55" s="86"/>
      <c r="M55" s="77"/>
      <c r="N55" s="86"/>
      <c r="O55" s="86"/>
      <c r="P55" s="91"/>
      <c r="Q55" s="86"/>
      <c r="R55" s="77"/>
      <c r="S55" s="77"/>
      <c r="T55" s="68"/>
      <c r="U55" s="68"/>
      <c r="V55" s="67"/>
      <c r="W55" s="67"/>
      <c r="X55" s="67"/>
      <c r="Y55" s="67"/>
      <c r="Z55" s="67"/>
      <c r="AA55" s="67"/>
      <c r="AB55" s="67"/>
      <c r="AC55" s="67"/>
      <c r="AD55" s="67"/>
      <c r="AE55" s="67"/>
      <c r="AF55" s="67"/>
      <c r="AG55" s="67"/>
      <c r="AH55" s="67"/>
      <c r="AI55" s="67"/>
      <c r="AJ55" s="67"/>
      <c r="AK55" s="67"/>
      <c r="AL55" s="67"/>
      <c r="AM55" s="67"/>
      <c r="AN55" s="77"/>
      <c r="AO55" s="76"/>
      <c r="AP55" s="77"/>
      <c r="AQ55" s="76"/>
      <c r="AR55" s="76"/>
      <c r="AS55" s="76"/>
      <c r="AT55" s="76"/>
      <c r="AU55" s="76"/>
      <c r="AV55" s="77"/>
      <c r="AW55" s="76"/>
      <c r="AX55" s="77"/>
      <c r="AY55" s="76"/>
      <c r="AZ55" s="76"/>
      <c r="BA55" s="76"/>
      <c r="BB55" s="76"/>
      <c r="BC55" s="76"/>
      <c r="BD55" s="77"/>
      <c r="BE55" s="76"/>
      <c r="BF55" s="77"/>
      <c r="BG55" s="76"/>
      <c r="BH55" s="76"/>
      <c r="BI55" s="76"/>
      <c r="BJ55" s="76"/>
      <c r="BK55" s="76"/>
      <c r="BL55" s="77"/>
      <c r="BM55" s="76"/>
      <c r="BN55" s="77"/>
      <c r="BO55" s="76"/>
      <c r="BP55" s="76"/>
      <c r="BQ55" s="76"/>
      <c r="BR55" s="76"/>
      <c r="BS55" s="76"/>
      <c r="BT55" s="77"/>
      <c r="BU55" s="76"/>
      <c r="BV55" s="77"/>
      <c r="BW55" s="76"/>
      <c r="BX55" s="76"/>
      <c r="BY55" s="76"/>
      <c r="BZ55" s="76"/>
      <c r="CA55" s="76"/>
      <c r="CB55" s="77"/>
      <c r="CC55" s="76"/>
      <c r="CD55" s="77"/>
      <c r="CE55" s="76"/>
      <c r="CF55" s="76"/>
      <c r="CG55" s="76"/>
      <c r="CH55" s="76"/>
      <c r="CI55" s="76"/>
      <c r="CJ55" s="77"/>
      <c r="CK55" s="76"/>
      <c r="CL55" s="77"/>
      <c r="CM55" s="76"/>
      <c r="CN55" s="76"/>
      <c r="CO55" s="76"/>
      <c r="CP55" s="76"/>
      <c r="CQ55" s="76"/>
      <c r="CR55" s="78" t="str">
        <f t="shared" si="15"/>
        <v/>
      </c>
      <c r="CS55" s="79" t="str">
        <f t="shared" si="16"/>
        <v/>
      </c>
      <c r="CT55" s="79" t="str">
        <f t="shared" si="17"/>
        <v/>
      </c>
      <c r="CU55" s="79" t="str">
        <f t="shared" si="18"/>
        <v/>
      </c>
      <c r="CV55" s="79" t="str">
        <f t="shared" si="19"/>
        <v/>
      </c>
      <c r="CW55" s="79" t="str">
        <f t="shared" si="20"/>
        <v/>
      </c>
      <c r="CX55" s="79" t="str">
        <f t="shared" si="21"/>
        <v/>
      </c>
      <c r="CY55" s="79" t="str">
        <f t="shared" si="22"/>
        <v/>
      </c>
      <c r="CZ55" s="79" t="str">
        <f t="shared" si="23"/>
        <v/>
      </c>
      <c r="DA55" s="79" t="str">
        <f t="shared" si="24"/>
        <v/>
      </c>
      <c r="DB55" s="79" t="str">
        <f t="shared" si="25"/>
        <v/>
      </c>
      <c r="DC55" s="79" t="str">
        <f t="shared" si="26"/>
        <v/>
      </c>
      <c r="DD55" s="79" t="str">
        <f t="shared" si="27"/>
        <v/>
      </c>
      <c r="DE55" s="79" t="str">
        <f t="shared" si="28"/>
        <v/>
      </c>
      <c r="DF55" s="79" t="str">
        <f t="shared" si="29"/>
        <v/>
      </c>
      <c r="DG55" s="79" t="str">
        <f t="shared" si="30"/>
        <v/>
      </c>
      <c r="DH55" s="76"/>
      <c r="DI55" s="78"/>
      <c r="DJ55" s="76"/>
      <c r="DK55" s="77"/>
      <c r="DL55" s="77"/>
      <c r="DM55" s="77"/>
      <c r="DN55" s="80"/>
      <c r="DO55" s="80"/>
      <c r="DP55" s="92" t="str">
        <f>IF(Table1[Start Date]="","",IF(Table1[Start Date]&gt;42185,"",IF(AND(Table1[Leaving Date]&gt;1,Table1[Leaving Date]&lt;42095),"",1)))</f>
        <v/>
      </c>
      <c r="DQ55" s="92" t="str">
        <f>IF(Table1[Start Date]="","",IF(Table1[Start Date]&gt;42277,"",IF(AND(Table1[Leaving Date]&gt;1,Table1[Leaving Date]&lt;42186),"",1)))</f>
        <v/>
      </c>
      <c r="DR55" s="92" t="str">
        <f>IF(Table1[Start Date]="","",IF(Table1[Start Date]&gt;42369,"",IF(AND(Table1[Leaving Date]&gt;1,Table1[Leaving Date]&lt;42278),"",1)))</f>
        <v/>
      </c>
      <c r="DS55" s="92" t="str">
        <f>IF(Table1[Start Date]="","",IF(Table1[Start Date]&gt;42460,"",IF(AND(Table1[Leaving Date]&gt;1,Table1[Leaving Date]&lt;42370),"",1)))</f>
        <v/>
      </c>
      <c r="DT55" s="92" t="str">
        <f>IF(Table1[Start Date]="","",IF(Table1[Start Date]&gt;42551,"",IF(AND(Table1[Leaving Date]&gt;1,Table1[Leaving Date]&lt;42461),"",1)))</f>
        <v/>
      </c>
      <c r="DU55" s="92" t="str">
        <f>IF(Table1[Start Date]="","",IF(Table1[Start Date]&gt;42643,"",IF(AND(Table1[Leaving Date]&gt;1,Table1[Leaving Date]&lt;42552),"",1)))</f>
        <v/>
      </c>
      <c r="DV55" s="92" t="str">
        <f>IF(Table1[Start Date]="","",IF(Table1[Start Date]&gt;42735,"",IF(AND(Table1[Leaving Date]&gt;1,Table1[Leaving Date]&lt;42644),"",1)))</f>
        <v/>
      </c>
      <c r="DW55" s="92" t="str">
        <f>IF(Table1[Start Date]="","",IF(Table1[Start Date]&gt;42825,"",IF(AND(Table1[Leaving Date]&gt;1,Table1[Leaving Date]&lt;42736),"",1)))</f>
        <v/>
      </c>
      <c r="DX55"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55" s="44" t="e">
        <f>VLOOKUP(Table1[Referral Source],Lists!$G$2:$H$20,2,FALSE)</f>
        <v>#N/A</v>
      </c>
      <c r="DZ55" s="93" t="e">
        <f>SUM(Table1[Data Referral Quarter]+Table1[Data Referral Source])</f>
        <v>#N/A</v>
      </c>
      <c r="EA55" s="44" t="b">
        <f>IF(Table1[Referral Decision]="Accepted",100,IF(Table1[Referral Decision]="Rejected by Provider",200,IF(Table1[Referral Decision]="Rejected by Applicant",300)))</f>
        <v>0</v>
      </c>
      <c r="EB55" s="44">
        <f>SUM(Table1[Data Referral Quarter]+Table1[Data Referral Decision])</f>
        <v>0</v>
      </c>
      <c r="EC55" s="44" t="b">
        <f>IF(Table1[Start Date]&gt;42735,8000,IF(Table1[Start Date]&gt;42643,7000,IF(Table1[Start Date]&gt;42551,6000,IF(Table1[Start Date]&gt;42460,5000,IF(Table1[Start Date]&gt;42369,4000,IF(Table1[Start Date]&gt;42277,3000,IF(Table1[Start Date]&gt;42185,2000,IF(Table1[Start Date]&gt;42094,1000))))))))</f>
        <v>0</v>
      </c>
      <c r="ED55" s="44" t="str">
        <f>IF(Table1[Start Date]="","",IF(Table1[Current Local Authority]="Swindon",1,"2"))</f>
        <v/>
      </c>
      <c r="EE55" s="44" t="e">
        <f>SUM(Table1[Data Start Date]+Table1[Data Local Authority])</f>
        <v>#VALUE!</v>
      </c>
      <c r="EF55" s="44">
        <f>IF(Table1[Registered with GP]="Yes",1,0)</f>
        <v>0</v>
      </c>
      <c r="EG55" s="44">
        <f>SUM(Table1[Data Start Date]+Table1[Data GP Start])</f>
        <v>0</v>
      </c>
      <c r="EH55" s="44" t="str">
        <f>IF(Table1[EET]="NEET",1,IF(Table1[EET]="Education",2,IF(Table1[EET]="Employment",2,IF(Table1[EET]="Training",2,IF(Table1[EET]="Retired",3,"")))))</f>
        <v/>
      </c>
      <c r="EI55" s="44" t="e">
        <f>Table1[Data Start Date]+Table1[Data EET Start]</f>
        <v>#VALUE!</v>
      </c>
      <c r="EJ55" s="44" t="b">
        <f>IF(Table1[Leaving Date]&gt;42735,8000,IF(Table1[Leaving Date]&gt;42643,7000,IF(Table1[Leaving Date]&gt;42551,6000,IF(Table1[Leaving Date]&gt;42460,5000,IF(Table1[Leaving Date]&gt;42369,4000,IF(Table1[Leaving Date]&gt;42277,3000,IF(Table1[Leaving Date]&gt;42185,2000,IF(Table1[Leaving Date]&gt;42094,1000))))))))</f>
        <v>0</v>
      </c>
      <c r="EK55" s="44" t="e">
        <f>VLOOKUP(Table1[Reason for Leaving],Lists!$T$2:$U$15,2,FALSE)</f>
        <v>#N/A</v>
      </c>
      <c r="EL55" s="44" t="e">
        <f>SUM(Table1[Data Leavers Date]+Table1[Data Move On])</f>
        <v>#N/A</v>
      </c>
      <c r="EM55" s="44" t="b">
        <f>IF(Table1[Registered with GP2]="Yes",1,IF(Table1[Registered with GP2]="No",0,IF(Table1[Registered with GP]="Yes",1,IF(Table1[Registered with GP]="No",0))))</f>
        <v>0</v>
      </c>
      <c r="EN55" s="44">
        <f>SUM(Table1[Data Leavers Date]+Table1[Data GP End])</f>
        <v>0</v>
      </c>
      <c r="EO55" s="44" t="str">
        <f>IF(Table1[EET2]="NEET",1,IF(Table1[EET2]="Employment",2,IF(Table1[EET2]="Education",2,IF(Table1[EET2]="Training",2,IF(Table1[EET2]="Retired",3,IF(Table1[EET]="NEET",1,IF(Table1[EET]="Employment",2,IF(Table1[EET]="Education",2,IF(Table1[EET]="Training",2,IF(Table1[EET]="Retired",3,""))))))))))</f>
        <v/>
      </c>
      <c r="EP55" s="44" t="e">
        <f>+Table1[[#This Row],[Data Leavers Date]]+Table1[[#This Row],[Data EET End]]</f>
        <v>#VALUE!</v>
      </c>
      <c r="EQ55" s="44">
        <f>IF(Table1[Exit Form Received]="Yes",1,0)</f>
        <v>0</v>
      </c>
      <c r="ER55" s="44">
        <f>+Table1[[#This Row],[Data Leavers Date]]+Table1[[#This Row],[Data Exit Forms]]</f>
        <v>0</v>
      </c>
      <c r="ES55" s="44" t="str">
        <f>IF(Table1[Data Leavers Date]=1000,SUM(Table1[Leaving Date]-Table1[Start Date]),"")</f>
        <v/>
      </c>
      <c r="ET55" s="44" t="str">
        <f>IF(Table1[Data Leavers Date]=2000,SUM(Table1[Leaving Date]-Table1[Start Date]),"")</f>
        <v/>
      </c>
      <c r="EU55" s="44" t="str">
        <f>IF(Table1[Data Leavers Date]=3000,SUM(Table1[Leaving Date]-Table1[Start Date]),"")</f>
        <v/>
      </c>
      <c r="EV55" s="44" t="str">
        <f>IF(Table1[Data Leavers Date]=4000,SUM(Table1[Leaving Date]-Table1[Start Date]),"")</f>
        <v/>
      </c>
      <c r="EW55" s="44" t="str">
        <f>IF(Table1[Data Leavers Date]=5000,SUM(Table1[Leaving Date]-Table1[Start Date]),"")</f>
        <v/>
      </c>
      <c r="EX55" s="44" t="str">
        <f>IF(Table1[Data Leavers Date]=6000,SUM(Table1[Leaving Date]-Table1[Start Date]),"")</f>
        <v/>
      </c>
      <c r="EY55" s="44" t="str">
        <f>IF(Table1[Data Leavers Date]=7000,SUM(Table1[Leaving Date]-Table1[Start Date]),"")</f>
        <v/>
      </c>
      <c r="EZ55" s="44" t="str">
        <f>IF(Table1[Data Leavers Date]=8000,SUM(Table1[Leaving Date]-Table1[Start Date]),"")</f>
        <v/>
      </c>
      <c r="FA55" s="44" t="str">
        <f>IF(Table1[Date of Initial Assessment]="","",IF(AND(Table1[Start Date]&gt;42094,Table1[Start Date]&lt;42461),Table1[Motivation and Taking Responsibility],""))</f>
        <v/>
      </c>
      <c r="FB55" s="44" t="str">
        <f>IF(Table1[Date of Initial Assessment]="","",IF(AND(Table1[Start Date]&gt;42094,Table1[Start Date]&lt;42461),Table1[Self-Care and Living Skills],""))</f>
        <v/>
      </c>
      <c r="FC55" s="44" t="str">
        <f>IF(Table1[Date of Initial Assessment]="","",IF(AND(Table1[Start Date]&gt;42094,Table1[Start Date]&lt;42461),Table1[Managing Money and Personal Administration],""))</f>
        <v/>
      </c>
      <c r="FD55" s="44" t="str">
        <f>IF(Table1[Date of Initial Assessment]="","",IF(AND(Table1[Start Date]&gt;42094,Table1[Start Date]&lt;42461),Table1[Social Networks and Relationships],""))</f>
        <v/>
      </c>
      <c r="FE55" s="44" t="str">
        <f>IF(Table1[Date of Initial Assessment]="","",IF(AND(Table1[Start Date]&gt;42094,Table1[Start Date]&lt;42461),Table1[Drug and Alcohol Misuse],""))</f>
        <v/>
      </c>
      <c r="FF55" s="44" t="str">
        <f>IF(Table1[Date of Initial Assessment]="","",IF(AND(Table1[Start Date]&gt;42094,Table1[Start Date]&lt;42461),Table1[Physical Health],""))</f>
        <v/>
      </c>
      <c r="FG55" s="44" t="str">
        <f>IF(Table1[Date of Initial Assessment]="","",IF(AND(Table1[Start Date]&gt;42094,Table1[Start Date]&lt;42461),Table1[Emotional and Mental Health],""))</f>
        <v/>
      </c>
      <c r="FH55" s="44" t="str">
        <f>IF(Table1[Date of Initial Assessment]="","",IF(AND(Table1[Start Date]&gt;42094,Table1[Start Date]&lt;42461),Table1[Meaningful Use of Time],""))</f>
        <v/>
      </c>
      <c r="FI55" s="44" t="str">
        <f>IF(Table1[Date of Initial Assessment]="","",IF(AND(Table1[Start Date]&gt;42094,Table1[Start Date]&lt;42461),Table1[Managing Tenancy and Accommodation],""))</f>
        <v/>
      </c>
      <c r="FJ55" s="44" t="str">
        <f>IF(Table1[Date of Initial Assessment]="","",IF(AND(Table1[Start Date]&gt;42094,Table1[Start Date]&lt;42461),Table1[Offending],""))</f>
        <v/>
      </c>
      <c r="FK55" s="44" t="str">
        <f>IF(Table1[Leaving Date]="","",IF(Table1[Date of Initial Assessment]="","",IF(AND(Table1[Leaving Date]&gt;42094,Table1[Leaving Date]&lt;42461),IF(Table1[Date of Last Assessment]="",Table1[Motivation and Taking Responsibility],Table1[Motivation and Taking Responsibility2]),"")))</f>
        <v/>
      </c>
      <c r="FL55" s="44" t="str">
        <f>IF(Table1[Leaving Date]="","",IF(Table1[Date of Initial Assessment]="","",IF(AND(Table1[Leaving Date]&gt;42094,Table1[Leaving Date]&lt;42461),IF(Table1[Date of Last Assessment]="",Table1[Self-Care and Living Skills],Table1[Self-Care and Living Skills2]),"")))</f>
        <v/>
      </c>
      <c r="FM55" s="44" t="str">
        <f>IF(Table1[Leaving Date]="","",IF(Table1[Date of Initial Assessment]="","",IF(AND(Table1[Leaving Date]&gt;42094,Table1[Leaving Date]&lt;42461),IF(Table1[Date of Last Assessment]="",Table1[Managing Money and Personal Administration],Table1[Managing Money and Personal Administration2]),"")))</f>
        <v/>
      </c>
      <c r="FN55" s="44" t="str">
        <f>IF(Table1[Leaving Date]="","",IF(Table1[Date of Initial Assessment]="","",IF(AND(Table1[Leaving Date]&gt;42094,Table1[Leaving Date]&lt;42461),IF(Table1[Date of Last Assessment]="",Table1[Social Networks and Relationships],Table1[Social Networks and Relationships2]),"")))</f>
        <v/>
      </c>
      <c r="FO55" s="44" t="str">
        <f>IF(Table1[Leaving Date]="","",IF(Table1[Date of Initial Assessment]="","",IF(AND(Table1[Leaving Date]&gt;42094,Table1[Leaving Date]&lt;42461),IF(Table1[Date of Last Assessment]="",Table1[Drug and Alcohol Misuse],Table1[Drug and Alcohol Misuse2]),"")))</f>
        <v/>
      </c>
      <c r="FP55" s="44" t="str">
        <f>IF(Table1[Leaving Date]="","",IF(Table1[Date of Initial Assessment]="","",IF(AND(Table1[Leaving Date]&gt;42094,Table1[Leaving Date]&lt;42461),IF(Table1[Date of Last Assessment]="",Table1[Physical Health],Table1[Physical Health2]),"")))</f>
        <v/>
      </c>
      <c r="FQ55" s="44" t="str">
        <f>IF(Table1[Leaving Date]="","",IF(Table1[Date of Initial Assessment]="","",IF(AND(Table1[Leaving Date]&gt;42094,Table1[Leaving Date]&lt;42461),IF(Table1[Date of Last Assessment]="",Table1[Emotional and Mental Health],Table1[Emotional and Mental Health2]),"")))</f>
        <v/>
      </c>
      <c r="FR55" s="44" t="str">
        <f>IF(Table1[Leaving Date]="","",IF(Table1[Date of Initial Assessment]="","",IF(AND(Table1[Leaving Date]&gt;42094,Table1[Leaving Date]&lt;42461),IF(Table1[Date of Last Assessment]="",Table1[Meaningful Use of Time],Table1[Meaningful Use of Time2]),"")))</f>
        <v/>
      </c>
      <c r="FS55" s="44" t="str">
        <f>IF(Table1[Leaving Date]="","",IF(Table1[Date of Initial Assessment]="","",IF(AND(Table1[Leaving Date]&gt;42094,Table1[Leaving Date]&lt;42461),IF(Table1[Date of Last Assessment]="",Table1[Managing Tenancy and Accommodation],Table1[Managing Tenancy and Accommodation2]),"")))</f>
        <v/>
      </c>
      <c r="FT55" s="44" t="str">
        <f>IF(Table1[Leaving Date]="","",IF(Table1[Date of Initial Assessment]="","",IF(AND(Table1[Leaving Date]&gt;42094,Table1[Leaving Date]&lt;42461),IF(Table1[Date of Last Assessment]="",Table1[Offending],Table1[Offending2]),"")))</f>
        <v/>
      </c>
      <c r="FU55" s="44" t="str">
        <f>IF(Table1[Date of Initial Assessment]="","",IF(AND(Table1[Start Date]&gt;42460,Table1[Start Date]&lt;42826),Table1[Motivation and Taking Responsibility],""))</f>
        <v/>
      </c>
      <c r="FV55" s="44" t="str">
        <f>IF(Table1[Date of Initial Assessment]="","",IF(AND(Table1[Start Date]&gt;42460,Table1[Start Date]&lt;42826),Table1[Self-Care and Living Skills],""))</f>
        <v/>
      </c>
      <c r="FW55" s="44" t="str">
        <f>IF(Table1[Date of Initial Assessment]="","",IF(AND(Table1[Start Date]&gt;42460,Table1[Start Date]&lt;42826),Table1[Managing Money and Personal Administration],""))</f>
        <v/>
      </c>
      <c r="FX55" s="44" t="str">
        <f>IF(Table1[Date of Initial Assessment]="","",IF(AND(Table1[Start Date]&gt;42460,Table1[Start Date]&lt;42826),Table1[Social Networks and Relationships],""))</f>
        <v/>
      </c>
      <c r="FY55" s="44" t="str">
        <f>IF(Table1[Date of Initial Assessment]="","",IF(AND(Table1[Start Date]&gt;42460,Table1[Start Date]&lt;42826),Table1[Drug and Alcohol Misuse],""))</f>
        <v/>
      </c>
      <c r="FZ55" s="44" t="str">
        <f>IF(Table1[Date of Initial Assessment]="","",IF(AND(Table1[Start Date]&gt;42460,Table1[Start Date]&lt;42826),Table1[Physical Health],""))</f>
        <v/>
      </c>
      <c r="GA55" s="44" t="str">
        <f>IF(Table1[Date of Initial Assessment]="","",IF(AND(Table1[Start Date]&gt;42460,Table1[Start Date]&lt;42826),Table1[Emotional and Mental Health],""))</f>
        <v/>
      </c>
      <c r="GB55" s="44" t="str">
        <f>IF(Table1[Date of Initial Assessment]="","",IF(AND(Table1[Start Date]&gt;42460,Table1[Start Date]&lt;42826),Table1[Meaningful Use of Time],""))</f>
        <v/>
      </c>
      <c r="GC55" s="44" t="str">
        <f>IF(Table1[Date of Initial Assessment]="","",IF(AND(Table1[Start Date]&gt;42460,Table1[Start Date]&lt;42826),Table1[Managing Tenancy and Accommodation],""))</f>
        <v/>
      </c>
      <c r="GD55" s="44" t="str">
        <f>IF(Table1[Date of Initial Assessment]="","",IF(AND(Table1[Start Date]&gt;42460,Table1[Start Date]&lt;42826),Table1[Offending],""))</f>
        <v/>
      </c>
      <c r="GE55" s="44" t="str">
        <f>IF(Table1[Leaving Date]="","",IF(AND(Table1[Leaving Date]&gt;42460,Table1[Leaving Date]&lt;42826),IF(Table1[Date of Last Assessment]="",Table1[Motivation and Taking Responsibility],Table1[Motivation and Taking Responsibility2]),""))</f>
        <v/>
      </c>
      <c r="GF55" s="44" t="str">
        <f>IF(Table1[Leaving Date]="","",IF(AND(Table1[Leaving Date]&gt;42460,Table1[Leaving Date]&lt;42826),IF(Table1[Date of Last Assessment]="",Table1[Self-Care and Living Skills],Table1[Self-Care and Living Skills2]),""))</f>
        <v/>
      </c>
      <c r="GG55" s="44" t="str">
        <f>IF(Table1[Leaving Date]="","",IF(AND(Table1[Leaving Date]&gt;42460,Table1[Leaving Date]&lt;42826),IF(Table1[Date of Last Assessment]="",Table1[Managing Money and Personal Administration],Table1[Managing Money and Personal Administration2]),""))</f>
        <v/>
      </c>
      <c r="GH55" s="44" t="str">
        <f>IF(Table1[Leaving Date]="","",IF(AND(Table1[Leaving Date]&gt;42460,Table1[Leaving Date]&lt;42826),IF(Table1[Date of Last Assessment]="",Table1[Social Networks and Relationships],Table1[Social Networks and Relationships2]),""))</f>
        <v/>
      </c>
      <c r="GI55" s="44" t="str">
        <f>IF(Table1[Leaving Date]="","",IF(AND(Table1[Leaving Date]&gt;42460,Table1[Leaving Date]&lt;42826),IF(Table1[Date of Last Assessment]="",Table1[Drug and Alcohol Misuse],Table1[Drug and Alcohol Misuse2]),""))</f>
        <v/>
      </c>
      <c r="GJ55" s="44" t="str">
        <f>IF(Table1[Leaving Date]="","",IF(AND(Table1[Leaving Date]&gt;42460,Table1[Leaving Date]&lt;42826),IF(Table1[Date of Last Assessment]="",Table1[Physical Health],Table1[Physical Health2]),""))</f>
        <v/>
      </c>
      <c r="GK55" s="44" t="str">
        <f>IF(Table1[Leaving Date]="","",IF(AND(Table1[Leaving Date]&gt;42460,Table1[Leaving Date]&lt;42826),IF(Table1[Date of Last Assessment]="",Table1[Emotional and Mental Health],Table1[Emotional and Mental Health2]),""))</f>
        <v/>
      </c>
      <c r="GL55" s="44" t="str">
        <f>IF(Table1[Leaving Date]="","",IF(AND(Table1[Leaving Date]&gt;42460,Table1[Leaving Date]&lt;42826),IF(Table1[Date of Last Assessment]="",Table1[Meaningful Use of Time],Table1[Meaningful Use of Time2]),""))</f>
        <v/>
      </c>
      <c r="GM55" s="44" t="str">
        <f>IF(Table1[Leaving Date]="","",IF(AND(Table1[Leaving Date]&gt;42460,Table1[Leaving Date]&lt;42826),IF(Table1[Date of Last Assessment]="",Table1[Managing Tenancy and Accommodation],Table1[Managing Tenancy and Accommodation2]),""))</f>
        <v/>
      </c>
      <c r="GN55" s="44" t="str">
        <f>IF(Table1[Leaving Date]="","",IF(AND(Table1[Leaving Date]&gt;42460,Table1[Leaving Date]&lt;42826),IF(Table1[Date of Last Assessment]="",Table1[Offending],Table1[Offending2]),""))</f>
        <v/>
      </c>
    </row>
    <row r="56" spans="2:196" ht="20.100000000000001" customHeight="1" x14ac:dyDescent="0.2">
      <c r="B56" s="86">
        <f>+'Service Data'!$C$5:$C$5</f>
        <v>0</v>
      </c>
      <c r="C56" s="86"/>
      <c r="D56" s="86"/>
      <c r="E56" s="86"/>
      <c r="F56" s="86"/>
      <c r="G56" s="86"/>
      <c r="H56" s="6"/>
      <c r="I56" s="99" t="str">
        <f ca="1">IF(Table1[[#This Row],[Date of Birth]]="","",SUM(TODAY()-Table1[[#This Row],[Date of Birth]])/365)</f>
        <v/>
      </c>
      <c r="L56" s="86"/>
      <c r="M56" s="77"/>
      <c r="N56" s="86"/>
      <c r="O56" s="86"/>
      <c r="P56" s="91"/>
      <c r="Q56" s="86"/>
      <c r="R56" s="77"/>
      <c r="S56" s="77"/>
      <c r="T56" s="68"/>
      <c r="U56" s="68"/>
      <c r="V56" s="67"/>
      <c r="W56" s="67"/>
      <c r="X56" s="67"/>
      <c r="Y56" s="67"/>
      <c r="Z56" s="67"/>
      <c r="AA56" s="67"/>
      <c r="AB56" s="67"/>
      <c r="AC56" s="67"/>
      <c r="AD56" s="67"/>
      <c r="AE56" s="67"/>
      <c r="AF56" s="67"/>
      <c r="AG56" s="67"/>
      <c r="AH56" s="67"/>
      <c r="AI56" s="67"/>
      <c r="AJ56" s="67"/>
      <c r="AK56" s="67"/>
      <c r="AL56" s="67"/>
      <c r="AM56" s="67"/>
      <c r="AN56" s="77"/>
      <c r="AO56" s="76"/>
      <c r="AP56" s="77"/>
      <c r="AQ56" s="76"/>
      <c r="AR56" s="76"/>
      <c r="AS56" s="76"/>
      <c r="AT56" s="76"/>
      <c r="AU56" s="76"/>
      <c r="AV56" s="77"/>
      <c r="AW56" s="76"/>
      <c r="AX56" s="77"/>
      <c r="AY56" s="76"/>
      <c r="AZ56" s="76"/>
      <c r="BA56" s="76"/>
      <c r="BB56" s="76"/>
      <c r="BC56" s="76"/>
      <c r="BD56" s="77"/>
      <c r="BE56" s="76"/>
      <c r="BF56" s="77"/>
      <c r="BG56" s="76"/>
      <c r="BH56" s="76"/>
      <c r="BI56" s="76"/>
      <c r="BJ56" s="76"/>
      <c r="BK56" s="76"/>
      <c r="BL56" s="77"/>
      <c r="BM56" s="76"/>
      <c r="BN56" s="77"/>
      <c r="BO56" s="76"/>
      <c r="BP56" s="76"/>
      <c r="BQ56" s="76"/>
      <c r="BR56" s="76"/>
      <c r="BS56" s="76"/>
      <c r="BT56" s="77"/>
      <c r="BU56" s="76"/>
      <c r="BV56" s="77"/>
      <c r="BW56" s="76"/>
      <c r="BX56" s="76"/>
      <c r="BY56" s="76"/>
      <c r="BZ56" s="76"/>
      <c r="CA56" s="76"/>
      <c r="CB56" s="77"/>
      <c r="CC56" s="76"/>
      <c r="CD56" s="77"/>
      <c r="CE56" s="76"/>
      <c r="CF56" s="76"/>
      <c r="CG56" s="76"/>
      <c r="CH56" s="76"/>
      <c r="CI56" s="76"/>
      <c r="CJ56" s="77"/>
      <c r="CK56" s="76"/>
      <c r="CL56" s="77"/>
      <c r="CM56" s="76"/>
      <c r="CN56" s="76"/>
      <c r="CO56" s="76"/>
      <c r="CP56" s="76"/>
      <c r="CQ56" s="76"/>
      <c r="CR56" s="78" t="str">
        <f t="shared" si="15"/>
        <v/>
      </c>
      <c r="CS56" s="79" t="str">
        <f t="shared" si="16"/>
        <v/>
      </c>
      <c r="CT56" s="79" t="str">
        <f t="shared" si="17"/>
        <v/>
      </c>
      <c r="CU56" s="79" t="str">
        <f t="shared" si="18"/>
        <v/>
      </c>
      <c r="CV56" s="79" t="str">
        <f t="shared" si="19"/>
        <v/>
      </c>
      <c r="CW56" s="79" t="str">
        <f t="shared" si="20"/>
        <v/>
      </c>
      <c r="CX56" s="79" t="str">
        <f t="shared" si="21"/>
        <v/>
      </c>
      <c r="CY56" s="79" t="str">
        <f t="shared" si="22"/>
        <v/>
      </c>
      <c r="CZ56" s="79" t="str">
        <f t="shared" si="23"/>
        <v/>
      </c>
      <c r="DA56" s="79" t="str">
        <f t="shared" si="24"/>
        <v/>
      </c>
      <c r="DB56" s="79" t="str">
        <f t="shared" si="25"/>
        <v/>
      </c>
      <c r="DC56" s="79" t="str">
        <f t="shared" si="26"/>
        <v/>
      </c>
      <c r="DD56" s="79" t="str">
        <f t="shared" si="27"/>
        <v/>
      </c>
      <c r="DE56" s="79" t="str">
        <f t="shared" si="28"/>
        <v/>
      </c>
      <c r="DF56" s="79" t="str">
        <f t="shared" si="29"/>
        <v/>
      </c>
      <c r="DG56" s="79" t="str">
        <f t="shared" si="30"/>
        <v/>
      </c>
      <c r="DH56" s="76"/>
      <c r="DI56" s="78"/>
      <c r="DJ56" s="76"/>
      <c r="DK56" s="77"/>
      <c r="DL56" s="77"/>
      <c r="DM56" s="77"/>
      <c r="DN56" s="80"/>
      <c r="DO56" s="80"/>
      <c r="DP56" s="92" t="str">
        <f>IF(Table1[Start Date]="","",IF(Table1[Start Date]&gt;42185,"",IF(AND(Table1[Leaving Date]&gt;1,Table1[Leaving Date]&lt;42095),"",1)))</f>
        <v/>
      </c>
      <c r="DQ56" s="92" t="str">
        <f>IF(Table1[Start Date]="","",IF(Table1[Start Date]&gt;42277,"",IF(AND(Table1[Leaving Date]&gt;1,Table1[Leaving Date]&lt;42186),"",1)))</f>
        <v/>
      </c>
      <c r="DR56" s="92" t="str">
        <f>IF(Table1[Start Date]="","",IF(Table1[Start Date]&gt;42369,"",IF(AND(Table1[Leaving Date]&gt;1,Table1[Leaving Date]&lt;42278),"",1)))</f>
        <v/>
      </c>
      <c r="DS56" s="92" t="str">
        <f>IF(Table1[Start Date]="","",IF(Table1[Start Date]&gt;42460,"",IF(AND(Table1[Leaving Date]&gt;1,Table1[Leaving Date]&lt;42370),"",1)))</f>
        <v/>
      </c>
      <c r="DT56" s="92" t="str">
        <f>IF(Table1[Start Date]="","",IF(Table1[Start Date]&gt;42551,"",IF(AND(Table1[Leaving Date]&gt;1,Table1[Leaving Date]&lt;42461),"",1)))</f>
        <v/>
      </c>
      <c r="DU56" s="92" t="str">
        <f>IF(Table1[Start Date]="","",IF(Table1[Start Date]&gt;42643,"",IF(AND(Table1[Leaving Date]&gt;1,Table1[Leaving Date]&lt;42552),"",1)))</f>
        <v/>
      </c>
      <c r="DV56" s="92" t="str">
        <f>IF(Table1[Start Date]="","",IF(Table1[Start Date]&gt;42735,"",IF(AND(Table1[Leaving Date]&gt;1,Table1[Leaving Date]&lt;42644),"",1)))</f>
        <v/>
      </c>
      <c r="DW56" s="92" t="str">
        <f>IF(Table1[Start Date]="","",IF(Table1[Start Date]&gt;42825,"",IF(AND(Table1[Leaving Date]&gt;1,Table1[Leaving Date]&lt;42736),"",1)))</f>
        <v/>
      </c>
      <c r="DX56"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56" s="44" t="e">
        <f>VLOOKUP(Table1[Referral Source],Lists!$G$2:$H$20,2,FALSE)</f>
        <v>#N/A</v>
      </c>
      <c r="DZ56" s="93" t="e">
        <f>SUM(Table1[Data Referral Quarter]+Table1[Data Referral Source])</f>
        <v>#N/A</v>
      </c>
      <c r="EA56" s="44" t="b">
        <f>IF(Table1[Referral Decision]="Accepted",100,IF(Table1[Referral Decision]="Rejected by Provider",200,IF(Table1[Referral Decision]="Rejected by Applicant",300)))</f>
        <v>0</v>
      </c>
      <c r="EB56" s="44">
        <f>SUM(Table1[Data Referral Quarter]+Table1[Data Referral Decision])</f>
        <v>0</v>
      </c>
      <c r="EC56" s="44" t="b">
        <f>IF(Table1[Start Date]&gt;42735,8000,IF(Table1[Start Date]&gt;42643,7000,IF(Table1[Start Date]&gt;42551,6000,IF(Table1[Start Date]&gt;42460,5000,IF(Table1[Start Date]&gt;42369,4000,IF(Table1[Start Date]&gt;42277,3000,IF(Table1[Start Date]&gt;42185,2000,IF(Table1[Start Date]&gt;42094,1000))))))))</f>
        <v>0</v>
      </c>
      <c r="ED56" s="44" t="str">
        <f>IF(Table1[Start Date]="","",IF(Table1[Current Local Authority]="Swindon",1,"2"))</f>
        <v/>
      </c>
      <c r="EE56" s="44" t="e">
        <f>SUM(Table1[Data Start Date]+Table1[Data Local Authority])</f>
        <v>#VALUE!</v>
      </c>
      <c r="EF56" s="44">
        <f>IF(Table1[Registered with GP]="Yes",1,0)</f>
        <v>0</v>
      </c>
      <c r="EG56" s="44">
        <f>SUM(Table1[Data Start Date]+Table1[Data GP Start])</f>
        <v>0</v>
      </c>
      <c r="EH56" s="44" t="str">
        <f>IF(Table1[EET]="NEET",1,IF(Table1[EET]="Education",2,IF(Table1[EET]="Employment",2,IF(Table1[EET]="Training",2,IF(Table1[EET]="Retired",3,"")))))</f>
        <v/>
      </c>
      <c r="EI56" s="44" t="e">
        <f>Table1[Data Start Date]+Table1[Data EET Start]</f>
        <v>#VALUE!</v>
      </c>
      <c r="EJ56" s="44" t="b">
        <f>IF(Table1[Leaving Date]&gt;42735,8000,IF(Table1[Leaving Date]&gt;42643,7000,IF(Table1[Leaving Date]&gt;42551,6000,IF(Table1[Leaving Date]&gt;42460,5000,IF(Table1[Leaving Date]&gt;42369,4000,IF(Table1[Leaving Date]&gt;42277,3000,IF(Table1[Leaving Date]&gt;42185,2000,IF(Table1[Leaving Date]&gt;42094,1000))))))))</f>
        <v>0</v>
      </c>
      <c r="EK56" s="44" t="e">
        <f>VLOOKUP(Table1[Reason for Leaving],Lists!$T$2:$U$15,2,FALSE)</f>
        <v>#N/A</v>
      </c>
      <c r="EL56" s="44" t="e">
        <f>SUM(Table1[Data Leavers Date]+Table1[Data Move On])</f>
        <v>#N/A</v>
      </c>
      <c r="EM56" s="44" t="b">
        <f>IF(Table1[Registered with GP2]="Yes",1,IF(Table1[Registered with GP2]="No",0,IF(Table1[Registered with GP]="Yes",1,IF(Table1[Registered with GP]="No",0))))</f>
        <v>0</v>
      </c>
      <c r="EN56" s="44">
        <f>SUM(Table1[Data Leavers Date]+Table1[Data GP End])</f>
        <v>0</v>
      </c>
      <c r="EO56" s="44" t="str">
        <f>IF(Table1[EET2]="NEET",1,IF(Table1[EET2]="Employment",2,IF(Table1[EET2]="Education",2,IF(Table1[EET2]="Training",2,IF(Table1[EET2]="Retired",3,IF(Table1[EET]="NEET",1,IF(Table1[EET]="Employment",2,IF(Table1[EET]="Education",2,IF(Table1[EET]="Training",2,IF(Table1[EET]="Retired",3,""))))))))))</f>
        <v/>
      </c>
      <c r="EP56" s="44" t="e">
        <f>+Table1[[#This Row],[Data Leavers Date]]+Table1[[#This Row],[Data EET End]]</f>
        <v>#VALUE!</v>
      </c>
      <c r="EQ56" s="44">
        <f>IF(Table1[Exit Form Received]="Yes",1,0)</f>
        <v>0</v>
      </c>
      <c r="ER56" s="44">
        <f>+Table1[[#This Row],[Data Leavers Date]]+Table1[[#This Row],[Data Exit Forms]]</f>
        <v>0</v>
      </c>
      <c r="ES56" s="44" t="str">
        <f>IF(Table1[Data Leavers Date]=1000,SUM(Table1[Leaving Date]-Table1[Start Date]),"")</f>
        <v/>
      </c>
      <c r="ET56" s="44" t="str">
        <f>IF(Table1[Data Leavers Date]=2000,SUM(Table1[Leaving Date]-Table1[Start Date]),"")</f>
        <v/>
      </c>
      <c r="EU56" s="44" t="str">
        <f>IF(Table1[Data Leavers Date]=3000,SUM(Table1[Leaving Date]-Table1[Start Date]),"")</f>
        <v/>
      </c>
      <c r="EV56" s="44" t="str">
        <f>IF(Table1[Data Leavers Date]=4000,SUM(Table1[Leaving Date]-Table1[Start Date]),"")</f>
        <v/>
      </c>
      <c r="EW56" s="44" t="str">
        <f>IF(Table1[Data Leavers Date]=5000,SUM(Table1[Leaving Date]-Table1[Start Date]),"")</f>
        <v/>
      </c>
      <c r="EX56" s="44" t="str">
        <f>IF(Table1[Data Leavers Date]=6000,SUM(Table1[Leaving Date]-Table1[Start Date]),"")</f>
        <v/>
      </c>
      <c r="EY56" s="44" t="str">
        <f>IF(Table1[Data Leavers Date]=7000,SUM(Table1[Leaving Date]-Table1[Start Date]),"")</f>
        <v/>
      </c>
      <c r="EZ56" s="44" t="str">
        <f>IF(Table1[Data Leavers Date]=8000,SUM(Table1[Leaving Date]-Table1[Start Date]),"")</f>
        <v/>
      </c>
      <c r="FA56" s="44" t="str">
        <f>IF(Table1[Date of Initial Assessment]="","",IF(AND(Table1[Start Date]&gt;42094,Table1[Start Date]&lt;42461),Table1[Motivation and Taking Responsibility],""))</f>
        <v/>
      </c>
      <c r="FB56" s="44" t="str">
        <f>IF(Table1[Date of Initial Assessment]="","",IF(AND(Table1[Start Date]&gt;42094,Table1[Start Date]&lt;42461),Table1[Self-Care and Living Skills],""))</f>
        <v/>
      </c>
      <c r="FC56" s="44" t="str">
        <f>IF(Table1[Date of Initial Assessment]="","",IF(AND(Table1[Start Date]&gt;42094,Table1[Start Date]&lt;42461),Table1[Managing Money and Personal Administration],""))</f>
        <v/>
      </c>
      <c r="FD56" s="44" t="str">
        <f>IF(Table1[Date of Initial Assessment]="","",IF(AND(Table1[Start Date]&gt;42094,Table1[Start Date]&lt;42461),Table1[Social Networks and Relationships],""))</f>
        <v/>
      </c>
      <c r="FE56" s="44" t="str">
        <f>IF(Table1[Date of Initial Assessment]="","",IF(AND(Table1[Start Date]&gt;42094,Table1[Start Date]&lt;42461),Table1[Drug and Alcohol Misuse],""))</f>
        <v/>
      </c>
      <c r="FF56" s="44" t="str">
        <f>IF(Table1[Date of Initial Assessment]="","",IF(AND(Table1[Start Date]&gt;42094,Table1[Start Date]&lt;42461),Table1[Physical Health],""))</f>
        <v/>
      </c>
      <c r="FG56" s="44" t="str">
        <f>IF(Table1[Date of Initial Assessment]="","",IF(AND(Table1[Start Date]&gt;42094,Table1[Start Date]&lt;42461),Table1[Emotional and Mental Health],""))</f>
        <v/>
      </c>
      <c r="FH56" s="44" t="str">
        <f>IF(Table1[Date of Initial Assessment]="","",IF(AND(Table1[Start Date]&gt;42094,Table1[Start Date]&lt;42461),Table1[Meaningful Use of Time],""))</f>
        <v/>
      </c>
      <c r="FI56" s="44" t="str">
        <f>IF(Table1[Date of Initial Assessment]="","",IF(AND(Table1[Start Date]&gt;42094,Table1[Start Date]&lt;42461),Table1[Managing Tenancy and Accommodation],""))</f>
        <v/>
      </c>
      <c r="FJ56" s="44" t="str">
        <f>IF(Table1[Date of Initial Assessment]="","",IF(AND(Table1[Start Date]&gt;42094,Table1[Start Date]&lt;42461),Table1[Offending],""))</f>
        <v/>
      </c>
      <c r="FK56" s="44" t="str">
        <f>IF(Table1[Leaving Date]="","",IF(Table1[Date of Initial Assessment]="","",IF(AND(Table1[Leaving Date]&gt;42094,Table1[Leaving Date]&lt;42461),IF(Table1[Date of Last Assessment]="",Table1[Motivation and Taking Responsibility],Table1[Motivation and Taking Responsibility2]),"")))</f>
        <v/>
      </c>
      <c r="FL56" s="44" t="str">
        <f>IF(Table1[Leaving Date]="","",IF(Table1[Date of Initial Assessment]="","",IF(AND(Table1[Leaving Date]&gt;42094,Table1[Leaving Date]&lt;42461),IF(Table1[Date of Last Assessment]="",Table1[Self-Care and Living Skills],Table1[Self-Care and Living Skills2]),"")))</f>
        <v/>
      </c>
      <c r="FM56" s="44" t="str">
        <f>IF(Table1[Leaving Date]="","",IF(Table1[Date of Initial Assessment]="","",IF(AND(Table1[Leaving Date]&gt;42094,Table1[Leaving Date]&lt;42461),IF(Table1[Date of Last Assessment]="",Table1[Managing Money and Personal Administration],Table1[Managing Money and Personal Administration2]),"")))</f>
        <v/>
      </c>
      <c r="FN56" s="44" t="str">
        <f>IF(Table1[Leaving Date]="","",IF(Table1[Date of Initial Assessment]="","",IF(AND(Table1[Leaving Date]&gt;42094,Table1[Leaving Date]&lt;42461),IF(Table1[Date of Last Assessment]="",Table1[Social Networks and Relationships],Table1[Social Networks and Relationships2]),"")))</f>
        <v/>
      </c>
      <c r="FO56" s="44" t="str">
        <f>IF(Table1[Leaving Date]="","",IF(Table1[Date of Initial Assessment]="","",IF(AND(Table1[Leaving Date]&gt;42094,Table1[Leaving Date]&lt;42461),IF(Table1[Date of Last Assessment]="",Table1[Drug and Alcohol Misuse],Table1[Drug and Alcohol Misuse2]),"")))</f>
        <v/>
      </c>
      <c r="FP56" s="44" t="str">
        <f>IF(Table1[Leaving Date]="","",IF(Table1[Date of Initial Assessment]="","",IF(AND(Table1[Leaving Date]&gt;42094,Table1[Leaving Date]&lt;42461),IF(Table1[Date of Last Assessment]="",Table1[Physical Health],Table1[Physical Health2]),"")))</f>
        <v/>
      </c>
      <c r="FQ56" s="44" t="str">
        <f>IF(Table1[Leaving Date]="","",IF(Table1[Date of Initial Assessment]="","",IF(AND(Table1[Leaving Date]&gt;42094,Table1[Leaving Date]&lt;42461),IF(Table1[Date of Last Assessment]="",Table1[Emotional and Mental Health],Table1[Emotional and Mental Health2]),"")))</f>
        <v/>
      </c>
      <c r="FR56" s="44" t="str">
        <f>IF(Table1[Leaving Date]="","",IF(Table1[Date of Initial Assessment]="","",IF(AND(Table1[Leaving Date]&gt;42094,Table1[Leaving Date]&lt;42461),IF(Table1[Date of Last Assessment]="",Table1[Meaningful Use of Time],Table1[Meaningful Use of Time2]),"")))</f>
        <v/>
      </c>
      <c r="FS56" s="44" t="str">
        <f>IF(Table1[Leaving Date]="","",IF(Table1[Date of Initial Assessment]="","",IF(AND(Table1[Leaving Date]&gt;42094,Table1[Leaving Date]&lt;42461),IF(Table1[Date of Last Assessment]="",Table1[Managing Tenancy and Accommodation],Table1[Managing Tenancy and Accommodation2]),"")))</f>
        <v/>
      </c>
      <c r="FT56" s="44" t="str">
        <f>IF(Table1[Leaving Date]="","",IF(Table1[Date of Initial Assessment]="","",IF(AND(Table1[Leaving Date]&gt;42094,Table1[Leaving Date]&lt;42461),IF(Table1[Date of Last Assessment]="",Table1[Offending],Table1[Offending2]),"")))</f>
        <v/>
      </c>
      <c r="FU56" s="44" t="str">
        <f>IF(Table1[Date of Initial Assessment]="","",IF(AND(Table1[Start Date]&gt;42460,Table1[Start Date]&lt;42826),Table1[Motivation and Taking Responsibility],""))</f>
        <v/>
      </c>
      <c r="FV56" s="44" t="str">
        <f>IF(Table1[Date of Initial Assessment]="","",IF(AND(Table1[Start Date]&gt;42460,Table1[Start Date]&lt;42826),Table1[Self-Care and Living Skills],""))</f>
        <v/>
      </c>
      <c r="FW56" s="44" t="str">
        <f>IF(Table1[Date of Initial Assessment]="","",IF(AND(Table1[Start Date]&gt;42460,Table1[Start Date]&lt;42826),Table1[Managing Money and Personal Administration],""))</f>
        <v/>
      </c>
      <c r="FX56" s="44" t="str">
        <f>IF(Table1[Date of Initial Assessment]="","",IF(AND(Table1[Start Date]&gt;42460,Table1[Start Date]&lt;42826),Table1[Social Networks and Relationships],""))</f>
        <v/>
      </c>
      <c r="FY56" s="44" t="str">
        <f>IF(Table1[Date of Initial Assessment]="","",IF(AND(Table1[Start Date]&gt;42460,Table1[Start Date]&lt;42826),Table1[Drug and Alcohol Misuse],""))</f>
        <v/>
      </c>
      <c r="FZ56" s="44" t="str">
        <f>IF(Table1[Date of Initial Assessment]="","",IF(AND(Table1[Start Date]&gt;42460,Table1[Start Date]&lt;42826),Table1[Physical Health],""))</f>
        <v/>
      </c>
      <c r="GA56" s="44" t="str">
        <f>IF(Table1[Date of Initial Assessment]="","",IF(AND(Table1[Start Date]&gt;42460,Table1[Start Date]&lt;42826),Table1[Emotional and Mental Health],""))</f>
        <v/>
      </c>
      <c r="GB56" s="44" t="str">
        <f>IF(Table1[Date of Initial Assessment]="","",IF(AND(Table1[Start Date]&gt;42460,Table1[Start Date]&lt;42826),Table1[Meaningful Use of Time],""))</f>
        <v/>
      </c>
      <c r="GC56" s="44" t="str">
        <f>IF(Table1[Date of Initial Assessment]="","",IF(AND(Table1[Start Date]&gt;42460,Table1[Start Date]&lt;42826),Table1[Managing Tenancy and Accommodation],""))</f>
        <v/>
      </c>
      <c r="GD56" s="44" t="str">
        <f>IF(Table1[Date of Initial Assessment]="","",IF(AND(Table1[Start Date]&gt;42460,Table1[Start Date]&lt;42826),Table1[Offending],""))</f>
        <v/>
      </c>
      <c r="GE56" s="44" t="str">
        <f>IF(Table1[Leaving Date]="","",IF(AND(Table1[Leaving Date]&gt;42460,Table1[Leaving Date]&lt;42826),IF(Table1[Date of Last Assessment]="",Table1[Motivation and Taking Responsibility],Table1[Motivation and Taking Responsibility2]),""))</f>
        <v/>
      </c>
      <c r="GF56" s="44" t="str">
        <f>IF(Table1[Leaving Date]="","",IF(AND(Table1[Leaving Date]&gt;42460,Table1[Leaving Date]&lt;42826),IF(Table1[Date of Last Assessment]="",Table1[Self-Care and Living Skills],Table1[Self-Care and Living Skills2]),""))</f>
        <v/>
      </c>
      <c r="GG56" s="44" t="str">
        <f>IF(Table1[Leaving Date]="","",IF(AND(Table1[Leaving Date]&gt;42460,Table1[Leaving Date]&lt;42826),IF(Table1[Date of Last Assessment]="",Table1[Managing Money and Personal Administration],Table1[Managing Money and Personal Administration2]),""))</f>
        <v/>
      </c>
      <c r="GH56" s="44" t="str">
        <f>IF(Table1[Leaving Date]="","",IF(AND(Table1[Leaving Date]&gt;42460,Table1[Leaving Date]&lt;42826),IF(Table1[Date of Last Assessment]="",Table1[Social Networks and Relationships],Table1[Social Networks and Relationships2]),""))</f>
        <v/>
      </c>
      <c r="GI56" s="44" t="str">
        <f>IF(Table1[Leaving Date]="","",IF(AND(Table1[Leaving Date]&gt;42460,Table1[Leaving Date]&lt;42826),IF(Table1[Date of Last Assessment]="",Table1[Drug and Alcohol Misuse],Table1[Drug and Alcohol Misuse2]),""))</f>
        <v/>
      </c>
      <c r="GJ56" s="44" t="str">
        <f>IF(Table1[Leaving Date]="","",IF(AND(Table1[Leaving Date]&gt;42460,Table1[Leaving Date]&lt;42826),IF(Table1[Date of Last Assessment]="",Table1[Physical Health],Table1[Physical Health2]),""))</f>
        <v/>
      </c>
      <c r="GK56" s="44" t="str">
        <f>IF(Table1[Leaving Date]="","",IF(AND(Table1[Leaving Date]&gt;42460,Table1[Leaving Date]&lt;42826),IF(Table1[Date of Last Assessment]="",Table1[Emotional and Mental Health],Table1[Emotional and Mental Health2]),""))</f>
        <v/>
      </c>
      <c r="GL56" s="44" t="str">
        <f>IF(Table1[Leaving Date]="","",IF(AND(Table1[Leaving Date]&gt;42460,Table1[Leaving Date]&lt;42826),IF(Table1[Date of Last Assessment]="",Table1[Meaningful Use of Time],Table1[Meaningful Use of Time2]),""))</f>
        <v/>
      </c>
      <c r="GM56" s="44" t="str">
        <f>IF(Table1[Leaving Date]="","",IF(AND(Table1[Leaving Date]&gt;42460,Table1[Leaving Date]&lt;42826),IF(Table1[Date of Last Assessment]="",Table1[Managing Tenancy and Accommodation],Table1[Managing Tenancy and Accommodation2]),""))</f>
        <v/>
      </c>
      <c r="GN56" s="44" t="str">
        <f>IF(Table1[Leaving Date]="","",IF(AND(Table1[Leaving Date]&gt;42460,Table1[Leaving Date]&lt;42826),IF(Table1[Date of Last Assessment]="",Table1[Offending],Table1[Offending2]),""))</f>
        <v/>
      </c>
    </row>
    <row r="57" spans="2:196" ht="20.100000000000001" customHeight="1" x14ac:dyDescent="0.2">
      <c r="B57" s="86">
        <f>+'Service Data'!$C$5:$C$5</f>
        <v>0</v>
      </c>
      <c r="C57" s="86"/>
      <c r="D57" s="86"/>
      <c r="E57" s="86"/>
      <c r="F57" s="86"/>
      <c r="G57" s="86"/>
      <c r="H57" s="6"/>
      <c r="I57" s="99" t="str">
        <f ca="1">IF(Table1[[#This Row],[Date of Birth]]="","",SUM(TODAY()-Table1[[#This Row],[Date of Birth]])/365)</f>
        <v/>
      </c>
      <c r="L57" s="86"/>
      <c r="M57" s="77"/>
      <c r="N57" s="86"/>
      <c r="O57" s="86"/>
      <c r="P57" s="91"/>
      <c r="Q57" s="86"/>
      <c r="R57" s="77"/>
      <c r="S57" s="77"/>
      <c r="T57" s="68"/>
      <c r="U57" s="68"/>
      <c r="V57" s="67"/>
      <c r="W57" s="67"/>
      <c r="X57" s="67"/>
      <c r="Y57" s="67"/>
      <c r="Z57" s="67"/>
      <c r="AA57" s="67"/>
      <c r="AB57" s="67"/>
      <c r="AC57" s="67"/>
      <c r="AD57" s="67"/>
      <c r="AE57" s="67"/>
      <c r="AF57" s="67"/>
      <c r="AG57" s="67"/>
      <c r="AH57" s="67"/>
      <c r="AI57" s="67"/>
      <c r="AJ57" s="67"/>
      <c r="AK57" s="67"/>
      <c r="AL57" s="67"/>
      <c r="AM57" s="67"/>
      <c r="AN57" s="77"/>
      <c r="AO57" s="76"/>
      <c r="AP57" s="77"/>
      <c r="AQ57" s="76"/>
      <c r="AR57" s="76"/>
      <c r="AS57" s="76"/>
      <c r="AT57" s="76"/>
      <c r="AU57" s="76"/>
      <c r="AV57" s="77"/>
      <c r="AW57" s="76"/>
      <c r="AX57" s="77"/>
      <c r="AY57" s="76"/>
      <c r="AZ57" s="76"/>
      <c r="BA57" s="76"/>
      <c r="BB57" s="76"/>
      <c r="BC57" s="76"/>
      <c r="BD57" s="77"/>
      <c r="BE57" s="76"/>
      <c r="BF57" s="77"/>
      <c r="BG57" s="76"/>
      <c r="BH57" s="76"/>
      <c r="BI57" s="76"/>
      <c r="BJ57" s="76"/>
      <c r="BK57" s="76"/>
      <c r="BL57" s="77"/>
      <c r="BM57" s="76"/>
      <c r="BN57" s="77"/>
      <c r="BO57" s="76"/>
      <c r="BP57" s="76"/>
      <c r="BQ57" s="76"/>
      <c r="BR57" s="76"/>
      <c r="BS57" s="76"/>
      <c r="BT57" s="77"/>
      <c r="BU57" s="76"/>
      <c r="BV57" s="77"/>
      <c r="BW57" s="76"/>
      <c r="BX57" s="76"/>
      <c r="BY57" s="76"/>
      <c r="BZ57" s="76"/>
      <c r="CA57" s="76"/>
      <c r="CB57" s="77"/>
      <c r="CC57" s="76"/>
      <c r="CD57" s="77"/>
      <c r="CE57" s="76"/>
      <c r="CF57" s="76"/>
      <c r="CG57" s="76"/>
      <c r="CH57" s="76"/>
      <c r="CI57" s="76"/>
      <c r="CJ57" s="77"/>
      <c r="CK57" s="76"/>
      <c r="CL57" s="77"/>
      <c r="CM57" s="76"/>
      <c r="CN57" s="76"/>
      <c r="CO57" s="76"/>
      <c r="CP57" s="76"/>
      <c r="CQ57" s="76"/>
      <c r="CR57" s="78" t="str">
        <f t="shared" si="15"/>
        <v/>
      </c>
      <c r="CS57" s="79" t="str">
        <f t="shared" si="16"/>
        <v/>
      </c>
      <c r="CT57" s="79" t="str">
        <f t="shared" si="17"/>
        <v/>
      </c>
      <c r="CU57" s="79" t="str">
        <f t="shared" si="18"/>
        <v/>
      </c>
      <c r="CV57" s="79" t="str">
        <f t="shared" si="19"/>
        <v/>
      </c>
      <c r="CW57" s="79" t="str">
        <f t="shared" si="20"/>
        <v/>
      </c>
      <c r="CX57" s="79" t="str">
        <f t="shared" si="21"/>
        <v/>
      </c>
      <c r="CY57" s="79" t="str">
        <f t="shared" si="22"/>
        <v/>
      </c>
      <c r="CZ57" s="79" t="str">
        <f t="shared" si="23"/>
        <v/>
      </c>
      <c r="DA57" s="79" t="str">
        <f t="shared" si="24"/>
        <v/>
      </c>
      <c r="DB57" s="79" t="str">
        <f t="shared" si="25"/>
        <v/>
      </c>
      <c r="DC57" s="79" t="str">
        <f t="shared" si="26"/>
        <v/>
      </c>
      <c r="DD57" s="79" t="str">
        <f t="shared" si="27"/>
        <v/>
      </c>
      <c r="DE57" s="79" t="str">
        <f t="shared" si="28"/>
        <v/>
      </c>
      <c r="DF57" s="79" t="str">
        <f t="shared" si="29"/>
        <v/>
      </c>
      <c r="DG57" s="79" t="str">
        <f t="shared" si="30"/>
        <v/>
      </c>
      <c r="DH57" s="76"/>
      <c r="DI57" s="78"/>
      <c r="DJ57" s="76"/>
      <c r="DK57" s="77"/>
      <c r="DL57" s="77"/>
      <c r="DM57" s="77"/>
      <c r="DN57" s="80"/>
      <c r="DO57" s="80"/>
      <c r="DP57" s="92" t="str">
        <f>IF(Table1[Start Date]="","",IF(Table1[Start Date]&gt;42185,"",IF(AND(Table1[Leaving Date]&gt;1,Table1[Leaving Date]&lt;42095),"",1)))</f>
        <v/>
      </c>
      <c r="DQ57" s="92" t="str">
        <f>IF(Table1[Start Date]="","",IF(Table1[Start Date]&gt;42277,"",IF(AND(Table1[Leaving Date]&gt;1,Table1[Leaving Date]&lt;42186),"",1)))</f>
        <v/>
      </c>
      <c r="DR57" s="92" t="str">
        <f>IF(Table1[Start Date]="","",IF(Table1[Start Date]&gt;42369,"",IF(AND(Table1[Leaving Date]&gt;1,Table1[Leaving Date]&lt;42278),"",1)))</f>
        <v/>
      </c>
      <c r="DS57" s="92" t="str">
        <f>IF(Table1[Start Date]="","",IF(Table1[Start Date]&gt;42460,"",IF(AND(Table1[Leaving Date]&gt;1,Table1[Leaving Date]&lt;42370),"",1)))</f>
        <v/>
      </c>
      <c r="DT57" s="92" t="str">
        <f>IF(Table1[Start Date]="","",IF(Table1[Start Date]&gt;42551,"",IF(AND(Table1[Leaving Date]&gt;1,Table1[Leaving Date]&lt;42461),"",1)))</f>
        <v/>
      </c>
      <c r="DU57" s="92" t="str">
        <f>IF(Table1[Start Date]="","",IF(Table1[Start Date]&gt;42643,"",IF(AND(Table1[Leaving Date]&gt;1,Table1[Leaving Date]&lt;42552),"",1)))</f>
        <v/>
      </c>
      <c r="DV57" s="92" t="str">
        <f>IF(Table1[Start Date]="","",IF(Table1[Start Date]&gt;42735,"",IF(AND(Table1[Leaving Date]&gt;1,Table1[Leaving Date]&lt;42644),"",1)))</f>
        <v/>
      </c>
      <c r="DW57" s="92" t="str">
        <f>IF(Table1[Start Date]="","",IF(Table1[Start Date]&gt;42825,"",IF(AND(Table1[Leaving Date]&gt;1,Table1[Leaving Date]&lt;42736),"",1)))</f>
        <v/>
      </c>
      <c r="DX57"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57" s="44" t="e">
        <f>VLOOKUP(Table1[Referral Source],Lists!$G$2:$H$20,2,FALSE)</f>
        <v>#N/A</v>
      </c>
      <c r="DZ57" s="93" t="e">
        <f>SUM(Table1[Data Referral Quarter]+Table1[Data Referral Source])</f>
        <v>#N/A</v>
      </c>
      <c r="EA57" s="44" t="b">
        <f>IF(Table1[Referral Decision]="Accepted",100,IF(Table1[Referral Decision]="Rejected by Provider",200,IF(Table1[Referral Decision]="Rejected by Applicant",300)))</f>
        <v>0</v>
      </c>
      <c r="EB57" s="44">
        <f>SUM(Table1[Data Referral Quarter]+Table1[Data Referral Decision])</f>
        <v>0</v>
      </c>
      <c r="EC57" s="44" t="b">
        <f>IF(Table1[Start Date]&gt;42735,8000,IF(Table1[Start Date]&gt;42643,7000,IF(Table1[Start Date]&gt;42551,6000,IF(Table1[Start Date]&gt;42460,5000,IF(Table1[Start Date]&gt;42369,4000,IF(Table1[Start Date]&gt;42277,3000,IF(Table1[Start Date]&gt;42185,2000,IF(Table1[Start Date]&gt;42094,1000))))))))</f>
        <v>0</v>
      </c>
      <c r="ED57" s="44" t="str">
        <f>IF(Table1[Start Date]="","",IF(Table1[Current Local Authority]="Swindon",1,"2"))</f>
        <v/>
      </c>
      <c r="EE57" s="44" t="e">
        <f>SUM(Table1[Data Start Date]+Table1[Data Local Authority])</f>
        <v>#VALUE!</v>
      </c>
      <c r="EF57" s="44">
        <f>IF(Table1[Registered with GP]="Yes",1,0)</f>
        <v>0</v>
      </c>
      <c r="EG57" s="44">
        <f>SUM(Table1[Data Start Date]+Table1[Data GP Start])</f>
        <v>0</v>
      </c>
      <c r="EH57" s="44" t="str">
        <f>IF(Table1[EET]="NEET",1,IF(Table1[EET]="Education",2,IF(Table1[EET]="Employment",2,IF(Table1[EET]="Training",2,IF(Table1[EET]="Retired",3,"")))))</f>
        <v/>
      </c>
      <c r="EI57" s="44" t="e">
        <f>Table1[Data Start Date]+Table1[Data EET Start]</f>
        <v>#VALUE!</v>
      </c>
      <c r="EJ57" s="44" t="b">
        <f>IF(Table1[Leaving Date]&gt;42735,8000,IF(Table1[Leaving Date]&gt;42643,7000,IF(Table1[Leaving Date]&gt;42551,6000,IF(Table1[Leaving Date]&gt;42460,5000,IF(Table1[Leaving Date]&gt;42369,4000,IF(Table1[Leaving Date]&gt;42277,3000,IF(Table1[Leaving Date]&gt;42185,2000,IF(Table1[Leaving Date]&gt;42094,1000))))))))</f>
        <v>0</v>
      </c>
      <c r="EK57" s="44" t="e">
        <f>VLOOKUP(Table1[Reason for Leaving],Lists!$T$2:$U$15,2,FALSE)</f>
        <v>#N/A</v>
      </c>
      <c r="EL57" s="44" t="e">
        <f>SUM(Table1[Data Leavers Date]+Table1[Data Move On])</f>
        <v>#N/A</v>
      </c>
      <c r="EM57" s="44" t="b">
        <f>IF(Table1[Registered with GP2]="Yes",1,IF(Table1[Registered with GP2]="No",0,IF(Table1[Registered with GP]="Yes",1,IF(Table1[Registered with GP]="No",0))))</f>
        <v>0</v>
      </c>
      <c r="EN57" s="44">
        <f>SUM(Table1[Data Leavers Date]+Table1[Data GP End])</f>
        <v>0</v>
      </c>
      <c r="EO57" s="44" t="str">
        <f>IF(Table1[EET2]="NEET",1,IF(Table1[EET2]="Employment",2,IF(Table1[EET2]="Education",2,IF(Table1[EET2]="Training",2,IF(Table1[EET2]="Retired",3,IF(Table1[EET]="NEET",1,IF(Table1[EET]="Employment",2,IF(Table1[EET]="Education",2,IF(Table1[EET]="Training",2,IF(Table1[EET]="Retired",3,""))))))))))</f>
        <v/>
      </c>
      <c r="EP57" s="44" t="e">
        <f>+Table1[[#This Row],[Data Leavers Date]]+Table1[[#This Row],[Data EET End]]</f>
        <v>#VALUE!</v>
      </c>
      <c r="EQ57" s="44">
        <f>IF(Table1[Exit Form Received]="Yes",1,0)</f>
        <v>0</v>
      </c>
      <c r="ER57" s="44">
        <f>+Table1[[#This Row],[Data Leavers Date]]+Table1[[#This Row],[Data Exit Forms]]</f>
        <v>0</v>
      </c>
      <c r="ES57" s="44" t="str">
        <f>IF(Table1[Data Leavers Date]=1000,SUM(Table1[Leaving Date]-Table1[Start Date]),"")</f>
        <v/>
      </c>
      <c r="ET57" s="44" t="str">
        <f>IF(Table1[Data Leavers Date]=2000,SUM(Table1[Leaving Date]-Table1[Start Date]),"")</f>
        <v/>
      </c>
      <c r="EU57" s="44" t="str">
        <f>IF(Table1[Data Leavers Date]=3000,SUM(Table1[Leaving Date]-Table1[Start Date]),"")</f>
        <v/>
      </c>
      <c r="EV57" s="44" t="str">
        <f>IF(Table1[Data Leavers Date]=4000,SUM(Table1[Leaving Date]-Table1[Start Date]),"")</f>
        <v/>
      </c>
      <c r="EW57" s="44" t="str">
        <f>IF(Table1[Data Leavers Date]=5000,SUM(Table1[Leaving Date]-Table1[Start Date]),"")</f>
        <v/>
      </c>
      <c r="EX57" s="44" t="str">
        <f>IF(Table1[Data Leavers Date]=6000,SUM(Table1[Leaving Date]-Table1[Start Date]),"")</f>
        <v/>
      </c>
      <c r="EY57" s="44" t="str">
        <f>IF(Table1[Data Leavers Date]=7000,SUM(Table1[Leaving Date]-Table1[Start Date]),"")</f>
        <v/>
      </c>
      <c r="EZ57" s="44" t="str">
        <f>IF(Table1[Data Leavers Date]=8000,SUM(Table1[Leaving Date]-Table1[Start Date]),"")</f>
        <v/>
      </c>
      <c r="FA57" s="44" t="str">
        <f>IF(Table1[Date of Initial Assessment]="","",IF(AND(Table1[Start Date]&gt;42094,Table1[Start Date]&lt;42461),Table1[Motivation and Taking Responsibility],""))</f>
        <v/>
      </c>
      <c r="FB57" s="44" t="str">
        <f>IF(Table1[Date of Initial Assessment]="","",IF(AND(Table1[Start Date]&gt;42094,Table1[Start Date]&lt;42461),Table1[Self-Care and Living Skills],""))</f>
        <v/>
      </c>
      <c r="FC57" s="44" t="str">
        <f>IF(Table1[Date of Initial Assessment]="","",IF(AND(Table1[Start Date]&gt;42094,Table1[Start Date]&lt;42461),Table1[Managing Money and Personal Administration],""))</f>
        <v/>
      </c>
      <c r="FD57" s="44" t="str">
        <f>IF(Table1[Date of Initial Assessment]="","",IF(AND(Table1[Start Date]&gt;42094,Table1[Start Date]&lt;42461),Table1[Social Networks and Relationships],""))</f>
        <v/>
      </c>
      <c r="FE57" s="44" t="str">
        <f>IF(Table1[Date of Initial Assessment]="","",IF(AND(Table1[Start Date]&gt;42094,Table1[Start Date]&lt;42461),Table1[Drug and Alcohol Misuse],""))</f>
        <v/>
      </c>
      <c r="FF57" s="44" t="str">
        <f>IF(Table1[Date of Initial Assessment]="","",IF(AND(Table1[Start Date]&gt;42094,Table1[Start Date]&lt;42461),Table1[Physical Health],""))</f>
        <v/>
      </c>
      <c r="FG57" s="44" t="str">
        <f>IF(Table1[Date of Initial Assessment]="","",IF(AND(Table1[Start Date]&gt;42094,Table1[Start Date]&lt;42461),Table1[Emotional and Mental Health],""))</f>
        <v/>
      </c>
      <c r="FH57" s="44" t="str">
        <f>IF(Table1[Date of Initial Assessment]="","",IF(AND(Table1[Start Date]&gt;42094,Table1[Start Date]&lt;42461),Table1[Meaningful Use of Time],""))</f>
        <v/>
      </c>
      <c r="FI57" s="44" t="str">
        <f>IF(Table1[Date of Initial Assessment]="","",IF(AND(Table1[Start Date]&gt;42094,Table1[Start Date]&lt;42461),Table1[Managing Tenancy and Accommodation],""))</f>
        <v/>
      </c>
      <c r="FJ57" s="44" t="str">
        <f>IF(Table1[Date of Initial Assessment]="","",IF(AND(Table1[Start Date]&gt;42094,Table1[Start Date]&lt;42461),Table1[Offending],""))</f>
        <v/>
      </c>
      <c r="FK57" s="44" t="str">
        <f>IF(Table1[Leaving Date]="","",IF(Table1[Date of Initial Assessment]="","",IF(AND(Table1[Leaving Date]&gt;42094,Table1[Leaving Date]&lt;42461),IF(Table1[Date of Last Assessment]="",Table1[Motivation and Taking Responsibility],Table1[Motivation and Taking Responsibility2]),"")))</f>
        <v/>
      </c>
      <c r="FL57" s="44" t="str">
        <f>IF(Table1[Leaving Date]="","",IF(Table1[Date of Initial Assessment]="","",IF(AND(Table1[Leaving Date]&gt;42094,Table1[Leaving Date]&lt;42461),IF(Table1[Date of Last Assessment]="",Table1[Self-Care and Living Skills],Table1[Self-Care and Living Skills2]),"")))</f>
        <v/>
      </c>
      <c r="FM57" s="44" t="str">
        <f>IF(Table1[Leaving Date]="","",IF(Table1[Date of Initial Assessment]="","",IF(AND(Table1[Leaving Date]&gt;42094,Table1[Leaving Date]&lt;42461),IF(Table1[Date of Last Assessment]="",Table1[Managing Money and Personal Administration],Table1[Managing Money and Personal Administration2]),"")))</f>
        <v/>
      </c>
      <c r="FN57" s="44" t="str">
        <f>IF(Table1[Leaving Date]="","",IF(Table1[Date of Initial Assessment]="","",IF(AND(Table1[Leaving Date]&gt;42094,Table1[Leaving Date]&lt;42461),IF(Table1[Date of Last Assessment]="",Table1[Social Networks and Relationships],Table1[Social Networks and Relationships2]),"")))</f>
        <v/>
      </c>
      <c r="FO57" s="44" t="str">
        <f>IF(Table1[Leaving Date]="","",IF(Table1[Date of Initial Assessment]="","",IF(AND(Table1[Leaving Date]&gt;42094,Table1[Leaving Date]&lt;42461),IF(Table1[Date of Last Assessment]="",Table1[Drug and Alcohol Misuse],Table1[Drug and Alcohol Misuse2]),"")))</f>
        <v/>
      </c>
      <c r="FP57" s="44" t="str">
        <f>IF(Table1[Leaving Date]="","",IF(Table1[Date of Initial Assessment]="","",IF(AND(Table1[Leaving Date]&gt;42094,Table1[Leaving Date]&lt;42461),IF(Table1[Date of Last Assessment]="",Table1[Physical Health],Table1[Physical Health2]),"")))</f>
        <v/>
      </c>
      <c r="FQ57" s="44" t="str">
        <f>IF(Table1[Leaving Date]="","",IF(Table1[Date of Initial Assessment]="","",IF(AND(Table1[Leaving Date]&gt;42094,Table1[Leaving Date]&lt;42461),IF(Table1[Date of Last Assessment]="",Table1[Emotional and Mental Health],Table1[Emotional and Mental Health2]),"")))</f>
        <v/>
      </c>
      <c r="FR57" s="44" t="str">
        <f>IF(Table1[Leaving Date]="","",IF(Table1[Date of Initial Assessment]="","",IF(AND(Table1[Leaving Date]&gt;42094,Table1[Leaving Date]&lt;42461),IF(Table1[Date of Last Assessment]="",Table1[Meaningful Use of Time],Table1[Meaningful Use of Time2]),"")))</f>
        <v/>
      </c>
      <c r="FS57" s="44" t="str">
        <f>IF(Table1[Leaving Date]="","",IF(Table1[Date of Initial Assessment]="","",IF(AND(Table1[Leaving Date]&gt;42094,Table1[Leaving Date]&lt;42461),IF(Table1[Date of Last Assessment]="",Table1[Managing Tenancy and Accommodation],Table1[Managing Tenancy and Accommodation2]),"")))</f>
        <v/>
      </c>
      <c r="FT57" s="44" t="str">
        <f>IF(Table1[Leaving Date]="","",IF(Table1[Date of Initial Assessment]="","",IF(AND(Table1[Leaving Date]&gt;42094,Table1[Leaving Date]&lt;42461),IF(Table1[Date of Last Assessment]="",Table1[Offending],Table1[Offending2]),"")))</f>
        <v/>
      </c>
      <c r="FU57" s="44" t="str">
        <f>IF(Table1[Date of Initial Assessment]="","",IF(AND(Table1[Start Date]&gt;42460,Table1[Start Date]&lt;42826),Table1[Motivation and Taking Responsibility],""))</f>
        <v/>
      </c>
      <c r="FV57" s="44" t="str">
        <f>IF(Table1[Date of Initial Assessment]="","",IF(AND(Table1[Start Date]&gt;42460,Table1[Start Date]&lt;42826),Table1[Self-Care and Living Skills],""))</f>
        <v/>
      </c>
      <c r="FW57" s="44" t="str">
        <f>IF(Table1[Date of Initial Assessment]="","",IF(AND(Table1[Start Date]&gt;42460,Table1[Start Date]&lt;42826),Table1[Managing Money and Personal Administration],""))</f>
        <v/>
      </c>
      <c r="FX57" s="44" t="str">
        <f>IF(Table1[Date of Initial Assessment]="","",IF(AND(Table1[Start Date]&gt;42460,Table1[Start Date]&lt;42826),Table1[Social Networks and Relationships],""))</f>
        <v/>
      </c>
      <c r="FY57" s="44" t="str">
        <f>IF(Table1[Date of Initial Assessment]="","",IF(AND(Table1[Start Date]&gt;42460,Table1[Start Date]&lt;42826),Table1[Drug and Alcohol Misuse],""))</f>
        <v/>
      </c>
      <c r="FZ57" s="44" t="str">
        <f>IF(Table1[Date of Initial Assessment]="","",IF(AND(Table1[Start Date]&gt;42460,Table1[Start Date]&lt;42826),Table1[Physical Health],""))</f>
        <v/>
      </c>
      <c r="GA57" s="44" t="str">
        <f>IF(Table1[Date of Initial Assessment]="","",IF(AND(Table1[Start Date]&gt;42460,Table1[Start Date]&lt;42826),Table1[Emotional and Mental Health],""))</f>
        <v/>
      </c>
      <c r="GB57" s="44" t="str">
        <f>IF(Table1[Date of Initial Assessment]="","",IF(AND(Table1[Start Date]&gt;42460,Table1[Start Date]&lt;42826),Table1[Meaningful Use of Time],""))</f>
        <v/>
      </c>
      <c r="GC57" s="44" t="str">
        <f>IF(Table1[Date of Initial Assessment]="","",IF(AND(Table1[Start Date]&gt;42460,Table1[Start Date]&lt;42826),Table1[Managing Tenancy and Accommodation],""))</f>
        <v/>
      </c>
      <c r="GD57" s="44" t="str">
        <f>IF(Table1[Date of Initial Assessment]="","",IF(AND(Table1[Start Date]&gt;42460,Table1[Start Date]&lt;42826),Table1[Offending],""))</f>
        <v/>
      </c>
      <c r="GE57" s="44" t="str">
        <f>IF(Table1[Leaving Date]="","",IF(AND(Table1[Leaving Date]&gt;42460,Table1[Leaving Date]&lt;42826),IF(Table1[Date of Last Assessment]="",Table1[Motivation and Taking Responsibility],Table1[Motivation and Taking Responsibility2]),""))</f>
        <v/>
      </c>
      <c r="GF57" s="44" t="str">
        <f>IF(Table1[Leaving Date]="","",IF(AND(Table1[Leaving Date]&gt;42460,Table1[Leaving Date]&lt;42826),IF(Table1[Date of Last Assessment]="",Table1[Self-Care and Living Skills],Table1[Self-Care and Living Skills2]),""))</f>
        <v/>
      </c>
      <c r="GG57" s="44" t="str">
        <f>IF(Table1[Leaving Date]="","",IF(AND(Table1[Leaving Date]&gt;42460,Table1[Leaving Date]&lt;42826),IF(Table1[Date of Last Assessment]="",Table1[Managing Money and Personal Administration],Table1[Managing Money and Personal Administration2]),""))</f>
        <v/>
      </c>
      <c r="GH57" s="44" t="str">
        <f>IF(Table1[Leaving Date]="","",IF(AND(Table1[Leaving Date]&gt;42460,Table1[Leaving Date]&lt;42826),IF(Table1[Date of Last Assessment]="",Table1[Social Networks and Relationships],Table1[Social Networks and Relationships2]),""))</f>
        <v/>
      </c>
      <c r="GI57" s="44" t="str">
        <f>IF(Table1[Leaving Date]="","",IF(AND(Table1[Leaving Date]&gt;42460,Table1[Leaving Date]&lt;42826),IF(Table1[Date of Last Assessment]="",Table1[Drug and Alcohol Misuse],Table1[Drug and Alcohol Misuse2]),""))</f>
        <v/>
      </c>
      <c r="GJ57" s="44" t="str">
        <f>IF(Table1[Leaving Date]="","",IF(AND(Table1[Leaving Date]&gt;42460,Table1[Leaving Date]&lt;42826),IF(Table1[Date of Last Assessment]="",Table1[Physical Health],Table1[Physical Health2]),""))</f>
        <v/>
      </c>
      <c r="GK57" s="44" t="str">
        <f>IF(Table1[Leaving Date]="","",IF(AND(Table1[Leaving Date]&gt;42460,Table1[Leaving Date]&lt;42826),IF(Table1[Date of Last Assessment]="",Table1[Emotional and Mental Health],Table1[Emotional and Mental Health2]),""))</f>
        <v/>
      </c>
      <c r="GL57" s="44" t="str">
        <f>IF(Table1[Leaving Date]="","",IF(AND(Table1[Leaving Date]&gt;42460,Table1[Leaving Date]&lt;42826),IF(Table1[Date of Last Assessment]="",Table1[Meaningful Use of Time],Table1[Meaningful Use of Time2]),""))</f>
        <v/>
      </c>
      <c r="GM57" s="44" t="str">
        <f>IF(Table1[Leaving Date]="","",IF(AND(Table1[Leaving Date]&gt;42460,Table1[Leaving Date]&lt;42826),IF(Table1[Date of Last Assessment]="",Table1[Managing Tenancy and Accommodation],Table1[Managing Tenancy and Accommodation2]),""))</f>
        <v/>
      </c>
      <c r="GN57" s="44" t="str">
        <f>IF(Table1[Leaving Date]="","",IF(AND(Table1[Leaving Date]&gt;42460,Table1[Leaving Date]&lt;42826),IF(Table1[Date of Last Assessment]="",Table1[Offending],Table1[Offending2]),""))</f>
        <v/>
      </c>
    </row>
    <row r="58" spans="2:196" ht="20.100000000000001" customHeight="1" x14ac:dyDescent="0.2">
      <c r="B58" s="86">
        <f>+'Service Data'!$C$5:$C$5</f>
        <v>0</v>
      </c>
      <c r="C58" s="86"/>
      <c r="D58" s="86"/>
      <c r="E58" s="86"/>
      <c r="F58" s="86"/>
      <c r="G58" s="86"/>
      <c r="H58" s="6"/>
      <c r="I58" s="99" t="str">
        <f ca="1">IF(Table1[[#This Row],[Date of Birth]]="","",SUM(TODAY()-Table1[[#This Row],[Date of Birth]])/365)</f>
        <v/>
      </c>
      <c r="L58" s="86"/>
      <c r="M58" s="77"/>
      <c r="N58" s="86"/>
      <c r="O58" s="86"/>
      <c r="P58" s="91"/>
      <c r="Q58" s="86"/>
      <c r="R58" s="77"/>
      <c r="S58" s="77"/>
      <c r="T58" s="68"/>
      <c r="U58" s="68"/>
      <c r="V58" s="67"/>
      <c r="W58" s="67"/>
      <c r="X58" s="67"/>
      <c r="Y58" s="67"/>
      <c r="Z58" s="67"/>
      <c r="AA58" s="67"/>
      <c r="AB58" s="67"/>
      <c r="AC58" s="67"/>
      <c r="AD58" s="67"/>
      <c r="AE58" s="67"/>
      <c r="AF58" s="67"/>
      <c r="AG58" s="67"/>
      <c r="AH58" s="67"/>
      <c r="AI58" s="67"/>
      <c r="AJ58" s="67"/>
      <c r="AK58" s="67"/>
      <c r="AL58" s="67"/>
      <c r="AM58" s="67"/>
      <c r="AN58" s="77"/>
      <c r="AO58" s="76"/>
      <c r="AP58" s="77"/>
      <c r="AQ58" s="76"/>
      <c r="AR58" s="76"/>
      <c r="AS58" s="76"/>
      <c r="AT58" s="76"/>
      <c r="AU58" s="76"/>
      <c r="AV58" s="77"/>
      <c r="AW58" s="76"/>
      <c r="AX58" s="77"/>
      <c r="AY58" s="76"/>
      <c r="AZ58" s="76"/>
      <c r="BA58" s="76"/>
      <c r="BB58" s="76"/>
      <c r="BC58" s="76"/>
      <c r="BD58" s="77"/>
      <c r="BE58" s="76"/>
      <c r="BF58" s="77"/>
      <c r="BG58" s="76"/>
      <c r="BH58" s="76"/>
      <c r="BI58" s="76"/>
      <c r="BJ58" s="76"/>
      <c r="BK58" s="76"/>
      <c r="BL58" s="77"/>
      <c r="BM58" s="76"/>
      <c r="BN58" s="77"/>
      <c r="BO58" s="76"/>
      <c r="BP58" s="76"/>
      <c r="BQ58" s="76"/>
      <c r="BR58" s="76"/>
      <c r="BS58" s="76"/>
      <c r="BT58" s="77"/>
      <c r="BU58" s="76"/>
      <c r="BV58" s="77"/>
      <c r="BW58" s="76"/>
      <c r="BX58" s="76"/>
      <c r="BY58" s="76"/>
      <c r="BZ58" s="76"/>
      <c r="CA58" s="76"/>
      <c r="CB58" s="77"/>
      <c r="CC58" s="76"/>
      <c r="CD58" s="77"/>
      <c r="CE58" s="76"/>
      <c r="CF58" s="76"/>
      <c r="CG58" s="76"/>
      <c r="CH58" s="76"/>
      <c r="CI58" s="76"/>
      <c r="CJ58" s="77"/>
      <c r="CK58" s="76"/>
      <c r="CL58" s="77"/>
      <c r="CM58" s="76"/>
      <c r="CN58" s="76"/>
      <c r="CO58" s="76"/>
      <c r="CP58" s="76"/>
      <c r="CQ58" s="76"/>
      <c r="CR58" s="78" t="str">
        <f t="shared" si="15"/>
        <v/>
      </c>
      <c r="CS58" s="79" t="str">
        <f t="shared" si="16"/>
        <v/>
      </c>
      <c r="CT58" s="79" t="str">
        <f t="shared" si="17"/>
        <v/>
      </c>
      <c r="CU58" s="79" t="str">
        <f t="shared" si="18"/>
        <v/>
      </c>
      <c r="CV58" s="79" t="str">
        <f t="shared" si="19"/>
        <v/>
      </c>
      <c r="CW58" s="79" t="str">
        <f t="shared" si="20"/>
        <v/>
      </c>
      <c r="CX58" s="79" t="str">
        <f t="shared" si="21"/>
        <v/>
      </c>
      <c r="CY58" s="79" t="str">
        <f t="shared" si="22"/>
        <v/>
      </c>
      <c r="CZ58" s="79" t="str">
        <f t="shared" si="23"/>
        <v/>
      </c>
      <c r="DA58" s="79" t="str">
        <f t="shared" si="24"/>
        <v/>
      </c>
      <c r="DB58" s="79" t="str">
        <f t="shared" si="25"/>
        <v/>
      </c>
      <c r="DC58" s="79" t="str">
        <f t="shared" si="26"/>
        <v/>
      </c>
      <c r="DD58" s="79" t="str">
        <f t="shared" si="27"/>
        <v/>
      </c>
      <c r="DE58" s="79" t="str">
        <f t="shared" si="28"/>
        <v/>
      </c>
      <c r="DF58" s="79" t="str">
        <f t="shared" si="29"/>
        <v/>
      </c>
      <c r="DG58" s="79" t="str">
        <f t="shared" si="30"/>
        <v/>
      </c>
      <c r="DH58" s="76"/>
      <c r="DI58" s="78"/>
      <c r="DJ58" s="76"/>
      <c r="DK58" s="77"/>
      <c r="DL58" s="77"/>
      <c r="DM58" s="77"/>
      <c r="DN58" s="80"/>
      <c r="DO58" s="80"/>
      <c r="DP58" s="92" t="str">
        <f>IF(Table1[Start Date]="","",IF(Table1[Start Date]&gt;42185,"",IF(AND(Table1[Leaving Date]&gt;1,Table1[Leaving Date]&lt;42095),"",1)))</f>
        <v/>
      </c>
      <c r="DQ58" s="92" t="str">
        <f>IF(Table1[Start Date]="","",IF(Table1[Start Date]&gt;42277,"",IF(AND(Table1[Leaving Date]&gt;1,Table1[Leaving Date]&lt;42186),"",1)))</f>
        <v/>
      </c>
      <c r="DR58" s="92" t="str">
        <f>IF(Table1[Start Date]="","",IF(Table1[Start Date]&gt;42369,"",IF(AND(Table1[Leaving Date]&gt;1,Table1[Leaving Date]&lt;42278),"",1)))</f>
        <v/>
      </c>
      <c r="DS58" s="92" t="str">
        <f>IF(Table1[Start Date]="","",IF(Table1[Start Date]&gt;42460,"",IF(AND(Table1[Leaving Date]&gt;1,Table1[Leaving Date]&lt;42370),"",1)))</f>
        <v/>
      </c>
      <c r="DT58" s="92" t="str">
        <f>IF(Table1[Start Date]="","",IF(Table1[Start Date]&gt;42551,"",IF(AND(Table1[Leaving Date]&gt;1,Table1[Leaving Date]&lt;42461),"",1)))</f>
        <v/>
      </c>
      <c r="DU58" s="92" t="str">
        <f>IF(Table1[Start Date]="","",IF(Table1[Start Date]&gt;42643,"",IF(AND(Table1[Leaving Date]&gt;1,Table1[Leaving Date]&lt;42552),"",1)))</f>
        <v/>
      </c>
      <c r="DV58" s="92" t="str">
        <f>IF(Table1[Start Date]="","",IF(Table1[Start Date]&gt;42735,"",IF(AND(Table1[Leaving Date]&gt;1,Table1[Leaving Date]&lt;42644),"",1)))</f>
        <v/>
      </c>
      <c r="DW58" s="92" t="str">
        <f>IF(Table1[Start Date]="","",IF(Table1[Start Date]&gt;42825,"",IF(AND(Table1[Leaving Date]&gt;1,Table1[Leaving Date]&lt;42736),"",1)))</f>
        <v/>
      </c>
      <c r="DX58"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58" s="44" t="e">
        <f>VLOOKUP(Table1[Referral Source],Lists!$G$2:$H$20,2,FALSE)</f>
        <v>#N/A</v>
      </c>
      <c r="DZ58" s="93" t="e">
        <f>SUM(Table1[Data Referral Quarter]+Table1[Data Referral Source])</f>
        <v>#N/A</v>
      </c>
      <c r="EA58" s="44" t="b">
        <f>IF(Table1[Referral Decision]="Accepted",100,IF(Table1[Referral Decision]="Rejected by Provider",200,IF(Table1[Referral Decision]="Rejected by Applicant",300)))</f>
        <v>0</v>
      </c>
      <c r="EB58" s="44">
        <f>SUM(Table1[Data Referral Quarter]+Table1[Data Referral Decision])</f>
        <v>0</v>
      </c>
      <c r="EC58" s="44" t="b">
        <f>IF(Table1[Start Date]&gt;42735,8000,IF(Table1[Start Date]&gt;42643,7000,IF(Table1[Start Date]&gt;42551,6000,IF(Table1[Start Date]&gt;42460,5000,IF(Table1[Start Date]&gt;42369,4000,IF(Table1[Start Date]&gt;42277,3000,IF(Table1[Start Date]&gt;42185,2000,IF(Table1[Start Date]&gt;42094,1000))))))))</f>
        <v>0</v>
      </c>
      <c r="ED58" s="44" t="str">
        <f>IF(Table1[Start Date]="","",IF(Table1[Current Local Authority]="Swindon",1,"2"))</f>
        <v/>
      </c>
      <c r="EE58" s="44" t="e">
        <f>SUM(Table1[Data Start Date]+Table1[Data Local Authority])</f>
        <v>#VALUE!</v>
      </c>
      <c r="EF58" s="44">
        <f>IF(Table1[Registered with GP]="Yes",1,0)</f>
        <v>0</v>
      </c>
      <c r="EG58" s="44">
        <f>SUM(Table1[Data Start Date]+Table1[Data GP Start])</f>
        <v>0</v>
      </c>
      <c r="EH58" s="44" t="str">
        <f>IF(Table1[EET]="NEET",1,IF(Table1[EET]="Education",2,IF(Table1[EET]="Employment",2,IF(Table1[EET]="Training",2,IF(Table1[EET]="Retired",3,"")))))</f>
        <v/>
      </c>
      <c r="EI58" s="44" t="e">
        <f>Table1[Data Start Date]+Table1[Data EET Start]</f>
        <v>#VALUE!</v>
      </c>
      <c r="EJ58" s="44" t="b">
        <f>IF(Table1[Leaving Date]&gt;42735,8000,IF(Table1[Leaving Date]&gt;42643,7000,IF(Table1[Leaving Date]&gt;42551,6000,IF(Table1[Leaving Date]&gt;42460,5000,IF(Table1[Leaving Date]&gt;42369,4000,IF(Table1[Leaving Date]&gt;42277,3000,IF(Table1[Leaving Date]&gt;42185,2000,IF(Table1[Leaving Date]&gt;42094,1000))))))))</f>
        <v>0</v>
      </c>
      <c r="EK58" s="44" t="e">
        <f>VLOOKUP(Table1[Reason for Leaving],Lists!$T$2:$U$15,2,FALSE)</f>
        <v>#N/A</v>
      </c>
      <c r="EL58" s="44" t="e">
        <f>SUM(Table1[Data Leavers Date]+Table1[Data Move On])</f>
        <v>#N/A</v>
      </c>
      <c r="EM58" s="44" t="b">
        <f>IF(Table1[Registered with GP2]="Yes",1,IF(Table1[Registered with GP2]="No",0,IF(Table1[Registered with GP]="Yes",1,IF(Table1[Registered with GP]="No",0))))</f>
        <v>0</v>
      </c>
      <c r="EN58" s="44">
        <f>SUM(Table1[Data Leavers Date]+Table1[Data GP End])</f>
        <v>0</v>
      </c>
      <c r="EO58" s="44" t="str">
        <f>IF(Table1[EET2]="NEET",1,IF(Table1[EET2]="Employment",2,IF(Table1[EET2]="Education",2,IF(Table1[EET2]="Training",2,IF(Table1[EET2]="Retired",3,IF(Table1[EET]="NEET",1,IF(Table1[EET]="Employment",2,IF(Table1[EET]="Education",2,IF(Table1[EET]="Training",2,IF(Table1[EET]="Retired",3,""))))))))))</f>
        <v/>
      </c>
      <c r="EP58" s="44" t="e">
        <f>+Table1[[#This Row],[Data Leavers Date]]+Table1[[#This Row],[Data EET End]]</f>
        <v>#VALUE!</v>
      </c>
      <c r="EQ58" s="44">
        <f>IF(Table1[Exit Form Received]="Yes",1,0)</f>
        <v>0</v>
      </c>
      <c r="ER58" s="44">
        <f>+Table1[[#This Row],[Data Leavers Date]]+Table1[[#This Row],[Data Exit Forms]]</f>
        <v>0</v>
      </c>
      <c r="ES58" s="44" t="str">
        <f>IF(Table1[Data Leavers Date]=1000,SUM(Table1[Leaving Date]-Table1[Start Date]),"")</f>
        <v/>
      </c>
      <c r="ET58" s="44" t="str">
        <f>IF(Table1[Data Leavers Date]=2000,SUM(Table1[Leaving Date]-Table1[Start Date]),"")</f>
        <v/>
      </c>
      <c r="EU58" s="44" t="str">
        <f>IF(Table1[Data Leavers Date]=3000,SUM(Table1[Leaving Date]-Table1[Start Date]),"")</f>
        <v/>
      </c>
      <c r="EV58" s="44" t="str">
        <f>IF(Table1[Data Leavers Date]=4000,SUM(Table1[Leaving Date]-Table1[Start Date]),"")</f>
        <v/>
      </c>
      <c r="EW58" s="44" t="str">
        <f>IF(Table1[Data Leavers Date]=5000,SUM(Table1[Leaving Date]-Table1[Start Date]),"")</f>
        <v/>
      </c>
      <c r="EX58" s="44" t="str">
        <f>IF(Table1[Data Leavers Date]=6000,SUM(Table1[Leaving Date]-Table1[Start Date]),"")</f>
        <v/>
      </c>
      <c r="EY58" s="44" t="str">
        <f>IF(Table1[Data Leavers Date]=7000,SUM(Table1[Leaving Date]-Table1[Start Date]),"")</f>
        <v/>
      </c>
      <c r="EZ58" s="44" t="str">
        <f>IF(Table1[Data Leavers Date]=8000,SUM(Table1[Leaving Date]-Table1[Start Date]),"")</f>
        <v/>
      </c>
      <c r="FA58" s="44" t="str">
        <f>IF(Table1[Date of Initial Assessment]="","",IF(AND(Table1[Start Date]&gt;42094,Table1[Start Date]&lt;42461),Table1[Motivation and Taking Responsibility],""))</f>
        <v/>
      </c>
      <c r="FB58" s="44" t="str">
        <f>IF(Table1[Date of Initial Assessment]="","",IF(AND(Table1[Start Date]&gt;42094,Table1[Start Date]&lt;42461),Table1[Self-Care and Living Skills],""))</f>
        <v/>
      </c>
      <c r="FC58" s="44" t="str">
        <f>IF(Table1[Date of Initial Assessment]="","",IF(AND(Table1[Start Date]&gt;42094,Table1[Start Date]&lt;42461),Table1[Managing Money and Personal Administration],""))</f>
        <v/>
      </c>
      <c r="FD58" s="44" t="str">
        <f>IF(Table1[Date of Initial Assessment]="","",IF(AND(Table1[Start Date]&gt;42094,Table1[Start Date]&lt;42461),Table1[Social Networks and Relationships],""))</f>
        <v/>
      </c>
      <c r="FE58" s="44" t="str">
        <f>IF(Table1[Date of Initial Assessment]="","",IF(AND(Table1[Start Date]&gt;42094,Table1[Start Date]&lt;42461),Table1[Drug and Alcohol Misuse],""))</f>
        <v/>
      </c>
      <c r="FF58" s="44" t="str">
        <f>IF(Table1[Date of Initial Assessment]="","",IF(AND(Table1[Start Date]&gt;42094,Table1[Start Date]&lt;42461),Table1[Physical Health],""))</f>
        <v/>
      </c>
      <c r="FG58" s="44" t="str">
        <f>IF(Table1[Date of Initial Assessment]="","",IF(AND(Table1[Start Date]&gt;42094,Table1[Start Date]&lt;42461),Table1[Emotional and Mental Health],""))</f>
        <v/>
      </c>
      <c r="FH58" s="44" t="str">
        <f>IF(Table1[Date of Initial Assessment]="","",IF(AND(Table1[Start Date]&gt;42094,Table1[Start Date]&lt;42461),Table1[Meaningful Use of Time],""))</f>
        <v/>
      </c>
      <c r="FI58" s="44" t="str">
        <f>IF(Table1[Date of Initial Assessment]="","",IF(AND(Table1[Start Date]&gt;42094,Table1[Start Date]&lt;42461),Table1[Managing Tenancy and Accommodation],""))</f>
        <v/>
      </c>
      <c r="FJ58" s="44" t="str">
        <f>IF(Table1[Date of Initial Assessment]="","",IF(AND(Table1[Start Date]&gt;42094,Table1[Start Date]&lt;42461),Table1[Offending],""))</f>
        <v/>
      </c>
      <c r="FK58" s="44" t="str">
        <f>IF(Table1[Leaving Date]="","",IF(Table1[Date of Initial Assessment]="","",IF(AND(Table1[Leaving Date]&gt;42094,Table1[Leaving Date]&lt;42461),IF(Table1[Date of Last Assessment]="",Table1[Motivation and Taking Responsibility],Table1[Motivation and Taking Responsibility2]),"")))</f>
        <v/>
      </c>
      <c r="FL58" s="44" t="str">
        <f>IF(Table1[Leaving Date]="","",IF(Table1[Date of Initial Assessment]="","",IF(AND(Table1[Leaving Date]&gt;42094,Table1[Leaving Date]&lt;42461),IF(Table1[Date of Last Assessment]="",Table1[Self-Care and Living Skills],Table1[Self-Care and Living Skills2]),"")))</f>
        <v/>
      </c>
      <c r="FM58" s="44" t="str">
        <f>IF(Table1[Leaving Date]="","",IF(Table1[Date of Initial Assessment]="","",IF(AND(Table1[Leaving Date]&gt;42094,Table1[Leaving Date]&lt;42461),IF(Table1[Date of Last Assessment]="",Table1[Managing Money and Personal Administration],Table1[Managing Money and Personal Administration2]),"")))</f>
        <v/>
      </c>
      <c r="FN58" s="44" t="str">
        <f>IF(Table1[Leaving Date]="","",IF(Table1[Date of Initial Assessment]="","",IF(AND(Table1[Leaving Date]&gt;42094,Table1[Leaving Date]&lt;42461),IF(Table1[Date of Last Assessment]="",Table1[Social Networks and Relationships],Table1[Social Networks and Relationships2]),"")))</f>
        <v/>
      </c>
      <c r="FO58" s="44" t="str">
        <f>IF(Table1[Leaving Date]="","",IF(Table1[Date of Initial Assessment]="","",IF(AND(Table1[Leaving Date]&gt;42094,Table1[Leaving Date]&lt;42461),IF(Table1[Date of Last Assessment]="",Table1[Drug and Alcohol Misuse],Table1[Drug and Alcohol Misuse2]),"")))</f>
        <v/>
      </c>
      <c r="FP58" s="44" t="str">
        <f>IF(Table1[Leaving Date]="","",IF(Table1[Date of Initial Assessment]="","",IF(AND(Table1[Leaving Date]&gt;42094,Table1[Leaving Date]&lt;42461),IF(Table1[Date of Last Assessment]="",Table1[Physical Health],Table1[Physical Health2]),"")))</f>
        <v/>
      </c>
      <c r="FQ58" s="44" t="str">
        <f>IF(Table1[Leaving Date]="","",IF(Table1[Date of Initial Assessment]="","",IF(AND(Table1[Leaving Date]&gt;42094,Table1[Leaving Date]&lt;42461),IF(Table1[Date of Last Assessment]="",Table1[Emotional and Mental Health],Table1[Emotional and Mental Health2]),"")))</f>
        <v/>
      </c>
      <c r="FR58" s="44" t="str">
        <f>IF(Table1[Leaving Date]="","",IF(Table1[Date of Initial Assessment]="","",IF(AND(Table1[Leaving Date]&gt;42094,Table1[Leaving Date]&lt;42461),IF(Table1[Date of Last Assessment]="",Table1[Meaningful Use of Time],Table1[Meaningful Use of Time2]),"")))</f>
        <v/>
      </c>
      <c r="FS58" s="44" t="str">
        <f>IF(Table1[Leaving Date]="","",IF(Table1[Date of Initial Assessment]="","",IF(AND(Table1[Leaving Date]&gt;42094,Table1[Leaving Date]&lt;42461),IF(Table1[Date of Last Assessment]="",Table1[Managing Tenancy and Accommodation],Table1[Managing Tenancy and Accommodation2]),"")))</f>
        <v/>
      </c>
      <c r="FT58" s="44" t="str">
        <f>IF(Table1[Leaving Date]="","",IF(Table1[Date of Initial Assessment]="","",IF(AND(Table1[Leaving Date]&gt;42094,Table1[Leaving Date]&lt;42461),IF(Table1[Date of Last Assessment]="",Table1[Offending],Table1[Offending2]),"")))</f>
        <v/>
      </c>
      <c r="FU58" s="44" t="str">
        <f>IF(Table1[Date of Initial Assessment]="","",IF(AND(Table1[Start Date]&gt;42460,Table1[Start Date]&lt;42826),Table1[Motivation and Taking Responsibility],""))</f>
        <v/>
      </c>
      <c r="FV58" s="44" t="str">
        <f>IF(Table1[Date of Initial Assessment]="","",IF(AND(Table1[Start Date]&gt;42460,Table1[Start Date]&lt;42826),Table1[Self-Care and Living Skills],""))</f>
        <v/>
      </c>
      <c r="FW58" s="44" t="str">
        <f>IF(Table1[Date of Initial Assessment]="","",IF(AND(Table1[Start Date]&gt;42460,Table1[Start Date]&lt;42826),Table1[Managing Money and Personal Administration],""))</f>
        <v/>
      </c>
      <c r="FX58" s="44" t="str">
        <f>IF(Table1[Date of Initial Assessment]="","",IF(AND(Table1[Start Date]&gt;42460,Table1[Start Date]&lt;42826),Table1[Social Networks and Relationships],""))</f>
        <v/>
      </c>
      <c r="FY58" s="44" t="str">
        <f>IF(Table1[Date of Initial Assessment]="","",IF(AND(Table1[Start Date]&gt;42460,Table1[Start Date]&lt;42826),Table1[Drug and Alcohol Misuse],""))</f>
        <v/>
      </c>
      <c r="FZ58" s="44" t="str">
        <f>IF(Table1[Date of Initial Assessment]="","",IF(AND(Table1[Start Date]&gt;42460,Table1[Start Date]&lt;42826),Table1[Physical Health],""))</f>
        <v/>
      </c>
      <c r="GA58" s="44" t="str">
        <f>IF(Table1[Date of Initial Assessment]="","",IF(AND(Table1[Start Date]&gt;42460,Table1[Start Date]&lt;42826),Table1[Emotional and Mental Health],""))</f>
        <v/>
      </c>
      <c r="GB58" s="44" t="str">
        <f>IF(Table1[Date of Initial Assessment]="","",IF(AND(Table1[Start Date]&gt;42460,Table1[Start Date]&lt;42826),Table1[Meaningful Use of Time],""))</f>
        <v/>
      </c>
      <c r="GC58" s="44" t="str">
        <f>IF(Table1[Date of Initial Assessment]="","",IF(AND(Table1[Start Date]&gt;42460,Table1[Start Date]&lt;42826),Table1[Managing Tenancy and Accommodation],""))</f>
        <v/>
      </c>
      <c r="GD58" s="44" t="str">
        <f>IF(Table1[Date of Initial Assessment]="","",IF(AND(Table1[Start Date]&gt;42460,Table1[Start Date]&lt;42826),Table1[Offending],""))</f>
        <v/>
      </c>
      <c r="GE58" s="44" t="str">
        <f>IF(Table1[Leaving Date]="","",IF(AND(Table1[Leaving Date]&gt;42460,Table1[Leaving Date]&lt;42826),IF(Table1[Date of Last Assessment]="",Table1[Motivation and Taking Responsibility],Table1[Motivation and Taking Responsibility2]),""))</f>
        <v/>
      </c>
      <c r="GF58" s="44" t="str">
        <f>IF(Table1[Leaving Date]="","",IF(AND(Table1[Leaving Date]&gt;42460,Table1[Leaving Date]&lt;42826),IF(Table1[Date of Last Assessment]="",Table1[Self-Care and Living Skills],Table1[Self-Care and Living Skills2]),""))</f>
        <v/>
      </c>
      <c r="GG58" s="44" t="str">
        <f>IF(Table1[Leaving Date]="","",IF(AND(Table1[Leaving Date]&gt;42460,Table1[Leaving Date]&lt;42826),IF(Table1[Date of Last Assessment]="",Table1[Managing Money and Personal Administration],Table1[Managing Money and Personal Administration2]),""))</f>
        <v/>
      </c>
      <c r="GH58" s="44" t="str">
        <f>IF(Table1[Leaving Date]="","",IF(AND(Table1[Leaving Date]&gt;42460,Table1[Leaving Date]&lt;42826),IF(Table1[Date of Last Assessment]="",Table1[Social Networks and Relationships],Table1[Social Networks and Relationships2]),""))</f>
        <v/>
      </c>
      <c r="GI58" s="44" t="str">
        <f>IF(Table1[Leaving Date]="","",IF(AND(Table1[Leaving Date]&gt;42460,Table1[Leaving Date]&lt;42826),IF(Table1[Date of Last Assessment]="",Table1[Drug and Alcohol Misuse],Table1[Drug and Alcohol Misuse2]),""))</f>
        <v/>
      </c>
      <c r="GJ58" s="44" t="str">
        <f>IF(Table1[Leaving Date]="","",IF(AND(Table1[Leaving Date]&gt;42460,Table1[Leaving Date]&lt;42826),IF(Table1[Date of Last Assessment]="",Table1[Physical Health],Table1[Physical Health2]),""))</f>
        <v/>
      </c>
      <c r="GK58" s="44" t="str">
        <f>IF(Table1[Leaving Date]="","",IF(AND(Table1[Leaving Date]&gt;42460,Table1[Leaving Date]&lt;42826),IF(Table1[Date of Last Assessment]="",Table1[Emotional and Mental Health],Table1[Emotional and Mental Health2]),""))</f>
        <v/>
      </c>
      <c r="GL58" s="44" t="str">
        <f>IF(Table1[Leaving Date]="","",IF(AND(Table1[Leaving Date]&gt;42460,Table1[Leaving Date]&lt;42826),IF(Table1[Date of Last Assessment]="",Table1[Meaningful Use of Time],Table1[Meaningful Use of Time2]),""))</f>
        <v/>
      </c>
      <c r="GM58" s="44" t="str">
        <f>IF(Table1[Leaving Date]="","",IF(AND(Table1[Leaving Date]&gt;42460,Table1[Leaving Date]&lt;42826),IF(Table1[Date of Last Assessment]="",Table1[Managing Tenancy and Accommodation],Table1[Managing Tenancy and Accommodation2]),""))</f>
        <v/>
      </c>
      <c r="GN58" s="44" t="str">
        <f>IF(Table1[Leaving Date]="","",IF(AND(Table1[Leaving Date]&gt;42460,Table1[Leaving Date]&lt;42826),IF(Table1[Date of Last Assessment]="",Table1[Offending],Table1[Offending2]),""))</f>
        <v/>
      </c>
    </row>
    <row r="59" spans="2:196" ht="20.100000000000001" customHeight="1" x14ac:dyDescent="0.2">
      <c r="B59" s="86">
        <f>+'Service Data'!$C$5:$C$5</f>
        <v>0</v>
      </c>
      <c r="C59" s="86"/>
      <c r="D59" s="86"/>
      <c r="E59" s="86"/>
      <c r="F59" s="86"/>
      <c r="G59" s="86"/>
      <c r="H59" s="6"/>
      <c r="I59" s="99" t="str">
        <f ca="1">IF(Table1[[#This Row],[Date of Birth]]="","",SUM(TODAY()-Table1[[#This Row],[Date of Birth]])/365)</f>
        <v/>
      </c>
      <c r="L59" s="86"/>
      <c r="M59" s="77"/>
      <c r="N59" s="86"/>
      <c r="O59" s="86"/>
      <c r="P59" s="91"/>
      <c r="Q59" s="86"/>
      <c r="R59" s="77"/>
      <c r="S59" s="77"/>
      <c r="T59" s="68"/>
      <c r="U59" s="68"/>
      <c r="V59" s="67"/>
      <c r="W59" s="67"/>
      <c r="X59" s="67"/>
      <c r="Y59" s="67"/>
      <c r="Z59" s="67"/>
      <c r="AA59" s="67"/>
      <c r="AB59" s="67"/>
      <c r="AC59" s="67"/>
      <c r="AD59" s="67"/>
      <c r="AE59" s="67"/>
      <c r="AF59" s="67"/>
      <c r="AG59" s="67"/>
      <c r="AH59" s="67"/>
      <c r="AI59" s="67"/>
      <c r="AJ59" s="67"/>
      <c r="AK59" s="67"/>
      <c r="AL59" s="67"/>
      <c r="AM59" s="67"/>
      <c r="AN59" s="77"/>
      <c r="AO59" s="76"/>
      <c r="AP59" s="77"/>
      <c r="AQ59" s="76"/>
      <c r="AR59" s="76"/>
      <c r="AS59" s="76"/>
      <c r="AT59" s="76"/>
      <c r="AU59" s="76"/>
      <c r="AV59" s="77"/>
      <c r="AW59" s="76"/>
      <c r="AX59" s="77"/>
      <c r="AY59" s="76"/>
      <c r="AZ59" s="76"/>
      <c r="BA59" s="76"/>
      <c r="BB59" s="76"/>
      <c r="BC59" s="76"/>
      <c r="BD59" s="77"/>
      <c r="BE59" s="76"/>
      <c r="BF59" s="77"/>
      <c r="BG59" s="76"/>
      <c r="BH59" s="76"/>
      <c r="BI59" s="76"/>
      <c r="BJ59" s="76"/>
      <c r="BK59" s="76"/>
      <c r="BL59" s="77"/>
      <c r="BM59" s="76"/>
      <c r="BN59" s="77"/>
      <c r="BO59" s="76"/>
      <c r="BP59" s="76"/>
      <c r="BQ59" s="76"/>
      <c r="BR59" s="76"/>
      <c r="BS59" s="76"/>
      <c r="BT59" s="77"/>
      <c r="BU59" s="76"/>
      <c r="BV59" s="77"/>
      <c r="BW59" s="76"/>
      <c r="BX59" s="76"/>
      <c r="BY59" s="76"/>
      <c r="BZ59" s="76"/>
      <c r="CA59" s="76"/>
      <c r="CB59" s="77"/>
      <c r="CC59" s="76"/>
      <c r="CD59" s="77"/>
      <c r="CE59" s="76"/>
      <c r="CF59" s="76"/>
      <c r="CG59" s="76"/>
      <c r="CH59" s="76"/>
      <c r="CI59" s="76"/>
      <c r="CJ59" s="77"/>
      <c r="CK59" s="76"/>
      <c r="CL59" s="77"/>
      <c r="CM59" s="76"/>
      <c r="CN59" s="76"/>
      <c r="CO59" s="76"/>
      <c r="CP59" s="76"/>
      <c r="CQ59" s="76"/>
      <c r="CR59" s="78" t="str">
        <f t="shared" si="15"/>
        <v/>
      </c>
      <c r="CS59" s="79" t="str">
        <f t="shared" si="16"/>
        <v/>
      </c>
      <c r="CT59" s="79" t="str">
        <f t="shared" si="17"/>
        <v/>
      </c>
      <c r="CU59" s="79" t="str">
        <f t="shared" si="18"/>
        <v/>
      </c>
      <c r="CV59" s="79" t="str">
        <f t="shared" si="19"/>
        <v/>
      </c>
      <c r="CW59" s="79" t="str">
        <f t="shared" si="20"/>
        <v/>
      </c>
      <c r="CX59" s="79" t="str">
        <f t="shared" si="21"/>
        <v/>
      </c>
      <c r="CY59" s="79" t="str">
        <f t="shared" si="22"/>
        <v/>
      </c>
      <c r="CZ59" s="79" t="str">
        <f t="shared" si="23"/>
        <v/>
      </c>
      <c r="DA59" s="79" t="str">
        <f t="shared" si="24"/>
        <v/>
      </c>
      <c r="DB59" s="79" t="str">
        <f t="shared" si="25"/>
        <v/>
      </c>
      <c r="DC59" s="79" t="str">
        <f t="shared" si="26"/>
        <v/>
      </c>
      <c r="DD59" s="79" t="str">
        <f t="shared" si="27"/>
        <v/>
      </c>
      <c r="DE59" s="79" t="str">
        <f t="shared" si="28"/>
        <v/>
      </c>
      <c r="DF59" s="79" t="str">
        <f t="shared" si="29"/>
        <v/>
      </c>
      <c r="DG59" s="79" t="str">
        <f t="shared" si="30"/>
        <v/>
      </c>
      <c r="DH59" s="76"/>
      <c r="DI59" s="78"/>
      <c r="DJ59" s="76"/>
      <c r="DK59" s="77"/>
      <c r="DL59" s="77"/>
      <c r="DM59" s="77"/>
      <c r="DN59" s="80"/>
      <c r="DO59" s="80"/>
      <c r="DP59" s="92" t="str">
        <f>IF(Table1[Start Date]="","",IF(Table1[Start Date]&gt;42185,"",IF(AND(Table1[Leaving Date]&gt;1,Table1[Leaving Date]&lt;42095),"",1)))</f>
        <v/>
      </c>
      <c r="DQ59" s="92" t="str">
        <f>IF(Table1[Start Date]="","",IF(Table1[Start Date]&gt;42277,"",IF(AND(Table1[Leaving Date]&gt;1,Table1[Leaving Date]&lt;42186),"",1)))</f>
        <v/>
      </c>
      <c r="DR59" s="92" t="str">
        <f>IF(Table1[Start Date]="","",IF(Table1[Start Date]&gt;42369,"",IF(AND(Table1[Leaving Date]&gt;1,Table1[Leaving Date]&lt;42278),"",1)))</f>
        <v/>
      </c>
      <c r="DS59" s="92" t="str">
        <f>IF(Table1[Start Date]="","",IF(Table1[Start Date]&gt;42460,"",IF(AND(Table1[Leaving Date]&gt;1,Table1[Leaving Date]&lt;42370),"",1)))</f>
        <v/>
      </c>
      <c r="DT59" s="92" t="str">
        <f>IF(Table1[Start Date]="","",IF(Table1[Start Date]&gt;42551,"",IF(AND(Table1[Leaving Date]&gt;1,Table1[Leaving Date]&lt;42461),"",1)))</f>
        <v/>
      </c>
      <c r="DU59" s="92" t="str">
        <f>IF(Table1[Start Date]="","",IF(Table1[Start Date]&gt;42643,"",IF(AND(Table1[Leaving Date]&gt;1,Table1[Leaving Date]&lt;42552),"",1)))</f>
        <v/>
      </c>
      <c r="DV59" s="92" t="str">
        <f>IF(Table1[Start Date]="","",IF(Table1[Start Date]&gt;42735,"",IF(AND(Table1[Leaving Date]&gt;1,Table1[Leaving Date]&lt;42644),"",1)))</f>
        <v/>
      </c>
      <c r="DW59" s="92" t="str">
        <f>IF(Table1[Start Date]="","",IF(Table1[Start Date]&gt;42825,"",IF(AND(Table1[Leaving Date]&gt;1,Table1[Leaving Date]&lt;42736),"",1)))</f>
        <v/>
      </c>
      <c r="DX59"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59" s="44" t="e">
        <f>VLOOKUP(Table1[Referral Source],Lists!$G$2:$H$20,2,FALSE)</f>
        <v>#N/A</v>
      </c>
      <c r="DZ59" s="93" t="e">
        <f>SUM(Table1[Data Referral Quarter]+Table1[Data Referral Source])</f>
        <v>#N/A</v>
      </c>
      <c r="EA59" s="44" t="b">
        <f>IF(Table1[Referral Decision]="Accepted",100,IF(Table1[Referral Decision]="Rejected by Provider",200,IF(Table1[Referral Decision]="Rejected by Applicant",300)))</f>
        <v>0</v>
      </c>
      <c r="EB59" s="44">
        <f>SUM(Table1[Data Referral Quarter]+Table1[Data Referral Decision])</f>
        <v>0</v>
      </c>
      <c r="EC59" s="44" t="b">
        <f>IF(Table1[Start Date]&gt;42735,8000,IF(Table1[Start Date]&gt;42643,7000,IF(Table1[Start Date]&gt;42551,6000,IF(Table1[Start Date]&gt;42460,5000,IF(Table1[Start Date]&gt;42369,4000,IF(Table1[Start Date]&gt;42277,3000,IF(Table1[Start Date]&gt;42185,2000,IF(Table1[Start Date]&gt;42094,1000))))))))</f>
        <v>0</v>
      </c>
      <c r="ED59" s="44" t="str">
        <f>IF(Table1[Start Date]="","",IF(Table1[Current Local Authority]="Swindon",1,"2"))</f>
        <v/>
      </c>
      <c r="EE59" s="44" t="e">
        <f>SUM(Table1[Data Start Date]+Table1[Data Local Authority])</f>
        <v>#VALUE!</v>
      </c>
      <c r="EF59" s="44">
        <f>IF(Table1[Registered with GP]="Yes",1,0)</f>
        <v>0</v>
      </c>
      <c r="EG59" s="44">
        <f>SUM(Table1[Data Start Date]+Table1[Data GP Start])</f>
        <v>0</v>
      </c>
      <c r="EH59" s="44" t="str">
        <f>IF(Table1[EET]="NEET",1,IF(Table1[EET]="Education",2,IF(Table1[EET]="Employment",2,IF(Table1[EET]="Training",2,IF(Table1[EET]="Retired",3,"")))))</f>
        <v/>
      </c>
      <c r="EI59" s="44" t="e">
        <f>Table1[Data Start Date]+Table1[Data EET Start]</f>
        <v>#VALUE!</v>
      </c>
      <c r="EJ59" s="44" t="b">
        <f>IF(Table1[Leaving Date]&gt;42735,8000,IF(Table1[Leaving Date]&gt;42643,7000,IF(Table1[Leaving Date]&gt;42551,6000,IF(Table1[Leaving Date]&gt;42460,5000,IF(Table1[Leaving Date]&gt;42369,4000,IF(Table1[Leaving Date]&gt;42277,3000,IF(Table1[Leaving Date]&gt;42185,2000,IF(Table1[Leaving Date]&gt;42094,1000))))))))</f>
        <v>0</v>
      </c>
      <c r="EK59" s="44" t="e">
        <f>VLOOKUP(Table1[Reason for Leaving],Lists!$T$2:$U$15,2,FALSE)</f>
        <v>#N/A</v>
      </c>
      <c r="EL59" s="44" t="e">
        <f>SUM(Table1[Data Leavers Date]+Table1[Data Move On])</f>
        <v>#N/A</v>
      </c>
      <c r="EM59" s="44" t="b">
        <f>IF(Table1[Registered with GP2]="Yes",1,IF(Table1[Registered with GP2]="No",0,IF(Table1[Registered with GP]="Yes",1,IF(Table1[Registered with GP]="No",0))))</f>
        <v>0</v>
      </c>
      <c r="EN59" s="44">
        <f>SUM(Table1[Data Leavers Date]+Table1[Data GP End])</f>
        <v>0</v>
      </c>
      <c r="EO59" s="44" t="str">
        <f>IF(Table1[EET2]="NEET",1,IF(Table1[EET2]="Employment",2,IF(Table1[EET2]="Education",2,IF(Table1[EET2]="Training",2,IF(Table1[EET2]="Retired",3,IF(Table1[EET]="NEET",1,IF(Table1[EET]="Employment",2,IF(Table1[EET]="Education",2,IF(Table1[EET]="Training",2,IF(Table1[EET]="Retired",3,""))))))))))</f>
        <v/>
      </c>
      <c r="EP59" s="44" t="e">
        <f>+Table1[[#This Row],[Data Leavers Date]]+Table1[[#This Row],[Data EET End]]</f>
        <v>#VALUE!</v>
      </c>
      <c r="EQ59" s="44">
        <f>IF(Table1[Exit Form Received]="Yes",1,0)</f>
        <v>0</v>
      </c>
      <c r="ER59" s="44">
        <f>+Table1[[#This Row],[Data Leavers Date]]+Table1[[#This Row],[Data Exit Forms]]</f>
        <v>0</v>
      </c>
      <c r="ES59" s="44" t="str">
        <f>IF(Table1[Data Leavers Date]=1000,SUM(Table1[Leaving Date]-Table1[Start Date]),"")</f>
        <v/>
      </c>
      <c r="ET59" s="44" t="str">
        <f>IF(Table1[Data Leavers Date]=2000,SUM(Table1[Leaving Date]-Table1[Start Date]),"")</f>
        <v/>
      </c>
      <c r="EU59" s="44" t="str">
        <f>IF(Table1[Data Leavers Date]=3000,SUM(Table1[Leaving Date]-Table1[Start Date]),"")</f>
        <v/>
      </c>
      <c r="EV59" s="44" t="str">
        <f>IF(Table1[Data Leavers Date]=4000,SUM(Table1[Leaving Date]-Table1[Start Date]),"")</f>
        <v/>
      </c>
      <c r="EW59" s="44" t="str">
        <f>IF(Table1[Data Leavers Date]=5000,SUM(Table1[Leaving Date]-Table1[Start Date]),"")</f>
        <v/>
      </c>
      <c r="EX59" s="44" t="str">
        <f>IF(Table1[Data Leavers Date]=6000,SUM(Table1[Leaving Date]-Table1[Start Date]),"")</f>
        <v/>
      </c>
      <c r="EY59" s="44" t="str">
        <f>IF(Table1[Data Leavers Date]=7000,SUM(Table1[Leaving Date]-Table1[Start Date]),"")</f>
        <v/>
      </c>
      <c r="EZ59" s="44" t="str">
        <f>IF(Table1[Data Leavers Date]=8000,SUM(Table1[Leaving Date]-Table1[Start Date]),"")</f>
        <v/>
      </c>
      <c r="FA59" s="44" t="str">
        <f>IF(Table1[Date of Initial Assessment]="","",IF(AND(Table1[Start Date]&gt;42094,Table1[Start Date]&lt;42461),Table1[Motivation and Taking Responsibility],""))</f>
        <v/>
      </c>
      <c r="FB59" s="44" t="str">
        <f>IF(Table1[Date of Initial Assessment]="","",IF(AND(Table1[Start Date]&gt;42094,Table1[Start Date]&lt;42461),Table1[Self-Care and Living Skills],""))</f>
        <v/>
      </c>
      <c r="FC59" s="44" t="str">
        <f>IF(Table1[Date of Initial Assessment]="","",IF(AND(Table1[Start Date]&gt;42094,Table1[Start Date]&lt;42461),Table1[Managing Money and Personal Administration],""))</f>
        <v/>
      </c>
      <c r="FD59" s="44" t="str">
        <f>IF(Table1[Date of Initial Assessment]="","",IF(AND(Table1[Start Date]&gt;42094,Table1[Start Date]&lt;42461),Table1[Social Networks and Relationships],""))</f>
        <v/>
      </c>
      <c r="FE59" s="44" t="str">
        <f>IF(Table1[Date of Initial Assessment]="","",IF(AND(Table1[Start Date]&gt;42094,Table1[Start Date]&lt;42461),Table1[Drug and Alcohol Misuse],""))</f>
        <v/>
      </c>
      <c r="FF59" s="44" t="str">
        <f>IF(Table1[Date of Initial Assessment]="","",IF(AND(Table1[Start Date]&gt;42094,Table1[Start Date]&lt;42461),Table1[Physical Health],""))</f>
        <v/>
      </c>
      <c r="FG59" s="44" t="str">
        <f>IF(Table1[Date of Initial Assessment]="","",IF(AND(Table1[Start Date]&gt;42094,Table1[Start Date]&lt;42461),Table1[Emotional and Mental Health],""))</f>
        <v/>
      </c>
      <c r="FH59" s="44" t="str">
        <f>IF(Table1[Date of Initial Assessment]="","",IF(AND(Table1[Start Date]&gt;42094,Table1[Start Date]&lt;42461),Table1[Meaningful Use of Time],""))</f>
        <v/>
      </c>
      <c r="FI59" s="44" t="str">
        <f>IF(Table1[Date of Initial Assessment]="","",IF(AND(Table1[Start Date]&gt;42094,Table1[Start Date]&lt;42461),Table1[Managing Tenancy and Accommodation],""))</f>
        <v/>
      </c>
      <c r="FJ59" s="44" t="str">
        <f>IF(Table1[Date of Initial Assessment]="","",IF(AND(Table1[Start Date]&gt;42094,Table1[Start Date]&lt;42461),Table1[Offending],""))</f>
        <v/>
      </c>
      <c r="FK59" s="44" t="str">
        <f>IF(Table1[Leaving Date]="","",IF(Table1[Date of Initial Assessment]="","",IF(AND(Table1[Leaving Date]&gt;42094,Table1[Leaving Date]&lt;42461),IF(Table1[Date of Last Assessment]="",Table1[Motivation and Taking Responsibility],Table1[Motivation and Taking Responsibility2]),"")))</f>
        <v/>
      </c>
      <c r="FL59" s="44" t="str">
        <f>IF(Table1[Leaving Date]="","",IF(Table1[Date of Initial Assessment]="","",IF(AND(Table1[Leaving Date]&gt;42094,Table1[Leaving Date]&lt;42461),IF(Table1[Date of Last Assessment]="",Table1[Self-Care and Living Skills],Table1[Self-Care and Living Skills2]),"")))</f>
        <v/>
      </c>
      <c r="FM59" s="44" t="str">
        <f>IF(Table1[Leaving Date]="","",IF(Table1[Date of Initial Assessment]="","",IF(AND(Table1[Leaving Date]&gt;42094,Table1[Leaving Date]&lt;42461),IF(Table1[Date of Last Assessment]="",Table1[Managing Money and Personal Administration],Table1[Managing Money and Personal Administration2]),"")))</f>
        <v/>
      </c>
      <c r="FN59" s="44" t="str">
        <f>IF(Table1[Leaving Date]="","",IF(Table1[Date of Initial Assessment]="","",IF(AND(Table1[Leaving Date]&gt;42094,Table1[Leaving Date]&lt;42461),IF(Table1[Date of Last Assessment]="",Table1[Social Networks and Relationships],Table1[Social Networks and Relationships2]),"")))</f>
        <v/>
      </c>
      <c r="FO59" s="44" t="str">
        <f>IF(Table1[Leaving Date]="","",IF(Table1[Date of Initial Assessment]="","",IF(AND(Table1[Leaving Date]&gt;42094,Table1[Leaving Date]&lt;42461),IF(Table1[Date of Last Assessment]="",Table1[Drug and Alcohol Misuse],Table1[Drug and Alcohol Misuse2]),"")))</f>
        <v/>
      </c>
      <c r="FP59" s="44" t="str">
        <f>IF(Table1[Leaving Date]="","",IF(Table1[Date of Initial Assessment]="","",IF(AND(Table1[Leaving Date]&gt;42094,Table1[Leaving Date]&lt;42461),IF(Table1[Date of Last Assessment]="",Table1[Physical Health],Table1[Physical Health2]),"")))</f>
        <v/>
      </c>
      <c r="FQ59" s="44" t="str">
        <f>IF(Table1[Leaving Date]="","",IF(Table1[Date of Initial Assessment]="","",IF(AND(Table1[Leaving Date]&gt;42094,Table1[Leaving Date]&lt;42461),IF(Table1[Date of Last Assessment]="",Table1[Emotional and Mental Health],Table1[Emotional and Mental Health2]),"")))</f>
        <v/>
      </c>
      <c r="FR59" s="44" t="str">
        <f>IF(Table1[Leaving Date]="","",IF(Table1[Date of Initial Assessment]="","",IF(AND(Table1[Leaving Date]&gt;42094,Table1[Leaving Date]&lt;42461),IF(Table1[Date of Last Assessment]="",Table1[Meaningful Use of Time],Table1[Meaningful Use of Time2]),"")))</f>
        <v/>
      </c>
      <c r="FS59" s="44" t="str">
        <f>IF(Table1[Leaving Date]="","",IF(Table1[Date of Initial Assessment]="","",IF(AND(Table1[Leaving Date]&gt;42094,Table1[Leaving Date]&lt;42461),IF(Table1[Date of Last Assessment]="",Table1[Managing Tenancy and Accommodation],Table1[Managing Tenancy and Accommodation2]),"")))</f>
        <v/>
      </c>
      <c r="FT59" s="44" t="str">
        <f>IF(Table1[Leaving Date]="","",IF(Table1[Date of Initial Assessment]="","",IF(AND(Table1[Leaving Date]&gt;42094,Table1[Leaving Date]&lt;42461),IF(Table1[Date of Last Assessment]="",Table1[Offending],Table1[Offending2]),"")))</f>
        <v/>
      </c>
      <c r="FU59" s="44" t="str">
        <f>IF(Table1[Date of Initial Assessment]="","",IF(AND(Table1[Start Date]&gt;42460,Table1[Start Date]&lt;42826),Table1[Motivation and Taking Responsibility],""))</f>
        <v/>
      </c>
      <c r="FV59" s="44" t="str">
        <f>IF(Table1[Date of Initial Assessment]="","",IF(AND(Table1[Start Date]&gt;42460,Table1[Start Date]&lt;42826),Table1[Self-Care and Living Skills],""))</f>
        <v/>
      </c>
      <c r="FW59" s="44" t="str">
        <f>IF(Table1[Date of Initial Assessment]="","",IF(AND(Table1[Start Date]&gt;42460,Table1[Start Date]&lt;42826),Table1[Managing Money and Personal Administration],""))</f>
        <v/>
      </c>
      <c r="FX59" s="44" t="str">
        <f>IF(Table1[Date of Initial Assessment]="","",IF(AND(Table1[Start Date]&gt;42460,Table1[Start Date]&lt;42826),Table1[Social Networks and Relationships],""))</f>
        <v/>
      </c>
      <c r="FY59" s="44" t="str">
        <f>IF(Table1[Date of Initial Assessment]="","",IF(AND(Table1[Start Date]&gt;42460,Table1[Start Date]&lt;42826),Table1[Drug and Alcohol Misuse],""))</f>
        <v/>
      </c>
      <c r="FZ59" s="44" t="str">
        <f>IF(Table1[Date of Initial Assessment]="","",IF(AND(Table1[Start Date]&gt;42460,Table1[Start Date]&lt;42826),Table1[Physical Health],""))</f>
        <v/>
      </c>
      <c r="GA59" s="44" t="str">
        <f>IF(Table1[Date of Initial Assessment]="","",IF(AND(Table1[Start Date]&gt;42460,Table1[Start Date]&lt;42826),Table1[Emotional and Mental Health],""))</f>
        <v/>
      </c>
      <c r="GB59" s="44" t="str">
        <f>IF(Table1[Date of Initial Assessment]="","",IF(AND(Table1[Start Date]&gt;42460,Table1[Start Date]&lt;42826),Table1[Meaningful Use of Time],""))</f>
        <v/>
      </c>
      <c r="GC59" s="44" t="str">
        <f>IF(Table1[Date of Initial Assessment]="","",IF(AND(Table1[Start Date]&gt;42460,Table1[Start Date]&lt;42826),Table1[Managing Tenancy and Accommodation],""))</f>
        <v/>
      </c>
      <c r="GD59" s="44" t="str">
        <f>IF(Table1[Date of Initial Assessment]="","",IF(AND(Table1[Start Date]&gt;42460,Table1[Start Date]&lt;42826),Table1[Offending],""))</f>
        <v/>
      </c>
      <c r="GE59" s="44" t="str">
        <f>IF(Table1[Leaving Date]="","",IF(AND(Table1[Leaving Date]&gt;42460,Table1[Leaving Date]&lt;42826),IF(Table1[Date of Last Assessment]="",Table1[Motivation and Taking Responsibility],Table1[Motivation and Taking Responsibility2]),""))</f>
        <v/>
      </c>
      <c r="GF59" s="44" t="str">
        <f>IF(Table1[Leaving Date]="","",IF(AND(Table1[Leaving Date]&gt;42460,Table1[Leaving Date]&lt;42826),IF(Table1[Date of Last Assessment]="",Table1[Self-Care and Living Skills],Table1[Self-Care and Living Skills2]),""))</f>
        <v/>
      </c>
      <c r="GG59" s="44" t="str">
        <f>IF(Table1[Leaving Date]="","",IF(AND(Table1[Leaving Date]&gt;42460,Table1[Leaving Date]&lt;42826),IF(Table1[Date of Last Assessment]="",Table1[Managing Money and Personal Administration],Table1[Managing Money and Personal Administration2]),""))</f>
        <v/>
      </c>
      <c r="GH59" s="44" t="str">
        <f>IF(Table1[Leaving Date]="","",IF(AND(Table1[Leaving Date]&gt;42460,Table1[Leaving Date]&lt;42826),IF(Table1[Date of Last Assessment]="",Table1[Social Networks and Relationships],Table1[Social Networks and Relationships2]),""))</f>
        <v/>
      </c>
      <c r="GI59" s="44" t="str">
        <f>IF(Table1[Leaving Date]="","",IF(AND(Table1[Leaving Date]&gt;42460,Table1[Leaving Date]&lt;42826),IF(Table1[Date of Last Assessment]="",Table1[Drug and Alcohol Misuse],Table1[Drug and Alcohol Misuse2]),""))</f>
        <v/>
      </c>
      <c r="GJ59" s="44" t="str">
        <f>IF(Table1[Leaving Date]="","",IF(AND(Table1[Leaving Date]&gt;42460,Table1[Leaving Date]&lt;42826),IF(Table1[Date of Last Assessment]="",Table1[Physical Health],Table1[Physical Health2]),""))</f>
        <v/>
      </c>
      <c r="GK59" s="44" t="str">
        <f>IF(Table1[Leaving Date]="","",IF(AND(Table1[Leaving Date]&gt;42460,Table1[Leaving Date]&lt;42826),IF(Table1[Date of Last Assessment]="",Table1[Emotional and Mental Health],Table1[Emotional and Mental Health2]),""))</f>
        <v/>
      </c>
      <c r="GL59" s="44" t="str">
        <f>IF(Table1[Leaving Date]="","",IF(AND(Table1[Leaving Date]&gt;42460,Table1[Leaving Date]&lt;42826),IF(Table1[Date of Last Assessment]="",Table1[Meaningful Use of Time],Table1[Meaningful Use of Time2]),""))</f>
        <v/>
      </c>
      <c r="GM59" s="44" t="str">
        <f>IF(Table1[Leaving Date]="","",IF(AND(Table1[Leaving Date]&gt;42460,Table1[Leaving Date]&lt;42826),IF(Table1[Date of Last Assessment]="",Table1[Managing Tenancy and Accommodation],Table1[Managing Tenancy and Accommodation2]),""))</f>
        <v/>
      </c>
      <c r="GN59" s="44" t="str">
        <f>IF(Table1[Leaving Date]="","",IF(AND(Table1[Leaving Date]&gt;42460,Table1[Leaving Date]&lt;42826),IF(Table1[Date of Last Assessment]="",Table1[Offending],Table1[Offending2]),""))</f>
        <v/>
      </c>
    </row>
    <row r="60" spans="2:196" ht="20.100000000000001" customHeight="1" x14ac:dyDescent="0.2">
      <c r="B60" s="86">
        <f>+'Service Data'!$C$5:$C$5</f>
        <v>0</v>
      </c>
      <c r="C60" s="86"/>
      <c r="D60" s="86"/>
      <c r="E60" s="86"/>
      <c r="F60" s="86"/>
      <c r="G60" s="86"/>
      <c r="H60" s="6"/>
      <c r="I60" s="99" t="str">
        <f ca="1">IF(Table1[[#This Row],[Date of Birth]]="","",SUM(TODAY()-Table1[[#This Row],[Date of Birth]])/365)</f>
        <v/>
      </c>
      <c r="L60" s="86"/>
      <c r="M60" s="77"/>
      <c r="N60" s="86"/>
      <c r="O60" s="86"/>
      <c r="P60" s="91"/>
      <c r="Q60" s="86"/>
      <c r="R60" s="77"/>
      <c r="S60" s="77"/>
      <c r="T60" s="68"/>
      <c r="U60" s="68"/>
      <c r="V60" s="67"/>
      <c r="W60" s="67"/>
      <c r="X60" s="67"/>
      <c r="Y60" s="67"/>
      <c r="Z60" s="67"/>
      <c r="AA60" s="67"/>
      <c r="AB60" s="67"/>
      <c r="AC60" s="67"/>
      <c r="AD60" s="67"/>
      <c r="AE60" s="67"/>
      <c r="AF60" s="67"/>
      <c r="AG60" s="67"/>
      <c r="AH60" s="67"/>
      <c r="AI60" s="67"/>
      <c r="AJ60" s="67"/>
      <c r="AK60" s="67"/>
      <c r="AL60" s="67"/>
      <c r="AM60" s="67"/>
      <c r="AN60" s="77"/>
      <c r="AO60" s="76"/>
      <c r="AP60" s="77"/>
      <c r="AQ60" s="76"/>
      <c r="AR60" s="76"/>
      <c r="AS60" s="76"/>
      <c r="AT60" s="76"/>
      <c r="AU60" s="76"/>
      <c r="AV60" s="77"/>
      <c r="AW60" s="76"/>
      <c r="AX60" s="77"/>
      <c r="AY60" s="76"/>
      <c r="AZ60" s="76"/>
      <c r="BA60" s="76"/>
      <c r="BB60" s="76"/>
      <c r="BC60" s="76"/>
      <c r="BD60" s="77"/>
      <c r="BE60" s="76"/>
      <c r="BF60" s="77"/>
      <c r="BG60" s="76"/>
      <c r="BH60" s="76"/>
      <c r="BI60" s="76"/>
      <c r="BJ60" s="76"/>
      <c r="BK60" s="76"/>
      <c r="BL60" s="77"/>
      <c r="BM60" s="76"/>
      <c r="BN60" s="77"/>
      <c r="BO60" s="76"/>
      <c r="BP60" s="76"/>
      <c r="BQ60" s="76"/>
      <c r="BR60" s="76"/>
      <c r="BS60" s="76"/>
      <c r="BT60" s="77"/>
      <c r="BU60" s="76"/>
      <c r="BV60" s="77"/>
      <c r="BW60" s="76"/>
      <c r="BX60" s="76"/>
      <c r="BY60" s="76"/>
      <c r="BZ60" s="76"/>
      <c r="CA60" s="76"/>
      <c r="CB60" s="77"/>
      <c r="CC60" s="76"/>
      <c r="CD60" s="77"/>
      <c r="CE60" s="76"/>
      <c r="CF60" s="76"/>
      <c r="CG60" s="76"/>
      <c r="CH60" s="76"/>
      <c r="CI60" s="76"/>
      <c r="CJ60" s="77"/>
      <c r="CK60" s="76"/>
      <c r="CL60" s="77"/>
      <c r="CM60" s="76"/>
      <c r="CN60" s="76"/>
      <c r="CO60" s="76"/>
      <c r="CP60" s="76"/>
      <c r="CQ60" s="76"/>
      <c r="CR60" s="78" t="str">
        <f t="shared" si="15"/>
        <v/>
      </c>
      <c r="CS60" s="79" t="str">
        <f t="shared" si="16"/>
        <v/>
      </c>
      <c r="CT60" s="79" t="str">
        <f t="shared" si="17"/>
        <v/>
      </c>
      <c r="CU60" s="79" t="str">
        <f t="shared" si="18"/>
        <v/>
      </c>
      <c r="CV60" s="79" t="str">
        <f t="shared" si="19"/>
        <v/>
      </c>
      <c r="CW60" s="79" t="str">
        <f t="shared" si="20"/>
        <v/>
      </c>
      <c r="CX60" s="79" t="str">
        <f t="shared" si="21"/>
        <v/>
      </c>
      <c r="CY60" s="79" t="str">
        <f t="shared" si="22"/>
        <v/>
      </c>
      <c r="CZ60" s="79" t="str">
        <f t="shared" si="23"/>
        <v/>
      </c>
      <c r="DA60" s="79" t="str">
        <f t="shared" si="24"/>
        <v/>
      </c>
      <c r="DB60" s="79" t="str">
        <f t="shared" si="25"/>
        <v/>
      </c>
      <c r="DC60" s="79" t="str">
        <f t="shared" si="26"/>
        <v/>
      </c>
      <c r="DD60" s="79" t="str">
        <f t="shared" si="27"/>
        <v/>
      </c>
      <c r="DE60" s="79" t="str">
        <f t="shared" si="28"/>
        <v/>
      </c>
      <c r="DF60" s="79" t="str">
        <f t="shared" si="29"/>
        <v/>
      </c>
      <c r="DG60" s="79" t="str">
        <f t="shared" si="30"/>
        <v/>
      </c>
      <c r="DH60" s="76"/>
      <c r="DI60" s="78"/>
      <c r="DJ60" s="76"/>
      <c r="DK60" s="77"/>
      <c r="DL60" s="77"/>
      <c r="DM60" s="77"/>
      <c r="DN60" s="80"/>
      <c r="DO60" s="80"/>
      <c r="DP60" s="92" t="str">
        <f>IF(Table1[Start Date]="","",IF(Table1[Start Date]&gt;42185,"",IF(AND(Table1[Leaving Date]&gt;1,Table1[Leaving Date]&lt;42095),"",1)))</f>
        <v/>
      </c>
      <c r="DQ60" s="92" t="str">
        <f>IF(Table1[Start Date]="","",IF(Table1[Start Date]&gt;42277,"",IF(AND(Table1[Leaving Date]&gt;1,Table1[Leaving Date]&lt;42186),"",1)))</f>
        <v/>
      </c>
      <c r="DR60" s="92" t="str">
        <f>IF(Table1[Start Date]="","",IF(Table1[Start Date]&gt;42369,"",IF(AND(Table1[Leaving Date]&gt;1,Table1[Leaving Date]&lt;42278),"",1)))</f>
        <v/>
      </c>
      <c r="DS60" s="92" t="str">
        <f>IF(Table1[Start Date]="","",IF(Table1[Start Date]&gt;42460,"",IF(AND(Table1[Leaving Date]&gt;1,Table1[Leaving Date]&lt;42370),"",1)))</f>
        <v/>
      </c>
      <c r="DT60" s="92" t="str">
        <f>IF(Table1[Start Date]="","",IF(Table1[Start Date]&gt;42551,"",IF(AND(Table1[Leaving Date]&gt;1,Table1[Leaving Date]&lt;42461),"",1)))</f>
        <v/>
      </c>
      <c r="DU60" s="92" t="str">
        <f>IF(Table1[Start Date]="","",IF(Table1[Start Date]&gt;42643,"",IF(AND(Table1[Leaving Date]&gt;1,Table1[Leaving Date]&lt;42552),"",1)))</f>
        <v/>
      </c>
      <c r="DV60" s="92" t="str">
        <f>IF(Table1[Start Date]="","",IF(Table1[Start Date]&gt;42735,"",IF(AND(Table1[Leaving Date]&gt;1,Table1[Leaving Date]&lt;42644),"",1)))</f>
        <v/>
      </c>
      <c r="DW60" s="92" t="str">
        <f>IF(Table1[Start Date]="","",IF(Table1[Start Date]&gt;42825,"",IF(AND(Table1[Leaving Date]&gt;1,Table1[Leaving Date]&lt;42736),"",1)))</f>
        <v/>
      </c>
      <c r="DX60"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60" s="44" t="e">
        <f>VLOOKUP(Table1[Referral Source],Lists!$G$2:$H$20,2,FALSE)</f>
        <v>#N/A</v>
      </c>
      <c r="DZ60" s="93" t="e">
        <f>SUM(Table1[Data Referral Quarter]+Table1[Data Referral Source])</f>
        <v>#N/A</v>
      </c>
      <c r="EA60" s="44" t="b">
        <f>IF(Table1[Referral Decision]="Accepted",100,IF(Table1[Referral Decision]="Rejected by Provider",200,IF(Table1[Referral Decision]="Rejected by Applicant",300)))</f>
        <v>0</v>
      </c>
      <c r="EB60" s="44">
        <f>SUM(Table1[Data Referral Quarter]+Table1[Data Referral Decision])</f>
        <v>0</v>
      </c>
      <c r="EC60" s="44" t="b">
        <f>IF(Table1[Start Date]&gt;42735,8000,IF(Table1[Start Date]&gt;42643,7000,IF(Table1[Start Date]&gt;42551,6000,IF(Table1[Start Date]&gt;42460,5000,IF(Table1[Start Date]&gt;42369,4000,IF(Table1[Start Date]&gt;42277,3000,IF(Table1[Start Date]&gt;42185,2000,IF(Table1[Start Date]&gt;42094,1000))))))))</f>
        <v>0</v>
      </c>
      <c r="ED60" s="44" t="str">
        <f>IF(Table1[Start Date]="","",IF(Table1[Current Local Authority]="Swindon",1,"2"))</f>
        <v/>
      </c>
      <c r="EE60" s="44" t="e">
        <f>SUM(Table1[Data Start Date]+Table1[Data Local Authority])</f>
        <v>#VALUE!</v>
      </c>
      <c r="EF60" s="44">
        <f>IF(Table1[Registered with GP]="Yes",1,0)</f>
        <v>0</v>
      </c>
      <c r="EG60" s="44">
        <f>SUM(Table1[Data Start Date]+Table1[Data GP Start])</f>
        <v>0</v>
      </c>
      <c r="EH60" s="44" t="str">
        <f>IF(Table1[EET]="NEET",1,IF(Table1[EET]="Education",2,IF(Table1[EET]="Employment",2,IF(Table1[EET]="Training",2,IF(Table1[EET]="Retired",3,"")))))</f>
        <v/>
      </c>
      <c r="EI60" s="44" t="e">
        <f>Table1[Data Start Date]+Table1[Data EET Start]</f>
        <v>#VALUE!</v>
      </c>
      <c r="EJ60" s="44" t="b">
        <f>IF(Table1[Leaving Date]&gt;42735,8000,IF(Table1[Leaving Date]&gt;42643,7000,IF(Table1[Leaving Date]&gt;42551,6000,IF(Table1[Leaving Date]&gt;42460,5000,IF(Table1[Leaving Date]&gt;42369,4000,IF(Table1[Leaving Date]&gt;42277,3000,IF(Table1[Leaving Date]&gt;42185,2000,IF(Table1[Leaving Date]&gt;42094,1000))))))))</f>
        <v>0</v>
      </c>
      <c r="EK60" s="44" t="e">
        <f>VLOOKUP(Table1[Reason for Leaving],Lists!$T$2:$U$15,2,FALSE)</f>
        <v>#N/A</v>
      </c>
      <c r="EL60" s="44" t="e">
        <f>SUM(Table1[Data Leavers Date]+Table1[Data Move On])</f>
        <v>#N/A</v>
      </c>
      <c r="EM60" s="44" t="b">
        <f>IF(Table1[Registered with GP2]="Yes",1,IF(Table1[Registered with GP2]="No",0,IF(Table1[Registered with GP]="Yes",1,IF(Table1[Registered with GP]="No",0))))</f>
        <v>0</v>
      </c>
      <c r="EN60" s="44">
        <f>SUM(Table1[Data Leavers Date]+Table1[Data GP End])</f>
        <v>0</v>
      </c>
      <c r="EO60" s="44" t="str">
        <f>IF(Table1[EET2]="NEET",1,IF(Table1[EET2]="Employment",2,IF(Table1[EET2]="Education",2,IF(Table1[EET2]="Training",2,IF(Table1[EET2]="Retired",3,IF(Table1[EET]="NEET",1,IF(Table1[EET]="Employment",2,IF(Table1[EET]="Education",2,IF(Table1[EET]="Training",2,IF(Table1[EET]="Retired",3,""))))))))))</f>
        <v/>
      </c>
      <c r="EP60" s="44" t="e">
        <f>+Table1[[#This Row],[Data Leavers Date]]+Table1[[#This Row],[Data EET End]]</f>
        <v>#VALUE!</v>
      </c>
      <c r="EQ60" s="44">
        <f>IF(Table1[Exit Form Received]="Yes",1,0)</f>
        <v>0</v>
      </c>
      <c r="ER60" s="44">
        <f>+Table1[[#This Row],[Data Leavers Date]]+Table1[[#This Row],[Data Exit Forms]]</f>
        <v>0</v>
      </c>
      <c r="ES60" s="44" t="str">
        <f>IF(Table1[Data Leavers Date]=1000,SUM(Table1[Leaving Date]-Table1[Start Date]),"")</f>
        <v/>
      </c>
      <c r="ET60" s="44" t="str">
        <f>IF(Table1[Data Leavers Date]=2000,SUM(Table1[Leaving Date]-Table1[Start Date]),"")</f>
        <v/>
      </c>
      <c r="EU60" s="44" t="str">
        <f>IF(Table1[Data Leavers Date]=3000,SUM(Table1[Leaving Date]-Table1[Start Date]),"")</f>
        <v/>
      </c>
      <c r="EV60" s="44" t="str">
        <f>IF(Table1[Data Leavers Date]=4000,SUM(Table1[Leaving Date]-Table1[Start Date]),"")</f>
        <v/>
      </c>
      <c r="EW60" s="44" t="str">
        <f>IF(Table1[Data Leavers Date]=5000,SUM(Table1[Leaving Date]-Table1[Start Date]),"")</f>
        <v/>
      </c>
      <c r="EX60" s="44" t="str">
        <f>IF(Table1[Data Leavers Date]=6000,SUM(Table1[Leaving Date]-Table1[Start Date]),"")</f>
        <v/>
      </c>
      <c r="EY60" s="44" t="str">
        <f>IF(Table1[Data Leavers Date]=7000,SUM(Table1[Leaving Date]-Table1[Start Date]),"")</f>
        <v/>
      </c>
      <c r="EZ60" s="44" t="str">
        <f>IF(Table1[Data Leavers Date]=8000,SUM(Table1[Leaving Date]-Table1[Start Date]),"")</f>
        <v/>
      </c>
      <c r="FA60" s="44" t="str">
        <f>IF(Table1[Date of Initial Assessment]="","",IF(AND(Table1[Start Date]&gt;42094,Table1[Start Date]&lt;42461),Table1[Motivation and Taking Responsibility],""))</f>
        <v/>
      </c>
      <c r="FB60" s="44" t="str">
        <f>IF(Table1[Date of Initial Assessment]="","",IF(AND(Table1[Start Date]&gt;42094,Table1[Start Date]&lt;42461),Table1[Self-Care and Living Skills],""))</f>
        <v/>
      </c>
      <c r="FC60" s="44" t="str">
        <f>IF(Table1[Date of Initial Assessment]="","",IF(AND(Table1[Start Date]&gt;42094,Table1[Start Date]&lt;42461),Table1[Managing Money and Personal Administration],""))</f>
        <v/>
      </c>
      <c r="FD60" s="44" t="str">
        <f>IF(Table1[Date of Initial Assessment]="","",IF(AND(Table1[Start Date]&gt;42094,Table1[Start Date]&lt;42461),Table1[Social Networks and Relationships],""))</f>
        <v/>
      </c>
      <c r="FE60" s="44" t="str">
        <f>IF(Table1[Date of Initial Assessment]="","",IF(AND(Table1[Start Date]&gt;42094,Table1[Start Date]&lt;42461),Table1[Drug and Alcohol Misuse],""))</f>
        <v/>
      </c>
      <c r="FF60" s="44" t="str">
        <f>IF(Table1[Date of Initial Assessment]="","",IF(AND(Table1[Start Date]&gt;42094,Table1[Start Date]&lt;42461),Table1[Physical Health],""))</f>
        <v/>
      </c>
      <c r="FG60" s="44" t="str">
        <f>IF(Table1[Date of Initial Assessment]="","",IF(AND(Table1[Start Date]&gt;42094,Table1[Start Date]&lt;42461),Table1[Emotional and Mental Health],""))</f>
        <v/>
      </c>
      <c r="FH60" s="44" t="str">
        <f>IF(Table1[Date of Initial Assessment]="","",IF(AND(Table1[Start Date]&gt;42094,Table1[Start Date]&lt;42461),Table1[Meaningful Use of Time],""))</f>
        <v/>
      </c>
      <c r="FI60" s="44" t="str">
        <f>IF(Table1[Date of Initial Assessment]="","",IF(AND(Table1[Start Date]&gt;42094,Table1[Start Date]&lt;42461),Table1[Managing Tenancy and Accommodation],""))</f>
        <v/>
      </c>
      <c r="FJ60" s="44" t="str">
        <f>IF(Table1[Date of Initial Assessment]="","",IF(AND(Table1[Start Date]&gt;42094,Table1[Start Date]&lt;42461),Table1[Offending],""))</f>
        <v/>
      </c>
      <c r="FK60" s="44" t="str">
        <f>IF(Table1[Leaving Date]="","",IF(Table1[Date of Initial Assessment]="","",IF(AND(Table1[Leaving Date]&gt;42094,Table1[Leaving Date]&lt;42461),IF(Table1[Date of Last Assessment]="",Table1[Motivation and Taking Responsibility],Table1[Motivation and Taking Responsibility2]),"")))</f>
        <v/>
      </c>
      <c r="FL60" s="44" t="str">
        <f>IF(Table1[Leaving Date]="","",IF(Table1[Date of Initial Assessment]="","",IF(AND(Table1[Leaving Date]&gt;42094,Table1[Leaving Date]&lt;42461),IF(Table1[Date of Last Assessment]="",Table1[Self-Care and Living Skills],Table1[Self-Care and Living Skills2]),"")))</f>
        <v/>
      </c>
      <c r="FM60" s="44" t="str">
        <f>IF(Table1[Leaving Date]="","",IF(Table1[Date of Initial Assessment]="","",IF(AND(Table1[Leaving Date]&gt;42094,Table1[Leaving Date]&lt;42461),IF(Table1[Date of Last Assessment]="",Table1[Managing Money and Personal Administration],Table1[Managing Money and Personal Administration2]),"")))</f>
        <v/>
      </c>
      <c r="FN60" s="44" t="str">
        <f>IF(Table1[Leaving Date]="","",IF(Table1[Date of Initial Assessment]="","",IF(AND(Table1[Leaving Date]&gt;42094,Table1[Leaving Date]&lt;42461),IF(Table1[Date of Last Assessment]="",Table1[Social Networks and Relationships],Table1[Social Networks and Relationships2]),"")))</f>
        <v/>
      </c>
      <c r="FO60" s="44" t="str">
        <f>IF(Table1[Leaving Date]="","",IF(Table1[Date of Initial Assessment]="","",IF(AND(Table1[Leaving Date]&gt;42094,Table1[Leaving Date]&lt;42461),IF(Table1[Date of Last Assessment]="",Table1[Drug and Alcohol Misuse],Table1[Drug and Alcohol Misuse2]),"")))</f>
        <v/>
      </c>
      <c r="FP60" s="44" t="str">
        <f>IF(Table1[Leaving Date]="","",IF(Table1[Date of Initial Assessment]="","",IF(AND(Table1[Leaving Date]&gt;42094,Table1[Leaving Date]&lt;42461),IF(Table1[Date of Last Assessment]="",Table1[Physical Health],Table1[Physical Health2]),"")))</f>
        <v/>
      </c>
      <c r="FQ60" s="44" t="str">
        <f>IF(Table1[Leaving Date]="","",IF(Table1[Date of Initial Assessment]="","",IF(AND(Table1[Leaving Date]&gt;42094,Table1[Leaving Date]&lt;42461),IF(Table1[Date of Last Assessment]="",Table1[Emotional and Mental Health],Table1[Emotional and Mental Health2]),"")))</f>
        <v/>
      </c>
      <c r="FR60" s="44" t="str">
        <f>IF(Table1[Leaving Date]="","",IF(Table1[Date of Initial Assessment]="","",IF(AND(Table1[Leaving Date]&gt;42094,Table1[Leaving Date]&lt;42461),IF(Table1[Date of Last Assessment]="",Table1[Meaningful Use of Time],Table1[Meaningful Use of Time2]),"")))</f>
        <v/>
      </c>
      <c r="FS60" s="44" t="str">
        <f>IF(Table1[Leaving Date]="","",IF(Table1[Date of Initial Assessment]="","",IF(AND(Table1[Leaving Date]&gt;42094,Table1[Leaving Date]&lt;42461),IF(Table1[Date of Last Assessment]="",Table1[Managing Tenancy and Accommodation],Table1[Managing Tenancy and Accommodation2]),"")))</f>
        <v/>
      </c>
      <c r="FT60" s="44" t="str">
        <f>IF(Table1[Leaving Date]="","",IF(Table1[Date of Initial Assessment]="","",IF(AND(Table1[Leaving Date]&gt;42094,Table1[Leaving Date]&lt;42461),IF(Table1[Date of Last Assessment]="",Table1[Offending],Table1[Offending2]),"")))</f>
        <v/>
      </c>
      <c r="FU60" s="44" t="str">
        <f>IF(Table1[Date of Initial Assessment]="","",IF(AND(Table1[Start Date]&gt;42460,Table1[Start Date]&lt;42826),Table1[Motivation and Taking Responsibility],""))</f>
        <v/>
      </c>
      <c r="FV60" s="44" t="str">
        <f>IF(Table1[Date of Initial Assessment]="","",IF(AND(Table1[Start Date]&gt;42460,Table1[Start Date]&lt;42826),Table1[Self-Care and Living Skills],""))</f>
        <v/>
      </c>
      <c r="FW60" s="44" t="str">
        <f>IF(Table1[Date of Initial Assessment]="","",IF(AND(Table1[Start Date]&gt;42460,Table1[Start Date]&lt;42826),Table1[Managing Money and Personal Administration],""))</f>
        <v/>
      </c>
      <c r="FX60" s="44" t="str">
        <f>IF(Table1[Date of Initial Assessment]="","",IF(AND(Table1[Start Date]&gt;42460,Table1[Start Date]&lt;42826),Table1[Social Networks and Relationships],""))</f>
        <v/>
      </c>
      <c r="FY60" s="44" t="str">
        <f>IF(Table1[Date of Initial Assessment]="","",IF(AND(Table1[Start Date]&gt;42460,Table1[Start Date]&lt;42826),Table1[Drug and Alcohol Misuse],""))</f>
        <v/>
      </c>
      <c r="FZ60" s="44" t="str">
        <f>IF(Table1[Date of Initial Assessment]="","",IF(AND(Table1[Start Date]&gt;42460,Table1[Start Date]&lt;42826),Table1[Physical Health],""))</f>
        <v/>
      </c>
      <c r="GA60" s="44" t="str">
        <f>IF(Table1[Date of Initial Assessment]="","",IF(AND(Table1[Start Date]&gt;42460,Table1[Start Date]&lt;42826),Table1[Emotional and Mental Health],""))</f>
        <v/>
      </c>
      <c r="GB60" s="44" t="str">
        <f>IF(Table1[Date of Initial Assessment]="","",IF(AND(Table1[Start Date]&gt;42460,Table1[Start Date]&lt;42826),Table1[Meaningful Use of Time],""))</f>
        <v/>
      </c>
      <c r="GC60" s="44" t="str">
        <f>IF(Table1[Date of Initial Assessment]="","",IF(AND(Table1[Start Date]&gt;42460,Table1[Start Date]&lt;42826),Table1[Managing Tenancy and Accommodation],""))</f>
        <v/>
      </c>
      <c r="GD60" s="44" t="str">
        <f>IF(Table1[Date of Initial Assessment]="","",IF(AND(Table1[Start Date]&gt;42460,Table1[Start Date]&lt;42826),Table1[Offending],""))</f>
        <v/>
      </c>
      <c r="GE60" s="44" t="str">
        <f>IF(Table1[Leaving Date]="","",IF(AND(Table1[Leaving Date]&gt;42460,Table1[Leaving Date]&lt;42826),IF(Table1[Date of Last Assessment]="",Table1[Motivation and Taking Responsibility],Table1[Motivation and Taking Responsibility2]),""))</f>
        <v/>
      </c>
      <c r="GF60" s="44" t="str">
        <f>IF(Table1[Leaving Date]="","",IF(AND(Table1[Leaving Date]&gt;42460,Table1[Leaving Date]&lt;42826),IF(Table1[Date of Last Assessment]="",Table1[Self-Care and Living Skills],Table1[Self-Care and Living Skills2]),""))</f>
        <v/>
      </c>
      <c r="GG60" s="44" t="str">
        <f>IF(Table1[Leaving Date]="","",IF(AND(Table1[Leaving Date]&gt;42460,Table1[Leaving Date]&lt;42826),IF(Table1[Date of Last Assessment]="",Table1[Managing Money and Personal Administration],Table1[Managing Money and Personal Administration2]),""))</f>
        <v/>
      </c>
      <c r="GH60" s="44" t="str">
        <f>IF(Table1[Leaving Date]="","",IF(AND(Table1[Leaving Date]&gt;42460,Table1[Leaving Date]&lt;42826),IF(Table1[Date of Last Assessment]="",Table1[Social Networks and Relationships],Table1[Social Networks and Relationships2]),""))</f>
        <v/>
      </c>
      <c r="GI60" s="44" t="str">
        <f>IF(Table1[Leaving Date]="","",IF(AND(Table1[Leaving Date]&gt;42460,Table1[Leaving Date]&lt;42826),IF(Table1[Date of Last Assessment]="",Table1[Drug and Alcohol Misuse],Table1[Drug and Alcohol Misuse2]),""))</f>
        <v/>
      </c>
      <c r="GJ60" s="44" t="str">
        <f>IF(Table1[Leaving Date]="","",IF(AND(Table1[Leaving Date]&gt;42460,Table1[Leaving Date]&lt;42826),IF(Table1[Date of Last Assessment]="",Table1[Physical Health],Table1[Physical Health2]),""))</f>
        <v/>
      </c>
      <c r="GK60" s="44" t="str">
        <f>IF(Table1[Leaving Date]="","",IF(AND(Table1[Leaving Date]&gt;42460,Table1[Leaving Date]&lt;42826),IF(Table1[Date of Last Assessment]="",Table1[Emotional and Mental Health],Table1[Emotional and Mental Health2]),""))</f>
        <v/>
      </c>
      <c r="GL60" s="44" t="str">
        <f>IF(Table1[Leaving Date]="","",IF(AND(Table1[Leaving Date]&gt;42460,Table1[Leaving Date]&lt;42826),IF(Table1[Date of Last Assessment]="",Table1[Meaningful Use of Time],Table1[Meaningful Use of Time2]),""))</f>
        <v/>
      </c>
      <c r="GM60" s="44" t="str">
        <f>IF(Table1[Leaving Date]="","",IF(AND(Table1[Leaving Date]&gt;42460,Table1[Leaving Date]&lt;42826),IF(Table1[Date of Last Assessment]="",Table1[Managing Tenancy and Accommodation],Table1[Managing Tenancy and Accommodation2]),""))</f>
        <v/>
      </c>
      <c r="GN60" s="44" t="str">
        <f>IF(Table1[Leaving Date]="","",IF(AND(Table1[Leaving Date]&gt;42460,Table1[Leaving Date]&lt;42826),IF(Table1[Date of Last Assessment]="",Table1[Offending],Table1[Offending2]),""))</f>
        <v/>
      </c>
    </row>
    <row r="61" spans="2:196" ht="20.100000000000001" customHeight="1" x14ac:dyDescent="0.2">
      <c r="B61" s="86">
        <f>+'Service Data'!$C$5:$C$5</f>
        <v>0</v>
      </c>
      <c r="C61" s="86"/>
      <c r="D61" s="86"/>
      <c r="E61" s="86"/>
      <c r="F61" s="86"/>
      <c r="G61" s="86"/>
      <c r="H61" s="6"/>
      <c r="I61" s="99" t="str">
        <f ca="1">IF(Table1[[#This Row],[Date of Birth]]="","",SUM(TODAY()-Table1[[#This Row],[Date of Birth]])/365)</f>
        <v/>
      </c>
      <c r="L61" s="86"/>
      <c r="M61" s="77"/>
      <c r="N61" s="86"/>
      <c r="O61" s="86"/>
      <c r="P61" s="91"/>
      <c r="Q61" s="86"/>
      <c r="R61" s="77"/>
      <c r="S61" s="77"/>
      <c r="T61" s="68"/>
      <c r="U61" s="68"/>
      <c r="V61" s="67"/>
      <c r="W61" s="67"/>
      <c r="X61" s="67"/>
      <c r="Y61" s="67"/>
      <c r="Z61" s="67"/>
      <c r="AA61" s="67"/>
      <c r="AB61" s="67"/>
      <c r="AC61" s="67"/>
      <c r="AD61" s="67"/>
      <c r="AE61" s="67"/>
      <c r="AF61" s="67"/>
      <c r="AG61" s="67"/>
      <c r="AH61" s="67"/>
      <c r="AI61" s="67"/>
      <c r="AJ61" s="67"/>
      <c r="AK61" s="67"/>
      <c r="AL61" s="67"/>
      <c r="AM61" s="67"/>
      <c r="AN61" s="77"/>
      <c r="AO61" s="76"/>
      <c r="AP61" s="77"/>
      <c r="AQ61" s="76"/>
      <c r="AR61" s="76"/>
      <c r="AS61" s="76"/>
      <c r="AT61" s="76"/>
      <c r="AU61" s="76"/>
      <c r="AV61" s="77"/>
      <c r="AW61" s="76"/>
      <c r="AX61" s="77"/>
      <c r="AY61" s="76"/>
      <c r="AZ61" s="76"/>
      <c r="BA61" s="76"/>
      <c r="BB61" s="76"/>
      <c r="BC61" s="76"/>
      <c r="BD61" s="77"/>
      <c r="BE61" s="76"/>
      <c r="BF61" s="77"/>
      <c r="BG61" s="76"/>
      <c r="BH61" s="76"/>
      <c r="BI61" s="76"/>
      <c r="BJ61" s="76"/>
      <c r="BK61" s="76"/>
      <c r="BL61" s="77"/>
      <c r="BM61" s="76"/>
      <c r="BN61" s="77"/>
      <c r="BO61" s="76"/>
      <c r="BP61" s="76"/>
      <c r="BQ61" s="76"/>
      <c r="BR61" s="76"/>
      <c r="BS61" s="76"/>
      <c r="BT61" s="77"/>
      <c r="BU61" s="76"/>
      <c r="BV61" s="77"/>
      <c r="BW61" s="76"/>
      <c r="BX61" s="76"/>
      <c r="BY61" s="76"/>
      <c r="BZ61" s="76"/>
      <c r="CA61" s="76"/>
      <c r="CB61" s="77"/>
      <c r="CC61" s="76"/>
      <c r="CD61" s="77"/>
      <c r="CE61" s="76"/>
      <c r="CF61" s="76"/>
      <c r="CG61" s="76"/>
      <c r="CH61" s="76"/>
      <c r="CI61" s="76"/>
      <c r="CJ61" s="77"/>
      <c r="CK61" s="76"/>
      <c r="CL61" s="77"/>
      <c r="CM61" s="76"/>
      <c r="CN61" s="76"/>
      <c r="CO61" s="76"/>
      <c r="CP61" s="76"/>
      <c r="CQ61" s="76"/>
      <c r="CR61" s="78" t="str">
        <f t="shared" si="15"/>
        <v/>
      </c>
      <c r="CS61" s="79" t="str">
        <f t="shared" si="16"/>
        <v/>
      </c>
      <c r="CT61" s="79" t="str">
        <f t="shared" si="17"/>
        <v/>
      </c>
      <c r="CU61" s="79" t="str">
        <f t="shared" si="18"/>
        <v/>
      </c>
      <c r="CV61" s="79" t="str">
        <f t="shared" si="19"/>
        <v/>
      </c>
      <c r="CW61" s="79" t="str">
        <f t="shared" si="20"/>
        <v/>
      </c>
      <c r="CX61" s="79" t="str">
        <f t="shared" si="21"/>
        <v/>
      </c>
      <c r="CY61" s="79" t="str">
        <f t="shared" si="22"/>
        <v/>
      </c>
      <c r="CZ61" s="79" t="str">
        <f t="shared" si="23"/>
        <v/>
      </c>
      <c r="DA61" s="79" t="str">
        <f t="shared" si="24"/>
        <v/>
      </c>
      <c r="DB61" s="79" t="str">
        <f t="shared" si="25"/>
        <v/>
      </c>
      <c r="DC61" s="79" t="str">
        <f t="shared" si="26"/>
        <v/>
      </c>
      <c r="DD61" s="79" t="str">
        <f t="shared" si="27"/>
        <v/>
      </c>
      <c r="DE61" s="79" t="str">
        <f t="shared" si="28"/>
        <v/>
      </c>
      <c r="DF61" s="79" t="str">
        <f t="shared" si="29"/>
        <v/>
      </c>
      <c r="DG61" s="79" t="str">
        <f t="shared" si="30"/>
        <v/>
      </c>
      <c r="DH61" s="76"/>
      <c r="DI61" s="78"/>
      <c r="DJ61" s="76"/>
      <c r="DK61" s="77"/>
      <c r="DL61" s="77"/>
      <c r="DM61" s="77"/>
      <c r="DN61" s="80"/>
      <c r="DO61" s="80"/>
      <c r="DP61" s="92" t="str">
        <f>IF(Table1[Start Date]="","",IF(Table1[Start Date]&gt;42185,"",IF(AND(Table1[Leaving Date]&gt;1,Table1[Leaving Date]&lt;42095),"",1)))</f>
        <v/>
      </c>
      <c r="DQ61" s="92" t="str">
        <f>IF(Table1[Start Date]="","",IF(Table1[Start Date]&gt;42277,"",IF(AND(Table1[Leaving Date]&gt;1,Table1[Leaving Date]&lt;42186),"",1)))</f>
        <v/>
      </c>
      <c r="DR61" s="92" t="str">
        <f>IF(Table1[Start Date]="","",IF(Table1[Start Date]&gt;42369,"",IF(AND(Table1[Leaving Date]&gt;1,Table1[Leaving Date]&lt;42278),"",1)))</f>
        <v/>
      </c>
      <c r="DS61" s="92" t="str">
        <f>IF(Table1[Start Date]="","",IF(Table1[Start Date]&gt;42460,"",IF(AND(Table1[Leaving Date]&gt;1,Table1[Leaving Date]&lt;42370),"",1)))</f>
        <v/>
      </c>
      <c r="DT61" s="92" t="str">
        <f>IF(Table1[Start Date]="","",IF(Table1[Start Date]&gt;42551,"",IF(AND(Table1[Leaving Date]&gt;1,Table1[Leaving Date]&lt;42461),"",1)))</f>
        <v/>
      </c>
      <c r="DU61" s="92" t="str">
        <f>IF(Table1[Start Date]="","",IF(Table1[Start Date]&gt;42643,"",IF(AND(Table1[Leaving Date]&gt;1,Table1[Leaving Date]&lt;42552),"",1)))</f>
        <v/>
      </c>
      <c r="DV61" s="92" t="str">
        <f>IF(Table1[Start Date]="","",IF(Table1[Start Date]&gt;42735,"",IF(AND(Table1[Leaving Date]&gt;1,Table1[Leaving Date]&lt;42644),"",1)))</f>
        <v/>
      </c>
      <c r="DW61" s="92" t="str">
        <f>IF(Table1[Start Date]="","",IF(Table1[Start Date]&gt;42825,"",IF(AND(Table1[Leaving Date]&gt;1,Table1[Leaving Date]&lt;42736),"",1)))</f>
        <v/>
      </c>
      <c r="DX61"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61" s="44" t="e">
        <f>VLOOKUP(Table1[Referral Source],Lists!$G$2:$H$20,2,FALSE)</f>
        <v>#N/A</v>
      </c>
      <c r="DZ61" s="93" t="e">
        <f>SUM(Table1[Data Referral Quarter]+Table1[Data Referral Source])</f>
        <v>#N/A</v>
      </c>
      <c r="EA61" s="44" t="b">
        <f>IF(Table1[Referral Decision]="Accepted",100,IF(Table1[Referral Decision]="Rejected by Provider",200,IF(Table1[Referral Decision]="Rejected by Applicant",300)))</f>
        <v>0</v>
      </c>
      <c r="EB61" s="44">
        <f>SUM(Table1[Data Referral Quarter]+Table1[Data Referral Decision])</f>
        <v>0</v>
      </c>
      <c r="EC61" s="44" t="b">
        <f>IF(Table1[Start Date]&gt;42735,8000,IF(Table1[Start Date]&gt;42643,7000,IF(Table1[Start Date]&gt;42551,6000,IF(Table1[Start Date]&gt;42460,5000,IF(Table1[Start Date]&gt;42369,4000,IF(Table1[Start Date]&gt;42277,3000,IF(Table1[Start Date]&gt;42185,2000,IF(Table1[Start Date]&gt;42094,1000))))))))</f>
        <v>0</v>
      </c>
      <c r="ED61" s="44" t="str">
        <f>IF(Table1[Start Date]="","",IF(Table1[Current Local Authority]="Swindon",1,"2"))</f>
        <v/>
      </c>
      <c r="EE61" s="44" t="e">
        <f>SUM(Table1[Data Start Date]+Table1[Data Local Authority])</f>
        <v>#VALUE!</v>
      </c>
      <c r="EF61" s="44">
        <f>IF(Table1[Registered with GP]="Yes",1,0)</f>
        <v>0</v>
      </c>
      <c r="EG61" s="44">
        <f>SUM(Table1[Data Start Date]+Table1[Data GP Start])</f>
        <v>0</v>
      </c>
      <c r="EH61" s="44" t="str">
        <f>IF(Table1[EET]="NEET",1,IF(Table1[EET]="Education",2,IF(Table1[EET]="Employment",2,IF(Table1[EET]="Training",2,IF(Table1[EET]="Retired",3,"")))))</f>
        <v/>
      </c>
      <c r="EI61" s="44" t="e">
        <f>Table1[Data Start Date]+Table1[Data EET Start]</f>
        <v>#VALUE!</v>
      </c>
      <c r="EJ61" s="44" t="b">
        <f>IF(Table1[Leaving Date]&gt;42735,8000,IF(Table1[Leaving Date]&gt;42643,7000,IF(Table1[Leaving Date]&gt;42551,6000,IF(Table1[Leaving Date]&gt;42460,5000,IF(Table1[Leaving Date]&gt;42369,4000,IF(Table1[Leaving Date]&gt;42277,3000,IF(Table1[Leaving Date]&gt;42185,2000,IF(Table1[Leaving Date]&gt;42094,1000))))))))</f>
        <v>0</v>
      </c>
      <c r="EK61" s="44" t="e">
        <f>VLOOKUP(Table1[Reason for Leaving],Lists!$T$2:$U$15,2,FALSE)</f>
        <v>#N/A</v>
      </c>
      <c r="EL61" s="44" t="e">
        <f>SUM(Table1[Data Leavers Date]+Table1[Data Move On])</f>
        <v>#N/A</v>
      </c>
      <c r="EM61" s="44" t="b">
        <f>IF(Table1[Registered with GP2]="Yes",1,IF(Table1[Registered with GP2]="No",0,IF(Table1[Registered with GP]="Yes",1,IF(Table1[Registered with GP]="No",0))))</f>
        <v>0</v>
      </c>
      <c r="EN61" s="44">
        <f>SUM(Table1[Data Leavers Date]+Table1[Data GP End])</f>
        <v>0</v>
      </c>
      <c r="EO61" s="44" t="str">
        <f>IF(Table1[EET2]="NEET",1,IF(Table1[EET2]="Employment",2,IF(Table1[EET2]="Education",2,IF(Table1[EET2]="Training",2,IF(Table1[EET2]="Retired",3,IF(Table1[EET]="NEET",1,IF(Table1[EET]="Employment",2,IF(Table1[EET]="Education",2,IF(Table1[EET]="Training",2,IF(Table1[EET]="Retired",3,""))))))))))</f>
        <v/>
      </c>
      <c r="EP61" s="44" t="e">
        <f>+Table1[[#This Row],[Data Leavers Date]]+Table1[[#This Row],[Data EET End]]</f>
        <v>#VALUE!</v>
      </c>
      <c r="EQ61" s="44">
        <f>IF(Table1[Exit Form Received]="Yes",1,0)</f>
        <v>0</v>
      </c>
      <c r="ER61" s="44">
        <f>+Table1[[#This Row],[Data Leavers Date]]+Table1[[#This Row],[Data Exit Forms]]</f>
        <v>0</v>
      </c>
      <c r="ES61" s="44" t="str">
        <f>IF(Table1[Data Leavers Date]=1000,SUM(Table1[Leaving Date]-Table1[Start Date]),"")</f>
        <v/>
      </c>
      <c r="ET61" s="44" t="str">
        <f>IF(Table1[Data Leavers Date]=2000,SUM(Table1[Leaving Date]-Table1[Start Date]),"")</f>
        <v/>
      </c>
      <c r="EU61" s="44" t="str">
        <f>IF(Table1[Data Leavers Date]=3000,SUM(Table1[Leaving Date]-Table1[Start Date]),"")</f>
        <v/>
      </c>
      <c r="EV61" s="44" t="str">
        <f>IF(Table1[Data Leavers Date]=4000,SUM(Table1[Leaving Date]-Table1[Start Date]),"")</f>
        <v/>
      </c>
      <c r="EW61" s="44" t="str">
        <f>IF(Table1[Data Leavers Date]=5000,SUM(Table1[Leaving Date]-Table1[Start Date]),"")</f>
        <v/>
      </c>
      <c r="EX61" s="44" t="str">
        <f>IF(Table1[Data Leavers Date]=6000,SUM(Table1[Leaving Date]-Table1[Start Date]),"")</f>
        <v/>
      </c>
      <c r="EY61" s="44" t="str">
        <f>IF(Table1[Data Leavers Date]=7000,SUM(Table1[Leaving Date]-Table1[Start Date]),"")</f>
        <v/>
      </c>
      <c r="EZ61" s="44" t="str">
        <f>IF(Table1[Data Leavers Date]=8000,SUM(Table1[Leaving Date]-Table1[Start Date]),"")</f>
        <v/>
      </c>
      <c r="FA61" s="44" t="str">
        <f>IF(Table1[Date of Initial Assessment]="","",IF(AND(Table1[Start Date]&gt;42094,Table1[Start Date]&lt;42461),Table1[Motivation and Taking Responsibility],""))</f>
        <v/>
      </c>
      <c r="FB61" s="44" t="str">
        <f>IF(Table1[Date of Initial Assessment]="","",IF(AND(Table1[Start Date]&gt;42094,Table1[Start Date]&lt;42461),Table1[Self-Care and Living Skills],""))</f>
        <v/>
      </c>
      <c r="FC61" s="44" t="str">
        <f>IF(Table1[Date of Initial Assessment]="","",IF(AND(Table1[Start Date]&gt;42094,Table1[Start Date]&lt;42461),Table1[Managing Money and Personal Administration],""))</f>
        <v/>
      </c>
      <c r="FD61" s="44" t="str">
        <f>IF(Table1[Date of Initial Assessment]="","",IF(AND(Table1[Start Date]&gt;42094,Table1[Start Date]&lt;42461),Table1[Social Networks and Relationships],""))</f>
        <v/>
      </c>
      <c r="FE61" s="44" t="str">
        <f>IF(Table1[Date of Initial Assessment]="","",IF(AND(Table1[Start Date]&gt;42094,Table1[Start Date]&lt;42461),Table1[Drug and Alcohol Misuse],""))</f>
        <v/>
      </c>
      <c r="FF61" s="44" t="str">
        <f>IF(Table1[Date of Initial Assessment]="","",IF(AND(Table1[Start Date]&gt;42094,Table1[Start Date]&lt;42461),Table1[Physical Health],""))</f>
        <v/>
      </c>
      <c r="FG61" s="44" t="str">
        <f>IF(Table1[Date of Initial Assessment]="","",IF(AND(Table1[Start Date]&gt;42094,Table1[Start Date]&lt;42461),Table1[Emotional and Mental Health],""))</f>
        <v/>
      </c>
      <c r="FH61" s="44" t="str">
        <f>IF(Table1[Date of Initial Assessment]="","",IF(AND(Table1[Start Date]&gt;42094,Table1[Start Date]&lt;42461),Table1[Meaningful Use of Time],""))</f>
        <v/>
      </c>
      <c r="FI61" s="44" t="str">
        <f>IF(Table1[Date of Initial Assessment]="","",IF(AND(Table1[Start Date]&gt;42094,Table1[Start Date]&lt;42461),Table1[Managing Tenancy and Accommodation],""))</f>
        <v/>
      </c>
      <c r="FJ61" s="44" t="str">
        <f>IF(Table1[Date of Initial Assessment]="","",IF(AND(Table1[Start Date]&gt;42094,Table1[Start Date]&lt;42461),Table1[Offending],""))</f>
        <v/>
      </c>
      <c r="FK61" s="44" t="str">
        <f>IF(Table1[Leaving Date]="","",IF(Table1[Date of Initial Assessment]="","",IF(AND(Table1[Leaving Date]&gt;42094,Table1[Leaving Date]&lt;42461),IF(Table1[Date of Last Assessment]="",Table1[Motivation and Taking Responsibility],Table1[Motivation and Taking Responsibility2]),"")))</f>
        <v/>
      </c>
      <c r="FL61" s="44" t="str">
        <f>IF(Table1[Leaving Date]="","",IF(Table1[Date of Initial Assessment]="","",IF(AND(Table1[Leaving Date]&gt;42094,Table1[Leaving Date]&lt;42461),IF(Table1[Date of Last Assessment]="",Table1[Self-Care and Living Skills],Table1[Self-Care and Living Skills2]),"")))</f>
        <v/>
      </c>
      <c r="FM61" s="44" t="str">
        <f>IF(Table1[Leaving Date]="","",IF(Table1[Date of Initial Assessment]="","",IF(AND(Table1[Leaving Date]&gt;42094,Table1[Leaving Date]&lt;42461),IF(Table1[Date of Last Assessment]="",Table1[Managing Money and Personal Administration],Table1[Managing Money and Personal Administration2]),"")))</f>
        <v/>
      </c>
      <c r="FN61" s="44" t="str">
        <f>IF(Table1[Leaving Date]="","",IF(Table1[Date of Initial Assessment]="","",IF(AND(Table1[Leaving Date]&gt;42094,Table1[Leaving Date]&lt;42461),IF(Table1[Date of Last Assessment]="",Table1[Social Networks and Relationships],Table1[Social Networks and Relationships2]),"")))</f>
        <v/>
      </c>
      <c r="FO61" s="44" t="str">
        <f>IF(Table1[Leaving Date]="","",IF(Table1[Date of Initial Assessment]="","",IF(AND(Table1[Leaving Date]&gt;42094,Table1[Leaving Date]&lt;42461),IF(Table1[Date of Last Assessment]="",Table1[Drug and Alcohol Misuse],Table1[Drug and Alcohol Misuse2]),"")))</f>
        <v/>
      </c>
      <c r="FP61" s="44" t="str">
        <f>IF(Table1[Leaving Date]="","",IF(Table1[Date of Initial Assessment]="","",IF(AND(Table1[Leaving Date]&gt;42094,Table1[Leaving Date]&lt;42461),IF(Table1[Date of Last Assessment]="",Table1[Physical Health],Table1[Physical Health2]),"")))</f>
        <v/>
      </c>
      <c r="FQ61" s="44" t="str">
        <f>IF(Table1[Leaving Date]="","",IF(Table1[Date of Initial Assessment]="","",IF(AND(Table1[Leaving Date]&gt;42094,Table1[Leaving Date]&lt;42461),IF(Table1[Date of Last Assessment]="",Table1[Emotional and Mental Health],Table1[Emotional and Mental Health2]),"")))</f>
        <v/>
      </c>
      <c r="FR61" s="44" t="str">
        <f>IF(Table1[Leaving Date]="","",IF(Table1[Date of Initial Assessment]="","",IF(AND(Table1[Leaving Date]&gt;42094,Table1[Leaving Date]&lt;42461),IF(Table1[Date of Last Assessment]="",Table1[Meaningful Use of Time],Table1[Meaningful Use of Time2]),"")))</f>
        <v/>
      </c>
      <c r="FS61" s="44" t="str">
        <f>IF(Table1[Leaving Date]="","",IF(Table1[Date of Initial Assessment]="","",IF(AND(Table1[Leaving Date]&gt;42094,Table1[Leaving Date]&lt;42461),IF(Table1[Date of Last Assessment]="",Table1[Managing Tenancy and Accommodation],Table1[Managing Tenancy and Accommodation2]),"")))</f>
        <v/>
      </c>
      <c r="FT61" s="44" t="str">
        <f>IF(Table1[Leaving Date]="","",IF(Table1[Date of Initial Assessment]="","",IF(AND(Table1[Leaving Date]&gt;42094,Table1[Leaving Date]&lt;42461),IF(Table1[Date of Last Assessment]="",Table1[Offending],Table1[Offending2]),"")))</f>
        <v/>
      </c>
      <c r="FU61" s="44" t="str">
        <f>IF(Table1[Date of Initial Assessment]="","",IF(AND(Table1[Start Date]&gt;42460,Table1[Start Date]&lt;42826),Table1[Motivation and Taking Responsibility],""))</f>
        <v/>
      </c>
      <c r="FV61" s="44" t="str">
        <f>IF(Table1[Date of Initial Assessment]="","",IF(AND(Table1[Start Date]&gt;42460,Table1[Start Date]&lt;42826),Table1[Self-Care and Living Skills],""))</f>
        <v/>
      </c>
      <c r="FW61" s="44" t="str">
        <f>IF(Table1[Date of Initial Assessment]="","",IF(AND(Table1[Start Date]&gt;42460,Table1[Start Date]&lt;42826),Table1[Managing Money and Personal Administration],""))</f>
        <v/>
      </c>
      <c r="FX61" s="44" t="str">
        <f>IF(Table1[Date of Initial Assessment]="","",IF(AND(Table1[Start Date]&gt;42460,Table1[Start Date]&lt;42826),Table1[Social Networks and Relationships],""))</f>
        <v/>
      </c>
      <c r="FY61" s="44" t="str">
        <f>IF(Table1[Date of Initial Assessment]="","",IF(AND(Table1[Start Date]&gt;42460,Table1[Start Date]&lt;42826),Table1[Drug and Alcohol Misuse],""))</f>
        <v/>
      </c>
      <c r="FZ61" s="44" t="str">
        <f>IF(Table1[Date of Initial Assessment]="","",IF(AND(Table1[Start Date]&gt;42460,Table1[Start Date]&lt;42826),Table1[Physical Health],""))</f>
        <v/>
      </c>
      <c r="GA61" s="44" t="str">
        <f>IF(Table1[Date of Initial Assessment]="","",IF(AND(Table1[Start Date]&gt;42460,Table1[Start Date]&lt;42826),Table1[Emotional and Mental Health],""))</f>
        <v/>
      </c>
      <c r="GB61" s="44" t="str">
        <f>IF(Table1[Date of Initial Assessment]="","",IF(AND(Table1[Start Date]&gt;42460,Table1[Start Date]&lt;42826),Table1[Meaningful Use of Time],""))</f>
        <v/>
      </c>
      <c r="GC61" s="44" t="str">
        <f>IF(Table1[Date of Initial Assessment]="","",IF(AND(Table1[Start Date]&gt;42460,Table1[Start Date]&lt;42826),Table1[Managing Tenancy and Accommodation],""))</f>
        <v/>
      </c>
      <c r="GD61" s="44" t="str">
        <f>IF(Table1[Date of Initial Assessment]="","",IF(AND(Table1[Start Date]&gt;42460,Table1[Start Date]&lt;42826),Table1[Offending],""))</f>
        <v/>
      </c>
      <c r="GE61" s="44" t="str">
        <f>IF(Table1[Leaving Date]="","",IF(AND(Table1[Leaving Date]&gt;42460,Table1[Leaving Date]&lt;42826),IF(Table1[Date of Last Assessment]="",Table1[Motivation and Taking Responsibility],Table1[Motivation and Taking Responsibility2]),""))</f>
        <v/>
      </c>
      <c r="GF61" s="44" t="str">
        <f>IF(Table1[Leaving Date]="","",IF(AND(Table1[Leaving Date]&gt;42460,Table1[Leaving Date]&lt;42826),IF(Table1[Date of Last Assessment]="",Table1[Self-Care and Living Skills],Table1[Self-Care and Living Skills2]),""))</f>
        <v/>
      </c>
      <c r="GG61" s="44" t="str">
        <f>IF(Table1[Leaving Date]="","",IF(AND(Table1[Leaving Date]&gt;42460,Table1[Leaving Date]&lt;42826),IF(Table1[Date of Last Assessment]="",Table1[Managing Money and Personal Administration],Table1[Managing Money and Personal Administration2]),""))</f>
        <v/>
      </c>
      <c r="GH61" s="44" t="str">
        <f>IF(Table1[Leaving Date]="","",IF(AND(Table1[Leaving Date]&gt;42460,Table1[Leaving Date]&lt;42826),IF(Table1[Date of Last Assessment]="",Table1[Social Networks and Relationships],Table1[Social Networks and Relationships2]),""))</f>
        <v/>
      </c>
      <c r="GI61" s="44" t="str">
        <f>IF(Table1[Leaving Date]="","",IF(AND(Table1[Leaving Date]&gt;42460,Table1[Leaving Date]&lt;42826),IF(Table1[Date of Last Assessment]="",Table1[Drug and Alcohol Misuse],Table1[Drug and Alcohol Misuse2]),""))</f>
        <v/>
      </c>
      <c r="GJ61" s="44" t="str">
        <f>IF(Table1[Leaving Date]="","",IF(AND(Table1[Leaving Date]&gt;42460,Table1[Leaving Date]&lt;42826),IF(Table1[Date of Last Assessment]="",Table1[Physical Health],Table1[Physical Health2]),""))</f>
        <v/>
      </c>
      <c r="GK61" s="44" t="str">
        <f>IF(Table1[Leaving Date]="","",IF(AND(Table1[Leaving Date]&gt;42460,Table1[Leaving Date]&lt;42826),IF(Table1[Date of Last Assessment]="",Table1[Emotional and Mental Health],Table1[Emotional and Mental Health2]),""))</f>
        <v/>
      </c>
      <c r="GL61" s="44" t="str">
        <f>IF(Table1[Leaving Date]="","",IF(AND(Table1[Leaving Date]&gt;42460,Table1[Leaving Date]&lt;42826),IF(Table1[Date of Last Assessment]="",Table1[Meaningful Use of Time],Table1[Meaningful Use of Time2]),""))</f>
        <v/>
      </c>
      <c r="GM61" s="44" t="str">
        <f>IF(Table1[Leaving Date]="","",IF(AND(Table1[Leaving Date]&gt;42460,Table1[Leaving Date]&lt;42826),IF(Table1[Date of Last Assessment]="",Table1[Managing Tenancy and Accommodation],Table1[Managing Tenancy and Accommodation2]),""))</f>
        <v/>
      </c>
      <c r="GN61" s="44" t="str">
        <f>IF(Table1[Leaving Date]="","",IF(AND(Table1[Leaving Date]&gt;42460,Table1[Leaving Date]&lt;42826),IF(Table1[Date of Last Assessment]="",Table1[Offending],Table1[Offending2]),""))</f>
        <v/>
      </c>
    </row>
    <row r="62" spans="2:196" ht="20.100000000000001" customHeight="1" x14ac:dyDescent="0.2">
      <c r="B62" s="86">
        <f>+'Service Data'!$C$5:$C$5</f>
        <v>0</v>
      </c>
      <c r="C62" s="86"/>
      <c r="D62" s="86"/>
      <c r="E62" s="86"/>
      <c r="F62" s="86"/>
      <c r="G62" s="86"/>
      <c r="H62" s="6"/>
      <c r="I62" s="99" t="str">
        <f ca="1">IF(Table1[[#This Row],[Date of Birth]]="","",SUM(TODAY()-Table1[[#This Row],[Date of Birth]])/365)</f>
        <v/>
      </c>
      <c r="L62" s="86"/>
      <c r="M62" s="77"/>
      <c r="N62" s="86"/>
      <c r="O62" s="86"/>
      <c r="P62" s="91"/>
      <c r="Q62" s="86"/>
      <c r="R62" s="77"/>
      <c r="S62" s="77"/>
      <c r="T62" s="68"/>
      <c r="U62" s="68"/>
      <c r="V62" s="67"/>
      <c r="W62" s="67"/>
      <c r="X62" s="67"/>
      <c r="Y62" s="67"/>
      <c r="Z62" s="67"/>
      <c r="AA62" s="67"/>
      <c r="AB62" s="67"/>
      <c r="AC62" s="67"/>
      <c r="AD62" s="67"/>
      <c r="AE62" s="67"/>
      <c r="AF62" s="67"/>
      <c r="AG62" s="67"/>
      <c r="AH62" s="67"/>
      <c r="AI62" s="67"/>
      <c r="AJ62" s="67"/>
      <c r="AK62" s="67"/>
      <c r="AL62" s="67"/>
      <c r="AM62" s="67"/>
      <c r="AN62" s="77"/>
      <c r="AO62" s="76"/>
      <c r="AP62" s="77"/>
      <c r="AQ62" s="76"/>
      <c r="AR62" s="76"/>
      <c r="AS62" s="76"/>
      <c r="AT62" s="76"/>
      <c r="AU62" s="76"/>
      <c r="AV62" s="77"/>
      <c r="AW62" s="76"/>
      <c r="AX62" s="77"/>
      <c r="AY62" s="76"/>
      <c r="AZ62" s="76"/>
      <c r="BA62" s="76"/>
      <c r="BB62" s="76"/>
      <c r="BC62" s="76"/>
      <c r="BD62" s="77"/>
      <c r="BE62" s="76"/>
      <c r="BF62" s="77"/>
      <c r="BG62" s="76"/>
      <c r="BH62" s="76"/>
      <c r="BI62" s="76"/>
      <c r="BJ62" s="76"/>
      <c r="BK62" s="76"/>
      <c r="BL62" s="77"/>
      <c r="BM62" s="76"/>
      <c r="BN62" s="77"/>
      <c r="BO62" s="76"/>
      <c r="BP62" s="76"/>
      <c r="BQ62" s="76"/>
      <c r="BR62" s="76"/>
      <c r="BS62" s="76"/>
      <c r="BT62" s="77"/>
      <c r="BU62" s="76"/>
      <c r="BV62" s="77"/>
      <c r="BW62" s="76"/>
      <c r="BX62" s="76"/>
      <c r="BY62" s="76"/>
      <c r="BZ62" s="76"/>
      <c r="CA62" s="76"/>
      <c r="CB62" s="77"/>
      <c r="CC62" s="76"/>
      <c r="CD62" s="77"/>
      <c r="CE62" s="76"/>
      <c r="CF62" s="76"/>
      <c r="CG62" s="76"/>
      <c r="CH62" s="76"/>
      <c r="CI62" s="76"/>
      <c r="CJ62" s="77"/>
      <c r="CK62" s="76"/>
      <c r="CL62" s="77"/>
      <c r="CM62" s="76"/>
      <c r="CN62" s="76"/>
      <c r="CO62" s="76"/>
      <c r="CP62" s="76"/>
      <c r="CQ62" s="76"/>
      <c r="CR62" s="78" t="str">
        <f t="shared" si="15"/>
        <v/>
      </c>
      <c r="CS62" s="79" t="str">
        <f t="shared" si="16"/>
        <v/>
      </c>
      <c r="CT62" s="79" t="str">
        <f t="shared" si="17"/>
        <v/>
      </c>
      <c r="CU62" s="79" t="str">
        <f t="shared" si="18"/>
        <v/>
      </c>
      <c r="CV62" s="79" t="str">
        <f t="shared" si="19"/>
        <v/>
      </c>
      <c r="CW62" s="79" t="str">
        <f t="shared" si="20"/>
        <v/>
      </c>
      <c r="CX62" s="79" t="str">
        <f t="shared" si="21"/>
        <v/>
      </c>
      <c r="CY62" s="79" t="str">
        <f t="shared" si="22"/>
        <v/>
      </c>
      <c r="CZ62" s="79" t="str">
        <f t="shared" si="23"/>
        <v/>
      </c>
      <c r="DA62" s="79" t="str">
        <f t="shared" si="24"/>
        <v/>
      </c>
      <c r="DB62" s="79" t="str">
        <f t="shared" si="25"/>
        <v/>
      </c>
      <c r="DC62" s="79" t="str">
        <f t="shared" si="26"/>
        <v/>
      </c>
      <c r="DD62" s="79" t="str">
        <f t="shared" si="27"/>
        <v/>
      </c>
      <c r="DE62" s="79" t="str">
        <f t="shared" si="28"/>
        <v/>
      </c>
      <c r="DF62" s="79" t="str">
        <f t="shared" si="29"/>
        <v/>
      </c>
      <c r="DG62" s="79" t="str">
        <f t="shared" si="30"/>
        <v/>
      </c>
      <c r="DH62" s="76"/>
      <c r="DI62" s="78"/>
      <c r="DJ62" s="76"/>
      <c r="DK62" s="77"/>
      <c r="DL62" s="77"/>
      <c r="DM62" s="77"/>
      <c r="DN62" s="80"/>
      <c r="DO62" s="80"/>
      <c r="DP62" s="92" t="str">
        <f>IF(Table1[Start Date]="","",IF(Table1[Start Date]&gt;42185,"",IF(AND(Table1[Leaving Date]&gt;1,Table1[Leaving Date]&lt;42095),"",1)))</f>
        <v/>
      </c>
      <c r="DQ62" s="92" t="str">
        <f>IF(Table1[Start Date]="","",IF(Table1[Start Date]&gt;42277,"",IF(AND(Table1[Leaving Date]&gt;1,Table1[Leaving Date]&lt;42186),"",1)))</f>
        <v/>
      </c>
      <c r="DR62" s="92" t="str">
        <f>IF(Table1[Start Date]="","",IF(Table1[Start Date]&gt;42369,"",IF(AND(Table1[Leaving Date]&gt;1,Table1[Leaving Date]&lt;42278),"",1)))</f>
        <v/>
      </c>
      <c r="DS62" s="92" t="str">
        <f>IF(Table1[Start Date]="","",IF(Table1[Start Date]&gt;42460,"",IF(AND(Table1[Leaving Date]&gt;1,Table1[Leaving Date]&lt;42370),"",1)))</f>
        <v/>
      </c>
      <c r="DT62" s="92" t="str">
        <f>IF(Table1[Start Date]="","",IF(Table1[Start Date]&gt;42551,"",IF(AND(Table1[Leaving Date]&gt;1,Table1[Leaving Date]&lt;42461),"",1)))</f>
        <v/>
      </c>
      <c r="DU62" s="92" t="str">
        <f>IF(Table1[Start Date]="","",IF(Table1[Start Date]&gt;42643,"",IF(AND(Table1[Leaving Date]&gt;1,Table1[Leaving Date]&lt;42552),"",1)))</f>
        <v/>
      </c>
      <c r="DV62" s="92" t="str">
        <f>IF(Table1[Start Date]="","",IF(Table1[Start Date]&gt;42735,"",IF(AND(Table1[Leaving Date]&gt;1,Table1[Leaving Date]&lt;42644),"",1)))</f>
        <v/>
      </c>
      <c r="DW62" s="92" t="str">
        <f>IF(Table1[Start Date]="","",IF(Table1[Start Date]&gt;42825,"",IF(AND(Table1[Leaving Date]&gt;1,Table1[Leaving Date]&lt;42736),"",1)))</f>
        <v/>
      </c>
      <c r="DX62"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62" s="44" t="e">
        <f>VLOOKUP(Table1[Referral Source],Lists!$G$2:$H$20,2,FALSE)</f>
        <v>#N/A</v>
      </c>
      <c r="DZ62" s="93" t="e">
        <f>SUM(Table1[Data Referral Quarter]+Table1[Data Referral Source])</f>
        <v>#N/A</v>
      </c>
      <c r="EA62" s="44" t="b">
        <f>IF(Table1[Referral Decision]="Accepted",100,IF(Table1[Referral Decision]="Rejected by Provider",200,IF(Table1[Referral Decision]="Rejected by Applicant",300)))</f>
        <v>0</v>
      </c>
      <c r="EB62" s="44">
        <f>SUM(Table1[Data Referral Quarter]+Table1[Data Referral Decision])</f>
        <v>0</v>
      </c>
      <c r="EC62" s="44" t="b">
        <f>IF(Table1[Start Date]&gt;42735,8000,IF(Table1[Start Date]&gt;42643,7000,IF(Table1[Start Date]&gt;42551,6000,IF(Table1[Start Date]&gt;42460,5000,IF(Table1[Start Date]&gt;42369,4000,IF(Table1[Start Date]&gt;42277,3000,IF(Table1[Start Date]&gt;42185,2000,IF(Table1[Start Date]&gt;42094,1000))))))))</f>
        <v>0</v>
      </c>
      <c r="ED62" s="44" t="str">
        <f>IF(Table1[Start Date]="","",IF(Table1[Current Local Authority]="Swindon",1,"2"))</f>
        <v/>
      </c>
      <c r="EE62" s="44" t="e">
        <f>SUM(Table1[Data Start Date]+Table1[Data Local Authority])</f>
        <v>#VALUE!</v>
      </c>
      <c r="EF62" s="44">
        <f>IF(Table1[Registered with GP]="Yes",1,0)</f>
        <v>0</v>
      </c>
      <c r="EG62" s="44">
        <f>SUM(Table1[Data Start Date]+Table1[Data GP Start])</f>
        <v>0</v>
      </c>
      <c r="EH62" s="44" t="str">
        <f>IF(Table1[EET]="NEET",1,IF(Table1[EET]="Education",2,IF(Table1[EET]="Employment",2,IF(Table1[EET]="Training",2,IF(Table1[EET]="Retired",3,"")))))</f>
        <v/>
      </c>
      <c r="EI62" s="44" t="e">
        <f>Table1[Data Start Date]+Table1[Data EET Start]</f>
        <v>#VALUE!</v>
      </c>
      <c r="EJ62" s="44" t="b">
        <f>IF(Table1[Leaving Date]&gt;42735,8000,IF(Table1[Leaving Date]&gt;42643,7000,IF(Table1[Leaving Date]&gt;42551,6000,IF(Table1[Leaving Date]&gt;42460,5000,IF(Table1[Leaving Date]&gt;42369,4000,IF(Table1[Leaving Date]&gt;42277,3000,IF(Table1[Leaving Date]&gt;42185,2000,IF(Table1[Leaving Date]&gt;42094,1000))))))))</f>
        <v>0</v>
      </c>
      <c r="EK62" s="44" t="e">
        <f>VLOOKUP(Table1[Reason for Leaving],Lists!$T$2:$U$15,2,FALSE)</f>
        <v>#N/A</v>
      </c>
      <c r="EL62" s="44" t="e">
        <f>SUM(Table1[Data Leavers Date]+Table1[Data Move On])</f>
        <v>#N/A</v>
      </c>
      <c r="EM62" s="44" t="b">
        <f>IF(Table1[Registered with GP2]="Yes",1,IF(Table1[Registered with GP2]="No",0,IF(Table1[Registered with GP]="Yes",1,IF(Table1[Registered with GP]="No",0))))</f>
        <v>0</v>
      </c>
      <c r="EN62" s="44">
        <f>SUM(Table1[Data Leavers Date]+Table1[Data GP End])</f>
        <v>0</v>
      </c>
      <c r="EO62" s="44" t="str">
        <f>IF(Table1[EET2]="NEET",1,IF(Table1[EET2]="Employment",2,IF(Table1[EET2]="Education",2,IF(Table1[EET2]="Training",2,IF(Table1[EET2]="Retired",3,IF(Table1[EET]="NEET",1,IF(Table1[EET]="Employment",2,IF(Table1[EET]="Education",2,IF(Table1[EET]="Training",2,IF(Table1[EET]="Retired",3,""))))))))))</f>
        <v/>
      </c>
      <c r="EP62" s="44" t="e">
        <f>+Table1[[#This Row],[Data Leavers Date]]+Table1[[#This Row],[Data EET End]]</f>
        <v>#VALUE!</v>
      </c>
      <c r="EQ62" s="44">
        <f>IF(Table1[Exit Form Received]="Yes",1,0)</f>
        <v>0</v>
      </c>
      <c r="ER62" s="44">
        <f>+Table1[[#This Row],[Data Leavers Date]]+Table1[[#This Row],[Data Exit Forms]]</f>
        <v>0</v>
      </c>
      <c r="ES62" s="44" t="str">
        <f>IF(Table1[Data Leavers Date]=1000,SUM(Table1[Leaving Date]-Table1[Start Date]),"")</f>
        <v/>
      </c>
      <c r="ET62" s="44" t="str">
        <f>IF(Table1[Data Leavers Date]=2000,SUM(Table1[Leaving Date]-Table1[Start Date]),"")</f>
        <v/>
      </c>
      <c r="EU62" s="44" t="str">
        <f>IF(Table1[Data Leavers Date]=3000,SUM(Table1[Leaving Date]-Table1[Start Date]),"")</f>
        <v/>
      </c>
      <c r="EV62" s="44" t="str">
        <f>IF(Table1[Data Leavers Date]=4000,SUM(Table1[Leaving Date]-Table1[Start Date]),"")</f>
        <v/>
      </c>
      <c r="EW62" s="44" t="str">
        <f>IF(Table1[Data Leavers Date]=5000,SUM(Table1[Leaving Date]-Table1[Start Date]),"")</f>
        <v/>
      </c>
      <c r="EX62" s="44" t="str">
        <f>IF(Table1[Data Leavers Date]=6000,SUM(Table1[Leaving Date]-Table1[Start Date]),"")</f>
        <v/>
      </c>
      <c r="EY62" s="44" t="str">
        <f>IF(Table1[Data Leavers Date]=7000,SUM(Table1[Leaving Date]-Table1[Start Date]),"")</f>
        <v/>
      </c>
      <c r="EZ62" s="44" t="str">
        <f>IF(Table1[Data Leavers Date]=8000,SUM(Table1[Leaving Date]-Table1[Start Date]),"")</f>
        <v/>
      </c>
      <c r="FA62" s="44" t="str">
        <f>IF(Table1[Date of Initial Assessment]="","",IF(AND(Table1[Start Date]&gt;42094,Table1[Start Date]&lt;42461),Table1[Motivation and Taking Responsibility],""))</f>
        <v/>
      </c>
      <c r="FB62" s="44" t="str">
        <f>IF(Table1[Date of Initial Assessment]="","",IF(AND(Table1[Start Date]&gt;42094,Table1[Start Date]&lt;42461),Table1[Self-Care and Living Skills],""))</f>
        <v/>
      </c>
      <c r="FC62" s="44" t="str">
        <f>IF(Table1[Date of Initial Assessment]="","",IF(AND(Table1[Start Date]&gt;42094,Table1[Start Date]&lt;42461),Table1[Managing Money and Personal Administration],""))</f>
        <v/>
      </c>
      <c r="FD62" s="44" t="str">
        <f>IF(Table1[Date of Initial Assessment]="","",IF(AND(Table1[Start Date]&gt;42094,Table1[Start Date]&lt;42461),Table1[Social Networks and Relationships],""))</f>
        <v/>
      </c>
      <c r="FE62" s="44" t="str">
        <f>IF(Table1[Date of Initial Assessment]="","",IF(AND(Table1[Start Date]&gt;42094,Table1[Start Date]&lt;42461),Table1[Drug and Alcohol Misuse],""))</f>
        <v/>
      </c>
      <c r="FF62" s="44" t="str">
        <f>IF(Table1[Date of Initial Assessment]="","",IF(AND(Table1[Start Date]&gt;42094,Table1[Start Date]&lt;42461),Table1[Physical Health],""))</f>
        <v/>
      </c>
      <c r="FG62" s="44" t="str">
        <f>IF(Table1[Date of Initial Assessment]="","",IF(AND(Table1[Start Date]&gt;42094,Table1[Start Date]&lt;42461),Table1[Emotional and Mental Health],""))</f>
        <v/>
      </c>
      <c r="FH62" s="44" t="str">
        <f>IF(Table1[Date of Initial Assessment]="","",IF(AND(Table1[Start Date]&gt;42094,Table1[Start Date]&lt;42461),Table1[Meaningful Use of Time],""))</f>
        <v/>
      </c>
      <c r="FI62" s="44" t="str">
        <f>IF(Table1[Date of Initial Assessment]="","",IF(AND(Table1[Start Date]&gt;42094,Table1[Start Date]&lt;42461),Table1[Managing Tenancy and Accommodation],""))</f>
        <v/>
      </c>
      <c r="FJ62" s="44" t="str">
        <f>IF(Table1[Date of Initial Assessment]="","",IF(AND(Table1[Start Date]&gt;42094,Table1[Start Date]&lt;42461),Table1[Offending],""))</f>
        <v/>
      </c>
      <c r="FK62" s="44" t="str">
        <f>IF(Table1[Leaving Date]="","",IF(Table1[Date of Initial Assessment]="","",IF(AND(Table1[Leaving Date]&gt;42094,Table1[Leaving Date]&lt;42461),IF(Table1[Date of Last Assessment]="",Table1[Motivation and Taking Responsibility],Table1[Motivation and Taking Responsibility2]),"")))</f>
        <v/>
      </c>
      <c r="FL62" s="44" t="str">
        <f>IF(Table1[Leaving Date]="","",IF(Table1[Date of Initial Assessment]="","",IF(AND(Table1[Leaving Date]&gt;42094,Table1[Leaving Date]&lt;42461),IF(Table1[Date of Last Assessment]="",Table1[Self-Care and Living Skills],Table1[Self-Care and Living Skills2]),"")))</f>
        <v/>
      </c>
      <c r="FM62" s="44" t="str">
        <f>IF(Table1[Leaving Date]="","",IF(Table1[Date of Initial Assessment]="","",IF(AND(Table1[Leaving Date]&gt;42094,Table1[Leaving Date]&lt;42461),IF(Table1[Date of Last Assessment]="",Table1[Managing Money and Personal Administration],Table1[Managing Money and Personal Administration2]),"")))</f>
        <v/>
      </c>
      <c r="FN62" s="44" t="str">
        <f>IF(Table1[Leaving Date]="","",IF(Table1[Date of Initial Assessment]="","",IF(AND(Table1[Leaving Date]&gt;42094,Table1[Leaving Date]&lt;42461),IF(Table1[Date of Last Assessment]="",Table1[Social Networks and Relationships],Table1[Social Networks and Relationships2]),"")))</f>
        <v/>
      </c>
      <c r="FO62" s="44" t="str">
        <f>IF(Table1[Leaving Date]="","",IF(Table1[Date of Initial Assessment]="","",IF(AND(Table1[Leaving Date]&gt;42094,Table1[Leaving Date]&lt;42461),IF(Table1[Date of Last Assessment]="",Table1[Drug and Alcohol Misuse],Table1[Drug and Alcohol Misuse2]),"")))</f>
        <v/>
      </c>
      <c r="FP62" s="44" t="str">
        <f>IF(Table1[Leaving Date]="","",IF(Table1[Date of Initial Assessment]="","",IF(AND(Table1[Leaving Date]&gt;42094,Table1[Leaving Date]&lt;42461),IF(Table1[Date of Last Assessment]="",Table1[Physical Health],Table1[Physical Health2]),"")))</f>
        <v/>
      </c>
      <c r="FQ62" s="44" t="str">
        <f>IF(Table1[Leaving Date]="","",IF(Table1[Date of Initial Assessment]="","",IF(AND(Table1[Leaving Date]&gt;42094,Table1[Leaving Date]&lt;42461),IF(Table1[Date of Last Assessment]="",Table1[Emotional and Mental Health],Table1[Emotional and Mental Health2]),"")))</f>
        <v/>
      </c>
      <c r="FR62" s="44" t="str">
        <f>IF(Table1[Leaving Date]="","",IF(Table1[Date of Initial Assessment]="","",IF(AND(Table1[Leaving Date]&gt;42094,Table1[Leaving Date]&lt;42461),IF(Table1[Date of Last Assessment]="",Table1[Meaningful Use of Time],Table1[Meaningful Use of Time2]),"")))</f>
        <v/>
      </c>
      <c r="FS62" s="44" t="str">
        <f>IF(Table1[Leaving Date]="","",IF(Table1[Date of Initial Assessment]="","",IF(AND(Table1[Leaving Date]&gt;42094,Table1[Leaving Date]&lt;42461),IF(Table1[Date of Last Assessment]="",Table1[Managing Tenancy and Accommodation],Table1[Managing Tenancy and Accommodation2]),"")))</f>
        <v/>
      </c>
      <c r="FT62" s="44" t="str">
        <f>IF(Table1[Leaving Date]="","",IF(Table1[Date of Initial Assessment]="","",IF(AND(Table1[Leaving Date]&gt;42094,Table1[Leaving Date]&lt;42461),IF(Table1[Date of Last Assessment]="",Table1[Offending],Table1[Offending2]),"")))</f>
        <v/>
      </c>
      <c r="FU62" s="44" t="str">
        <f>IF(Table1[Date of Initial Assessment]="","",IF(AND(Table1[Start Date]&gt;42460,Table1[Start Date]&lt;42826),Table1[Motivation and Taking Responsibility],""))</f>
        <v/>
      </c>
      <c r="FV62" s="44" t="str">
        <f>IF(Table1[Date of Initial Assessment]="","",IF(AND(Table1[Start Date]&gt;42460,Table1[Start Date]&lt;42826),Table1[Self-Care and Living Skills],""))</f>
        <v/>
      </c>
      <c r="FW62" s="44" t="str">
        <f>IF(Table1[Date of Initial Assessment]="","",IF(AND(Table1[Start Date]&gt;42460,Table1[Start Date]&lt;42826),Table1[Managing Money and Personal Administration],""))</f>
        <v/>
      </c>
      <c r="FX62" s="44" t="str">
        <f>IF(Table1[Date of Initial Assessment]="","",IF(AND(Table1[Start Date]&gt;42460,Table1[Start Date]&lt;42826),Table1[Social Networks and Relationships],""))</f>
        <v/>
      </c>
      <c r="FY62" s="44" t="str">
        <f>IF(Table1[Date of Initial Assessment]="","",IF(AND(Table1[Start Date]&gt;42460,Table1[Start Date]&lt;42826),Table1[Drug and Alcohol Misuse],""))</f>
        <v/>
      </c>
      <c r="FZ62" s="44" t="str">
        <f>IF(Table1[Date of Initial Assessment]="","",IF(AND(Table1[Start Date]&gt;42460,Table1[Start Date]&lt;42826),Table1[Physical Health],""))</f>
        <v/>
      </c>
      <c r="GA62" s="44" t="str">
        <f>IF(Table1[Date of Initial Assessment]="","",IF(AND(Table1[Start Date]&gt;42460,Table1[Start Date]&lt;42826),Table1[Emotional and Mental Health],""))</f>
        <v/>
      </c>
      <c r="GB62" s="44" t="str">
        <f>IF(Table1[Date of Initial Assessment]="","",IF(AND(Table1[Start Date]&gt;42460,Table1[Start Date]&lt;42826),Table1[Meaningful Use of Time],""))</f>
        <v/>
      </c>
      <c r="GC62" s="44" t="str">
        <f>IF(Table1[Date of Initial Assessment]="","",IF(AND(Table1[Start Date]&gt;42460,Table1[Start Date]&lt;42826),Table1[Managing Tenancy and Accommodation],""))</f>
        <v/>
      </c>
      <c r="GD62" s="44" t="str">
        <f>IF(Table1[Date of Initial Assessment]="","",IF(AND(Table1[Start Date]&gt;42460,Table1[Start Date]&lt;42826),Table1[Offending],""))</f>
        <v/>
      </c>
      <c r="GE62" s="44" t="str">
        <f>IF(Table1[Leaving Date]="","",IF(AND(Table1[Leaving Date]&gt;42460,Table1[Leaving Date]&lt;42826),IF(Table1[Date of Last Assessment]="",Table1[Motivation and Taking Responsibility],Table1[Motivation and Taking Responsibility2]),""))</f>
        <v/>
      </c>
      <c r="GF62" s="44" t="str">
        <f>IF(Table1[Leaving Date]="","",IF(AND(Table1[Leaving Date]&gt;42460,Table1[Leaving Date]&lt;42826),IF(Table1[Date of Last Assessment]="",Table1[Self-Care and Living Skills],Table1[Self-Care and Living Skills2]),""))</f>
        <v/>
      </c>
      <c r="GG62" s="44" t="str">
        <f>IF(Table1[Leaving Date]="","",IF(AND(Table1[Leaving Date]&gt;42460,Table1[Leaving Date]&lt;42826),IF(Table1[Date of Last Assessment]="",Table1[Managing Money and Personal Administration],Table1[Managing Money and Personal Administration2]),""))</f>
        <v/>
      </c>
      <c r="GH62" s="44" t="str">
        <f>IF(Table1[Leaving Date]="","",IF(AND(Table1[Leaving Date]&gt;42460,Table1[Leaving Date]&lt;42826),IF(Table1[Date of Last Assessment]="",Table1[Social Networks and Relationships],Table1[Social Networks and Relationships2]),""))</f>
        <v/>
      </c>
      <c r="GI62" s="44" t="str">
        <f>IF(Table1[Leaving Date]="","",IF(AND(Table1[Leaving Date]&gt;42460,Table1[Leaving Date]&lt;42826),IF(Table1[Date of Last Assessment]="",Table1[Drug and Alcohol Misuse],Table1[Drug and Alcohol Misuse2]),""))</f>
        <v/>
      </c>
      <c r="GJ62" s="44" t="str">
        <f>IF(Table1[Leaving Date]="","",IF(AND(Table1[Leaving Date]&gt;42460,Table1[Leaving Date]&lt;42826),IF(Table1[Date of Last Assessment]="",Table1[Physical Health],Table1[Physical Health2]),""))</f>
        <v/>
      </c>
      <c r="GK62" s="44" t="str">
        <f>IF(Table1[Leaving Date]="","",IF(AND(Table1[Leaving Date]&gt;42460,Table1[Leaving Date]&lt;42826),IF(Table1[Date of Last Assessment]="",Table1[Emotional and Mental Health],Table1[Emotional and Mental Health2]),""))</f>
        <v/>
      </c>
      <c r="GL62" s="44" t="str">
        <f>IF(Table1[Leaving Date]="","",IF(AND(Table1[Leaving Date]&gt;42460,Table1[Leaving Date]&lt;42826),IF(Table1[Date of Last Assessment]="",Table1[Meaningful Use of Time],Table1[Meaningful Use of Time2]),""))</f>
        <v/>
      </c>
      <c r="GM62" s="44" t="str">
        <f>IF(Table1[Leaving Date]="","",IF(AND(Table1[Leaving Date]&gt;42460,Table1[Leaving Date]&lt;42826),IF(Table1[Date of Last Assessment]="",Table1[Managing Tenancy and Accommodation],Table1[Managing Tenancy and Accommodation2]),""))</f>
        <v/>
      </c>
      <c r="GN62" s="44" t="str">
        <f>IF(Table1[Leaving Date]="","",IF(AND(Table1[Leaving Date]&gt;42460,Table1[Leaving Date]&lt;42826),IF(Table1[Date of Last Assessment]="",Table1[Offending],Table1[Offending2]),""))</f>
        <v/>
      </c>
    </row>
    <row r="63" spans="2:196" ht="20.100000000000001" customHeight="1" x14ac:dyDescent="0.2">
      <c r="B63" s="86">
        <f>+'Service Data'!$C$5:$C$5</f>
        <v>0</v>
      </c>
      <c r="C63" s="86"/>
      <c r="D63" s="86"/>
      <c r="E63" s="86"/>
      <c r="F63" s="86"/>
      <c r="G63" s="86"/>
      <c r="H63" s="6"/>
      <c r="I63" s="99" t="str">
        <f ca="1">IF(Table1[[#This Row],[Date of Birth]]="","",SUM(TODAY()-Table1[[#This Row],[Date of Birth]])/365)</f>
        <v/>
      </c>
      <c r="L63" s="86"/>
      <c r="M63" s="77"/>
      <c r="N63" s="86"/>
      <c r="O63" s="86"/>
      <c r="P63" s="91"/>
      <c r="Q63" s="86"/>
      <c r="R63" s="77"/>
      <c r="S63" s="77"/>
      <c r="T63" s="68"/>
      <c r="U63" s="68"/>
      <c r="V63" s="67"/>
      <c r="W63" s="67"/>
      <c r="X63" s="67"/>
      <c r="Y63" s="67"/>
      <c r="Z63" s="67"/>
      <c r="AA63" s="67"/>
      <c r="AB63" s="67"/>
      <c r="AC63" s="67"/>
      <c r="AD63" s="67"/>
      <c r="AE63" s="67"/>
      <c r="AF63" s="67"/>
      <c r="AG63" s="67"/>
      <c r="AH63" s="67"/>
      <c r="AI63" s="67"/>
      <c r="AJ63" s="67"/>
      <c r="AK63" s="67"/>
      <c r="AL63" s="67"/>
      <c r="AM63" s="67"/>
      <c r="AN63" s="77"/>
      <c r="AO63" s="76"/>
      <c r="AP63" s="77"/>
      <c r="AQ63" s="76"/>
      <c r="AR63" s="76"/>
      <c r="AS63" s="76"/>
      <c r="AT63" s="76"/>
      <c r="AU63" s="76"/>
      <c r="AV63" s="77"/>
      <c r="AW63" s="76"/>
      <c r="AX63" s="77"/>
      <c r="AY63" s="76"/>
      <c r="AZ63" s="76"/>
      <c r="BA63" s="76"/>
      <c r="BB63" s="76"/>
      <c r="BC63" s="76"/>
      <c r="BD63" s="77"/>
      <c r="BE63" s="76"/>
      <c r="BF63" s="77"/>
      <c r="BG63" s="76"/>
      <c r="BH63" s="76"/>
      <c r="BI63" s="76"/>
      <c r="BJ63" s="76"/>
      <c r="BK63" s="76"/>
      <c r="BL63" s="77"/>
      <c r="BM63" s="76"/>
      <c r="BN63" s="77"/>
      <c r="BO63" s="76"/>
      <c r="BP63" s="76"/>
      <c r="BQ63" s="76"/>
      <c r="BR63" s="76"/>
      <c r="BS63" s="76"/>
      <c r="BT63" s="77"/>
      <c r="BU63" s="76"/>
      <c r="BV63" s="77"/>
      <c r="BW63" s="76"/>
      <c r="BX63" s="76"/>
      <c r="BY63" s="76"/>
      <c r="BZ63" s="76"/>
      <c r="CA63" s="76"/>
      <c r="CB63" s="77"/>
      <c r="CC63" s="76"/>
      <c r="CD63" s="77"/>
      <c r="CE63" s="76"/>
      <c r="CF63" s="76"/>
      <c r="CG63" s="76"/>
      <c r="CH63" s="76"/>
      <c r="CI63" s="76"/>
      <c r="CJ63" s="77"/>
      <c r="CK63" s="76"/>
      <c r="CL63" s="77"/>
      <c r="CM63" s="76"/>
      <c r="CN63" s="76"/>
      <c r="CO63" s="76"/>
      <c r="CP63" s="76"/>
      <c r="CQ63" s="76"/>
      <c r="CR63" s="78" t="str">
        <f t="shared" si="15"/>
        <v/>
      </c>
      <c r="CS63" s="79" t="str">
        <f t="shared" si="16"/>
        <v/>
      </c>
      <c r="CT63" s="79" t="str">
        <f t="shared" si="17"/>
        <v/>
      </c>
      <c r="CU63" s="79" t="str">
        <f t="shared" si="18"/>
        <v/>
      </c>
      <c r="CV63" s="79" t="str">
        <f t="shared" si="19"/>
        <v/>
      </c>
      <c r="CW63" s="79" t="str">
        <f t="shared" si="20"/>
        <v/>
      </c>
      <c r="CX63" s="79" t="str">
        <f t="shared" si="21"/>
        <v/>
      </c>
      <c r="CY63" s="79" t="str">
        <f t="shared" si="22"/>
        <v/>
      </c>
      <c r="CZ63" s="79" t="str">
        <f t="shared" si="23"/>
        <v/>
      </c>
      <c r="DA63" s="79" t="str">
        <f t="shared" si="24"/>
        <v/>
      </c>
      <c r="DB63" s="79" t="str">
        <f t="shared" si="25"/>
        <v/>
      </c>
      <c r="DC63" s="79" t="str">
        <f t="shared" si="26"/>
        <v/>
      </c>
      <c r="DD63" s="79" t="str">
        <f t="shared" si="27"/>
        <v/>
      </c>
      <c r="DE63" s="79" t="str">
        <f t="shared" si="28"/>
        <v/>
      </c>
      <c r="DF63" s="79" t="str">
        <f t="shared" si="29"/>
        <v/>
      </c>
      <c r="DG63" s="79" t="str">
        <f t="shared" si="30"/>
        <v/>
      </c>
      <c r="DH63" s="76"/>
      <c r="DI63" s="78"/>
      <c r="DJ63" s="76"/>
      <c r="DK63" s="77"/>
      <c r="DL63" s="77"/>
      <c r="DM63" s="77"/>
      <c r="DN63" s="80"/>
      <c r="DO63" s="80"/>
      <c r="DP63" s="92" t="str">
        <f>IF(Table1[Start Date]="","",IF(Table1[Start Date]&gt;42185,"",IF(AND(Table1[Leaving Date]&gt;1,Table1[Leaving Date]&lt;42095),"",1)))</f>
        <v/>
      </c>
      <c r="DQ63" s="92" t="str">
        <f>IF(Table1[Start Date]="","",IF(Table1[Start Date]&gt;42277,"",IF(AND(Table1[Leaving Date]&gt;1,Table1[Leaving Date]&lt;42186),"",1)))</f>
        <v/>
      </c>
      <c r="DR63" s="92" t="str">
        <f>IF(Table1[Start Date]="","",IF(Table1[Start Date]&gt;42369,"",IF(AND(Table1[Leaving Date]&gt;1,Table1[Leaving Date]&lt;42278),"",1)))</f>
        <v/>
      </c>
      <c r="DS63" s="92" t="str">
        <f>IF(Table1[Start Date]="","",IF(Table1[Start Date]&gt;42460,"",IF(AND(Table1[Leaving Date]&gt;1,Table1[Leaving Date]&lt;42370),"",1)))</f>
        <v/>
      </c>
      <c r="DT63" s="92" t="str">
        <f>IF(Table1[Start Date]="","",IF(Table1[Start Date]&gt;42551,"",IF(AND(Table1[Leaving Date]&gt;1,Table1[Leaving Date]&lt;42461),"",1)))</f>
        <v/>
      </c>
      <c r="DU63" s="92" t="str">
        <f>IF(Table1[Start Date]="","",IF(Table1[Start Date]&gt;42643,"",IF(AND(Table1[Leaving Date]&gt;1,Table1[Leaving Date]&lt;42552),"",1)))</f>
        <v/>
      </c>
      <c r="DV63" s="92" t="str">
        <f>IF(Table1[Start Date]="","",IF(Table1[Start Date]&gt;42735,"",IF(AND(Table1[Leaving Date]&gt;1,Table1[Leaving Date]&lt;42644),"",1)))</f>
        <v/>
      </c>
      <c r="DW63" s="92" t="str">
        <f>IF(Table1[Start Date]="","",IF(Table1[Start Date]&gt;42825,"",IF(AND(Table1[Leaving Date]&gt;1,Table1[Leaving Date]&lt;42736),"",1)))</f>
        <v/>
      </c>
      <c r="DX63"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63" s="44" t="e">
        <f>VLOOKUP(Table1[Referral Source],Lists!$G$2:$H$20,2,FALSE)</f>
        <v>#N/A</v>
      </c>
      <c r="DZ63" s="93" t="e">
        <f>SUM(Table1[Data Referral Quarter]+Table1[Data Referral Source])</f>
        <v>#N/A</v>
      </c>
      <c r="EA63" s="44" t="b">
        <f>IF(Table1[Referral Decision]="Accepted",100,IF(Table1[Referral Decision]="Rejected by Provider",200,IF(Table1[Referral Decision]="Rejected by Applicant",300)))</f>
        <v>0</v>
      </c>
      <c r="EB63" s="44">
        <f>SUM(Table1[Data Referral Quarter]+Table1[Data Referral Decision])</f>
        <v>0</v>
      </c>
      <c r="EC63" s="44" t="b">
        <f>IF(Table1[Start Date]&gt;42735,8000,IF(Table1[Start Date]&gt;42643,7000,IF(Table1[Start Date]&gt;42551,6000,IF(Table1[Start Date]&gt;42460,5000,IF(Table1[Start Date]&gt;42369,4000,IF(Table1[Start Date]&gt;42277,3000,IF(Table1[Start Date]&gt;42185,2000,IF(Table1[Start Date]&gt;42094,1000))))))))</f>
        <v>0</v>
      </c>
      <c r="ED63" s="44" t="str">
        <f>IF(Table1[Start Date]="","",IF(Table1[Current Local Authority]="Swindon",1,"2"))</f>
        <v/>
      </c>
      <c r="EE63" s="44" t="e">
        <f>SUM(Table1[Data Start Date]+Table1[Data Local Authority])</f>
        <v>#VALUE!</v>
      </c>
      <c r="EF63" s="44">
        <f>IF(Table1[Registered with GP]="Yes",1,0)</f>
        <v>0</v>
      </c>
      <c r="EG63" s="44">
        <f>SUM(Table1[Data Start Date]+Table1[Data GP Start])</f>
        <v>0</v>
      </c>
      <c r="EH63" s="44" t="str">
        <f>IF(Table1[EET]="NEET",1,IF(Table1[EET]="Education",2,IF(Table1[EET]="Employment",2,IF(Table1[EET]="Training",2,IF(Table1[EET]="Retired",3,"")))))</f>
        <v/>
      </c>
      <c r="EI63" s="44" t="e">
        <f>Table1[Data Start Date]+Table1[Data EET Start]</f>
        <v>#VALUE!</v>
      </c>
      <c r="EJ63" s="44" t="b">
        <f>IF(Table1[Leaving Date]&gt;42735,8000,IF(Table1[Leaving Date]&gt;42643,7000,IF(Table1[Leaving Date]&gt;42551,6000,IF(Table1[Leaving Date]&gt;42460,5000,IF(Table1[Leaving Date]&gt;42369,4000,IF(Table1[Leaving Date]&gt;42277,3000,IF(Table1[Leaving Date]&gt;42185,2000,IF(Table1[Leaving Date]&gt;42094,1000))))))))</f>
        <v>0</v>
      </c>
      <c r="EK63" s="44" t="e">
        <f>VLOOKUP(Table1[Reason for Leaving],Lists!$T$2:$U$15,2,FALSE)</f>
        <v>#N/A</v>
      </c>
      <c r="EL63" s="44" t="e">
        <f>SUM(Table1[Data Leavers Date]+Table1[Data Move On])</f>
        <v>#N/A</v>
      </c>
      <c r="EM63" s="44" t="b">
        <f>IF(Table1[Registered with GP2]="Yes",1,IF(Table1[Registered with GP2]="No",0,IF(Table1[Registered with GP]="Yes",1,IF(Table1[Registered with GP]="No",0))))</f>
        <v>0</v>
      </c>
      <c r="EN63" s="44">
        <f>SUM(Table1[Data Leavers Date]+Table1[Data GP End])</f>
        <v>0</v>
      </c>
      <c r="EO63" s="44" t="str">
        <f>IF(Table1[EET2]="NEET",1,IF(Table1[EET2]="Employment",2,IF(Table1[EET2]="Education",2,IF(Table1[EET2]="Training",2,IF(Table1[EET2]="Retired",3,IF(Table1[EET]="NEET",1,IF(Table1[EET]="Employment",2,IF(Table1[EET]="Education",2,IF(Table1[EET]="Training",2,IF(Table1[EET]="Retired",3,""))))))))))</f>
        <v/>
      </c>
      <c r="EP63" s="44" t="e">
        <f>+Table1[[#This Row],[Data Leavers Date]]+Table1[[#This Row],[Data EET End]]</f>
        <v>#VALUE!</v>
      </c>
      <c r="EQ63" s="44">
        <f>IF(Table1[Exit Form Received]="Yes",1,0)</f>
        <v>0</v>
      </c>
      <c r="ER63" s="44">
        <f>+Table1[[#This Row],[Data Leavers Date]]+Table1[[#This Row],[Data Exit Forms]]</f>
        <v>0</v>
      </c>
      <c r="ES63" s="44" t="str">
        <f>IF(Table1[Data Leavers Date]=1000,SUM(Table1[Leaving Date]-Table1[Start Date]),"")</f>
        <v/>
      </c>
      <c r="ET63" s="44" t="str">
        <f>IF(Table1[Data Leavers Date]=2000,SUM(Table1[Leaving Date]-Table1[Start Date]),"")</f>
        <v/>
      </c>
      <c r="EU63" s="44" t="str">
        <f>IF(Table1[Data Leavers Date]=3000,SUM(Table1[Leaving Date]-Table1[Start Date]),"")</f>
        <v/>
      </c>
      <c r="EV63" s="44" t="str">
        <f>IF(Table1[Data Leavers Date]=4000,SUM(Table1[Leaving Date]-Table1[Start Date]),"")</f>
        <v/>
      </c>
      <c r="EW63" s="44" t="str">
        <f>IF(Table1[Data Leavers Date]=5000,SUM(Table1[Leaving Date]-Table1[Start Date]),"")</f>
        <v/>
      </c>
      <c r="EX63" s="44" t="str">
        <f>IF(Table1[Data Leavers Date]=6000,SUM(Table1[Leaving Date]-Table1[Start Date]),"")</f>
        <v/>
      </c>
      <c r="EY63" s="44" t="str">
        <f>IF(Table1[Data Leavers Date]=7000,SUM(Table1[Leaving Date]-Table1[Start Date]),"")</f>
        <v/>
      </c>
      <c r="EZ63" s="44" t="str">
        <f>IF(Table1[Data Leavers Date]=8000,SUM(Table1[Leaving Date]-Table1[Start Date]),"")</f>
        <v/>
      </c>
      <c r="FA63" s="44" t="str">
        <f>IF(Table1[Date of Initial Assessment]="","",IF(AND(Table1[Start Date]&gt;42094,Table1[Start Date]&lt;42461),Table1[Motivation and Taking Responsibility],""))</f>
        <v/>
      </c>
      <c r="FB63" s="44" t="str">
        <f>IF(Table1[Date of Initial Assessment]="","",IF(AND(Table1[Start Date]&gt;42094,Table1[Start Date]&lt;42461),Table1[Self-Care and Living Skills],""))</f>
        <v/>
      </c>
      <c r="FC63" s="44" t="str">
        <f>IF(Table1[Date of Initial Assessment]="","",IF(AND(Table1[Start Date]&gt;42094,Table1[Start Date]&lt;42461),Table1[Managing Money and Personal Administration],""))</f>
        <v/>
      </c>
      <c r="FD63" s="44" t="str">
        <f>IF(Table1[Date of Initial Assessment]="","",IF(AND(Table1[Start Date]&gt;42094,Table1[Start Date]&lt;42461),Table1[Social Networks and Relationships],""))</f>
        <v/>
      </c>
      <c r="FE63" s="44" t="str">
        <f>IF(Table1[Date of Initial Assessment]="","",IF(AND(Table1[Start Date]&gt;42094,Table1[Start Date]&lt;42461),Table1[Drug and Alcohol Misuse],""))</f>
        <v/>
      </c>
      <c r="FF63" s="44" t="str">
        <f>IF(Table1[Date of Initial Assessment]="","",IF(AND(Table1[Start Date]&gt;42094,Table1[Start Date]&lt;42461),Table1[Physical Health],""))</f>
        <v/>
      </c>
      <c r="FG63" s="44" t="str">
        <f>IF(Table1[Date of Initial Assessment]="","",IF(AND(Table1[Start Date]&gt;42094,Table1[Start Date]&lt;42461),Table1[Emotional and Mental Health],""))</f>
        <v/>
      </c>
      <c r="FH63" s="44" t="str">
        <f>IF(Table1[Date of Initial Assessment]="","",IF(AND(Table1[Start Date]&gt;42094,Table1[Start Date]&lt;42461),Table1[Meaningful Use of Time],""))</f>
        <v/>
      </c>
      <c r="FI63" s="44" t="str">
        <f>IF(Table1[Date of Initial Assessment]="","",IF(AND(Table1[Start Date]&gt;42094,Table1[Start Date]&lt;42461),Table1[Managing Tenancy and Accommodation],""))</f>
        <v/>
      </c>
      <c r="FJ63" s="44" t="str">
        <f>IF(Table1[Date of Initial Assessment]="","",IF(AND(Table1[Start Date]&gt;42094,Table1[Start Date]&lt;42461),Table1[Offending],""))</f>
        <v/>
      </c>
      <c r="FK63" s="44" t="str">
        <f>IF(Table1[Leaving Date]="","",IF(Table1[Date of Initial Assessment]="","",IF(AND(Table1[Leaving Date]&gt;42094,Table1[Leaving Date]&lt;42461),IF(Table1[Date of Last Assessment]="",Table1[Motivation and Taking Responsibility],Table1[Motivation and Taking Responsibility2]),"")))</f>
        <v/>
      </c>
      <c r="FL63" s="44" t="str">
        <f>IF(Table1[Leaving Date]="","",IF(Table1[Date of Initial Assessment]="","",IF(AND(Table1[Leaving Date]&gt;42094,Table1[Leaving Date]&lt;42461),IF(Table1[Date of Last Assessment]="",Table1[Self-Care and Living Skills],Table1[Self-Care and Living Skills2]),"")))</f>
        <v/>
      </c>
      <c r="FM63" s="44" t="str">
        <f>IF(Table1[Leaving Date]="","",IF(Table1[Date of Initial Assessment]="","",IF(AND(Table1[Leaving Date]&gt;42094,Table1[Leaving Date]&lt;42461),IF(Table1[Date of Last Assessment]="",Table1[Managing Money and Personal Administration],Table1[Managing Money and Personal Administration2]),"")))</f>
        <v/>
      </c>
      <c r="FN63" s="44" t="str">
        <f>IF(Table1[Leaving Date]="","",IF(Table1[Date of Initial Assessment]="","",IF(AND(Table1[Leaving Date]&gt;42094,Table1[Leaving Date]&lt;42461),IF(Table1[Date of Last Assessment]="",Table1[Social Networks and Relationships],Table1[Social Networks and Relationships2]),"")))</f>
        <v/>
      </c>
      <c r="FO63" s="44" t="str">
        <f>IF(Table1[Leaving Date]="","",IF(Table1[Date of Initial Assessment]="","",IF(AND(Table1[Leaving Date]&gt;42094,Table1[Leaving Date]&lt;42461),IF(Table1[Date of Last Assessment]="",Table1[Drug and Alcohol Misuse],Table1[Drug and Alcohol Misuse2]),"")))</f>
        <v/>
      </c>
      <c r="FP63" s="44" t="str">
        <f>IF(Table1[Leaving Date]="","",IF(Table1[Date of Initial Assessment]="","",IF(AND(Table1[Leaving Date]&gt;42094,Table1[Leaving Date]&lt;42461),IF(Table1[Date of Last Assessment]="",Table1[Physical Health],Table1[Physical Health2]),"")))</f>
        <v/>
      </c>
      <c r="FQ63" s="44" t="str">
        <f>IF(Table1[Leaving Date]="","",IF(Table1[Date of Initial Assessment]="","",IF(AND(Table1[Leaving Date]&gt;42094,Table1[Leaving Date]&lt;42461),IF(Table1[Date of Last Assessment]="",Table1[Emotional and Mental Health],Table1[Emotional and Mental Health2]),"")))</f>
        <v/>
      </c>
      <c r="FR63" s="44" t="str">
        <f>IF(Table1[Leaving Date]="","",IF(Table1[Date of Initial Assessment]="","",IF(AND(Table1[Leaving Date]&gt;42094,Table1[Leaving Date]&lt;42461),IF(Table1[Date of Last Assessment]="",Table1[Meaningful Use of Time],Table1[Meaningful Use of Time2]),"")))</f>
        <v/>
      </c>
      <c r="FS63" s="44" t="str">
        <f>IF(Table1[Leaving Date]="","",IF(Table1[Date of Initial Assessment]="","",IF(AND(Table1[Leaving Date]&gt;42094,Table1[Leaving Date]&lt;42461),IF(Table1[Date of Last Assessment]="",Table1[Managing Tenancy and Accommodation],Table1[Managing Tenancy and Accommodation2]),"")))</f>
        <v/>
      </c>
      <c r="FT63" s="44" t="str">
        <f>IF(Table1[Leaving Date]="","",IF(Table1[Date of Initial Assessment]="","",IF(AND(Table1[Leaving Date]&gt;42094,Table1[Leaving Date]&lt;42461),IF(Table1[Date of Last Assessment]="",Table1[Offending],Table1[Offending2]),"")))</f>
        <v/>
      </c>
      <c r="FU63" s="44" t="str">
        <f>IF(Table1[Date of Initial Assessment]="","",IF(AND(Table1[Start Date]&gt;42460,Table1[Start Date]&lt;42826),Table1[Motivation and Taking Responsibility],""))</f>
        <v/>
      </c>
      <c r="FV63" s="44" t="str">
        <f>IF(Table1[Date of Initial Assessment]="","",IF(AND(Table1[Start Date]&gt;42460,Table1[Start Date]&lt;42826),Table1[Self-Care and Living Skills],""))</f>
        <v/>
      </c>
      <c r="FW63" s="44" t="str">
        <f>IF(Table1[Date of Initial Assessment]="","",IF(AND(Table1[Start Date]&gt;42460,Table1[Start Date]&lt;42826),Table1[Managing Money and Personal Administration],""))</f>
        <v/>
      </c>
      <c r="FX63" s="44" t="str">
        <f>IF(Table1[Date of Initial Assessment]="","",IF(AND(Table1[Start Date]&gt;42460,Table1[Start Date]&lt;42826),Table1[Social Networks and Relationships],""))</f>
        <v/>
      </c>
      <c r="FY63" s="44" t="str">
        <f>IF(Table1[Date of Initial Assessment]="","",IF(AND(Table1[Start Date]&gt;42460,Table1[Start Date]&lt;42826),Table1[Drug and Alcohol Misuse],""))</f>
        <v/>
      </c>
      <c r="FZ63" s="44" t="str">
        <f>IF(Table1[Date of Initial Assessment]="","",IF(AND(Table1[Start Date]&gt;42460,Table1[Start Date]&lt;42826),Table1[Physical Health],""))</f>
        <v/>
      </c>
      <c r="GA63" s="44" t="str">
        <f>IF(Table1[Date of Initial Assessment]="","",IF(AND(Table1[Start Date]&gt;42460,Table1[Start Date]&lt;42826),Table1[Emotional and Mental Health],""))</f>
        <v/>
      </c>
      <c r="GB63" s="44" t="str">
        <f>IF(Table1[Date of Initial Assessment]="","",IF(AND(Table1[Start Date]&gt;42460,Table1[Start Date]&lt;42826),Table1[Meaningful Use of Time],""))</f>
        <v/>
      </c>
      <c r="GC63" s="44" t="str">
        <f>IF(Table1[Date of Initial Assessment]="","",IF(AND(Table1[Start Date]&gt;42460,Table1[Start Date]&lt;42826),Table1[Managing Tenancy and Accommodation],""))</f>
        <v/>
      </c>
      <c r="GD63" s="44" t="str">
        <f>IF(Table1[Date of Initial Assessment]="","",IF(AND(Table1[Start Date]&gt;42460,Table1[Start Date]&lt;42826),Table1[Offending],""))</f>
        <v/>
      </c>
      <c r="GE63" s="44" t="str">
        <f>IF(Table1[Leaving Date]="","",IF(AND(Table1[Leaving Date]&gt;42460,Table1[Leaving Date]&lt;42826),IF(Table1[Date of Last Assessment]="",Table1[Motivation and Taking Responsibility],Table1[Motivation and Taking Responsibility2]),""))</f>
        <v/>
      </c>
      <c r="GF63" s="44" t="str">
        <f>IF(Table1[Leaving Date]="","",IF(AND(Table1[Leaving Date]&gt;42460,Table1[Leaving Date]&lt;42826),IF(Table1[Date of Last Assessment]="",Table1[Self-Care and Living Skills],Table1[Self-Care and Living Skills2]),""))</f>
        <v/>
      </c>
      <c r="GG63" s="44" t="str">
        <f>IF(Table1[Leaving Date]="","",IF(AND(Table1[Leaving Date]&gt;42460,Table1[Leaving Date]&lt;42826),IF(Table1[Date of Last Assessment]="",Table1[Managing Money and Personal Administration],Table1[Managing Money and Personal Administration2]),""))</f>
        <v/>
      </c>
      <c r="GH63" s="44" t="str">
        <f>IF(Table1[Leaving Date]="","",IF(AND(Table1[Leaving Date]&gt;42460,Table1[Leaving Date]&lt;42826),IF(Table1[Date of Last Assessment]="",Table1[Social Networks and Relationships],Table1[Social Networks and Relationships2]),""))</f>
        <v/>
      </c>
      <c r="GI63" s="44" t="str">
        <f>IF(Table1[Leaving Date]="","",IF(AND(Table1[Leaving Date]&gt;42460,Table1[Leaving Date]&lt;42826),IF(Table1[Date of Last Assessment]="",Table1[Drug and Alcohol Misuse],Table1[Drug and Alcohol Misuse2]),""))</f>
        <v/>
      </c>
      <c r="GJ63" s="44" t="str">
        <f>IF(Table1[Leaving Date]="","",IF(AND(Table1[Leaving Date]&gt;42460,Table1[Leaving Date]&lt;42826),IF(Table1[Date of Last Assessment]="",Table1[Physical Health],Table1[Physical Health2]),""))</f>
        <v/>
      </c>
      <c r="GK63" s="44" t="str">
        <f>IF(Table1[Leaving Date]="","",IF(AND(Table1[Leaving Date]&gt;42460,Table1[Leaving Date]&lt;42826),IF(Table1[Date of Last Assessment]="",Table1[Emotional and Mental Health],Table1[Emotional and Mental Health2]),""))</f>
        <v/>
      </c>
      <c r="GL63" s="44" t="str">
        <f>IF(Table1[Leaving Date]="","",IF(AND(Table1[Leaving Date]&gt;42460,Table1[Leaving Date]&lt;42826),IF(Table1[Date of Last Assessment]="",Table1[Meaningful Use of Time],Table1[Meaningful Use of Time2]),""))</f>
        <v/>
      </c>
      <c r="GM63" s="44" t="str">
        <f>IF(Table1[Leaving Date]="","",IF(AND(Table1[Leaving Date]&gt;42460,Table1[Leaving Date]&lt;42826),IF(Table1[Date of Last Assessment]="",Table1[Managing Tenancy and Accommodation],Table1[Managing Tenancy and Accommodation2]),""))</f>
        <v/>
      </c>
      <c r="GN63" s="44" t="str">
        <f>IF(Table1[Leaving Date]="","",IF(AND(Table1[Leaving Date]&gt;42460,Table1[Leaving Date]&lt;42826),IF(Table1[Date of Last Assessment]="",Table1[Offending],Table1[Offending2]),""))</f>
        <v/>
      </c>
    </row>
    <row r="64" spans="2:196" ht="20.100000000000001" customHeight="1" x14ac:dyDescent="0.2">
      <c r="B64" s="86">
        <f>+'Service Data'!$C$5:$C$5</f>
        <v>0</v>
      </c>
      <c r="C64" s="86"/>
      <c r="D64" s="86"/>
      <c r="E64" s="86"/>
      <c r="F64" s="86"/>
      <c r="G64" s="86"/>
      <c r="H64" s="6"/>
      <c r="I64" s="99" t="str">
        <f ca="1">IF(Table1[[#This Row],[Date of Birth]]="","",SUM(TODAY()-Table1[[#This Row],[Date of Birth]])/365)</f>
        <v/>
      </c>
      <c r="L64" s="86"/>
      <c r="M64" s="77"/>
      <c r="N64" s="86"/>
      <c r="O64" s="86"/>
      <c r="P64" s="91"/>
      <c r="Q64" s="86"/>
      <c r="R64" s="77"/>
      <c r="S64" s="77"/>
      <c r="T64" s="68"/>
      <c r="U64" s="68"/>
      <c r="V64" s="67"/>
      <c r="W64" s="67"/>
      <c r="X64" s="67"/>
      <c r="Y64" s="67"/>
      <c r="Z64" s="67"/>
      <c r="AA64" s="67"/>
      <c r="AB64" s="67"/>
      <c r="AC64" s="67"/>
      <c r="AD64" s="67"/>
      <c r="AE64" s="67"/>
      <c r="AF64" s="67"/>
      <c r="AG64" s="67"/>
      <c r="AH64" s="67"/>
      <c r="AI64" s="67"/>
      <c r="AJ64" s="67"/>
      <c r="AK64" s="67"/>
      <c r="AL64" s="67"/>
      <c r="AM64" s="67"/>
      <c r="AN64" s="77"/>
      <c r="AO64" s="76"/>
      <c r="AP64" s="77"/>
      <c r="AQ64" s="76"/>
      <c r="AR64" s="76"/>
      <c r="AS64" s="76"/>
      <c r="AT64" s="76"/>
      <c r="AU64" s="76"/>
      <c r="AV64" s="77"/>
      <c r="AW64" s="76"/>
      <c r="AX64" s="77"/>
      <c r="AY64" s="76"/>
      <c r="AZ64" s="76"/>
      <c r="BA64" s="76"/>
      <c r="BB64" s="76"/>
      <c r="BC64" s="76"/>
      <c r="BD64" s="77"/>
      <c r="BE64" s="76"/>
      <c r="BF64" s="77"/>
      <c r="BG64" s="76"/>
      <c r="BH64" s="76"/>
      <c r="BI64" s="76"/>
      <c r="BJ64" s="76"/>
      <c r="BK64" s="76"/>
      <c r="BL64" s="77"/>
      <c r="BM64" s="76"/>
      <c r="BN64" s="77"/>
      <c r="BO64" s="76"/>
      <c r="BP64" s="76"/>
      <c r="BQ64" s="76"/>
      <c r="BR64" s="76"/>
      <c r="BS64" s="76"/>
      <c r="BT64" s="77"/>
      <c r="BU64" s="76"/>
      <c r="BV64" s="77"/>
      <c r="BW64" s="76"/>
      <c r="BX64" s="76"/>
      <c r="BY64" s="76"/>
      <c r="BZ64" s="76"/>
      <c r="CA64" s="76"/>
      <c r="CB64" s="77"/>
      <c r="CC64" s="76"/>
      <c r="CD64" s="77"/>
      <c r="CE64" s="76"/>
      <c r="CF64" s="76"/>
      <c r="CG64" s="76"/>
      <c r="CH64" s="76"/>
      <c r="CI64" s="76"/>
      <c r="CJ64" s="77"/>
      <c r="CK64" s="76"/>
      <c r="CL64" s="77"/>
      <c r="CM64" s="76"/>
      <c r="CN64" s="76"/>
      <c r="CO64" s="76"/>
      <c r="CP64" s="76"/>
      <c r="CQ64" s="76"/>
      <c r="CR64" s="78" t="str">
        <f t="shared" si="15"/>
        <v/>
      </c>
      <c r="CS64" s="79" t="str">
        <f t="shared" si="16"/>
        <v/>
      </c>
      <c r="CT64" s="79" t="str">
        <f t="shared" si="17"/>
        <v/>
      </c>
      <c r="CU64" s="79" t="str">
        <f t="shared" si="18"/>
        <v/>
      </c>
      <c r="CV64" s="79" t="str">
        <f t="shared" si="19"/>
        <v/>
      </c>
      <c r="CW64" s="79" t="str">
        <f t="shared" si="20"/>
        <v/>
      </c>
      <c r="CX64" s="79" t="str">
        <f t="shared" si="21"/>
        <v/>
      </c>
      <c r="CY64" s="79" t="str">
        <f t="shared" si="22"/>
        <v/>
      </c>
      <c r="CZ64" s="79" t="str">
        <f t="shared" si="23"/>
        <v/>
      </c>
      <c r="DA64" s="79" t="str">
        <f t="shared" si="24"/>
        <v/>
      </c>
      <c r="DB64" s="79" t="str">
        <f t="shared" si="25"/>
        <v/>
      </c>
      <c r="DC64" s="79" t="str">
        <f t="shared" si="26"/>
        <v/>
      </c>
      <c r="DD64" s="79" t="str">
        <f t="shared" si="27"/>
        <v/>
      </c>
      <c r="DE64" s="79" t="str">
        <f t="shared" si="28"/>
        <v/>
      </c>
      <c r="DF64" s="79" t="str">
        <f t="shared" si="29"/>
        <v/>
      </c>
      <c r="DG64" s="79" t="str">
        <f t="shared" si="30"/>
        <v/>
      </c>
      <c r="DH64" s="76"/>
      <c r="DI64" s="78"/>
      <c r="DJ64" s="76"/>
      <c r="DK64" s="77"/>
      <c r="DL64" s="77"/>
      <c r="DM64" s="77"/>
      <c r="DN64" s="80"/>
      <c r="DO64" s="80"/>
      <c r="DP64" s="92" t="str">
        <f>IF(Table1[Start Date]="","",IF(Table1[Start Date]&gt;42185,"",IF(AND(Table1[Leaving Date]&gt;1,Table1[Leaving Date]&lt;42095),"",1)))</f>
        <v/>
      </c>
      <c r="DQ64" s="92" t="str">
        <f>IF(Table1[Start Date]="","",IF(Table1[Start Date]&gt;42277,"",IF(AND(Table1[Leaving Date]&gt;1,Table1[Leaving Date]&lt;42186),"",1)))</f>
        <v/>
      </c>
      <c r="DR64" s="92" t="str">
        <f>IF(Table1[Start Date]="","",IF(Table1[Start Date]&gt;42369,"",IF(AND(Table1[Leaving Date]&gt;1,Table1[Leaving Date]&lt;42278),"",1)))</f>
        <v/>
      </c>
      <c r="DS64" s="92" t="str">
        <f>IF(Table1[Start Date]="","",IF(Table1[Start Date]&gt;42460,"",IF(AND(Table1[Leaving Date]&gt;1,Table1[Leaving Date]&lt;42370),"",1)))</f>
        <v/>
      </c>
      <c r="DT64" s="92" t="str">
        <f>IF(Table1[Start Date]="","",IF(Table1[Start Date]&gt;42551,"",IF(AND(Table1[Leaving Date]&gt;1,Table1[Leaving Date]&lt;42461),"",1)))</f>
        <v/>
      </c>
      <c r="DU64" s="92" t="str">
        <f>IF(Table1[Start Date]="","",IF(Table1[Start Date]&gt;42643,"",IF(AND(Table1[Leaving Date]&gt;1,Table1[Leaving Date]&lt;42552),"",1)))</f>
        <v/>
      </c>
      <c r="DV64" s="92" t="str">
        <f>IF(Table1[Start Date]="","",IF(Table1[Start Date]&gt;42735,"",IF(AND(Table1[Leaving Date]&gt;1,Table1[Leaving Date]&lt;42644),"",1)))</f>
        <v/>
      </c>
      <c r="DW64" s="92" t="str">
        <f>IF(Table1[Start Date]="","",IF(Table1[Start Date]&gt;42825,"",IF(AND(Table1[Leaving Date]&gt;1,Table1[Leaving Date]&lt;42736),"",1)))</f>
        <v/>
      </c>
      <c r="DX64"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64" s="44" t="e">
        <f>VLOOKUP(Table1[Referral Source],Lists!$G$2:$H$20,2,FALSE)</f>
        <v>#N/A</v>
      </c>
      <c r="DZ64" s="93" t="e">
        <f>SUM(Table1[Data Referral Quarter]+Table1[Data Referral Source])</f>
        <v>#N/A</v>
      </c>
      <c r="EA64" s="44" t="b">
        <f>IF(Table1[Referral Decision]="Accepted",100,IF(Table1[Referral Decision]="Rejected by Provider",200,IF(Table1[Referral Decision]="Rejected by Applicant",300)))</f>
        <v>0</v>
      </c>
      <c r="EB64" s="44">
        <f>SUM(Table1[Data Referral Quarter]+Table1[Data Referral Decision])</f>
        <v>0</v>
      </c>
      <c r="EC64" s="44" t="b">
        <f>IF(Table1[Start Date]&gt;42735,8000,IF(Table1[Start Date]&gt;42643,7000,IF(Table1[Start Date]&gt;42551,6000,IF(Table1[Start Date]&gt;42460,5000,IF(Table1[Start Date]&gt;42369,4000,IF(Table1[Start Date]&gt;42277,3000,IF(Table1[Start Date]&gt;42185,2000,IF(Table1[Start Date]&gt;42094,1000))))))))</f>
        <v>0</v>
      </c>
      <c r="ED64" s="44" t="str">
        <f>IF(Table1[Start Date]="","",IF(Table1[Current Local Authority]="Swindon",1,"2"))</f>
        <v/>
      </c>
      <c r="EE64" s="44" t="e">
        <f>SUM(Table1[Data Start Date]+Table1[Data Local Authority])</f>
        <v>#VALUE!</v>
      </c>
      <c r="EF64" s="44">
        <f>IF(Table1[Registered with GP]="Yes",1,0)</f>
        <v>0</v>
      </c>
      <c r="EG64" s="44">
        <f>SUM(Table1[Data Start Date]+Table1[Data GP Start])</f>
        <v>0</v>
      </c>
      <c r="EH64" s="44" t="str">
        <f>IF(Table1[EET]="NEET",1,IF(Table1[EET]="Education",2,IF(Table1[EET]="Employment",2,IF(Table1[EET]="Training",2,IF(Table1[EET]="Retired",3,"")))))</f>
        <v/>
      </c>
      <c r="EI64" s="44" t="e">
        <f>Table1[Data Start Date]+Table1[Data EET Start]</f>
        <v>#VALUE!</v>
      </c>
      <c r="EJ64" s="44" t="b">
        <f>IF(Table1[Leaving Date]&gt;42735,8000,IF(Table1[Leaving Date]&gt;42643,7000,IF(Table1[Leaving Date]&gt;42551,6000,IF(Table1[Leaving Date]&gt;42460,5000,IF(Table1[Leaving Date]&gt;42369,4000,IF(Table1[Leaving Date]&gt;42277,3000,IF(Table1[Leaving Date]&gt;42185,2000,IF(Table1[Leaving Date]&gt;42094,1000))))))))</f>
        <v>0</v>
      </c>
      <c r="EK64" s="44" t="e">
        <f>VLOOKUP(Table1[Reason for Leaving],Lists!$T$2:$U$15,2,FALSE)</f>
        <v>#N/A</v>
      </c>
      <c r="EL64" s="44" t="e">
        <f>SUM(Table1[Data Leavers Date]+Table1[Data Move On])</f>
        <v>#N/A</v>
      </c>
      <c r="EM64" s="44" t="b">
        <f>IF(Table1[Registered with GP2]="Yes",1,IF(Table1[Registered with GP2]="No",0,IF(Table1[Registered with GP]="Yes",1,IF(Table1[Registered with GP]="No",0))))</f>
        <v>0</v>
      </c>
      <c r="EN64" s="44">
        <f>SUM(Table1[Data Leavers Date]+Table1[Data GP End])</f>
        <v>0</v>
      </c>
      <c r="EO64" s="44" t="str">
        <f>IF(Table1[EET2]="NEET",1,IF(Table1[EET2]="Employment",2,IF(Table1[EET2]="Education",2,IF(Table1[EET2]="Training",2,IF(Table1[EET2]="Retired",3,IF(Table1[EET]="NEET",1,IF(Table1[EET]="Employment",2,IF(Table1[EET]="Education",2,IF(Table1[EET]="Training",2,IF(Table1[EET]="Retired",3,""))))))))))</f>
        <v/>
      </c>
      <c r="EP64" s="44" t="e">
        <f>+Table1[[#This Row],[Data Leavers Date]]+Table1[[#This Row],[Data EET End]]</f>
        <v>#VALUE!</v>
      </c>
      <c r="EQ64" s="44">
        <f>IF(Table1[Exit Form Received]="Yes",1,0)</f>
        <v>0</v>
      </c>
      <c r="ER64" s="44">
        <f>+Table1[[#This Row],[Data Leavers Date]]+Table1[[#This Row],[Data Exit Forms]]</f>
        <v>0</v>
      </c>
      <c r="ES64" s="44" t="str">
        <f>IF(Table1[Data Leavers Date]=1000,SUM(Table1[Leaving Date]-Table1[Start Date]),"")</f>
        <v/>
      </c>
      <c r="ET64" s="44" t="str">
        <f>IF(Table1[Data Leavers Date]=2000,SUM(Table1[Leaving Date]-Table1[Start Date]),"")</f>
        <v/>
      </c>
      <c r="EU64" s="44" t="str">
        <f>IF(Table1[Data Leavers Date]=3000,SUM(Table1[Leaving Date]-Table1[Start Date]),"")</f>
        <v/>
      </c>
      <c r="EV64" s="44" t="str">
        <f>IF(Table1[Data Leavers Date]=4000,SUM(Table1[Leaving Date]-Table1[Start Date]),"")</f>
        <v/>
      </c>
      <c r="EW64" s="44" t="str">
        <f>IF(Table1[Data Leavers Date]=5000,SUM(Table1[Leaving Date]-Table1[Start Date]),"")</f>
        <v/>
      </c>
      <c r="EX64" s="44" t="str">
        <f>IF(Table1[Data Leavers Date]=6000,SUM(Table1[Leaving Date]-Table1[Start Date]),"")</f>
        <v/>
      </c>
      <c r="EY64" s="44" t="str">
        <f>IF(Table1[Data Leavers Date]=7000,SUM(Table1[Leaving Date]-Table1[Start Date]),"")</f>
        <v/>
      </c>
      <c r="EZ64" s="44" t="str">
        <f>IF(Table1[Data Leavers Date]=8000,SUM(Table1[Leaving Date]-Table1[Start Date]),"")</f>
        <v/>
      </c>
      <c r="FA64" s="44" t="str">
        <f>IF(Table1[Date of Initial Assessment]="","",IF(AND(Table1[Start Date]&gt;42094,Table1[Start Date]&lt;42461),Table1[Motivation and Taking Responsibility],""))</f>
        <v/>
      </c>
      <c r="FB64" s="44" t="str">
        <f>IF(Table1[Date of Initial Assessment]="","",IF(AND(Table1[Start Date]&gt;42094,Table1[Start Date]&lt;42461),Table1[Self-Care and Living Skills],""))</f>
        <v/>
      </c>
      <c r="FC64" s="44" t="str">
        <f>IF(Table1[Date of Initial Assessment]="","",IF(AND(Table1[Start Date]&gt;42094,Table1[Start Date]&lt;42461),Table1[Managing Money and Personal Administration],""))</f>
        <v/>
      </c>
      <c r="FD64" s="44" t="str">
        <f>IF(Table1[Date of Initial Assessment]="","",IF(AND(Table1[Start Date]&gt;42094,Table1[Start Date]&lt;42461),Table1[Social Networks and Relationships],""))</f>
        <v/>
      </c>
      <c r="FE64" s="44" t="str">
        <f>IF(Table1[Date of Initial Assessment]="","",IF(AND(Table1[Start Date]&gt;42094,Table1[Start Date]&lt;42461),Table1[Drug and Alcohol Misuse],""))</f>
        <v/>
      </c>
      <c r="FF64" s="44" t="str">
        <f>IF(Table1[Date of Initial Assessment]="","",IF(AND(Table1[Start Date]&gt;42094,Table1[Start Date]&lt;42461),Table1[Physical Health],""))</f>
        <v/>
      </c>
      <c r="FG64" s="44" t="str">
        <f>IF(Table1[Date of Initial Assessment]="","",IF(AND(Table1[Start Date]&gt;42094,Table1[Start Date]&lt;42461),Table1[Emotional and Mental Health],""))</f>
        <v/>
      </c>
      <c r="FH64" s="44" t="str">
        <f>IF(Table1[Date of Initial Assessment]="","",IF(AND(Table1[Start Date]&gt;42094,Table1[Start Date]&lt;42461),Table1[Meaningful Use of Time],""))</f>
        <v/>
      </c>
      <c r="FI64" s="44" t="str">
        <f>IF(Table1[Date of Initial Assessment]="","",IF(AND(Table1[Start Date]&gt;42094,Table1[Start Date]&lt;42461),Table1[Managing Tenancy and Accommodation],""))</f>
        <v/>
      </c>
      <c r="FJ64" s="44" t="str">
        <f>IF(Table1[Date of Initial Assessment]="","",IF(AND(Table1[Start Date]&gt;42094,Table1[Start Date]&lt;42461),Table1[Offending],""))</f>
        <v/>
      </c>
      <c r="FK64" s="44" t="str">
        <f>IF(Table1[Leaving Date]="","",IF(Table1[Date of Initial Assessment]="","",IF(AND(Table1[Leaving Date]&gt;42094,Table1[Leaving Date]&lt;42461),IF(Table1[Date of Last Assessment]="",Table1[Motivation and Taking Responsibility],Table1[Motivation and Taking Responsibility2]),"")))</f>
        <v/>
      </c>
      <c r="FL64" s="44" t="str">
        <f>IF(Table1[Leaving Date]="","",IF(Table1[Date of Initial Assessment]="","",IF(AND(Table1[Leaving Date]&gt;42094,Table1[Leaving Date]&lt;42461),IF(Table1[Date of Last Assessment]="",Table1[Self-Care and Living Skills],Table1[Self-Care and Living Skills2]),"")))</f>
        <v/>
      </c>
      <c r="FM64" s="44" t="str">
        <f>IF(Table1[Leaving Date]="","",IF(Table1[Date of Initial Assessment]="","",IF(AND(Table1[Leaving Date]&gt;42094,Table1[Leaving Date]&lt;42461),IF(Table1[Date of Last Assessment]="",Table1[Managing Money and Personal Administration],Table1[Managing Money and Personal Administration2]),"")))</f>
        <v/>
      </c>
      <c r="FN64" s="44" t="str">
        <f>IF(Table1[Leaving Date]="","",IF(Table1[Date of Initial Assessment]="","",IF(AND(Table1[Leaving Date]&gt;42094,Table1[Leaving Date]&lt;42461),IF(Table1[Date of Last Assessment]="",Table1[Social Networks and Relationships],Table1[Social Networks and Relationships2]),"")))</f>
        <v/>
      </c>
      <c r="FO64" s="44" t="str">
        <f>IF(Table1[Leaving Date]="","",IF(Table1[Date of Initial Assessment]="","",IF(AND(Table1[Leaving Date]&gt;42094,Table1[Leaving Date]&lt;42461),IF(Table1[Date of Last Assessment]="",Table1[Drug and Alcohol Misuse],Table1[Drug and Alcohol Misuse2]),"")))</f>
        <v/>
      </c>
      <c r="FP64" s="44" t="str">
        <f>IF(Table1[Leaving Date]="","",IF(Table1[Date of Initial Assessment]="","",IF(AND(Table1[Leaving Date]&gt;42094,Table1[Leaving Date]&lt;42461),IF(Table1[Date of Last Assessment]="",Table1[Physical Health],Table1[Physical Health2]),"")))</f>
        <v/>
      </c>
      <c r="FQ64" s="44" t="str">
        <f>IF(Table1[Leaving Date]="","",IF(Table1[Date of Initial Assessment]="","",IF(AND(Table1[Leaving Date]&gt;42094,Table1[Leaving Date]&lt;42461),IF(Table1[Date of Last Assessment]="",Table1[Emotional and Mental Health],Table1[Emotional and Mental Health2]),"")))</f>
        <v/>
      </c>
      <c r="FR64" s="44" t="str">
        <f>IF(Table1[Leaving Date]="","",IF(Table1[Date of Initial Assessment]="","",IF(AND(Table1[Leaving Date]&gt;42094,Table1[Leaving Date]&lt;42461),IF(Table1[Date of Last Assessment]="",Table1[Meaningful Use of Time],Table1[Meaningful Use of Time2]),"")))</f>
        <v/>
      </c>
      <c r="FS64" s="44" t="str">
        <f>IF(Table1[Leaving Date]="","",IF(Table1[Date of Initial Assessment]="","",IF(AND(Table1[Leaving Date]&gt;42094,Table1[Leaving Date]&lt;42461),IF(Table1[Date of Last Assessment]="",Table1[Managing Tenancy and Accommodation],Table1[Managing Tenancy and Accommodation2]),"")))</f>
        <v/>
      </c>
      <c r="FT64" s="44" t="str">
        <f>IF(Table1[Leaving Date]="","",IF(Table1[Date of Initial Assessment]="","",IF(AND(Table1[Leaving Date]&gt;42094,Table1[Leaving Date]&lt;42461),IF(Table1[Date of Last Assessment]="",Table1[Offending],Table1[Offending2]),"")))</f>
        <v/>
      </c>
      <c r="FU64" s="44" t="str">
        <f>IF(Table1[Date of Initial Assessment]="","",IF(AND(Table1[Start Date]&gt;42460,Table1[Start Date]&lt;42826),Table1[Motivation and Taking Responsibility],""))</f>
        <v/>
      </c>
      <c r="FV64" s="44" t="str">
        <f>IF(Table1[Date of Initial Assessment]="","",IF(AND(Table1[Start Date]&gt;42460,Table1[Start Date]&lt;42826),Table1[Self-Care and Living Skills],""))</f>
        <v/>
      </c>
      <c r="FW64" s="44" t="str">
        <f>IF(Table1[Date of Initial Assessment]="","",IF(AND(Table1[Start Date]&gt;42460,Table1[Start Date]&lt;42826),Table1[Managing Money and Personal Administration],""))</f>
        <v/>
      </c>
      <c r="FX64" s="44" t="str">
        <f>IF(Table1[Date of Initial Assessment]="","",IF(AND(Table1[Start Date]&gt;42460,Table1[Start Date]&lt;42826),Table1[Social Networks and Relationships],""))</f>
        <v/>
      </c>
      <c r="FY64" s="44" t="str">
        <f>IF(Table1[Date of Initial Assessment]="","",IF(AND(Table1[Start Date]&gt;42460,Table1[Start Date]&lt;42826),Table1[Drug and Alcohol Misuse],""))</f>
        <v/>
      </c>
      <c r="FZ64" s="44" t="str">
        <f>IF(Table1[Date of Initial Assessment]="","",IF(AND(Table1[Start Date]&gt;42460,Table1[Start Date]&lt;42826),Table1[Physical Health],""))</f>
        <v/>
      </c>
      <c r="GA64" s="44" t="str">
        <f>IF(Table1[Date of Initial Assessment]="","",IF(AND(Table1[Start Date]&gt;42460,Table1[Start Date]&lt;42826),Table1[Emotional and Mental Health],""))</f>
        <v/>
      </c>
      <c r="GB64" s="44" t="str">
        <f>IF(Table1[Date of Initial Assessment]="","",IF(AND(Table1[Start Date]&gt;42460,Table1[Start Date]&lt;42826),Table1[Meaningful Use of Time],""))</f>
        <v/>
      </c>
      <c r="GC64" s="44" t="str">
        <f>IF(Table1[Date of Initial Assessment]="","",IF(AND(Table1[Start Date]&gt;42460,Table1[Start Date]&lt;42826),Table1[Managing Tenancy and Accommodation],""))</f>
        <v/>
      </c>
      <c r="GD64" s="44" t="str">
        <f>IF(Table1[Date of Initial Assessment]="","",IF(AND(Table1[Start Date]&gt;42460,Table1[Start Date]&lt;42826),Table1[Offending],""))</f>
        <v/>
      </c>
      <c r="GE64" s="44" t="str">
        <f>IF(Table1[Leaving Date]="","",IF(AND(Table1[Leaving Date]&gt;42460,Table1[Leaving Date]&lt;42826),IF(Table1[Date of Last Assessment]="",Table1[Motivation and Taking Responsibility],Table1[Motivation and Taking Responsibility2]),""))</f>
        <v/>
      </c>
      <c r="GF64" s="44" t="str">
        <f>IF(Table1[Leaving Date]="","",IF(AND(Table1[Leaving Date]&gt;42460,Table1[Leaving Date]&lt;42826),IF(Table1[Date of Last Assessment]="",Table1[Self-Care and Living Skills],Table1[Self-Care and Living Skills2]),""))</f>
        <v/>
      </c>
      <c r="GG64" s="44" t="str">
        <f>IF(Table1[Leaving Date]="","",IF(AND(Table1[Leaving Date]&gt;42460,Table1[Leaving Date]&lt;42826),IF(Table1[Date of Last Assessment]="",Table1[Managing Money and Personal Administration],Table1[Managing Money and Personal Administration2]),""))</f>
        <v/>
      </c>
      <c r="GH64" s="44" t="str">
        <f>IF(Table1[Leaving Date]="","",IF(AND(Table1[Leaving Date]&gt;42460,Table1[Leaving Date]&lt;42826),IF(Table1[Date of Last Assessment]="",Table1[Social Networks and Relationships],Table1[Social Networks and Relationships2]),""))</f>
        <v/>
      </c>
      <c r="GI64" s="44" t="str">
        <f>IF(Table1[Leaving Date]="","",IF(AND(Table1[Leaving Date]&gt;42460,Table1[Leaving Date]&lt;42826),IF(Table1[Date of Last Assessment]="",Table1[Drug and Alcohol Misuse],Table1[Drug and Alcohol Misuse2]),""))</f>
        <v/>
      </c>
      <c r="GJ64" s="44" t="str">
        <f>IF(Table1[Leaving Date]="","",IF(AND(Table1[Leaving Date]&gt;42460,Table1[Leaving Date]&lt;42826),IF(Table1[Date of Last Assessment]="",Table1[Physical Health],Table1[Physical Health2]),""))</f>
        <v/>
      </c>
      <c r="GK64" s="44" t="str">
        <f>IF(Table1[Leaving Date]="","",IF(AND(Table1[Leaving Date]&gt;42460,Table1[Leaving Date]&lt;42826),IF(Table1[Date of Last Assessment]="",Table1[Emotional and Mental Health],Table1[Emotional and Mental Health2]),""))</f>
        <v/>
      </c>
      <c r="GL64" s="44" t="str">
        <f>IF(Table1[Leaving Date]="","",IF(AND(Table1[Leaving Date]&gt;42460,Table1[Leaving Date]&lt;42826),IF(Table1[Date of Last Assessment]="",Table1[Meaningful Use of Time],Table1[Meaningful Use of Time2]),""))</f>
        <v/>
      </c>
      <c r="GM64" s="44" t="str">
        <f>IF(Table1[Leaving Date]="","",IF(AND(Table1[Leaving Date]&gt;42460,Table1[Leaving Date]&lt;42826),IF(Table1[Date of Last Assessment]="",Table1[Managing Tenancy and Accommodation],Table1[Managing Tenancy and Accommodation2]),""))</f>
        <v/>
      </c>
      <c r="GN64" s="44" t="str">
        <f>IF(Table1[Leaving Date]="","",IF(AND(Table1[Leaving Date]&gt;42460,Table1[Leaving Date]&lt;42826),IF(Table1[Date of Last Assessment]="",Table1[Offending],Table1[Offending2]),""))</f>
        <v/>
      </c>
    </row>
    <row r="65" spans="2:196" ht="20.100000000000001" customHeight="1" x14ac:dyDescent="0.2">
      <c r="B65" s="86">
        <f>+'Service Data'!$C$5:$C$5</f>
        <v>0</v>
      </c>
      <c r="C65" s="86"/>
      <c r="D65" s="86"/>
      <c r="E65" s="86"/>
      <c r="F65" s="86"/>
      <c r="G65" s="86"/>
      <c r="H65" s="6"/>
      <c r="I65" s="99" t="str">
        <f ca="1">IF(Table1[[#This Row],[Date of Birth]]="","",SUM(TODAY()-Table1[[#This Row],[Date of Birth]])/365)</f>
        <v/>
      </c>
      <c r="L65" s="86"/>
      <c r="M65" s="77"/>
      <c r="N65" s="86"/>
      <c r="O65" s="86"/>
      <c r="P65" s="91"/>
      <c r="Q65" s="86"/>
      <c r="R65" s="77"/>
      <c r="S65" s="77"/>
      <c r="T65" s="68"/>
      <c r="U65" s="68"/>
      <c r="V65" s="67"/>
      <c r="W65" s="67"/>
      <c r="X65" s="67"/>
      <c r="Y65" s="67"/>
      <c r="Z65" s="67"/>
      <c r="AA65" s="67"/>
      <c r="AB65" s="67"/>
      <c r="AC65" s="67"/>
      <c r="AD65" s="67"/>
      <c r="AE65" s="67"/>
      <c r="AF65" s="67"/>
      <c r="AG65" s="67"/>
      <c r="AH65" s="67"/>
      <c r="AI65" s="67"/>
      <c r="AJ65" s="67"/>
      <c r="AK65" s="67"/>
      <c r="AL65" s="67"/>
      <c r="AM65" s="67"/>
      <c r="AN65" s="77"/>
      <c r="AO65" s="76"/>
      <c r="AP65" s="77"/>
      <c r="AQ65" s="76"/>
      <c r="AR65" s="76"/>
      <c r="AS65" s="76"/>
      <c r="AT65" s="76"/>
      <c r="AU65" s="76"/>
      <c r="AV65" s="77"/>
      <c r="AW65" s="76"/>
      <c r="AX65" s="77"/>
      <c r="AY65" s="76"/>
      <c r="AZ65" s="76"/>
      <c r="BA65" s="76"/>
      <c r="BB65" s="76"/>
      <c r="BC65" s="76"/>
      <c r="BD65" s="77"/>
      <c r="BE65" s="76"/>
      <c r="BF65" s="77"/>
      <c r="BG65" s="76"/>
      <c r="BH65" s="76"/>
      <c r="BI65" s="76"/>
      <c r="BJ65" s="76"/>
      <c r="BK65" s="76"/>
      <c r="BL65" s="77"/>
      <c r="BM65" s="76"/>
      <c r="BN65" s="77"/>
      <c r="BO65" s="76"/>
      <c r="BP65" s="76"/>
      <c r="BQ65" s="76"/>
      <c r="BR65" s="76"/>
      <c r="BS65" s="76"/>
      <c r="BT65" s="77"/>
      <c r="BU65" s="76"/>
      <c r="BV65" s="77"/>
      <c r="BW65" s="76"/>
      <c r="BX65" s="76"/>
      <c r="BY65" s="76"/>
      <c r="BZ65" s="76"/>
      <c r="CA65" s="76"/>
      <c r="CB65" s="77"/>
      <c r="CC65" s="76"/>
      <c r="CD65" s="77"/>
      <c r="CE65" s="76"/>
      <c r="CF65" s="76"/>
      <c r="CG65" s="76"/>
      <c r="CH65" s="76"/>
      <c r="CI65" s="76"/>
      <c r="CJ65" s="77"/>
      <c r="CK65" s="76"/>
      <c r="CL65" s="77"/>
      <c r="CM65" s="76"/>
      <c r="CN65" s="76"/>
      <c r="CO65" s="76"/>
      <c r="CP65" s="76"/>
      <c r="CQ65" s="76"/>
      <c r="CR65" s="78" t="str">
        <f t="shared" si="15"/>
        <v/>
      </c>
      <c r="CS65" s="79" t="str">
        <f t="shared" si="16"/>
        <v/>
      </c>
      <c r="CT65" s="79" t="str">
        <f t="shared" si="17"/>
        <v/>
      </c>
      <c r="CU65" s="79" t="str">
        <f t="shared" si="18"/>
        <v/>
      </c>
      <c r="CV65" s="79" t="str">
        <f t="shared" si="19"/>
        <v/>
      </c>
      <c r="CW65" s="79" t="str">
        <f t="shared" si="20"/>
        <v/>
      </c>
      <c r="CX65" s="79" t="str">
        <f t="shared" si="21"/>
        <v/>
      </c>
      <c r="CY65" s="79" t="str">
        <f t="shared" si="22"/>
        <v/>
      </c>
      <c r="CZ65" s="79" t="str">
        <f t="shared" si="23"/>
        <v/>
      </c>
      <c r="DA65" s="79" t="str">
        <f t="shared" si="24"/>
        <v/>
      </c>
      <c r="DB65" s="79" t="str">
        <f t="shared" si="25"/>
        <v/>
      </c>
      <c r="DC65" s="79" t="str">
        <f t="shared" si="26"/>
        <v/>
      </c>
      <c r="DD65" s="79" t="str">
        <f t="shared" si="27"/>
        <v/>
      </c>
      <c r="DE65" s="79" t="str">
        <f t="shared" si="28"/>
        <v/>
      </c>
      <c r="DF65" s="79" t="str">
        <f t="shared" si="29"/>
        <v/>
      </c>
      <c r="DG65" s="79" t="str">
        <f t="shared" si="30"/>
        <v/>
      </c>
      <c r="DH65" s="76"/>
      <c r="DI65" s="78"/>
      <c r="DJ65" s="76"/>
      <c r="DK65" s="77"/>
      <c r="DL65" s="77"/>
      <c r="DM65" s="77"/>
      <c r="DN65" s="80"/>
      <c r="DO65" s="80"/>
      <c r="DP65" s="92" t="str">
        <f>IF(Table1[Start Date]="","",IF(Table1[Start Date]&gt;42185,"",IF(AND(Table1[Leaving Date]&gt;1,Table1[Leaving Date]&lt;42095),"",1)))</f>
        <v/>
      </c>
      <c r="DQ65" s="92" t="str">
        <f>IF(Table1[Start Date]="","",IF(Table1[Start Date]&gt;42277,"",IF(AND(Table1[Leaving Date]&gt;1,Table1[Leaving Date]&lt;42186),"",1)))</f>
        <v/>
      </c>
      <c r="DR65" s="92" t="str">
        <f>IF(Table1[Start Date]="","",IF(Table1[Start Date]&gt;42369,"",IF(AND(Table1[Leaving Date]&gt;1,Table1[Leaving Date]&lt;42278),"",1)))</f>
        <v/>
      </c>
      <c r="DS65" s="92" t="str">
        <f>IF(Table1[Start Date]="","",IF(Table1[Start Date]&gt;42460,"",IF(AND(Table1[Leaving Date]&gt;1,Table1[Leaving Date]&lt;42370),"",1)))</f>
        <v/>
      </c>
      <c r="DT65" s="92" t="str">
        <f>IF(Table1[Start Date]="","",IF(Table1[Start Date]&gt;42551,"",IF(AND(Table1[Leaving Date]&gt;1,Table1[Leaving Date]&lt;42461),"",1)))</f>
        <v/>
      </c>
      <c r="DU65" s="92" t="str">
        <f>IF(Table1[Start Date]="","",IF(Table1[Start Date]&gt;42643,"",IF(AND(Table1[Leaving Date]&gt;1,Table1[Leaving Date]&lt;42552),"",1)))</f>
        <v/>
      </c>
      <c r="DV65" s="92" t="str">
        <f>IF(Table1[Start Date]="","",IF(Table1[Start Date]&gt;42735,"",IF(AND(Table1[Leaving Date]&gt;1,Table1[Leaving Date]&lt;42644),"",1)))</f>
        <v/>
      </c>
      <c r="DW65" s="92" t="str">
        <f>IF(Table1[Start Date]="","",IF(Table1[Start Date]&gt;42825,"",IF(AND(Table1[Leaving Date]&gt;1,Table1[Leaving Date]&lt;42736),"",1)))</f>
        <v/>
      </c>
      <c r="DX65"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65" s="44" t="e">
        <f>VLOOKUP(Table1[Referral Source],Lists!$G$2:$H$20,2,FALSE)</f>
        <v>#N/A</v>
      </c>
      <c r="DZ65" s="93" t="e">
        <f>SUM(Table1[Data Referral Quarter]+Table1[Data Referral Source])</f>
        <v>#N/A</v>
      </c>
      <c r="EA65" s="44" t="b">
        <f>IF(Table1[Referral Decision]="Accepted",100,IF(Table1[Referral Decision]="Rejected by Provider",200,IF(Table1[Referral Decision]="Rejected by Applicant",300)))</f>
        <v>0</v>
      </c>
      <c r="EB65" s="44">
        <f>SUM(Table1[Data Referral Quarter]+Table1[Data Referral Decision])</f>
        <v>0</v>
      </c>
      <c r="EC65" s="44" t="b">
        <f>IF(Table1[Start Date]&gt;42735,8000,IF(Table1[Start Date]&gt;42643,7000,IF(Table1[Start Date]&gt;42551,6000,IF(Table1[Start Date]&gt;42460,5000,IF(Table1[Start Date]&gt;42369,4000,IF(Table1[Start Date]&gt;42277,3000,IF(Table1[Start Date]&gt;42185,2000,IF(Table1[Start Date]&gt;42094,1000))))))))</f>
        <v>0</v>
      </c>
      <c r="ED65" s="44" t="str">
        <f>IF(Table1[Start Date]="","",IF(Table1[Current Local Authority]="Swindon",1,"2"))</f>
        <v/>
      </c>
      <c r="EE65" s="44" t="e">
        <f>SUM(Table1[Data Start Date]+Table1[Data Local Authority])</f>
        <v>#VALUE!</v>
      </c>
      <c r="EF65" s="44">
        <f>IF(Table1[Registered with GP]="Yes",1,0)</f>
        <v>0</v>
      </c>
      <c r="EG65" s="44">
        <f>SUM(Table1[Data Start Date]+Table1[Data GP Start])</f>
        <v>0</v>
      </c>
      <c r="EH65" s="44" t="str">
        <f>IF(Table1[EET]="NEET",1,IF(Table1[EET]="Education",2,IF(Table1[EET]="Employment",2,IF(Table1[EET]="Training",2,IF(Table1[EET]="Retired",3,"")))))</f>
        <v/>
      </c>
      <c r="EI65" s="44" t="e">
        <f>Table1[Data Start Date]+Table1[Data EET Start]</f>
        <v>#VALUE!</v>
      </c>
      <c r="EJ65" s="44" t="b">
        <f>IF(Table1[Leaving Date]&gt;42735,8000,IF(Table1[Leaving Date]&gt;42643,7000,IF(Table1[Leaving Date]&gt;42551,6000,IF(Table1[Leaving Date]&gt;42460,5000,IF(Table1[Leaving Date]&gt;42369,4000,IF(Table1[Leaving Date]&gt;42277,3000,IF(Table1[Leaving Date]&gt;42185,2000,IF(Table1[Leaving Date]&gt;42094,1000))))))))</f>
        <v>0</v>
      </c>
      <c r="EK65" s="44" t="e">
        <f>VLOOKUP(Table1[Reason for Leaving],Lists!$T$2:$U$15,2,FALSE)</f>
        <v>#N/A</v>
      </c>
      <c r="EL65" s="44" t="e">
        <f>SUM(Table1[Data Leavers Date]+Table1[Data Move On])</f>
        <v>#N/A</v>
      </c>
      <c r="EM65" s="44" t="b">
        <f>IF(Table1[Registered with GP2]="Yes",1,IF(Table1[Registered with GP2]="No",0,IF(Table1[Registered with GP]="Yes",1,IF(Table1[Registered with GP]="No",0))))</f>
        <v>0</v>
      </c>
      <c r="EN65" s="44">
        <f>SUM(Table1[Data Leavers Date]+Table1[Data GP End])</f>
        <v>0</v>
      </c>
      <c r="EO65" s="44" t="str">
        <f>IF(Table1[EET2]="NEET",1,IF(Table1[EET2]="Employment",2,IF(Table1[EET2]="Education",2,IF(Table1[EET2]="Training",2,IF(Table1[EET2]="Retired",3,IF(Table1[EET]="NEET",1,IF(Table1[EET]="Employment",2,IF(Table1[EET]="Education",2,IF(Table1[EET]="Training",2,IF(Table1[EET]="Retired",3,""))))))))))</f>
        <v/>
      </c>
      <c r="EP65" s="44" t="e">
        <f>+Table1[[#This Row],[Data Leavers Date]]+Table1[[#This Row],[Data EET End]]</f>
        <v>#VALUE!</v>
      </c>
      <c r="EQ65" s="44">
        <f>IF(Table1[Exit Form Received]="Yes",1,0)</f>
        <v>0</v>
      </c>
      <c r="ER65" s="44">
        <f>+Table1[[#This Row],[Data Leavers Date]]+Table1[[#This Row],[Data Exit Forms]]</f>
        <v>0</v>
      </c>
      <c r="ES65" s="44" t="str">
        <f>IF(Table1[Data Leavers Date]=1000,SUM(Table1[Leaving Date]-Table1[Start Date]),"")</f>
        <v/>
      </c>
      <c r="ET65" s="44" t="str">
        <f>IF(Table1[Data Leavers Date]=2000,SUM(Table1[Leaving Date]-Table1[Start Date]),"")</f>
        <v/>
      </c>
      <c r="EU65" s="44" t="str">
        <f>IF(Table1[Data Leavers Date]=3000,SUM(Table1[Leaving Date]-Table1[Start Date]),"")</f>
        <v/>
      </c>
      <c r="EV65" s="44" t="str">
        <f>IF(Table1[Data Leavers Date]=4000,SUM(Table1[Leaving Date]-Table1[Start Date]),"")</f>
        <v/>
      </c>
      <c r="EW65" s="44" t="str">
        <f>IF(Table1[Data Leavers Date]=5000,SUM(Table1[Leaving Date]-Table1[Start Date]),"")</f>
        <v/>
      </c>
      <c r="EX65" s="44" t="str">
        <f>IF(Table1[Data Leavers Date]=6000,SUM(Table1[Leaving Date]-Table1[Start Date]),"")</f>
        <v/>
      </c>
      <c r="EY65" s="44" t="str">
        <f>IF(Table1[Data Leavers Date]=7000,SUM(Table1[Leaving Date]-Table1[Start Date]),"")</f>
        <v/>
      </c>
      <c r="EZ65" s="44" t="str">
        <f>IF(Table1[Data Leavers Date]=8000,SUM(Table1[Leaving Date]-Table1[Start Date]),"")</f>
        <v/>
      </c>
      <c r="FA65" s="44" t="str">
        <f>IF(Table1[Date of Initial Assessment]="","",IF(AND(Table1[Start Date]&gt;42094,Table1[Start Date]&lt;42461),Table1[Motivation and Taking Responsibility],""))</f>
        <v/>
      </c>
      <c r="FB65" s="44" t="str">
        <f>IF(Table1[Date of Initial Assessment]="","",IF(AND(Table1[Start Date]&gt;42094,Table1[Start Date]&lt;42461),Table1[Self-Care and Living Skills],""))</f>
        <v/>
      </c>
      <c r="FC65" s="44" t="str">
        <f>IF(Table1[Date of Initial Assessment]="","",IF(AND(Table1[Start Date]&gt;42094,Table1[Start Date]&lt;42461),Table1[Managing Money and Personal Administration],""))</f>
        <v/>
      </c>
      <c r="FD65" s="44" t="str">
        <f>IF(Table1[Date of Initial Assessment]="","",IF(AND(Table1[Start Date]&gt;42094,Table1[Start Date]&lt;42461),Table1[Social Networks and Relationships],""))</f>
        <v/>
      </c>
      <c r="FE65" s="44" t="str">
        <f>IF(Table1[Date of Initial Assessment]="","",IF(AND(Table1[Start Date]&gt;42094,Table1[Start Date]&lt;42461),Table1[Drug and Alcohol Misuse],""))</f>
        <v/>
      </c>
      <c r="FF65" s="44" t="str">
        <f>IF(Table1[Date of Initial Assessment]="","",IF(AND(Table1[Start Date]&gt;42094,Table1[Start Date]&lt;42461),Table1[Physical Health],""))</f>
        <v/>
      </c>
      <c r="FG65" s="44" t="str">
        <f>IF(Table1[Date of Initial Assessment]="","",IF(AND(Table1[Start Date]&gt;42094,Table1[Start Date]&lt;42461),Table1[Emotional and Mental Health],""))</f>
        <v/>
      </c>
      <c r="FH65" s="44" t="str">
        <f>IF(Table1[Date of Initial Assessment]="","",IF(AND(Table1[Start Date]&gt;42094,Table1[Start Date]&lt;42461),Table1[Meaningful Use of Time],""))</f>
        <v/>
      </c>
      <c r="FI65" s="44" t="str">
        <f>IF(Table1[Date of Initial Assessment]="","",IF(AND(Table1[Start Date]&gt;42094,Table1[Start Date]&lt;42461),Table1[Managing Tenancy and Accommodation],""))</f>
        <v/>
      </c>
      <c r="FJ65" s="44" t="str">
        <f>IF(Table1[Date of Initial Assessment]="","",IF(AND(Table1[Start Date]&gt;42094,Table1[Start Date]&lt;42461),Table1[Offending],""))</f>
        <v/>
      </c>
      <c r="FK65" s="44" t="str">
        <f>IF(Table1[Leaving Date]="","",IF(Table1[Date of Initial Assessment]="","",IF(AND(Table1[Leaving Date]&gt;42094,Table1[Leaving Date]&lt;42461),IF(Table1[Date of Last Assessment]="",Table1[Motivation and Taking Responsibility],Table1[Motivation and Taking Responsibility2]),"")))</f>
        <v/>
      </c>
      <c r="FL65" s="44" t="str">
        <f>IF(Table1[Leaving Date]="","",IF(Table1[Date of Initial Assessment]="","",IF(AND(Table1[Leaving Date]&gt;42094,Table1[Leaving Date]&lt;42461),IF(Table1[Date of Last Assessment]="",Table1[Self-Care and Living Skills],Table1[Self-Care and Living Skills2]),"")))</f>
        <v/>
      </c>
      <c r="FM65" s="44" t="str">
        <f>IF(Table1[Leaving Date]="","",IF(Table1[Date of Initial Assessment]="","",IF(AND(Table1[Leaving Date]&gt;42094,Table1[Leaving Date]&lt;42461),IF(Table1[Date of Last Assessment]="",Table1[Managing Money and Personal Administration],Table1[Managing Money and Personal Administration2]),"")))</f>
        <v/>
      </c>
      <c r="FN65" s="44" t="str">
        <f>IF(Table1[Leaving Date]="","",IF(Table1[Date of Initial Assessment]="","",IF(AND(Table1[Leaving Date]&gt;42094,Table1[Leaving Date]&lt;42461),IF(Table1[Date of Last Assessment]="",Table1[Social Networks and Relationships],Table1[Social Networks and Relationships2]),"")))</f>
        <v/>
      </c>
      <c r="FO65" s="44" t="str">
        <f>IF(Table1[Leaving Date]="","",IF(Table1[Date of Initial Assessment]="","",IF(AND(Table1[Leaving Date]&gt;42094,Table1[Leaving Date]&lt;42461),IF(Table1[Date of Last Assessment]="",Table1[Drug and Alcohol Misuse],Table1[Drug and Alcohol Misuse2]),"")))</f>
        <v/>
      </c>
      <c r="FP65" s="44" t="str">
        <f>IF(Table1[Leaving Date]="","",IF(Table1[Date of Initial Assessment]="","",IF(AND(Table1[Leaving Date]&gt;42094,Table1[Leaving Date]&lt;42461),IF(Table1[Date of Last Assessment]="",Table1[Physical Health],Table1[Physical Health2]),"")))</f>
        <v/>
      </c>
      <c r="FQ65" s="44" t="str">
        <f>IF(Table1[Leaving Date]="","",IF(Table1[Date of Initial Assessment]="","",IF(AND(Table1[Leaving Date]&gt;42094,Table1[Leaving Date]&lt;42461),IF(Table1[Date of Last Assessment]="",Table1[Emotional and Mental Health],Table1[Emotional and Mental Health2]),"")))</f>
        <v/>
      </c>
      <c r="FR65" s="44" t="str">
        <f>IF(Table1[Leaving Date]="","",IF(Table1[Date of Initial Assessment]="","",IF(AND(Table1[Leaving Date]&gt;42094,Table1[Leaving Date]&lt;42461),IF(Table1[Date of Last Assessment]="",Table1[Meaningful Use of Time],Table1[Meaningful Use of Time2]),"")))</f>
        <v/>
      </c>
      <c r="FS65" s="44" t="str">
        <f>IF(Table1[Leaving Date]="","",IF(Table1[Date of Initial Assessment]="","",IF(AND(Table1[Leaving Date]&gt;42094,Table1[Leaving Date]&lt;42461),IF(Table1[Date of Last Assessment]="",Table1[Managing Tenancy and Accommodation],Table1[Managing Tenancy and Accommodation2]),"")))</f>
        <v/>
      </c>
      <c r="FT65" s="44" t="str">
        <f>IF(Table1[Leaving Date]="","",IF(Table1[Date of Initial Assessment]="","",IF(AND(Table1[Leaving Date]&gt;42094,Table1[Leaving Date]&lt;42461),IF(Table1[Date of Last Assessment]="",Table1[Offending],Table1[Offending2]),"")))</f>
        <v/>
      </c>
      <c r="FU65" s="44" t="str">
        <f>IF(Table1[Date of Initial Assessment]="","",IF(AND(Table1[Start Date]&gt;42460,Table1[Start Date]&lt;42826),Table1[Motivation and Taking Responsibility],""))</f>
        <v/>
      </c>
      <c r="FV65" s="44" t="str">
        <f>IF(Table1[Date of Initial Assessment]="","",IF(AND(Table1[Start Date]&gt;42460,Table1[Start Date]&lt;42826),Table1[Self-Care and Living Skills],""))</f>
        <v/>
      </c>
      <c r="FW65" s="44" t="str">
        <f>IF(Table1[Date of Initial Assessment]="","",IF(AND(Table1[Start Date]&gt;42460,Table1[Start Date]&lt;42826),Table1[Managing Money and Personal Administration],""))</f>
        <v/>
      </c>
      <c r="FX65" s="44" t="str">
        <f>IF(Table1[Date of Initial Assessment]="","",IF(AND(Table1[Start Date]&gt;42460,Table1[Start Date]&lt;42826),Table1[Social Networks and Relationships],""))</f>
        <v/>
      </c>
      <c r="FY65" s="44" t="str">
        <f>IF(Table1[Date of Initial Assessment]="","",IF(AND(Table1[Start Date]&gt;42460,Table1[Start Date]&lt;42826),Table1[Drug and Alcohol Misuse],""))</f>
        <v/>
      </c>
      <c r="FZ65" s="44" t="str">
        <f>IF(Table1[Date of Initial Assessment]="","",IF(AND(Table1[Start Date]&gt;42460,Table1[Start Date]&lt;42826),Table1[Physical Health],""))</f>
        <v/>
      </c>
      <c r="GA65" s="44" t="str">
        <f>IF(Table1[Date of Initial Assessment]="","",IF(AND(Table1[Start Date]&gt;42460,Table1[Start Date]&lt;42826),Table1[Emotional and Mental Health],""))</f>
        <v/>
      </c>
      <c r="GB65" s="44" t="str">
        <f>IF(Table1[Date of Initial Assessment]="","",IF(AND(Table1[Start Date]&gt;42460,Table1[Start Date]&lt;42826),Table1[Meaningful Use of Time],""))</f>
        <v/>
      </c>
      <c r="GC65" s="44" t="str">
        <f>IF(Table1[Date of Initial Assessment]="","",IF(AND(Table1[Start Date]&gt;42460,Table1[Start Date]&lt;42826),Table1[Managing Tenancy and Accommodation],""))</f>
        <v/>
      </c>
      <c r="GD65" s="44" t="str">
        <f>IF(Table1[Date of Initial Assessment]="","",IF(AND(Table1[Start Date]&gt;42460,Table1[Start Date]&lt;42826),Table1[Offending],""))</f>
        <v/>
      </c>
      <c r="GE65" s="44" t="str">
        <f>IF(Table1[Leaving Date]="","",IF(AND(Table1[Leaving Date]&gt;42460,Table1[Leaving Date]&lt;42826),IF(Table1[Date of Last Assessment]="",Table1[Motivation and Taking Responsibility],Table1[Motivation and Taking Responsibility2]),""))</f>
        <v/>
      </c>
      <c r="GF65" s="44" t="str">
        <f>IF(Table1[Leaving Date]="","",IF(AND(Table1[Leaving Date]&gt;42460,Table1[Leaving Date]&lt;42826),IF(Table1[Date of Last Assessment]="",Table1[Self-Care and Living Skills],Table1[Self-Care and Living Skills2]),""))</f>
        <v/>
      </c>
      <c r="GG65" s="44" t="str">
        <f>IF(Table1[Leaving Date]="","",IF(AND(Table1[Leaving Date]&gt;42460,Table1[Leaving Date]&lt;42826),IF(Table1[Date of Last Assessment]="",Table1[Managing Money and Personal Administration],Table1[Managing Money and Personal Administration2]),""))</f>
        <v/>
      </c>
      <c r="GH65" s="44" t="str">
        <f>IF(Table1[Leaving Date]="","",IF(AND(Table1[Leaving Date]&gt;42460,Table1[Leaving Date]&lt;42826),IF(Table1[Date of Last Assessment]="",Table1[Social Networks and Relationships],Table1[Social Networks and Relationships2]),""))</f>
        <v/>
      </c>
      <c r="GI65" s="44" t="str">
        <f>IF(Table1[Leaving Date]="","",IF(AND(Table1[Leaving Date]&gt;42460,Table1[Leaving Date]&lt;42826),IF(Table1[Date of Last Assessment]="",Table1[Drug and Alcohol Misuse],Table1[Drug and Alcohol Misuse2]),""))</f>
        <v/>
      </c>
      <c r="GJ65" s="44" t="str">
        <f>IF(Table1[Leaving Date]="","",IF(AND(Table1[Leaving Date]&gt;42460,Table1[Leaving Date]&lt;42826),IF(Table1[Date of Last Assessment]="",Table1[Physical Health],Table1[Physical Health2]),""))</f>
        <v/>
      </c>
      <c r="GK65" s="44" t="str">
        <f>IF(Table1[Leaving Date]="","",IF(AND(Table1[Leaving Date]&gt;42460,Table1[Leaving Date]&lt;42826),IF(Table1[Date of Last Assessment]="",Table1[Emotional and Mental Health],Table1[Emotional and Mental Health2]),""))</f>
        <v/>
      </c>
      <c r="GL65" s="44" t="str">
        <f>IF(Table1[Leaving Date]="","",IF(AND(Table1[Leaving Date]&gt;42460,Table1[Leaving Date]&lt;42826),IF(Table1[Date of Last Assessment]="",Table1[Meaningful Use of Time],Table1[Meaningful Use of Time2]),""))</f>
        <v/>
      </c>
      <c r="GM65" s="44" t="str">
        <f>IF(Table1[Leaving Date]="","",IF(AND(Table1[Leaving Date]&gt;42460,Table1[Leaving Date]&lt;42826),IF(Table1[Date of Last Assessment]="",Table1[Managing Tenancy and Accommodation],Table1[Managing Tenancy and Accommodation2]),""))</f>
        <v/>
      </c>
      <c r="GN65" s="44" t="str">
        <f>IF(Table1[Leaving Date]="","",IF(AND(Table1[Leaving Date]&gt;42460,Table1[Leaving Date]&lt;42826),IF(Table1[Date of Last Assessment]="",Table1[Offending],Table1[Offending2]),""))</f>
        <v/>
      </c>
    </row>
    <row r="66" spans="2:196" ht="20.100000000000001" customHeight="1" x14ac:dyDescent="0.2">
      <c r="B66" s="86">
        <f>+'Service Data'!$C$5:$C$5</f>
        <v>0</v>
      </c>
      <c r="C66" s="86"/>
      <c r="D66" s="86"/>
      <c r="E66" s="86"/>
      <c r="F66" s="86"/>
      <c r="G66" s="86"/>
      <c r="H66" s="6"/>
      <c r="I66" s="99" t="str">
        <f ca="1">IF(Table1[[#This Row],[Date of Birth]]="","",SUM(TODAY()-Table1[[#This Row],[Date of Birth]])/365)</f>
        <v/>
      </c>
      <c r="L66" s="86"/>
      <c r="M66" s="77"/>
      <c r="N66" s="86"/>
      <c r="O66" s="86"/>
      <c r="P66" s="91"/>
      <c r="Q66" s="86"/>
      <c r="R66" s="77"/>
      <c r="S66" s="77"/>
      <c r="T66" s="68"/>
      <c r="U66" s="68"/>
      <c r="V66" s="67"/>
      <c r="W66" s="67"/>
      <c r="X66" s="67"/>
      <c r="Y66" s="67"/>
      <c r="Z66" s="67"/>
      <c r="AA66" s="67"/>
      <c r="AB66" s="67"/>
      <c r="AC66" s="67"/>
      <c r="AD66" s="67"/>
      <c r="AE66" s="67"/>
      <c r="AF66" s="67"/>
      <c r="AG66" s="67"/>
      <c r="AH66" s="67"/>
      <c r="AI66" s="67"/>
      <c r="AJ66" s="67"/>
      <c r="AK66" s="67"/>
      <c r="AL66" s="67"/>
      <c r="AM66" s="67"/>
      <c r="AN66" s="77"/>
      <c r="AO66" s="76"/>
      <c r="AP66" s="77"/>
      <c r="AQ66" s="76"/>
      <c r="AR66" s="76"/>
      <c r="AS66" s="76"/>
      <c r="AT66" s="76"/>
      <c r="AU66" s="76"/>
      <c r="AV66" s="77"/>
      <c r="AW66" s="76"/>
      <c r="AX66" s="77"/>
      <c r="AY66" s="76"/>
      <c r="AZ66" s="76"/>
      <c r="BA66" s="76"/>
      <c r="BB66" s="76"/>
      <c r="BC66" s="76"/>
      <c r="BD66" s="77"/>
      <c r="BE66" s="76"/>
      <c r="BF66" s="77"/>
      <c r="BG66" s="76"/>
      <c r="BH66" s="76"/>
      <c r="BI66" s="76"/>
      <c r="BJ66" s="76"/>
      <c r="BK66" s="76"/>
      <c r="BL66" s="77"/>
      <c r="BM66" s="76"/>
      <c r="BN66" s="77"/>
      <c r="BO66" s="76"/>
      <c r="BP66" s="76"/>
      <c r="BQ66" s="76"/>
      <c r="BR66" s="76"/>
      <c r="BS66" s="76"/>
      <c r="BT66" s="77"/>
      <c r="BU66" s="76"/>
      <c r="BV66" s="77"/>
      <c r="BW66" s="76"/>
      <c r="BX66" s="76"/>
      <c r="BY66" s="76"/>
      <c r="BZ66" s="76"/>
      <c r="CA66" s="76"/>
      <c r="CB66" s="77"/>
      <c r="CC66" s="76"/>
      <c r="CD66" s="77"/>
      <c r="CE66" s="76"/>
      <c r="CF66" s="76"/>
      <c r="CG66" s="76"/>
      <c r="CH66" s="76"/>
      <c r="CI66" s="76"/>
      <c r="CJ66" s="77"/>
      <c r="CK66" s="76"/>
      <c r="CL66" s="77"/>
      <c r="CM66" s="76"/>
      <c r="CN66" s="76"/>
      <c r="CO66" s="76"/>
      <c r="CP66" s="76"/>
      <c r="CQ66" s="76"/>
      <c r="CR66" s="78" t="str">
        <f t="shared" si="15"/>
        <v/>
      </c>
      <c r="CS66" s="79" t="str">
        <f t="shared" si="16"/>
        <v/>
      </c>
      <c r="CT66" s="79" t="str">
        <f t="shared" si="17"/>
        <v/>
      </c>
      <c r="CU66" s="79" t="str">
        <f t="shared" si="18"/>
        <v/>
      </c>
      <c r="CV66" s="79" t="str">
        <f t="shared" si="19"/>
        <v/>
      </c>
      <c r="CW66" s="79" t="str">
        <f t="shared" si="20"/>
        <v/>
      </c>
      <c r="CX66" s="79" t="str">
        <f t="shared" si="21"/>
        <v/>
      </c>
      <c r="CY66" s="79" t="str">
        <f t="shared" si="22"/>
        <v/>
      </c>
      <c r="CZ66" s="79" t="str">
        <f t="shared" si="23"/>
        <v/>
      </c>
      <c r="DA66" s="79" t="str">
        <f t="shared" si="24"/>
        <v/>
      </c>
      <c r="DB66" s="79" t="str">
        <f t="shared" si="25"/>
        <v/>
      </c>
      <c r="DC66" s="79" t="str">
        <f t="shared" si="26"/>
        <v/>
      </c>
      <c r="DD66" s="79" t="str">
        <f t="shared" si="27"/>
        <v/>
      </c>
      <c r="DE66" s="79" t="str">
        <f t="shared" si="28"/>
        <v/>
      </c>
      <c r="DF66" s="79" t="str">
        <f t="shared" si="29"/>
        <v/>
      </c>
      <c r="DG66" s="79" t="str">
        <f t="shared" si="30"/>
        <v/>
      </c>
      <c r="DH66" s="76"/>
      <c r="DI66" s="78"/>
      <c r="DJ66" s="76"/>
      <c r="DK66" s="77"/>
      <c r="DL66" s="77"/>
      <c r="DM66" s="77"/>
      <c r="DN66" s="80"/>
      <c r="DO66" s="80"/>
      <c r="DP66" s="92" t="str">
        <f>IF(Table1[Start Date]="","",IF(Table1[Start Date]&gt;42185,"",IF(AND(Table1[Leaving Date]&gt;1,Table1[Leaving Date]&lt;42095),"",1)))</f>
        <v/>
      </c>
      <c r="DQ66" s="92" t="str">
        <f>IF(Table1[Start Date]="","",IF(Table1[Start Date]&gt;42277,"",IF(AND(Table1[Leaving Date]&gt;1,Table1[Leaving Date]&lt;42186),"",1)))</f>
        <v/>
      </c>
      <c r="DR66" s="92" t="str">
        <f>IF(Table1[Start Date]="","",IF(Table1[Start Date]&gt;42369,"",IF(AND(Table1[Leaving Date]&gt;1,Table1[Leaving Date]&lt;42278),"",1)))</f>
        <v/>
      </c>
      <c r="DS66" s="92" t="str">
        <f>IF(Table1[Start Date]="","",IF(Table1[Start Date]&gt;42460,"",IF(AND(Table1[Leaving Date]&gt;1,Table1[Leaving Date]&lt;42370),"",1)))</f>
        <v/>
      </c>
      <c r="DT66" s="92" t="str">
        <f>IF(Table1[Start Date]="","",IF(Table1[Start Date]&gt;42551,"",IF(AND(Table1[Leaving Date]&gt;1,Table1[Leaving Date]&lt;42461),"",1)))</f>
        <v/>
      </c>
      <c r="DU66" s="92" t="str">
        <f>IF(Table1[Start Date]="","",IF(Table1[Start Date]&gt;42643,"",IF(AND(Table1[Leaving Date]&gt;1,Table1[Leaving Date]&lt;42552),"",1)))</f>
        <v/>
      </c>
      <c r="DV66" s="92" t="str">
        <f>IF(Table1[Start Date]="","",IF(Table1[Start Date]&gt;42735,"",IF(AND(Table1[Leaving Date]&gt;1,Table1[Leaving Date]&lt;42644),"",1)))</f>
        <v/>
      </c>
      <c r="DW66" s="92" t="str">
        <f>IF(Table1[Start Date]="","",IF(Table1[Start Date]&gt;42825,"",IF(AND(Table1[Leaving Date]&gt;1,Table1[Leaving Date]&lt;42736),"",1)))</f>
        <v/>
      </c>
      <c r="DX66"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66" s="44" t="e">
        <f>VLOOKUP(Table1[Referral Source],Lists!$G$2:$H$20,2,FALSE)</f>
        <v>#N/A</v>
      </c>
      <c r="DZ66" s="93" t="e">
        <f>SUM(Table1[Data Referral Quarter]+Table1[Data Referral Source])</f>
        <v>#N/A</v>
      </c>
      <c r="EA66" s="44" t="b">
        <f>IF(Table1[Referral Decision]="Accepted",100,IF(Table1[Referral Decision]="Rejected by Provider",200,IF(Table1[Referral Decision]="Rejected by Applicant",300)))</f>
        <v>0</v>
      </c>
      <c r="EB66" s="44">
        <f>SUM(Table1[Data Referral Quarter]+Table1[Data Referral Decision])</f>
        <v>0</v>
      </c>
      <c r="EC66" s="44" t="b">
        <f>IF(Table1[Start Date]&gt;42735,8000,IF(Table1[Start Date]&gt;42643,7000,IF(Table1[Start Date]&gt;42551,6000,IF(Table1[Start Date]&gt;42460,5000,IF(Table1[Start Date]&gt;42369,4000,IF(Table1[Start Date]&gt;42277,3000,IF(Table1[Start Date]&gt;42185,2000,IF(Table1[Start Date]&gt;42094,1000))))))))</f>
        <v>0</v>
      </c>
      <c r="ED66" s="44" t="str">
        <f>IF(Table1[Start Date]="","",IF(Table1[Current Local Authority]="Swindon",1,"2"))</f>
        <v/>
      </c>
      <c r="EE66" s="44" t="e">
        <f>SUM(Table1[Data Start Date]+Table1[Data Local Authority])</f>
        <v>#VALUE!</v>
      </c>
      <c r="EF66" s="44">
        <f>IF(Table1[Registered with GP]="Yes",1,0)</f>
        <v>0</v>
      </c>
      <c r="EG66" s="44">
        <f>SUM(Table1[Data Start Date]+Table1[Data GP Start])</f>
        <v>0</v>
      </c>
      <c r="EH66" s="44" t="str">
        <f>IF(Table1[EET]="NEET",1,IF(Table1[EET]="Education",2,IF(Table1[EET]="Employment",2,IF(Table1[EET]="Training",2,IF(Table1[EET]="Retired",3,"")))))</f>
        <v/>
      </c>
      <c r="EI66" s="44" t="e">
        <f>Table1[Data Start Date]+Table1[Data EET Start]</f>
        <v>#VALUE!</v>
      </c>
      <c r="EJ66" s="44" t="b">
        <f>IF(Table1[Leaving Date]&gt;42735,8000,IF(Table1[Leaving Date]&gt;42643,7000,IF(Table1[Leaving Date]&gt;42551,6000,IF(Table1[Leaving Date]&gt;42460,5000,IF(Table1[Leaving Date]&gt;42369,4000,IF(Table1[Leaving Date]&gt;42277,3000,IF(Table1[Leaving Date]&gt;42185,2000,IF(Table1[Leaving Date]&gt;42094,1000))))))))</f>
        <v>0</v>
      </c>
      <c r="EK66" s="44" t="e">
        <f>VLOOKUP(Table1[Reason for Leaving],Lists!$T$2:$U$15,2,FALSE)</f>
        <v>#N/A</v>
      </c>
      <c r="EL66" s="44" t="e">
        <f>SUM(Table1[Data Leavers Date]+Table1[Data Move On])</f>
        <v>#N/A</v>
      </c>
      <c r="EM66" s="44" t="b">
        <f>IF(Table1[Registered with GP2]="Yes",1,IF(Table1[Registered with GP2]="No",0,IF(Table1[Registered with GP]="Yes",1,IF(Table1[Registered with GP]="No",0))))</f>
        <v>0</v>
      </c>
      <c r="EN66" s="44">
        <f>SUM(Table1[Data Leavers Date]+Table1[Data GP End])</f>
        <v>0</v>
      </c>
      <c r="EO66" s="44" t="str">
        <f>IF(Table1[EET2]="NEET",1,IF(Table1[EET2]="Employment",2,IF(Table1[EET2]="Education",2,IF(Table1[EET2]="Training",2,IF(Table1[EET2]="Retired",3,IF(Table1[EET]="NEET",1,IF(Table1[EET]="Employment",2,IF(Table1[EET]="Education",2,IF(Table1[EET]="Training",2,IF(Table1[EET]="Retired",3,""))))))))))</f>
        <v/>
      </c>
      <c r="EP66" s="44" t="e">
        <f>+Table1[[#This Row],[Data Leavers Date]]+Table1[[#This Row],[Data EET End]]</f>
        <v>#VALUE!</v>
      </c>
      <c r="EQ66" s="44">
        <f>IF(Table1[Exit Form Received]="Yes",1,0)</f>
        <v>0</v>
      </c>
      <c r="ER66" s="44">
        <f>+Table1[[#This Row],[Data Leavers Date]]+Table1[[#This Row],[Data Exit Forms]]</f>
        <v>0</v>
      </c>
      <c r="ES66" s="44" t="str">
        <f>IF(Table1[Data Leavers Date]=1000,SUM(Table1[Leaving Date]-Table1[Start Date]),"")</f>
        <v/>
      </c>
      <c r="ET66" s="44" t="str">
        <f>IF(Table1[Data Leavers Date]=2000,SUM(Table1[Leaving Date]-Table1[Start Date]),"")</f>
        <v/>
      </c>
      <c r="EU66" s="44" t="str">
        <f>IF(Table1[Data Leavers Date]=3000,SUM(Table1[Leaving Date]-Table1[Start Date]),"")</f>
        <v/>
      </c>
      <c r="EV66" s="44" t="str">
        <f>IF(Table1[Data Leavers Date]=4000,SUM(Table1[Leaving Date]-Table1[Start Date]),"")</f>
        <v/>
      </c>
      <c r="EW66" s="44" t="str">
        <f>IF(Table1[Data Leavers Date]=5000,SUM(Table1[Leaving Date]-Table1[Start Date]),"")</f>
        <v/>
      </c>
      <c r="EX66" s="44" t="str">
        <f>IF(Table1[Data Leavers Date]=6000,SUM(Table1[Leaving Date]-Table1[Start Date]),"")</f>
        <v/>
      </c>
      <c r="EY66" s="44" t="str">
        <f>IF(Table1[Data Leavers Date]=7000,SUM(Table1[Leaving Date]-Table1[Start Date]),"")</f>
        <v/>
      </c>
      <c r="EZ66" s="44" t="str">
        <f>IF(Table1[Data Leavers Date]=8000,SUM(Table1[Leaving Date]-Table1[Start Date]),"")</f>
        <v/>
      </c>
      <c r="FA66" s="44" t="str">
        <f>IF(Table1[Date of Initial Assessment]="","",IF(AND(Table1[Start Date]&gt;42094,Table1[Start Date]&lt;42461),Table1[Motivation and Taking Responsibility],""))</f>
        <v/>
      </c>
      <c r="FB66" s="44" t="str">
        <f>IF(Table1[Date of Initial Assessment]="","",IF(AND(Table1[Start Date]&gt;42094,Table1[Start Date]&lt;42461),Table1[Self-Care and Living Skills],""))</f>
        <v/>
      </c>
      <c r="FC66" s="44" t="str">
        <f>IF(Table1[Date of Initial Assessment]="","",IF(AND(Table1[Start Date]&gt;42094,Table1[Start Date]&lt;42461),Table1[Managing Money and Personal Administration],""))</f>
        <v/>
      </c>
      <c r="FD66" s="44" t="str">
        <f>IF(Table1[Date of Initial Assessment]="","",IF(AND(Table1[Start Date]&gt;42094,Table1[Start Date]&lt;42461),Table1[Social Networks and Relationships],""))</f>
        <v/>
      </c>
      <c r="FE66" s="44" t="str">
        <f>IF(Table1[Date of Initial Assessment]="","",IF(AND(Table1[Start Date]&gt;42094,Table1[Start Date]&lt;42461),Table1[Drug and Alcohol Misuse],""))</f>
        <v/>
      </c>
      <c r="FF66" s="44" t="str">
        <f>IF(Table1[Date of Initial Assessment]="","",IF(AND(Table1[Start Date]&gt;42094,Table1[Start Date]&lt;42461),Table1[Physical Health],""))</f>
        <v/>
      </c>
      <c r="FG66" s="44" t="str">
        <f>IF(Table1[Date of Initial Assessment]="","",IF(AND(Table1[Start Date]&gt;42094,Table1[Start Date]&lt;42461),Table1[Emotional and Mental Health],""))</f>
        <v/>
      </c>
      <c r="FH66" s="44" t="str">
        <f>IF(Table1[Date of Initial Assessment]="","",IF(AND(Table1[Start Date]&gt;42094,Table1[Start Date]&lt;42461),Table1[Meaningful Use of Time],""))</f>
        <v/>
      </c>
      <c r="FI66" s="44" t="str">
        <f>IF(Table1[Date of Initial Assessment]="","",IF(AND(Table1[Start Date]&gt;42094,Table1[Start Date]&lt;42461),Table1[Managing Tenancy and Accommodation],""))</f>
        <v/>
      </c>
      <c r="FJ66" s="44" t="str">
        <f>IF(Table1[Date of Initial Assessment]="","",IF(AND(Table1[Start Date]&gt;42094,Table1[Start Date]&lt;42461),Table1[Offending],""))</f>
        <v/>
      </c>
      <c r="FK66" s="44" t="str">
        <f>IF(Table1[Leaving Date]="","",IF(Table1[Date of Initial Assessment]="","",IF(AND(Table1[Leaving Date]&gt;42094,Table1[Leaving Date]&lt;42461),IF(Table1[Date of Last Assessment]="",Table1[Motivation and Taking Responsibility],Table1[Motivation and Taking Responsibility2]),"")))</f>
        <v/>
      </c>
      <c r="FL66" s="44" t="str">
        <f>IF(Table1[Leaving Date]="","",IF(Table1[Date of Initial Assessment]="","",IF(AND(Table1[Leaving Date]&gt;42094,Table1[Leaving Date]&lt;42461),IF(Table1[Date of Last Assessment]="",Table1[Self-Care and Living Skills],Table1[Self-Care and Living Skills2]),"")))</f>
        <v/>
      </c>
      <c r="FM66" s="44" t="str">
        <f>IF(Table1[Leaving Date]="","",IF(Table1[Date of Initial Assessment]="","",IF(AND(Table1[Leaving Date]&gt;42094,Table1[Leaving Date]&lt;42461),IF(Table1[Date of Last Assessment]="",Table1[Managing Money and Personal Administration],Table1[Managing Money and Personal Administration2]),"")))</f>
        <v/>
      </c>
      <c r="FN66" s="44" t="str">
        <f>IF(Table1[Leaving Date]="","",IF(Table1[Date of Initial Assessment]="","",IF(AND(Table1[Leaving Date]&gt;42094,Table1[Leaving Date]&lt;42461),IF(Table1[Date of Last Assessment]="",Table1[Social Networks and Relationships],Table1[Social Networks and Relationships2]),"")))</f>
        <v/>
      </c>
      <c r="FO66" s="44" t="str">
        <f>IF(Table1[Leaving Date]="","",IF(Table1[Date of Initial Assessment]="","",IF(AND(Table1[Leaving Date]&gt;42094,Table1[Leaving Date]&lt;42461),IF(Table1[Date of Last Assessment]="",Table1[Drug and Alcohol Misuse],Table1[Drug and Alcohol Misuse2]),"")))</f>
        <v/>
      </c>
      <c r="FP66" s="44" t="str">
        <f>IF(Table1[Leaving Date]="","",IF(Table1[Date of Initial Assessment]="","",IF(AND(Table1[Leaving Date]&gt;42094,Table1[Leaving Date]&lt;42461),IF(Table1[Date of Last Assessment]="",Table1[Physical Health],Table1[Physical Health2]),"")))</f>
        <v/>
      </c>
      <c r="FQ66" s="44" t="str">
        <f>IF(Table1[Leaving Date]="","",IF(Table1[Date of Initial Assessment]="","",IF(AND(Table1[Leaving Date]&gt;42094,Table1[Leaving Date]&lt;42461),IF(Table1[Date of Last Assessment]="",Table1[Emotional and Mental Health],Table1[Emotional and Mental Health2]),"")))</f>
        <v/>
      </c>
      <c r="FR66" s="44" t="str">
        <f>IF(Table1[Leaving Date]="","",IF(Table1[Date of Initial Assessment]="","",IF(AND(Table1[Leaving Date]&gt;42094,Table1[Leaving Date]&lt;42461),IF(Table1[Date of Last Assessment]="",Table1[Meaningful Use of Time],Table1[Meaningful Use of Time2]),"")))</f>
        <v/>
      </c>
      <c r="FS66" s="44" t="str">
        <f>IF(Table1[Leaving Date]="","",IF(Table1[Date of Initial Assessment]="","",IF(AND(Table1[Leaving Date]&gt;42094,Table1[Leaving Date]&lt;42461),IF(Table1[Date of Last Assessment]="",Table1[Managing Tenancy and Accommodation],Table1[Managing Tenancy and Accommodation2]),"")))</f>
        <v/>
      </c>
      <c r="FT66" s="44" t="str">
        <f>IF(Table1[Leaving Date]="","",IF(Table1[Date of Initial Assessment]="","",IF(AND(Table1[Leaving Date]&gt;42094,Table1[Leaving Date]&lt;42461),IF(Table1[Date of Last Assessment]="",Table1[Offending],Table1[Offending2]),"")))</f>
        <v/>
      </c>
      <c r="FU66" s="44" t="str">
        <f>IF(Table1[Date of Initial Assessment]="","",IF(AND(Table1[Start Date]&gt;42460,Table1[Start Date]&lt;42826),Table1[Motivation and Taking Responsibility],""))</f>
        <v/>
      </c>
      <c r="FV66" s="44" t="str">
        <f>IF(Table1[Date of Initial Assessment]="","",IF(AND(Table1[Start Date]&gt;42460,Table1[Start Date]&lt;42826),Table1[Self-Care and Living Skills],""))</f>
        <v/>
      </c>
      <c r="FW66" s="44" t="str">
        <f>IF(Table1[Date of Initial Assessment]="","",IF(AND(Table1[Start Date]&gt;42460,Table1[Start Date]&lt;42826),Table1[Managing Money and Personal Administration],""))</f>
        <v/>
      </c>
      <c r="FX66" s="44" t="str">
        <f>IF(Table1[Date of Initial Assessment]="","",IF(AND(Table1[Start Date]&gt;42460,Table1[Start Date]&lt;42826),Table1[Social Networks and Relationships],""))</f>
        <v/>
      </c>
      <c r="FY66" s="44" t="str">
        <f>IF(Table1[Date of Initial Assessment]="","",IF(AND(Table1[Start Date]&gt;42460,Table1[Start Date]&lt;42826),Table1[Drug and Alcohol Misuse],""))</f>
        <v/>
      </c>
      <c r="FZ66" s="44" t="str">
        <f>IF(Table1[Date of Initial Assessment]="","",IF(AND(Table1[Start Date]&gt;42460,Table1[Start Date]&lt;42826),Table1[Physical Health],""))</f>
        <v/>
      </c>
      <c r="GA66" s="44" t="str">
        <f>IF(Table1[Date of Initial Assessment]="","",IF(AND(Table1[Start Date]&gt;42460,Table1[Start Date]&lt;42826),Table1[Emotional and Mental Health],""))</f>
        <v/>
      </c>
      <c r="GB66" s="44" t="str">
        <f>IF(Table1[Date of Initial Assessment]="","",IF(AND(Table1[Start Date]&gt;42460,Table1[Start Date]&lt;42826),Table1[Meaningful Use of Time],""))</f>
        <v/>
      </c>
      <c r="GC66" s="44" t="str">
        <f>IF(Table1[Date of Initial Assessment]="","",IF(AND(Table1[Start Date]&gt;42460,Table1[Start Date]&lt;42826),Table1[Managing Tenancy and Accommodation],""))</f>
        <v/>
      </c>
      <c r="GD66" s="44" t="str">
        <f>IF(Table1[Date of Initial Assessment]="","",IF(AND(Table1[Start Date]&gt;42460,Table1[Start Date]&lt;42826),Table1[Offending],""))</f>
        <v/>
      </c>
      <c r="GE66" s="44" t="str">
        <f>IF(Table1[Leaving Date]="","",IF(AND(Table1[Leaving Date]&gt;42460,Table1[Leaving Date]&lt;42826),IF(Table1[Date of Last Assessment]="",Table1[Motivation and Taking Responsibility],Table1[Motivation and Taking Responsibility2]),""))</f>
        <v/>
      </c>
      <c r="GF66" s="44" t="str">
        <f>IF(Table1[Leaving Date]="","",IF(AND(Table1[Leaving Date]&gt;42460,Table1[Leaving Date]&lt;42826),IF(Table1[Date of Last Assessment]="",Table1[Self-Care and Living Skills],Table1[Self-Care and Living Skills2]),""))</f>
        <v/>
      </c>
      <c r="GG66" s="44" t="str">
        <f>IF(Table1[Leaving Date]="","",IF(AND(Table1[Leaving Date]&gt;42460,Table1[Leaving Date]&lt;42826),IF(Table1[Date of Last Assessment]="",Table1[Managing Money and Personal Administration],Table1[Managing Money and Personal Administration2]),""))</f>
        <v/>
      </c>
      <c r="GH66" s="44" t="str">
        <f>IF(Table1[Leaving Date]="","",IF(AND(Table1[Leaving Date]&gt;42460,Table1[Leaving Date]&lt;42826),IF(Table1[Date of Last Assessment]="",Table1[Social Networks and Relationships],Table1[Social Networks and Relationships2]),""))</f>
        <v/>
      </c>
      <c r="GI66" s="44" t="str">
        <f>IF(Table1[Leaving Date]="","",IF(AND(Table1[Leaving Date]&gt;42460,Table1[Leaving Date]&lt;42826),IF(Table1[Date of Last Assessment]="",Table1[Drug and Alcohol Misuse],Table1[Drug and Alcohol Misuse2]),""))</f>
        <v/>
      </c>
      <c r="GJ66" s="44" t="str">
        <f>IF(Table1[Leaving Date]="","",IF(AND(Table1[Leaving Date]&gt;42460,Table1[Leaving Date]&lt;42826),IF(Table1[Date of Last Assessment]="",Table1[Physical Health],Table1[Physical Health2]),""))</f>
        <v/>
      </c>
      <c r="GK66" s="44" t="str">
        <f>IF(Table1[Leaving Date]="","",IF(AND(Table1[Leaving Date]&gt;42460,Table1[Leaving Date]&lt;42826),IF(Table1[Date of Last Assessment]="",Table1[Emotional and Mental Health],Table1[Emotional and Mental Health2]),""))</f>
        <v/>
      </c>
      <c r="GL66" s="44" t="str">
        <f>IF(Table1[Leaving Date]="","",IF(AND(Table1[Leaving Date]&gt;42460,Table1[Leaving Date]&lt;42826),IF(Table1[Date of Last Assessment]="",Table1[Meaningful Use of Time],Table1[Meaningful Use of Time2]),""))</f>
        <v/>
      </c>
      <c r="GM66" s="44" t="str">
        <f>IF(Table1[Leaving Date]="","",IF(AND(Table1[Leaving Date]&gt;42460,Table1[Leaving Date]&lt;42826),IF(Table1[Date of Last Assessment]="",Table1[Managing Tenancy and Accommodation],Table1[Managing Tenancy and Accommodation2]),""))</f>
        <v/>
      </c>
      <c r="GN66" s="44" t="str">
        <f>IF(Table1[Leaving Date]="","",IF(AND(Table1[Leaving Date]&gt;42460,Table1[Leaving Date]&lt;42826),IF(Table1[Date of Last Assessment]="",Table1[Offending],Table1[Offending2]),""))</f>
        <v/>
      </c>
    </row>
    <row r="67" spans="2:196" ht="20.100000000000001" customHeight="1" x14ac:dyDescent="0.2">
      <c r="B67" s="86">
        <f>+'Service Data'!$C$5:$C$5</f>
        <v>0</v>
      </c>
      <c r="C67" s="86"/>
      <c r="D67" s="86"/>
      <c r="E67" s="86"/>
      <c r="F67" s="86"/>
      <c r="G67" s="86"/>
      <c r="H67" s="6"/>
      <c r="I67" s="99" t="str">
        <f ca="1">IF(Table1[[#This Row],[Date of Birth]]="","",SUM(TODAY()-Table1[[#This Row],[Date of Birth]])/365)</f>
        <v/>
      </c>
      <c r="L67" s="86"/>
      <c r="M67" s="77"/>
      <c r="N67" s="86"/>
      <c r="O67" s="86"/>
      <c r="P67" s="91"/>
      <c r="Q67" s="86"/>
      <c r="R67" s="77"/>
      <c r="S67" s="77"/>
      <c r="T67" s="68"/>
      <c r="U67" s="68"/>
      <c r="V67" s="67"/>
      <c r="W67" s="67"/>
      <c r="X67" s="67"/>
      <c r="Y67" s="67"/>
      <c r="Z67" s="67"/>
      <c r="AA67" s="67"/>
      <c r="AB67" s="67"/>
      <c r="AC67" s="67"/>
      <c r="AD67" s="67"/>
      <c r="AE67" s="67"/>
      <c r="AF67" s="67"/>
      <c r="AG67" s="67"/>
      <c r="AH67" s="67"/>
      <c r="AI67" s="67"/>
      <c r="AJ67" s="67"/>
      <c r="AK67" s="67"/>
      <c r="AL67" s="67"/>
      <c r="AM67" s="67"/>
      <c r="AN67" s="77"/>
      <c r="AO67" s="76"/>
      <c r="AP67" s="77"/>
      <c r="AQ67" s="76"/>
      <c r="AR67" s="76"/>
      <c r="AS67" s="76"/>
      <c r="AT67" s="76"/>
      <c r="AU67" s="76"/>
      <c r="AV67" s="77"/>
      <c r="AW67" s="76"/>
      <c r="AX67" s="77"/>
      <c r="AY67" s="76"/>
      <c r="AZ67" s="76"/>
      <c r="BA67" s="76"/>
      <c r="BB67" s="76"/>
      <c r="BC67" s="76"/>
      <c r="BD67" s="77"/>
      <c r="BE67" s="76"/>
      <c r="BF67" s="77"/>
      <c r="BG67" s="76"/>
      <c r="BH67" s="76"/>
      <c r="BI67" s="76"/>
      <c r="BJ67" s="76"/>
      <c r="BK67" s="76"/>
      <c r="BL67" s="77"/>
      <c r="BM67" s="76"/>
      <c r="BN67" s="77"/>
      <c r="BO67" s="76"/>
      <c r="BP67" s="76"/>
      <c r="BQ67" s="76"/>
      <c r="BR67" s="76"/>
      <c r="BS67" s="76"/>
      <c r="BT67" s="77"/>
      <c r="BU67" s="76"/>
      <c r="BV67" s="77"/>
      <c r="BW67" s="76"/>
      <c r="BX67" s="76"/>
      <c r="BY67" s="76"/>
      <c r="BZ67" s="76"/>
      <c r="CA67" s="76"/>
      <c r="CB67" s="77"/>
      <c r="CC67" s="76"/>
      <c r="CD67" s="77"/>
      <c r="CE67" s="76"/>
      <c r="CF67" s="76"/>
      <c r="CG67" s="76"/>
      <c r="CH67" s="76"/>
      <c r="CI67" s="76"/>
      <c r="CJ67" s="77"/>
      <c r="CK67" s="76"/>
      <c r="CL67" s="77"/>
      <c r="CM67" s="76"/>
      <c r="CN67" s="76"/>
      <c r="CO67" s="76"/>
      <c r="CP67" s="76"/>
      <c r="CQ67" s="76"/>
      <c r="CR67" s="78" t="str">
        <f t="shared" si="15"/>
        <v/>
      </c>
      <c r="CS67" s="79" t="str">
        <f t="shared" si="16"/>
        <v/>
      </c>
      <c r="CT67" s="79" t="str">
        <f t="shared" si="17"/>
        <v/>
      </c>
      <c r="CU67" s="79" t="str">
        <f t="shared" si="18"/>
        <v/>
      </c>
      <c r="CV67" s="79" t="str">
        <f t="shared" si="19"/>
        <v/>
      </c>
      <c r="CW67" s="79" t="str">
        <f t="shared" si="20"/>
        <v/>
      </c>
      <c r="CX67" s="79" t="str">
        <f t="shared" si="21"/>
        <v/>
      </c>
      <c r="CY67" s="79" t="str">
        <f t="shared" si="22"/>
        <v/>
      </c>
      <c r="CZ67" s="79" t="str">
        <f t="shared" si="23"/>
        <v/>
      </c>
      <c r="DA67" s="79" t="str">
        <f t="shared" si="24"/>
        <v/>
      </c>
      <c r="DB67" s="79" t="str">
        <f t="shared" si="25"/>
        <v/>
      </c>
      <c r="DC67" s="79" t="str">
        <f t="shared" si="26"/>
        <v/>
      </c>
      <c r="DD67" s="79" t="str">
        <f t="shared" si="27"/>
        <v/>
      </c>
      <c r="DE67" s="79" t="str">
        <f t="shared" si="28"/>
        <v/>
      </c>
      <c r="DF67" s="79" t="str">
        <f t="shared" si="29"/>
        <v/>
      </c>
      <c r="DG67" s="79" t="str">
        <f t="shared" si="30"/>
        <v/>
      </c>
      <c r="DH67" s="76"/>
      <c r="DI67" s="78"/>
      <c r="DJ67" s="76"/>
      <c r="DK67" s="77"/>
      <c r="DL67" s="77"/>
      <c r="DM67" s="77"/>
      <c r="DN67" s="80"/>
      <c r="DO67" s="80"/>
      <c r="DP67" s="92" t="str">
        <f>IF(Table1[Start Date]="","",IF(Table1[Start Date]&gt;42185,"",IF(AND(Table1[Leaving Date]&gt;1,Table1[Leaving Date]&lt;42095),"",1)))</f>
        <v/>
      </c>
      <c r="DQ67" s="92" t="str">
        <f>IF(Table1[Start Date]="","",IF(Table1[Start Date]&gt;42277,"",IF(AND(Table1[Leaving Date]&gt;1,Table1[Leaving Date]&lt;42186),"",1)))</f>
        <v/>
      </c>
      <c r="DR67" s="92" t="str">
        <f>IF(Table1[Start Date]="","",IF(Table1[Start Date]&gt;42369,"",IF(AND(Table1[Leaving Date]&gt;1,Table1[Leaving Date]&lt;42278),"",1)))</f>
        <v/>
      </c>
      <c r="DS67" s="92" t="str">
        <f>IF(Table1[Start Date]="","",IF(Table1[Start Date]&gt;42460,"",IF(AND(Table1[Leaving Date]&gt;1,Table1[Leaving Date]&lt;42370),"",1)))</f>
        <v/>
      </c>
      <c r="DT67" s="92" t="str">
        <f>IF(Table1[Start Date]="","",IF(Table1[Start Date]&gt;42551,"",IF(AND(Table1[Leaving Date]&gt;1,Table1[Leaving Date]&lt;42461),"",1)))</f>
        <v/>
      </c>
      <c r="DU67" s="92" t="str">
        <f>IF(Table1[Start Date]="","",IF(Table1[Start Date]&gt;42643,"",IF(AND(Table1[Leaving Date]&gt;1,Table1[Leaving Date]&lt;42552),"",1)))</f>
        <v/>
      </c>
      <c r="DV67" s="92" t="str">
        <f>IF(Table1[Start Date]="","",IF(Table1[Start Date]&gt;42735,"",IF(AND(Table1[Leaving Date]&gt;1,Table1[Leaving Date]&lt;42644),"",1)))</f>
        <v/>
      </c>
      <c r="DW67" s="92" t="str">
        <f>IF(Table1[Start Date]="","",IF(Table1[Start Date]&gt;42825,"",IF(AND(Table1[Leaving Date]&gt;1,Table1[Leaving Date]&lt;42736),"",1)))</f>
        <v/>
      </c>
      <c r="DX67"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67" s="44" t="e">
        <f>VLOOKUP(Table1[Referral Source],Lists!$G$2:$H$20,2,FALSE)</f>
        <v>#N/A</v>
      </c>
      <c r="DZ67" s="93" t="e">
        <f>SUM(Table1[Data Referral Quarter]+Table1[Data Referral Source])</f>
        <v>#N/A</v>
      </c>
      <c r="EA67" s="44" t="b">
        <f>IF(Table1[Referral Decision]="Accepted",100,IF(Table1[Referral Decision]="Rejected by Provider",200,IF(Table1[Referral Decision]="Rejected by Applicant",300)))</f>
        <v>0</v>
      </c>
      <c r="EB67" s="44">
        <f>SUM(Table1[Data Referral Quarter]+Table1[Data Referral Decision])</f>
        <v>0</v>
      </c>
      <c r="EC67" s="44" t="b">
        <f>IF(Table1[Start Date]&gt;42735,8000,IF(Table1[Start Date]&gt;42643,7000,IF(Table1[Start Date]&gt;42551,6000,IF(Table1[Start Date]&gt;42460,5000,IF(Table1[Start Date]&gt;42369,4000,IF(Table1[Start Date]&gt;42277,3000,IF(Table1[Start Date]&gt;42185,2000,IF(Table1[Start Date]&gt;42094,1000))))))))</f>
        <v>0</v>
      </c>
      <c r="ED67" s="44" t="str">
        <f>IF(Table1[Start Date]="","",IF(Table1[Current Local Authority]="Swindon",1,"2"))</f>
        <v/>
      </c>
      <c r="EE67" s="44" t="e">
        <f>SUM(Table1[Data Start Date]+Table1[Data Local Authority])</f>
        <v>#VALUE!</v>
      </c>
      <c r="EF67" s="44">
        <f>IF(Table1[Registered with GP]="Yes",1,0)</f>
        <v>0</v>
      </c>
      <c r="EG67" s="44">
        <f>SUM(Table1[Data Start Date]+Table1[Data GP Start])</f>
        <v>0</v>
      </c>
      <c r="EH67" s="44" t="str">
        <f>IF(Table1[EET]="NEET",1,IF(Table1[EET]="Education",2,IF(Table1[EET]="Employment",2,IF(Table1[EET]="Training",2,IF(Table1[EET]="Retired",3,"")))))</f>
        <v/>
      </c>
      <c r="EI67" s="44" t="e">
        <f>Table1[Data Start Date]+Table1[Data EET Start]</f>
        <v>#VALUE!</v>
      </c>
      <c r="EJ67" s="44" t="b">
        <f>IF(Table1[Leaving Date]&gt;42735,8000,IF(Table1[Leaving Date]&gt;42643,7000,IF(Table1[Leaving Date]&gt;42551,6000,IF(Table1[Leaving Date]&gt;42460,5000,IF(Table1[Leaving Date]&gt;42369,4000,IF(Table1[Leaving Date]&gt;42277,3000,IF(Table1[Leaving Date]&gt;42185,2000,IF(Table1[Leaving Date]&gt;42094,1000))))))))</f>
        <v>0</v>
      </c>
      <c r="EK67" s="44" t="e">
        <f>VLOOKUP(Table1[Reason for Leaving],Lists!$T$2:$U$15,2,FALSE)</f>
        <v>#N/A</v>
      </c>
      <c r="EL67" s="44" t="e">
        <f>SUM(Table1[Data Leavers Date]+Table1[Data Move On])</f>
        <v>#N/A</v>
      </c>
      <c r="EM67" s="44" t="b">
        <f>IF(Table1[Registered with GP2]="Yes",1,IF(Table1[Registered with GP2]="No",0,IF(Table1[Registered with GP]="Yes",1,IF(Table1[Registered with GP]="No",0))))</f>
        <v>0</v>
      </c>
      <c r="EN67" s="44">
        <f>SUM(Table1[Data Leavers Date]+Table1[Data GP End])</f>
        <v>0</v>
      </c>
      <c r="EO67" s="44" t="str">
        <f>IF(Table1[EET2]="NEET",1,IF(Table1[EET2]="Employment",2,IF(Table1[EET2]="Education",2,IF(Table1[EET2]="Training",2,IF(Table1[EET2]="Retired",3,IF(Table1[EET]="NEET",1,IF(Table1[EET]="Employment",2,IF(Table1[EET]="Education",2,IF(Table1[EET]="Training",2,IF(Table1[EET]="Retired",3,""))))))))))</f>
        <v/>
      </c>
      <c r="EP67" s="44" t="e">
        <f>+Table1[[#This Row],[Data Leavers Date]]+Table1[[#This Row],[Data EET End]]</f>
        <v>#VALUE!</v>
      </c>
      <c r="EQ67" s="44">
        <f>IF(Table1[Exit Form Received]="Yes",1,0)</f>
        <v>0</v>
      </c>
      <c r="ER67" s="44">
        <f>+Table1[[#This Row],[Data Leavers Date]]+Table1[[#This Row],[Data Exit Forms]]</f>
        <v>0</v>
      </c>
      <c r="ES67" s="44" t="str">
        <f>IF(Table1[Data Leavers Date]=1000,SUM(Table1[Leaving Date]-Table1[Start Date]),"")</f>
        <v/>
      </c>
      <c r="ET67" s="44" t="str">
        <f>IF(Table1[Data Leavers Date]=2000,SUM(Table1[Leaving Date]-Table1[Start Date]),"")</f>
        <v/>
      </c>
      <c r="EU67" s="44" t="str">
        <f>IF(Table1[Data Leavers Date]=3000,SUM(Table1[Leaving Date]-Table1[Start Date]),"")</f>
        <v/>
      </c>
      <c r="EV67" s="44" t="str">
        <f>IF(Table1[Data Leavers Date]=4000,SUM(Table1[Leaving Date]-Table1[Start Date]),"")</f>
        <v/>
      </c>
      <c r="EW67" s="44" t="str">
        <f>IF(Table1[Data Leavers Date]=5000,SUM(Table1[Leaving Date]-Table1[Start Date]),"")</f>
        <v/>
      </c>
      <c r="EX67" s="44" t="str">
        <f>IF(Table1[Data Leavers Date]=6000,SUM(Table1[Leaving Date]-Table1[Start Date]),"")</f>
        <v/>
      </c>
      <c r="EY67" s="44" t="str">
        <f>IF(Table1[Data Leavers Date]=7000,SUM(Table1[Leaving Date]-Table1[Start Date]),"")</f>
        <v/>
      </c>
      <c r="EZ67" s="44" t="str">
        <f>IF(Table1[Data Leavers Date]=8000,SUM(Table1[Leaving Date]-Table1[Start Date]),"")</f>
        <v/>
      </c>
      <c r="FA67" s="44" t="str">
        <f>IF(Table1[Date of Initial Assessment]="","",IF(AND(Table1[Start Date]&gt;42094,Table1[Start Date]&lt;42461),Table1[Motivation and Taking Responsibility],""))</f>
        <v/>
      </c>
      <c r="FB67" s="44" t="str">
        <f>IF(Table1[Date of Initial Assessment]="","",IF(AND(Table1[Start Date]&gt;42094,Table1[Start Date]&lt;42461),Table1[Self-Care and Living Skills],""))</f>
        <v/>
      </c>
      <c r="FC67" s="44" t="str">
        <f>IF(Table1[Date of Initial Assessment]="","",IF(AND(Table1[Start Date]&gt;42094,Table1[Start Date]&lt;42461),Table1[Managing Money and Personal Administration],""))</f>
        <v/>
      </c>
      <c r="FD67" s="44" t="str">
        <f>IF(Table1[Date of Initial Assessment]="","",IF(AND(Table1[Start Date]&gt;42094,Table1[Start Date]&lt;42461),Table1[Social Networks and Relationships],""))</f>
        <v/>
      </c>
      <c r="FE67" s="44" t="str">
        <f>IF(Table1[Date of Initial Assessment]="","",IF(AND(Table1[Start Date]&gt;42094,Table1[Start Date]&lt;42461),Table1[Drug and Alcohol Misuse],""))</f>
        <v/>
      </c>
      <c r="FF67" s="44" t="str">
        <f>IF(Table1[Date of Initial Assessment]="","",IF(AND(Table1[Start Date]&gt;42094,Table1[Start Date]&lt;42461),Table1[Physical Health],""))</f>
        <v/>
      </c>
      <c r="FG67" s="44" t="str">
        <f>IF(Table1[Date of Initial Assessment]="","",IF(AND(Table1[Start Date]&gt;42094,Table1[Start Date]&lt;42461),Table1[Emotional and Mental Health],""))</f>
        <v/>
      </c>
      <c r="FH67" s="44" t="str">
        <f>IF(Table1[Date of Initial Assessment]="","",IF(AND(Table1[Start Date]&gt;42094,Table1[Start Date]&lt;42461),Table1[Meaningful Use of Time],""))</f>
        <v/>
      </c>
      <c r="FI67" s="44" t="str">
        <f>IF(Table1[Date of Initial Assessment]="","",IF(AND(Table1[Start Date]&gt;42094,Table1[Start Date]&lt;42461),Table1[Managing Tenancy and Accommodation],""))</f>
        <v/>
      </c>
      <c r="FJ67" s="44" t="str">
        <f>IF(Table1[Date of Initial Assessment]="","",IF(AND(Table1[Start Date]&gt;42094,Table1[Start Date]&lt;42461),Table1[Offending],""))</f>
        <v/>
      </c>
      <c r="FK67" s="44" t="str">
        <f>IF(Table1[Leaving Date]="","",IF(Table1[Date of Initial Assessment]="","",IF(AND(Table1[Leaving Date]&gt;42094,Table1[Leaving Date]&lt;42461),IF(Table1[Date of Last Assessment]="",Table1[Motivation and Taking Responsibility],Table1[Motivation and Taking Responsibility2]),"")))</f>
        <v/>
      </c>
      <c r="FL67" s="44" t="str">
        <f>IF(Table1[Leaving Date]="","",IF(Table1[Date of Initial Assessment]="","",IF(AND(Table1[Leaving Date]&gt;42094,Table1[Leaving Date]&lt;42461),IF(Table1[Date of Last Assessment]="",Table1[Self-Care and Living Skills],Table1[Self-Care and Living Skills2]),"")))</f>
        <v/>
      </c>
      <c r="FM67" s="44" t="str">
        <f>IF(Table1[Leaving Date]="","",IF(Table1[Date of Initial Assessment]="","",IF(AND(Table1[Leaving Date]&gt;42094,Table1[Leaving Date]&lt;42461),IF(Table1[Date of Last Assessment]="",Table1[Managing Money and Personal Administration],Table1[Managing Money and Personal Administration2]),"")))</f>
        <v/>
      </c>
      <c r="FN67" s="44" t="str">
        <f>IF(Table1[Leaving Date]="","",IF(Table1[Date of Initial Assessment]="","",IF(AND(Table1[Leaving Date]&gt;42094,Table1[Leaving Date]&lt;42461),IF(Table1[Date of Last Assessment]="",Table1[Social Networks and Relationships],Table1[Social Networks and Relationships2]),"")))</f>
        <v/>
      </c>
      <c r="FO67" s="44" t="str">
        <f>IF(Table1[Leaving Date]="","",IF(Table1[Date of Initial Assessment]="","",IF(AND(Table1[Leaving Date]&gt;42094,Table1[Leaving Date]&lt;42461),IF(Table1[Date of Last Assessment]="",Table1[Drug and Alcohol Misuse],Table1[Drug and Alcohol Misuse2]),"")))</f>
        <v/>
      </c>
      <c r="FP67" s="44" t="str">
        <f>IF(Table1[Leaving Date]="","",IF(Table1[Date of Initial Assessment]="","",IF(AND(Table1[Leaving Date]&gt;42094,Table1[Leaving Date]&lt;42461),IF(Table1[Date of Last Assessment]="",Table1[Physical Health],Table1[Physical Health2]),"")))</f>
        <v/>
      </c>
      <c r="FQ67" s="44" t="str">
        <f>IF(Table1[Leaving Date]="","",IF(Table1[Date of Initial Assessment]="","",IF(AND(Table1[Leaving Date]&gt;42094,Table1[Leaving Date]&lt;42461),IF(Table1[Date of Last Assessment]="",Table1[Emotional and Mental Health],Table1[Emotional and Mental Health2]),"")))</f>
        <v/>
      </c>
      <c r="FR67" s="44" t="str">
        <f>IF(Table1[Leaving Date]="","",IF(Table1[Date of Initial Assessment]="","",IF(AND(Table1[Leaving Date]&gt;42094,Table1[Leaving Date]&lt;42461),IF(Table1[Date of Last Assessment]="",Table1[Meaningful Use of Time],Table1[Meaningful Use of Time2]),"")))</f>
        <v/>
      </c>
      <c r="FS67" s="44" t="str">
        <f>IF(Table1[Leaving Date]="","",IF(Table1[Date of Initial Assessment]="","",IF(AND(Table1[Leaving Date]&gt;42094,Table1[Leaving Date]&lt;42461),IF(Table1[Date of Last Assessment]="",Table1[Managing Tenancy and Accommodation],Table1[Managing Tenancy and Accommodation2]),"")))</f>
        <v/>
      </c>
      <c r="FT67" s="44" t="str">
        <f>IF(Table1[Leaving Date]="","",IF(Table1[Date of Initial Assessment]="","",IF(AND(Table1[Leaving Date]&gt;42094,Table1[Leaving Date]&lt;42461),IF(Table1[Date of Last Assessment]="",Table1[Offending],Table1[Offending2]),"")))</f>
        <v/>
      </c>
      <c r="FU67" s="44" t="str">
        <f>IF(Table1[Date of Initial Assessment]="","",IF(AND(Table1[Start Date]&gt;42460,Table1[Start Date]&lt;42826),Table1[Motivation and Taking Responsibility],""))</f>
        <v/>
      </c>
      <c r="FV67" s="44" t="str">
        <f>IF(Table1[Date of Initial Assessment]="","",IF(AND(Table1[Start Date]&gt;42460,Table1[Start Date]&lt;42826),Table1[Self-Care and Living Skills],""))</f>
        <v/>
      </c>
      <c r="FW67" s="44" t="str">
        <f>IF(Table1[Date of Initial Assessment]="","",IF(AND(Table1[Start Date]&gt;42460,Table1[Start Date]&lt;42826),Table1[Managing Money and Personal Administration],""))</f>
        <v/>
      </c>
      <c r="FX67" s="44" t="str">
        <f>IF(Table1[Date of Initial Assessment]="","",IF(AND(Table1[Start Date]&gt;42460,Table1[Start Date]&lt;42826),Table1[Social Networks and Relationships],""))</f>
        <v/>
      </c>
      <c r="FY67" s="44" t="str">
        <f>IF(Table1[Date of Initial Assessment]="","",IF(AND(Table1[Start Date]&gt;42460,Table1[Start Date]&lt;42826),Table1[Drug and Alcohol Misuse],""))</f>
        <v/>
      </c>
      <c r="FZ67" s="44" t="str">
        <f>IF(Table1[Date of Initial Assessment]="","",IF(AND(Table1[Start Date]&gt;42460,Table1[Start Date]&lt;42826),Table1[Physical Health],""))</f>
        <v/>
      </c>
      <c r="GA67" s="44" t="str">
        <f>IF(Table1[Date of Initial Assessment]="","",IF(AND(Table1[Start Date]&gt;42460,Table1[Start Date]&lt;42826),Table1[Emotional and Mental Health],""))</f>
        <v/>
      </c>
      <c r="GB67" s="44" t="str">
        <f>IF(Table1[Date of Initial Assessment]="","",IF(AND(Table1[Start Date]&gt;42460,Table1[Start Date]&lt;42826),Table1[Meaningful Use of Time],""))</f>
        <v/>
      </c>
      <c r="GC67" s="44" t="str">
        <f>IF(Table1[Date of Initial Assessment]="","",IF(AND(Table1[Start Date]&gt;42460,Table1[Start Date]&lt;42826),Table1[Managing Tenancy and Accommodation],""))</f>
        <v/>
      </c>
      <c r="GD67" s="44" t="str">
        <f>IF(Table1[Date of Initial Assessment]="","",IF(AND(Table1[Start Date]&gt;42460,Table1[Start Date]&lt;42826),Table1[Offending],""))</f>
        <v/>
      </c>
      <c r="GE67" s="44" t="str">
        <f>IF(Table1[Leaving Date]="","",IF(AND(Table1[Leaving Date]&gt;42460,Table1[Leaving Date]&lt;42826),IF(Table1[Date of Last Assessment]="",Table1[Motivation and Taking Responsibility],Table1[Motivation and Taking Responsibility2]),""))</f>
        <v/>
      </c>
      <c r="GF67" s="44" t="str">
        <f>IF(Table1[Leaving Date]="","",IF(AND(Table1[Leaving Date]&gt;42460,Table1[Leaving Date]&lt;42826),IF(Table1[Date of Last Assessment]="",Table1[Self-Care and Living Skills],Table1[Self-Care and Living Skills2]),""))</f>
        <v/>
      </c>
      <c r="GG67" s="44" t="str">
        <f>IF(Table1[Leaving Date]="","",IF(AND(Table1[Leaving Date]&gt;42460,Table1[Leaving Date]&lt;42826),IF(Table1[Date of Last Assessment]="",Table1[Managing Money and Personal Administration],Table1[Managing Money and Personal Administration2]),""))</f>
        <v/>
      </c>
      <c r="GH67" s="44" t="str">
        <f>IF(Table1[Leaving Date]="","",IF(AND(Table1[Leaving Date]&gt;42460,Table1[Leaving Date]&lt;42826),IF(Table1[Date of Last Assessment]="",Table1[Social Networks and Relationships],Table1[Social Networks and Relationships2]),""))</f>
        <v/>
      </c>
      <c r="GI67" s="44" t="str">
        <f>IF(Table1[Leaving Date]="","",IF(AND(Table1[Leaving Date]&gt;42460,Table1[Leaving Date]&lt;42826),IF(Table1[Date of Last Assessment]="",Table1[Drug and Alcohol Misuse],Table1[Drug and Alcohol Misuse2]),""))</f>
        <v/>
      </c>
      <c r="GJ67" s="44" t="str">
        <f>IF(Table1[Leaving Date]="","",IF(AND(Table1[Leaving Date]&gt;42460,Table1[Leaving Date]&lt;42826),IF(Table1[Date of Last Assessment]="",Table1[Physical Health],Table1[Physical Health2]),""))</f>
        <v/>
      </c>
      <c r="GK67" s="44" t="str">
        <f>IF(Table1[Leaving Date]="","",IF(AND(Table1[Leaving Date]&gt;42460,Table1[Leaving Date]&lt;42826),IF(Table1[Date of Last Assessment]="",Table1[Emotional and Mental Health],Table1[Emotional and Mental Health2]),""))</f>
        <v/>
      </c>
      <c r="GL67" s="44" t="str">
        <f>IF(Table1[Leaving Date]="","",IF(AND(Table1[Leaving Date]&gt;42460,Table1[Leaving Date]&lt;42826),IF(Table1[Date of Last Assessment]="",Table1[Meaningful Use of Time],Table1[Meaningful Use of Time2]),""))</f>
        <v/>
      </c>
      <c r="GM67" s="44" t="str">
        <f>IF(Table1[Leaving Date]="","",IF(AND(Table1[Leaving Date]&gt;42460,Table1[Leaving Date]&lt;42826),IF(Table1[Date of Last Assessment]="",Table1[Managing Tenancy and Accommodation],Table1[Managing Tenancy and Accommodation2]),""))</f>
        <v/>
      </c>
      <c r="GN67" s="44" t="str">
        <f>IF(Table1[Leaving Date]="","",IF(AND(Table1[Leaving Date]&gt;42460,Table1[Leaving Date]&lt;42826),IF(Table1[Date of Last Assessment]="",Table1[Offending],Table1[Offending2]),""))</f>
        <v/>
      </c>
    </row>
    <row r="68" spans="2:196" ht="20.100000000000001" customHeight="1" x14ac:dyDescent="0.2">
      <c r="B68" s="86">
        <f>+'Service Data'!$C$5:$C$5</f>
        <v>0</v>
      </c>
      <c r="C68" s="86"/>
      <c r="D68" s="86"/>
      <c r="E68" s="86"/>
      <c r="F68" s="86"/>
      <c r="G68" s="86"/>
      <c r="H68" s="6"/>
      <c r="I68" s="99" t="str">
        <f ca="1">IF(Table1[[#This Row],[Date of Birth]]="","",SUM(TODAY()-Table1[[#This Row],[Date of Birth]])/365)</f>
        <v/>
      </c>
      <c r="L68" s="86"/>
      <c r="M68" s="77"/>
      <c r="N68" s="86"/>
      <c r="O68" s="86"/>
      <c r="P68" s="91"/>
      <c r="Q68" s="86"/>
      <c r="R68" s="77"/>
      <c r="S68" s="77"/>
      <c r="T68" s="68"/>
      <c r="U68" s="68"/>
      <c r="V68" s="67"/>
      <c r="W68" s="67"/>
      <c r="X68" s="67"/>
      <c r="Y68" s="67"/>
      <c r="Z68" s="67"/>
      <c r="AA68" s="67"/>
      <c r="AB68" s="67"/>
      <c r="AC68" s="67"/>
      <c r="AD68" s="67"/>
      <c r="AE68" s="67"/>
      <c r="AF68" s="67"/>
      <c r="AG68" s="67"/>
      <c r="AH68" s="67"/>
      <c r="AI68" s="67"/>
      <c r="AJ68" s="67"/>
      <c r="AK68" s="67"/>
      <c r="AL68" s="67"/>
      <c r="AM68" s="67"/>
      <c r="AN68" s="77"/>
      <c r="AO68" s="76"/>
      <c r="AP68" s="77"/>
      <c r="AQ68" s="76"/>
      <c r="AR68" s="76"/>
      <c r="AS68" s="76"/>
      <c r="AT68" s="76"/>
      <c r="AU68" s="76"/>
      <c r="AV68" s="77"/>
      <c r="AW68" s="76"/>
      <c r="AX68" s="77"/>
      <c r="AY68" s="76"/>
      <c r="AZ68" s="76"/>
      <c r="BA68" s="76"/>
      <c r="BB68" s="76"/>
      <c r="BC68" s="76"/>
      <c r="BD68" s="77"/>
      <c r="BE68" s="76"/>
      <c r="BF68" s="77"/>
      <c r="BG68" s="76"/>
      <c r="BH68" s="76"/>
      <c r="BI68" s="76"/>
      <c r="BJ68" s="76"/>
      <c r="BK68" s="76"/>
      <c r="BL68" s="77"/>
      <c r="BM68" s="76"/>
      <c r="BN68" s="77"/>
      <c r="BO68" s="76"/>
      <c r="BP68" s="76"/>
      <c r="BQ68" s="76"/>
      <c r="BR68" s="76"/>
      <c r="BS68" s="76"/>
      <c r="BT68" s="77"/>
      <c r="BU68" s="76"/>
      <c r="BV68" s="77"/>
      <c r="BW68" s="76"/>
      <c r="BX68" s="76"/>
      <c r="BY68" s="76"/>
      <c r="BZ68" s="76"/>
      <c r="CA68" s="76"/>
      <c r="CB68" s="77"/>
      <c r="CC68" s="76"/>
      <c r="CD68" s="77"/>
      <c r="CE68" s="76"/>
      <c r="CF68" s="76"/>
      <c r="CG68" s="76"/>
      <c r="CH68" s="76"/>
      <c r="CI68" s="76"/>
      <c r="CJ68" s="77"/>
      <c r="CK68" s="76"/>
      <c r="CL68" s="77"/>
      <c r="CM68" s="76"/>
      <c r="CN68" s="76"/>
      <c r="CO68" s="76"/>
      <c r="CP68" s="76"/>
      <c r="CQ68" s="76"/>
      <c r="CR68" s="78" t="str">
        <f t="shared" ref="CR68:CR131" si="31">IF(U68="","",U68)</f>
        <v/>
      </c>
      <c r="CS68" s="79" t="str">
        <f t="shared" ref="CS68:CS131" si="32">IF(V68="","",V68)</f>
        <v/>
      </c>
      <c r="CT68" s="79" t="str">
        <f t="shared" ref="CT68:CT131" si="33">IF(W68="","",W68)</f>
        <v/>
      </c>
      <c r="CU68" s="79" t="str">
        <f t="shared" ref="CU68:CU131" si="34">IF(X68="","",X68)</f>
        <v/>
      </c>
      <c r="CV68" s="79" t="str">
        <f t="shared" ref="CV68:CV131" si="35">IF(Y68="","",Y68)</f>
        <v/>
      </c>
      <c r="CW68" s="79" t="str">
        <f t="shared" ref="CW68:CW131" si="36">IF(Z68="","",Z68)</f>
        <v/>
      </c>
      <c r="CX68" s="79" t="str">
        <f t="shared" ref="CX68:CX131" si="37">IF(AA68="","",AA68)</f>
        <v/>
      </c>
      <c r="CY68" s="79" t="str">
        <f t="shared" ref="CY68:CY131" si="38">IF(AB68="","",AB68)</f>
        <v/>
      </c>
      <c r="CZ68" s="79" t="str">
        <f t="shared" ref="CZ68:CZ131" si="39">IF(AC68="","",AC68)</f>
        <v/>
      </c>
      <c r="DA68" s="79" t="str">
        <f t="shared" ref="DA68:DA131" si="40">IF(AD68="","",AD68)</f>
        <v/>
      </c>
      <c r="DB68" s="79" t="str">
        <f t="shared" ref="DB68:DB131" si="41">IF(AE68="","",AE68)</f>
        <v/>
      </c>
      <c r="DC68" s="79" t="str">
        <f t="shared" ref="DC68:DC131" si="42">IF(AF68="","",AF68)</f>
        <v/>
      </c>
      <c r="DD68" s="79" t="str">
        <f t="shared" ref="DD68:DD131" si="43">IF(AG68="","",AG68)</f>
        <v/>
      </c>
      <c r="DE68" s="79" t="str">
        <f t="shared" ref="DE68:DE131" si="44">IF(AK68="","",AK68)</f>
        <v/>
      </c>
      <c r="DF68" s="79" t="str">
        <f t="shared" ref="DF68:DF131" si="45">IF(AL68="","",AL68)</f>
        <v/>
      </c>
      <c r="DG68" s="79" t="str">
        <f t="shared" ref="DG68:DG131" si="46">IF(AM68="","",AM68)</f>
        <v/>
      </c>
      <c r="DH68" s="76"/>
      <c r="DI68" s="78"/>
      <c r="DJ68" s="76"/>
      <c r="DK68" s="77"/>
      <c r="DL68" s="77"/>
      <c r="DM68" s="77"/>
      <c r="DN68" s="80"/>
      <c r="DO68" s="80"/>
      <c r="DP68" s="92" t="str">
        <f>IF(Table1[Start Date]="","",IF(Table1[Start Date]&gt;42185,"",IF(AND(Table1[Leaving Date]&gt;1,Table1[Leaving Date]&lt;42095),"",1)))</f>
        <v/>
      </c>
      <c r="DQ68" s="92" t="str">
        <f>IF(Table1[Start Date]="","",IF(Table1[Start Date]&gt;42277,"",IF(AND(Table1[Leaving Date]&gt;1,Table1[Leaving Date]&lt;42186),"",1)))</f>
        <v/>
      </c>
      <c r="DR68" s="92" t="str">
        <f>IF(Table1[Start Date]="","",IF(Table1[Start Date]&gt;42369,"",IF(AND(Table1[Leaving Date]&gt;1,Table1[Leaving Date]&lt;42278),"",1)))</f>
        <v/>
      </c>
      <c r="DS68" s="92" t="str">
        <f>IF(Table1[Start Date]="","",IF(Table1[Start Date]&gt;42460,"",IF(AND(Table1[Leaving Date]&gt;1,Table1[Leaving Date]&lt;42370),"",1)))</f>
        <v/>
      </c>
      <c r="DT68" s="92" t="str">
        <f>IF(Table1[Start Date]="","",IF(Table1[Start Date]&gt;42551,"",IF(AND(Table1[Leaving Date]&gt;1,Table1[Leaving Date]&lt;42461),"",1)))</f>
        <v/>
      </c>
      <c r="DU68" s="92" t="str">
        <f>IF(Table1[Start Date]="","",IF(Table1[Start Date]&gt;42643,"",IF(AND(Table1[Leaving Date]&gt;1,Table1[Leaving Date]&lt;42552),"",1)))</f>
        <v/>
      </c>
      <c r="DV68" s="92" t="str">
        <f>IF(Table1[Start Date]="","",IF(Table1[Start Date]&gt;42735,"",IF(AND(Table1[Leaving Date]&gt;1,Table1[Leaving Date]&lt;42644),"",1)))</f>
        <v/>
      </c>
      <c r="DW68" s="92" t="str">
        <f>IF(Table1[Start Date]="","",IF(Table1[Start Date]&gt;42825,"",IF(AND(Table1[Leaving Date]&gt;1,Table1[Leaving Date]&lt;42736),"",1)))</f>
        <v/>
      </c>
      <c r="DX68"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68" s="44" t="e">
        <f>VLOOKUP(Table1[Referral Source],Lists!$G$2:$H$20,2,FALSE)</f>
        <v>#N/A</v>
      </c>
      <c r="DZ68" s="93" t="e">
        <f>SUM(Table1[Data Referral Quarter]+Table1[Data Referral Source])</f>
        <v>#N/A</v>
      </c>
      <c r="EA68" s="44" t="b">
        <f>IF(Table1[Referral Decision]="Accepted",100,IF(Table1[Referral Decision]="Rejected by Provider",200,IF(Table1[Referral Decision]="Rejected by Applicant",300)))</f>
        <v>0</v>
      </c>
      <c r="EB68" s="44">
        <f>SUM(Table1[Data Referral Quarter]+Table1[Data Referral Decision])</f>
        <v>0</v>
      </c>
      <c r="EC68" s="44" t="b">
        <f>IF(Table1[Start Date]&gt;42735,8000,IF(Table1[Start Date]&gt;42643,7000,IF(Table1[Start Date]&gt;42551,6000,IF(Table1[Start Date]&gt;42460,5000,IF(Table1[Start Date]&gt;42369,4000,IF(Table1[Start Date]&gt;42277,3000,IF(Table1[Start Date]&gt;42185,2000,IF(Table1[Start Date]&gt;42094,1000))))))))</f>
        <v>0</v>
      </c>
      <c r="ED68" s="44" t="str">
        <f>IF(Table1[Start Date]="","",IF(Table1[Current Local Authority]="Swindon",1,"2"))</f>
        <v/>
      </c>
      <c r="EE68" s="44" t="e">
        <f>SUM(Table1[Data Start Date]+Table1[Data Local Authority])</f>
        <v>#VALUE!</v>
      </c>
      <c r="EF68" s="44">
        <f>IF(Table1[Registered with GP]="Yes",1,0)</f>
        <v>0</v>
      </c>
      <c r="EG68" s="44">
        <f>SUM(Table1[Data Start Date]+Table1[Data GP Start])</f>
        <v>0</v>
      </c>
      <c r="EH68" s="44" t="str">
        <f>IF(Table1[EET]="NEET",1,IF(Table1[EET]="Education",2,IF(Table1[EET]="Employment",2,IF(Table1[EET]="Training",2,IF(Table1[EET]="Retired",3,"")))))</f>
        <v/>
      </c>
      <c r="EI68" s="44" t="e">
        <f>Table1[Data Start Date]+Table1[Data EET Start]</f>
        <v>#VALUE!</v>
      </c>
      <c r="EJ68" s="44" t="b">
        <f>IF(Table1[Leaving Date]&gt;42735,8000,IF(Table1[Leaving Date]&gt;42643,7000,IF(Table1[Leaving Date]&gt;42551,6000,IF(Table1[Leaving Date]&gt;42460,5000,IF(Table1[Leaving Date]&gt;42369,4000,IF(Table1[Leaving Date]&gt;42277,3000,IF(Table1[Leaving Date]&gt;42185,2000,IF(Table1[Leaving Date]&gt;42094,1000))))))))</f>
        <v>0</v>
      </c>
      <c r="EK68" s="44" t="e">
        <f>VLOOKUP(Table1[Reason for Leaving],Lists!$T$2:$U$15,2,FALSE)</f>
        <v>#N/A</v>
      </c>
      <c r="EL68" s="44" t="e">
        <f>SUM(Table1[Data Leavers Date]+Table1[Data Move On])</f>
        <v>#N/A</v>
      </c>
      <c r="EM68" s="44" t="b">
        <f>IF(Table1[Registered with GP2]="Yes",1,IF(Table1[Registered with GP2]="No",0,IF(Table1[Registered with GP]="Yes",1,IF(Table1[Registered with GP]="No",0))))</f>
        <v>0</v>
      </c>
      <c r="EN68" s="44">
        <f>SUM(Table1[Data Leavers Date]+Table1[Data GP End])</f>
        <v>0</v>
      </c>
      <c r="EO68" s="44" t="str">
        <f>IF(Table1[EET2]="NEET",1,IF(Table1[EET2]="Employment",2,IF(Table1[EET2]="Education",2,IF(Table1[EET2]="Training",2,IF(Table1[EET2]="Retired",3,IF(Table1[EET]="NEET",1,IF(Table1[EET]="Employment",2,IF(Table1[EET]="Education",2,IF(Table1[EET]="Training",2,IF(Table1[EET]="Retired",3,""))))))))))</f>
        <v/>
      </c>
      <c r="EP68" s="44" t="e">
        <f>+Table1[[#This Row],[Data Leavers Date]]+Table1[[#This Row],[Data EET End]]</f>
        <v>#VALUE!</v>
      </c>
      <c r="EQ68" s="44">
        <f>IF(Table1[Exit Form Received]="Yes",1,0)</f>
        <v>0</v>
      </c>
      <c r="ER68" s="44">
        <f>+Table1[[#This Row],[Data Leavers Date]]+Table1[[#This Row],[Data Exit Forms]]</f>
        <v>0</v>
      </c>
      <c r="ES68" s="44" t="str">
        <f>IF(Table1[Data Leavers Date]=1000,SUM(Table1[Leaving Date]-Table1[Start Date]),"")</f>
        <v/>
      </c>
      <c r="ET68" s="44" t="str">
        <f>IF(Table1[Data Leavers Date]=2000,SUM(Table1[Leaving Date]-Table1[Start Date]),"")</f>
        <v/>
      </c>
      <c r="EU68" s="44" t="str">
        <f>IF(Table1[Data Leavers Date]=3000,SUM(Table1[Leaving Date]-Table1[Start Date]),"")</f>
        <v/>
      </c>
      <c r="EV68" s="44" t="str">
        <f>IF(Table1[Data Leavers Date]=4000,SUM(Table1[Leaving Date]-Table1[Start Date]),"")</f>
        <v/>
      </c>
      <c r="EW68" s="44" t="str">
        <f>IF(Table1[Data Leavers Date]=5000,SUM(Table1[Leaving Date]-Table1[Start Date]),"")</f>
        <v/>
      </c>
      <c r="EX68" s="44" t="str">
        <f>IF(Table1[Data Leavers Date]=6000,SUM(Table1[Leaving Date]-Table1[Start Date]),"")</f>
        <v/>
      </c>
      <c r="EY68" s="44" t="str">
        <f>IF(Table1[Data Leavers Date]=7000,SUM(Table1[Leaving Date]-Table1[Start Date]),"")</f>
        <v/>
      </c>
      <c r="EZ68" s="44" t="str">
        <f>IF(Table1[Data Leavers Date]=8000,SUM(Table1[Leaving Date]-Table1[Start Date]),"")</f>
        <v/>
      </c>
      <c r="FA68" s="44" t="str">
        <f>IF(Table1[Date of Initial Assessment]="","",IF(AND(Table1[Start Date]&gt;42094,Table1[Start Date]&lt;42461),Table1[Motivation and Taking Responsibility],""))</f>
        <v/>
      </c>
      <c r="FB68" s="44" t="str">
        <f>IF(Table1[Date of Initial Assessment]="","",IF(AND(Table1[Start Date]&gt;42094,Table1[Start Date]&lt;42461),Table1[Self-Care and Living Skills],""))</f>
        <v/>
      </c>
      <c r="FC68" s="44" t="str">
        <f>IF(Table1[Date of Initial Assessment]="","",IF(AND(Table1[Start Date]&gt;42094,Table1[Start Date]&lt;42461),Table1[Managing Money and Personal Administration],""))</f>
        <v/>
      </c>
      <c r="FD68" s="44" t="str">
        <f>IF(Table1[Date of Initial Assessment]="","",IF(AND(Table1[Start Date]&gt;42094,Table1[Start Date]&lt;42461),Table1[Social Networks and Relationships],""))</f>
        <v/>
      </c>
      <c r="FE68" s="44" t="str">
        <f>IF(Table1[Date of Initial Assessment]="","",IF(AND(Table1[Start Date]&gt;42094,Table1[Start Date]&lt;42461),Table1[Drug and Alcohol Misuse],""))</f>
        <v/>
      </c>
      <c r="FF68" s="44" t="str">
        <f>IF(Table1[Date of Initial Assessment]="","",IF(AND(Table1[Start Date]&gt;42094,Table1[Start Date]&lt;42461),Table1[Physical Health],""))</f>
        <v/>
      </c>
      <c r="FG68" s="44" t="str">
        <f>IF(Table1[Date of Initial Assessment]="","",IF(AND(Table1[Start Date]&gt;42094,Table1[Start Date]&lt;42461),Table1[Emotional and Mental Health],""))</f>
        <v/>
      </c>
      <c r="FH68" s="44" t="str">
        <f>IF(Table1[Date of Initial Assessment]="","",IF(AND(Table1[Start Date]&gt;42094,Table1[Start Date]&lt;42461),Table1[Meaningful Use of Time],""))</f>
        <v/>
      </c>
      <c r="FI68" s="44" t="str">
        <f>IF(Table1[Date of Initial Assessment]="","",IF(AND(Table1[Start Date]&gt;42094,Table1[Start Date]&lt;42461),Table1[Managing Tenancy and Accommodation],""))</f>
        <v/>
      </c>
      <c r="FJ68" s="44" t="str">
        <f>IF(Table1[Date of Initial Assessment]="","",IF(AND(Table1[Start Date]&gt;42094,Table1[Start Date]&lt;42461),Table1[Offending],""))</f>
        <v/>
      </c>
      <c r="FK68" s="44" t="str">
        <f>IF(Table1[Leaving Date]="","",IF(Table1[Date of Initial Assessment]="","",IF(AND(Table1[Leaving Date]&gt;42094,Table1[Leaving Date]&lt;42461),IF(Table1[Date of Last Assessment]="",Table1[Motivation and Taking Responsibility],Table1[Motivation and Taking Responsibility2]),"")))</f>
        <v/>
      </c>
      <c r="FL68" s="44" t="str">
        <f>IF(Table1[Leaving Date]="","",IF(Table1[Date of Initial Assessment]="","",IF(AND(Table1[Leaving Date]&gt;42094,Table1[Leaving Date]&lt;42461),IF(Table1[Date of Last Assessment]="",Table1[Self-Care and Living Skills],Table1[Self-Care and Living Skills2]),"")))</f>
        <v/>
      </c>
      <c r="FM68" s="44" t="str">
        <f>IF(Table1[Leaving Date]="","",IF(Table1[Date of Initial Assessment]="","",IF(AND(Table1[Leaving Date]&gt;42094,Table1[Leaving Date]&lt;42461),IF(Table1[Date of Last Assessment]="",Table1[Managing Money and Personal Administration],Table1[Managing Money and Personal Administration2]),"")))</f>
        <v/>
      </c>
      <c r="FN68" s="44" t="str">
        <f>IF(Table1[Leaving Date]="","",IF(Table1[Date of Initial Assessment]="","",IF(AND(Table1[Leaving Date]&gt;42094,Table1[Leaving Date]&lt;42461),IF(Table1[Date of Last Assessment]="",Table1[Social Networks and Relationships],Table1[Social Networks and Relationships2]),"")))</f>
        <v/>
      </c>
      <c r="FO68" s="44" t="str">
        <f>IF(Table1[Leaving Date]="","",IF(Table1[Date of Initial Assessment]="","",IF(AND(Table1[Leaving Date]&gt;42094,Table1[Leaving Date]&lt;42461),IF(Table1[Date of Last Assessment]="",Table1[Drug and Alcohol Misuse],Table1[Drug and Alcohol Misuse2]),"")))</f>
        <v/>
      </c>
      <c r="FP68" s="44" t="str">
        <f>IF(Table1[Leaving Date]="","",IF(Table1[Date of Initial Assessment]="","",IF(AND(Table1[Leaving Date]&gt;42094,Table1[Leaving Date]&lt;42461),IF(Table1[Date of Last Assessment]="",Table1[Physical Health],Table1[Physical Health2]),"")))</f>
        <v/>
      </c>
      <c r="FQ68" s="44" t="str">
        <f>IF(Table1[Leaving Date]="","",IF(Table1[Date of Initial Assessment]="","",IF(AND(Table1[Leaving Date]&gt;42094,Table1[Leaving Date]&lt;42461),IF(Table1[Date of Last Assessment]="",Table1[Emotional and Mental Health],Table1[Emotional and Mental Health2]),"")))</f>
        <v/>
      </c>
      <c r="FR68" s="44" t="str">
        <f>IF(Table1[Leaving Date]="","",IF(Table1[Date of Initial Assessment]="","",IF(AND(Table1[Leaving Date]&gt;42094,Table1[Leaving Date]&lt;42461),IF(Table1[Date of Last Assessment]="",Table1[Meaningful Use of Time],Table1[Meaningful Use of Time2]),"")))</f>
        <v/>
      </c>
      <c r="FS68" s="44" t="str">
        <f>IF(Table1[Leaving Date]="","",IF(Table1[Date of Initial Assessment]="","",IF(AND(Table1[Leaving Date]&gt;42094,Table1[Leaving Date]&lt;42461),IF(Table1[Date of Last Assessment]="",Table1[Managing Tenancy and Accommodation],Table1[Managing Tenancy and Accommodation2]),"")))</f>
        <v/>
      </c>
      <c r="FT68" s="44" t="str">
        <f>IF(Table1[Leaving Date]="","",IF(Table1[Date of Initial Assessment]="","",IF(AND(Table1[Leaving Date]&gt;42094,Table1[Leaving Date]&lt;42461),IF(Table1[Date of Last Assessment]="",Table1[Offending],Table1[Offending2]),"")))</f>
        <v/>
      </c>
      <c r="FU68" s="44" t="str">
        <f>IF(Table1[Date of Initial Assessment]="","",IF(AND(Table1[Start Date]&gt;42460,Table1[Start Date]&lt;42826),Table1[Motivation and Taking Responsibility],""))</f>
        <v/>
      </c>
      <c r="FV68" s="44" t="str">
        <f>IF(Table1[Date of Initial Assessment]="","",IF(AND(Table1[Start Date]&gt;42460,Table1[Start Date]&lt;42826),Table1[Self-Care and Living Skills],""))</f>
        <v/>
      </c>
      <c r="FW68" s="44" t="str">
        <f>IF(Table1[Date of Initial Assessment]="","",IF(AND(Table1[Start Date]&gt;42460,Table1[Start Date]&lt;42826),Table1[Managing Money and Personal Administration],""))</f>
        <v/>
      </c>
      <c r="FX68" s="44" t="str">
        <f>IF(Table1[Date of Initial Assessment]="","",IF(AND(Table1[Start Date]&gt;42460,Table1[Start Date]&lt;42826),Table1[Social Networks and Relationships],""))</f>
        <v/>
      </c>
      <c r="FY68" s="44" t="str">
        <f>IF(Table1[Date of Initial Assessment]="","",IF(AND(Table1[Start Date]&gt;42460,Table1[Start Date]&lt;42826),Table1[Drug and Alcohol Misuse],""))</f>
        <v/>
      </c>
      <c r="FZ68" s="44" t="str">
        <f>IF(Table1[Date of Initial Assessment]="","",IF(AND(Table1[Start Date]&gt;42460,Table1[Start Date]&lt;42826),Table1[Physical Health],""))</f>
        <v/>
      </c>
      <c r="GA68" s="44" t="str">
        <f>IF(Table1[Date of Initial Assessment]="","",IF(AND(Table1[Start Date]&gt;42460,Table1[Start Date]&lt;42826),Table1[Emotional and Mental Health],""))</f>
        <v/>
      </c>
      <c r="GB68" s="44" t="str">
        <f>IF(Table1[Date of Initial Assessment]="","",IF(AND(Table1[Start Date]&gt;42460,Table1[Start Date]&lt;42826),Table1[Meaningful Use of Time],""))</f>
        <v/>
      </c>
      <c r="GC68" s="44" t="str">
        <f>IF(Table1[Date of Initial Assessment]="","",IF(AND(Table1[Start Date]&gt;42460,Table1[Start Date]&lt;42826),Table1[Managing Tenancy and Accommodation],""))</f>
        <v/>
      </c>
      <c r="GD68" s="44" t="str">
        <f>IF(Table1[Date of Initial Assessment]="","",IF(AND(Table1[Start Date]&gt;42460,Table1[Start Date]&lt;42826),Table1[Offending],""))</f>
        <v/>
      </c>
      <c r="GE68" s="44" t="str">
        <f>IF(Table1[Leaving Date]="","",IF(AND(Table1[Leaving Date]&gt;42460,Table1[Leaving Date]&lt;42826),IF(Table1[Date of Last Assessment]="",Table1[Motivation and Taking Responsibility],Table1[Motivation and Taking Responsibility2]),""))</f>
        <v/>
      </c>
      <c r="GF68" s="44" t="str">
        <f>IF(Table1[Leaving Date]="","",IF(AND(Table1[Leaving Date]&gt;42460,Table1[Leaving Date]&lt;42826),IF(Table1[Date of Last Assessment]="",Table1[Self-Care and Living Skills],Table1[Self-Care and Living Skills2]),""))</f>
        <v/>
      </c>
      <c r="GG68" s="44" t="str">
        <f>IF(Table1[Leaving Date]="","",IF(AND(Table1[Leaving Date]&gt;42460,Table1[Leaving Date]&lt;42826),IF(Table1[Date of Last Assessment]="",Table1[Managing Money and Personal Administration],Table1[Managing Money and Personal Administration2]),""))</f>
        <v/>
      </c>
      <c r="GH68" s="44" t="str">
        <f>IF(Table1[Leaving Date]="","",IF(AND(Table1[Leaving Date]&gt;42460,Table1[Leaving Date]&lt;42826),IF(Table1[Date of Last Assessment]="",Table1[Social Networks and Relationships],Table1[Social Networks and Relationships2]),""))</f>
        <v/>
      </c>
      <c r="GI68" s="44" t="str">
        <f>IF(Table1[Leaving Date]="","",IF(AND(Table1[Leaving Date]&gt;42460,Table1[Leaving Date]&lt;42826),IF(Table1[Date of Last Assessment]="",Table1[Drug and Alcohol Misuse],Table1[Drug and Alcohol Misuse2]),""))</f>
        <v/>
      </c>
      <c r="GJ68" s="44" t="str">
        <f>IF(Table1[Leaving Date]="","",IF(AND(Table1[Leaving Date]&gt;42460,Table1[Leaving Date]&lt;42826),IF(Table1[Date of Last Assessment]="",Table1[Physical Health],Table1[Physical Health2]),""))</f>
        <v/>
      </c>
      <c r="GK68" s="44" t="str">
        <f>IF(Table1[Leaving Date]="","",IF(AND(Table1[Leaving Date]&gt;42460,Table1[Leaving Date]&lt;42826),IF(Table1[Date of Last Assessment]="",Table1[Emotional and Mental Health],Table1[Emotional and Mental Health2]),""))</f>
        <v/>
      </c>
      <c r="GL68" s="44" t="str">
        <f>IF(Table1[Leaving Date]="","",IF(AND(Table1[Leaving Date]&gt;42460,Table1[Leaving Date]&lt;42826),IF(Table1[Date of Last Assessment]="",Table1[Meaningful Use of Time],Table1[Meaningful Use of Time2]),""))</f>
        <v/>
      </c>
      <c r="GM68" s="44" t="str">
        <f>IF(Table1[Leaving Date]="","",IF(AND(Table1[Leaving Date]&gt;42460,Table1[Leaving Date]&lt;42826),IF(Table1[Date of Last Assessment]="",Table1[Managing Tenancy and Accommodation],Table1[Managing Tenancy and Accommodation2]),""))</f>
        <v/>
      </c>
      <c r="GN68" s="44" t="str">
        <f>IF(Table1[Leaving Date]="","",IF(AND(Table1[Leaving Date]&gt;42460,Table1[Leaving Date]&lt;42826),IF(Table1[Date of Last Assessment]="",Table1[Offending],Table1[Offending2]),""))</f>
        <v/>
      </c>
    </row>
    <row r="69" spans="2:196" ht="20.100000000000001" customHeight="1" x14ac:dyDescent="0.2">
      <c r="B69" s="86">
        <f>+'Service Data'!$C$5:$C$5</f>
        <v>0</v>
      </c>
      <c r="C69" s="86"/>
      <c r="D69" s="86"/>
      <c r="E69" s="86"/>
      <c r="F69" s="86"/>
      <c r="G69" s="86"/>
      <c r="H69" s="6"/>
      <c r="I69" s="99" t="str">
        <f ca="1">IF(Table1[[#This Row],[Date of Birth]]="","",SUM(TODAY()-Table1[[#This Row],[Date of Birth]])/365)</f>
        <v/>
      </c>
      <c r="L69" s="86"/>
      <c r="M69" s="77"/>
      <c r="N69" s="86"/>
      <c r="O69" s="86"/>
      <c r="P69" s="91"/>
      <c r="Q69" s="86"/>
      <c r="R69" s="77"/>
      <c r="S69" s="77"/>
      <c r="T69" s="68"/>
      <c r="U69" s="68"/>
      <c r="V69" s="67"/>
      <c r="W69" s="67"/>
      <c r="X69" s="67"/>
      <c r="Y69" s="67"/>
      <c r="Z69" s="67"/>
      <c r="AA69" s="67"/>
      <c r="AB69" s="67"/>
      <c r="AC69" s="67"/>
      <c r="AD69" s="67"/>
      <c r="AE69" s="67"/>
      <c r="AF69" s="67"/>
      <c r="AG69" s="67"/>
      <c r="AH69" s="67"/>
      <c r="AI69" s="67"/>
      <c r="AJ69" s="67"/>
      <c r="AK69" s="67"/>
      <c r="AL69" s="67"/>
      <c r="AM69" s="67"/>
      <c r="AN69" s="77"/>
      <c r="AO69" s="76"/>
      <c r="AP69" s="77"/>
      <c r="AQ69" s="76"/>
      <c r="AR69" s="76"/>
      <c r="AS69" s="76"/>
      <c r="AT69" s="76"/>
      <c r="AU69" s="76"/>
      <c r="AV69" s="77"/>
      <c r="AW69" s="76"/>
      <c r="AX69" s="77"/>
      <c r="AY69" s="76"/>
      <c r="AZ69" s="76"/>
      <c r="BA69" s="76"/>
      <c r="BB69" s="76"/>
      <c r="BC69" s="76"/>
      <c r="BD69" s="77"/>
      <c r="BE69" s="76"/>
      <c r="BF69" s="77"/>
      <c r="BG69" s="76"/>
      <c r="BH69" s="76"/>
      <c r="BI69" s="76"/>
      <c r="BJ69" s="76"/>
      <c r="BK69" s="76"/>
      <c r="BL69" s="77"/>
      <c r="BM69" s="76"/>
      <c r="BN69" s="77"/>
      <c r="BO69" s="76"/>
      <c r="BP69" s="76"/>
      <c r="BQ69" s="76"/>
      <c r="BR69" s="76"/>
      <c r="BS69" s="76"/>
      <c r="BT69" s="77"/>
      <c r="BU69" s="76"/>
      <c r="BV69" s="77"/>
      <c r="BW69" s="76"/>
      <c r="BX69" s="76"/>
      <c r="BY69" s="76"/>
      <c r="BZ69" s="76"/>
      <c r="CA69" s="76"/>
      <c r="CB69" s="77"/>
      <c r="CC69" s="76"/>
      <c r="CD69" s="77"/>
      <c r="CE69" s="76"/>
      <c r="CF69" s="76"/>
      <c r="CG69" s="76"/>
      <c r="CH69" s="76"/>
      <c r="CI69" s="76"/>
      <c r="CJ69" s="77"/>
      <c r="CK69" s="76"/>
      <c r="CL69" s="77"/>
      <c r="CM69" s="76"/>
      <c r="CN69" s="76"/>
      <c r="CO69" s="76"/>
      <c r="CP69" s="76"/>
      <c r="CQ69" s="76"/>
      <c r="CR69" s="78" t="str">
        <f t="shared" si="31"/>
        <v/>
      </c>
      <c r="CS69" s="79" t="str">
        <f t="shared" si="32"/>
        <v/>
      </c>
      <c r="CT69" s="79" t="str">
        <f t="shared" si="33"/>
        <v/>
      </c>
      <c r="CU69" s="79" t="str">
        <f t="shared" si="34"/>
        <v/>
      </c>
      <c r="CV69" s="79" t="str">
        <f t="shared" si="35"/>
        <v/>
      </c>
      <c r="CW69" s="79" t="str">
        <f t="shared" si="36"/>
        <v/>
      </c>
      <c r="CX69" s="79" t="str">
        <f t="shared" si="37"/>
        <v/>
      </c>
      <c r="CY69" s="79" t="str">
        <f t="shared" si="38"/>
        <v/>
      </c>
      <c r="CZ69" s="79" t="str">
        <f t="shared" si="39"/>
        <v/>
      </c>
      <c r="DA69" s="79" t="str">
        <f t="shared" si="40"/>
        <v/>
      </c>
      <c r="DB69" s="79" t="str">
        <f t="shared" si="41"/>
        <v/>
      </c>
      <c r="DC69" s="79" t="str">
        <f t="shared" si="42"/>
        <v/>
      </c>
      <c r="DD69" s="79" t="str">
        <f t="shared" si="43"/>
        <v/>
      </c>
      <c r="DE69" s="79" t="str">
        <f t="shared" si="44"/>
        <v/>
      </c>
      <c r="DF69" s="79" t="str">
        <f t="shared" si="45"/>
        <v/>
      </c>
      <c r="DG69" s="79" t="str">
        <f t="shared" si="46"/>
        <v/>
      </c>
      <c r="DH69" s="76"/>
      <c r="DI69" s="78"/>
      <c r="DJ69" s="76"/>
      <c r="DK69" s="77"/>
      <c r="DL69" s="77"/>
      <c r="DM69" s="77"/>
      <c r="DN69" s="80"/>
      <c r="DO69" s="80"/>
      <c r="DP69" s="92" t="str">
        <f>IF(Table1[Start Date]="","",IF(Table1[Start Date]&gt;42185,"",IF(AND(Table1[Leaving Date]&gt;1,Table1[Leaving Date]&lt;42095),"",1)))</f>
        <v/>
      </c>
      <c r="DQ69" s="92" t="str">
        <f>IF(Table1[Start Date]="","",IF(Table1[Start Date]&gt;42277,"",IF(AND(Table1[Leaving Date]&gt;1,Table1[Leaving Date]&lt;42186),"",1)))</f>
        <v/>
      </c>
      <c r="DR69" s="92" t="str">
        <f>IF(Table1[Start Date]="","",IF(Table1[Start Date]&gt;42369,"",IF(AND(Table1[Leaving Date]&gt;1,Table1[Leaving Date]&lt;42278),"",1)))</f>
        <v/>
      </c>
      <c r="DS69" s="92" t="str">
        <f>IF(Table1[Start Date]="","",IF(Table1[Start Date]&gt;42460,"",IF(AND(Table1[Leaving Date]&gt;1,Table1[Leaving Date]&lt;42370),"",1)))</f>
        <v/>
      </c>
      <c r="DT69" s="92" t="str">
        <f>IF(Table1[Start Date]="","",IF(Table1[Start Date]&gt;42551,"",IF(AND(Table1[Leaving Date]&gt;1,Table1[Leaving Date]&lt;42461),"",1)))</f>
        <v/>
      </c>
      <c r="DU69" s="92" t="str">
        <f>IF(Table1[Start Date]="","",IF(Table1[Start Date]&gt;42643,"",IF(AND(Table1[Leaving Date]&gt;1,Table1[Leaving Date]&lt;42552),"",1)))</f>
        <v/>
      </c>
      <c r="DV69" s="92" t="str">
        <f>IF(Table1[Start Date]="","",IF(Table1[Start Date]&gt;42735,"",IF(AND(Table1[Leaving Date]&gt;1,Table1[Leaving Date]&lt;42644),"",1)))</f>
        <v/>
      </c>
      <c r="DW69" s="92" t="str">
        <f>IF(Table1[Start Date]="","",IF(Table1[Start Date]&gt;42825,"",IF(AND(Table1[Leaving Date]&gt;1,Table1[Leaving Date]&lt;42736),"",1)))</f>
        <v/>
      </c>
      <c r="DX69"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69" s="44" t="e">
        <f>VLOOKUP(Table1[Referral Source],Lists!$G$2:$H$20,2,FALSE)</f>
        <v>#N/A</v>
      </c>
      <c r="DZ69" s="93" t="e">
        <f>SUM(Table1[Data Referral Quarter]+Table1[Data Referral Source])</f>
        <v>#N/A</v>
      </c>
      <c r="EA69" s="44" t="b">
        <f>IF(Table1[Referral Decision]="Accepted",100,IF(Table1[Referral Decision]="Rejected by Provider",200,IF(Table1[Referral Decision]="Rejected by Applicant",300)))</f>
        <v>0</v>
      </c>
      <c r="EB69" s="44">
        <f>SUM(Table1[Data Referral Quarter]+Table1[Data Referral Decision])</f>
        <v>0</v>
      </c>
      <c r="EC69" s="44" t="b">
        <f>IF(Table1[Start Date]&gt;42735,8000,IF(Table1[Start Date]&gt;42643,7000,IF(Table1[Start Date]&gt;42551,6000,IF(Table1[Start Date]&gt;42460,5000,IF(Table1[Start Date]&gt;42369,4000,IF(Table1[Start Date]&gt;42277,3000,IF(Table1[Start Date]&gt;42185,2000,IF(Table1[Start Date]&gt;42094,1000))))))))</f>
        <v>0</v>
      </c>
      <c r="ED69" s="44" t="str">
        <f>IF(Table1[Start Date]="","",IF(Table1[Current Local Authority]="Swindon",1,"2"))</f>
        <v/>
      </c>
      <c r="EE69" s="44" t="e">
        <f>SUM(Table1[Data Start Date]+Table1[Data Local Authority])</f>
        <v>#VALUE!</v>
      </c>
      <c r="EF69" s="44">
        <f>IF(Table1[Registered with GP]="Yes",1,0)</f>
        <v>0</v>
      </c>
      <c r="EG69" s="44">
        <f>SUM(Table1[Data Start Date]+Table1[Data GP Start])</f>
        <v>0</v>
      </c>
      <c r="EH69" s="44" t="str">
        <f>IF(Table1[EET]="NEET",1,IF(Table1[EET]="Education",2,IF(Table1[EET]="Employment",2,IF(Table1[EET]="Training",2,IF(Table1[EET]="Retired",3,"")))))</f>
        <v/>
      </c>
      <c r="EI69" s="44" t="e">
        <f>Table1[Data Start Date]+Table1[Data EET Start]</f>
        <v>#VALUE!</v>
      </c>
      <c r="EJ69" s="44" t="b">
        <f>IF(Table1[Leaving Date]&gt;42735,8000,IF(Table1[Leaving Date]&gt;42643,7000,IF(Table1[Leaving Date]&gt;42551,6000,IF(Table1[Leaving Date]&gt;42460,5000,IF(Table1[Leaving Date]&gt;42369,4000,IF(Table1[Leaving Date]&gt;42277,3000,IF(Table1[Leaving Date]&gt;42185,2000,IF(Table1[Leaving Date]&gt;42094,1000))))))))</f>
        <v>0</v>
      </c>
      <c r="EK69" s="44" t="e">
        <f>VLOOKUP(Table1[Reason for Leaving],Lists!$T$2:$U$15,2,FALSE)</f>
        <v>#N/A</v>
      </c>
      <c r="EL69" s="44" t="e">
        <f>SUM(Table1[Data Leavers Date]+Table1[Data Move On])</f>
        <v>#N/A</v>
      </c>
      <c r="EM69" s="44" t="b">
        <f>IF(Table1[Registered with GP2]="Yes",1,IF(Table1[Registered with GP2]="No",0,IF(Table1[Registered with GP]="Yes",1,IF(Table1[Registered with GP]="No",0))))</f>
        <v>0</v>
      </c>
      <c r="EN69" s="44">
        <f>SUM(Table1[Data Leavers Date]+Table1[Data GP End])</f>
        <v>0</v>
      </c>
      <c r="EO69" s="44" t="str">
        <f>IF(Table1[EET2]="NEET",1,IF(Table1[EET2]="Employment",2,IF(Table1[EET2]="Education",2,IF(Table1[EET2]="Training",2,IF(Table1[EET2]="Retired",3,IF(Table1[EET]="NEET",1,IF(Table1[EET]="Employment",2,IF(Table1[EET]="Education",2,IF(Table1[EET]="Training",2,IF(Table1[EET]="Retired",3,""))))))))))</f>
        <v/>
      </c>
      <c r="EP69" s="44" t="e">
        <f>+Table1[[#This Row],[Data Leavers Date]]+Table1[[#This Row],[Data EET End]]</f>
        <v>#VALUE!</v>
      </c>
      <c r="EQ69" s="44">
        <f>IF(Table1[Exit Form Received]="Yes",1,0)</f>
        <v>0</v>
      </c>
      <c r="ER69" s="44">
        <f>+Table1[[#This Row],[Data Leavers Date]]+Table1[[#This Row],[Data Exit Forms]]</f>
        <v>0</v>
      </c>
      <c r="ES69" s="44" t="str">
        <f>IF(Table1[Data Leavers Date]=1000,SUM(Table1[Leaving Date]-Table1[Start Date]),"")</f>
        <v/>
      </c>
      <c r="ET69" s="44" t="str">
        <f>IF(Table1[Data Leavers Date]=2000,SUM(Table1[Leaving Date]-Table1[Start Date]),"")</f>
        <v/>
      </c>
      <c r="EU69" s="44" t="str">
        <f>IF(Table1[Data Leavers Date]=3000,SUM(Table1[Leaving Date]-Table1[Start Date]),"")</f>
        <v/>
      </c>
      <c r="EV69" s="44" t="str">
        <f>IF(Table1[Data Leavers Date]=4000,SUM(Table1[Leaving Date]-Table1[Start Date]),"")</f>
        <v/>
      </c>
      <c r="EW69" s="44" t="str">
        <f>IF(Table1[Data Leavers Date]=5000,SUM(Table1[Leaving Date]-Table1[Start Date]),"")</f>
        <v/>
      </c>
      <c r="EX69" s="44" t="str">
        <f>IF(Table1[Data Leavers Date]=6000,SUM(Table1[Leaving Date]-Table1[Start Date]),"")</f>
        <v/>
      </c>
      <c r="EY69" s="44" t="str">
        <f>IF(Table1[Data Leavers Date]=7000,SUM(Table1[Leaving Date]-Table1[Start Date]),"")</f>
        <v/>
      </c>
      <c r="EZ69" s="44" t="str">
        <f>IF(Table1[Data Leavers Date]=8000,SUM(Table1[Leaving Date]-Table1[Start Date]),"")</f>
        <v/>
      </c>
      <c r="FA69" s="44" t="str">
        <f>IF(Table1[Date of Initial Assessment]="","",IF(AND(Table1[Start Date]&gt;42094,Table1[Start Date]&lt;42461),Table1[Motivation and Taking Responsibility],""))</f>
        <v/>
      </c>
      <c r="FB69" s="44" t="str">
        <f>IF(Table1[Date of Initial Assessment]="","",IF(AND(Table1[Start Date]&gt;42094,Table1[Start Date]&lt;42461),Table1[Self-Care and Living Skills],""))</f>
        <v/>
      </c>
      <c r="FC69" s="44" t="str">
        <f>IF(Table1[Date of Initial Assessment]="","",IF(AND(Table1[Start Date]&gt;42094,Table1[Start Date]&lt;42461),Table1[Managing Money and Personal Administration],""))</f>
        <v/>
      </c>
      <c r="FD69" s="44" t="str">
        <f>IF(Table1[Date of Initial Assessment]="","",IF(AND(Table1[Start Date]&gt;42094,Table1[Start Date]&lt;42461),Table1[Social Networks and Relationships],""))</f>
        <v/>
      </c>
      <c r="FE69" s="44" t="str">
        <f>IF(Table1[Date of Initial Assessment]="","",IF(AND(Table1[Start Date]&gt;42094,Table1[Start Date]&lt;42461),Table1[Drug and Alcohol Misuse],""))</f>
        <v/>
      </c>
      <c r="FF69" s="44" t="str">
        <f>IF(Table1[Date of Initial Assessment]="","",IF(AND(Table1[Start Date]&gt;42094,Table1[Start Date]&lt;42461),Table1[Physical Health],""))</f>
        <v/>
      </c>
      <c r="FG69" s="44" t="str">
        <f>IF(Table1[Date of Initial Assessment]="","",IF(AND(Table1[Start Date]&gt;42094,Table1[Start Date]&lt;42461),Table1[Emotional and Mental Health],""))</f>
        <v/>
      </c>
      <c r="FH69" s="44" t="str">
        <f>IF(Table1[Date of Initial Assessment]="","",IF(AND(Table1[Start Date]&gt;42094,Table1[Start Date]&lt;42461),Table1[Meaningful Use of Time],""))</f>
        <v/>
      </c>
      <c r="FI69" s="44" t="str">
        <f>IF(Table1[Date of Initial Assessment]="","",IF(AND(Table1[Start Date]&gt;42094,Table1[Start Date]&lt;42461),Table1[Managing Tenancy and Accommodation],""))</f>
        <v/>
      </c>
      <c r="FJ69" s="44" t="str">
        <f>IF(Table1[Date of Initial Assessment]="","",IF(AND(Table1[Start Date]&gt;42094,Table1[Start Date]&lt;42461),Table1[Offending],""))</f>
        <v/>
      </c>
      <c r="FK69" s="44" t="str">
        <f>IF(Table1[Leaving Date]="","",IF(Table1[Date of Initial Assessment]="","",IF(AND(Table1[Leaving Date]&gt;42094,Table1[Leaving Date]&lt;42461),IF(Table1[Date of Last Assessment]="",Table1[Motivation and Taking Responsibility],Table1[Motivation and Taking Responsibility2]),"")))</f>
        <v/>
      </c>
      <c r="FL69" s="44" t="str">
        <f>IF(Table1[Leaving Date]="","",IF(Table1[Date of Initial Assessment]="","",IF(AND(Table1[Leaving Date]&gt;42094,Table1[Leaving Date]&lt;42461),IF(Table1[Date of Last Assessment]="",Table1[Self-Care and Living Skills],Table1[Self-Care and Living Skills2]),"")))</f>
        <v/>
      </c>
      <c r="FM69" s="44" t="str">
        <f>IF(Table1[Leaving Date]="","",IF(Table1[Date of Initial Assessment]="","",IF(AND(Table1[Leaving Date]&gt;42094,Table1[Leaving Date]&lt;42461),IF(Table1[Date of Last Assessment]="",Table1[Managing Money and Personal Administration],Table1[Managing Money and Personal Administration2]),"")))</f>
        <v/>
      </c>
      <c r="FN69" s="44" t="str">
        <f>IF(Table1[Leaving Date]="","",IF(Table1[Date of Initial Assessment]="","",IF(AND(Table1[Leaving Date]&gt;42094,Table1[Leaving Date]&lt;42461),IF(Table1[Date of Last Assessment]="",Table1[Social Networks and Relationships],Table1[Social Networks and Relationships2]),"")))</f>
        <v/>
      </c>
      <c r="FO69" s="44" t="str">
        <f>IF(Table1[Leaving Date]="","",IF(Table1[Date of Initial Assessment]="","",IF(AND(Table1[Leaving Date]&gt;42094,Table1[Leaving Date]&lt;42461),IF(Table1[Date of Last Assessment]="",Table1[Drug and Alcohol Misuse],Table1[Drug and Alcohol Misuse2]),"")))</f>
        <v/>
      </c>
      <c r="FP69" s="44" t="str">
        <f>IF(Table1[Leaving Date]="","",IF(Table1[Date of Initial Assessment]="","",IF(AND(Table1[Leaving Date]&gt;42094,Table1[Leaving Date]&lt;42461),IF(Table1[Date of Last Assessment]="",Table1[Physical Health],Table1[Physical Health2]),"")))</f>
        <v/>
      </c>
      <c r="FQ69" s="44" t="str">
        <f>IF(Table1[Leaving Date]="","",IF(Table1[Date of Initial Assessment]="","",IF(AND(Table1[Leaving Date]&gt;42094,Table1[Leaving Date]&lt;42461),IF(Table1[Date of Last Assessment]="",Table1[Emotional and Mental Health],Table1[Emotional and Mental Health2]),"")))</f>
        <v/>
      </c>
      <c r="FR69" s="44" t="str">
        <f>IF(Table1[Leaving Date]="","",IF(Table1[Date of Initial Assessment]="","",IF(AND(Table1[Leaving Date]&gt;42094,Table1[Leaving Date]&lt;42461),IF(Table1[Date of Last Assessment]="",Table1[Meaningful Use of Time],Table1[Meaningful Use of Time2]),"")))</f>
        <v/>
      </c>
      <c r="FS69" s="44" t="str">
        <f>IF(Table1[Leaving Date]="","",IF(Table1[Date of Initial Assessment]="","",IF(AND(Table1[Leaving Date]&gt;42094,Table1[Leaving Date]&lt;42461),IF(Table1[Date of Last Assessment]="",Table1[Managing Tenancy and Accommodation],Table1[Managing Tenancy and Accommodation2]),"")))</f>
        <v/>
      </c>
      <c r="FT69" s="44" t="str">
        <f>IF(Table1[Leaving Date]="","",IF(Table1[Date of Initial Assessment]="","",IF(AND(Table1[Leaving Date]&gt;42094,Table1[Leaving Date]&lt;42461),IF(Table1[Date of Last Assessment]="",Table1[Offending],Table1[Offending2]),"")))</f>
        <v/>
      </c>
      <c r="FU69" s="44" t="str">
        <f>IF(Table1[Date of Initial Assessment]="","",IF(AND(Table1[Start Date]&gt;42460,Table1[Start Date]&lt;42826),Table1[Motivation and Taking Responsibility],""))</f>
        <v/>
      </c>
      <c r="FV69" s="44" t="str">
        <f>IF(Table1[Date of Initial Assessment]="","",IF(AND(Table1[Start Date]&gt;42460,Table1[Start Date]&lt;42826),Table1[Self-Care and Living Skills],""))</f>
        <v/>
      </c>
      <c r="FW69" s="44" t="str">
        <f>IF(Table1[Date of Initial Assessment]="","",IF(AND(Table1[Start Date]&gt;42460,Table1[Start Date]&lt;42826),Table1[Managing Money and Personal Administration],""))</f>
        <v/>
      </c>
      <c r="FX69" s="44" t="str">
        <f>IF(Table1[Date of Initial Assessment]="","",IF(AND(Table1[Start Date]&gt;42460,Table1[Start Date]&lt;42826),Table1[Social Networks and Relationships],""))</f>
        <v/>
      </c>
      <c r="FY69" s="44" t="str">
        <f>IF(Table1[Date of Initial Assessment]="","",IF(AND(Table1[Start Date]&gt;42460,Table1[Start Date]&lt;42826),Table1[Drug and Alcohol Misuse],""))</f>
        <v/>
      </c>
      <c r="FZ69" s="44" t="str">
        <f>IF(Table1[Date of Initial Assessment]="","",IF(AND(Table1[Start Date]&gt;42460,Table1[Start Date]&lt;42826),Table1[Physical Health],""))</f>
        <v/>
      </c>
      <c r="GA69" s="44" t="str">
        <f>IF(Table1[Date of Initial Assessment]="","",IF(AND(Table1[Start Date]&gt;42460,Table1[Start Date]&lt;42826),Table1[Emotional and Mental Health],""))</f>
        <v/>
      </c>
      <c r="GB69" s="44" t="str">
        <f>IF(Table1[Date of Initial Assessment]="","",IF(AND(Table1[Start Date]&gt;42460,Table1[Start Date]&lt;42826),Table1[Meaningful Use of Time],""))</f>
        <v/>
      </c>
      <c r="GC69" s="44" t="str">
        <f>IF(Table1[Date of Initial Assessment]="","",IF(AND(Table1[Start Date]&gt;42460,Table1[Start Date]&lt;42826),Table1[Managing Tenancy and Accommodation],""))</f>
        <v/>
      </c>
      <c r="GD69" s="44" t="str">
        <f>IF(Table1[Date of Initial Assessment]="","",IF(AND(Table1[Start Date]&gt;42460,Table1[Start Date]&lt;42826),Table1[Offending],""))</f>
        <v/>
      </c>
      <c r="GE69" s="44" t="str">
        <f>IF(Table1[Leaving Date]="","",IF(AND(Table1[Leaving Date]&gt;42460,Table1[Leaving Date]&lt;42826),IF(Table1[Date of Last Assessment]="",Table1[Motivation and Taking Responsibility],Table1[Motivation and Taking Responsibility2]),""))</f>
        <v/>
      </c>
      <c r="GF69" s="44" t="str">
        <f>IF(Table1[Leaving Date]="","",IF(AND(Table1[Leaving Date]&gt;42460,Table1[Leaving Date]&lt;42826),IF(Table1[Date of Last Assessment]="",Table1[Self-Care and Living Skills],Table1[Self-Care and Living Skills2]),""))</f>
        <v/>
      </c>
      <c r="GG69" s="44" t="str">
        <f>IF(Table1[Leaving Date]="","",IF(AND(Table1[Leaving Date]&gt;42460,Table1[Leaving Date]&lt;42826),IF(Table1[Date of Last Assessment]="",Table1[Managing Money and Personal Administration],Table1[Managing Money and Personal Administration2]),""))</f>
        <v/>
      </c>
      <c r="GH69" s="44" t="str">
        <f>IF(Table1[Leaving Date]="","",IF(AND(Table1[Leaving Date]&gt;42460,Table1[Leaving Date]&lt;42826),IF(Table1[Date of Last Assessment]="",Table1[Social Networks and Relationships],Table1[Social Networks and Relationships2]),""))</f>
        <v/>
      </c>
      <c r="GI69" s="44" t="str">
        <f>IF(Table1[Leaving Date]="","",IF(AND(Table1[Leaving Date]&gt;42460,Table1[Leaving Date]&lt;42826),IF(Table1[Date of Last Assessment]="",Table1[Drug and Alcohol Misuse],Table1[Drug and Alcohol Misuse2]),""))</f>
        <v/>
      </c>
      <c r="GJ69" s="44" t="str">
        <f>IF(Table1[Leaving Date]="","",IF(AND(Table1[Leaving Date]&gt;42460,Table1[Leaving Date]&lt;42826),IF(Table1[Date of Last Assessment]="",Table1[Physical Health],Table1[Physical Health2]),""))</f>
        <v/>
      </c>
      <c r="GK69" s="44" t="str">
        <f>IF(Table1[Leaving Date]="","",IF(AND(Table1[Leaving Date]&gt;42460,Table1[Leaving Date]&lt;42826),IF(Table1[Date of Last Assessment]="",Table1[Emotional and Mental Health],Table1[Emotional and Mental Health2]),""))</f>
        <v/>
      </c>
      <c r="GL69" s="44" t="str">
        <f>IF(Table1[Leaving Date]="","",IF(AND(Table1[Leaving Date]&gt;42460,Table1[Leaving Date]&lt;42826),IF(Table1[Date of Last Assessment]="",Table1[Meaningful Use of Time],Table1[Meaningful Use of Time2]),""))</f>
        <v/>
      </c>
      <c r="GM69" s="44" t="str">
        <f>IF(Table1[Leaving Date]="","",IF(AND(Table1[Leaving Date]&gt;42460,Table1[Leaving Date]&lt;42826),IF(Table1[Date of Last Assessment]="",Table1[Managing Tenancy and Accommodation],Table1[Managing Tenancy and Accommodation2]),""))</f>
        <v/>
      </c>
      <c r="GN69" s="44" t="str">
        <f>IF(Table1[Leaving Date]="","",IF(AND(Table1[Leaving Date]&gt;42460,Table1[Leaving Date]&lt;42826),IF(Table1[Date of Last Assessment]="",Table1[Offending],Table1[Offending2]),""))</f>
        <v/>
      </c>
    </row>
    <row r="70" spans="2:196" ht="20.100000000000001" customHeight="1" x14ac:dyDescent="0.2">
      <c r="B70" s="86">
        <f>+'Service Data'!$C$5:$C$5</f>
        <v>0</v>
      </c>
      <c r="C70" s="86"/>
      <c r="D70" s="86"/>
      <c r="E70" s="86"/>
      <c r="F70" s="86"/>
      <c r="G70" s="86"/>
      <c r="H70" s="6"/>
      <c r="I70" s="99" t="str">
        <f ca="1">IF(Table1[[#This Row],[Date of Birth]]="","",SUM(TODAY()-Table1[[#This Row],[Date of Birth]])/365)</f>
        <v/>
      </c>
      <c r="L70" s="86"/>
      <c r="M70" s="77"/>
      <c r="N70" s="86"/>
      <c r="O70" s="86"/>
      <c r="P70" s="91"/>
      <c r="Q70" s="86"/>
      <c r="R70" s="77"/>
      <c r="S70" s="77"/>
      <c r="T70" s="68"/>
      <c r="U70" s="68"/>
      <c r="V70" s="67"/>
      <c r="W70" s="67"/>
      <c r="X70" s="67"/>
      <c r="Y70" s="67"/>
      <c r="Z70" s="67"/>
      <c r="AA70" s="67"/>
      <c r="AB70" s="67"/>
      <c r="AC70" s="67"/>
      <c r="AD70" s="67"/>
      <c r="AE70" s="67"/>
      <c r="AF70" s="67"/>
      <c r="AG70" s="67"/>
      <c r="AH70" s="67"/>
      <c r="AI70" s="67"/>
      <c r="AJ70" s="67"/>
      <c r="AK70" s="67"/>
      <c r="AL70" s="67"/>
      <c r="AM70" s="67"/>
      <c r="AN70" s="77"/>
      <c r="AO70" s="76"/>
      <c r="AP70" s="77"/>
      <c r="AQ70" s="76"/>
      <c r="AR70" s="76"/>
      <c r="AS70" s="76"/>
      <c r="AT70" s="76"/>
      <c r="AU70" s="76"/>
      <c r="AV70" s="77"/>
      <c r="AW70" s="76"/>
      <c r="AX70" s="77"/>
      <c r="AY70" s="76"/>
      <c r="AZ70" s="76"/>
      <c r="BA70" s="76"/>
      <c r="BB70" s="76"/>
      <c r="BC70" s="76"/>
      <c r="BD70" s="77"/>
      <c r="BE70" s="76"/>
      <c r="BF70" s="77"/>
      <c r="BG70" s="76"/>
      <c r="BH70" s="76"/>
      <c r="BI70" s="76"/>
      <c r="BJ70" s="76"/>
      <c r="BK70" s="76"/>
      <c r="BL70" s="77"/>
      <c r="BM70" s="76"/>
      <c r="BN70" s="77"/>
      <c r="BO70" s="76"/>
      <c r="BP70" s="76"/>
      <c r="BQ70" s="76"/>
      <c r="BR70" s="76"/>
      <c r="BS70" s="76"/>
      <c r="BT70" s="77"/>
      <c r="BU70" s="76"/>
      <c r="BV70" s="77"/>
      <c r="BW70" s="76"/>
      <c r="BX70" s="76"/>
      <c r="BY70" s="76"/>
      <c r="BZ70" s="76"/>
      <c r="CA70" s="76"/>
      <c r="CB70" s="77"/>
      <c r="CC70" s="76"/>
      <c r="CD70" s="77"/>
      <c r="CE70" s="76"/>
      <c r="CF70" s="76"/>
      <c r="CG70" s="76"/>
      <c r="CH70" s="76"/>
      <c r="CI70" s="76"/>
      <c r="CJ70" s="77"/>
      <c r="CK70" s="76"/>
      <c r="CL70" s="77"/>
      <c r="CM70" s="76"/>
      <c r="CN70" s="76"/>
      <c r="CO70" s="76"/>
      <c r="CP70" s="76"/>
      <c r="CQ70" s="76"/>
      <c r="CR70" s="78" t="str">
        <f t="shared" si="31"/>
        <v/>
      </c>
      <c r="CS70" s="79" t="str">
        <f t="shared" si="32"/>
        <v/>
      </c>
      <c r="CT70" s="79" t="str">
        <f t="shared" si="33"/>
        <v/>
      </c>
      <c r="CU70" s="79" t="str">
        <f t="shared" si="34"/>
        <v/>
      </c>
      <c r="CV70" s="79" t="str">
        <f t="shared" si="35"/>
        <v/>
      </c>
      <c r="CW70" s="79" t="str">
        <f t="shared" si="36"/>
        <v/>
      </c>
      <c r="CX70" s="79" t="str">
        <f t="shared" si="37"/>
        <v/>
      </c>
      <c r="CY70" s="79" t="str">
        <f t="shared" si="38"/>
        <v/>
      </c>
      <c r="CZ70" s="79" t="str">
        <f t="shared" si="39"/>
        <v/>
      </c>
      <c r="DA70" s="79" t="str">
        <f t="shared" si="40"/>
        <v/>
      </c>
      <c r="DB70" s="79" t="str">
        <f t="shared" si="41"/>
        <v/>
      </c>
      <c r="DC70" s="79" t="str">
        <f t="shared" si="42"/>
        <v/>
      </c>
      <c r="DD70" s="79" t="str">
        <f t="shared" si="43"/>
        <v/>
      </c>
      <c r="DE70" s="79" t="str">
        <f t="shared" si="44"/>
        <v/>
      </c>
      <c r="DF70" s="79" t="str">
        <f t="shared" si="45"/>
        <v/>
      </c>
      <c r="DG70" s="79" t="str">
        <f t="shared" si="46"/>
        <v/>
      </c>
      <c r="DH70" s="76"/>
      <c r="DI70" s="78"/>
      <c r="DJ70" s="76"/>
      <c r="DK70" s="77"/>
      <c r="DL70" s="77"/>
      <c r="DM70" s="77"/>
      <c r="DN70" s="80"/>
      <c r="DO70" s="80"/>
      <c r="DP70" s="92" t="str">
        <f>IF(Table1[Start Date]="","",IF(Table1[Start Date]&gt;42185,"",IF(AND(Table1[Leaving Date]&gt;1,Table1[Leaving Date]&lt;42095),"",1)))</f>
        <v/>
      </c>
      <c r="DQ70" s="92" t="str">
        <f>IF(Table1[Start Date]="","",IF(Table1[Start Date]&gt;42277,"",IF(AND(Table1[Leaving Date]&gt;1,Table1[Leaving Date]&lt;42186),"",1)))</f>
        <v/>
      </c>
      <c r="DR70" s="92" t="str">
        <f>IF(Table1[Start Date]="","",IF(Table1[Start Date]&gt;42369,"",IF(AND(Table1[Leaving Date]&gt;1,Table1[Leaving Date]&lt;42278),"",1)))</f>
        <v/>
      </c>
      <c r="DS70" s="92" t="str">
        <f>IF(Table1[Start Date]="","",IF(Table1[Start Date]&gt;42460,"",IF(AND(Table1[Leaving Date]&gt;1,Table1[Leaving Date]&lt;42370),"",1)))</f>
        <v/>
      </c>
      <c r="DT70" s="92" t="str">
        <f>IF(Table1[Start Date]="","",IF(Table1[Start Date]&gt;42551,"",IF(AND(Table1[Leaving Date]&gt;1,Table1[Leaving Date]&lt;42461),"",1)))</f>
        <v/>
      </c>
      <c r="DU70" s="92" t="str">
        <f>IF(Table1[Start Date]="","",IF(Table1[Start Date]&gt;42643,"",IF(AND(Table1[Leaving Date]&gt;1,Table1[Leaving Date]&lt;42552),"",1)))</f>
        <v/>
      </c>
      <c r="DV70" s="92" t="str">
        <f>IF(Table1[Start Date]="","",IF(Table1[Start Date]&gt;42735,"",IF(AND(Table1[Leaving Date]&gt;1,Table1[Leaving Date]&lt;42644),"",1)))</f>
        <v/>
      </c>
      <c r="DW70" s="92" t="str">
        <f>IF(Table1[Start Date]="","",IF(Table1[Start Date]&gt;42825,"",IF(AND(Table1[Leaving Date]&gt;1,Table1[Leaving Date]&lt;42736),"",1)))</f>
        <v/>
      </c>
      <c r="DX70"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70" s="44" t="e">
        <f>VLOOKUP(Table1[Referral Source],Lists!$G$2:$H$20,2,FALSE)</f>
        <v>#N/A</v>
      </c>
      <c r="DZ70" s="93" t="e">
        <f>SUM(Table1[Data Referral Quarter]+Table1[Data Referral Source])</f>
        <v>#N/A</v>
      </c>
      <c r="EA70" s="44" t="b">
        <f>IF(Table1[Referral Decision]="Accepted",100,IF(Table1[Referral Decision]="Rejected by Provider",200,IF(Table1[Referral Decision]="Rejected by Applicant",300)))</f>
        <v>0</v>
      </c>
      <c r="EB70" s="44">
        <f>SUM(Table1[Data Referral Quarter]+Table1[Data Referral Decision])</f>
        <v>0</v>
      </c>
      <c r="EC70" s="44" t="b">
        <f>IF(Table1[Start Date]&gt;42735,8000,IF(Table1[Start Date]&gt;42643,7000,IF(Table1[Start Date]&gt;42551,6000,IF(Table1[Start Date]&gt;42460,5000,IF(Table1[Start Date]&gt;42369,4000,IF(Table1[Start Date]&gt;42277,3000,IF(Table1[Start Date]&gt;42185,2000,IF(Table1[Start Date]&gt;42094,1000))))))))</f>
        <v>0</v>
      </c>
      <c r="ED70" s="44" t="str">
        <f>IF(Table1[Start Date]="","",IF(Table1[Current Local Authority]="Swindon",1,"2"))</f>
        <v/>
      </c>
      <c r="EE70" s="44" t="e">
        <f>SUM(Table1[Data Start Date]+Table1[Data Local Authority])</f>
        <v>#VALUE!</v>
      </c>
      <c r="EF70" s="44">
        <f>IF(Table1[Registered with GP]="Yes",1,0)</f>
        <v>0</v>
      </c>
      <c r="EG70" s="44">
        <f>SUM(Table1[Data Start Date]+Table1[Data GP Start])</f>
        <v>0</v>
      </c>
      <c r="EH70" s="44" t="str">
        <f>IF(Table1[EET]="NEET",1,IF(Table1[EET]="Education",2,IF(Table1[EET]="Employment",2,IF(Table1[EET]="Training",2,IF(Table1[EET]="Retired",3,"")))))</f>
        <v/>
      </c>
      <c r="EI70" s="44" t="e">
        <f>Table1[Data Start Date]+Table1[Data EET Start]</f>
        <v>#VALUE!</v>
      </c>
      <c r="EJ70" s="44" t="b">
        <f>IF(Table1[Leaving Date]&gt;42735,8000,IF(Table1[Leaving Date]&gt;42643,7000,IF(Table1[Leaving Date]&gt;42551,6000,IF(Table1[Leaving Date]&gt;42460,5000,IF(Table1[Leaving Date]&gt;42369,4000,IF(Table1[Leaving Date]&gt;42277,3000,IF(Table1[Leaving Date]&gt;42185,2000,IF(Table1[Leaving Date]&gt;42094,1000))))))))</f>
        <v>0</v>
      </c>
      <c r="EK70" s="44" t="e">
        <f>VLOOKUP(Table1[Reason for Leaving],Lists!$T$2:$U$15,2,FALSE)</f>
        <v>#N/A</v>
      </c>
      <c r="EL70" s="44" t="e">
        <f>SUM(Table1[Data Leavers Date]+Table1[Data Move On])</f>
        <v>#N/A</v>
      </c>
      <c r="EM70" s="44" t="b">
        <f>IF(Table1[Registered with GP2]="Yes",1,IF(Table1[Registered with GP2]="No",0,IF(Table1[Registered with GP]="Yes",1,IF(Table1[Registered with GP]="No",0))))</f>
        <v>0</v>
      </c>
      <c r="EN70" s="44">
        <f>SUM(Table1[Data Leavers Date]+Table1[Data GP End])</f>
        <v>0</v>
      </c>
      <c r="EO70" s="44" t="str">
        <f>IF(Table1[EET2]="NEET",1,IF(Table1[EET2]="Employment",2,IF(Table1[EET2]="Education",2,IF(Table1[EET2]="Training",2,IF(Table1[EET2]="Retired",3,IF(Table1[EET]="NEET",1,IF(Table1[EET]="Employment",2,IF(Table1[EET]="Education",2,IF(Table1[EET]="Training",2,IF(Table1[EET]="Retired",3,""))))))))))</f>
        <v/>
      </c>
      <c r="EP70" s="44" t="e">
        <f>+Table1[[#This Row],[Data Leavers Date]]+Table1[[#This Row],[Data EET End]]</f>
        <v>#VALUE!</v>
      </c>
      <c r="EQ70" s="44">
        <f>IF(Table1[Exit Form Received]="Yes",1,0)</f>
        <v>0</v>
      </c>
      <c r="ER70" s="44">
        <f>+Table1[[#This Row],[Data Leavers Date]]+Table1[[#This Row],[Data Exit Forms]]</f>
        <v>0</v>
      </c>
      <c r="ES70" s="44" t="str">
        <f>IF(Table1[Data Leavers Date]=1000,SUM(Table1[Leaving Date]-Table1[Start Date]),"")</f>
        <v/>
      </c>
      <c r="ET70" s="44" t="str">
        <f>IF(Table1[Data Leavers Date]=2000,SUM(Table1[Leaving Date]-Table1[Start Date]),"")</f>
        <v/>
      </c>
      <c r="EU70" s="44" t="str">
        <f>IF(Table1[Data Leavers Date]=3000,SUM(Table1[Leaving Date]-Table1[Start Date]),"")</f>
        <v/>
      </c>
      <c r="EV70" s="44" t="str">
        <f>IF(Table1[Data Leavers Date]=4000,SUM(Table1[Leaving Date]-Table1[Start Date]),"")</f>
        <v/>
      </c>
      <c r="EW70" s="44" t="str">
        <f>IF(Table1[Data Leavers Date]=5000,SUM(Table1[Leaving Date]-Table1[Start Date]),"")</f>
        <v/>
      </c>
      <c r="EX70" s="44" t="str">
        <f>IF(Table1[Data Leavers Date]=6000,SUM(Table1[Leaving Date]-Table1[Start Date]),"")</f>
        <v/>
      </c>
      <c r="EY70" s="44" t="str">
        <f>IF(Table1[Data Leavers Date]=7000,SUM(Table1[Leaving Date]-Table1[Start Date]),"")</f>
        <v/>
      </c>
      <c r="EZ70" s="44" t="str">
        <f>IF(Table1[Data Leavers Date]=8000,SUM(Table1[Leaving Date]-Table1[Start Date]),"")</f>
        <v/>
      </c>
      <c r="FA70" s="44" t="str">
        <f>IF(Table1[Date of Initial Assessment]="","",IF(AND(Table1[Start Date]&gt;42094,Table1[Start Date]&lt;42461),Table1[Motivation and Taking Responsibility],""))</f>
        <v/>
      </c>
      <c r="FB70" s="44" t="str">
        <f>IF(Table1[Date of Initial Assessment]="","",IF(AND(Table1[Start Date]&gt;42094,Table1[Start Date]&lt;42461),Table1[Self-Care and Living Skills],""))</f>
        <v/>
      </c>
      <c r="FC70" s="44" t="str">
        <f>IF(Table1[Date of Initial Assessment]="","",IF(AND(Table1[Start Date]&gt;42094,Table1[Start Date]&lt;42461),Table1[Managing Money and Personal Administration],""))</f>
        <v/>
      </c>
      <c r="FD70" s="44" t="str">
        <f>IF(Table1[Date of Initial Assessment]="","",IF(AND(Table1[Start Date]&gt;42094,Table1[Start Date]&lt;42461),Table1[Social Networks and Relationships],""))</f>
        <v/>
      </c>
      <c r="FE70" s="44" t="str">
        <f>IF(Table1[Date of Initial Assessment]="","",IF(AND(Table1[Start Date]&gt;42094,Table1[Start Date]&lt;42461),Table1[Drug and Alcohol Misuse],""))</f>
        <v/>
      </c>
      <c r="FF70" s="44" t="str">
        <f>IF(Table1[Date of Initial Assessment]="","",IF(AND(Table1[Start Date]&gt;42094,Table1[Start Date]&lt;42461),Table1[Physical Health],""))</f>
        <v/>
      </c>
      <c r="FG70" s="44" t="str">
        <f>IF(Table1[Date of Initial Assessment]="","",IF(AND(Table1[Start Date]&gt;42094,Table1[Start Date]&lt;42461),Table1[Emotional and Mental Health],""))</f>
        <v/>
      </c>
      <c r="FH70" s="44" t="str">
        <f>IF(Table1[Date of Initial Assessment]="","",IF(AND(Table1[Start Date]&gt;42094,Table1[Start Date]&lt;42461),Table1[Meaningful Use of Time],""))</f>
        <v/>
      </c>
      <c r="FI70" s="44" t="str">
        <f>IF(Table1[Date of Initial Assessment]="","",IF(AND(Table1[Start Date]&gt;42094,Table1[Start Date]&lt;42461),Table1[Managing Tenancy and Accommodation],""))</f>
        <v/>
      </c>
      <c r="FJ70" s="44" t="str">
        <f>IF(Table1[Date of Initial Assessment]="","",IF(AND(Table1[Start Date]&gt;42094,Table1[Start Date]&lt;42461),Table1[Offending],""))</f>
        <v/>
      </c>
      <c r="FK70" s="44" t="str">
        <f>IF(Table1[Leaving Date]="","",IF(Table1[Date of Initial Assessment]="","",IF(AND(Table1[Leaving Date]&gt;42094,Table1[Leaving Date]&lt;42461),IF(Table1[Date of Last Assessment]="",Table1[Motivation and Taking Responsibility],Table1[Motivation and Taking Responsibility2]),"")))</f>
        <v/>
      </c>
      <c r="FL70" s="44" t="str">
        <f>IF(Table1[Leaving Date]="","",IF(Table1[Date of Initial Assessment]="","",IF(AND(Table1[Leaving Date]&gt;42094,Table1[Leaving Date]&lt;42461),IF(Table1[Date of Last Assessment]="",Table1[Self-Care and Living Skills],Table1[Self-Care and Living Skills2]),"")))</f>
        <v/>
      </c>
      <c r="FM70" s="44" t="str">
        <f>IF(Table1[Leaving Date]="","",IF(Table1[Date of Initial Assessment]="","",IF(AND(Table1[Leaving Date]&gt;42094,Table1[Leaving Date]&lt;42461),IF(Table1[Date of Last Assessment]="",Table1[Managing Money and Personal Administration],Table1[Managing Money and Personal Administration2]),"")))</f>
        <v/>
      </c>
      <c r="FN70" s="44" t="str">
        <f>IF(Table1[Leaving Date]="","",IF(Table1[Date of Initial Assessment]="","",IF(AND(Table1[Leaving Date]&gt;42094,Table1[Leaving Date]&lt;42461),IF(Table1[Date of Last Assessment]="",Table1[Social Networks and Relationships],Table1[Social Networks and Relationships2]),"")))</f>
        <v/>
      </c>
      <c r="FO70" s="44" t="str">
        <f>IF(Table1[Leaving Date]="","",IF(Table1[Date of Initial Assessment]="","",IF(AND(Table1[Leaving Date]&gt;42094,Table1[Leaving Date]&lt;42461),IF(Table1[Date of Last Assessment]="",Table1[Drug and Alcohol Misuse],Table1[Drug and Alcohol Misuse2]),"")))</f>
        <v/>
      </c>
      <c r="FP70" s="44" t="str">
        <f>IF(Table1[Leaving Date]="","",IF(Table1[Date of Initial Assessment]="","",IF(AND(Table1[Leaving Date]&gt;42094,Table1[Leaving Date]&lt;42461),IF(Table1[Date of Last Assessment]="",Table1[Physical Health],Table1[Physical Health2]),"")))</f>
        <v/>
      </c>
      <c r="FQ70" s="44" t="str">
        <f>IF(Table1[Leaving Date]="","",IF(Table1[Date of Initial Assessment]="","",IF(AND(Table1[Leaving Date]&gt;42094,Table1[Leaving Date]&lt;42461),IF(Table1[Date of Last Assessment]="",Table1[Emotional and Mental Health],Table1[Emotional and Mental Health2]),"")))</f>
        <v/>
      </c>
      <c r="FR70" s="44" t="str">
        <f>IF(Table1[Leaving Date]="","",IF(Table1[Date of Initial Assessment]="","",IF(AND(Table1[Leaving Date]&gt;42094,Table1[Leaving Date]&lt;42461),IF(Table1[Date of Last Assessment]="",Table1[Meaningful Use of Time],Table1[Meaningful Use of Time2]),"")))</f>
        <v/>
      </c>
      <c r="FS70" s="44" t="str">
        <f>IF(Table1[Leaving Date]="","",IF(Table1[Date of Initial Assessment]="","",IF(AND(Table1[Leaving Date]&gt;42094,Table1[Leaving Date]&lt;42461),IF(Table1[Date of Last Assessment]="",Table1[Managing Tenancy and Accommodation],Table1[Managing Tenancy and Accommodation2]),"")))</f>
        <v/>
      </c>
      <c r="FT70" s="44" t="str">
        <f>IF(Table1[Leaving Date]="","",IF(Table1[Date of Initial Assessment]="","",IF(AND(Table1[Leaving Date]&gt;42094,Table1[Leaving Date]&lt;42461),IF(Table1[Date of Last Assessment]="",Table1[Offending],Table1[Offending2]),"")))</f>
        <v/>
      </c>
      <c r="FU70" s="44" t="str">
        <f>IF(Table1[Date of Initial Assessment]="","",IF(AND(Table1[Start Date]&gt;42460,Table1[Start Date]&lt;42826),Table1[Motivation and Taking Responsibility],""))</f>
        <v/>
      </c>
      <c r="FV70" s="44" t="str">
        <f>IF(Table1[Date of Initial Assessment]="","",IF(AND(Table1[Start Date]&gt;42460,Table1[Start Date]&lt;42826),Table1[Self-Care and Living Skills],""))</f>
        <v/>
      </c>
      <c r="FW70" s="44" t="str">
        <f>IF(Table1[Date of Initial Assessment]="","",IF(AND(Table1[Start Date]&gt;42460,Table1[Start Date]&lt;42826),Table1[Managing Money and Personal Administration],""))</f>
        <v/>
      </c>
      <c r="FX70" s="44" t="str">
        <f>IF(Table1[Date of Initial Assessment]="","",IF(AND(Table1[Start Date]&gt;42460,Table1[Start Date]&lt;42826),Table1[Social Networks and Relationships],""))</f>
        <v/>
      </c>
      <c r="FY70" s="44" t="str">
        <f>IF(Table1[Date of Initial Assessment]="","",IF(AND(Table1[Start Date]&gt;42460,Table1[Start Date]&lt;42826),Table1[Drug and Alcohol Misuse],""))</f>
        <v/>
      </c>
      <c r="FZ70" s="44" t="str">
        <f>IF(Table1[Date of Initial Assessment]="","",IF(AND(Table1[Start Date]&gt;42460,Table1[Start Date]&lt;42826),Table1[Physical Health],""))</f>
        <v/>
      </c>
      <c r="GA70" s="44" t="str">
        <f>IF(Table1[Date of Initial Assessment]="","",IF(AND(Table1[Start Date]&gt;42460,Table1[Start Date]&lt;42826),Table1[Emotional and Mental Health],""))</f>
        <v/>
      </c>
      <c r="GB70" s="44" t="str">
        <f>IF(Table1[Date of Initial Assessment]="","",IF(AND(Table1[Start Date]&gt;42460,Table1[Start Date]&lt;42826),Table1[Meaningful Use of Time],""))</f>
        <v/>
      </c>
      <c r="GC70" s="44" t="str">
        <f>IF(Table1[Date of Initial Assessment]="","",IF(AND(Table1[Start Date]&gt;42460,Table1[Start Date]&lt;42826),Table1[Managing Tenancy and Accommodation],""))</f>
        <v/>
      </c>
      <c r="GD70" s="44" t="str">
        <f>IF(Table1[Date of Initial Assessment]="","",IF(AND(Table1[Start Date]&gt;42460,Table1[Start Date]&lt;42826),Table1[Offending],""))</f>
        <v/>
      </c>
      <c r="GE70" s="44" t="str">
        <f>IF(Table1[Leaving Date]="","",IF(AND(Table1[Leaving Date]&gt;42460,Table1[Leaving Date]&lt;42826),IF(Table1[Date of Last Assessment]="",Table1[Motivation and Taking Responsibility],Table1[Motivation and Taking Responsibility2]),""))</f>
        <v/>
      </c>
      <c r="GF70" s="44" t="str">
        <f>IF(Table1[Leaving Date]="","",IF(AND(Table1[Leaving Date]&gt;42460,Table1[Leaving Date]&lt;42826),IF(Table1[Date of Last Assessment]="",Table1[Self-Care and Living Skills],Table1[Self-Care and Living Skills2]),""))</f>
        <v/>
      </c>
      <c r="GG70" s="44" t="str">
        <f>IF(Table1[Leaving Date]="","",IF(AND(Table1[Leaving Date]&gt;42460,Table1[Leaving Date]&lt;42826),IF(Table1[Date of Last Assessment]="",Table1[Managing Money and Personal Administration],Table1[Managing Money and Personal Administration2]),""))</f>
        <v/>
      </c>
      <c r="GH70" s="44" t="str">
        <f>IF(Table1[Leaving Date]="","",IF(AND(Table1[Leaving Date]&gt;42460,Table1[Leaving Date]&lt;42826),IF(Table1[Date of Last Assessment]="",Table1[Social Networks and Relationships],Table1[Social Networks and Relationships2]),""))</f>
        <v/>
      </c>
      <c r="GI70" s="44" t="str">
        <f>IF(Table1[Leaving Date]="","",IF(AND(Table1[Leaving Date]&gt;42460,Table1[Leaving Date]&lt;42826),IF(Table1[Date of Last Assessment]="",Table1[Drug and Alcohol Misuse],Table1[Drug and Alcohol Misuse2]),""))</f>
        <v/>
      </c>
      <c r="GJ70" s="44" t="str">
        <f>IF(Table1[Leaving Date]="","",IF(AND(Table1[Leaving Date]&gt;42460,Table1[Leaving Date]&lt;42826),IF(Table1[Date of Last Assessment]="",Table1[Physical Health],Table1[Physical Health2]),""))</f>
        <v/>
      </c>
      <c r="GK70" s="44" t="str">
        <f>IF(Table1[Leaving Date]="","",IF(AND(Table1[Leaving Date]&gt;42460,Table1[Leaving Date]&lt;42826),IF(Table1[Date of Last Assessment]="",Table1[Emotional and Mental Health],Table1[Emotional and Mental Health2]),""))</f>
        <v/>
      </c>
      <c r="GL70" s="44" t="str">
        <f>IF(Table1[Leaving Date]="","",IF(AND(Table1[Leaving Date]&gt;42460,Table1[Leaving Date]&lt;42826),IF(Table1[Date of Last Assessment]="",Table1[Meaningful Use of Time],Table1[Meaningful Use of Time2]),""))</f>
        <v/>
      </c>
      <c r="GM70" s="44" t="str">
        <f>IF(Table1[Leaving Date]="","",IF(AND(Table1[Leaving Date]&gt;42460,Table1[Leaving Date]&lt;42826),IF(Table1[Date of Last Assessment]="",Table1[Managing Tenancy and Accommodation],Table1[Managing Tenancy and Accommodation2]),""))</f>
        <v/>
      </c>
      <c r="GN70" s="44" t="str">
        <f>IF(Table1[Leaving Date]="","",IF(AND(Table1[Leaving Date]&gt;42460,Table1[Leaving Date]&lt;42826),IF(Table1[Date of Last Assessment]="",Table1[Offending],Table1[Offending2]),""))</f>
        <v/>
      </c>
    </row>
    <row r="71" spans="2:196" ht="20.100000000000001" customHeight="1" x14ac:dyDescent="0.2">
      <c r="B71" s="86">
        <f>+'Service Data'!$C$5:$C$5</f>
        <v>0</v>
      </c>
      <c r="C71" s="86"/>
      <c r="D71" s="86"/>
      <c r="E71" s="86"/>
      <c r="F71" s="86"/>
      <c r="G71" s="86"/>
      <c r="H71" s="6"/>
      <c r="I71" s="99" t="str">
        <f ca="1">IF(Table1[[#This Row],[Date of Birth]]="","",SUM(TODAY()-Table1[[#This Row],[Date of Birth]])/365)</f>
        <v/>
      </c>
      <c r="L71" s="86"/>
      <c r="M71" s="77"/>
      <c r="N71" s="86"/>
      <c r="O71" s="86"/>
      <c r="P71" s="91"/>
      <c r="Q71" s="86"/>
      <c r="R71" s="77"/>
      <c r="S71" s="77"/>
      <c r="T71" s="68"/>
      <c r="U71" s="68"/>
      <c r="V71" s="67"/>
      <c r="W71" s="67"/>
      <c r="X71" s="67"/>
      <c r="Y71" s="67"/>
      <c r="Z71" s="67"/>
      <c r="AA71" s="67"/>
      <c r="AB71" s="67"/>
      <c r="AC71" s="67"/>
      <c r="AD71" s="67"/>
      <c r="AE71" s="67"/>
      <c r="AF71" s="67"/>
      <c r="AG71" s="67"/>
      <c r="AH71" s="67"/>
      <c r="AI71" s="67"/>
      <c r="AJ71" s="67"/>
      <c r="AK71" s="67"/>
      <c r="AL71" s="67"/>
      <c r="AM71" s="67"/>
      <c r="AN71" s="77"/>
      <c r="AO71" s="76"/>
      <c r="AP71" s="77"/>
      <c r="AQ71" s="76"/>
      <c r="AR71" s="76"/>
      <c r="AS71" s="76"/>
      <c r="AT71" s="76"/>
      <c r="AU71" s="76"/>
      <c r="AV71" s="77"/>
      <c r="AW71" s="76"/>
      <c r="AX71" s="77"/>
      <c r="AY71" s="76"/>
      <c r="AZ71" s="76"/>
      <c r="BA71" s="76"/>
      <c r="BB71" s="76"/>
      <c r="BC71" s="76"/>
      <c r="BD71" s="77"/>
      <c r="BE71" s="76"/>
      <c r="BF71" s="77"/>
      <c r="BG71" s="76"/>
      <c r="BH71" s="76"/>
      <c r="BI71" s="76"/>
      <c r="BJ71" s="76"/>
      <c r="BK71" s="76"/>
      <c r="BL71" s="77"/>
      <c r="BM71" s="76"/>
      <c r="BN71" s="77"/>
      <c r="BO71" s="76"/>
      <c r="BP71" s="76"/>
      <c r="BQ71" s="76"/>
      <c r="BR71" s="76"/>
      <c r="BS71" s="76"/>
      <c r="BT71" s="77"/>
      <c r="BU71" s="76"/>
      <c r="BV71" s="77"/>
      <c r="BW71" s="76"/>
      <c r="BX71" s="76"/>
      <c r="BY71" s="76"/>
      <c r="BZ71" s="76"/>
      <c r="CA71" s="76"/>
      <c r="CB71" s="77"/>
      <c r="CC71" s="76"/>
      <c r="CD71" s="77"/>
      <c r="CE71" s="76"/>
      <c r="CF71" s="76"/>
      <c r="CG71" s="76"/>
      <c r="CH71" s="76"/>
      <c r="CI71" s="76"/>
      <c r="CJ71" s="77"/>
      <c r="CK71" s="76"/>
      <c r="CL71" s="77"/>
      <c r="CM71" s="76"/>
      <c r="CN71" s="76"/>
      <c r="CO71" s="76"/>
      <c r="CP71" s="76"/>
      <c r="CQ71" s="76"/>
      <c r="CR71" s="78" t="str">
        <f t="shared" si="31"/>
        <v/>
      </c>
      <c r="CS71" s="79" t="str">
        <f t="shared" si="32"/>
        <v/>
      </c>
      <c r="CT71" s="79" t="str">
        <f t="shared" si="33"/>
        <v/>
      </c>
      <c r="CU71" s="79" t="str">
        <f t="shared" si="34"/>
        <v/>
      </c>
      <c r="CV71" s="79" t="str">
        <f t="shared" si="35"/>
        <v/>
      </c>
      <c r="CW71" s="79" t="str">
        <f t="shared" si="36"/>
        <v/>
      </c>
      <c r="CX71" s="79" t="str">
        <f t="shared" si="37"/>
        <v/>
      </c>
      <c r="CY71" s="79" t="str">
        <f t="shared" si="38"/>
        <v/>
      </c>
      <c r="CZ71" s="79" t="str">
        <f t="shared" si="39"/>
        <v/>
      </c>
      <c r="DA71" s="79" t="str">
        <f t="shared" si="40"/>
        <v/>
      </c>
      <c r="DB71" s="79" t="str">
        <f t="shared" si="41"/>
        <v/>
      </c>
      <c r="DC71" s="79" t="str">
        <f t="shared" si="42"/>
        <v/>
      </c>
      <c r="DD71" s="79" t="str">
        <f t="shared" si="43"/>
        <v/>
      </c>
      <c r="DE71" s="79" t="str">
        <f t="shared" si="44"/>
        <v/>
      </c>
      <c r="DF71" s="79" t="str">
        <f t="shared" si="45"/>
        <v/>
      </c>
      <c r="DG71" s="79" t="str">
        <f t="shared" si="46"/>
        <v/>
      </c>
      <c r="DH71" s="76"/>
      <c r="DI71" s="78"/>
      <c r="DJ71" s="76"/>
      <c r="DK71" s="77"/>
      <c r="DL71" s="77"/>
      <c r="DM71" s="77"/>
      <c r="DN71" s="80"/>
      <c r="DO71" s="80"/>
      <c r="DP71" s="92" t="str">
        <f>IF(Table1[Start Date]="","",IF(Table1[Start Date]&gt;42185,"",IF(AND(Table1[Leaving Date]&gt;1,Table1[Leaving Date]&lt;42095),"",1)))</f>
        <v/>
      </c>
      <c r="DQ71" s="92" t="str">
        <f>IF(Table1[Start Date]="","",IF(Table1[Start Date]&gt;42277,"",IF(AND(Table1[Leaving Date]&gt;1,Table1[Leaving Date]&lt;42186),"",1)))</f>
        <v/>
      </c>
      <c r="DR71" s="92" t="str">
        <f>IF(Table1[Start Date]="","",IF(Table1[Start Date]&gt;42369,"",IF(AND(Table1[Leaving Date]&gt;1,Table1[Leaving Date]&lt;42278),"",1)))</f>
        <v/>
      </c>
      <c r="DS71" s="92" t="str">
        <f>IF(Table1[Start Date]="","",IF(Table1[Start Date]&gt;42460,"",IF(AND(Table1[Leaving Date]&gt;1,Table1[Leaving Date]&lt;42370),"",1)))</f>
        <v/>
      </c>
      <c r="DT71" s="92" t="str">
        <f>IF(Table1[Start Date]="","",IF(Table1[Start Date]&gt;42551,"",IF(AND(Table1[Leaving Date]&gt;1,Table1[Leaving Date]&lt;42461),"",1)))</f>
        <v/>
      </c>
      <c r="DU71" s="92" t="str">
        <f>IF(Table1[Start Date]="","",IF(Table1[Start Date]&gt;42643,"",IF(AND(Table1[Leaving Date]&gt;1,Table1[Leaving Date]&lt;42552),"",1)))</f>
        <v/>
      </c>
      <c r="DV71" s="92" t="str">
        <f>IF(Table1[Start Date]="","",IF(Table1[Start Date]&gt;42735,"",IF(AND(Table1[Leaving Date]&gt;1,Table1[Leaving Date]&lt;42644),"",1)))</f>
        <v/>
      </c>
      <c r="DW71" s="92" t="str">
        <f>IF(Table1[Start Date]="","",IF(Table1[Start Date]&gt;42825,"",IF(AND(Table1[Leaving Date]&gt;1,Table1[Leaving Date]&lt;42736),"",1)))</f>
        <v/>
      </c>
      <c r="DX71"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71" s="44" t="e">
        <f>VLOOKUP(Table1[Referral Source],Lists!$G$2:$H$20,2,FALSE)</f>
        <v>#N/A</v>
      </c>
      <c r="DZ71" s="93" t="e">
        <f>SUM(Table1[Data Referral Quarter]+Table1[Data Referral Source])</f>
        <v>#N/A</v>
      </c>
      <c r="EA71" s="44" t="b">
        <f>IF(Table1[Referral Decision]="Accepted",100,IF(Table1[Referral Decision]="Rejected by Provider",200,IF(Table1[Referral Decision]="Rejected by Applicant",300)))</f>
        <v>0</v>
      </c>
      <c r="EB71" s="44">
        <f>SUM(Table1[Data Referral Quarter]+Table1[Data Referral Decision])</f>
        <v>0</v>
      </c>
      <c r="EC71" s="44" t="b">
        <f>IF(Table1[Start Date]&gt;42735,8000,IF(Table1[Start Date]&gt;42643,7000,IF(Table1[Start Date]&gt;42551,6000,IF(Table1[Start Date]&gt;42460,5000,IF(Table1[Start Date]&gt;42369,4000,IF(Table1[Start Date]&gt;42277,3000,IF(Table1[Start Date]&gt;42185,2000,IF(Table1[Start Date]&gt;42094,1000))))))))</f>
        <v>0</v>
      </c>
      <c r="ED71" s="44" t="str">
        <f>IF(Table1[Start Date]="","",IF(Table1[Current Local Authority]="Swindon",1,"2"))</f>
        <v/>
      </c>
      <c r="EE71" s="44" t="e">
        <f>SUM(Table1[Data Start Date]+Table1[Data Local Authority])</f>
        <v>#VALUE!</v>
      </c>
      <c r="EF71" s="44">
        <f>IF(Table1[Registered with GP]="Yes",1,0)</f>
        <v>0</v>
      </c>
      <c r="EG71" s="44">
        <f>SUM(Table1[Data Start Date]+Table1[Data GP Start])</f>
        <v>0</v>
      </c>
      <c r="EH71" s="44" t="str">
        <f>IF(Table1[EET]="NEET",1,IF(Table1[EET]="Education",2,IF(Table1[EET]="Employment",2,IF(Table1[EET]="Training",2,IF(Table1[EET]="Retired",3,"")))))</f>
        <v/>
      </c>
      <c r="EI71" s="44" t="e">
        <f>Table1[Data Start Date]+Table1[Data EET Start]</f>
        <v>#VALUE!</v>
      </c>
      <c r="EJ71" s="44" t="b">
        <f>IF(Table1[Leaving Date]&gt;42735,8000,IF(Table1[Leaving Date]&gt;42643,7000,IF(Table1[Leaving Date]&gt;42551,6000,IF(Table1[Leaving Date]&gt;42460,5000,IF(Table1[Leaving Date]&gt;42369,4000,IF(Table1[Leaving Date]&gt;42277,3000,IF(Table1[Leaving Date]&gt;42185,2000,IF(Table1[Leaving Date]&gt;42094,1000))))))))</f>
        <v>0</v>
      </c>
      <c r="EK71" s="44" t="e">
        <f>VLOOKUP(Table1[Reason for Leaving],Lists!$T$2:$U$15,2,FALSE)</f>
        <v>#N/A</v>
      </c>
      <c r="EL71" s="44" t="e">
        <f>SUM(Table1[Data Leavers Date]+Table1[Data Move On])</f>
        <v>#N/A</v>
      </c>
      <c r="EM71" s="44" t="b">
        <f>IF(Table1[Registered with GP2]="Yes",1,IF(Table1[Registered with GP2]="No",0,IF(Table1[Registered with GP]="Yes",1,IF(Table1[Registered with GP]="No",0))))</f>
        <v>0</v>
      </c>
      <c r="EN71" s="44">
        <f>SUM(Table1[Data Leavers Date]+Table1[Data GP End])</f>
        <v>0</v>
      </c>
      <c r="EO71" s="44" t="str">
        <f>IF(Table1[EET2]="NEET",1,IF(Table1[EET2]="Employment",2,IF(Table1[EET2]="Education",2,IF(Table1[EET2]="Training",2,IF(Table1[EET2]="Retired",3,IF(Table1[EET]="NEET",1,IF(Table1[EET]="Employment",2,IF(Table1[EET]="Education",2,IF(Table1[EET]="Training",2,IF(Table1[EET]="Retired",3,""))))))))))</f>
        <v/>
      </c>
      <c r="EP71" s="44" t="e">
        <f>+Table1[[#This Row],[Data Leavers Date]]+Table1[[#This Row],[Data EET End]]</f>
        <v>#VALUE!</v>
      </c>
      <c r="EQ71" s="44">
        <f>IF(Table1[Exit Form Received]="Yes",1,0)</f>
        <v>0</v>
      </c>
      <c r="ER71" s="44">
        <f>+Table1[[#This Row],[Data Leavers Date]]+Table1[[#This Row],[Data Exit Forms]]</f>
        <v>0</v>
      </c>
      <c r="ES71" s="44" t="str">
        <f>IF(Table1[Data Leavers Date]=1000,SUM(Table1[Leaving Date]-Table1[Start Date]),"")</f>
        <v/>
      </c>
      <c r="ET71" s="44" t="str">
        <f>IF(Table1[Data Leavers Date]=2000,SUM(Table1[Leaving Date]-Table1[Start Date]),"")</f>
        <v/>
      </c>
      <c r="EU71" s="44" t="str">
        <f>IF(Table1[Data Leavers Date]=3000,SUM(Table1[Leaving Date]-Table1[Start Date]),"")</f>
        <v/>
      </c>
      <c r="EV71" s="44" t="str">
        <f>IF(Table1[Data Leavers Date]=4000,SUM(Table1[Leaving Date]-Table1[Start Date]),"")</f>
        <v/>
      </c>
      <c r="EW71" s="44" t="str">
        <f>IF(Table1[Data Leavers Date]=5000,SUM(Table1[Leaving Date]-Table1[Start Date]),"")</f>
        <v/>
      </c>
      <c r="EX71" s="44" t="str">
        <f>IF(Table1[Data Leavers Date]=6000,SUM(Table1[Leaving Date]-Table1[Start Date]),"")</f>
        <v/>
      </c>
      <c r="EY71" s="44" t="str">
        <f>IF(Table1[Data Leavers Date]=7000,SUM(Table1[Leaving Date]-Table1[Start Date]),"")</f>
        <v/>
      </c>
      <c r="EZ71" s="44" t="str">
        <f>IF(Table1[Data Leavers Date]=8000,SUM(Table1[Leaving Date]-Table1[Start Date]),"")</f>
        <v/>
      </c>
      <c r="FA71" s="44" t="str">
        <f>IF(Table1[Date of Initial Assessment]="","",IF(AND(Table1[Start Date]&gt;42094,Table1[Start Date]&lt;42461),Table1[Motivation and Taking Responsibility],""))</f>
        <v/>
      </c>
      <c r="FB71" s="44" t="str">
        <f>IF(Table1[Date of Initial Assessment]="","",IF(AND(Table1[Start Date]&gt;42094,Table1[Start Date]&lt;42461),Table1[Self-Care and Living Skills],""))</f>
        <v/>
      </c>
      <c r="FC71" s="44" t="str">
        <f>IF(Table1[Date of Initial Assessment]="","",IF(AND(Table1[Start Date]&gt;42094,Table1[Start Date]&lt;42461),Table1[Managing Money and Personal Administration],""))</f>
        <v/>
      </c>
      <c r="FD71" s="44" t="str">
        <f>IF(Table1[Date of Initial Assessment]="","",IF(AND(Table1[Start Date]&gt;42094,Table1[Start Date]&lt;42461),Table1[Social Networks and Relationships],""))</f>
        <v/>
      </c>
      <c r="FE71" s="44" t="str">
        <f>IF(Table1[Date of Initial Assessment]="","",IF(AND(Table1[Start Date]&gt;42094,Table1[Start Date]&lt;42461),Table1[Drug and Alcohol Misuse],""))</f>
        <v/>
      </c>
      <c r="FF71" s="44" t="str">
        <f>IF(Table1[Date of Initial Assessment]="","",IF(AND(Table1[Start Date]&gt;42094,Table1[Start Date]&lt;42461),Table1[Physical Health],""))</f>
        <v/>
      </c>
      <c r="FG71" s="44" t="str">
        <f>IF(Table1[Date of Initial Assessment]="","",IF(AND(Table1[Start Date]&gt;42094,Table1[Start Date]&lt;42461),Table1[Emotional and Mental Health],""))</f>
        <v/>
      </c>
      <c r="FH71" s="44" t="str">
        <f>IF(Table1[Date of Initial Assessment]="","",IF(AND(Table1[Start Date]&gt;42094,Table1[Start Date]&lt;42461),Table1[Meaningful Use of Time],""))</f>
        <v/>
      </c>
      <c r="FI71" s="44" t="str">
        <f>IF(Table1[Date of Initial Assessment]="","",IF(AND(Table1[Start Date]&gt;42094,Table1[Start Date]&lt;42461),Table1[Managing Tenancy and Accommodation],""))</f>
        <v/>
      </c>
      <c r="FJ71" s="44" t="str">
        <f>IF(Table1[Date of Initial Assessment]="","",IF(AND(Table1[Start Date]&gt;42094,Table1[Start Date]&lt;42461),Table1[Offending],""))</f>
        <v/>
      </c>
      <c r="FK71" s="44" t="str">
        <f>IF(Table1[Leaving Date]="","",IF(Table1[Date of Initial Assessment]="","",IF(AND(Table1[Leaving Date]&gt;42094,Table1[Leaving Date]&lt;42461),IF(Table1[Date of Last Assessment]="",Table1[Motivation and Taking Responsibility],Table1[Motivation and Taking Responsibility2]),"")))</f>
        <v/>
      </c>
      <c r="FL71" s="44" t="str">
        <f>IF(Table1[Leaving Date]="","",IF(Table1[Date of Initial Assessment]="","",IF(AND(Table1[Leaving Date]&gt;42094,Table1[Leaving Date]&lt;42461),IF(Table1[Date of Last Assessment]="",Table1[Self-Care and Living Skills],Table1[Self-Care and Living Skills2]),"")))</f>
        <v/>
      </c>
      <c r="FM71" s="44" t="str">
        <f>IF(Table1[Leaving Date]="","",IF(Table1[Date of Initial Assessment]="","",IF(AND(Table1[Leaving Date]&gt;42094,Table1[Leaving Date]&lt;42461),IF(Table1[Date of Last Assessment]="",Table1[Managing Money and Personal Administration],Table1[Managing Money and Personal Administration2]),"")))</f>
        <v/>
      </c>
      <c r="FN71" s="44" t="str">
        <f>IF(Table1[Leaving Date]="","",IF(Table1[Date of Initial Assessment]="","",IF(AND(Table1[Leaving Date]&gt;42094,Table1[Leaving Date]&lt;42461),IF(Table1[Date of Last Assessment]="",Table1[Social Networks and Relationships],Table1[Social Networks and Relationships2]),"")))</f>
        <v/>
      </c>
      <c r="FO71" s="44" t="str">
        <f>IF(Table1[Leaving Date]="","",IF(Table1[Date of Initial Assessment]="","",IF(AND(Table1[Leaving Date]&gt;42094,Table1[Leaving Date]&lt;42461),IF(Table1[Date of Last Assessment]="",Table1[Drug and Alcohol Misuse],Table1[Drug and Alcohol Misuse2]),"")))</f>
        <v/>
      </c>
      <c r="FP71" s="44" t="str">
        <f>IF(Table1[Leaving Date]="","",IF(Table1[Date of Initial Assessment]="","",IF(AND(Table1[Leaving Date]&gt;42094,Table1[Leaving Date]&lt;42461),IF(Table1[Date of Last Assessment]="",Table1[Physical Health],Table1[Physical Health2]),"")))</f>
        <v/>
      </c>
      <c r="FQ71" s="44" t="str">
        <f>IF(Table1[Leaving Date]="","",IF(Table1[Date of Initial Assessment]="","",IF(AND(Table1[Leaving Date]&gt;42094,Table1[Leaving Date]&lt;42461),IF(Table1[Date of Last Assessment]="",Table1[Emotional and Mental Health],Table1[Emotional and Mental Health2]),"")))</f>
        <v/>
      </c>
      <c r="FR71" s="44" t="str">
        <f>IF(Table1[Leaving Date]="","",IF(Table1[Date of Initial Assessment]="","",IF(AND(Table1[Leaving Date]&gt;42094,Table1[Leaving Date]&lt;42461),IF(Table1[Date of Last Assessment]="",Table1[Meaningful Use of Time],Table1[Meaningful Use of Time2]),"")))</f>
        <v/>
      </c>
      <c r="FS71" s="44" t="str">
        <f>IF(Table1[Leaving Date]="","",IF(Table1[Date of Initial Assessment]="","",IF(AND(Table1[Leaving Date]&gt;42094,Table1[Leaving Date]&lt;42461),IF(Table1[Date of Last Assessment]="",Table1[Managing Tenancy and Accommodation],Table1[Managing Tenancy and Accommodation2]),"")))</f>
        <v/>
      </c>
      <c r="FT71" s="44" t="str">
        <f>IF(Table1[Leaving Date]="","",IF(Table1[Date of Initial Assessment]="","",IF(AND(Table1[Leaving Date]&gt;42094,Table1[Leaving Date]&lt;42461),IF(Table1[Date of Last Assessment]="",Table1[Offending],Table1[Offending2]),"")))</f>
        <v/>
      </c>
      <c r="FU71" s="44" t="str">
        <f>IF(Table1[Date of Initial Assessment]="","",IF(AND(Table1[Start Date]&gt;42460,Table1[Start Date]&lt;42826),Table1[Motivation and Taking Responsibility],""))</f>
        <v/>
      </c>
      <c r="FV71" s="44" t="str">
        <f>IF(Table1[Date of Initial Assessment]="","",IF(AND(Table1[Start Date]&gt;42460,Table1[Start Date]&lt;42826),Table1[Self-Care and Living Skills],""))</f>
        <v/>
      </c>
      <c r="FW71" s="44" t="str">
        <f>IF(Table1[Date of Initial Assessment]="","",IF(AND(Table1[Start Date]&gt;42460,Table1[Start Date]&lt;42826),Table1[Managing Money and Personal Administration],""))</f>
        <v/>
      </c>
      <c r="FX71" s="44" t="str">
        <f>IF(Table1[Date of Initial Assessment]="","",IF(AND(Table1[Start Date]&gt;42460,Table1[Start Date]&lt;42826),Table1[Social Networks and Relationships],""))</f>
        <v/>
      </c>
      <c r="FY71" s="44" t="str">
        <f>IF(Table1[Date of Initial Assessment]="","",IF(AND(Table1[Start Date]&gt;42460,Table1[Start Date]&lt;42826),Table1[Drug and Alcohol Misuse],""))</f>
        <v/>
      </c>
      <c r="FZ71" s="44" t="str">
        <f>IF(Table1[Date of Initial Assessment]="","",IF(AND(Table1[Start Date]&gt;42460,Table1[Start Date]&lt;42826),Table1[Physical Health],""))</f>
        <v/>
      </c>
      <c r="GA71" s="44" t="str">
        <f>IF(Table1[Date of Initial Assessment]="","",IF(AND(Table1[Start Date]&gt;42460,Table1[Start Date]&lt;42826),Table1[Emotional and Mental Health],""))</f>
        <v/>
      </c>
      <c r="GB71" s="44" t="str">
        <f>IF(Table1[Date of Initial Assessment]="","",IF(AND(Table1[Start Date]&gt;42460,Table1[Start Date]&lt;42826),Table1[Meaningful Use of Time],""))</f>
        <v/>
      </c>
      <c r="GC71" s="44" t="str">
        <f>IF(Table1[Date of Initial Assessment]="","",IF(AND(Table1[Start Date]&gt;42460,Table1[Start Date]&lt;42826),Table1[Managing Tenancy and Accommodation],""))</f>
        <v/>
      </c>
      <c r="GD71" s="44" t="str">
        <f>IF(Table1[Date of Initial Assessment]="","",IF(AND(Table1[Start Date]&gt;42460,Table1[Start Date]&lt;42826),Table1[Offending],""))</f>
        <v/>
      </c>
      <c r="GE71" s="44" t="str">
        <f>IF(Table1[Leaving Date]="","",IF(AND(Table1[Leaving Date]&gt;42460,Table1[Leaving Date]&lt;42826),IF(Table1[Date of Last Assessment]="",Table1[Motivation and Taking Responsibility],Table1[Motivation and Taking Responsibility2]),""))</f>
        <v/>
      </c>
      <c r="GF71" s="44" t="str">
        <f>IF(Table1[Leaving Date]="","",IF(AND(Table1[Leaving Date]&gt;42460,Table1[Leaving Date]&lt;42826),IF(Table1[Date of Last Assessment]="",Table1[Self-Care and Living Skills],Table1[Self-Care and Living Skills2]),""))</f>
        <v/>
      </c>
      <c r="GG71" s="44" t="str">
        <f>IF(Table1[Leaving Date]="","",IF(AND(Table1[Leaving Date]&gt;42460,Table1[Leaving Date]&lt;42826),IF(Table1[Date of Last Assessment]="",Table1[Managing Money and Personal Administration],Table1[Managing Money and Personal Administration2]),""))</f>
        <v/>
      </c>
      <c r="GH71" s="44" t="str">
        <f>IF(Table1[Leaving Date]="","",IF(AND(Table1[Leaving Date]&gt;42460,Table1[Leaving Date]&lt;42826),IF(Table1[Date of Last Assessment]="",Table1[Social Networks and Relationships],Table1[Social Networks and Relationships2]),""))</f>
        <v/>
      </c>
      <c r="GI71" s="44" t="str">
        <f>IF(Table1[Leaving Date]="","",IF(AND(Table1[Leaving Date]&gt;42460,Table1[Leaving Date]&lt;42826),IF(Table1[Date of Last Assessment]="",Table1[Drug and Alcohol Misuse],Table1[Drug and Alcohol Misuse2]),""))</f>
        <v/>
      </c>
      <c r="GJ71" s="44" t="str">
        <f>IF(Table1[Leaving Date]="","",IF(AND(Table1[Leaving Date]&gt;42460,Table1[Leaving Date]&lt;42826),IF(Table1[Date of Last Assessment]="",Table1[Physical Health],Table1[Physical Health2]),""))</f>
        <v/>
      </c>
      <c r="GK71" s="44" t="str">
        <f>IF(Table1[Leaving Date]="","",IF(AND(Table1[Leaving Date]&gt;42460,Table1[Leaving Date]&lt;42826),IF(Table1[Date of Last Assessment]="",Table1[Emotional and Mental Health],Table1[Emotional and Mental Health2]),""))</f>
        <v/>
      </c>
      <c r="GL71" s="44" t="str">
        <f>IF(Table1[Leaving Date]="","",IF(AND(Table1[Leaving Date]&gt;42460,Table1[Leaving Date]&lt;42826),IF(Table1[Date of Last Assessment]="",Table1[Meaningful Use of Time],Table1[Meaningful Use of Time2]),""))</f>
        <v/>
      </c>
      <c r="GM71" s="44" t="str">
        <f>IF(Table1[Leaving Date]="","",IF(AND(Table1[Leaving Date]&gt;42460,Table1[Leaving Date]&lt;42826),IF(Table1[Date of Last Assessment]="",Table1[Managing Tenancy and Accommodation],Table1[Managing Tenancy and Accommodation2]),""))</f>
        <v/>
      </c>
      <c r="GN71" s="44" t="str">
        <f>IF(Table1[Leaving Date]="","",IF(AND(Table1[Leaving Date]&gt;42460,Table1[Leaving Date]&lt;42826),IF(Table1[Date of Last Assessment]="",Table1[Offending],Table1[Offending2]),""))</f>
        <v/>
      </c>
    </row>
    <row r="72" spans="2:196" ht="20.100000000000001" customHeight="1" x14ac:dyDescent="0.2">
      <c r="B72" s="86">
        <f>+'Service Data'!$C$5:$C$5</f>
        <v>0</v>
      </c>
      <c r="C72" s="86"/>
      <c r="D72" s="86"/>
      <c r="E72" s="86"/>
      <c r="F72" s="86"/>
      <c r="G72" s="86"/>
      <c r="H72" s="6"/>
      <c r="I72" s="99" t="str">
        <f ca="1">IF(Table1[[#This Row],[Date of Birth]]="","",SUM(TODAY()-Table1[[#This Row],[Date of Birth]])/365)</f>
        <v/>
      </c>
      <c r="L72" s="86"/>
      <c r="M72" s="77"/>
      <c r="N72" s="86"/>
      <c r="O72" s="86"/>
      <c r="P72" s="91"/>
      <c r="Q72" s="86"/>
      <c r="R72" s="77"/>
      <c r="S72" s="77"/>
      <c r="T72" s="68"/>
      <c r="U72" s="68"/>
      <c r="V72" s="67"/>
      <c r="W72" s="67"/>
      <c r="X72" s="67"/>
      <c r="Y72" s="67"/>
      <c r="Z72" s="67"/>
      <c r="AA72" s="67"/>
      <c r="AB72" s="67"/>
      <c r="AC72" s="67"/>
      <c r="AD72" s="67"/>
      <c r="AE72" s="67"/>
      <c r="AF72" s="67"/>
      <c r="AG72" s="67"/>
      <c r="AH72" s="67"/>
      <c r="AI72" s="67"/>
      <c r="AJ72" s="67"/>
      <c r="AK72" s="67"/>
      <c r="AL72" s="67"/>
      <c r="AM72" s="67"/>
      <c r="AN72" s="77"/>
      <c r="AO72" s="76"/>
      <c r="AP72" s="77"/>
      <c r="AQ72" s="76"/>
      <c r="AR72" s="76"/>
      <c r="AS72" s="76"/>
      <c r="AT72" s="76"/>
      <c r="AU72" s="76"/>
      <c r="AV72" s="77"/>
      <c r="AW72" s="76"/>
      <c r="AX72" s="77"/>
      <c r="AY72" s="76"/>
      <c r="AZ72" s="76"/>
      <c r="BA72" s="76"/>
      <c r="BB72" s="76"/>
      <c r="BC72" s="76"/>
      <c r="BD72" s="77"/>
      <c r="BE72" s="76"/>
      <c r="BF72" s="77"/>
      <c r="BG72" s="76"/>
      <c r="BH72" s="76"/>
      <c r="BI72" s="76"/>
      <c r="BJ72" s="76"/>
      <c r="BK72" s="76"/>
      <c r="BL72" s="77"/>
      <c r="BM72" s="76"/>
      <c r="BN72" s="77"/>
      <c r="BO72" s="76"/>
      <c r="BP72" s="76"/>
      <c r="BQ72" s="76"/>
      <c r="BR72" s="76"/>
      <c r="BS72" s="76"/>
      <c r="BT72" s="77"/>
      <c r="BU72" s="76"/>
      <c r="BV72" s="77"/>
      <c r="BW72" s="76"/>
      <c r="BX72" s="76"/>
      <c r="BY72" s="76"/>
      <c r="BZ72" s="76"/>
      <c r="CA72" s="76"/>
      <c r="CB72" s="77"/>
      <c r="CC72" s="76"/>
      <c r="CD72" s="77"/>
      <c r="CE72" s="76"/>
      <c r="CF72" s="76"/>
      <c r="CG72" s="76"/>
      <c r="CH72" s="76"/>
      <c r="CI72" s="76"/>
      <c r="CJ72" s="77"/>
      <c r="CK72" s="76"/>
      <c r="CL72" s="77"/>
      <c r="CM72" s="76"/>
      <c r="CN72" s="76"/>
      <c r="CO72" s="76"/>
      <c r="CP72" s="76"/>
      <c r="CQ72" s="76"/>
      <c r="CR72" s="78" t="str">
        <f t="shared" si="31"/>
        <v/>
      </c>
      <c r="CS72" s="79" t="str">
        <f t="shared" si="32"/>
        <v/>
      </c>
      <c r="CT72" s="79" t="str">
        <f t="shared" si="33"/>
        <v/>
      </c>
      <c r="CU72" s="79" t="str">
        <f t="shared" si="34"/>
        <v/>
      </c>
      <c r="CV72" s="79" t="str">
        <f t="shared" si="35"/>
        <v/>
      </c>
      <c r="CW72" s="79" t="str">
        <f t="shared" si="36"/>
        <v/>
      </c>
      <c r="CX72" s="79" t="str">
        <f t="shared" si="37"/>
        <v/>
      </c>
      <c r="CY72" s="79" t="str">
        <f t="shared" si="38"/>
        <v/>
      </c>
      <c r="CZ72" s="79" t="str">
        <f t="shared" si="39"/>
        <v/>
      </c>
      <c r="DA72" s="79" t="str">
        <f t="shared" si="40"/>
        <v/>
      </c>
      <c r="DB72" s="79" t="str">
        <f t="shared" si="41"/>
        <v/>
      </c>
      <c r="DC72" s="79" t="str">
        <f t="shared" si="42"/>
        <v/>
      </c>
      <c r="DD72" s="79" t="str">
        <f t="shared" si="43"/>
        <v/>
      </c>
      <c r="DE72" s="79" t="str">
        <f t="shared" si="44"/>
        <v/>
      </c>
      <c r="DF72" s="79" t="str">
        <f t="shared" si="45"/>
        <v/>
      </c>
      <c r="DG72" s="79" t="str">
        <f t="shared" si="46"/>
        <v/>
      </c>
      <c r="DH72" s="76"/>
      <c r="DI72" s="78"/>
      <c r="DJ72" s="76"/>
      <c r="DK72" s="77"/>
      <c r="DL72" s="77"/>
      <c r="DM72" s="77"/>
      <c r="DN72" s="80"/>
      <c r="DO72" s="80"/>
      <c r="DP72" s="92" t="str">
        <f>IF(Table1[Start Date]="","",IF(Table1[Start Date]&gt;42185,"",IF(AND(Table1[Leaving Date]&gt;1,Table1[Leaving Date]&lt;42095),"",1)))</f>
        <v/>
      </c>
      <c r="DQ72" s="92" t="str">
        <f>IF(Table1[Start Date]="","",IF(Table1[Start Date]&gt;42277,"",IF(AND(Table1[Leaving Date]&gt;1,Table1[Leaving Date]&lt;42186),"",1)))</f>
        <v/>
      </c>
      <c r="DR72" s="92" t="str">
        <f>IF(Table1[Start Date]="","",IF(Table1[Start Date]&gt;42369,"",IF(AND(Table1[Leaving Date]&gt;1,Table1[Leaving Date]&lt;42278),"",1)))</f>
        <v/>
      </c>
      <c r="DS72" s="92" t="str">
        <f>IF(Table1[Start Date]="","",IF(Table1[Start Date]&gt;42460,"",IF(AND(Table1[Leaving Date]&gt;1,Table1[Leaving Date]&lt;42370),"",1)))</f>
        <v/>
      </c>
      <c r="DT72" s="92" t="str">
        <f>IF(Table1[Start Date]="","",IF(Table1[Start Date]&gt;42551,"",IF(AND(Table1[Leaving Date]&gt;1,Table1[Leaving Date]&lt;42461),"",1)))</f>
        <v/>
      </c>
      <c r="DU72" s="92" t="str">
        <f>IF(Table1[Start Date]="","",IF(Table1[Start Date]&gt;42643,"",IF(AND(Table1[Leaving Date]&gt;1,Table1[Leaving Date]&lt;42552),"",1)))</f>
        <v/>
      </c>
      <c r="DV72" s="92" t="str">
        <f>IF(Table1[Start Date]="","",IF(Table1[Start Date]&gt;42735,"",IF(AND(Table1[Leaving Date]&gt;1,Table1[Leaving Date]&lt;42644),"",1)))</f>
        <v/>
      </c>
      <c r="DW72" s="92" t="str">
        <f>IF(Table1[Start Date]="","",IF(Table1[Start Date]&gt;42825,"",IF(AND(Table1[Leaving Date]&gt;1,Table1[Leaving Date]&lt;42736),"",1)))</f>
        <v/>
      </c>
      <c r="DX72"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72" s="44" t="e">
        <f>VLOOKUP(Table1[Referral Source],Lists!$G$2:$H$20,2,FALSE)</f>
        <v>#N/A</v>
      </c>
      <c r="DZ72" s="93" t="e">
        <f>SUM(Table1[Data Referral Quarter]+Table1[Data Referral Source])</f>
        <v>#N/A</v>
      </c>
      <c r="EA72" s="44" t="b">
        <f>IF(Table1[Referral Decision]="Accepted",100,IF(Table1[Referral Decision]="Rejected by Provider",200,IF(Table1[Referral Decision]="Rejected by Applicant",300)))</f>
        <v>0</v>
      </c>
      <c r="EB72" s="44">
        <f>SUM(Table1[Data Referral Quarter]+Table1[Data Referral Decision])</f>
        <v>0</v>
      </c>
      <c r="EC72" s="44" t="b">
        <f>IF(Table1[Start Date]&gt;42735,8000,IF(Table1[Start Date]&gt;42643,7000,IF(Table1[Start Date]&gt;42551,6000,IF(Table1[Start Date]&gt;42460,5000,IF(Table1[Start Date]&gt;42369,4000,IF(Table1[Start Date]&gt;42277,3000,IF(Table1[Start Date]&gt;42185,2000,IF(Table1[Start Date]&gt;42094,1000))))))))</f>
        <v>0</v>
      </c>
      <c r="ED72" s="44" t="str">
        <f>IF(Table1[Start Date]="","",IF(Table1[Current Local Authority]="Swindon",1,"2"))</f>
        <v/>
      </c>
      <c r="EE72" s="44" t="e">
        <f>SUM(Table1[Data Start Date]+Table1[Data Local Authority])</f>
        <v>#VALUE!</v>
      </c>
      <c r="EF72" s="44">
        <f>IF(Table1[Registered with GP]="Yes",1,0)</f>
        <v>0</v>
      </c>
      <c r="EG72" s="44">
        <f>SUM(Table1[Data Start Date]+Table1[Data GP Start])</f>
        <v>0</v>
      </c>
      <c r="EH72" s="44" t="str">
        <f>IF(Table1[EET]="NEET",1,IF(Table1[EET]="Education",2,IF(Table1[EET]="Employment",2,IF(Table1[EET]="Training",2,IF(Table1[EET]="Retired",3,"")))))</f>
        <v/>
      </c>
      <c r="EI72" s="44" t="e">
        <f>Table1[Data Start Date]+Table1[Data EET Start]</f>
        <v>#VALUE!</v>
      </c>
      <c r="EJ72" s="44" t="b">
        <f>IF(Table1[Leaving Date]&gt;42735,8000,IF(Table1[Leaving Date]&gt;42643,7000,IF(Table1[Leaving Date]&gt;42551,6000,IF(Table1[Leaving Date]&gt;42460,5000,IF(Table1[Leaving Date]&gt;42369,4000,IF(Table1[Leaving Date]&gt;42277,3000,IF(Table1[Leaving Date]&gt;42185,2000,IF(Table1[Leaving Date]&gt;42094,1000))))))))</f>
        <v>0</v>
      </c>
      <c r="EK72" s="44" t="e">
        <f>VLOOKUP(Table1[Reason for Leaving],Lists!$T$2:$U$15,2,FALSE)</f>
        <v>#N/A</v>
      </c>
      <c r="EL72" s="44" t="e">
        <f>SUM(Table1[Data Leavers Date]+Table1[Data Move On])</f>
        <v>#N/A</v>
      </c>
      <c r="EM72" s="44" t="b">
        <f>IF(Table1[Registered with GP2]="Yes",1,IF(Table1[Registered with GP2]="No",0,IF(Table1[Registered with GP]="Yes",1,IF(Table1[Registered with GP]="No",0))))</f>
        <v>0</v>
      </c>
      <c r="EN72" s="44">
        <f>SUM(Table1[Data Leavers Date]+Table1[Data GP End])</f>
        <v>0</v>
      </c>
      <c r="EO72" s="44" t="str">
        <f>IF(Table1[EET2]="NEET",1,IF(Table1[EET2]="Employment",2,IF(Table1[EET2]="Education",2,IF(Table1[EET2]="Training",2,IF(Table1[EET2]="Retired",3,IF(Table1[EET]="NEET",1,IF(Table1[EET]="Employment",2,IF(Table1[EET]="Education",2,IF(Table1[EET]="Training",2,IF(Table1[EET]="Retired",3,""))))))))))</f>
        <v/>
      </c>
      <c r="EP72" s="44" t="e">
        <f>+Table1[[#This Row],[Data Leavers Date]]+Table1[[#This Row],[Data EET End]]</f>
        <v>#VALUE!</v>
      </c>
      <c r="EQ72" s="44">
        <f>IF(Table1[Exit Form Received]="Yes",1,0)</f>
        <v>0</v>
      </c>
      <c r="ER72" s="44">
        <f>+Table1[[#This Row],[Data Leavers Date]]+Table1[[#This Row],[Data Exit Forms]]</f>
        <v>0</v>
      </c>
      <c r="ES72" s="44" t="str">
        <f>IF(Table1[Data Leavers Date]=1000,SUM(Table1[Leaving Date]-Table1[Start Date]),"")</f>
        <v/>
      </c>
      <c r="ET72" s="44" t="str">
        <f>IF(Table1[Data Leavers Date]=2000,SUM(Table1[Leaving Date]-Table1[Start Date]),"")</f>
        <v/>
      </c>
      <c r="EU72" s="44" t="str">
        <f>IF(Table1[Data Leavers Date]=3000,SUM(Table1[Leaving Date]-Table1[Start Date]),"")</f>
        <v/>
      </c>
      <c r="EV72" s="44" t="str">
        <f>IF(Table1[Data Leavers Date]=4000,SUM(Table1[Leaving Date]-Table1[Start Date]),"")</f>
        <v/>
      </c>
      <c r="EW72" s="44" t="str">
        <f>IF(Table1[Data Leavers Date]=5000,SUM(Table1[Leaving Date]-Table1[Start Date]),"")</f>
        <v/>
      </c>
      <c r="EX72" s="44" t="str">
        <f>IF(Table1[Data Leavers Date]=6000,SUM(Table1[Leaving Date]-Table1[Start Date]),"")</f>
        <v/>
      </c>
      <c r="EY72" s="44" t="str">
        <f>IF(Table1[Data Leavers Date]=7000,SUM(Table1[Leaving Date]-Table1[Start Date]),"")</f>
        <v/>
      </c>
      <c r="EZ72" s="44" t="str">
        <f>IF(Table1[Data Leavers Date]=8000,SUM(Table1[Leaving Date]-Table1[Start Date]),"")</f>
        <v/>
      </c>
      <c r="FA72" s="44" t="str">
        <f>IF(Table1[Date of Initial Assessment]="","",IF(AND(Table1[Start Date]&gt;42094,Table1[Start Date]&lt;42461),Table1[Motivation and Taking Responsibility],""))</f>
        <v/>
      </c>
      <c r="FB72" s="44" t="str">
        <f>IF(Table1[Date of Initial Assessment]="","",IF(AND(Table1[Start Date]&gt;42094,Table1[Start Date]&lt;42461),Table1[Self-Care and Living Skills],""))</f>
        <v/>
      </c>
      <c r="FC72" s="44" t="str">
        <f>IF(Table1[Date of Initial Assessment]="","",IF(AND(Table1[Start Date]&gt;42094,Table1[Start Date]&lt;42461),Table1[Managing Money and Personal Administration],""))</f>
        <v/>
      </c>
      <c r="FD72" s="44" t="str">
        <f>IF(Table1[Date of Initial Assessment]="","",IF(AND(Table1[Start Date]&gt;42094,Table1[Start Date]&lt;42461),Table1[Social Networks and Relationships],""))</f>
        <v/>
      </c>
      <c r="FE72" s="44" t="str">
        <f>IF(Table1[Date of Initial Assessment]="","",IF(AND(Table1[Start Date]&gt;42094,Table1[Start Date]&lt;42461),Table1[Drug and Alcohol Misuse],""))</f>
        <v/>
      </c>
      <c r="FF72" s="44" t="str">
        <f>IF(Table1[Date of Initial Assessment]="","",IF(AND(Table1[Start Date]&gt;42094,Table1[Start Date]&lt;42461),Table1[Physical Health],""))</f>
        <v/>
      </c>
      <c r="FG72" s="44" t="str">
        <f>IF(Table1[Date of Initial Assessment]="","",IF(AND(Table1[Start Date]&gt;42094,Table1[Start Date]&lt;42461),Table1[Emotional and Mental Health],""))</f>
        <v/>
      </c>
      <c r="FH72" s="44" t="str">
        <f>IF(Table1[Date of Initial Assessment]="","",IF(AND(Table1[Start Date]&gt;42094,Table1[Start Date]&lt;42461),Table1[Meaningful Use of Time],""))</f>
        <v/>
      </c>
      <c r="FI72" s="44" t="str">
        <f>IF(Table1[Date of Initial Assessment]="","",IF(AND(Table1[Start Date]&gt;42094,Table1[Start Date]&lt;42461),Table1[Managing Tenancy and Accommodation],""))</f>
        <v/>
      </c>
      <c r="FJ72" s="44" t="str">
        <f>IF(Table1[Date of Initial Assessment]="","",IF(AND(Table1[Start Date]&gt;42094,Table1[Start Date]&lt;42461),Table1[Offending],""))</f>
        <v/>
      </c>
      <c r="FK72" s="44" t="str">
        <f>IF(Table1[Leaving Date]="","",IF(Table1[Date of Initial Assessment]="","",IF(AND(Table1[Leaving Date]&gt;42094,Table1[Leaving Date]&lt;42461),IF(Table1[Date of Last Assessment]="",Table1[Motivation and Taking Responsibility],Table1[Motivation and Taking Responsibility2]),"")))</f>
        <v/>
      </c>
      <c r="FL72" s="44" t="str">
        <f>IF(Table1[Leaving Date]="","",IF(Table1[Date of Initial Assessment]="","",IF(AND(Table1[Leaving Date]&gt;42094,Table1[Leaving Date]&lt;42461),IF(Table1[Date of Last Assessment]="",Table1[Self-Care and Living Skills],Table1[Self-Care and Living Skills2]),"")))</f>
        <v/>
      </c>
      <c r="FM72" s="44" t="str">
        <f>IF(Table1[Leaving Date]="","",IF(Table1[Date of Initial Assessment]="","",IF(AND(Table1[Leaving Date]&gt;42094,Table1[Leaving Date]&lt;42461),IF(Table1[Date of Last Assessment]="",Table1[Managing Money and Personal Administration],Table1[Managing Money and Personal Administration2]),"")))</f>
        <v/>
      </c>
      <c r="FN72" s="44" t="str">
        <f>IF(Table1[Leaving Date]="","",IF(Table1[Date of Initial Assessment]="","",IF(AND(Table1[Leaving Date]&gt;42094,Table1[Leaving Date]&lt;42461),IF(Table1[Date of Last Assessment]="",Table1[Social Networks and Relationships],Table1[Social Networks and Relationships2]),"")))</f>
        <v/>
      </c>
      <c r="FO72" s="44" t="str">
        <f>IF(Table1[Leaving Date]="","",IF(Table1[Date of Initial Assessment]="","",IF(AND(Table1[Leaving Date]&gt;42094,Table1[Leaving Date]&lt;42461),IF(Table1[Date of Last Assessment]="",Table1[Drug and Alcohol Misuse],Table1[Drug and Alcohol Misuse2]),"")))</f>
        <v/>
      </c>
      <c r="FP72" s="44" t="str">
        <f>IF(Table1[Leaving Date]="","",IF(Table1[Date of Initial Assessment]="","",IF(AND(Table1[Leaving Date]&gt;42094,Table1[Leaving Date]&lt;42461),IF(Table1[Date of Last Assessment]="",Table1[Physical Health],Table1[Physical Health2]),"")))</f>
        <v/>
      </c>
      <c r="FQ72" s="44" t="str">
        <f>IF(Table1[Leaving Date]="","",IF(Table1[Date of Initial Assessment]="","",IF(AND(Table1[Leaving Date]&gt;42094,Table1[Leaving Date]&lt;42461),IF(Table1[Date of Last Assessment]="",Table1[Emotional and Mental Health],Table1[Emotional and Mental Health2]),"")))</f>
        <v/>
      </c>
      <c r="FR72" s="44" t="str">
        <f>IF(Table1[Leaving Date]="","",IF(Table1[Date of Initial Assessment]="","",IF(AND(Table1[Leaving Date]&gt;42094,Table1[Leaving Date]&lt;42461),IF(Table1[Date of Last Assessment]="",Table1[Meaningful Use of Time],Table1[Meaningful Use of Time2]),"")))</f>
        <v/>
      </c>
      <c r="FS72" s="44" t="str">
        <f>IF(Table1[Leaving Date]="","",IF(Table1[Date of Initial Assessment]="","",IF(AND(Table1[Leaving Date]&gt;42094,Table1[Leaving Date]&lt;42461),IF(Table1[Date of Last Assessment]="",Table1[Managing Tenancy and Accommodation],Table1[Managing Tenancy and Accommodation2]),"")))</f>
        <v/>
      </c>
      <c r="FT72" s="44" t="str">
        <f>IF(Table1[Leaving Date]="","",IF(Table1[Date of Initial Assessment]="","",IF(AND(Table1[Leaving Date]&gt;42094,Table1[Leaving Date]&lt;42461),IF(Table1[Date of Last Assessment]="",Table1[Offending],Table1[Offending2]),"")))</f>
        <v/>
      </c>
      <c r="FU72" s="44" t="str">
        <f>IF(Table1[Date of Initial Assessment]="","",IF(AND(Table1[Start Date]&gt;42460,Table1[Start Date]&lt;42826),Table1[Motivation and Taking Responsibility],""))</f>
        <v/>
      </c>
      <c r="FV72" s="44" t="str">
        <f>IF(Table1[Date of Initial Assessment]="","",IF(AND(Table1[Start Date]&gt;42460,Table1[Start Date]&lt;42826),Table1[Self-Care and Living Skills],""))</f>
        <v/>
      </c>
      <c r="FW72" s="44" t="str">
        <f>IF(Table1[Date of Initial Assessment]="","",IF(AND(Table1[Start Date]&gt;42460,Table1[Start Date]&lt;42826),Table1[Managing Money and Personal Administration],""))</f>
        <v/>
      </c>
      <c r="FX72" s="44" t="str">
        <f>IF(Table1[Date of Initial Assessment]="","",IF(AND(Table1[Start Date]&gt;42460,Table1[Start Date]&lt;42826),Table1[Social Networks and Relationships],""))</f>
        <v/>
      </c>
      <c r="FY72" s="44" t="str">
        <f>IF(Table1[Date of Initial Assessment]="","",IF(AND(Table1[Start Date]&gt;42460,Table1[Start Date]&lt;42826),Table1[Drug and Alcohol Misuse],""))</f>
        <v/>
      </c>
      <c r="FZ72" s="44" t="str">
        <f>IF(Table1[Date of Initial Assessment]="","",IF(AND(Table1[Start Date]&gt;42460,Table1[Start Date]&lt;42826),Table1[Physical Health],""))</f>
        <v/>
      </c>
      <c r="GA72" s="44" t="str">
        <f>IF(Table1[Date of Initial Assessment]="","",IF(AND(Table1[Start Date]&gt;42460,Table1[Start Date]&lt;42826),Table1[Emotional and Mental Health],""))</f>
        <v/>
      </c>
      <c r="GB72" s="44" t="str">
        <f>IF(Table1[Date of Initial Assessment]="","",IF(AND(Table1[Start Date]&gt;42460,Table1[Start Date]&lt;42826),Table1[Meaningful Use of Time],""))</f>
        <v/>
      </c>
      <c r="GC72" s="44" t="str">
        <f>IF(Table1[Date of Initial Assessment]="","",IF(AND(Table1[Start Date]&gt;42460,Table1[Start Date]&lt;42826),Table1[Managing Tenancy and Accommodation],""))</f>
        <v/>
      </c>
      <c r="GD72" s="44" t="str">
        <f>IF(Table1[Date of Initial Assessment]="","",IF(AND(Table1[Start Date]&gt;42460,Table1[Start Date]&lt;42826),Table1[Offending],""))</f>
        <v/>
      </c>
      <c r="GE72" s="44" t="str">
        <f>IF(Table1[Leaving Date]="","",IF(AND(Table1[Leaving Date]&gt;42460,Table1[Leaving Date]&lt;42826),IF(Table1[Date of Last Assessment]="",Table1[Motivation and Taking Responsibility],Table1[Motivation and Taking Responsibility2]),""))</f>
        <v/>
      </c>
      <c r="GF72" s="44" t="str">
        <f>IF(Table1[Leaving Date]="","",IF(AND(Table1[Leaving Date]&gt;42460,Table1[Leaving Date]&lt;42826),IF(Table1[Date of Last Assessment]="",Table1[Self-Care and Living Skills],Table1[Self-Care and Living Skills2]),""))</f>
        <v/>
      </c>
      <c r="GG72" s="44" t="str">
        <f>IF(Table1[Leaving Date]="","",IF(AND(Table1[Leaving Date]&gt;42460,Table1[Leaving Date]&lt;42826),IF(Table1[Date of Last Assessment]="",Table1[Managing Money and Personal Administration],Table1[Managing Money and Personal Administration2]),""))</f>
        <v/>
      </c>
      <c r="GH72" s="44" t="str">
        <f>IF(Table1[Leaving Date]="","",IF(AND(Table1[Leaving Date]&gt;42460,Table1[Leaving Date]&lt;42826),IF(Table1[Date of Last Assessment]="",Table1[Social Networks and Relationships],Table1[Social Networks and Relationships2]),""))</f>
        <v/>
      </c>
      <c r="GI72" s="44" t="str">
        <f>IF(Table1[Leaving Date]="","",IF(AND(Table1[Leaving Date]&gt;42460,Table1[Leaving Date]&lt;42826),IF(Table1[Date of Last Assessment]="",Table1[Drug and Alcohol Misuse],Table1[Drug and Alcohol Misuse2]),""))</f>
        <v/>
      </c>
      <c r="GJ72" s="44" t="str">
        <f>IF(Table1[Leaving Date]="","",IF(AND(Table1[Leaving Date]&gt;42460,Table1[Leaving Date]&lt;42826),IF(Table1[Date of Last Assessment]="",Table1[Physical Health],Table1[Physical Health2]),""))</f>
        <v/>
      </c>
      <c r="GK72" s="44" t="str">
        <f>IF(Table1[Leaving Date]="","",IF(AND(Table1[Leaving Date]&gt;42460,Table1[Leaving Date]&lt;42826),IF(Table1[Date of Last Assessment]="",Table1[Emotional and Mental Health],Table1[Emotional and Mental Health2]),""))</f>
        <v/>
      </c>
      <c r="GL72" s="44" t="str">
        <f>IF(Table1[Leaving Date]="","",IF(AND(Table1[Leaving Date]&gt;42460,Table1[Leaving Date]&lt;42826),IF(Table1[Date of Last Assessment]="",Table1[Meaningful Use of Time],Table1[Meaningful Use of Time2]),""))</f>
        <v/>
      </c>
      <c r="GM72" s="44" t="str">
        <f>IF(Table1[Leaving Date]="","",IF(AND(Table1[Leaving Date]&gt;42460,Table1[Leaving Date]&lt;42826),IF(Table1[Date of Last Assessment]="",Table1[Managing Tenancy and Accommodation],Table1[Managing Tenancy and Accommodation2]),""))</f>
        <v/>
      </c>
      <c r="GN72" s="44" t="str">
        <f>IF(Table1[Leaving Date]="","",IF(AND(Table1[Leaving Date]&gt;42460,Table1[Leaving Date]&lt;42826),IF(Table1[Date of Last Assessment]="",Table1[Offending],Table1[Offending2]),""))</f>
        <v/>
      </c>
    </row>
    <row r="73" spans="2:196" ht="20.100000000000001" customHeight="1" x14ac:dyDescent="0.2">
      <c r="B73" s="86">
        <f>+'Service Data'!$C$5:$C$5</f>
        <v>0</v>
      </c>
      <c r="C73" s="86"/>
      <c r="D73" s="86"/>
      <c r="E73" s="86"/>
      <c r="F73" s="86"/>
      <c r="G73" s="86"/>
      <c r="H73" s="6"/>
      <c r="I73" s="99" t="str">
        <f ca="1">IF(Table1[[#This Row],[Date of Birth]]="","",SUM(TODAY()-Table1[[#This Row],[Date of Birth]])/365)</f>
        <v/>
      </c>
      <c r="L73" s="86"/>
      <c r="M73" s="77"/>
      <c r="N73" s="86"/>
      <c r="O73" s="86"/>
      <c r="P73" s="91"/>
      <c r="Q73" s="86"/>
      <c r="R73" s="77"/>
      <c r="S73" s="77"/>
      <c r="T73" s="68"/>
      <c r="U73" s="68"/>
      <c r="V73" s="67"/>
      <c r="W73" s="67"/>
      <c r="X73" s="67"/>
      <c r="Y73" s="67"/>
      <c r="Z73" s="67"/>
      <c r="AA73" s="67"/>
      <c r="AB73" s="67"/>
      <c r="AC73" s="67"/>
      <c r="AD73" s="67"/>
      <c r="AE73" s="67"/>
      <c r="AF73" s="67"/>
      <c r="AG73" s="67"/>
      <c r="AH73" s="67"/>
      <c r="AI73" s="67"/>
      <c r="AJ73" s="67"/>
      <c r="AK73" s="67"/>
      <c r="AL73" s="67"/>
      <c r="AM73" s="67"/>
      <c r="AN73" s="77"/>
      <c r="AO73" s="76"/>
      <c r="AP73" s="77"/>
      <c r="AQ73" s="76"/>
      <c r="AR73" s="76"/>
      <c r="AS73" s="76"/>
      <c r="AT73" s="76"/>
      <c r="AU73" s="76"/>
      <c r="AV73" s="77"/>
      <c r="AW73" s="76"/>
      <c r="AX73" s="77"/>
      <c r="AY73" s="76"/>
      <c r="AZ73" s="76"/>
      <c r="BA73" s="76"/>
      <c r="BB73" s="76"/>
      <c r="BC73" s="76"/>
      <c r="BD73" s="77"/>
      <c r="BE73" s="76"/>
      <c r="BF73" s="77"/>
      <c r="BG73" s="76"/>
      <c r="BH73" s="76"/>
      <c r="BI73" s="76"/>
      <c r="BJ73" s="76"/>
      <c r="BK73" s="76"/>
      <c r="BL73" s="77"/>
      <c r="BM73" s="76"/>
      <c r="BN73" s="77"/>
      <c r="BO73" s="76"/>
      <c r="BP73" s="76"/>
      <c r="BQ73" s="76"/>
      <c r="BR73" s="76"/>
      <c r="BS73" s="76"/>
      <c r="BT73" s="77"/>
      <c r="BU73" s="76"/>
      <c r="BV73" s="77"/>
      <c r="BW73" s="76"/>
      <c r="BX73" s="76"/>
      <c r="BY73" s="76"/>
      <c r="BZ73" s="76"/>
      <c r="CA73" s="76"/>
      <c r="CB73" s="77"/>
      <c r="CC73" s="76"/>
      <c r="CD73" s="77"/>
      <c r="CE73" s="76"/>
      <c r="CF73" s="76"/>
      <c r="CG73" s="76"/>
      <c r="CH73" s="76"/>
      <c r="CI73" s="76"/>
      <c r="CJ73" s="77"/>
      <c r="CK73" s="76"/>
      <c r="CL73" s="77"/>
      <c r="CM73" s="76"/>
      <c r="CN73" s="76"/>
      <c r="CO73" s="76"/>
      <c r="CP73" s="76"/>
      <c r="CQ73" s="76"/>
      <c r="CR73" s="78" t="str">
        <f t="shared" si="31"/>
        <v/>
      </c>
      <c r="CS73" s="79" t="str">
        <f t="shared" si="32"/>
        <v/>
      </c>
      <c r="CT73" s="79" t="str">
        <f t="shared" si="33"/>
        <v/>
      </c>
      <c r="CU73" s="79" t="str">
        <f t="shared" si="34"/>
        <v/>
      </c>
      <c r="CV73" s="79" t="str">
        <f t="shared" si="35"/>
        <v/>
      </c>
      <c r="CW73" s="79" t="str">
        <f t="shared" si="36"/>
        <v/>
      </c>
      <c r="CX73" s="79" t="str">
        <f t="shared" si="37"/>
        <v/>
      </c>
      <c r="CY73" s="79" t="str">
        <f t="shared" si="38"/>
        <v/>
      </c>
      <c r="CZ73" s="79" t="str">
        <f t="shared" si="39"/>
        <v/>
      </c>
      <c r="DA73" s="79" t="str">
        <f t="shared" si="40"/>
        <v/>
      </c>
      <c r="DB73" s="79" t="str">
        <f t="shared" si="41"/>
        <v/>
      </c>
      <c r="DC73" s="79" t="str">
        <f t="shared" si="42"/>
        <v/>
      </c>
      <c r="DD73" s="79" t="str">
        <f t="shared" si="43"/>
        <v/>
      </c>
      <c r="DE73" s="79" t="str">
        <f t="shared" si="44"/>
        <v/>
      </c>
      <c r="DF73" s="79" t="str">
        <f t="shared" si="45"/>
        <v/>
      </c>
      <c r="DG73" s="79" t="str">
        <f t="shared" si="46"/>
        <v/>
      </c>
      <c r="DH73" s="76"/>
      <c r="DI73" s="78"/>
      <c r="DJ73" s="76"/>
      <c r="DK73" s="77"/>
      <c r="DL73" s="77"/>
      <c r="DM73" s="77"/>
      <c r="DN73" s="80"/>
      <c r="DO73" s="80"/>
      <c r="DP73" s="92" t="str">
        <f>IF(Table1[Start Date]="","",IF(Table1[Start Date]&gt;42185,"",IF(AND(Table1[Leaving Date]&gt;1,Table1[Leaving Date]&lt;42095),"",1)))</f>
        <v/>
      </c>
      <c r="DQ73" s="92" t="str">
        <f>IF(Table1[Start Date]="","",IF(Table1[Start Date]&gt;42277,"",IF(AND(Table1[Leaving Date]&gt;1,Table1[Leaving Date]&lt;42186),"",1)))</f>
        <v/>
      </c>
      <c r="DR73" s="92" t="str">
        <f>IF(Table1[Start Date]="","",IF(Table1[Start Date]&gt;42369,"",IF(AND(Table1[Leaving Date]&gt;1,Table1[Leaving Date]&lt;42278),"",1)))</f>
        <v/>
      </c>
      <c r="DS73" s="92" t="str">
        <f>IF(Table1[Start Date]="","",IF(Table1[Start Date]&gt;42460,"",IF(AND(Table1[Leaving Date]&gt;1,Table1[Leaving Date]&lt;42370),"",1)))</f>
        <v/>
      </c>
      <c r="DT73" s="92" t="str">
        <f>IF(Table1[Start Date]="","",IF(Table1[Start Date]&gt;42551,"",IF(AND(Table1[Leaving Date]&gt;1,Table1[Leaving Date]&lt;42461),"",1)))</f>
        <v/>
      </c>
      <c r="DU73" s="92" t="str">
        <f>IF(Table1[Start Date]="","",IF(Table1[Start Date]&gt;42643,"",IF(AND(Table1[Leaving Date]&gt;1,Table1[Leaving Date]&lt;42552),"",1)))</f>
        <v/>
      </c>
      <c r="DV73" s="92" t="str">
        <f>IF(Table1[Start Date]="","",IF(Table1[Start Date]&gt;42735,"",IF(AND(Table1[Leaving Date]&gt;1,Table1[Leaving Date]&lt;42644),"",1)))</f>
        <v/>
      </c>
      <c r="DW73" s="92" t="str">
        <f>IF(Table1[Start Date]="","",IF(Table1[Start Date]&gt;42825,"",IF(AND(Table1[Leaving Date]&gt;1,Table1[Leaving Date]&lt;42736),"",1)))</f>
        <v/>
      </c>
      <c r="DX73"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73" s="44" t="e">
        <f>VLOOKUP(Table1[Referral Source],Lists!$G$2:$H$20,2,FALSE)</f>
        <v>#N/A</v>
      </c>
      <c r="DZ73" s="93" t="e">
        <f>SUM(Table1[Data Referral Quarter]+Table1[Data Referral Source])</f>
        <v>#N/A</v>
      </c>
      <c r="EA73" s="44" t="b">
        <f>IF(Table1[Referral Decision]="Accepted",100,IF(Table1[Referral Decision]="Rejected by Provider",200,IF(Table1[Referral Decision]="Rejected by Applicant",300)))</f>
        <v>0</v>
      </c>
      <c r="EB73" s="44">
        <f>SUM(Table1[Data Referral Quarter]+Table1[Data Referral Decision])</f>
        <v>0</v>
      </c>
      <c r="EC73" s="44" t="b">
        <f>IF(Table1[Start Date]&gt;42735,8000,IF(Table1[Start Date]&gt;42643,7000,IF(Table1[Start Date]&gt;42551,6000,IF(Table1[Start Date]&gt;42460,5000,IF(Table1[Start Date]&gt;42369,4000,IF(Table1[Start Date]&gt;42277,3000,IF(Table1[Start Date]&gt;42185,2000,IF(Table1[Start Date]&gt;42094,1000))))))))</f>
        <v>0</v>
      </c>
      <c r="ED73" s="44" t="str">
        <f>IF(Table1[Start Date]="","",IF(Table1[Current Local Authority]="Swindon",1,"2"))</f>
        <v/>
      </c>
      <c r="EE73" s="44" t="e">
        <f>SUM(Table1[Data Start Date]+Table1[Data Local Authority])</f>
        <v>#VALUE!</v>
      </c>
      <c r="EF73" s="44">
        <f>IF(Table1[Registered with GP]="Yes",1,0)</f>
        <v>0</v>
      </c>
      <c r="EG73" s="44">
        <f>SUM(Table1[Data Start Date]+Table1[Data GP Start])</f>
        <v>0</v>
      </c>
      <c r="EH73" s="44" t="str">
        <f>IF(Table1[EET]="NEET",1,IF(Table1[EET]="Education",2,IF(Table1[EET]="Employment",2,IF(Table1[EET]="Training",2,IF(Table1[EET]="Retired",3,"")))))</f>
        <v/>
      </c>
      <c r="EI73" s="44" t="e">
        <f>Table1[Data Start Date]+Table1[Data EET Start]</f>
        <v>#VALUE!</v>
      </c>
      <c r="EJ73" s="44" t="b">
        <f>IF(Table1[Leaving Date]&gt;42735,8000,IF(Table1[Leaving Date]&gt;42643,7000,IF(Table1[Leaving Date]&gt;42551,6000,IF(Table1[Leaving Date]&gt;42460,5000,IF(Table1[Leaving Date]&gt;42369,4000,IF(Table1[Leaving Date]&gt;42277,3000,IF(Table1[Leaving Date]&gt;42185,2000,IF(Table1[Leaving Date]&gt;42094,1000))))))))</f>
        <v>0</v>
      </c>
      <c r="EK73" s="44" t="e">
        <f>VLOOKUP(Table1[Reason for Leaving],Lists!$T$2:$U$15,2,FALSE)</f>
        <v>#N/A</v>
      </c>
      <c r="EL73" s="44" t="e">
        <f>SUM(Table1[Data Leavers Date]+Table1[Data Move On])</f>
        <v>#N/A</v>
      </c>
      <c r="EM73" s="44" t="b">
        <f>IF(Table1[Registered with GP2]="Yes",1,IF(Table1[Registered with GP2]="No",0,IF(Table1[Registered with GP]="Yes",1,IF(Table1[Registered with GP]="No",0))))</f>
        <v>0</v>
      </c>
      <c r="EN73" s="44">
        <f>SUM(Table1[Data Leavers Date]+Table1[Data GP End])</f>
        <v>0</v>
      </c>
      <c r="EO73" s="44" t="str">
        <f>IF(Table1[EET2]="NEET",1,IF(Table1[EET2]="Employment",2,IF(Table1[EET2]="Education",2,IF(Table1[EET2]="Training",2,IF(Table1[EET2]="Retired",3,IF(Table1[EET]="NEET",1,IF(Table1[EET]="Employment",2,IF(Table1[EET]="Education",2,IF(Table1[EET]="Training",2,IF(Table1[EET]="Retired",3,""))))))))))</f>
        <v/>
      </c>
      <c r="EP73" s="44" t="e">
        <f>+Table1[[#This Row],[Data Leavers Date]]+Table1[[#This Row],[Data EET End]]</f>
        <v>#VALUE!</v>
      </c>
      <c r="EQ73" s="44">
        <f>IF(Table1[Exit Form Received]="Yes",1,0)</f>
        <v>0</v>
      </c>
      <c r="ER73" s="44">
        <f>+Table1[[#This Row],[Data Leavers Date]]+Table1[[#This Row],[Data Exit Forms]]</f>
        <v>0</v>
      </c>
      <c r="ES73" s="44" t="str">
        <f>IF(Table1[Data Leavers Date]=1000,SUM(Table1[Leaving Date]-Table1[Start Date]),"")</f>
        <v/>
      </c>
      <c r="ET73" s="44" t="str">
        <f>IF(Table1[Data Leavers Date]=2000,SUM(Table1[Leaving Date]-Table1[Start Date]),"")</f>
        <v/>
      </c>
      <c r="EU73" s="44" t="str">
        <f>IF(Table1[Data Leavers Date]=3000,SUM(Table1[Leaving Date]-Table1[Start Date]),"")</f>
        <v/>
      </c>
      <c r="EV73" s="44" t="str">
        <f>IF(Table1[Data Leavers Date]=4000,SUM(Table1[Leaving Date]-Table1[Start Date]),"")</f>
        <v/>
      </c>
      <c r="EW73" s="44" t="str">
        <f>IF(Table1[Data Leavers Date]=5000,SUM(Table1[Leaving Date]-Table1[Start Date]),"")</f>
        <v/>
      </c>
      <c r="EX73" s="44" t="str">
        <f>IF(Table1[Data Leavers Date]=6000,SUM(Table1[Leaving Date]-Table1[Start Date]),"")</f>
        <v/>
      </c>
      <c r="EY73" s="44" t="str">
        <f>IF(Table1[Data Leavers Date]=7000,SUM(Table1[Leaving Date]-Table1[Start Date]),"")</f>
        <v/>
      </c>
      <c r="EZ73" s="44" t="str">
        <f>IF(Table1[Data Leavers Date]=8000,SUM(Table1[Leaving Date]-Table1[Start Date]),"")</f>
        <v/>
      </c>
      <c r="FA73" s="44" t="str">
        <f>IF(Table1[Date of Initial Assessment]="","",IF(AND(Table1[Start Date]&gt;42094,Table1[Start Date]&lt;42461),Table1[Motivation and Taking Responsibility],""))</f>
        <v/>
      </c>
      <c r="FB73" s="44" t="str">
        <f>IF(Table1[Date of Initial Assessment]="","",IF(AND(Table1[Start Date]&gt;42094,Table1[Start Date]&lt;42461),Table1[Self-Care and Living Skills],""))</f>
        <v/>
      </c>
      <c r="FC73" s="44" t="str">
        <f>IF(Table1[Date of Initial Assessment]="","",IF(AND(Table1[Start Date]&gt;42094,Table1[Start Date]&lt;42461),Table1[Managing Money and Personal Administration],""))</f>
        <v/>
      </c>
      <c r="FD73" s="44" t="str">
        <f>IF(Table1[Date of Initial Assessment]="","",IF(AND(Table1[Start Date]&gt;42094,Table1[Start Date]&lt;42461),Table1[Social Networks and Relationships],""))</f>
        <v/>
      </c>
      <c r="FE73" s="44" t="str">
        <f>IF(Table1[Date of Initial Assessment]="","",IF(AND(Table1[Start Date]&gt;42094,Table1[Start Date]&lt;42461),Table1[Drug and Alcohol Misuse],""))</f>
        <v/>
      </c>
      <c r="FF73" s="44" t="str">
        <f>IF(Table1[Date of Initial Assessment]="","",IF(AND(Table1[Start Date]&gt;42094,Table1[Start Date]&lt;42461),Table1[Physical Health],""))</f>
        <v/>
      </c>
      <c r="FG73" s="44" t="str">
        <f>IF(Table1[Date of Initial Assessment]="","",IF(AND(Table1[Start Date]&gt;42094,Table1[Start Date]&lt;42461),Table1[Emotional and Mental Health],""))</f>
        <v/>
      </c>
      <c r="FH73" s="44" t="str">
        <f>IF(Table1[Date of Initial Assessment]="","",IF(AND(Table1[Start Date]&gt;42094,Table1[Start Date]&lt;42461),Table1[Meaningful Use of Time],""))</f>
        <v/>
      </c>
      <c r="FI73" s="44" t="str">
        <f>IF(Table1[Date of Initial Assessment]="","",IF(AND(Table1[Start Date]&gt;42094,Table1[Start Date]&lt;42461),Table1[Managing Tenancy and Accommodation],""))</f>
        <v/>
      </c>
      <c r="FJ73" s="44" t="str">
        <f>IF(Table1[Date of Initial Assessment]="","",IF(AND(Table1[Start Date]&gt;42094,Table1[Start Date]&lt;42461),Table1[Offending],""))</f>
        <v/>
      </c>
      <c r="FK73" s="44" t="str">
        <f>IF(Table1[Leaving Date]="","",IF(Table1[Date of Initial Assessment]="","",IF(AND(Table1[Leaving Date]&gt;42094,Table1[Leaving Date]&lt;42461),IF(Table1[Date of Last Assessment]="",Table1[Motivation and Taking Responsibility],Table1[Motivation and Taking Responsibility2]),"")))</f>
        <v/>
      </c>
      <c r="FL73" s="44" t="str">
        <f>IF(Table1[Leaving Date]="","",IF(Table1[Date of Initial Assessment]="","",IF(AND(Table1[Leaving Date]&gt;42094,Table1[Leaving Date]&lt;42461),IF(Table1[Date of Last Assessment]="",Table1[Self-Care and Living Skills],Table1[Self-Care and Living Skills2]),"")))</f>
        <v/>
      </c>
      <c r="FM73" s="44" t="str">
        <f>IF(Table1[Leaving Date]="","",IF(Table1[Date of Initial Assessment]="","",IF(AND(Table1[Leaving Date]&gt;42094,Table1[Leaving Date]&lt;42461),IF(Table1[Date of Last Assessment]="",Table1[Managing Money and Personal Administration],Table1[Managing Money and Personal Administration2]),"")))</f>
        <v/>
      </c>
      <c r="FN73" s="44" t="str">
        <f>IF(Table1[Leaving Date]="","",IF(Table1[Date of Initial Assessment]="","",IF(AND(Table1[Leaving Date]&gt;42094,Table1[Leaving Date]&lt;42461),IF(Table1[Date of Last Assessment]="",Table1[Social Networks and Relationships],Table1[Social Networks and Relationships2]),"")))</f>
        <v/>
      </c>
      <c r="FO73" s="44" t="str">
        <f>IF(Table1[Leaving Date]="","",IF(Table1[Date of Initial Assessment]="","",IF(AND(Table1[Leaving Date]&gt;42094,Table1[Leaving Date]&lt;42461),IF(Table1[Date of Last Assessment]="",Table1[Drug and Alcohol Misuse],Table1[Drug and Alcohol Misuse2]),"")))</f>
        <v/>
      </c>
      <c r="FP73" s="44" t="str">
        <f>IF(Table1[Leaving Date]="","",IF(Table1[Date of Initial Assessment]="","",IF(AND(Table1[Leaving Date]&gt;42094,Table1[Leaving Date]&lt;42461),IF(Table1[Date of Last Assessment]="",Table1[Physical Health],Table1[Physical Health2]),"")))</f>
        <v/>
      </c>
      <c r="FQ73" s="44" t="str">
        <f>IF(Table1[Leaving Date]="","",IF(Table1[Date of Initial Assessment]="","",IF(AND(Table1[Leaving Date]&gt;42094,Table1[Leaving Date]&lt;42461),IF(Table1[Date of Last Assessment]="",Table1[Emotional and Mental Health],Table1[Emotional and Mental Health2]),"")))</f>
        <v/>
      </c>
      <c r="FR73" s="44" t="str">
        <f>IF(Table1[Leaving Date]="","",IF(Table1[Date of Initial Assessment]="","",IF(AND(Table1[Leaving Date]&gt;42094,Table1[Leaving Date]&lt;42461),IF(Table1[Date of Last Assessment]="",Table1[Meaningful Use of Time],Table1[Meaningful Use of Time2]),"")))</f>
        <v/>
      </c>
      <c r="FS73" s="44" t="str">
        <f>IF(Table1[Leaving Date]="","",IF(Table1[Date of Initial Assessment]="","",IF(AND(Table1[Leaving Date]&gt;42094,Table1[Leaving Date]&lt;42461),IF(Table1[Date of Last Assessment]="",Table1[Managing Tenancy and Accommodation],Table1[Managing Tenancy and Accommodation2]),"")))</f>
        <v/>
      </c>
      <c r="FT73" s="44" t="str">
        <f>IF(Table1[Leaving Date]="","",IF(Table1[Date of Initial Assessment]="","",IF(AND(Table1[Leaving Date]&gt;42094,Table1[Leaving Date]&lt;42461),IF(Table1[Date of Last Assessment]="",Table1[Offending],Table1[Offending2]),"")))</f>
        <v/>
      </c>
      <c r="FU73" s="44" t="str">
        <f>IF(Table1[Date of Initial Assessment]="","",IF(AND(Table1[Start Date]&gt;42460,Table1[Start Date]&lt;42826),Table1[Motivation and Taking Responsibility],""))</f>
        <v/>
      </c>
      <c r="FV73" s="44" t="str">
        <f>IF(Table1[Date of Initial Assessment]="","",IF(AND(Table1[Start Date]&gt;42460,Table1[Start Date]&lt;42826),Table1[Self-Care and Living Skills],""))</f>
        <v/>
      </c>
      <c r="FW73" s="44" t="str">
        <f>IF(Table1[Date of Initial Assessment]="","",IF(AND(Table1[Start Date]&gt;42460,Table1[Start Date]&lt;42826),Table1[Managing Money and Personal Administration],""))</f>
        <v/>
      </c>
      <c r="FX73" s="44" t="str">
        <f>IF(Table1[Date of Initial Assessment]="","",IF(AND(Table1[Start Date]&gt;42460,Table1[Start Date]&lt;42826),Table1[Social Networks and Relationships],""))</f>
        <v/>
      </c>
      <c r="FY73" s="44" t="str">
        <f>IF(Table1[Date of Initial Assessment]="","",IF(AND(Table1[Start Date]&gt;42460,Table1[Start Date]&lt;42826),Table1[Drug and Alcohol Misuse],""))</f>
        <v/>
      </c>
      <c r="FZ73" s="44" t="str">
        <f>IF(Table1[Date of Initial Assessment]="","",IF(AND(Table1[Start Date]&gt;42460,Table1[Start Date]&lt;42826),Table1[Physical Health],""))</f>
        <v/>
      </c>
      <c r="GA73" s="44" t="str">
        <f>IF(Table1[Date of Initial Assessment]="","",IF(AND(Table1[Start Date]&gt;42460,Table1[Start Date]&lt;42826),Table1[Emotional and Mental Health],""))</f>
        <v/>
      </c>
      <c r="GB73" s="44" t="str">
        <f>IF(Table1[Date of Initial Assessment]="","",IF(AND(Table1[Start Date]&gt;42460,Table1[Start Date]&lt;42826),Table1[Meaningful Use of Time],""))</f>
        <v/>
      </c>
      <c r="GC73" s="44" t="str">
        <f>IF(Table1[Date of Initial Assessment]="","",IF(AND(Table1[Start Date]&gt;42460,Table1[Start Date]&lt;42826),Table1[Managing Tenancy and Accommodation],""))</f>
        <v/>
      </c>
      <c r="GD73" s="44" t="str">
        <f>IF(Table1[Date of Initial Assessment]="","",IF(AND(Table1[Start Date]&gt;42460,Table1[Start Date]&lt;42826),Table1[Offending],""))</f>
        <v/>
      </c>
      <c r="GE73" s="44" t="str">
        <f>IF(Table1[Leaving Date]="","",IF(AND(Table1[Leaving Date]&gt;42460,Table1[Leaving Date]&lt;42826),IF(Table1[Date of Last Assessment]="",Table1[Motivation and Taking Responsibility],Table1[Motivation and Taking Responsibility2]),""))</f>
        <v/>
      </c>
      <c r="GF73" s="44" t="str">
        <f>IF(Table1[Leaving Date]="","",IF(AND(Table1[Leaving Date]&gt;42460,Table1[Leaving Date]&lt;42826),IF(Table1[Date of Last Assessment]="",Table1[Self-Care and Living Skills],Table1[Self-Care and Living Skills2]),""))</f>
        <v/>
      </c>
      <c r="GG73" s="44" t="str">
        <f>IF(Table1[Leaving Date]="","",IF(AND(Table1[Leaving Date]&gt;42460,Table1[Leaving Date]&lt;42826),IF(Table1[Date of Last Assessment]="",Table1[Managing Money and Personal Administration],Table1[Managing Money and Personal Administration2]),""))</f>
        <v/>
      </c>
      <c r="GH73" s="44" t="str">
        <f>IF(Table1[Leaving Date]="","",IF(AND(Table1[Leaving Date]&gt;42460,Table1[Leaving Date]&lt;42826),IF(Table1[Date of Last Assessment]="",Table1[Social Networks and Relationships],Table1[Social Networks and Relationships2]),""))</f>
        <v/>
      </c>
      <c r="GI73" s="44" t="str">
        <f>IF(Table1[Leaving Date]="","",IF(AND(Table1[Leaving Date]&gt;42460,Table1[Leaving Date]&lt;42826),IF(Table1[Date of Last Assessment]="",Table1[Drug and Alcohol Misuse],Table1[Drug and Alcohol Misuse2]),""))</f>
        <v/>
      </c>
      <c r="GJ73" s="44" t="str">
        <f>IF(Table1[Leaving Date]="","",IF(AND(Table1[Leaving Date]&gt;42460,Table1[Leaving Date]&lt;42826),IF(Table1[Date of Last Assessment]="",Table1[Physical Health],Table1[Physical Health2]),""))</f>
        <v/>
      </c>
      <c r="GK73" s="44" t="str">
        <f>IF(Table1[Leaving Date]="","",IF(AND(Table1[Leaving Date]&gt;42460,Table1[Leaving Date]&lt;42826),IF(Table1[Date of Last Assessment]="",Table1[Emotional and Mental Health],Table1[Emotional and Mental Health2]),""))</f>
        <v/>
      </c>
      <c r="GL73" s="44" t="str">
        <f>IF(Table1[Leaving Date]="","",IF(AND(Table1[Leaving Date]&gt;42460,Table1[Leaving Date]&lt;42826),IF(Table1[Date of Last Assessment]="",Table1[Meaningful Use of Time],Table1[Meaningful Use of Time2]),""))</f>
        <v/>
      </c>
      <c r="GM73" s="44" t="str">
        <f>IF(Table1[Leaving Date]="","",IF(AND(Table1[Leaving Date]&gt;42460,Table1[Leaving Date]&lt;42826),IF(Table1[Date of Last Assessment]="",Table1[Managing Tenancy and Accommodation],Table1[Managing Tenancy and Accommodation2]),""))</f>
        <v/>
      </c>
      <c r="GN73" s="44" t="str">
        <f>IF(Table1[Leaving Date]="","",IF(AND(Table1[Leaving Date]&gt;42460,Table1[Leaving Date]&lt;42826),IF(Table1[Date of Last Assessment]="",Table1[Offending],Table1[Offending2]),""))</f>
        <v/>
      </c>
    </row>
    <row r="74" spans="2:196" ht="20.100000000000001" customHeight="1" x14ac:dyDescent="0.2">
      <c r="B74" s="86">
        <f>+'Service Data'!$C$5:$C$5</f>
        <v>0</v>
      </c>
      <c r="C74" s="86"/>
      <c r="D74" s="86"/>
      <c r="E74" s="86"/>
      <c r="F74" s="86"/>
      <c r="G74" s="86"/>
      <c r="H74" s="6"/>
      <c r="I74" s="99" t="str">
        <f ca="1">IF(Table1[[#This Row],[Date of Birth]]="","",SUM(TODAY()-Table1[[#This Row],[Date of Birth]])/365)</f>
        <v/>
      </c>
      <c r="L74" s="86"/>
      <c r="M74" s="77"/>
      <c r="N74" s="86"/>
      <c r="O74" s="86"/>
      <c r="P74" s="91"/>
      <c r="Q74" s="86"/>
      <c r="R74" s="77"/>
      <c r="S74" s="77"/>
      <c r="T74" s="68"/>
      <c r="U74" s="68"/>
      <c r="V74" s="67"/>
      <c r="W74" s="67"/>
      <c r="X74" s="67"/>
      <c r="Y74" s="67"/>
      <c r="Z74" s="67"/>
      <c r="AA74" s="67"/>
      <c r="AB74" s="67"/>
      <c r="AC74" s="67"/>
      <c r="AD74" s="67"/>
      <c r="AE74" s="67"/>
      <c r="AF74" s="67"/>
      <c r="AG74" s="67"/>
      <c r="AH74" s="67"/>
      <c r="AI74" s="67"/>
      <c r="AJ74" s="67"/>
      <c r="AK74" s="67"/>
      <c r="AL74" s="67"/>
      <c r="AM74" s="67"/>
      <c r="AN74" s="77"/>
      <c r="AO74" s="76"/>
      <c r="AP74" s="77"/>
      <c r="AQ74" s="76"/>
      <c r="AR74" s="76"/>
      <c r="AS74" s="76"/>
      <c r="AT74" s="76"/>
      <c r="AU74" s="76"/>
      <c r="AV74" s="77"/>
      <c r="AW74" s="76"/>
      <c r="AX74" s="77"/>
      <c r="AY74" s="76"/>
      <c r="AZ74" s="76"/>
      <c r="BA74" s="76"/>
      <c r="BB74" s="76"/>
      <c r="BC74" s="76"/>
      <c r="BD74" s="77"/>
      <c r="BE74" s="76"/>
      <c r="BF74" s="77"/>
      <c r="BG74" s="76"/>
      <c r="BH74" s="76"/>
      <c r="BI74" s="76"/>
      <c r="BJ74" s="76"/>
      <c r="BK74" s="76"/>
      <c r="BL74" s="77"/>
      <c r="BM74" s="76"/>
      <c r="BN74" s="77"/>
      <c r="BO74" s="76"/>
      <c r="BP74" s="76"/>
      <c r="BQ74" s="76"/>
      <c r="BR74" s="76"/>
      <c r="BS74" s="76"/>
      <c r="BT74" s="77"/>
      <c r="BU74" s="76"/>
      <c r="BV74" s="77"/>
      <c r="BW74" s="76"/>
      <c r="BX74" s="76"/>
      <c r="BY74" s="76"/>
      <c r="BZ74" s="76"/>
      <c r="CA74" s="76"/>
      <c r="CB74" s="77"/>
      <c r="CC74" s="76"/>
      <c r="CD74" s="77"/>
      <c r="CE74" s="76"/>
      <c r="CF74" s="76"/>
      <c r="CG74" s="76"/>
      <c r="CH74" s="76"/>
      <c r="CI74" s="76"/>
      <c r="CJ74" s="77"/>
      <c r="CK74" s="76"/>
      <c r="CL74" s="77"/>
      <c r="CM74" s="76"/>
      <c r="CN74" s="76"/>
      <c r="CO74" s="76"/>
      <c r="CP74" s="76"/>
      <c r="CQ74" s="76"/>
      <c r="CR74" s="78" t="str">
        <f t="shared" si="31"/>
        <v/>
      </c>
      <c r="CS74" s="79" t="str">
        <f t="shared" si="32"/>
        <v/>
      </c>
      <c r="CT74" s="79" t="str">
        <f t="shared" si="33"/>
        <v/>
      </c>
      <c r="CU74" s="79" t="str">
        <f t="shared" si="34"/>
        <v/>
      </c>
      <c r="CV74" s="79" t="str">
        <f t="shared" si="35"/>
        <v/>
      </c>
      <c r="CW74" s="79" t="str">
        <f t="shared" si="36"/>
        <v/>
      </c>
      <c r="CX74" s="79" t="str">
        <f t="shared" si="37"/>
        <v/>
      </c>
      <c r="CY74" s="79" t="str">
        <f t="shared" si="38"/>
        <v/>
      </c>
      <c r="CZ74" s="79" t="str">
        <f t="shared" si="39"/>
        <v/>
      </c>
      <c r="DA74" s="79" t="str">
        <f t="shared" si="40"/>
        <v/>
      </c>
      <c r="DB74" s="79" t="str">
        <f t="shared" si="41"/>
        <v/>
      </c>
      <c r="DC74" s="79" t="str">
        <f t="shared" si="42"/>
        <v/>
      </c>
      <c r="DD74" s="79" t="str">
        <f t="shared" si="43"/>
        <v/>
      </c>
      <c r="DE74" s="79" t="str">
        <f t="shared" si="44"/>
        <v/>
      </c>
      <c r="DF74" s="79" t="str">
        <f t="shared" si="45"/>
        <v/>
      </c>
      <c r="DG74" s="79" t="str">
        <f t="shared" si="46"/>
        <v/>
      </c>
      <c r="DH74" s="76"/>
      <c r="DI74" s="78"/>
      <c r="DJ74" s="76"/>
      <c r="DK74" s="77"/>
      <c r="DL74" s="77"/>
      <c r="DM74" s="77"/>
      <c r="DN74" s="80"/>
      <c r="DO74" s="80"/>
      <c r="DP74" s="92" t="str">
        <f>IF(Table1[Start Date]="","",IF(Table1[Start Date]&gt;42185,"",IF(AND(Table1[Leaving Date]&gt;1,Table1[Leaving Date]&lt;42095),"",1)))</f>
        <v/>
      </c>
      <c r="DQ74" s="92" t="str">
        <f>IF(Table1[Start Date]="","",IF(Table1[Start Date]&gt;42277,"",IF(AND(Table1[Leaving Date]&gt;1,Table1[Leaving Date]&lt;42186),"",1)))</f>
        <v/>
      </c>
      <c r="DR74" s="92" t="str">
        <f>IF(Table1[Start Date]="","",IF(Table1[Start Date]&gt;42369,"",IF(AND(Table1[Leaving Date]&gt;1,Table1[Leaving Date]&lt;42278),"",1)))</f>
        <v/>
      </c>
      <c r="DS74" s="92" t="str">
        <f>IF(Table1[Start Date]="","",IF(Table1[Start Date]&gt;42460,"",IF(AND(Table1[Leaving Date]&gt;1,Table1[Leaving Date]&lt;42370),"",1)))</f>
        <v/>
      </c>
      <c r="DT74" s="92" t="str">
        <f>IF(Table1[Start Date]="","",IF(Table1[Start Date]&gt;42551,"",IF(AND(Table1[Leaving Date]&gt;1,Table1[Leaving Date]&lt;42461),"",1)))</f>
        <v/>
      </c>
      <c r="DU74" s="92" t="str">
        <f>IF(Table1[Start Date]="","",IF(Table1[Start Date]&gt;42643,"",IF(AND(Table1[Leaving Date]&gt;1,Table1[Leaving Date]&lt;42552),"",1)))</f>
        <v/>
      </c>
      <c r="DV74" s="92" t="str">
        <f>IF(Table1[Start Date]="","",IF(Table1[Start Date]&gt;42735,"",IF(AND(Table1[Leaving Date]&gt;1,Table1[Leaving Date]&lt;42644),"",1)))</f>
        <v/>
      </c>
      <c r="DW74" s="92" t="str">
        <f>IF(Table1[Start Date]="","",IF(Table1[Start Date]&gt;42825,"",IF(AND(Table1[Leaving Date]&gt;1,Table1[Leaving Date]&lt;42736),"",1)))</f>
        <v/>
      </c>
      <c r="DX74"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74" s="44" t="e">
        <f>VLOOKUP(Table1[Referral Source],Lists!$G$2:$H$20,2,FALSE)</f>
        <v>#N/A</v>
      </c>
      <c r="DZ74" s="93" t="e">
        <f>SUM(Table1[Data Referral Quarter]+Table1[Data Referral Source])</f>
        <v>#N/A</v>
      </c>
      <c r="EA74" s="44" t="b">
        <f>IF(Table1[Referral Decision]="Accepted",100,IF(Table1[Referral Decision]="Rejected by Provider",200,IF(Table1[Referral Decision]="Rejected by Applicant",300)))</f>
        <v>0</v>
      </c>
      <c r="EB74" s="44">
        <f>SUM(Table1[Data Referral Quarter]+Table1[Data Referral Decision])</f>
        <v>0</v>
      </c>
      <c r="EC74" s="44" t="b">
        <f>IF(Table1[Start Date]&gt;42735,8000,IF(Table1[Start Date]&gt;42643,7000,IF(Table1[Start Date]&gt;42551,6000,IF(Table1[Start Date]&gt;42460,5000,IF(Table1[Start Date]&gt;42369,4000,IF(Table1[Start Date]&gt;42277,3000,IF(Table1[Start Date]&gt;42185,2000,IF(Table1[Start Date]&gt;42094,1000))))))))</f>
        <v>0</v>
      </c>
      <c r="ED74" s="44" t="str">
        <f>IF(Table1[Start Date]="","",IF(Table1[Current Local Authority]="Swindon",1,"2"))</f>
        <v/>
      </c>
      <c r="EE74" s="44" t="e">
        <f>SUM(Table1[Data Start Date]+Table1[Data Local Authority])</f>
        <v>#VALUE!</v>
      </c>
      <c r="EF74" s="44">
        <f>IF(Table1[Registered with GP]="Yes",1,0)</f>
        <v>0</v>
      </c>
      <c r="EG74" s="44">
        <f>SUM(Table1[Data Start Date]+Table1[Data GP Start])</f>
        <v>0</v>
      </c>
      <c r="EH74" s="44" t="str">
        <f>IF(Table1[EET]="NEET",1,IF(Table1[EET]="Education",2,IF(Table1[EET]="Employment",2,IF(Table1[EET]="Training",2,IF(Table1[EET]="Retired",3,"")))))</f>
        <v/>
      </c>
      <c r="EI74" s="44" t="e">
        <f>Table1[Data Start Date]+Table1[Data EET Start]</f>
        <v>#VALUE!</v>
      </c>
      <c r="EJ74" s="44" t="b">
        <f>IF(Table1[Leaving Date]&gt;42735,8000,IF(Table1[Leaving Date]&gt;42643,7000,IF(Table1[Leaving Date]&gt;42551,6000,IF(Table1[Leaving Date]&gt;42460,5000,IF(Table1[Leaving Date]&gt;42369,4000,IF(Table1[Leaving Date]&gt;42277,3000,IF(Table1[Leaving Date]&gt;42185,2000,IF(Table1[Leaving Date]&gt;42094,1000))))))))</f>
        <v>0</v>
      </c>
      <c r="EK74" s="44" t="e">
        <f>VLOOKUP(Table1[Reason for Leaving],Lists!$T$2:$U$15,2,FALSE)</f>
        <v>#N/A</v>
      </c>
      <c r="EL74" s="44" t="e">
        <f>SUM(Table1[Data Leavers Date]+Table1[Data Move On])</f>
        <v>#N/A</v>
      </c>
      <c r="EM74" s="44" t="b">
        <f>IF(Table1[Registered with GP2]="Yes",1,IF(Table1[Registered with GP2]="No",0,IF(Table1[Registered with GP]="Yes",1,IF(Table1[Registered with GP]="No",0))))</f>
        <v>0</v>
      </c>
      <c r="EN74" s="44">
        <f>SUM(Table1[Data Leavers Date]+Table1[Data GP End])</f>
        <v>0</v>
      </c>
      <c r="EO74" s="44" t="str">
        <f>IF(Table1[EET2]="NEET",1,IF(Table1[EET2]="Employment",2,IF(Table1[EET2]="Education",2,IF(Table1[EET2]="Training",2,IF(Table1[EET2]="Retired",3,IF(Table1[EET]="NEET",1,IF(Table1[EET]="Employment",2,IF(Table1[EET]="Education",2,IF(Table1[EET]="Training",2,IF(Table1[EET]="Retired",3,""))))))))))</f>
        <v/>
      </c>
      <c r="EP74" s="44" t="e">
        <f>+Table1[[#This Row],[Data Leavers Date]]+Table1[[#This Row],[Data EET End]]</f>
        <v>#VALUE!</v>
      </c>
      <c r="EQ74" s="44">
        <f>IF(Table1[Exit Form Received]="Yes",1,0)</f>
        <v>0</v>
      </c>
      <c r="ER74" s="44">
        <f>+Table1[[#This Row],[Data Leavers Date]]+Table1[[#This Row],[Data Exit Forms]]</f>
        <v>0</v>
      </c>
      <c r="ES74" s="44" t="str">
        <f>IF(Table1[Data Leavers Date]=1000,SUM(Table1[Leaving Date]-Table1[Start Date]),"")</f>
        <v/>
      </c>
      <c r="ET74" s="44" t="str">
        <f>IF(Table1[Data Leavers Date]=2000,SUM(Table1[Leaving Date]-Table1[Start Date]),"")</f>
        <v/>
      </c>
      <c r="EU74" s="44" t="str">
        <f>IF(Table1[Data Leavers Date]=3000,SUM(Table1[Leaving Date]-Table1[Start Date]),"")</f>
        <v/>
      </c>
      <c r="EV74" s="44" t="str">
        <f>IF(Table1[Data Leavers Date]=4000,SUM(Table1[Leaving Date]-Table1[Start Date]),"")</f>
        <v/>
      </c>
      <c r="EW74" s="44" t="str">
        <f>IF(Table1[Data Leavers Date]=5000,SUM(Table1[Leaving Date]-Table1[Start Date]),"")</f>
        <v/>
      </c>
      <c r="EX74" s="44" t="str">
        <f>IF(Table1[Data Leavers Date]=6000,SUM(Table1[Leaving Date]-Table1[Start Date]),"")</f>
        <v/>
      </c>
      <c r="EY74" s="44" t="str">
        <f>IF(Table1[Data Leavers Date]=7000,SUM(Table1[Leaving Date]-Table1[Start Date]),"")</f>
        <v/>
      </c>
      <c r="EZ74" s="44" t="str">
        <f>IF(Table1[Data Leavers Date]=8000,SUM(Table1[Leaving Date]-Table1[Start Date]),"")</f>
        <v/>
      </c>
      <c r="FA74" s="44" t="str">
        <f>IF(Table1[Date of Initial Assessment]="","",IF(AND(Table1[Start Date]&gt;42094,Table1[Start Date]&lt;42461),Table1[Motivation and Taking Responsibility],""))</f>
        <v/>
      </c>
      <c r="FB74" s="44" t="str">
        <f>IF(Table1[Date of Initial Assessment]="","",IF(AND(Table1[Start Date]&gt;42094,Table1[Start Date]&lt;42461),Table1[Self-Care and Living Skills],""))</f>
        <v/>
      </c>
      <c r="FC74" s="44" t="str">
        <f>IF(Table1[Date of Initial Assessment]="","",IF(AND(Table1[Start Date]&gt;42094,Table1[Start Date]&lt;42461),Table1[Managing Money and Personal Administration],""))</f>
        <v/>
      </c>
      <c r="FD74" s="44" t="str">
        <f>IF(Table1[Date of Initial Assessment]="","",IF(AND(Table1[Start Date]&gt;42094,Table1[Start Date]&lt;42461),Table1[Social Networks and Relationships],""))</f>
        <v/>
      </c>
      <c r="FE74" s="44" t="str">
        <f>IF(Table1[Date of Initial Assessment]="","",IF(AND(Table1[Start Date]&gt;42094,Table1[Start Date]&lt;42461),Table1[Drug and Alcohol Misuse],""))</f>
        <v/>
      </c>
      <c r="FF74" s="44" t="str">
        <f>IF(Table1[Date of Initial Assessment]="","",IF(AND(Table1[Start Date]&gt;42094,Table1[Start Date]&lt;42461),Table1[Physical Health],""))</f>
        <v/>
      </c>
      <c r="FG74" s="44" t="str">
        <f>IF(Table1[Date of Initial Assessment]="","",IF(AND(Table1[Start Date]&gt;42094,Table1[Start Date]&lt;42461),Table1[Emotional and Mental Health],""))</f>
        <v/>
      </c>
      <c r="FH74" s="44" t="str">
        <f>IF(Table1[Date of Initial Assessment]="","",IF(AND(Table1[Start Date]&gt;42094,Table1[Start Date]&lt;42461),Table1[Meaningful Use of Time],""))</f>
        <v/>
      </c>
      <c r="FI74" s="44" t="str">
        <f>IF(Table1[Date of Initial Assessment]="","",IF(AND(Table1[Start Date]&gt;42094,Table1[Start Date]&lt;42461),Table1[Managing Tenancy and Accommodation],""))</f>
        <v/>
      </c>
      <c r="FJ74" s="44" t="str">
        <f>IF(Table1[Date of Initial Assessment]="","",IF(AND(Table1[Start Date]&gt;42094,Table1[Start Date]&lt;42461),Table1[Offending],""))</f>
        <v/>
      </c>
      <c r="FK74" s="44" t="str">
        <f>IF(Table1[Leaving Date]="","",IF(Table1[Date of Initial Assessment]="","",IF(AND(Table1[Leaving Date]&gt;42094,Table1[Leaving Date]&lt;42461),IF(Table1[Date of Last Assessment]="",Table1[Motivation and Taking Responsibility],Table1[Motivation and Taking Responsibility2]),"")))</f>
        <v/>
      </c>
      <c r="FL74" s="44" t="str">
        <f>IF(Table1[Leaving Date]="","",IF(Table1[Date of Initial Assessment]="","",IF(AND(Table1[Leaving Date]&gt;42094,Table1[Leaving Date]&lt;42461),IF(Table1[Date of Last Assessment]="",Table1[Self-Care and Living Skills],Table1[Self-Care and Living Skills2]),"")))</f>
        <v/>
      </c>
      <c r="FM74" s="44" t="str">
        <f>IF(Table1[Leaving Date]="","",IF(Table1[Date of Initial Assessment]="","",IF(AND(Table1[Leaving Date]&gt;42094,Table1[Leaving Date]&lt;42461),IF(Table1[Date of Last Assessment]="",Table1[Managing Money and Personal Administration],Table1[Managing Money and Personal Administration2]),"")))</f>
        <v/>
      </c>
      <c r="FN74" s="44" t="str">
        <f>IF(Table1[Leaving Date]="","",IF(Table1[Date of Initial Assessment]="","",IF(AND(Table1[Leaving Date]&gt;42094,Table1[Leaving Date]&lt;42461),IF(Table1[Date of Last Assessment]="",Table1[Social Networks and Relationships],Table1[Social Networks and Relationships2]),"")))</f>
        <v/>
      </c>
      <c r="FO74" s="44" t="str">
        <f>IF(Table1[Leaving Date]="","",IF(Table1[Date of Initial Assessment]="","",IF(AND(Table1[Leaving Date]&gt;42094,Table1[Leaving Date]&lt;42461),IF(Table1[Date of Last Assessment]="",Table1[Drug and Alcohol Misuse],Table1[Drug and Alcohol Misuse2]),"")))</f>
        <v/>
      </c>
      <c r="FP74" s="44" t="str">
        <f>IF(Table1[Leaving Date]="","",IF(Table1[Date of Initial Assessment]="","",IF(AND(Table1[Leaving Date]&gt;42094,Table1[Leaving Date]&lt;42461),IF(Table1[Date of Last Assessment]="",Table1[Physical Health],Table1[Physical Health2]),"")))</f>
        <v/>
      </c>
      <c r="FQ74" s="44" t="str">
        <f>IF(Table1[Leaving Date]="","",IF(Table1[Date of Initial Assessment]="","",IF(AND(Table1[Leaving Date]&gt;42094,Table1[Leaving Date]&lt;42461),IF(Table1[Date of Last Assessment]="",Table1[Emotional and Mental Health],Table1[Emotional and Mental Health2]),"")))</f>
        <v/>
      </c>
      <c r="FR74" s="44" t="str">
        <f>IF(Table1[Leaving Date]="","",IF(Table1[Date of Initial Assessment]="","",IF(AND(Table1[Leaving Date]&gt;42094,Table1[Leaving Date]&lt;42461),IF(Table1[Date of Last Assessment]="",Table1[Meaningful Use of Time],Table1[Meaningful Use of Time2]),"")))</f>
        <v/>
      </c>
      <c r="FS74" s="44" t="str">
        <f>IF(Table1[Leaving Date]="","",IF(Table1[Date of Initial Assessment]="","",IF(AND(Table1[Leaving Date]&gt;42094,Table1[Leaving Date]&lt;42461),IF(Table1[Date of Last Assessment]="",Table1[Managing Tenancy and Accommodation],Table1[Managing Tenancy and Accommodation2]),"")))</f>
        <v/>
      </c>
      <c r="FT74" s="44" t="str">
        <f>IF(Table1[Leaving Date]="","",IF(Table1[Date of Initial Assessment]="","",IF(AND(Table1[Leaving Date]&gt;42094,Table1[Leaving Date]&lt;42461),IF(Table1[Date of Last Assessment]="",Table1[Offending],Table1[Offending2]),"")))</f>
        <v/>
      </c>
      <c r="FU74" s="44" t="str">
        <f>IF(Table1[Date of Initial Assessment]="","",IF(AND(Table1[Start Date]&gt;42460,Table1[Start Date]&lt;42826),Table1[Motivation and Taking Responsibility],""))</f>
        <v/>
      </c>
      <c r="FV74" s="44" t="str">
        <f>IF(Table1[Date of Initial Assessment]="","",IF(AND(Table1[Start Date]&gt;42460,Table1[Start Date]&lt;42826),Table1[Self-Care and Living Skills],""))</f>
        <v/>
      </c>
      <c r="FW74" s="44" t="str">
        <f>IF(Table1[Date of Initial Assessment]="","",IF(AND(Table1[Start Date]&gt;42460,Table1[Start Date]&lt;42826),Table1[Managing Money and Personal Administration],""))</f>
        <v/>
      </c>
      <c r="FX74" s="44" t="str">
        <f>IF(Table1[Date of Initial Assessment]="","",IF(AND(Table1[Start Date]&gt;42460,Table1[Start Date]&lt;42826),Table1[Social Networks and Relationships],""))</f>
        <v/>
      </c>
      <c r="FY74" s="44" t="str">
        <f>IF(Table1[Date of Initial Assessment]="","",IF(AND(Table1[Start Date]&gt;42460,Table1[Start Date]&lt;42826),Table1[Drug and Alcohol Misuse],""))</f>
        <v/>
      </c>
      <c r="FZ74" s="44" t="str">
        <f>IF(Table1[Date of Initial Assessment]="","",IF(AND(Table1[Start Date]&gt;42460,Table1[Start Date]&lt;42826),Table1[Physical Health],""))</f>
        <v/>
      </c>
      <c r="GA74" s="44" t="str">
        <f>IF(Table1[Date of Initial Assessment]="","",IF(AND(Table1[Start Date]&gt;42460,Table1[Start Date]&lt;42826),Table1[Emotional and Mental Health],""))</f>
        <v/>
      </c>
      <c r="GB74" s="44" t="str">
        <f>IF(Table1[Date of Initial Assessment]="","",IF(AND(Table1[Start Date]&gt;42460,Table1[Start Date]&lt;42826),Table1[Meaningful Use of Time],""))</f>
        <v/>
      </c>
      <c r="GC74" s="44" t="str">
        <f>IF(Table1[Date of Initial Assessment]="","",IF(AND(Table1[Start Date]&gt;42460,Table1[Start Date]&lt;42826),Table1[Managing Tenancy and Accommodation],""))</f>
        <v/>
      </c>
      <c r="GD74" s="44" t="str">
        <f>IF(Table1[Date of Initial Assessment]="","",IF(AND(Table1[Start Date]&gt;42460,Table1[Start Date]&lt;42826),Table1[Offending],""))</f>
        <v/>
      </c>
      <c r="GE74" s="44" t="str">
        <f>IF(Table1[Leaving Date]="","",IF(AND(Table1[Leaving Date]&gt;42460,Table1[Leaving Date]&lt;42826),IF(Table1[Date of Last Assessment]="",Table1[Motivation and Taking Responsibility],Table1[Motivation and Taking Responsibility2]),""))</f>
        <v/>
      </c>
      <c r="GF74" s="44" t="str">
        <f>IF(Table1[Leaving Date]="","",IF(AND(Table1[Leaving Date]&gt;42460,Table1[Leaving Date]&lt;42826),IF(Table1[Date of Last Assessment]="",Table1[Self-Care and Living Skills],Table1[Self-Care and Living Skills2]),""))</f>
        <v/>
      </c>
      <c r="GG74" s="44" t="str">
        <f>IF(Table1[Leaving Date]="","",IF(AND(Table1[Leaving Date]&gt;42460,Table1[Leaving Date]&lt;42826),IF(Table1[Date of Last Assessment]="",Table1[Managing Money and Personal Administration],Table1[Managing Money and Personal Administration2]),""))</f>
        <v/>
      </c>
      <c r="GH74" s="44" t="str">
        <f>IF(Table1[Leaving Date]="","",IF(AND(Table1[Leaving Date]&gt;42460,Table1[Leaving Date]&lt;42826),IF(Table1[Date of Last Assessment]="",Table1[Social Networks and Relationships],Table1[Social Networks and Relationships2]),""))</f>
        <v/>
      </c>
      <c r="GI74" s="44" t="str">
        <f>IF(Table1[Leaving Date]="","",IF(AND(Table1[Leaving Date]&gt;42460,Table1[Leaving Date]&lt;42826),IF(Table1[Date of Last Assessment]="",Table1[Drug and Alcohol Misuse],Table1[Drug and Alcohol Misuse2]),""))</f>
        <v/>
      </c>
      <c r="GJ74" s="44" t="str">
        <f>IF(Table1[Leaving Date]="","",IF(AND(Table1[Leaving Date]&gt;42460,Table1[Leaving Date]&lt;42826),IF(Table1[Date of Last Assessment]="",Table1[Physical Health],Table1[Physical Health2]),""))</f>
        <v/>
      </c>
      <c r="GK74" s="44" t="str">
        <f>IF(Table1[Leaving Date]="","",IF(AND(Table1[Leaving Date]&gt;42460,Table1[Leaving Date]&lt;42826),IF(Table1[Date of Last Assessment]="",Table1[Emotional and Mental Health],Table1[Emotional and Mental Health2]),""))</f>
        <v/>
      </c>
      <c r="GL74" s="44" t="str">
        <f>IF(Table1[Leaving Date]="","",IF(AND(Table1[Leaving Date]&gt;42460,Table1[Leaving Date]&lt;42826),IF(Table1[Date of Last Assessment]="",Table1[Meaningful Use of Time],Table1[Meaningful Use of Time2]),""))</f>
        <v/>
      </c>
      <c r="GM74" s="44" t="str">
        <f>IF(Table1[Leaving Date]="","",IF(AND(Table1[Leaving Date]&gt;42460,Table1[Leaving Date]&lt;42826),IF(Table1[Date of Last Assessment]="",Table1[Managing Tenancy and Accommodation],Table1[Managing Tenancy and Accommodation2]),""))</f>
        <v/>
      </c>
      <c r="GN74" s="44" t="str">
        <f>IF(Table1[Leaving Date]="","",IF(AND(Table1[Leaving Date]&gt;42460,Table1[Leaving Date]&lt;42826),IF(Table1[Date of Last Assessment]="",Table1[Offending],Table1[Offending2]),""))</f>
        <v/>
      </c>
    </row>
    <row r="75" spans="2:196" ht="20.100000000000001" customHeight="1" x14ac:dyDescent="0.2">
      <c r="B75" s="86">
        <f>+'Service Data'!$C$5:$C$5</f>
        <v>0</v>
      </c>
      <c r="C75" s="86"/>
      <c r="D75" s="86"/>
      <c r="E75" s="86"/>
      <c r="F75" s="86"/>
      <c r="G75" s="86"/>
      <c r="H75" s="6"/>
      <c r="I75" s="99" t="str">
        <f ca="1">IF(Table1[[#This Row],[Date of Birth]]="","",SUM(TODAY()-Table1[[#This Row],[Date of Birth]])/365)</f>
        <v/>
      </c>
      <c r="L75" s="86"/>
      <c r="M75" s="77"/>
      <c r="N75" s="86"/>
      <c r="O75" s="86"/>
      <c r="P75" s="91"/>
      <c r="Q75" s="86"/>
      <c r="R75" s="77"/>
      <c r="S75" s="77"/>
      <c r="T75" s="68"/>
      <c r="U75" s="68"/>
      <c r="V75" s="67"/>
      <c r="W75" s="67"/>
      <c r="X75" s="67"/>
      <c r="Y75" s="67"/>
      <c r="Z75" s="67"/>
      <c r="AA75" s="67"/>
      <c r="AB75" s="67"/>
      <c r="AC75" s="67"/>
      <c r="AD75" s="67"/>
      <c r="AE75" s="67"/>
      <c r="AF75" s="67"/>
      <c r="AG75" s="67"/>
      <c r="AH75" s="67"/>
      <c r="AI75" s="67"/>
      <c r="AJ75" s="67"/>
      <c r="AK75" s="67"/>
      <c r="AL75" s="67"/>
      <c r="AM75" s="67"/>
      <c r="AN75" s="77"/>
      <c r="AO75" s="76"/>
      <c r="AP75" s="77"/>
      <c r="AQ75" s="76"/>
      <c r="AR75" s="76"/>
      <c r="AS75" s="76"/>
      <c r="AT75" s="76"/>
      <c r="AU75" s="76"/>
      <c r="AV75" s="77"/>
      <c r="AW75" s="76"/>
      <c r="AX75" s="77"/>
      <c r="AY75" s="76"/>
      <c r="AZ75" s="76"/>
      <c r="BA75" s="76"/>
      <c r="BB75" s="76"/>
      <c r="BC75" s="76"/>
      <c r="BD75" s="77"/>
      <c r="BE75" s="76"/>
      <c r="BF75" s="77"/>
      <c r="BG75" s="76"/>
      <c r="BH75" s="76"/>
      <c r="BI75" s="76"/>
      <c r="BJ75" s="76"/>
      <c r="BK75" s="76"/>
      <c r="BL75" s="77"/>
      <c r="BM75" s="76"/>
      <c r="BN75" s="77"/>
      <c r="BO75" s="76"/>
      <c r="BP75" s="76"/>
      <c r="BQ75" s="76"/>
      <c r="BR75" s="76"/>
      <c r="BS75" s="76"/>
      <c r="BT75" s="77"/>
      <c r="BU75" s="76"/>
      <c r="BV75" s="77"/>
      <c r="BW75" s="76"/>
      <c r="BX75" s="76"/>
      <c r="BY75" s="76"/>
      <c r="BZ75" s="76"/>
      <c r="CA75" s="76"/>
      <c r="CB75" s="77"/>
      <c r="CC75" s="76"/>
      <c r="CD75" s="77"/>
      <c r="CE75" s="76"/>
      <c r="CF75" s="76"/>
      <c r="CG75" s="76"/>
      <c r="CH75" s="76"/>
      <c r="CI75" s="76"/>
      <c r="CJ75" s="77"/>
      <c r="CK75" s="76"/>
      <c r="CL75" s="77"/>
      <c r="CM75" s="76"/>
      <c r="CN75" s="76"/>
      <c r="CO75" s="76"/>
      <c r="CP75" s="76"/>
      <c r="CQ75" s="76"/>
      <c r="CR75" s="78" t="str">
        <f t="shared" si="31"/>
        <v/>
      </c>
      <c r="CS75" s="79" t="str">
        <f t="shared" si="32"/>
        <v/>
      </c>
      <c r="CT75" s="79" t="str">
        <f t="shared" si="33"/>
        <v/>
      </c>
      <c r="CU75" s="79" t="str">
        <f t="shared" si="34"/>
        <v/>
      </c>
      <c r="CV75" s="79" t="str">
        <f t="shared" si="35"/>
        <v/>
      </c>
      <c r="CW75" s="79" t="str">
        <f t="shared" si="36"/>
        <v/>
      </c>
      <c r="CX75" s="79" t="str">
        <f t="shared" si="37"/>
        <v/>
      </c>
      <c r="CY75" s="79" t="str">
        <f t="shared" si="38"/>
        <v/>
      </c>
      <c r="CZ75" s="79" t="str">
        <f t="shared" si="39"/>
        <v/>
      </c>
      <c r="DA75" s="79" t="str">
        <f t="shared" si="40"/>
        <v/>
      </c>
      <c r="DB75" s="79" t="str">
        <f t="shared" si="41"/>
        <v/>
      </c>
      <c r="DC75" s="79" t="str">
        <f t="shared" si="42"/>
        <v/>
      </c>
      <c r="DD75" s="79" t="str">
        <f t="shared" si="43"/>
        <v/>
      </c>
      <c r="DE75" s="79" t="str">
        <f t="shared" si="44"/>
        <v/>
      </c>
      <c r="DF75" s="79" t="str">
        <f t="shared" si="45"/>
        <v/>
      </c>
      <c r="DG75" s="79" t="str">
        <f t="shared" si="46"/>
        <v/>
      </c>
      <c r="DH75" s="76"/>
      <c r="DI75" s="78"/>
      <c r="DJ75" s="76"/>
      <c r="DK75" s="77"/>
      <c r="DL75" s="77"/>
      <c r="DM75" s="77"/>
      <c r="DN75" s="80"/>
      <c r="DO75" s="80"/>
      <c r="DP75" s="92" t="str">
        <f>IF(Table1[Start Date]="","",IF(Table1[Start Date]&gt;42185,"",IF(AND(Table1[Leaving Date]&gt;1,Table1[Leaving Date]&lt;42095),"",1)))</f>
        <v/>
      </c>
      <c r="DQ75" s="92" t="str">
        <f>IF(Table1[Start Date]="","",IF(Table1[Start Date]&gt;42277,"",IF(AND(Table1[Leaving Date]&gt;1,Table1[Leaving Date]&lt;42186),"",1)))</f>
        <v/>
      </c>
      <c r="DR75" s="92" t="str">
        <f>IF(Table1[Start Date]="","",IF(Table1[Start Date]&gt;42369,"",IF(AND(Table1[Leaving Date]&gt;1,Table1[Leaving Date]&lt;42278),"",1)))</f>
        <v/>
      </c>
      <c r="DS75" s="92" t="str">
        <f>IF(Table1[Start Date]="","",IF(Table1[Start Date]&gt;42460,"",IF(AND(Table1[Leaving Date]&gt;1,Table1[Leaving Date]&lt;42370),"",1)))</f>
        <v/>
      </c>
      <c r="DT75" s="92" t="str">
        <f>IF(Table1[Start Date]="","",IF(Table1[Start Date]&gt;42551,"",IF(AND(Table1[Leaving Date]&gt;1,Table1[Leaving Date]&lt;42461),"",1)))</f>
        <v/>
      </c>
      <c r="DU75" s="92" t="str">
        <f>IF(Table1[Start Date]="","",IF(Table1[Start Date]&gt;42643,"",IF(AND(Table1[Leaving Date]&gt;1,Table1[Leaving Date]&lt;42552),"",1)))</f>
        <v/>
      </c>
      <c r="DV75" s="92" t="str">
        <f>IF(Table1[Start Date]="","",IF(Table1[Start Date]&gt;42735,"",IF(AND(Table1[Leaving Date]&gt;1,Table1[Leaving Date]&lt;42644),"",1)))</f>
        <v/>
      </c>
      <c r="DW75" s="92" t="str">
        <f>IF(Table1[Start Date]="","",IF(Table1[Start Date]&gt;42825,"",IF(AND(Table1[Leaving Date]&gt;1,Table1[Leaving Date]&lt;42736),"",1)))</f>
        <v/>
      </c>
      <c r="DX75"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75" s="44" t="e">
        <f>VLOOKUP(Table1[Referral Source],Lists!$G$2:$H$20,2,FALSE)</f>
        <v>#N/A</v>
      </c>
      <c r="DZ75" s="93" t="e">
        <f>SUM(Table1[Data Referral Quarter]+Table1[Data Referral Source])</f>
        <v>#N/A</v>
      </c>
      <c r="EA75" s="44" t="b">
        <f>IF(Table1[Referral Decision]="Accepted",100,IF(Table1[Referral Decision]="Rejected by Provider",200,IF(Table1[Referral Decision]="Rejected by Applicant",300)))</f>
        <v>0</v>
      </c>
      <c r="EB75" s="44">
        <f>SUM(Table1[Data Referral Quarter]+Table1[Data Referral Decision])</f>
        <v>0</v>
      </c>
      <c r="EC75" s="44" t="b">
        <f>IF(Table1[Start Date]&gt;42735,8000,IF(Table1[Start Date]&gt;42643,7000,IF(Table1[Start Date]&gt;42551,6000,IF(Table1[Start Date]&gt;42460,5000,IF(Table1[Start Date]&gt;42369,4000,IF(Table1[Start Date]&gt;42277,3000,IF(Table1[Start Date]&gt;42185,2000,IF(Table1[Start Date]&gt;42094,1000))))))))</f>
        <v>0</v>
      </c>
      <c r="ED75" s="44" t="str">
        <f>IF(Table1[Start Date]="","",IF(Table1[Current Local Authority]="Swindon",1,"2"))</f>
        <v/>
      </c>
      <c r="EE75" s="44" t="e">
        <f>SUM(Table1[Data Start Date]+Table1[Data Local Authority])</f>
        <v>#VALUE!</v>
      </c>
      <c r="EF75" s="44">
        <f>IF(Table1[Registered with GP]="Yes",1,0)</f>
        <v>0</v>
      </c>
      <c r="EG75" s="44">
        <f>SUM(Table1[Data Start Date]+Table1[Data GP Start])</f>
        <v>0</v>
      </c>
      <c r="EH75" s="44" t="str">
        <f>IF(Table1[EET]="NEET",1,IF(Table1[EET]="Education",2,IF(Table1[EET]="Employment",2,IF(Table1[EET]="Training",2,IF(Table1[EET]="Retired",3,"")))))</f>
        <v/>
      </c>
      <c r="EI75" s="44" t="e">
        <f>Table1[Data Start Date]+Table1[Data EET Start]</f>
        <v>#VALUE!</v>
      </c>
      <c r="EJ75" s="44" t="b">
        <f>IF(Table1[Leaving Date]&gt;42735,8000,IF(Table1[Leaving Date]&gt;42643,7000,IF(Table1[Leaving Date]&gt;42551,6000,IF(Table1[Leaving Date]&gt;42460,5000,IF(Table1[Leaving Date]&gt;42369,4000,IF(Table1[Leaving Date]&gt;42277,3000,IF(Table1[Leaving Date]&gt;42185,2000,IF(Table1[Leaving Date]&gt;42094,1000))))))))</f>
        <v>0</v>
      </c>
      <c r="EK75" s="44" t="e">
        <f>VLOOKUP(Table1[Reason for Leaving],Lists!$T$2:$U$15,2,FALSE)</f>
        <v>#N/A</v>
      </c>
      <c r="EL75" s="44" t="e">
        <f>SUM(Table1[Data Leavers Date]+Table1[Data Move On])</f>
        <v>#N/A</v>
      </c>
      <c r="EM75" s="44" t="b">
        <f>IF(Table1[Registered with GP2]="Yes",1,IF(Table1[Registered with GP2]="No",0,IF(Table1[Registered with GP]="Yes",1,IF(Table1[Registered with GP]="No",0))))</f>
        <v>0</v>
      </c>
      <c r="EN75" s="44">
        <f>SUM(Table1[Data Leavers Date]+Table1[Data GP End])</f>
        <v>0</v>
      </c>
      <c r="EO75" s="44" t="str">
        <f>IF(Table1[EET2]="NEET",1,IF(Table1[EET2]="Employment",2,IF(Table1[EET2]="Education",2,IF(Table1[EET2]="Training",2,IF(Table1[EET2]="Retired",3,IF(Table1[EET]="NEET",1,IF(Table1[EET]="Employment",2,IF(Table1[EET]="Education",2,IF(Table1[EET]="Training",2,IF(Table1[EET]="Retired",3,""))))))))))</f>
        <v/>
      </c>
      <c r="EP75" s="44" t="e">
        <f>+Table1[[#This Row],[Data Leavers Date]]+Table1[[#This Row],[Data EET End]]</f>
        <v>#VALUE!</v>
      </c>
      <c r="EQ75" s="44">
        <f>IF(Table1[Exit Form Received]="Yes",1,0)</f>
        <v>0</v>
      </c>
      <c r="ER75" s="44">
        <f>+Table1[[#This Row],[Data Leavers Date]]+Table1[[#This Row],[Data Exit Forms]]</f>
        <v>0</v>
      </c>
      <c r="ES75" s="44" t="str">
        <f>IF(Table1[Data Leavers Date]=1000,SUM(Table1[Leaving Date]-Table1[Start Date]),"")</f>
        <v/>
      </c>
      <c r="ET75" s="44" t="str">
        <f>IF(Table1[Data Leavers Date]=2000,SUM(Table1[Leaving Date]-Table1[Start Date]),"")</f>
        <v/>
      </c>
      <c r="EU75" s="44" t="str">
        <f>IF(Table1[Data Leavers Date]=3000,SUM(Table1[Leaving Date]-Table1[Start Date]),"")</f>
        <v/>
      </c>
      <c r="EV75" s="44" t="str">
        <f>IF(Table1[Data Leavers Date]=4000,SUM(Table1[Leaving Date]-Table1[Start Date]),"")</f>
        <v/>
      </c>
      <c r="EW75" s="44" t="str">
        <f>IF(Table1[Data Leavers Date]=5000,SUM(Table1[Leaving Date]-Table1[Start Date]),"")</f>
        <v/>
      </c>
      <c r="EX75" s="44" t="str">
        <f>IF(Table1[Data Leavers Date]=6000,SUM(Table1[Leaving Date]-Table1[Start Date]),"")</f>
        <v/>
      </c>
      <c r="EY75" s="44" t="str">
        <f>IF(Table1[Data Leavers Date]=7000,SUM(Table1[Leaving Date]-Table1[Start Date]),"")</f>
        <v/>
      </c>
      <c r="EZ75" s="44" t="str">
        <f>IF(Table1[Data Leavers Date]=8000,SUM(Table1[Leaving Date]-Table1[Start Date]),"")</f>
        <v/>
      </c>
      <c r="FA75" s="44" t="str">
        <f>IF(Table1[Date of Initial Assessment]="","",IF(AND(Table1[Start Date]&gt;42094,Table1[Start Date]&lt;42461),Table1[Motivation and Taking Responsibility],""))</f>
        <v/>
      </c>
      <c r="FB75" s="44" t="str">
        <f>IF(Table1[Date of Initial Assessment]="","",IF(AND(Table1[Start Date]&gt;42094,Table1[Start Date]&lt;42461),Table1[Self-Care and Living Skills],""))</f>
        <v/>
      </c>
      <c r="FC75" s="44" t="str">
        <f>IF(Table1[Date of Initial Assessment]="","",IF(AND(Table1[Start Date]&gt;42094,Table1[Start Date]&lt;42461),Table1[Managing Money and Personal Administration],""))</f>
        <v/>
      </c>
      <c r="FD75" s="44" t="str">
        <f>IF(Table1[Date of Initial Assessment]="","",IF(AND(Table1[Start Date]&gt;42094,Table1[Start Date]&lt;42461),Table1[Social Networks and Relationships],""))</f>
        <v/>
      </c>
      <c r="FE75" s="44" t="str">
        <f>IF(Table1[Date of Initial Assessment]="","",IF(AND(Table1[Start Date]&gt;42094,Table1[Start Date]&lt;42461),Table1[Drug and Alcohol Misuse],""))</f>
        <v/>
      </c>
      <c r="FF75" s="44" t="str">
        <f>IF(Table1[Date of Initial Assessment]="","",IF(AND(Table1[Start Date]&gt;42094,Table1[Start Date]&lt;42461),Table1[Physical Health],""))</f>
        <v/>
      </c>
      <c r="FG75" s="44" t="str">
        <f>IF(Table1[Date of Initial Assessment]="","",IF(AND(Table1[Start Date]&gt;42094,Table1[Start Date]&lt;42461),Table1[Emotional and Mental Health],""))</f>
        <v/>
      </c>
      <c r="FH75" s="44" t="str">
        <f>IF(Table1[Date of Initial Assessment]="","",IF(AND(Table1[Start Date]&gt;42094,Table1[Start Date]&lt;42461),Table1[Meaningful Use of Time],""))</f>
        <v/>
      </c>
      <c r="FI75" s="44" t="str">
        <f>IF(Table1[Date of Initial Assessment]="","",IF(AND(Table1[Start Date]&gt;42094,Table1[Start Date]&lt;42461),Table1[Managing Tenancy and Accommodation],""))</f>
        <v/>
      </c>
      <c r="FJ75" s="44" t="str">
        <f>IF(Table1[Date of Initial Assessment]="","",IF(AND(Table1[Start Date]&gt;42094,Table1[Start Date]&lt;42461),Table1[Offending],""))</f>
        <v/>
      </c>
      <c r="FK75" s="44" t="str">
        <f>IF(Table1[Leaving Date]="","",IF(Table1[Date of Initial Assessment]="","",IF(AND(Table1[Leaving Date]&gt;42094,Table1[Leaving Date]&lt;42461),IF(Table1[Date of Last Assessment]="",Table1[Motivation and Taking Responsibility],Table1[Motivation and Taking Responsibility2]),"")))</f>
        <v/>
      </c>
      <c r="FL75" s="44" t="str">
        <f>IF(Table1[Leaving Date]="","",IF(Table1[Date of Initial Assessment]="","",IF(AND(Table1[Leaving Date]&gt;42094,Table1[Leaving Date]&lt;42461),IF(Table1[Date of Last Assessment]="",Table1[Self-Care and Living Skills],Table1[Self-Care and Living Skills2]),"")))</f>
        <v/>
      </c>
      <c r="FM75" s="44" t="str">
        <f>IF(Table1[Leaving Date]="","",IF(Table1[Date of Initial Assessment]="","",IF(AND(Table1[Leaving Date]&gt;42094,Table1[Leaving Date]&lt;42461),IF(Table1[Date of Last Assessment]="",Table1[Managing Money and Personal Administration],Table1[Managing Money and Personal Administration2]),"")))</f>
        <v/>
      </c>
      <c r="FN75" s="44" t="str">
        <f>IF(Table1[Leaving Date]="","",IF(Table1[Date of Initial Assessment]="","",IF(AND(Table1[Leaving Date]&gt;42094,Table1[Leaving Date]&lt;42461),IF(Table1[Date of Last Assessment]="",Table1[Social Networks and Relationships],Table1[Social Networks and Relationships2]),"")))</f>
        <v/>
      </c>
      <c r="FO75" s="44" t="str">
        <f>IF(Table1[Leaving Date]="","",IF(Table1[Date of Initial Assessment]="","",IF(AND(Table1[Leaving Date]&gt;42094,Table1[Leaving Date]&lt;42461),IF(Table1[Date of Last Assessment]="",Table1[Drug and Alcohol Misuse],Table1[Drug and Alcohol Misuse2]),"")))</f>
        <v/>
      </c>
      <c r="FP75" s="44" t="str">
        <f>IF(Table1[Leaving Date]="","",IF(Table1[Date of Initial Assessment]="","",IF(AND(Table1[Leaving Date]&gt;42094,Table1[Leaving Date]&lt;42461),IF(Table1[Date of Last Assessment]="",Table1[Physical Health],Table1[Physical Health2]),"")))</f>
        <v/>
      </c>
      <c r="FQ75" s="44" t="str">
        <f>IF(Table1[Leaving Date]="","",IF(Table1[Date of Initial Assessment]="","",IF(AND(Table1[Leaving Date]&gt;42094,Table1[Leaving Date]&lt;42461),IF(Table1[Date of Last Assessment]="",Table1[Emotional and Mental Health],Table1[Emotional and Mental Health2]),"")))</f>
        <v/>
      </c>
      <c r="FR75" s="44" t="str">
        <f>IF(Table1[Leaving Date]="","",IF(Table1[Date of Initial Assessment]="","",IF(AND(Table1[Leaving Date]&gt;42094,Table1[Leaving Date]&lt;42461),IF(Table1[Date of Last Assessment]="",Table1[Meaningful Use of Time],Table1[Meaningful Use of Time2]),"")))</f>
        <v/>
      </c>
      <c r="FS75" s="44" t="str">
        <f>IF(Table1[Leaving Date]="","",IF(Table1[Date of Initial Assessment]="","",IF(AND(Table1[Leaving Date]&gt;42094,Table1[Leaving Date]&lt;42461),IF(Table1[Date of Last Assessment]="",Table1[Managing Tenancy and Accommodation],Table1[Managing Tenancy and Accommodation2]),"")))</f>
        <v/>
      </c>
      <c r="FT75" s="44" t="str">
        <f>IF(Table1[Leaving Date]="","",IF(Table1[Date of Initial Assessment]="","",IF(AND(Table1[Leaving Date]&gt;42094,Table1[Leaving Date]&lt;42461),IF(Table1[Date of Last Assessment]="",Table1[Offending],Table1[Offending2]),"")))</f>
        <v/>
      </c>
      <c r="FU75" s="44" t="str">
        <f>IF(Table1[Date of Initial Assessment]="","",IF(AND(Table1[Start Date]&gt;42460,Table1[Start Date]&lt;42826),Table1[Motivation and Taking Responsibility],""))</f>
        <v/>
      </c>
      <c r="FV75" s="44" t="str">
        <f>IF(Table1[Date of Initial Assessment]="","",IF(AND(Table1[Start Date]&gt;42460,Table1[Start Date]&lt;42826),Table1[Self-Care and Living Skills],""))</f>
        <v/>
      </c>
      <c r="FW75" s="44" t="str">
        <f>IF(Table1[Date of Initial Assessment]="","",IF(AND(Table1[Start Date]&gt;42460,Table1[Start Date]&lt;42826),Table1[Managing Money and Personal Administration],""))</f>
        <v/>
      </c>
      <c r="FX75" s="44" t="str">
        <f>IF(Table1[Date of Initial Assessment]="","",IF(AND(Table1[Start Date]&gt;42460,Table1[Start Date]&lt;42826),Table1[Social Networks and Relationships],""))</f>
        <v/>
      </c>
      <c r="FY75" s="44" t="str">
        <f>IF(Table1[Date of Initial Assessment]="","",IF(AND(Table1[Start Date]&gt;42460,Table1[Start Date]&lt;42826),Table1[Drug and Alcohol Misuse],""))</f>
        <v/>
      </c>
      <c r="FZ75" s="44" t="str">
        <f>IF(Table1[Date of Initial Assessment]="","",IF(AND(Table1[Start Date]&gt;42460,Table1[Start Date]&lt;42826),Table1[Physical Health],""))</f>
        <v/>
      </c>
      <c r="GA75" s="44" t="str">
        <f>IF(Table1[Date of Initial Assessment]="","",IF(AND(Table1[Start Date]&gt;42460,Table1[Start Date]&lt;42826),Table1[Emotional and Mental Health],""))</f>
        <v/>
      </c>
      <c r="GB75" s="44" t="str">
        <f>IF(Table1[Date of Initial Assessment]="","",IF(AND(Table1[Start Date]&gt;42460,Table1[Start Date]&lt;42826),Table1[Meaningful Use of Time],""))</f>
        <v/>
      </c>
      <c r="GC75" s="44" t="str">
        <f>IF(Table1[Date of Initial Assessment]="","",IF(AND(Table1[Start Date]&gt;42460,Table1[Start Date]&lt;42826),Table1[Managing Tenancy and Accommodation],""))</f>
        <v/>
      </c>
      <c r="GD75" s="44" t="str">
        <f>IF(Table1[Date of Initial Assessment]="","",IF(AND(Table1[Start Date]&gt;42460,Table1[Start Date]&lt;42826),Table1[Offending],""))</f>
        <v/>
      </c>
      <c r="GE75" s="44" t="str">
        <f>IF(Table1[Leaving Date]="","",IF(AND(Table1[Leaving Date]&gt;42460,Table1[Leaving Date]&lt;42826),IF(Table1[Date of Last Assessment]="",Table1[Motivation and Taking Responsibility],Table1[Motivation and Taking Responsibility2]),""))</f>
        <v/>
      </c>
      <c r="GF75" s="44" t="str">
        <f>IF(Table1[Leaving Date]="","",IF(AND(Table1[Leaving Date]&gt;42460,Table1[Leaving Date]&lt;42826),IF(Table1[Date of Last Assessment]="",Table1[Self-Care and Living Skills],Table1[Self-Care and Living Skills2]),""))</f>
        <v/>
      </c>
      <c r="GG75" s="44" t="str">
        <f>IF(Table1[Leaving Date]="","",IF(AND(Table1[Leaving Date]&gt;42460,Table1[Leaving Date]&lt;42826),IF(Table1[Date of Last Assessment]="",Table1[Managing Money and Personal Administration],Table1[Managing Money and Personal Administration2]),""))</f>
        <v/>
      </c>
      <c r="GH75" s="44" t="str">
        <f>IF(Table1[Leaving Date]="","",IF(AND(Table1[Leaving Date]&gt;42460,Table1[Leaving Date]&lt;42826),IF(Table1[Date of Last Assessment]="",Table1[Social Networks and Relationships],Table1[Social Networks and Relationships2]),""))</f>
        <v/>
      </c>
      <c r="GI75" s="44" t="str">
        <f>IF(Table1[Leaving Date]="","",IF(AND(Table1[Leaving Date]&gt;42460,Table1[Leaving Date]&lt;42826),IF(Table1[Date of Last Assessment]="",Table1[Drug and Alcohol Misuse],Table1[Drug and Alcohol Misuse2]),""))</f>
        <v/>
      </c>
      <c r="GJ75" s="44" t="str">
        <f>IF(Table1[Leaving Date]="","",IF(AND(Table1[Leaving Date]&gt;42460,Table1[Leaving Date]&lt;42826),IF(Table1[Date of Last Assessment]="",Table1[Physical Health],Table1[Physical Health2]),""))</f>
        <v/>
      </c>
      <c r="GK75" s="44" t="str">
        <f>IF(Table1[Leaving Date]="","",IF(AND(Table1[Leaving Date]&gt;42460,Table1[Leaving Date]&lt;42826),IF(Table1[Date of Last Assessment]="",Table1[Emotional and Mental Health],Table1[Emotional and Mental Health2]),""))</f>
        <v/>
      </c>
      <c r="GL75" s="44" t="str">
        <f>IF(Table1[Leaving Date]="","",IF(AND(Table1[Leaving Date]&gt;42460,Table1[Leaving Date]&lt;42826),IF(Table1[Date of Last Assessment]="",Table1[Meaningful Use of Time],Table1[Meaningful Use of Time2]),""))</f>
        <v/>
      </c>
      <c r="GM75" s="44" t="str">
        <f>IF(Table1[Leaving Date]="","",IF(AND(Table1[Leaving Date]&gt;42460,Table1[Leaving Date]&lt;42826),IF(Table1[Date of Last Assessment]="",Table1[Managing Tenancy and Accommodation],Table1[Managing Tenancy and Accommodation2]),""))</f>
        <v/>
      </c>
      <c r="GN75" s="44" t="str">
        <f>IF(Table1[Leaving Date]="","",IF(AND(Table1[Leaving Date]&gt;42460,Table1[Leaving Date]&lt;42826),IF(Table1[Date of Last Assessment]="",Table1[Offending],Table1[Offending2]),""))</f>
        <v/>
      </c>
    </row>
    <row r="76" spans="2:196" ht="20.100000000000001" customHeight="1" x14ac:dyDescent="0.2">
      <c r="B76" s="86">
        <f>+'Service Data'!$C$5:$C$5</f>
        <v>0</v>
      </c>
      <c r="C76" s="86"/>
      <c r="D76" s="86"/>
      <c r="E76" s="86"/>
      <c r="F76" s="86"/>
      <c r="G76" s="86"/>
      <c r="H76" s="6"/>
      <c r="I76" s="99" t="str">
        <f ca="1">IF(Table1[[#This Row],[Date of Birth]]="","",SUM(TODAY()-Table1[[#This Row],[Date of Birth]])/365)</f>
        <v/>
      </c>
      <c r="L76" s="86"/>
      <c r="M76" s="77"/>
      <c r="N76" s="86"/>
      <c r="O76" s="86"/>
      <c r="P76" s="91"/>
      <c r="Q76" s="86"/>
      <c r="R76" s="77"/>
      <c r="S76" s="77"/>
      <c r="T76" s="68"/>
      <c r="U76" s="68"/>
      <c r="V76" s="67"/>
      <c r="W76" s="67"/>
      <c r="X76" s="67"/>
      <c r="Y76" s="67"/>
      <c r="Z76" s="67"/>
      <c r="AA76" s="67"/>
      <c r="AB76" s="67"/>
      <c r="AC76" s="67"/>
      <c r="AD76" s="67"/>
      <c r="AE76" s="67"/>
      <c r="AF76" s="67"/>
      <c r="AG76" s="67"/>
      <c r="AH76" s="67"/>
      <c r="AI76" s="67"/>
      <c r="AJ76" s="67"/>
      <c r="AK76" s="67"/>
      <c r="AL76" s="67"/>
      <c r="AM76" s="67"/>
      <c r="AN76" s="77"/>
      <c r="AO76" s="76"/>
      <c r="AP76" s="77"/>
      <c r="AQ76" s="76"/>
      <c r="AR76" s="76"/>
      <c r="AS76" s="76"/>
      <c r="AT76" s="76"/>
      <c r="AU76" s="76"/>
      <c r="AV76" s="77"/>
      <c r="AW76" s="76"/>
      <c r="AX76" s="77"/>
      <c r="AY76" s="76"/>
      <c r="AZ76" s="76"/>
      <c r="BA76" s="76"/>
      <c r="BB76" s="76"/>
      <c r="BC76" s="76"/>
      <c r="BD76" s="77"/>
      <c r="BE76" s="76"/>
      <c r="BF76" s="77"/>
      <c r="BG76" s="76"/>
      <c r="BH76" s="76"/>
      <c r="BI76" s="76"/>
      <c r="BJ76" s="76"/>
      <c r="BK76" s="76"/>
      <c r="BL76" s="77"/>
      <c r="BM76" s="76"/>
      <c r="BN76" s="77"/>
      <c r="BO76" s="76"/>
      <c r="BP76" s="76"/>
      <c r="BQ76" s="76"/>
      <c r="BR76" s="76"/>
      <c r="BS76" s="76"/>
      <c r="BT76" s="77"/>
      <c r="BU76" s="76"/>
      <c r="BV76" s="77"/>
      <c r="BW76" s="76"/>
      <c r="BX76" s="76"/>
      <c r="BY76" s="76"/>
      <c r="BZ76" s="76"/>
      <c r="CA76" s="76"/>
      <c r="CB76" s="77"/>
      <c r="CC76" s="76"/>
      <c r="CD76" s="77"/>
      <c r="CE76" s="76"/>
      <c r="CF76" s="76"/>
      <c r="CG76" s="76"/>
      <c r="CH76" s="76"/>
      <c r="CI76" s="76"/>
      <c r="CJ76" s="77"/>
      <c r="CK76" s="76"/>
      <c r="CL76" s="77"/>
      <c r="CM76" s="76"/>
      <c r="CN76" s="76"/>
      <c r="CO76" s="76"/>
      <c r="CP76" s="76"/>
      <c r="CQ76" s="76"/>
      <c r="CR76" s="78" t="str">
        <f t="shared" si="31"/>
        <v/>
      </c>
      <c r="CS76" s="79" t="str">
        <f t="shared" si="32"/>
        <v/>
      </c>
      <c r="CT76" s="79" t="str">
        <f t="shared" si="33"/>
        <v/>
      </c>
      <c r="CU76" s="79" t="str">
        <f t="shared" si="34"/>
        <v/>
      </c>
      <c r="CV76" s="79" t="str">
        <f t="shared" si="35"/>
        <v/>
      </c>
      <c r="CW76" s="79" t="str">
        <f t="shared" si="36"/>
        <v/>
      </c>
      <c r="CX76" s="79" t="str">
        <f t="shared" si="37"/>
        <v/>
      </c>
      <c r="CY76" s="79" t="str">
        <f t="shared" si="38"/>
        <v/>
      </c>
      <c r="CZ76" s="79" t="str">
        <f t="shared" si="39"/>
        <v/>
      </c>
      <c r="DA76" s="79" t="str">
        <f t="shared" si="40"/>
        <v/>
      </c>
      <c r="DB76" s="79" t="str">
        <f t="shared" si="41"/>
        <v/>
      </c>
      <c r="DC76" s="79" t="str">
        <f t="shared" si="42"/>
        <v/>
      </c>
      <c r="DD76" s="79" t="str">
        <f t="shared" si="43"/>
        <v/>
      </c>
      <c r="DE76" s="79" t="str">
        <f t="shared" si="44"/>
        <v/>
      </c>
      <c r="DF76" s="79" t="str">
        <f t="shared" si="45"/>
        <v/>
      </c>
      <c r="DG76" s="79" t="str">
        <f t="shared" si="46"/>
        <v/>
      </c>
      <c r="DH76" s="76"/>
      <c r="DI76" s="78"/>
      <c r="DJ76" s="76"/>
      <c r="DK76" s="77"/>
      <c r="DL76" s="77"/>
      <c r="DM76" s="77"/>
      <c r="DN76" s="80"/>
      <c r="DO76" s="80"/>
      <c r="DP76" s="92" t="str">
        <f>IF(Table1[Start Date]="","",IF(Table1[Start Date]&gt;42185,"",IF(AND(Table1[Leaving Date]&gt;1,Table1[Leaving Date]&lt;42095),"",1)))</f>
        <v/>
      </c>
      <c r="DQ76" s="92" t="str">
        <f>IF(Table1[Start Date]="","",IF(Table1[Start Date]&gt;42277,"",IF(AND(Table1[Leaving Date]&gt;1,Table1[Leaving Date]&lt;42186),"",1)))</f>
        <v/>
      </c>
      <c r="DR76" s="92" t="str">
        <f>IF(Table1[Start Date]="","",IF(Table1[Start Date]&gt;42369,"",IF(AND(Table1[Leaving Date]&gt;1,Table1[Leaving Date]&lt;42278),"",1)))</f>
        <v/>
      </c>
      <c r="DS76" s="92" t="str">
        <f>IF(Table1[Start Date]="","",IF(Table1[Start Date]&gt;42460,"",IF(AND(Table1[Leaving Date]&gt;1,Table1[Leaving Date]&lt;42370),"",1)))</f>
        <v/>
      </c>
      <c r="DT76" s="92" t="str">
        <f>IF(Table1[Start Date]="","",IF(Table1[Start Date]&gt;42551,"",IF(AND(Table1[Leaving Date]&gt;1,Table1[Leaving Date]&lt;42461),"",1)))</f>
        <v/>
      </c>
      <c r="DU76" s="92" t="str">
        <f>IF(Table1[Start Date]="","",IF(Table1[Start Date]&gt;42643,"",IF(AND(Table1[Leaving Date]&gt;1,Table1[Leaving Date]&lt;42552),"",1)))</f>
        <v/>
      </c>
      <c r="DV76" s="92" t="str">
        <f>IF(Table1[Start Date]="","",IF(Table1[Start Date]&gt;42735,"",IF(AND(Table1[Leaving Date]&gt;1,Table1[Leaving Date]&lt;42644),"",1)))</f>
        <v/>
      </c>
      <c r="DW76" s="92" t="str">
        <f>IF(Table1[Start Date]="","",IF(Table1[Start Date]&gt;42825,"",IF(AND(Table1[Leaving Date]&gt;1,Table1[Leaving Date]&lt;42736),"",1)))</f>
        <v/>
      </c>
      <c r="DX76"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76" s="44" t="e">
        <f>VLOOKUP(Table1[Referral Source],Lists!$G$2:$H$20,2,FALSE)</f>
        <v>#N/A</v>
      </c>
      <c r="DZ76" s="93" t="e">
        <f>SUM(Table1[Data Referral Quarter]+Table1[Data Referral Source])</f>
        <v>#N/A</v>
      </c>
      <c r="EA76" s="44" t="b">
        <f>IF(Table1[Referral Decision]="Accepted",100,IF(Table1[Referral Decision]="Rejected by Provider",200,IF(Table1[Referral Decision]="Rejected by Applicant",300)))</f>
        <v>0</v>
      </c>
      <c r="EB76" s="44">
        <f>SUM(Table1[Data Referral Quarter]+Table1[Data Referral Decision])</f>
        <v>0</v>
      </c>
      <c r="EC76" s="44" t="b">
        <f>IF(Table1[Start Date]&gt;42735,8000,IF(Table1[Start Date]&gt;42643,7000,IF(Table1[Start Date]&gt;42551,6000,IF(Table1[Start Date]&gt;42460,5000,IF(Table1[Start Date]&gt;42369,4000,IF(Table1[Start Date]&gt;42277,3000,IF(Table1[Start Date]&gt;42185,2000,IF(Table1[Start Date]&gt;42094,1000))))))))</f>
        <v>0</v>
      </c>
      <c r="ED76" s="44" t="str">
        <f>IF(Table1[Start Date]="","",IF(Table1[Current Local Authority]="Swindon",1,"2"))</f>
        <v/>
      </c>
      <c r="EE76" s="44" t="e">
        <f>SUM(Table1[Data Start Date]+Table1[Data Local Authority])</f>
        <v>#VALUE!</v>
      </c>
      <c r="EF76" s="44">
        <f>IF(Table1[Registered with GP]="Yes",1,0)</f>
        <v>0</v>
      </c>
      <c r="EG76" s="44">
        <f>SUM(Table1[Data Start Date]+Table1[Data GP Start])</f>
        <v>0</v>
      </c>
      <c r="EH76" s="44" t="str">
        <f>IF(Table1[EET]="NEET",1,IF(Table1[EET]="Education",2,IF(Table1[EET]="Employment",2,IF(Table1[EET]="Training",2,IF(Table1[EET]="Retired",3,"")))))</f>
        <v/>
      </c>
      <c r="EI76" s="44" t="e">
        <f>Table1[Data Start Date]+Table1[Data EET Start]</f>
        <v>#VALUE!</v>
      </c>
      <c r="EJ76" s="44" t="b">
        <f>IF(Table1[Leaving Date]&gt;42735,8000,IF(Table1[Leaving Date]&gt;42643,7000,IF(Table1[Leaving Date]&gt;42551,6000,IF(Table1[Leaving Date]&gt;42460,5000,IF(Table1[Leaving Date]&gt;42369,4000,IF(Table1[Leaving Date]&gt;42277,3000,IF(Table1[Leaving Date]&gt;42185,2000,IF(Table1[Leaving Date]&gt;42094,1000))))))))</f>
        <v>0</v>
      </c>
      <c r="EK76" s="44" t="e">
        <f>VLOOKUP(Table1[Reason for Leaving],Lists!$T$2:$U$15,2,FALSE)</f>
        <v>#N/A</v>
      </c>
      <c r="EL76" s="44" t="e">
        <f>SUM(Table1[Data Leavers Date]+Table1[Data Move On])</f>
        <v>#N/A</v>
      </c>
      <c r="EM76" s="44" t="b">
        <f>IF(Table1[Registered with GP2]="Yes",1,IF(Table1[Registered with GP2]="No",0,IF(Table1[Registered with GP]="Yes",1,IF(Table1[Registered with GP]="No",0))))</f>
        <v>0</v>
      </c>
      <c r="EN76" s="44">
        <f>SUM(Table1[Data Leavers Date]+Table1[Data GP End])</f>
        <v>0</v>
      </c>
      <c r="EO76" s="44" t="str">
        <f>IF(Table1[EET2]="NEET",1,IF(Table1[EET2]="Employment",2,IF(Table1[EET2]="Education",2,IF(Table1[EET2]="Training",2,IF(Table1[EET2]="Retired",3,IF(Table1[EET]="NEET",1,IF(Table1[EET]="Employment",2,IF(Table1[EET]="Education",2,IF(Table1[EET]="Training",2,IF(Table1[EET]="Retired",3,""))))))))))</f>
        <v/>
      </c>
      <c r="EP76" s="44" t="e">
        <f>+Table1[[#This Row],[Data Leavers Date]]+Table1[[#This Row],[Data EET End]]</f>
        <v>#VALUE!</v>
      </c>
      <c r="EQ76" s="44">
        <f>IF(Table1[Exit Form Received]="Yes",1,0)</f>
        <v>0</v>
      </c>
      <c r="ER76" s="44">
        <f>+Table1[[#This Row],[Data Leavers Date]]+Table1[[#This Row],[Data Exit Forms]]</f>
        <v>0</v>
      </c>
      <c r="ES76" s="44" t="str">
        <f>IF(Table1[Data Leavers Date]=1000,SUM(Table1[Leaving Date]-Table1[Start Date]),"")</f>
        <v/>
      </c>
      <c r="ET76" s="44" t="str">
        <f>IF(Table1[Data Leavers Date]=2000,SUM(Table1[Leaving Date]-Table1[Start Date]),"")</f>
        <v/>
      </c>
      <c r="EU76" s="44" t="str">
        <f>IF(Table1[Data Leavers Date]=3000,SUM(Table1[Leaving Date]-Table1[Start Date]),"")</f>
        <v/>
      </c>
      <c r="EV76" s="44" t="str">
        <f>IF(Table1[Data Leavers Date]=4000,SUM(Table1[Leaving Date]-Table1[Start Date]),"")</f>
        <v/>
      </c>
      <c r="EW76" s="44" t="str">
        <f>IF(Table1[Data Leavers Date]=5000,SUM(Table1[Leaving Date]-Table1[Start Date]),"")</f>
        <v/>
      </c>
      <c r="EX76" s="44" t="str">
        <f>IF(Table1[Data Leavers Date]=6000,SUM(Table1[Leaving Date]-Table1[Start Date]),"")</f>
        <v/>
      </c>
      <c r="EY76" s="44" t="str">
        <f>IF(Table1[Data Leavers Date]=7000,SUM(Table1[Leaving Date]-Table1[Start Date]),"")</f>
        <v/>
      </c>
      <c r="EZ76" s="44" t="str">
        <f>IF(Table1[Data Leavers Date]=8000,SUM(Table1[Leaving Date]-Table1[Start Date]),"")</f>
        <v/>
      </c>
      <c r="FA76" s="44" t="str">
        <f>IF(Table1[Date of Initial Assessment]="","",IF(AND(Table1[Start Date]&gt;42094,Table1[Start Date]&lt;42461),Table1[Motivation and Taking Responsibility],""))</f>
        <v/>
      </c>
      <c r="FB76" s="44" t="str">
        <f>IF(Table1[Date of Initial Assessment]="","",IF(AND(Table1[Start Date]&gt;42094,Table1[Start Date]&lt;42461),Table1[Self-Care and Living Skills],""))</f>
        <v/>
      </c>
      <c r="FC76" s="44" t="str">
        <f>IF(Table1[Date of Initial Assessment]="","",IF(AND(Table1[Start Date]&gt;42094,Table1[Start Date]&lt;42461),Table1[Managing Money and Personal Administration],""))</f>
        <v/>
      </c>
      <c r="FD76" s="44" t="str">
        <f>IF(Table1[Date of Initial Assessment]="","",IF(AND(Table1[Start Date]&gt;42094,Table1[Start Date]&lt;42461),Table1[Social Networks and Relationships],""))</f>
        <v/>
      </c>
      <c r="FE76" s="44" t="str">
        <f>IF(Table1[Date of Initial Assessment]="","",IF(AND(Table1[Start Date]&gt;42094,Table1[Start Date]&lt;42461),Table1[Drug and Alcohol Misuse],""))</f>
        <v/>
      </c>
      <c r="FF76" s="44" t="str">
        <f>IF(Table1[Date of Initial Assessment]="","",IF(AND(Table1[Start Date]&gt;42094,Table1[Start Date]&lt;42461),Table1[Physical Health],""))</f>
        <v/>
      </c>
      <c r="FG76" s="44" t="str">
        <f>IF(Table1[Date of Initial Assessment]="","",IF(AND(Table1[Start Date]&gt;42094,Table1[Start Date]&lt;42461),Table1[Emotional and Mental Health],""))</f>
        <v/>
      </c>
      <c r="FH76" s="44" t="str">
        <f>IF(Table1[Date of Initial Assessment]="","",IF(AND(Table1[Start Date]&gt;42094,Table1[Start Date]&lt;42461),Table1[Meaningful Use of Time],""))</f>
        <v/>
      </c>
      <c r="FI76" s="44" t="str">
        <f>IF(Table1[Date of Initial Assessment]="","",IF(AND(Table1[Start Date]&gt;42094,Table1[Start Date]&lt;42461),Table1[Managing Tenancy and Accommodation],""))</f>
        <v/>
      </c>
      <c r="FJ76" s="44" t="str">
        <f>IF(Table1[Date of Initial Assessment]="","",IF(AND(Table1[Start Date]&gt;42094,Table1[Start Date]&lt;42461),Table1[Offending],""))</f>
        <v/>
      </c>
      <c r="FK76" s="44" t="str">
        <f>IF(Table1[Leaving Date]="","",IF(Table1[Date of Initial Assessment]="","",IF(AND(Table1[Leaving Date]&gt;42094,Table1[Leaving Date]&lt;42461),IF(Table1[Date of Last Assessment]="",Table1[Motivation and Taking Responsibility],Table1[Motivation and Taking Responsibility2]),"")))</f>
        <v/>
      </c>
      <c r="FL76" s="44" t="str">
        <f>IF(Table1[Leaving Date]="","",IF(Table1[Date of Initial Assessment]="","",IF(AND(Table1[Leaving Date]&gt;42094,Table1[Leaving Date]&lt;42461),IF(Table1[Date of Last Assessment]="",Table1[Self-Care and Living Skills],Table1[Self-Care and Living Skills2]),"")))</f>
        <v/>
      </c>
      <c r="FM76" s="44" t="str">
        <f>IF(Table1[Leaving Date]="","",IF(Table1[Date of Initial Assessment]="","",IF(AND(Table1[Leaving Date]&gt;42094,Table1[Leaving Date]&lt;42461),IF(Table1[Date of Last Assessment]="",Table1[Managing Money and Personal Administration],Table1[Managing Money and Personal Administration2]),"")))</f>
        <v/>
      </c>
      <c r="FN76" s="44" t="str">
        <f>IF(Table1[Leaving Date]="","",IF(Table1[Date of Initial Assessment]="","",IF(AND(Table1[Leaving Date]&gt;42094,Table1[Leaving Date]&lt;42461),IF(Table1[Date of Last Assessment]="",Table1[Social Networks and Relationships],Table1[Social Networks and Relationships2]),"")))</f>
        <v/>
      </c>
      <c r="FO76" s="44" t="str">
        <f>IF(Table1[Leaving Date]="","",IF(Table1[Date of Initial Assessment]="","",IF(AND(Table1[Leaving Date]&gt;42094,Table1[Leaving Date]&lt;42461),IF(Table1[Date of Last Assessment]="",Table1[Drug and Alcohol Misuse],Table1[Drug and Alcohol Misuse2]),"")))</f>
        <v/>
      </c>
      <c r="FP76" s="44" t="str">
        <f>IF(Table1[Leaving Date]="","",IF(Table1[Date of Initial Assessment]="","",IF(AND(Table1[Leaving Date]&gt;42094,Table1[Leaving Date]&lt;42461),IF(Table1[Date of Last Assessment]="",Table1[Physical Health],Table1[Physical Health2]),"")))</f>
        <v/>
      </c>
      <c r="FQ76" s="44" t="str">
        <f>IF(Table1[Leaving Date]="","",IF(Table1[Date of Initial Assessment]="","",IF(AND(Table1[Leaving Date]&gt;42094,Table1[Leaving Date]&lt;42461),IF(Table1[Date of Last Assessment]="",Table1[Emotional and Mental Health],Table1[Emotional and Mental Health2]),"")))</f>
        <v/>
      </c>
      <c r="FR76" s="44" t="str">
        <f>IF(Table1[Leaving Date]="","",IF(Table1[Date of Initial Assessment]="","",IF(AND(Table1[Leaving Date]&gt;42094,Table1[Leaving Date]&lt;42461),IF(Table1[Date of Last Assessment]="",Table1[Meaningful Use of Time],Table1[Meaningful Use of Time2]),"")))</f>
        <v/>
      </c>
      <c r="FS76" s="44" t="str">
        <f>IF(Table1[Leaving Date]="","",IF(Table1[Date of Initial Assessment]="","",IF(AND(Table1[Leaving Date]&gt;42094,Table1[Leaving Date]&lt;42461),IF(Table1[Date of Last Assessment]="",Table1[Managing Tenancy and Accommodation],Table1[Managing Tenancy and Accommodation2]),"")))</f>
        <v/>
      </c>
      <c r="FT76" s="44" t="str">
        <f>IF(Table1[Leaving Date]="","",IF(Table1[Date of Initial Assessment]="","",IF(AND(Table1[Leaving Date]&gt;42094,Table1[Leaving Date]&lt;42461),IF(Table1[Date of Last Assessment]="",Table1[Offending],Table1[Offending2]),"")))</f>
        <v/>
      </c>
      <c r="FU76" s="44" t="str">
        <f>IF(Table1[Date of Initial Assessment]="","",IF(AND(Table1[Start Date]&gt;42460,Table1[Start Date]&lt;42826),Table1[Motivation and Taking Responsibility],""))</f>
        <v/>
      </c>
      <c r="FV76" s="44" t="str">
        <f>IF(Table1[Date of Initial Assessment]="","",IF(AND(Table1[Start Date]&gt;42460,Table1[Start Date]&lt;42826),Table1[Self-Care and Living Skills],""))</f>
        <v/>
      </c>
      <c r="FW76" s="44" t="str">
        <f>IF(Table1[Date of Initial Assessment]="","",IF(AND(Table1[Start Date]&gt;42460,Table1[Start Date]&lt;42826),Table1[Managing Money and Personal Administration],""))</f>
        <v/>
      </c>
      <c r="FX76" s="44" t="str">
        <f>IF(Table1[Date of Initial Assessment]="","",IF(AND(Table1[Start Date]&gt;42460,Table1[Start Date]&lt;42826),Table1[Social Networks and Relationships],""))</f>
        <v/>
      </c>
      <c r="FY76" s="44" t="str">
        <f>IF(Table1[Date of Initial Assessment]="","",IF(AND(Table1[Start Date]&gt;42460,Table1[Start Date]&lt;42826),Table1[Drug and Alcohol Misuse],""))</f>
        <v/>
      </c>
      <c r="FZ76" s="44" t="str">
        <f>IF(Table1[Date of Initial Assessment]="","",IF(AND(Table1[Start Date]&gt;42460,Table1[Start Date]&lt;42826),Table1[Physical Health],""))</f>
        <v/>
      </c>
      <c r="GA76" s="44" t="str">
        <f>IF(Table1[Date of Initial Assessment]="","",IF(AND(Table1[Start Date]&gt;42460,Table1[Start Date]&lt;42826),Table1[Emotional and Mental Health],""))</f>
        <v/>
      </c>
      <c r="GB76" s="44" t="str">
        <f>IF(Table1[Date of Initial Assessment]="","",IF(AND(Table1[Start Date]&gt;42460,Table1[Start Date]&lt;42826),Table1[Meaningful Use of Time],""))</f>
        <v/>
      </c>
      <c r="GC76" s="44" t="str">
        <f>IF(Table1[Date of Initial Assessment]="","",IF(AND(Table1[Start Date]&gt;42460,Table1[Start Date]&lt;42826),Table1[Managing Tenancy and Accommodation],""))</f>
        <v/>
      </c>
      <c r="GD76" s="44" t="str">
        <f>IF(Table1[Date of Initial Assessment]="","",IF(AND(Table1[Start Date]&gt;42460,Table1[Start Date]&lt;42826),Table1[Offending],""))</f>
        <v/>
      </c>
      <c r="GE76" s="44" t="str">
        <f>IF(Table1[Leaving Date]="","",IF(AND(Table1[Leaving Date]&gt;42460,Table1[Leaving Date]&lt;42826),IF(Table1[Date of Last Assessment]="",Table1[Motivation and Taking Responsibility],Table1[Motivation and Taking Responsibility2]),""))</f>
        <v/>
      </c>
      <c r="GF76" s="44" t="str">
        <f>IF(Table1[Leaving Date]="","",IF(AND(Table1[Leaving Date]&gt;42460,Table1[Leaving Date]&lt;42826),IF(Table1[Date of Last Assessment]="",Table1[Self-Care and Living Skills],Table1[Self-Care and Living Skills2]),""))</f>
        <v/>
      </c>
      <c r="GG76" s="44" t="str">
        <f>IF(Table1[Leaving Date]="","",IF(AND(Table1[Leaving Date]&gt;42460,Table1[Leaving Date]&lt;42826),IF(Table1[Date of Last Assessment]="",Table1[Managing Money and Personal Administration],Table1[Managing Money and Personal Administration2]),""))</f>
        <v/>
      </c>
      <c r="GH76" s="44" t="str">
        <f>IF(Table1[Leaving Date]="","",IF(AND(Table1[Leaving Date]&gt;42460,Table1[Leaving Date]&lt;42826),IF(Table1[Date of Last Assessment]="",Table1[Social Networks and Relationships],Table1[Social Networks and Relationships2]),""))</f>
        <v/>
      </c>
      <c r="GI76" s="44" t="str">
        <f>IF(Table1[Leaving Date]="","",IF(AND(Table1[Leaving Date]&gt;42460,Table1[Leaving Date]&lt;42826),IF(Table1[Date of Last Assessment]="",Table1[Drug and Alcohol Misuse],Table1[Drug and Alcohol Misuse2]),""))</f>
        <v/>
      </c>
      <c r="GJ76" s="44" t="str">
        <f>IF(Table1[Leaving Date]="","",IF(AND(Table1[Leaving Date]&gt;42460,Table1[Leaving Date]&lt;42826),IF(Table1[Date of Last Assessment]="",Table1[Physical Health],Table1[Physical Health2]),""))</f>
        <v/>
      </c>
      <c r="GK76" s="44" t="str">
        <f>IF(Table1[Leaving Date]="","",IF(AND(Table1[Leaving Date]&gt;42460,Table1[Leaving Date]&lt;42826),IF(Table1[Date of Last Assessment]="",Table1[Emotional and Mental Health],Table1[Emotional and Mental Health2]),""))</f>
        <v/>
      </c>
      <c r="GL76" s="44" t="str">
        <f>IF(Table1[Leaving Date]="","",IF(AND(Table1[Leaving Date]&gt;42460,Table1[Leaving Date]&lt;42826),IF(Table1[Date of Last Assessment]="",Table1[Meaningful Use of Time],Table1[Meaningful Use of Time2]),""))</f>
        <v/>
      </c>
      <c r="GM76" s="44" t="str">
        <f>IF(Table1[Leaving Date]="","",IF(AND(Table1[Leaving Date]&gt;42460,Table1[Leaving Date]&lt;42826),IF(Table1[Date of Last Assessment]="",Table1[Managing Tenancy and Accommodation],Table1[Managing Tenancy and Accommodation2]),""))</f>
        <v/>
      </c>
      <c r="GN76" s="44" t="str">
        <f>IF(Table1[Leaving Date]="","",IF(AND(Table1[Leaving Date]&gt;42460,Table1[Leaving Date]&lt;42826),IF(Table1[Date of Last Assessment]="",Table1[Offending],Table1[Offending2]),""))</f>
        <v/>
      </c>
    </row>
    <row r="77" spans="2:196" ht="20.100000000000001" customHeight="1" x14ac:dyDescent="0.2">
      <c r="B77" s="86">
        <f>+'Service Data'!$C$5:$C$5</f>
        <v>0</v>
      </c>
      <c r="C77" s="86"/>
      <c r="D77" s="86"/>
      <c r="E77" s="86"/>
      <c r="F77" s="86"/>
      <c r="G77" s="86"/>
      <c r="H77" s="6"/>
      <c r="I77" s="99" t="str">
        <f ca="1">IF(Table1[[#This Row],[Date of Birth]]="","",SUM(TODAY()-Table1[[#This Row],[Date of Birth]])/365)</f>
        <v/>
      </c>
      <c r="L77" s="86"/>
      <c r="M77" s="77"/>
      <c r="N77" s="86"/>
      <c r="O77" s="86"/>
      <c r="P77" s="91"/>
      <c r="Q77" s="86"/>
      <c r="R77" s="77"/>
      <c r="S77" s="77"/>
      <c r="T77" s="68"/>
      <c r="U77" s="68"/>
      <c r="V77" s="67"/>
      <c r="W77" s="67"/>
      <c r="X77" s="67"/>
      <c r="Y77" s="67"/>
      <c r="Z77" s="67"/>
      <c r="AA77" s="67"/>
      <c r="AB77" s="67"/>
      <c r="AC77" s="67"/>
      <c r="AD77" s="67"/>
      <c r="AE77" s="67"/>
      <c r="AF77" s="67"/>
      <c r="AG77" s="67"/>
      <c r="AH77" s="67"/>
      <c r="AI77" s="67"/>
      <c r="AJ77" s="67"/>
      <c r="AK77" s="67"/>
      <c r="AL77" s="67"/>
      <c r="AM77" s="67"/>
      <c r="AN77" s="77"/>
      <c r="AO77" s="76"/>
      <c r="AP77" s="77"/>
      <c r="AQ77" s="76"/>
      <c r="AR77" s="76"/>
      <c r="AS77" s="76"/>
      <c r="AT77" s="76"/>
      <c r="AU77" s="76"/>
      <c r="AV77" s="77"/>
      <c r="AW77" s="76"/>
      <c r="AX77" s="77"/>
      <c r="AY77" s="76"/>
      <c r="AZ77" s="76"/>
      <c r="BA77" s="76"/>
      <c r="BB77" s="76"/>
      <c r="BC77" s="76"/>
      <c r="BD77" s="77"/>
      <c r="BE77" s="76"/>
      <c r="BF77" s="77"/>
      <c r="BG77" s="76"/>
      <c r="BH77" s="76"/>
      <c r="BI77" s="76"/>
      <c r="BJ77" s="76"/>
      <c r="BK77" s="76"/>
      <c r="BL77" s="77"/>
      <c r="BM77" s="76"/>
      <c r="BN77" s="77"/>
      <c r="BO77" s="76"/>
      <c r="BP77" s="76"/>
      <c r="BQ77" s="76"/>
      <c r="BR77" s="76"/>
      <c r="BS77" s="76"/>
      <c r="BT77" s="77"/>
      <c r="BU77" s="76"/>
      <c r="BV77" s="77"/>
      <c r="BW77" s="76"/>
      <c r="BX77" s="76"/>
      <c r="BY77" s="76"/>
      <c r="BZ77" s="76"/>
      <c r="CA77" s="76"/>
      <c r="CB77" s="77"/>
      <c r="CC77" s="76"/>
      <c r="CD77" s="77"/>
      <c r="CE77" s="76"/>
      <c r="CF77" s="76"/>
      <c r="CG77" s="76"/>
      <c r="CH77" s="76"/>
      <c r="CI77" s="76"/>
      <c r="CJ77" s="77"/>
      <c r="CK77" s="76"/>
      <c r="CL77" s="77"/>
      <c r="CM77" s="76"/>
      <c r="CN77" s="76"/>
      <c r="CO77" s="76"/>
      <c r="CP77" s="76"/>
      <c r="CQ77" s="76"/>
      <c r="CR77" s="78" t="str">
        <f t="shared" si="31"/>
        <v/>
      </c>
      <c r="CS77" s="79" t="str">
        <f t="shared" si="32"/>
        <v/>
      </c>
      <c r="CT77" s="79" t="str">
        <f t="shared" si="33"/>
        <v/>
      </c>
      <c r="CU77" s="79" t="str">
        <f t="shared" si="34"/>
        <v/>
      </c>
      <c r="CV77" s="79" t="str">
        <f t="shared" si="35"/>
        <v/>
      </c>
      <c r="CW77" s="79" t="str">
        <f t="shared" si="36"/>
        <v/>
      </c>
      <c r="CX77" s="79" t="str">
        <f t="shared" si="37"/>
        <v/>
      </c>
      <c r="CY77" s="79" t="str">
        <f t="shared" si="38"/>
        <v/>
      </c>
      <c r="CZ77" s="79" t="str">
        <f t="shared" si="39"/>
        <v/>
      </c>
      <c r="DA77" s="79" t="str">
        <f t="shared" si="40"/>
        <v/>
      </c>
      <c r="DB77" s="79" t="str">
        <f t="shared" si="41"/>
        <v/>
      </c>
      <c r="DC77" s="79" t="str">
        <f t="shared" si="42"/>
        <v/>
      </c>
      <c r="DD77" s="79" t="str">
        <f t="shared" si="43"/>
        <v/>
      </c>
      <c r="DE77" s="79" t="str">
        <f t="shared" si="44"/>
        <v/>
      </c>
      <c r="DF77" s="79" t="str">
        <f t="shared" si="45"/>
        <v/>
      </c>
      <c r="DG77" s="79" t="str">
        <f t="shared" si="46"/>
        <v/>
      </c>
      <c r="DH77" s="76"/>
      <c r="DI77" s="78"/>
      <c r="DJ77" s="76"/>
      <c r="DK77" s="77"/>
      <c r="DL77" s="77"/>
      <c r="DM77" s="77"/>
      <c r="DN77" s="80"/>
      <c r="DO77" s="80"/>
      <c r="DP77" s="92" t="str">
        <f>IF(Table1[Start Date]="","",IF(Table1[Start Date]&gt;42185,"",IF(AND(Table1[Leaving Date]&gt;1,Table1[Leaving Date]&lt;42095),"",1)))</f>
        <v/>
      </c>
      <c r="DQ77" s="92" t="str">
        <f>IF(Table1[Start Date]="","",IF(Table1[Start Date]&gt;42277,"",IF(AND(Table1[Leaving Date]&gt;1,Table1[Leaving Date]&lt;42186),"",1)))</f>
        <v/>
      </c>
      <c r="DR77" s="92" t="str">
        <f>IF(Table1[Start Date]="","",IF(Table1[Start Date]&gt;42369,"",IF(AND(Table1[Leaving Date]&gt;1,Table1[Leaving Date]&lt;42278),"",1)))</f>
        <v/>
      </c>
      <c r="DS77" s="92" t="str">
        <f>IF(Table1[Start Date]="","",IF(Table1[Start Date]&gt;42460,"",IF(AND(Table1[Leaving Date]&gt;1,Table1[Leaving Date]&lt;42370),"",1)))</f>
        <v/>
      </c>
      <c r="DT77" s="92" t="str">
        <f>IF(Table1[Start Date]="","",IF(Table1[Start Date]&gt;42551,"",IF(AND(Table1[Leaving Date]&gt;1,Table1[Leaving Date]&lt;42461),"",1)))</f>
        <v/>
      </c>
      <c r="DU77" s="92" t="str">
        <f>IF(Table1[Start Date]="","",IF(Table1[Start Date]&gt;42643,"",IF(AND(Table1[Leaving Date]&gt;1,Table1[Leaving Date]&lt;42552),"",1)))</f>
        <v/>
      </c>
      <c r="DV77" s="92" t="str">
        <f>IF(Table1[Start Date]="","",IF(Table1[Start Date]&gt;42735,"",IF(AND(Table1[Leaving Date]&gt;1,Table1[Leaving Date]&lt;42644),"",1)))</f>
        <v/>
      </c>
      <c r="DW77" s="92" t="str">
        <f>IF(Table1[Start Date]="","",IF(Table1[Start Date]&gt;42825,"",IF(AND(Table1[Leaving Date]&gt;1,Table1[Leaving Date]&lt;42736),"",1)))</f>
        <v/>
      </c>
      <c r="DX77"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77" s="44" t="e">
        <f>VLOOKUP(Table1[Referral Source],Lists!$G$2:$H$20,2,FALSE)</f>
        <v>#N/A</v>
      </c>
      <c r="DZ77" s="93" t="e">
        <f>SUM(Table1[Data Referral Quarter]+Table1[Data Referral Source])</f>
        <v>#N/A</v>
      </c>
      <c r="EA77" s="44" t="b">
        <f>IF(Table1[Referral Decision]="Accepted",100,IF(Table1[Referral Decision]="Rejected by Provider",200,IF(Table1[Referral Decision]="Rejected by Applicant",300)))</f>
        <v>0</v>
      </c>
      <c r="EB77" s="44">
        <f>SUM(Table1[Data Referral Quarter]+Table1[Data Referral Decision])</f>
        <v>0</v>
      </c>
      <c r="EC77" s="44" t="b">
        <f>IF(Table1[Start Date]&gt;42735,8000,IF(Table1[Start Date]&gt;42643,7000,IF(Table1[Start Date]&gt;42551,6000,IF(Table1[Start Date]&gt;42460,5000,IF(Table1[Start Date]&gt;42369,4000,IF(Table1[Start Date]&gt;42277,3000,IF(Table1[Start Date]&gt;42185,2000,IF(Table1[Start Date]&gt;42094,1000))))))))</f>
        <v>0</v>
      </c>
      <c r="ED77" s="44" t="str">
        <f>IF(Table1[Start Date]="","",IF(Table1[Current Local Authority]="Swindon",1,"2"))</f>
        <v/>
      </c>
      <c r="EE77" s="44" t="e">
        <f>SUM(Table1[Data Start Date]+Table1[Data Local Authority])</f>
        <v>#VALUE!</v>
      </c>
      <c r="EF77" s="44">
        <f>IF(Table1[Registered with GP]="Yes",1,0)</f>
        <v>0</v>
      </c>
      <c r="EG77" s="44">
        <f>SUM(Table1[Data Start Date]+Table1[Data GP Start])</f>
        <v>0</v>
      </c>
      <c r="EH77" s="44" t="str">
        <f>IF(Table1[EET]="NEET",1,IF(Table1[EET]="Education",2,IF(Table1[EET]="Employment",2,IF(Table1[EET]="Training",2,IF(Table1[EET]="Retired",3,"")))))</f>
        <v/>
      </c>
      <c r="EI77" s="44" t="e">
        <f>Table1[Data Start Date]+Table1[Data EET Start]</f>
        <v>#VALUE!</v>
      </c>
      <c r="EJ77" s="44" t="b">
        <f>IF(Table1[Leaving Date]&gt;42735,8000,IF(Table1[Leaving Date]&gt;42643,7000,IF(Table1[Leaving Date]&gt;42551,6000,IF(Table1[Leaving Date]&gt;42460,5000,IF(Table1[Leaving Date]&gt;42369,4000,IF(Table1[Leaving Date]&gt;42277,3000,IF(Table1[Leaving Date]&gt;42185,2000,IF(Table1[Leaving Date]&gt;42094,1000))))))))</f>
        <v>0</v>
      </c>
      <c r="EK77" s="44" t="e">
        <f>VLOOKUP(Table1[Reason for Leaving],Lists!$T$2:$U$15,2,FALSE)</f>
        <v>#N/A</v>
      </c>
      <c r="EL77" s="44" t="e">
        <f>SUM(Table1[Data Leavers Date]+Table1[Data Move On])</f>
        <v>#N/A</v>
      </c>
      <c r="EM77" s="44" t="b">
        <f>IF(Table1[Registered with GP2]="Yes",1,IF(Table1[Registered with GP2]="No",0,IF(Table1[Registered with GP]="Yes",1,IF(Table1[Registered with GP]="No",0))))</f>
        <v>0</v>
      </c>
      <c r="EN77" s="44">
        <f>SUM(Table1[Data Leavers Date]+Table1[Data GP End])</f>
        <v>0</v>
      </c>
      <c r="EO77" s="44" t="str">
        <f>IF(Table1[EET2]="NEET",1,IF(Table1[EET2]="Employment",2,IF(Table1[EET2]="Education",2,IF(Table1[EET2]="Training",2,IF(Table1[EET2]="Retired",3,IF(Table1[EET]="NEET",1,IF(Table1[EET]="Employment",2,IF(Table1[EET]="Education",2,IF(Table1[EET]="Training",2,IF(Table1[EET]="Retired",3,""))))))))))</f>
        <v/>
      </c>
      <c r="EP77" s="44" t="e">
        <f>+Table1[[#This Row],[Data Leavers Date]]+Table1[[#This Row],[Data EET End]]</f>
        <v>#VALUE!</v>
      </c>
      <c r="EQ77" s="44">
        <f>IF(Table1[Exit Form Received]="Yes",1,0)</f>
        <v>0</v>
      </c>
      <c r="ER77" s="44">
        <f>+Table1[[#This Row],[Data Leavers Date]]+Table1[[#This Row],[Data Exit Forms]]</f>
        <v>0</v>
      </c>
      <c r="ES77" s="44" t="str">
        <f>IF(Table1[Data Leavers Date]=1000,SUM(Table1[Leaving Date]-Table1[Start Date]),"")</f>
        <v/>
      </c>
      <c r="ET77" s="44" t="str">
        <f>IF(Table1[Data Leavers Date]=2000,SUM(Table1[Leaving Date]-Table1[Start Date]),"")</f>
        <v/>
      </c>
      <c r="EU77" s="44" t="str">
        <f>IF(Table1[Data Leavers Date]=3000,SUM(Table1[Leaving Date]-Table1[Start Date]),"")</f>
        <v/>
      </c>
      <c r="EV77" s="44" t="str">
        <f>IF(Table1[Data Leavers Date]=4000,SUM(Table1[Leaving Date]-Table1[Start Date]),"")</f>
        <v/>
      </c>
      <c r="EW77" s="44" t="str">
        <f>IF(Table1[Data Leavers Date]=5000,SUM(Table1[Leaving Date]-Table1[Start Date]),"")</f>
        <v/>
      </c>
      <c r="EX77" s="44" t="str">
        <f>IF(Table1[Data Leavers Date]=6000,SUM(Table1[Leaving Date]-Table1[Start Date]),"")</f>
        <v/>
      </c>
      <c r="EY77" s="44" t="str">
        <f>IF(Table1[Data Leavers Date]=7000,SUM(Table1[Leaving Date]-Table1[Start Date]),"")</f>
        <v/>
      </c>
      <c r="EZ77" s="44" t="str">
        <f>IF(Table1[Data Leavers Date]=8000,SUM(Table1[Leaving Date]-Table1[Start Date]),"")</f>
        <v/>
      </c>
      <c r="FA77" s="44" t="str">
        <f>IF(Table1[Date of Initial Assessment]="","",IF(AND(Table1[Start Date]&gt;42094,Table1[Start Date]&lt;42461),Table1[Motivation and Taking Responsibility],""))</f>
        <v/>
      </c>
      <c r="FB77" s="44" t="str">
        <f>IF(Table1[Date of Initial Assessment]="","",IF(AND(Table1[Start Date]&gt;42094,Table1[Start Date]&lt;42461),Table1[Self-Care and Living Skills],""))</f>
        <v/>
      </c>
      <c r="FC77" s="44" t="str">
        <f>IF(Table1[Date of Initial Assessment]="","",IF(AND(Table1[Start Date]&gt;42094,Table1[Start Date]&lt;42461),Table1[Managing Money and Personal Administration],""))</f>
        <v/>
      </c>
      <c r="FD77" s="44" t="str">
        <f>IF(Table1[Date of Initial Assessment]="","",IF(AND(Table1[Start Date]&gt;42094,Table1[Start Date]&lt;42461),Table1[Social Networks and Relationships],""))</f>
        <v/>
      </c>
      <c r="FE77" s="44" t="str">
        <f>IF(Table1[Date of Initial Assessment]="","",IF(AND(Table1[Start Date]&gt;42094,Table1[Start Date]&lt;42461),Table1[Drug and Alcohol Misuse],""))</f>
        <v/>
      </c>
      <c r="FF77" s="44" t="str">
        <f>IF(Table1[Date of Initial Assessment]="","",IF(AND(Table1[Start Date]&gt;42094,Table1[Start Date]&lt;42461),Table1[Physical Health],""))</f>
        <v/>
      </c>
      <c r="FG77" s="44" t="str">
        <f>IF(Table1[Date of Initial Assessment]="","",IF(AND(Table1[Start Date]&gt;42094,Table1[Start Date]&lt;42461),Table1[Emotional and Mental Health],""))</f>
        <v/>
      </c>
      <c r="FH77" s="44" t="str">
        <f>IF(Table1[Date of Initial Assessment]="","",IF(AND(Table1[Start Date]&gt;42094,Table1[Start Date]&lt;42461),Table1[Meaningful Use of Time],""))</f>
        <v/>
      </c>
      <c r="FI77" s="44" t="str">
        <f>IF(Table1[Date of Initial Assessment]="","",IF(AND(Table1[Start Date]&gt;42094,Table1[Start Date]&lt;42461),Table1[Managing Tenancy and Accommodation],""))</f>
        <v/>
      </c>
      <c r="FJ77" s="44" t="str">
        <f>IF(Table1[Date of Initial Assessment]="","",IF(AND(Table1[Start Date]&gt;42094,Table1[Start Date]&lt;42461),Table1[Offending],""))</f>
        <v/>
      </c>
      <c r="FK77" s="44" t="str">
        <f>IF(Table1[Leaving Date]="","",IF(Table1[Date of Initial Assessment]="","",IF(AND(Table1[Leaving Date]&gt;42094,Table1[Leaving Date]&lt;42461),IF(Table1[Date of Last Assessment]="",Table1[Motivation and Taking Responsibility],Table1[Motivation and Taking Responsibility2]),"")))</f>
        <v/>
      </c>
      <c r="FL77" s="44" t="str">
        <f>IF(Table1[Leaving Date]="","",IF(Table1[Date of Initial Assessment]="","",IF(AND(Table1[Leaving Date]&gt;42094,Table1[Leaving Date]&lt;42461),IF(Table1[Date of Last Assessment]="",Table1[Self-Care and Living Skills],Table1[Self-Care and Living Skills2]),"")))</f>
        <v/>
      </c>
      <c r="FM77" s="44" t="str">
        <f>IF(Table1[Leaving Date]="","",IF(Table1[Date of Initial Assessment]="","",IF(AND(Table1[Leaving Date]&gt;42094,Table1[Leaving Date]&lt;42461),IF(Table1[Date of Last Assessment]="",Table1[Managing Money and Personal Administration],Table1[Managing Money and Personal Administration2]),"")))</f>
        <v/>
      </c>
      <c r="FN77" s="44" t="str">
        <f>IF(Table1[Leaving Date]="","",IF(Table1[Date of Initial Assessment]="","",IF(AND(Table1[Leaving Date]&gt;42094,Table1[Leaving Date]&lt;42461),IF(Table1[Date of Last Assessment]="",Table1[Social Networks and Relationships],Table1[Social Networks and Relationships2]),"")))</f>
        <v/>
      </c>
      <c r="FO77" s="44" t="str">
        <f>IF(Table1[Leaving Date]="","",IF(Table1[Date of Initial Assessment]="","",IF(AND(Table1[Leaving Date]&gt;42094,Table1[Leaving Date]&lt;42461),IF(Table1[Date of Last Assessment]="",Table1[Drug and Alcohol Misuse],Table1[Drug and Alcohol Misuse2]),"")))</f>
        <v/>
      </c>
      <c r="FP77" s="44" t="str">
        <f>IF(Table1[Leaving Date]="","",IF(Table1[Date of Initial Assessment]="","",IF(AND(Table1[Leaving Date]&gt;42094,Table1[Leaving Date]&lt;42461),IF(Table1[Date of Last Assessment]="",Table1[Physical Health],Table1[Physical Health2]),"")))</f>
        <v/>
      </c>
      <c r="FQ77" s="44" t="str">
        <f>IF(Table1[Leaving Date]="","",IF(Table1[Date of Initial Assessment]="","",IF(AND(Table1[Leaving Date]&gt;42094,Table1[Leaving Date]&lt;42461),IF(Table1[Date of Last Assessment]="",Table1[Emotional and Mental Health],Table1[Emotional and Mental Health2]),"")))</f>
        <v/>
      </c>
      <c r="FR77" s="44" t="str">
        <f>IF(Table1[Leaving Date]="","",IF(Table1[Date of Initial Assessment]="","",IF(AND(Table1[Leaving Date]&gt;42094,Table1[Leaving Date]&lt;42461),IF(Table1[Date of Last Assessment]="",Table1[Meaningful Use of Time],Table1[Meaningful Use of Time2]),"")))</f>
        <v/>
      </c>
      <c r="FS77" s="44" t="str">
        <f>IF(Table1[Leaving Date]="","",IF(Table1[Date of Initial Assessment]="","",IF(AND(Table1[Leaving Date]&gt;42094,Table1[Leaving Date]&lt;42461),IF(Table1[Date of Last Assessment]="",Table1[Managing Tenancy and Accommodation],Table1[Managing Tenancy and Accommodation2]),"")))</f>
        <v/>
      </c>
      <c r="FT77" s="44" t="str">
        <f>IF(Table1[Leaving Date]="","",IF(Table1[Date of Initial Assessment]="","",IF(AND(Table1[Leaving Date]&gt;42094,Table1[Leaving Date]&lt;42461),IF(Table1[Date of Last Assessment]="",Table1[Offending],Table1[Offending2]),"")))</f>
        <v/>
      </c>
      <c r="FU77" s="44" t="str">
        <f>IF(Table1[Date of Initial Assessment]="","",IF(AND(Table1[Start Date]&gt;42460,Table1[Start Date]&lt;42826),Table1[Motivation and Taking Responsibility],""))</f>
        <v/>
      </c>
      <c r="FV77" s="44" t="str">
        <f>IF(Table1[Date of Initial Assessment]="","",IF(AND(Table1[Start Date]&gt;42460,Table1[Start Date]&lt;42826),Table1[Self-Care and Living Skills],""))</f>
        <v/>
      </c>
      <c r="FW77" s="44" t="str">
        <f>IF(Table1[Date of Initial Assessment]="","",IF(AND(Table1[Start Date]&gt;42460,Table1[Start Date]&lt;42826),Table1[Managing Money and Personal Administration],""))</f>
        <v/>
      </c>
      <c r="FX77" s="44" t="str">
        <f>IF(Table1[Date of Initial Assessment]="","",IF(AND(Table1[Start Date]&gt;42460,Table1[Start Date]&lt;42826),Table1[Social Networks and Relationships],""))</f>
        <v/>
      </c>
      <c r="FY77" s="44" t="str">
        <f>IF(Table1[Date of Initial Assessment]="","",IF(AND(Table1[Start Date]&gt;42460,Table1[Start Date]&lt;42826),Table1[Drug and Alcohol Misuse],""))</f>
        <v/>
      </c>
      <c r="FZ77" s="44" t="str">
        <f>IF(Table1[Date of Initial Assessment]="","",IF(AND(Table1[Start Date]&gt;42460,Table1[Start Date]&lt;42826),Table1[Physical Health],""))</f>
        <v/>
      </c>
      <c r="GA77" s="44" t="str">
        <f>IF(Table1[Date of Initial Assessment]="","",IF(AND(Table1[Start Date]&gt;42460,Table1[Start Date]&lt;42826),Table1[Emotional and Mental Health],""))</f>
        <v/>
      </c>
      <c r="GB77" s="44" t="str">
        <f>IF(Table1[Date of Initial Assessment]="","",IF(AND(Table1[Start Date]&gt;42460,Table1[Start Date]&lt;42826),Table1[Meaningful Use of Time],""))</f>
        <v/>
      </c>
      <c r="GC77" s="44" t="str">
        <f>IF(Table1[Date of Initial Assessment]="","",IF(AND(Table1[Start Date]&gt;42460,Table1[Start Date]&lt;42826),Table1[Managing Tenancy and Accommodation],""))</f>
        <v/>
      </c>
      <c r="GD77" s="44" t="str">
        <f>IF(Table1[Date of Initial Assessment]="","",IF(AND(Table1[Start Date]&gt;42460,Table1[Start Date]&lt;42826),Table1[Offending],""))</f>
        <v/>
      </c>
      <c r="GE77" s="44" t="str">
        <f>IF(Table1[Leaving Date]="","",IF(AND(Table1[Leaving Date]&gt;42460,Table1[Leaving Date]&lt;42826),IF(Table1[Date of Last Assessment]="",Table1[Motivation and Taking Responsibility],Table1[Motivation and Taking Responsibility2]),""))</f>
        <v/>
      </c>
      <c r="GF77" s="44" t="str">
        <f>IF(Table1[Leaving Date]="","",IF(AND(Table1[Leaving Date]&gt;42460,Table1[Leaving Date]&lt;42826),IF(Table1[Date of Last Assessment]="",Table1[Self-Care and Living Skills],Table1[Self-Care and Living Skills2]),""))</f>
        <v/>
      </c>
      <c r="GG77" s="44" t="str">
        <f>IF(Table1[Leaving Date]="","",IF(AND(Table1[Leaving Date]&gt;42460,Table1[Leaving Date]&lt;42826),IF(Table1[Date of Last Assessment]="",Table1[Managing Money and Personal Administration],Table1[Managing Money and Personal Administration2]),""))</f>
        <v/>
      </c>
      <c r="GH77" s="44" t="str">
        <f>IF(Table1[Leaving Date]="","",IF(AND(Table1[Leaving Date]&gt;42460,Table1[Leaving Date]&lt;42826),IF(Table1[Date of Last Assessment]="",Table1[Social Networks and Relationships],Table1[Social Networks and Relationships2]),""))</f>
        <v/>
      </c>
      <c r="GI77" s="44" t="str">
        <f>IF(Table1[Leaving Date]="","",IF(AND(Table1[Leaving Date]&gt;42460,Table1[Leaving Date]&lt;42826),IF(Table1[Date of Last Assessment]="",Table1[Drug and Alcohol Misuse],Table1[Drug and Alcohol Misuse2]),""))</f>
        <v/>
      </c>
      <c r="GJ77" s="44" t="str">
        <f>IF(Table1[Leaving Date]="","",IF(AND(Table1[Leaving Date]&gt;42460,Table1[Leaving Date]&lt;42826),IF(Table1[Date of Last Assessment]="",Table1[Physical Health],Table1[Physical Health2]),""))</f>
        <v/>
      </c>
      <c r="GK77" s="44" t="str">
        <f>IF(Table1[Leaving Date]="","",IF(AND(Table1[Leaving Date]&gt;42460,Table1[Leaving Date]&lt;42826),IF(Table1[Date of Last Assessment]="",Table1[Emotional and Mental Health],Table1[Emotional and Mental Health2]),""))</f>
        <v/>
      </c>
      <c r="GL77" s="44" t="str">
        <f>IF(Table1[Leaving Date]="","",IF(AND(Table1[Leaving Date]&gt;42460,Table1[Leaving Date]&lt;42826),IF(Table1[Date of Last Assessment]="",Table1[Meaningful Use of Time],Table1[Meaningful Use of Time2]),""))</f>
        <v/>
      </c>
      <c r="GM77" s="44" t="str">
        <f>IF(Table1[Leaving Date]="","",IF(AND(Table1[Leaving Date]&gt;42460,Table1[Leaving Date]&lt;42826),IF(Table1[Date of Last Assessment]="",Table1[Managing Tenancy and Accommodation],Table1[Managing Tenancy and Accommodation2]),""))</f>
        <v/>
      </c>
      <c r="GN77" s="44" t="str">
        <f>IF(Table1[Leaving Date]="","",IF(AND(Table1[Leaving Date]&gt;42460,Table1[Leaving Date]&lt;42826),IF(Table1[Date of Last Assessment]="",Table1[Offending],Table1[Offending2]),""))</f>
        <v/>
      </c>
    </row>
    <row r="78" spans="2:196" ht="20.100000000000001" customHeight="1" x14ac:dyDescent="0.2">
      <c r="B78" s="86">
        <f>+'Service Data'!$C$5:$C$5</f>
        <v>0</v>
      </c>
      <c r="C78" s="86"/>
      <c r="D78" s="86"/>
      <c r="E78" s="86"/>
      <c r="F78" s="86"/>
      <c r="G78" s="86"/>
      <c r="H78" s="6"/>
      <c r="I78" s="99" t="str">
        <f ca="1">IF(Table1[[#This Row],[Date of Birth]]="","",SUM(TODAY()-Table1[[#This Row],[Date of Birth]])/365)</f>
        <v/>
      </c>
      <c r="L78" s="86"/>
      <c r="M78" s="77"/>
      <c r="N78" s="86"/>
      <c r="O78" s="86"/>
      <c r="P78" s="91"/>
      <c r="Q78" s="86"/>
      <c r="R78" s="77"/>
      <c r="S78" s="77"/>
      <c r="T78" s="68"/>
      <c r="U78" s="68"/>
      <c r="V78" s="67"/>
      <c r="W78" s="67"/>
      <c r="X78" s="67"/>
      <c r="Y78" s="67"/>
      <c r="Z78" s="67"/>
      <c r="AA78" s="67"/>
      <c r="AB78" s="67"/>
      <c r="AC78" s="67"/>
      <c r="AD78" s="67"/>
      <c r="AE78" s="67"/>
      <c r="AF78" s="67"/>
      <c r="AG78" s="67"/>
      <c r="AH78" s="67"/>
      <c r="AI78" s="67"/>
      <c r="AJ78" s="67"/>
      <c r="AK78" s="67"/>
      <c r="AL78" s="67"/>
      <c r="AM78" s="67"/>
      <c r="AN78" s="77"/>
      <c r="AO78" s="76"/>
      <c r="AP78" s="77"/>
      <c r="AQ78" s="76"/>
      <c r="AR78" s="76"/>
      <c r="AS78" s="76"/>
      <c r="AT78" s="76"/>
      <c r="AU78" s="76"/>
      <c r="AV78" s="77"/>
      <c r="AW78" s="76"/>
      <c r="AX78" s="77"/>
      <c r="AY78" s="76"/>
      <c r="AZ78" s="76"/>
      <c r="BA78" s="76"/>
      <c r="BB78" s="76"/>
      <c r="BC78" s="76"/>
      <c r="BD78" s="77"/>
      <c r="BE78" s="76"/>
      <c r="BF78" s="77"/>
      <c r="BG78" s="76"/>
      <c r="BH78" s="76"/>
      <c r="BI78" s="76"/>
      <c r="BJ78" s="76"/>
      <c r="BK78" s="76"/>
      <c r="BL78" s="77"/>
      <c r="BM78" s="76"/>
      <c r="BN78" s="77"/>
      <c r="BO78" s="76"/>
      <c r="BP78" s="76"/>
      <c r="BQ78" s="76"/>
      <c r="BR78" s="76"/>
      <c r="BS78" s="76"/>
      <c r="BT78" s="77"/>
      <c r="BU78" s="76"/>
      <c r="BV78" s="77"/>
      <c r="BW78" s="76"/>
      <c r="BX78" s="76"/>
      <c r="BY78" s="76"/>
      <c r="BZ78" s="76"/>
      <c r="CA78" s="76"/>
      <c r="CB78" s="77"/>
      <c r="CC78" s="76"/>
      <c r="CD78" s="77"/>
      <c r="CE78" s="76"/>
      <c r="CF78" s="76"/>
      <c r="CG78" s="76"/>
      <c r="CH78" s="76"/>
      <c r="CI78" s="76"/>
      <c r="CJ78" s="77"/>
      <c r="CK78" s="76"/>
      <c r="CL78" s="77"/>
      <c r="CM78" s="76"/>
      <c r="CN78" s="76"/>
      <c r="CO78" s="76"/>
      <c r="CP78" s="76"/>
      <c r="CQ78" s="76"/>
      <c r="CR78" s="78" t="str">
        <f t="shared" si="31"/>
        <v/>
      </c>
      <c r="CS78" s="79" t="str">
        <f t="shared" si="32"/>
        <v/>
      </c>
      <c r="CT78" s="79" t="str">
        <f t="shared" si="33"/>
        <v/>
      </c>
      <c r="CU78" s="79" t="str">
        <f t="shared" si="34"/>
        <v/>
      </c>
      <c r="CV78" s="79" t="str">
        <f t="shared" si="35"/>
        <v/>
      </c>
      <c r="CW78" s="79" t="str">
        <f t="shared" si="36"/>
        <v/>
      </c>
      <c r="CX78" s="79" t="str">
        <f t="shared" si="37"/>
        <v/>
      </c>
      <c r="CY78" s="79" t="str">
        <f t="shared" si="38"/>
        <v/>
      </c>
      <c r="CZ78" s="79" t="str">
        <f t="shared" si="39"/>
        <v/>
      </c>
      <c r="DA78" s="79" t="str">
        <f t="shared" si="40"/>
        <v/>
      </c>
      <c r="DB78" s="79" t="str">
        <f t="shared" si="41"/>
        <v/>
      </c>
      <c r="DC78" s="79" t="str">
        <f t="shared" si="42"/>
        <v/>
      </c>
      <c r="DD78" s="79" t="str">
        <f t="shared" si="43"/>
        <v/>
      </c>
      <c r="DE78" s="79" t="str">
        <f t="shared" si="44"/>
        <v/>
      </c>
      <c r="DF78" s="79" t="str">
        <f t="shared" si="45"/>
        <v/>
      </c>
      <c r="DG78" s="79" t="str">
        <f t="shared" si="46"/>
        <v/>
      </c>
      <c r="DH78" s="76"/>
      <c r="DI78" s="78"/>
      <c r="DJ78" s="76"/>
      <c r="DK78" s="77"/>
      <c r="DL78" s="77"/>
      <c r="DM78" s="77"/>
      <c r="DN78" s="80"/>
      <c r="DO78" s="80"/>
      <c r="DP78" s="92" t="str">
        <f>IF(Table1[Start Date]="","",IF(Table1[Start Date]&gt;42185,"",IF(AND(Table1[Leaving Date]&gt;1,Table1[Leaving Date]&lt;42095),"",1)))</f>
        <v/>
      </c>
      <c r="DQ78" s="92" t="str">
        <f>IF(Table1[Start Date]="","",IF(Table1[Start Date]&gt;42277,"",IF(AND(Table1[Leaving Date]&gt;1,Table1[Leaving Date]&lt;42186),"",1)))</f>
        <v/>
      </c>
      <c r="DR78" s="92" t="str">
        <f>IF(Table1[Start Date]="","",IF(Table1[Start Date]&gt;42369,"",IF(AND(Table1[Leaving Date]&gt;1,Table1[Leaving Date]&lt;42278),"",1)))</f>
        <v/>
      </c>
      <c r="DS78" s="92" t="str">
        <f>IF(Table1[Start Date]="","",IF(Table1[Start Date]&gt;42460,"",IF(AND(Table1[Leaving Date]&gt;1,Table1[Leaving Date]&lt;42370),"",1)))</f>
        <v/>
      </c>
      <c r="DT78" s="92" t="str">
        <f>IF(Table1[Start Date]="","",IF(Table1[Start Date]&gt;42551,"",IF(AND(Table1[Leaving Date]&gt;1,Table1[Leaving Date]&lt;42461),"",1)))</f>
        <v/>
      </c>
      <c r="DU78" s="92" t="str">
        <f>IF(Table1[Start Date]="","",IF(Table1[Start Date]&gt;42643,"",IF(AND(Table1[Leaving Date]&gt;1,Table1[Leaving Date]&lt;42552),"",1)))</f>
        <v/>
      </c>
      <c r="DV78" s="92" t="str">
        <f>IF(Table1[Start Date]="","",IF(Table1[Start Date]&gt;42735,"",IF(AND(Table1[Leaving Date]&gt;1,Table1[Leaving Date]&lt;42644),"",1)))</f>
        <v/>
      </c>
      <c r="DW78" s="92" t="str">
        <f>IF(Table1[Start Date]="","",IF(Table1[Start Date]&gt;42825,"",IF(AND(Table1[Leaving Date]&gt;1,Table1[Leaving Date]&lt;42736),"",1)))</f>
        <v/>
      </c>
      <c r="DX78"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78" s="44" t="e">
        <f>VLOOKUP(Table1[Referral Source],Lists!$G$2:$H$20,2,FALSE)</f>
        <v>#N/A</v>
      </c>
      <c r="DZ78" s="93" t="e">
        <f>SUM(Table1[Data Referral Quarter]+Table1[Data Referral Source])</f>
        <v>#N/A</v>
      </c>
      <c r="EA78" s="44" t="b">
        <f>IF(Table1[Referral Decision]="Accepted",100,IF(Table1[Referral Decision]="Rejected by Provider",200,IF(Table1[Referral Decision]="Rejected by Applicant",300)))</f>
        <v>0</v>
      </c>
      <c r="EB78" s="44">
        <f>SUM(Table1[Data Referral Quarter]+Table1[Data Referral Decision])</f>
        <v>0</v>
      </c>
      <c r="EC78" s="44" t="b">
        <f>IF(Table1[Start Date]&gt;42735,8000,IF(Table1[Start Date]&gt;42643,7000,IF(Table1[Start Date]&gt;42551,6000,IF(Table1[Start Date]&gt;42460,5000,IF(Table1[Start Date]&gt;42369,4000,IF(Table1[Start Date]&gt;42277,3000,IF(Table1[Start Date]&gt;42185,2000,IF(Table1[Start Date]&gt;42094,1000))))))))</f>
        <v>0</v>
      </c>
      <c r="ED78" s="44" t="str">
        <f>IF(Table1[Start Date]="","",IF(Table1[Current Local Authority]="Swindon",1,"2"))</f>
        <v/>
      </c>
      <c r="EE78" s="44" t="e">
        <f>SUM(Table1[Data Start Date]+Table1[Data Local Authority])</f>
        <v>#VALUE!</v>
      </c>
      <c r="EF78" s="44">
        <f>IF(Table1[Registered with GP]="Yes",1,0)</f>
        <v>0</v>
      </c>
      <c r="EG78" s="44">
        <f>SUM(Table1[Data Start Date]+Table1[Data GP Start])</f>
        <v>0</v>
      </c>
      <c r="EH78" s="44" t="str">
        <f>IF(Table1[EET]="NEET",1,IF(Table1[EET]="Education",2,IF(Table1[EET]="Employment",2,IF(Table1[EET]="Training",2,IF(Table1[EET]="Retired",3,"")))))</f>
        <v/>
      </c>
      <c r="EI78" s="44" t="e">
        <f>Table1[Data Start Date]+Table1[Data EET Start]</f>
        <v>#VALUE!</v>
      </c>
      <c r="EJ78" s="44" t="b">
        <f>IF(Table1[Leaving Date]&gt;42735,8000,IF(Table1[Leaving Date]&gt;42643,7000,IF(Table1[Leaving Date]&gt;42551,6000,IF(Table1[Leaving Date]&gt;42460,5000,IF(Table1[Leaving Date]&gt;42369,4000,IF(Table1[Leaving Date]&gt;42277,3000,IF(Table1[Leaving Date]&gt;42185,2000,IF(Table1[Leaving Date]&gt;42094,1000))))))))</f>
        <v>0</v>
      </c>
      <c r="EK78" s="44" t="e">
        <f>VLOOKUP(Table1[Reason for Leaving],Lists!$T$2:$U$15,2,FALSE)</f>
        <v>#N/A</v>
      </c>
      <c r="EL78" s="44" t="e">
        <f>SUM(Table1[Data Leavers Date]+Table1[Data Move On])</f>
        <v>#N/A</v>
      </c>
      <c r="EM78" s="44" t="b">
        <f>IF(Table1[Registered with GP2]="Yes",1,IF(Table1[Registered with GP2]="No",0,IF(Table1[Registered with GP]="Yes",1,IF(Table1[Registered with GP]="No",0))))</f>
        <v>0</v>
      </c>
      <c r="EN78" s="44">
        <f>SUM(Table1[Data Leavers Date]+Table1[Data GP End])</f>
        <v>0</v>
      </c>
      <c r="EO78" s="44" t="str">
        <f>IF(Table1[EET2]="NEET",1,IF(Table1[EET2]="Employment",2,IF(Table1[EET2]="Education",2,IF(Table1[EET2]="Training",2,IF(Table1[EET2]="Retired",3,IF(Table1[EET]="NEET",1,IF(Table1[EET]="Employment",2,IF(Table1[EET]="Education",2,IF(Table1[EET]="Training",2,IF(Table1[EET]="Retired",3,""))))))))))</f>
        <v/>
      </c>
      <c r="EP78" s="44" t="e">
        <f>+Table1[[#This Row],[Data Leavers Date]]+Table1[[#This Row],[Data EET End]]</f>
        <v>#VALUE!</v>
      </c>
      <c r="EQ78" s="44">
        <f>IF(Table1[Exit Form Received]="Yes",1,0)</f>
        <v>0</v>
      </c>
      <c r="ER78" s="44">
        <f>+Table1[[#This Row],[Data Leavers Date]]+Table1[[#This Row],[Data Exit Forms]]</f>
        <v>0</v>
      </c>
      <c r="ES78" s="44" t="str">
        <f>IF(Table1[Data Leavers Date]=1000,SUM(Table1[Leaving Date]-Table1[Start Date]),"")</f>
        <v/>
      </c>
      <c r="ET78" s="44" t="str">
        <f>IF(Table1[Data Leavers Date]=2000,SUM(Table1[Leaving Date]-Table1[Start Date]),"")</f>
        <v/>
      </c>
      <c r="EU78" s="44" t="str">
        <f>IF(Table1[Data Leavers Date]=3000,SUM(Table1[Leaving Date]-Table1[Start Date]),"")</f>
        <v/>
      </c>
      <c r="EV78" s="44" t="str">
        <f>IF(Table1[Data Leavers Date]=4000,SUM(Table1[Leaving Date]-Table1[Start Date]),"")</f>
        <v/>
      </c>
      <c r="EW78" s="44" t="str">
        <f>IF(Table1[Data Leavers Date]=5000,SUM(Table1[Leaving Date]-Table1[Start Date]),"")</f>
        <v/>
      </c>
      <c r="EX78" s="44" t="str">
        <f>IF(Table1[Data Leavers Date]=6000,SUM(Table1[Leaving Date]-Table1[Start Date]),"")</f>
        <v/>
      </c>
      <c r="EY78" s="44" t="str">
        <f>IF(Table1[Data Leavers Date]=7000,SUM(Table1[Leaving Date]-Table1[Start Date]),"")</f>
        <v/>
      </c>
      <c r="EZ78" s="44" t="str">
        <f>IF(Table1[Data Leavers Date]=8000,SUM(Table1[Leaving Date]-Table1[Start Date]),"")</f>
        <v/>
      </c>
      <c r="FA78" s="44" t="str">
        <f>IF(Table1[Date of Initial Assessment]="","",IF(AND(Table1[Start Date]&gt;42094,Table1[Start Date]&lt;42461),Table1[Motivation and Taking Responsibility],""))</f>
        <v/>
      </c>
      <c r="FB78" s="44" t="str">
        <f>IF(Table1[Date of Initial Assessment]="","",IF(AND(Table1[Start Date]&gt;42094,Table1[Start Date]&lt;42461),Table1[Self-Care and Living Skills],""))</f>
        <v/>
      </c>
      <c r="FC78" s="44" t="str">
        <f>IF(Table1[Date of Initial Assessment]="","",IF(AND(Table1[Start Date]&gt;42094,Table1[Start Date]&lt;42461),Table1[Managing Money and Personal Administration],""))</f>
        <v/>
      </c>
      <c r="FD78" s="44" t="str">
        <f>IF(Table1[Date of Initial Assessment]="","",IF(AND(Table1[Start Date]&gt;42094,Table1[Start Date]&lt;42461),Table1[Social Networks and Relationships],""))</f>
        <v/>
      </c>
      <c r="FE78" s="44" t="str">
        <f>IF(Table1[Date of Initial Assessment]="","",IF(AND(Table1[Start Date]&gt;42094,Table1[Start Date]&lt;42461),Table1[Drug and Alcohol Misuse],""))</f>
        <v/>
      </c>
      <c r="FF78" s="44" t="str">
        <f>IF(Table1[Date of Initial Assessment]="","",IF(AND(Table1[Start Date]&gt;42094,Table1[Start Date]&lt;42461),Table1[Physical Health],""))</f>
        <v/>
      </c>
      <c r="FG78" s="44" t="str">
        <f>IF(Table1[Date of Initial Assessment]="","",IF(AND(Table1[Start Date]&gt;42094,Table1[Start Date]&lt;42461),Table1[Emotional and Mental Health],""))</f>
        <v/>
      </c>
      <c r="FH78" s="44" t="str">
        <f>IF(Table1[Date of Initial Assessment]="","",IF(AND(Table1[Start Date]&gt;42094,Table1[Start Date]&lt;42461),Table1[Meaningful Use of Time],""))</f>
        <v/>
      </c>
      <c r="FI78" s="44" t="str">
        <f>IF(Table1[Date of Initial Assessment]="","",IF(AND(Table1[Start Date]&gt;42094,Table1[Start Date]&lt;42461),Table1[Managing Tenancy and Accommodation],""))</f>
        <v/>
      </c>
      <c r="FJ78" s="44" t="str">
        <f>IF(Table1[Date of Initial Assessment]="","",IF(AND(Table1[Start Date]&gt;42094,Table1[Start Date]&lt;42461),Table1[Offending],""))</f>
        <v/>
      </c>
      <c r="FK78" s="44" t="str">
        <f>IF(Table1[Leaving Date]="","",IF(Table1[Date of Initial Assessment]="","",IF(AND(Table1[Leaving Date]&gt;42094,Table1[Leaving Date]&lt;42461),IF(Table1[Date of Last Assessment]="",Table1[Motivation and Taking Responsibility],Table1[Motivation and Taking Responsibility2]),"")))</f>
        <v/>
      </c>
      <c r="FL78" s="44" t="str">
        <f>IF(Table1[Leaving Date]="","",IF(Table1[Date of Initial Assessment]="","",IF(AND(Table1[Leaving Date]&gt;42094,Table1[Leaving Date]&lt;42461),IF(Table1[Date of Last Assessment]="",Table1[Self-Care and Living Skills],Table1[Self-Care and Living Skills2]),"")))</f>
        <v/>
      </c>
      <c r="FM78" s="44" t="str">
        <f>IF(Table1[Leaving Date]="","",IF(Table1[Date of Initial Assessment]="","",IF(AND(Table1[Leaving Date]&gt;42094,Table1[Leaving Date]&lt;42461),IF(Table1[Date of Last Assessment]="",Table1[Managing Money and Personal Administration],Table1[Managing Money and Personal Administration2]),"")))</f>
        <v/>
      </c>
      <c r="FN78" s="44" t="str">
        <f>IF(Table1[Leaving Date]="","",IF(Table1[Date of Initial Assessment]="","",IF(AND(Table1[Leaving Date]&gt;42094,Table1[Leaving Date]&lt;42461),IF(Table1[Date of Last Assessment]="",Table1[Social Networks and Relationships],Table1[Social Networks and Relationships2]),"")))</f>
        <v/>
      </c>
      <c r="FO78" s="44" t="str">
        <f>IF(Table1[Leaving Date]="","",IF(Table1[Date of Initial Assessment]="","",IF(AND(Table1[Leaving Date]&gt;42094,Table1[Leaving Date]&lt;42461),IF(Table1[Date of Last Assessment]="",Table1[Drug and Alcohol Misuse],Table1[Drug and Alcohol Misuse2]),"")))</f>
        <v/>
      </c>
      <c r="FP78" s="44" t="str">
        <f>IF(Table1[Leaving Date]="","",IF(Table1[Date of Initial Assessment]="","",IF(AND(Table1[Leaving Date]&gt;42094,Table1[Leaving Date]&lt;42461),IF(Table1[Date of Last Assessment]="",Table1[Physical Health],Table1[Physical Health2]),"")))</f>
        <v/>
      </c>
      <c r="FQ78" s="44" t="str">
        <f>IF(Table1[Leaving Date]="","",IF(Table1[Date of Initial Assessment]="","",IF(AND(Table1[Leaving Date]&gt;42094,Table1[Leaving Date]&lt;42461),IF(Table1[Date of Last Assessment]="",Table1[Emotional and Mental Health],Table1[Emotional and Mental Health2]),"")))</f>
        <v/>
      </c>
      <c r="FR78" s="44" t="str">
        <f>IF(Table1[Leaving Date]="","",IF(Table1[Date of Initial Assessment]="","",IF(AND(Table1[Leaving Date]&gt;42094,Table1[Leaving Date]&lt;42461),IF(Table1[Date of Last Assessment]="",Table1[Meaningful Use of Time],Table1[Meaningful Use of Time2]),"")))</f>
        <v/>
      </c>
      <c r="FS78" s="44" t="str">
        <f>IF(Table1[Leaving Date]="","",IF(Table1[Date of Initial Assessment]="","",IF(AND(Table1[Leaving Date]&gt;42094,Table1[Leaving Date]&lt;42461),IF(Table1[Date of Last Assessment]="",Table1[Managing Tenancy and Accommodation],Table1[Managing Tenancy and Accommodation2]),"")))</f>
        <v/>
      </c>
      <c r="FT78" s="44" t="str">
        <f>IF(Table1[Leaving Date]="","",IF(Table1[Date of Initial Assessment]="","",IF(AND(Table1[Leaving Date]&gt;42094,Table1[Leaving Date]&lt;42461),IF(Table1[Date of Last Assessment]="",Table1[Offending],Table1[Offending2]),"")))</f>
        <v/>
      </c>
      <c r="FU78" s="44" t="str">
        <f>IF(Table1[Date of Initial Assessment]="","",IF(AND(Table1[Start Date]&gt;42460,Table1[Start Date]&lt;42826),Table1[Motivation and Taking Responsibility],""))</f>
        <v/>
      </c>
      <c r="FV78" s="44" t="str">
        <f>IF(Table1[Date of Initial Assessment]="","",IF(AND(Table1[Start Date]&gt;42460,Table1[Start Date]&lt;42826),Table1[Self-Care and Living Skills],""))</f>
        <v/>
      </c>
      <c r="FW78" s="44" t="str">
        <f>IF(Table1[Date of Initial Assessment]="","",IF(AND(Table1[Start Date]&gt;42460,Table1[Start Date]&lt;42826),Table1[Managing Money and Personal Administration],""))</f>
        <v/>
      </c>
      <c r="FX78" s="44" t="str">
        <f>IF(Table1[Date of Initial Assessment]="","",IF(AND(Table1[Start Date]&gt;42460,Table1[Start Date]&lt;42826),Table1[Social Networks and Relationships],""))</f>
        <v/>
      </c>
      <c r="FY78" s="44" t="str">
        <f>IF(Table1[Date of Initial Assessment]="","",IF(AND(Table1[Start Date]&gt;42460,Table1[Start Date]&lt;42826),Table1[Drug and Alcohol Misuse],""))</f>
        <v/>
      </c>
      <c r="FZ78" s="44" t="str">
        <f>IF(Table1[Date of Initial Assessment]="","",IF(AND(Table1[Start Date]&gt;42460,Table1[Start Date]&lt;42826),Table1[Physical Health],""))</f>
        <v/>
      </c>
      <c r="GA78" s="44" t="str">
        <f>IF(Table1[Date of Initial Assessment]="","",IF(AND(Table1[Start Date]&gt;42460,Table1[Start Date]&lt;42826),Table1[Emotional and Mental Health],""))</f>
        <v/>
      </c>
      <c r="GB78" s="44" t="str">
        <f>IF(Table1[Date of Initial Assessment]="","",IF(AND(Table1[Start Date]&gt;42460,Table1[Start Date]&lt;42826),Table1[Meaningful Use of Time],""))</f>
        <v/>
      </c>
      <c r="GC78" s="44" t="str">
        <f>IF(Table1[Date of Initial Assessment]="","",IF(AND(Table1[Start Date]&gt;42460,Table1[Start Date]&lt;42826),Table1[Managing Tenancy and Accommodation],""))</f>
        <v/>
      </c>
      <c r="GD78" s="44" t="str">
        <f>IF(Table1[Date of Initial Assessment]="","",IF(AND(Table1[Start Date]&gt;42460,Table1[Start Date]&lt;42826),Table1[Offending],""))</f>
        <v/>
      </c>
      <c r="GE78" s="44" t="str">
        <f>IF(Table1[Leaving Date]="","",IF(AND(Table1[Leaving Date]&gt;42460,Table1[Leaving Date]&lt;42826),IF(Table1[Date of Last Assessment]="",Table1[Motivation and Taking Responsibility],Table1[Motivation and Taking Responsibility2]),""))</f>
        <v/>
      </c>
      <c r="GF78" s="44" t="str">
        <f>IF(Table1[Leaving Date]="","",IF(AND(Table1[Leaving Date]&gt;42460,Table1[Leaving Date]&lt;42826),IF(Table1[Date of Last Assessment]="",Table1[Self-Care and Living Skills],Table1[Self-Care and Living Skills2]),""))</f>
        <v/>
      </c>
      <c r="GG78" s="44" t="str">
        <f>IF(Table1[Leaving Date]="","",IF(AND(Table1[Leaving Date]&gt;42460,Table1[Leaving Date]&lt;42826),IF(Table1[Date of Last Assessment]="",Table1[Managing Money and Personal Administration],Table1[Managing Money and Personal Administration2]),""))</f>
        <v/>
      </c>
      <c r="GH78" s="44" t="str">
        <f>IF(Table1[Leaving Date]="","",IF(AND(Table1[Leaving Date]&gt;42460,Table1[Leaving Date]&lt;42826),IF(Table1[Date of Last Assessment]="",Table1[Social Networks and Relationships],Table1[Social Networks and Relationships2]),""))</f>
        <v/>
      </c>
      <c r="GI78" s="44" t="str">
        <f>IF(Table1[Leaving Date]="","",IF(AND(Table1[Leaving Date]&gt;42460,Table1[Leaving Date]&lt;42826),IF(Table1[Date of Last Assessment]="",Table1[Drug and Alcohol Misuse],Table1[Drug and Alcohol Misuse2]),""))</f>
        <v/>
      </c>
      <c r="GJ78" s="44" t="str">
        <f>IF(Table1[Leaving Date]="","",IF(AND(Table1[Leaving Date]&gt;42460,Table1[Leaving Date]&lt;42826),IF(Table1[Date of Last Assessment]="",Table1[Physical Health],Table1[Physical Health2]),""))</f>
        <v/>
      </c>
      <c r="GK78" s="44" t="str">
        <f>IF(Table1[Leaving Date]="","",IF(AND(Table1[Leaving Date]&gt;42460,Table1[Leaving Date]&lt;42826),IF(Table1[Date of Last Assessment]="",Table1[Emotional and Mental Health],Table1[Emotional and Mental Health2]),""))</f>
        <v/>
      </c>
      <c r="GL78" s="44" t="str">
        <f>IF(Table1[Leaving Date]="","",IF(AND(Table1[Leaving Date]&gt;42460,Table1[Leaving Date]&lt;42826),IF(Table1[Date of Last Assessment]="",Table1[Meaningful Use of Time],Table1[Meaningful Use of Time2]),""))</f>
        <v/>
      </c>
      <c r="GM78" s="44" t="str">
        <f>IF(Table1[Leaving Date]="","",IF(AND(Table1[Leaving Date]&gt;42460,Table1[Leaving Date]&lt;42826),IF(Table1[Date of Last Assessment]="",Table1[Managing Tenancy and Accommodation],Table1[Managing Tenancy and Accommodation2]),""))</f>
        <v/>
      </c>
      <c r="GN78" s="44" t="str">
        <f>IF(Table1[Leaving Date]="","",IF(AND(Table1[Leaving Date]&gt;42460,Table1[Leaving Date]&lt;42826),IF(Table1[Date of Last Assessment]="",Table1[Offending],Table1[Offending2]),""))</f>
        <v/>
      </c>
    </row>
    <row r="79" spans="2:196" ht="20.100000000000001" customHeight="1" x14ac:dyDescent="0.2">
      <c r="B79" s="86">
        <f>+'Service Data'!$C$5:$C$5</f>
        <v>0</v>
      </c>
      <c r="C79" s="86"/>
      <c r="D79" s="86"/>
      <c r="E79" s="86"/>
      <c r="F79" s="86"/>
      <c r="G79" s="86"/>
      <c r="H79" s="6"/>
      <c r="I79" s="99" t="str">
        <f ca="1">IF(Table1[[#This Row],[Date of Birth]]="","",SUM(TODAY()-Table1[[#This Row],[Date of Birth]])/365)</f>
        <v/>
      </c>
      <c r="L79" s="86"/>
      <c r="M79" s="77"/>
      <c r="N79" s="86"/>
      <c r="O79" s="86"/>
      <c r="P79" s="91"/>
      <c r="Q79" s="86"/>
      <c r="R79" s="77"/>
      <c r="S79" s="77"/>
      <c r="T79" s="68"/>
      <c r="U79" s="68"/>
      <c r="V79" s="67"/>
      <c r="W79" s="67"/>
      <c r="X79" s="67"/>
      <c r="Y79" s="67"/>
      <c r="Z79" s="67"/>
      <c r="AA79" s="67"/>
      <c r="AB79" s="67"/>
      <c r="AC79" s="67"/>
      <c r="AD79" s="67"/>
      <c r="AE79" s="67"/>
      <c r="AF79" s="67"/>
      <c r="AG79" s="67"/>
      <c r="AH79" s="67"/>
      <c r="AI79" s="67"/>
      <c r="AJ79" s="67"/>
      <c r="AK79" s="67"/>
      <c r="AL79" s="67"/>
      <c r="AM79" s="67"/>
      <c r="AN79" s="77"/>
      <c r="AO79" s="76"/>
      <c r="AP79" s="77"/>
      <c r="AQ79" s="76"/>
      <c r="AR79" s="76"/>
      <c r="AS79" s="76"/>
      <c r="AT79" s="76"/>
      <c r="AU79" s="76"/>
      <c r="AV79" s="77"/>
      <c r="AW79" s="76"/>
      <c r="AX79" s="77"/>
      <c r="AY79" s="76"/>
      <c r="AZ79" s="76"/>
      <c r="BA79" s="76"/>
      <c r="BB79" s="76"/>
      <c r="BC79" s="76"/>
      <c r="BD79" s="77"/>
      <c r="BE79" s="76"/>
      <c r="BF79" s="77"/>
      <c r="BG79" s="76"/>
      <c r="BH79" s="76"/>
      <c r="BI79" s="76"/>
      <c r="BJ79" s="76"/>
      <c r="BK79" s="76"/>
      <c r="BL79" s="77"/>
      <c r="BM79" s="76"/>
      <c r="BN79" s="77"/>
      <c r="BO79" s="76"/>
      <c r="BP79" s="76"/>
      <c r="BQ79" s="76"/>
      <c r="BR79" s="76"/>
      <c r="BS79" s="76"/>
      <c r="BT79" s="77"/>
      <c r="BU79" s="76"/>
      <c r="BV79" s="77"/>
      <c r="BW79" s="76"/>
      <c r="BX79" s="76"/>
      <c r="BY79" s="76"/>
      <c r="BZ79" s="76"/>
      <c r="CA79" s="76"/>
      <c r="CB79" s="77"/>
      <c r="CC79" s="76"/>
      <c r="CD79" s="77"/>
      <c r="CE79" s="76"/>
      <c r="CF79" s="76"/>
      <c r="CG79" s="76"/>
      <c r="CH79" s="76"/>
      <c r="CI79" s="76"/>
      <c r="CJ79" s="77"/>
      <c r="CK79" s="76"/>
      <c r="CL79" s="77"/>
      <c r="CM79" s="76"/>
      <c r="CN79" s="76"/>
      <c r="CO79" s="76"/>
      <c r="CP79" s="76"/>
      <c r="CQ79" s="76"/>
      <c r="CR79" s="78" t="str">
        <f t="shared" si="31"/>
        <v/>
      </c>
      <c r="CS79" s="79" t="str">
        <f t="shared" si="32"/>
        <v/>
      </c>
      <c r="CT79" s="79" t="str">
        <f t="shared" si="33"/>
        <v/>
      </c>
      <c r="CU79" s="79" t="str">
        <f t="shared" si="34"/>
        <v/>
      </c>
      <c r="CV79" s="79" t="str">
        <f t="shared" si="35"/>
        <v/>
      </c>
      <c r="CW79" s="79" t="str">
        <f t="shared" si="36"/>
        <v/>
      </c>
      <c r="CX79" s="79" t="str">
        <f t="shared" si="37"/>
        <v/>
      </c>
      <c r="CY79" s="79" t="str">
        <f t="shared" si="38"/>
        <v/>
      </c>
      <c r="CZ79" s="79" t="str">
        <f t="shared" si="39"/>
        <v/>
      </c>
      <c r="DA79" s="79" t="str">
        <f t="shared" si="40"/>
        <v/>
      </c>
      <c r="DB79" s="79" t="str">
        <f t="shared" si="41"/>
        <v/>
      </c>
      <c r="DC79" s="79" t="str">
        <f t="shared" si="42"/>
        <v/>
      </c>
      <c r="DD79" s="79" t="str">
        <f t="shared" si="43"/>
        <v/>
      </c>
      <c r="DE79" s="79" t="str">
        <f t="shared" si="44"/>
        <v/>
      </c>
      <c r="DF79" s="79" t="str">
        <f t="shared" si="45"/>
        <v/>
      </c>
      <c r="DG79" s="79" t="str">
        <f t="shared" si="46"/>
        <v/>
      </c>
      <c r="DH79" s="76"/>
      <c r="DI79" s="78"/>
      <c r="DJ79" s="76"/>
      <c r="DK79" s="77"/>
      <c r="DL79" s="77"/>
      <c r="DM79" s="77"/>
      <c r="DN79" s="80"/>
      <c r="DO79" s="80"/>
      <c r="DP79" s="92" t="str">
        <f>IF(Table1[Start Date]="","",IF(Table1[Start Date]&gt;42185,"",IF(AND(Table1[Leaving Date]&gt;1,Table1[Leaving Date]&lt;42095),"",1)))</f>
        <v/>
      </c>
      <c r="DQ79" s="92" t="str">
        <f>IF(Table1[Start Date]="","",IF(Table1[Start Date]&gt;42277,"",IF(AND(Table1[Leaving Date]&gt;1,Table1[Leaving Date]&lt;42186),"",1)))</f>
        <v/>
      </c>
      <c r="DR79" s="92" t="str">
        <f>IF(Table1[Start Date]="","",IF(Table1[Start Date]&gt;42369,"",IF(AND(Table1[Leaving Date]&gt;1,Table1[Leaving Date]&lt;42278),"",1)))</f>
        <v/>
      </c>
      <c r="DS79" s="92" t="str">
        <f>IF(Table1[Start Date]="","",IF(Table1[Start Date]&gt;42460,"",IF(AND(Table1[Leaving Date]&gt;1,Table1[Leaving Date]&lt;42370),"",1)))</f>
        <v/>
      </c>
      <c r="DT79" s="92" t="str">
        <f>IF(Table1[Start Date]="","",IF(Table1[Start Date]&gt;42551,"",IF(AND(Table1[Leaving Date]&gt;1,Table1[Leaving Date]&lt;42461),"",1)))</f>
        <v/>
      </c>
      <c r="DU79" s="92" t="str">
        <f>IF(Table1[Start Date]="","",IF(Table1[Start Date]&gt;42643,"",IF(AND(Table1[Leaving Date]&gt;1,Table1[Leaving Date]&lt;42552),"",1)))</f>
        <v/>
      </c>
      <c r="DV79" s="92" t="str">
        <f>IF(Table1[Start Date]="","",IF(Table1[Start Date]&gt;42735,"",IF(AND(Table1[Leaving Date]&gt;1,Table1[Leaving Date]&lt;42644),"",1)))</f>
        <v/>
      </c>
      <c r="DW79" s="92" t="str">
        <f>IF(Table1[Start Date]="","",IF(Table1[Start Date]&gt;42825,"",IF(AND(Table1[Leaving Date]&gt;1,Table1[Leaving Date]&lt;42736),"",1)))</f>
        <v/>
      </c>
      <c r="DX79"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79" s="44" t="e">
        <f>VLOOKUP(Table1[Referral Source],Lists!$G$2:$H$20,2,FALSE)</f>
        <v>#N/A</v>
      </c>
      <c r="DZ79" s="93" t="e">
        <f>SUM(Table1[Data Referral Quarter]+Table1[Data Referral Source])</f>
        <v>#N/A</v>
      </c>
      <c r="EA79" s="44" t="b">
        <f>IF(Table1[Referral Decision]="Accepted",100,IF(Table1[Referral Decision]="Rejected by Provider",200,IF(Table1[Referral Decision]="Rejected by Applicant",300)))</f>
        <v>0</v>
      </c>
      <c r="EB79" s="44">
        <f>SUM(Table1[Data Referral Quarter]+Table1[Data Referral Decision])</f>
        <v>0</v>
      </c>
      <c r="EC79" s="44" t="b">
        <f>IF(Table1[Start Date]&gt;42735,8000,IF(Table1[Start Date]&gt;42643,7000,IF(Table1[Start Date]&gt;42551,6000,IF(Table1[Start Date]&gt;42460,5000,IF(Table1[Start Date]&gt;42369,4000,IF(Table1[Start Date]&gt;42277,3000,IF(Table1[Start Date]&gt;42185,2000,IF(Table1[Start Date]&gt;42094,1000))))))))</f>
        <v>0</v>
      </c>
      <c r="ED79" s="44" t="str">
        <f>IF(Table1[Start Date]="","",IF(Table1[Current Local Authority]="Swindon",1,"2"))</f>
        <v/>
      </c>
      <c r="EE79" s="44" t="e">
        <f>SUM(Table1[Data Start Date]+Table1[Data Local Authority])</f>
        <v>#VALUE!</v>
      </c>
      <c r="EF79" s="44">
        <f>IF(Table1[Registered with GP]="Yes",1,0)</f>
        <v>0</v>
      </c>
      <c r="EG79" s="44">
        <f>SUM(Table1[Data Start Date]+Table1[Data GP Start])</f>
        <v>0</v>
      </c>
      <c r="EH79" s="44" t="str">
        <f>IF(Table1[EET]="NEET",1,IF(Table1[EET]="Education",2,IF(Table1[EET]="Employment",2,IF(Table1[EET]="Training",2,IF(Table1[EET]="Retired",3,"")))))</f>
        <v/>
      </c>
      <c r="EI79" s="44" t="e">
        <f>Table1[Data Start Date]+Table1[Data EET Start]</f>
        <v>#VALUE!</v>
      </c>
      <c r="EJ79" s="44" t="b">
        <f>IF(Table1[Leaving Date]&gt;42735,8000,IF(Table1[Leaving Date]&gt;42643,7000,IF(Table1[Leaving Date]&gt;42551,6000,IF(Table1[Leaving Date]&gt;42460,5000,IF(Table1[Leaving Date]&gt;42369,4000,IF(Table1[Leaving Date]&gt;42277,3000,IF(Table1[Leaving Date]&gt;42185,2000,IF(Table1[Leaving Date]&gt;42094,1000))))))))</f>
        <v>0</v>
      </c>
      <c r="EK79" s="44" t="e">
        <f>VLOOKUP(Table1[Reason for Leaving],Lists!$T$2:$U$15,2,FALSE)</f>
        <v>#N/A</v>
      </c>
      <c r="EL79" s="44" t="e">
        <f>SUM(Table1[Data Leavers Date]+Table1[Data Move On])</f>
        <v>#N/A</v>
      </c>
      <c r="EM79" s="44" t="b">
        <f>IF(Table1[Registered with GP2]="Yes",1,IF(Table1[Registered with GP2]="No",0,IF(Table1[Registered with GP]="Yes",1,IF(Table1[Registered with GP]="No",0))))</f>
        <v>0</v>
      </c>
      <c r="EN79" s="44">
        <f>SUM(Table1[Data Leavers Date]+Table1[Data GP End])</f>
        <v>0</v>
      </c>
      <c r="EO79" s="44" t="str">
        <f>IF(Table1[EET2]="NEET",1,IF(Table1[EET2]="Employment",2,IF(Table1[EET2]="Education",2,IF(Table1[EET2]="Training",2,IF(Table1[EET2]="Retired",3,IF(Table1[EET]="NEET",1,IF(Table1[EET]="Employment",2,IF(Table1[EET]="Education",2,IF(Table1[EET]="Training",2,IF(Table1[EET]="Retired",3,""))))))))))</f>
        <v/>
      </c>
      <c r="EP79" s="44" t="e">
        <f>+Table1[[#This Row],[Data Leavers Date]]+Table1[[#This Row],[Data EET End]]</f>
        <v>#VALUE!</v>
      </c>
      <c r="EQ79" s="44">
        <f>IF(Table1[Exit Form Received]="Yes",1,0)</f>
        <v>0</v>
      </c>
      <c r="ER79" s="44">
        <f>+Table1[[#This Row],[Data Leavers Date]]+Table1[[#This Row],[Data Exit Forms]]</f>
        <v>0</v>
      </c>
      <c r="ES79" s="44" t="str">
        <f>IF(Table1[Data Leavers Date]=1000,SUM(Table1[Leaving Date]-Table1[Start Date]),"")</f>
        <v/>
      </c>
      <c r="ET79" s="44" t="str">
        <f>IF(Table1[Data Leavers Date]=2000,SUM(Table1[Leaving Date]-Table1[Start Date]),"")</f>
        <v/>
      </c>
      <c r="EU79" s="44" t="str">
        <f>IF(Table1[Data Leavers Date]=3000,SUM(Table1[Leaving Date]-Table1[Start Date]),"")</f>
        <v/>
      </c>
      <c r="EV79" s="44" t="str">
        <f>IF(Table1[Data Leavers Date]=4000,SUM(Table1[Leaving Date]-Table1[Start Date]),"")</f>
        <v/>
      </c>
      <c r="EW79" s="44" t="str">
        <f>IF(Table1[Data Leavers Date]=5000,SUM(Table1[Leaving Date]-Table1[Start Date]),"")</f>
        <v/>
      </c>
      <c r="EX79" s="44" t="str">
        <f>IF(Table1[Data Leavers Date]=6000,SUM(Table1[Leaving Date]-Table1[Start Date]),"")</f>
        <v/>
      </c>
      <c r="EY79" s="44" t="str">
        <f>IF(Table1[Data Leavers Date]=7000,SUM(Table1[Leaving Date]-Table1[Start Date]),"")</f>
        <v/>
      </c>
      <c r="EZ79" s="44" t="str">
        <f>IF(Table1[Data Leavers Date]=8000,SUM(Table1[Leaving Date]-Table1[Start Date]),"")</f>
        <v/>
      </c>
      <c r="FA79" s="44" t="str">
        <f>IF(Table1[Date of Initial Assessment]="","",IF(AND(Table1[Start Date]&gt;42094,Table1[Start Date]&lt;42461),Table1[Motivation and Taking Responsibility],""))</f>
        <v/>
      </c>
      <c r="FB79" s="44" t="str">
        <f>IF(Table1[Date of Initial Assessment]="","",IF(AND(Table1[Start Date]&gt;42094,Table1[Start Date]&lt;42461),Table1[Self-Care and Living Skills],""))</f>
        <v/>
      </c>
      <c r="FC79" s="44" t="str">
        <f>IF(Table1[Date of Initial Assessment]="","",IF(AND(Table1[Start Date]&gt;42094,Table1[Start Date]&lt;42461),Table1[Managing Money and Personal Administration],""))</f>
        <v/>
      </c>
      <c r="FD79" s="44" t="str">
        <f>IF(Table1[Date of Initial Assessment]="","",IF(AND(Table1[Start Date]&gt;42094,Table1[Start Date]&lt;42461),Table1[Social Networks and Relationships],""))</f>
        <v/>
      </c>
      <c r="FE79" s="44" t="str">
        <f>IF(Table1[Date of Initial Assessment]="","",IF(AND(Table1[Start Date]&gt;42094,Table1[Start Date]&lt;42461),Table1[Drug and Alcohol Misuse],""))</f>
        <v/>
      </c>
      <c r="FF79" s="44" t="str">
        <f>IF(Table1[Date of Initial Assessment]="","",IF(AND(Table1[Start Date]&gt;42094,Table1[Start Date]&lt;42461),Table1[Physical Health],""))</f>
        <v/>
      </c>
      <c r="FG79" s="44" t="str">
        <f>IF(Table1[Date of Initial Assessment]="","",IF(AND(Table1[Start Date]&gt;42094,Table1[Start Date]&lt;42461),Table1[Emotional and Mental Health],""))</f>
        <v/>
      </c>
      <c r="FH79" s="44" t="str">
        <f>IF(Table1[Date of Initial Assessment]="","",IF(AND(Table1[Start Date]&gt;42094,Table1[Start Date]&lt;42461),Table1[Meaningful Use of Time],""))</f>
        <v/>
      </c>
      <c r="FI79" s="44" t="str">
        <f>IF(Table1[Date of Initial Assessment]="","",IF(AND(Table1[Start Date]&gt;42094,Table1[Start Date]&lt;42461),Table1[Managing Tenancy and Accommodation],""))</f>
        <v/>
      </c>
      <c r="FJ79" s="44" t="str">
        <f>IF(Table1[Date of Initial Assessment]="","",IF(AND(Table1[Start Date]&gt;42094,Table1[Start Date]&lt;42461),Table1[Offending],""))</f>
        <v/>
      </c>
      <c r="FK79" s="44" t="str">
        <f>IF(Table1[Leaving Date]="","",IF(Table1[Date of Initial Assessment]="","",IF(AND(Table1[Leaving Date]&gt;42094,Table1[Leaving Date]&lt;42461),IF(Table1[Date of Last Assessment]="",Table1[Motivation and Taking Responsibility],Table1[Motivation and Taking Responsibility2]),"")))</f>
        <v/>
      </c>
      <c r="FL79" s="44" t="str">
        <f>IF(Table1[Leaving Date]="","",IF(Table1[Date of Initial Assessment]="","",IF(AND(Table1[Leaving Date]&gt;42094,Table1[Leaving Date]&lt;42461),IF(Table1[Date of Last Assessment]="",Table1[Self-Care and Living Skills],Table1[Self-Care and Living Skills2]),"")))</f>
        <v/>
      </c>
      <c r="FM79" s="44" t="str">
        <f>IF(Table1[Leaving Date]="","",IF(Table1[Date of Initial Assessment]="","",IF(AND(Table1[Leaving Date]&gt;42094,Table1[Leaving Date]&lt;42461),IF(Table1[Date of Last Assessment]="",Table1[Managing Money and Personal Administration],Table1[Managing Money and Personal Administration2]),"")))</f>
        <v/>
      </c>
      <c r="FN79" s="44" t="str">
        <f>IF(Table1[Leaving Date]="","",IF(Table1[Date of Initial Assessment]="","",IF(AND(Table1[Leaving Date]&gt;42094,Table1[Leaving Date]&lt;42461),IF(Table1[Date of Last Assessment]="",Table1[Social Networks and Relationships],Table1[Social Networks and Relationships2]),"")))</f>
        <v/>
      </c>
      <c r="FO79" s="44" t="str">
        <f>IF(Table1[Leaving Date]="","",IF(Table1[Date of Initial Assessment]="","",IF(AND(Table1[Leaving Date]&gt;42094,Table1[Leaving Date]&lt;42461),IF(Table1[Date of Last Assessment]="",Table1[Drug and Alcohol Misuse],Table1[Drug and Alcohol Misuse2]),"")))</f>
        <v/>
      </c>
      <c r="FP79" s="44" t="str">
        <f>IF(Table1[Leaving Date]="","",IF(Table1[Date of Initial Assessment]="","",IF(AND(Table1[Leaving Date]&gt;42094,Table1[Leaving Date]&lt;42461),IF(Table1[Date of Last Assessment]="",Table1[Physical Health],Table1[Physical Health2]),"")))</f>
        <v/>
      </c>
      <c r="FQ79" s="44" t="str">
        <f>IF(Table1[Leaving Date]="","",IF(Table1[Date of Initial Assessment]="","",IF(AND(Table1[Leaving Date]&gt;42094,Table1[Leaving Date]&lt;42461),IF(Table1[Date of Last Assessment]="",Table1[Emotional and Mental Health],Table1[Emotional and Mental Health2]),"")))</f>
        <v/>
      </c>
      <c r="FR79" s="44" t="str">
        <f>IF(Table1[Leaving Date]="","",IF(Table1[Date of Initial Assessment]="","",IF(AND(Table1[Leaving Date]&gt;42094,Table1[Leaving Date]&lt;42461),IF(Table1[Date of Last Assessment]="",Table1[Meaningful Use of Time],Table1[Meaningful Use of Time2]),"")))</f>
        <v/>
      </c>
      <c r="FS79" s="44" t="str">
        <f>IF(Table1[Leaving Date]="","",IF(Table1[Date of Initial Assessment]="","",IF(AND(Table1[Leaving Date]&gt;42094,Table1[Leaving Date]&lt;42461),IF(Table1[Date of Last Assessment]="",Table1[Managing Tenancy and Accommodation],Table1[Managing Tenancy and Accommodation2]),"")))</f>
        <v/>
      </c>
      <c r="FT79" s="44" t="str">
        <f>IF(Table1[Leaving Date]="","",IF(Table1[Date of Initial Assessment]="","",IF(AND(Table1[Leaving Date]&gt;42094,Table1[Leaving Date]&lt;42461),IF(Table1[Date of Last Assessment]="",Table1[Offending],Table1[Offending2]),"")))</f>
        <v/>
      </c>
      <c r="FU79" s="44" t="str">
        <f>IF(Table1[Date of Initial Assessment]="","",IF(AND(Table1[Start Date]&gt;42460,Table1[Start Date]&lt;42826),Table1[Motivation and Taking Responsibility],""))</f>
        <v/>
      </c>
      <c r="FV79" s="44" t="str">
        <f>IF(Table1[Date of Initial Assessment]="","",IF(AND(Table1[Start Date]&gt;42460,Table1[Start Date]&lt;42826),Table1[Self-Care and Living Skills],""))</f>
        <v/>
      </c>
      <c r="FW79" s="44" t="str">
        <f>IF(Table1[Date of Initial Assessment]="","",IF(AND(Table1[Start Date]&gt;42460,Table1[Start Date]&lt;42826),Table1[Managing Money and Personal Administration],""))</f>
        <v/>
      </c>
      <c r="FX79" s="44" t="str">
        <f>IF(Table1[Date of Initial Assessment]="","",IF(AND(Table1[Start Date]&gt;42460,Table1[Start Date]&lt;42826),Table1[Social Networks and Relationships],""))</f>
        <v/>
      </c>
      <c r="FY79" s="44" t="str">
        <f>IF(Table1[Date of Initial Assessment]="","",IF(AND(Table1[Start Date]&gt;42460,Table1[Start Date]&lt;42826),Table1[Drug and Alcohol Misuse],""))</f>
        <v/>
      </c>
      <c r="FZ79" s="44" t="str">
        <f>IF(Table1[Date of Initial Assessment]="","",IF(AND(Table1[Start Date]&gt;42460,Table1[Start Date]&lt;42826),Table1[Physical Health],""))</f>
        <v/>
      </c>
      <c r="GA79" s="44" t="str">
        <f>IF(Table1[Date of Initial Assessment]="","",IF(AND(Table1[Start Date]&gt;42460,Table1[Start Date]&lt;42826),Table1[Emotional and Mental Health],""))</f>
        <v/>
      </c>
      <c r="GB79" s="44" t="str">
        <f>IF(Table1[Date of Initial Assessment]="","",IF(AND(Table1[Start Date]&gt;42460,Table1[Start Date]&lt;42826),Table1[Meaningful Use of Time],""))</f>
        <v/>
      </c>
      <c r="GC79" s="44" t="str">
        <f>IF(Table1[Date of Initial Assessment]="","",IF(AND(Table1[Start Date]&gt;42460,Table1[Start Date]&lt;42826),Table1[Managing Tenancy and Accommodation],""))</f>
        <v/>
      </c>
      <c r="GD79" s="44" t="str">
        <f>IF(Table1[Date of Initial Assessment]="","",IF(AND(Table1[Start Date]&gt;42460,Table1[Start Date]&lt;42826),Table1[Offending],""))</f>
        <v/>
      </c>
      <c r="GE79" s="44" t="str">
        <f>IF(Table1[Leaving Date]="","",IF(AND(Table1[Leaving Date]&gt;42460,Table1[Leaving Date]&lt;42826),IF(Table1[Date of Last Assessment]="",Table1[Motivation and Taking Responsibility],Table1[Motivation and Taking Responsibility2]),""))</f>
        <v/>
      </c>
      <c r="GF79" s="44" t="str">
        <f>IF(Table1[Leaving Date]="","",IF(AND(Table1[Leaving Date]&gt;42460,Table1[Leaving Date]&lt;42826),IF(Table1[Date of Last Assessment]="",Table1[Self-Care and Living Skills],Table1[Self-Care and Living Skills2]),""))</f>
        <v/>
      </c>
      <c r="GG79" s="44" t="str">
        <f>IF(Table1[Leaving Date]="","",IF(AND(Table1[Leaving Date]&gt;42460,Table1[Leaving Date]&lt;42826),IF(Table1[Date of Last Assessment]="",Table1[Managing Money and Personal Administration],Table1[Managing Money and Personal Administration2]),""))</f>
        <v/>
      </c>
      <c r="GH79" s="44" t="str">
        <f>IF(Table1[Leaving Date]="","",IF(AND(Table1[Leaving Date]&gt;42460,Table1[Leaving Date]&lt;42826),IF(Table1[Date of Last Assessment]="",Table1[Social Networks and Relationships],Table1[Social Networks and Relationships2]),""))</f>
        <v/>
      </c>
      <c r="GI79" s="44" t="str">
        <f>IF(Table1[Leaving Date]="","",IF(AND(Table1[Leaving Date]&gt;42460,Table1[Leaving Date]&lt;42826),IF(Table1[Date of Last Assessment]="",Table1[Drug and Alcohol Misuse],Table1[Drug and Alcohol Misuse2]),""))</f>
        <v/>
      </c>
      <c r="GJ79" s="44" t="str">
        <f>IF(Table1[Leaving Date]="","",IF(AND(Table1[Leaving Date]&gt;42460,Table1[Leaving Date]&lt;42826),IF(Table1[Date of Last Assessment]="",Table1[Physical Health],Table1[Physical Health2]),""))</f>
        <v/>
      </c>
      <c r="GK79" s="44" t="str">
        <f>IF(Table1[Leaving Date]="","",IF(AND(Table1[Leaving Date]&gt;42460,Table1[Leaving Date]&lt;42826),IF(Table1[Date of Last Assessment]="",Table1[Emotional and Mental Health],Table1[Emotional and Mental Health2]),""))</f>
        <v/>
      </c>
      <c r="GL79" s="44" t="str">
        <f>IF(Table1[Leaving Date]="","",IF(AND(Table1[Leaving Date]&gt;42460,Table1[Leaving Date]&lt;42826),IF(Table1[Date of Last Assessment]="",Table1[Meaningful Use of Time],Table1[Meaningful Use of Time2]),""))</f>
        <v/>
      </c>
      <c r="GM79" s="44" t="str">
        <f>IF(Table1[Leaving Date]="","",IF(AND(Table1[Leaving Date]&gt;42460,Table1[Leaving Date]&lt;42826),IF(Table1[Date of Last Assessment]="",Table1[Managing Tenancy and Accommodation],Table1[Managing Tenancy and Accommodation2]),""))</f>
        <v/>
      </c>
      <c r="GN79" s="44" t="str">
        <f>IF(Table1[Leaving Date]="","",IF(AND(Table1[Leaving Date]&gt;42460,Table1[Leaving Date]&lt;42826),IF(Table1[Date of Last Assessment]="",Table1[Offending],Table1[Offending2]),""))</f>
        <v/>
      </c>
    </row>
    <row r="80" spans="2:196" ht="20.100000000000001" customHeight="1" x14ac:dyDescent="0.2">
      <c r="B80" s="86">
        <f>+'Service Data'!$C$5:$C$5</f>
        <v>0</v>
      </c>
      <c r="C80" s="86"/>
      <c r="D80" s="86"/>
      <c r="E80" s="86"/>
      <c r="F80" s="86"/>
      <c r="G80" s="86"/>
      <c r="H80" s="6"/>
      <c r="I80" s="99" t="str">
        <f ca="1">IF(Table1[[#This Row],[Date of Birth]]="","",SUM(TODAY()-Table1[[#This Row],[Date of Birth]])/365)</f>
        <v/>
      </c>
      <c r="L80" s="86"/>
      <c r="M80" s="77"/>
      <c r="N80" s="86"/>
      <c r="O80" s="86"/>
      <c r="P80" s="91"/>
      <c r="Q80" s="86"/>
      <c r="R80" s="77"/>
      <c r="S80" s="77"/>
      <c r="T80" s="68"/>
      <c r="U80" s="68"/>
      <c r="V80" s="67"/>
      <c r="W80" s="67"/>
      <c r="X80" s="67"/>
      <c r="Y80" s="67"/>
      <c r="Z80" s="67"/>
      <c r="AA80" s="67"/>
      <c r="AB80" s="67"/>
      <c r="AC80" s="67"/>
      <c r="AD80" s="67"/>
      <c r="AE80" s="67"/>
      <c r="AF80" s="67"/>
      <c r="AG80" s="67"/>
      <c r="AH80" s="67"/>
      <c r="AI80" s="67"/>
      <c r="AJ80" s="67"/>
      <c r="AK80" s="67"/>
      <c r="AL80" s="67"/>
      <c r="AM80" s="67"/>
      <c r="AN80" s="77"/>
      <c r="AO80" s="76"/>
      <c r="AP80" s="77"/>
      <c r="AQ80" s="76"/>
      <c r="AR80" s="76"/>
      <c r="AS80" s="76"/>
      <c r="AT80" s="76"/>
      <c r="AU80" s="76"/>
      <c r="AV80" s="77"/>
      <c r="AW80" s="76"/>
      <c r="AX80" s="77"/>
      <c r="AY80" s="76"/>
      <c r="AZ80" s="76"/>
      <c r="BA80" s="76"/>
      <c r="BB80" s="76"/>
      <c r="BC80" s="76"/>
      <c r="BD80" s="77"/>
      <c r="BE80" s="76"/>
      <c r="BF80" s="77"/>
      <c r="BG80" s="76"/>
      <c r="BH80" s="76"/>
      <c r="BI80" s="76"/>
      <c r="BJ80" s="76"/>
      <c r="BK80" s="76"/>
      <c r="BL80" s="77"/>
      <c r="BM80" s="76"/>
      <c r="BN80" s="77"/>
      <c r="BO80" s="76"/>
      <c r="BP80" s="76"/>
      <c r="BQ80" s="76"/>
      <c r="BR80" s="76"/>
      <c r="BS80" s="76"/>
      <c r="BT80" s="77"/>
      <c r="BU80" s="76"/>
      <c r="BV80" s="77"/>
      <c r="BW80" s="76"/>
      <c r="BX80" s="76"/>
      <c r="BY80" s="76"/>
      <c r="BZ80" s="76"/>
      <c r="CA80" s="76"/>
      <c r="CB80" s="77"/>
      <c r="CC80" s="76"/>
      <c r="CD80" s="77"/>
      <c r="CE80" s="76"/>
      <c r="CF80" s="76"/>
      <c r="CG80" s="76"/>
      <c r="CH80" s="76"/>
      <c r="CI80" s="76"/>
      <c r="CJ80" s="77"/>
      <c r="CK80" s="76"/>
      <c r="CL80" s="77"/>
      <c r="CM80" s="76"/>
      <c r="CN80" s="76"/>
      <c r="CO80" s="76"/>
      <c r="CP80" s="76"/>
      <c r="CQ80" s="76"/>
      <c r="CR80" s="78" t="str">
        <f t="shared" si="31"/>
        <v/>
      </c>
      <c r="CS80" s="79" t="str">
        <f t="shared" si="32"/>
        <v/>
      </c>
      <c r="CT80" s="79" t="str">
        <f t="shared" si="33"/>
        <v/>
      </c>
      <c r="CU80" s="79" t="str">
        <f t="shared" si="34"/>
        <v/>
      </c>
      <c r="CV80" s="79" t="str">
        <f t="shared" si="35"/>
        <v/>
      </c>
      <c r="CW80" s="79" t="str">
        <f t="shared" si="36"/>
        <v/>
      </c>
      <c r="CX80" s="79" t="str">
        <f t="shared" si="37"/>
        <v/>
      </c>
      <c r="CY80" s="79" t="str">
        <f t="shared" si="38"/>
        <v/>
      </c>
      <c r="CZ80" s="79" t="str">
        <f t="shared" si="39"/>
        <v/>
      </c>
      <c r="DA80" s="79" t="str">
        <f t="shared" si="40"/>
        <v/>
      </c>
      <c r="DB80" s="79" t="str">
        <f t="shared" si="41"/>
        <v/>
      </c>
      <c r="DC80" s="79" t="str">
        <f t="shared" si="42"/>
        <v/>
      </c>
      <c r="DD80" s="79" t="str">
        <f t="shared" si="43"/>
        <v/>
      </c>
      <c r="DE80" s="79" t="str">
        <f t="shared" si="44"/>
        <v/>
      </c>
      <c r="DF80" s="79" t="str">
        <f t="shared" si="45"/>
        <v/>
      </c>
      <c r="DG80" s="79" t="str">
        <f t="shared" si="46"/>
        <v/>
      </c>
      <c r="DH80" s="76"/>
      <c r="DI80" s="78"/>
      <c r="DJ80" s="76"/>
      <c r="DK80" s="77"/>
      <c r="DL80" s="77"/>
      <c r="DM80" s="77"/>
      <c r="DN80" s="80"/>
      <c r="DO80" s="80"/>
      <c r="DP80" s="92" t="str">
        <f>IF(Table1[Start Date]="","",IF(Table1[Start Date]&gt;42185,"",IF(AND(Table1[Leaving Date]&gt;1,Table1[Leaving Date]&lt;42095),"",1)))</f>
        <v/>
      </c>
      <c r="DQ80" s="92" t="str">
        <f>IF(Table1[Start Date]="","",IF(Table1[Start Date]&gt;42277,"",IF(AND(Table1[Leaving Date]&gt;1,Table1[Leaving Date]&lt;42186),"",1)))</f>
        <v/>
      </c>
      <c r="DR80" s="92" t="str">
        <f>IF(Table1[Start Date]="","",IF(Table1[Start Date]&gt;42369,"",IF(AND(Table1[Leaving Date]&gt;1,Table1[Leaving Date]&lt;42278),"",1)))</f>
        <v/>
      </c>
      <c r="DS80" s="92" t="str">
        <f>IF(Table1[Start Date]="","",IF(Table1[Start Date]&gt;42460,"",IF(AND(Table1[Leaving Date]&gt;1,Table1[Leaving Date]&lt;42370),"",1)))</f>
        <v/>
      </c>
      <c r="DT80" s="92" t="str">
        <f>IF(Table1[Start Date]="","",IF(Table1[Start Date]&gt;42551,"",IF(AND(Table1[Leaving Date]&gt;1,Table1[Leaving Date]&lt;42461),"",1)))</f>
        <v/>
      </c>
      <c r="DU80" s="92" t="str">
        <f>IF(Table1[Start Date]="","",IF(Table1[Start Date]&gt;42643,"",IF(AND(Table1[Leaving Date]&gt;1,Table1[Leaving Date]&lt;42552),"",1)))</f>
        <v/>
      </c>
      <c r="DV80" s="92" t="str">
        <f>IF(Table1[Start Date]="","",IF(Table1[Start Date]&gt;42735,"",IF(AND(Table1[Leaving Date]&gt;1,Table1[Leaving Date]&lt;42644),"",1)))</f>
        <v/>
      </c>
      <c r="DW80" s="92" t="str">
        <f>IF(Table1[Start Date]="","",IF(Table1[Start Date]&gt;42825,"",IF(AND(Table1[Leaving Date]&gt;1,Table1[Leaving Date]&lt;42736),"",1)))</f>
        <v/>
      </c>
      <c r="DX80"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80" s="44" t="e">
        <f>VLOOKUP(Table1[Referral Source],Lists!$G$2:$H$20,2,FALSE)</f>
        <v>#N/A</v>
      </c>
      <c r="DZ80" s="93" t="e">
        <f>SUM(Table1[Data Referral Quarter]+Table1[Data Referral Source])</f>
        <v>#N/A</v>
      </c>
      <c r="EA80" s="44" t="b">
        <f>IF(Table1[Referral Decision]="Accepted",100,IF(Table1[Referral Decision]="Rejected by Provider",200,IF(Table1[Referral Decision]="Rejected by Applicant",300)))</f>
        <v>0</v>
      </c>
      <c r="EB80" s="44">
        <f>SUM(Table1[Data Referral Quarter]+Table1[Data Referral Decision])</f>
        <v>0</v>
      </c>
      <c r="EC80" s="44" t="b">
        <f>IF(Table1[Start Date]&gt;42735,8000,IF(Table1[Start Date]&gt;42643,7000,IF(Table1[Start Date]&gt;42551,6000,IF(Table1[Start Date]&gt;42460,5000,IF(Table1[Start Date]&gt;42369,4000,IF(Table1[Start Date]&gt;42277,3000,IF(Table1[Start Date]&gt;42185,2000,IF(Table1[Start Date]&gt;42094,1000))))))))</f>
        <v>0</v>
      </c>
      <c r="ED80" s="44" t="str">
        <f>IF(Table1[Start Date]="","",IF(Table1[Current Local Authority]="Swindon",1,"2"))</f>
        <v/>
      </c>
      <c r="EE80" s="44" t="e">
        <f>SUM(Table1[Data Start Date]+Table1[Data Local Authority])</f>
        <v>#VALUE!</v>
      </c>
      <c r="EF80" s="44">
        <f>IF(Table1[Registered with GP]="Yes",1,0)</f>
        <v>0</v>
      </c>
      <c r="EG80" s="44">
        <f>SUM(Table1[Data Start Date]+Table1[Data GP Start])</f>
        <v>0</v>
      </c>
      <c r="EH80" s="44" t="str">
        <f>IF(Table1[EET]="NEET",1,IF(Table1[EET]="Education",2,IF(Table1[EET]="Employment",2,IF(Table1[EET]="Training",2,IF(Table1[EET]="Retired",3,"")))))</f>
        <v/>
      </c>
      <c r="EI80" s="44" t="e">
        <f>Table1[Data Start Date]+Table1[Data EET Start]</f>
        <v>#VALUE!</v>
      </c>
      <c r="EJ80" s="44" t="b">
        <f>IF(Table1[Leaving Date]&gt;42735,8000,IF(Table1[Leaving Date]&gt;42643,7000,IF(Table1[Leaving Date]&gt;42551,6000,IF(Table1[Leaving Date]&gt;42460,5000,IF(Table1[Leaving Date]&gt;42369,4000,IF(Table1[Leaving Date]&gt;42277,3000,IF(Table1[Leaving Date]&gt;42185,2000,IF(Table1[Leaving Date]&gt;42094,1000))))))))</f>
        <v>0</v>
      </c>
      <c r="EK80" s="44" t="e">
        <f>VLOOKUP(Table1[Reason for Leaving],Lists!$T$2:$U$15,2,FALSE)</f>
        <v>#N/A</v>
      </c>
      <c r="EL80" s="44" t="e">
        <f>SUM(Table1[Data Leavers Date]+Table1[Data Move On])</f>
        <v>#N/A</v>
      </c>
      <c r="EM80" s="44" t="b">
        <f>IF(Table1[Registered with GP2]="Yes",1,IF(Table1[Registered with GP2]="No",0,IF(Table1[Registered with GP]="Yes",1,IF(Table1[Registered with GP]="No",0))))</f>
        <v>0</v>
      </c>
      <c r="EN80" s="44">
        <f>SUM(Table1[Data Leavers Date]+Table1[Data GP End])</f>
        <v>0</v>
      </c>
      <c r="EO80" s="44" t="str">
        <f>IF(Table1[EET2]="NEET",1,IF(Table1[EET2]="Employment",2,IF(Table1[EET2]="Education",2,IF(Table1[EET2]="Training",2,IF(Table1[EET2]="Retired",3,IF(Table1[EET]="NEET",1,IF(Table1[EET]="Employment",2,IF(Table1[EET]="Education",2,IF(Table1[EET]="Training",2,IF(Table1[EET]="Retired",3,""))))))))))</f>
        <v/>
      </c>
      <c r="EP80" s="44" t="e">
        <f>+Table1[[#This Row],[Data Leavers Date]]+Table1[[#This Row],[Data EET End]]</f>
        <v>#VALUE!</v>
      </c>
      <c r="EQ80" s="44">
        <f>IF(Table1[Exit Form Received]="Yes",1,0)</f>
        <v>0</v>
      </c>
      <c r="ER80" s="44">
        <f>+Table1[[#This Row],[Data Leavers Date]]+Table1[[#This Row],[Data Exit Forms]]</f>
        <v>0</v>
      </c>
      <c r="ES80" s="44" t="str">
        <f>IF(Table1[Data Leavers Date]=1000,SUM(Table1[Leaving Date]-Table1[Start Date]),"")</f>
        <v/>
      </c>
      <c r="ET80" s="44" t="str">
        <f>IF(Table1[Data Leavers Date]=2000,SUM(Table1[Leaving Date]-Table1[Start Date]),"")</f>
        <v/>
      </c>
      <c r="EU80" s="44" t="str">
        <f>IF(Table1[Data Leavers Date]=3000,SUM(Table1[Leaving Date]-Table1[Start Date]),"")</f>
        <v/>
      </c>
      <c r="EV80" s="44" t="str">
        <f>IF(Table1[Data Leavers Date]=4000,SUM(Table1[Leaving Date]-Table1[Start Date]),"")</f>
        <v/>
      </c>
      <c r="EW80" s="44" t="str">
        <f>IF(Table1[Data Leavers Date]=5000,SUM(Table1[Leaving Date]-Table1[Start Date]),"")</f>
        <v/>
      </c>
      <c r="EX80" s="44" t="str">
        <f>IF(Table1[Data Leavers Date]=6000,SUM(Table1[Leaving Date]-Table1[Start Date]),"")</f>
        <v/>
      </c>
      <c r="EY80" s="44" t="str">
        <f>IF(Table1[Data Leavers Date]=7000,SUM(Table1[Leaving Date]-Table1[Start Date]),"")</f>
        <v/>
      </c>
      <c r="EZ80" s="44" t="str">
        <f>IF(Table1[Data Leavers Date]=8000,SUM(Table1[Leaving Date]-Table1[Start Date]),"")</f>
        <v/>
      </c>
      <c r="FA80" s="44" t="str">
        <f>IF(Table1[Date of Initial Assessment]="","",IF(AND(Table1[Start Date]&gt;42094,Table1[Start Date]&lt;42461),Table1[Motivation and Taking Responsibility],""))</f>
        <v/>
      </c>
      <c r="FB80" s="44" t="str">
        <f>IF(Table1[Date of Initial Assessment]="","",IF(AND(Table1[Start Date]&gt;42094,Table1[Start Date]&lt;42461),Table1[Self-Care and Living Skills],""))</f>
        <v/>
      </c>
      <c r="FC80" s="44" t="str">
        <f>IF(Table1[Date of Initial Assessment]="","",IF(AND(Table1[Start Date]&gt;42094,Table1[Start Date]&lt;42461),Table1[Managing Money and Personal Administration],""))</f>
        <v/>
      </c>
      <c r="FD80" s="44" t="str">
        <f>IF(Table1[Date of Initial Assessment]="","",IF(AND(Table1[Start Date]&gt;42094,Table1[Start Date]&lt;42461),Table1[Social Networks and Relationships],""))</f>
        <v/>
      </c>
      <c r="FE80" s="44" t="str">
        <f>IF(Table1[Date of Initial Assessment]="","",IF(AND(Table1[Start Date]&gt;42094,Table1[Start Date]&lt;42461),Table1[Drug and Alcohol Misuse],""))</f>
        <v/>
      </c>
      <c r="FF80" s="44" t="str">
        <f>IF(Table1[Date of Initial Assessment]="","",IF(AND(Table1[Start Date]&gt;42094,Table1[Start Date]&lt;42461),Table1[Physical Health],""))</f>
        <v/>
      </c>
      <c r="FG80" s="44" t="str">
        <f>IF(Table1[Date of Initial Assessment]="","",IF(AND(Table1[Start Date]&gt;42094,Table1[Start Date]&lt;42461),Table1[Emotional and Mental Health],""))</f>
        <v/>
      </c>
      <c r="FH80" s="44" t="str">
        <f>IF(Table1[Date of Initial Assessment]="","",IF(AND(Table1[Start Date]&gt;42094,Table1[Start Date]&lt;42461),Table1[Meaningful Use of Time],""))</f>
        <v/>
      </c>
      <c r="FI80" s="44" t="str">
        <f>IF(Table1[Date of Initial Assessment]="","",IF(AND(Table1[Start Date]&gt;42094,Table1[Start Date]&lt;42461),Table1[Managing Tenancy and Accommodation],""))</f>
        <v/>
      </c>
      <c r="FJ80" s="44" t="str">
        <f>IF(Table1[Date of Initial Assessment]="","",IF(AND(Table1[Start Date]&gt;42094,Table1[Start Date]&lt;42461),Table1[Offending],""))</f>
        <v/>
      </c>
      <c r="FK80" s="44" t="str">
        <f>IF(Table1[Leaving Date]="","",IF(Table1[Date of Initial Assessment]="","",IF(AND(Table1[Leaving Date]&gt;42094,Table1[Leaving Date]&lt;42461),IF(Table1[Date of Last Assessment]="",Table1[Motivation and Taking Responsibility],Table1[Motivation and Taking Responsibility2]),"")))</f>
        <v/>
      </c>
      <c r="FL80" s="44" t="str">
        <f>IF(Table1[Leaving Date]="","",IF(Table1[Date of Initial Assessment]="","",IF(AND(Table1[Leaving Date]&gt;42094,Table1[Leaving Date]&lt;42461),IF(Table1[Date of Last Assessment]="",Table1[Self-Care and Living Skills],Table1[Self-Care and Living Skills2]),"")))</f>
        <v/>
      </c>
      <c r="FM80" s="44" t="str">
        <f>IF(Table1[Leaving Date]="","",IF(Table1[Date of Initial Assessment]="","",IF(AND(Table1[Leaving Date]&gt;42094,Table1[Leaving Date]&lt;42461),IF(Table1[Date of Last Assessment]="",Table1[Managing Money and Personal Administration],Table1[Managing Money and Personal Administration2]),"")))</f>
        <v/>
      </c>
      <c r="FN80" s="44" t="str">
        <f>IF(Table1[Leaving Date]="","",IF(Table1[Date of Initial Assessment]="","",IF(AND(Table1[Leaving Date]&gt;42094,Table1[Leaving Date]&lt;42461),IF(Table1[Date of Last Assessment]="",Table1[Social Networks and Relationships],Table1[Social Networks and Relationships2]),"")))</f>
        <v/>
      </c>
      <c r="FO80" s="44" t="str">
        <f>IF(Table1[Leaving Date]="","",IF(Table1[Date of Initial Assessment]="","",IF(AND(Table1[Leaving Date]&gt;42094,Table1[Leaving Date]&lt;42461),IF(Table1[Date of Last Assessment]="",Table1[Drug and Alcohol Misuse],Table1[Drug and Alcohol Misuse2]),"")))</f>
        <v/>
      </c>
      <c r="FP80" s="44" t="str">
        <f>IF(Table1[Leaving Date]="","",IF(Table1[Date of Initial Assessment]="","",IF(AND(Table1[Leaving Date]&gt;42094,Table1[Leaving Date]&lt;42461),IF(Table1[Date of Last Assessment]="",Table1[Physical Health],Table1[Physical Health2]),"")))</f>
        <v/>
      </c>
      <c r="FQ80" s="44" t="str">
        <f>IF(Table1[Leaving Date]="","",IF(Table1[Date of Initial Assessment]="","",IF(AND(Table1[Leaving Date]&gt;42094,Table1[Leaving Date]&lt;42461),IF(Table1[Date of Last Assessment]="",Table1[Emotional and Mental Health],Table1[Emotional and Mental Health2]),"")))</f>
        <v/>
      </c>
      <c r="FR80" s="44" t="str">
        <f>IF(Table1[Leaving Date]="","",IF(Table1[Date of Initial Assessment]="","",IF(AND(Table1[Leaving Date]&gt;42094,Table1[Leaving Date]&lt;42461),IF(Table1[Date of Last Assessment]="",Table1[Meaningful Use of Time],Table1[Meaningful Use of Time2]),"")))</f>
        <v/>
      </c>
      <c r="FS80" s="44" t="str">
        <f>IF(Table1[Leaving Date]="","",IF(Table1[Date of Initial Assessment]="","",IF(AND(Table1[Leaving Date]&gt;42094,Table1[Leaving Date]&lt;42461),IF(Table1[Date of Last Assessment]="",Table1[Managing Tenancy and Accommodation],Table1[Managing Tenancy and Accommodation2]),"")))</f>
        <v/>
      </c>
      <c r="FT80" s="44" t="str">
        <f>IF(Table1[Leaving Date]="","",IF(Table1[Date of Initial Assessment]="","",IF(AND(Table1[Leaving Date]&gt;42094,Table1[Leaving Date]&lt;42461),IF(Table1[Date of Last Assessment]="",Table1[Offending],Table1[Offending2]),"")))</f>
        <v/>
      </c>
      <c r="FU80" s="44" t="str">
        <f>IF(Table1[Date of Initial Assessment]="","",IF(AND(Table1[Start Date]&gt;42460,Table1[Start Date]&lt;42826),Table1[Motivation and Taking Responsibility],""))</f>
        <v/>
      </c>
      <c r="FV80" s="44" t="str">
        <f>IF(Table1[Date of Initial Assessment]="","",IF(AND(Table1[Start Date]&gt;42460,Table1[Start Date]&lt;42826),Table1[Self-Care and Living Skills],""))</f>
        <v/>
      </c>
      <c r="FW80" s="44" t="str">
        <f>IF(Table1[Date of Initial Assessment]="","",IF(AND(Table1[Start Date]&gt;42460,Table1[Start Date]&lt;42826),Table1[Managing Money and Personal Administration],""))</f>
        <v/>
      </c>
      <c r="FX80" s="44" t="str">
        <f>IF(Table1[Date of Initial Assessment]="","",IF(AND(Table1[Start Date]&gt;42460,Table1[Start Date]&lt;42826),Table1[Social Networks and Relationships],""))</f>
        <v/>
      </c>
      <c r="FY80" s="44" t="str">
        <f>IF(Table1[Date of Initial Assessment]="","",IF(AND(Table1[Start Date]&gt;42460,Table1[Start Date]&lt;42826),Table1[Drug and Alcohol Misuse],""))</f>
        <v/>
      </c>
      <c r="FZ80" s="44" t="str">
        <f>IF(Table1[Date of Initial Assessment]="","",IF(AND(Table1[Start Date]&gt;42460,Table1[Start Date]&lt;42826),Table1[Physical Health],""))</f>
        <v/>
      </c>
      <c r="GA80" s="44" t="str">
        <f>IF(Table1[Date of Initial Assessment]="","",IF(AND(Table1[Start Date]&gt;42460,Table1[Start Date]&lt;42826),Table1[Emotional and Mental Health],""))</f>
        <v/>
      </c>
      <c r="GB80" s="44" t="str">
        <f>IF(Table1[Date of Initial Assessment]="","",IF(AND(Table1[Start Date]&gt;42460,Table1[Start Date]&lt;42826),Table1[Meaningful Use of Time],""))</f>
        <v/>
      </c>
      <c r="GC80" s="44" t="str">
        <f>IF(Table1[Date of Initial Assessment]="","",IF(AND(Table1[Start Date]&gt;42460,Table1[Start Date]&lt;42826),Table1[Managing Tenancy and Accommodation],""))</f>
        <v/>
      </c>
      <c r="GD80" s="44" t="str">
        <f>IF(Table1[Date of Initial Assessment]="","",IF(AND(Table1[Start Date]&gt;42460,Table1[Start Date]&lt;42826),Table1[Offending],""))</f>
        <v/>
      </c>
      <c r="GE80" s="44" t="str">
        <f>IF(Table1[Leaving Date]="","",IF(AND(Table1[Leaving Date]&gt;42460,Table1[Leaving Date]&lt;42826),IF(Table1[Date of Last Assessment]="",Table1[Motivation and Taking Responsibility],Table1[Motivation and Taking Responsibility2]),""))</f>
        <v/>
      </c>
      <c r="GF80" s="44" t="str">
        <f>IF(Table1[Leaving Date]="","",IF(AND(Table1[Leaving Date]&gt;42460,Table1[Leaving Date]&lt;42826),IF(Table1[Date of Last Assessment]="",Table1[Self-Care and Living Skills],Table1[Self-Care and Living Skills2]),""))</f>
        <v/>
      </c>
      <c r="GG80" s="44" t="str">
        <f>IF(Table1[Leaving Date]="","",IF(AND(Table1[Leaving Date]&gt;42460,Table1[Leaving Date]&lt;42826),IF(Table1[Date of Last Assessment]="",Table1[Managing Money and Personal Administration],Table1[Managing Money and Personal Administration2]),""))</f>
        <v/>
      </c>
      <c r="GH80" s="44" t="str">
        <f>IF(Table1[Leaving Date]="","",IF(AND(Table1[Leaving Date]&gt;42460,Table1[Leaving Date]&lt;42826),IF(Table1[Date of Last Assessment]="",Table1[Social Networks and Relationships],Table1[Social Networks and Relationships2]),""))</f>
        <v/>
      </c>
      <c r="GI80" s="44" t="str">
        <f>IF(Table1[Leaving Date]="","",IF(AND(Table1[Leaving Date]&gt;42460,Table1[Leaving Date]&lt;42826),IF(Table1[Date of Last Assessment]="",Table1[Drug and Alcohol Misuse],Table1[Drug and Alcohol Misuse2]),""))</f>
        <v/>
      </c>
      <c r="GJ80" s="44" t="str">
        <f>IF(Table1[Leaving Date]="","",IF(AND(Table1[Leaving Date]&gt;42460,Table1[Leaving Date]&lt;42826),IF(Table1[Date of Last Assessment]="",Table1[Physical Health],Table1[Physical Health2]),""))</f>
        <v/>
      </c>
      <c r="GK80" s="44" t="str">
        <f>IF(Table1[Leaving Date]="","",IF(AND(Table1[Leaving Date]&gt;42460,Table1[Leaving Date]&lt;42826),IF(Table1[Date of Last Assessment]="",Table1[Emotional and Mental Health],Table1[Emotional and Mental Health2]),""))</f>
        <v/>
      </c>
      <c r="GL80" s="44" t="str">
        <f>IF(Table1[Leaving Date]="","",IF(AND(Table1[Leaving Date]&gt;42460,Table1[Leaving Date]&lt;42826),IF(Table1[Date of Last Assessment]="",Table1[Meaningful Use of Time],Table1[Meaningful Use of Time2]),""))</f>
        <v/>
      </c>
      <c r="GM80" s="44" t="str">
        <f>IF(Table1[Leaving Date]="","",IF(AND(Table1[Leaving Date]&gt;42460,Table1[Leaving Date]&lt;42826),IF(Table1[Date of Last Assessment]="",Table1[Managing Tenancy and Accommodation],Table1[Managing Tenancy and Accommodation2]),""))</f>
        <v/>
      </c>
      <c r="GN80" s="44" t="str">
        <f>IF(Table1[Leaving Date]="","",IF(AND(Table1[Leaving Date]&gt;42460,Table1[Leaving Date]&lt;42826),IF(Table1[Date of Last Assessment]="",Table1[Offending],Table1[Offending2]),""))</f>
        <v/>
      </c>
    </row>
    <row r="81" spans="2:196" ht="20.100000000000001" customHeight="1" x14ac:dyDescent="0.2">
      <c r="B81" s="86">
        <f>+'Service Data'!$C$5:$C$5</f>
        <v>0</v>
      </c>
      <c r="C81" s="86"/>
      <c r="D81" s="86"/>
      <c r="E81" s="86"/>
      <c r="F81" s="86"/>
      <c r="G81" s="86"/>
      <c r="H81" s="6"/>
      <c r="I81" s="99" t="str">
        <f ca="1">IF(Table1[[#This Row],[Date of Birth]]="","",SUM(TODAY()-Table1[[#This Row],[Date of Birth]])/365)</f>
        <v/>
      </c>
      <c r="L81" s="86"/>
      <c r="M81" s="77"/>
      <c r="N81" s="86"/>
      <c r="O81" s="86"/>
      <c r="P81" s="91"/>
      <c r="Q81" s="86"/>
      <c r="R81" s="77"/>
      <c r="S81" s="77"/>
      <c r="T81" s="68"/>
      <c r="U81" s="68"/>
      <c r="V81" s="67"/>
      <c r="W81" s="67"/>
      <c r="X81" s="67"/>
      <c r="Y81" s="67"/>
      <c r="Z81" s="67"/>
      <c r="AA81" s="67"/>
      <c r="AB81" s="67"/>
      <c r="AC81" s="67"/>
      <c r="AD81" s="67"/>
      <c r="AE81" s="67"/>
      <c r="AF81" s="67"/>
      <c r="AG81" s="67"/>
      <c r="AH81" s="67"/>
      <c r="AI81" s="67"/>
      <c r="AJ81" s="67"/>
      <c r="AK81" s="67"/>
      <c r="AL81" s="67"/>
      <c r="AM81" s="67"/>
      <c r="AN81" s="77"/>
      <c r="AO81" s="76"/>
      <c r="AP81" s="77"/>
      <c r="AQ81" s="76"/>
      <c r="AR81" s="76"/>
      <c r="AS81" s="76"/>
      <c r="AT81" s="76"/>
      <c r="AU81" s="76"/>
      <c r="AV81" s="77"/>
      <c r="AW81" s="76"/>
      <c r="AX81" s="77"/>
      <c r="AY81" s="76"/>
      <c r="AZ81" s="76"/>
      <c r="BA81" s="76"/>
      <c r="BB81" s="76"/>
      <c r="BC81" s="76"/>
      <c r="BD81" s="77"/>
      <c r="BE81" s="76"/>
      <c r="BF81" s="77"/>
      <c r="BG81" s="76"/>
      <c r="BH81" s="76"/>
      <c r="BI81" s="76"/>
      <c r="BJ81" s="76"/>
      <c r="BK81" s="76"/>
      <c r="BL81" s="77"/>
      <c r="BM81" s="76"/>
      <c r="BN81" s="77"/>
      <c r="BO81" s="76"/>
      <c r="BP81" s="76"/>
      <c r="BQ81" s="76"/>
      <c r="BR81" s="76"/>
      <c r="BS81" s="76"/>
      <c r="BT81" s="77"/>
      <c r="BU81" s="76"/>
      <c r="BV81" s="77"/>
      <c r="BW81" s="76"/>
      <c r="BX81" s="76"/>
      <c r="BY81" s="76"/>
      <c r="BZ81" s="76"/>
      <c r="CA81" s="76"/>
      <c r="CB81" s="77"/>
      <c r="CC81" s="76"/>
      <c r="CD81" s="77"/>
      <c r="CE81" s="76"/>
      <c r="CF81" s="76"/>
      <c r="CG81" s="76"/>
      <c r="CH81" s="76"/>
      <c r="CI81" s="76"/>
      <c r="CJ81" s="77"/>
      <c r="CK81" s="76"/>
      <c r="CL81" s="77"/>
      <c r="CM81" s="76"/>
      <c r="CN81" s="76"/>
      <c r="CO81" s="76"/>
      <c r="CP81" s="76"/>
      <c r="CQ81" s="76"/>
      <c r="CR81" s="78" t="str">
        <f t="shared" si="31"/>
        <v/>
      </c>
      <c r="CS81" s="79" t="str">
        <f t="shared" si="32"/>
        <v/>
      </c>
      <c r="CT81" s="79" t="str">
        <f t="shared" si="33"/>
        <v/>
      </c>
      <c r="CU81" s="79" t="str">
        <f t="shared" si="34"/>
        <v/>
      </c>
      <c r="CV81" s="79" t="str">
        <f t="shared" si="35"/>
        <v/>
      </c>
      <c r="CW81" s="79" t="str">
        <f t="shared" si="36"/>
        <v/>
      </c>
      <c r="CX81" s="79" t="str">
        <f t="shared" si="37"/>
        <v/>
      </c>
      <c r="CY81" s="79" t="str">
        <f t="shared" si="38"/>
        <v/>
      </c>
      <c r="CZ81" s="79" t="str">
        <f t="shared" si="39"/>
        <v/>
      </c>
      <c r="DA81" s="79" t="str">
        <f t="shared" si="40"/>
        <v/>
      </c>
      <c r="DB81" s="79" t="str">
        <f t="shared" si="41"/>
        <v/>
      </c>
      <c r="DC81" s="79" t="str">
        <f t="shared" si="42"/>
        <v/>
      </c>
      <c r="DD81" s="79" t="str">
        <f t="shared" si="43"/>
        <v/>
      </c>
      <c r="DE81" s="79" t="str">
        <f t="shared" si="44"/>
        <v/>
      </c>
      <c r="DF81" s="79" t="str">
        <f t="shared" si="45"/>
        <v/>
      </c>
      <c r="DG81" s="79" t="str">
        <f t="shared" si="46"/>
        <v/>
      </c>
      <c r="DH81" s="76"/>
      <c r="DI81" s="78"/>
      <c r="DJ81" s="76"/>
      <c r="DK81" s="77"/>
      <c r="DL81" s="77"/>
      <c r="DM81" s="77"/>
      <c r="DN81" s="80"/>
      <c r="DO81" s="80"/>
      <c r="DP81" s="92" t="str">
        <f>IF(Table1[Start Date]="","",IF(Table1[Start Date]&gt;42185,"",IF(AND(Table1[Leaving Date]&gt;1,Table1[Leaving Date]&lt;42095),"",1)))</f>
        <v/>
      </c>
      <c r="DQ81" s="92" t="str">
        <f>IF(Table1[Start Date]="","",IF(Table1[Start Date]&gt;42277,"",IF(AND(Table1[Leaving Date]&gt;1,Table1[Leaving Date]&lt;42186),"",1)))</f>
        <v/>
      </c>
      <c r="DR81" s="92" t="str">
        <f>IF(Table1[Start Date]="","",IF(Table1[Start Date]&gt;42369,"",IF(AND(Table1[Leaving Date]&gt;1,Table1[Leaving Date]&lt;42278),"",1)))</f>
        <v/>
      </c>
      <c r="DS81" s="92" t="str">
        <f>IF(Table1[Start Date]="","",IF(Table1[Start Date]&gt;42460,"",IF(AND(Table1[Leaving Date]&gt;1,Table1[Leaving Date]&lt;42370),"",1)))</f>
        <v/>
      </c>
      <c r="DT81" s="92" t="str">
        <f>IF(Table1[Start Date]="","",IF(Table1[Start Date]&gt;42551,"",IF(AND(Table1[Leaving Date]&gt;1,Table1[Leaving Date]&lt;42461),"",1)))</f>
        <v/>
      </c>
      <c r="DU81" s="92" t="str">
        <f>IF(Table1[Start Date]="","",IF(Table1[Start Date]&gt;42643,"",IF(AND(Table1[Leaving Date]&gt;1,Table1[Leaving Date]&lt;42552),"",1)))</f>
        <v/>
      </c>
      <c r="DV81" s="92" t="str">
        <f>IF(Table1[Start Date]="","",IF(Table1[Start Date]&gt;42735,"",IF(AND(Table1[Leaving Date]&gt;1,Table1[Leaving Date]&lt;42644),"",1)))</f>
        <v/>
      </c>
      <c r="DW81" s="92" t="str">
        <f>IF(Table1[Start Date]="","",IF(Table1[Start Date]&gt;42825,"",IF(AND(Table1[Leaving Date]&gt;1,Table1[Leaving Date]&lt;42736),"",1)))</f>
        <v/>
      </c>
      <c r="DX81"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81" s="44" t="e">
        <f>VLOOKUP(Table1[Referral Source],Lists!$G$2:$H$20,2,FALSE)</f>
        <v>#N/A</v>
      </c>
      <c r="DZ81" s="93" t="e">
        <f>SUM(Table1[Data Referral Quarter]+Table1[Data Referral Source])</f>
        <v>#N/A</v>
      </c>
      <c r="EA81" s="44" t="b">
        <f>IF(Table1[Referral Decision]="Accepted",100,IF(Table1[Referral Decision]="Rejected by Provider",200,IF(Table1[Referral Decision]="Rejected by Applicant",300)))</f>
        <v>0</v>
      </c>
      <c r="EB81" s="44">
        <f>SUM(Table1[Data Referral Quarter]+Table1[Data Referral Decision])</f>
        <v>0</v>
      </c>
      <c r="EC81" s="44" t="b">
        <f>IF(Table1[Start Date]&gt;42735,8000,IF(Table1[Start Date]&gt;42643,7000,IF(Table1[Start Date]&gt;42551,6000,IF(Table1[Start Date]&gt;42460,5000,IF(Table1[Start Date]&gt;42369,4000,IF(Table1[Start Date]&gt;42277,3000,IF(Table1[Start Date]&gt;42185,2000,IF(Table1[Start Date]&gt;42094,1000))))))))</f>
        <v>0</v>
      </c>
      <c r="ED81" s="44" t="str">
        <f>IF(Table1[Start Date]="","",IF(Table1[Current Local Authority]="Swindon",1,"2"))</f>
        <v/>
      </c>
      <c r="EE81" s="44" t="e">
        <f>SUM(Table1[Data Start Date]+Table1[Data Local Authority])</f>
        <v>#VALUE!</v>
      </c>
      <c r="EF81" s="44">
        <f>IF(Table1[Registered with GP]="Yes",1,0)</f>
        <v>0</v>
      </c>
      <c r="EG81" s="44">
        <f>SUM(Table1[Data Start Date]+Table1[Data GP Start])</f>
        <v>0</v>
      </c>
      <c r="EH81" s="44" t="str">
        <f>IF(Table1[EET]="NEET",1,IF(Table1[EET]="Education",2,IF(Table1[EET]="Employment",2,IF(Table1[EET]="Training",2,IF(Table1[EET]="Retired",3,"")))))</f>
        <v/>
      </c>
      <c r="EI81" s="44" t="e">
        <f>Table1[Data Start Date]+Table1[Data EET Start]</f>
        <v>#VALUE!</v>
      </c>
      <c r="EJ81" s="44" t="b">
        <f>IF(Table1[Leaving Date]&gt;42735,8000,IF(Table1[Leaving Date]&gt;42643,7000,IF(Table1[Leaving Date]&gt;42551,6000,IF(Table1[Leaving Date]&gt;42460,5000,IF(Table1[Leaving Date]&gt;42369,4000,IF(Table1[Leaving Date]&gt;42277,3000,IF(Table1[Leaving Date]&gt;42185,2000,IF(Table1[Leaving Date]&gt;42094,1000))))))))</f>
        <v>0</v>
      </c>
      <c r="EK81" s="44" t="e">
        <f>VLOOKUP(Table1[Reason for Leaving],Lists!$T$2:$U$15,2,FALSE)</f>
        <v>#N/A</v>
      </c>
      <c r="EL81" s="44" t="e">
        <f>SUM(Table1[Data Leavers Date]+Table1[Data Move On])</f>
        <v>#N/A</v>
      </c>
      <c r="EM81" s="44" t="b">
        <f>IF(Table1[Registered with GP2]="Yes",1,IF(Table1[Registered with GP2]="No",0,IF(Table1[Registered with GP]="Yes",1,IF(Table1[Registered with GP]="No",0))))</f>
        <v>0</v>
      </c>
      <c r="EN81" s="44">
        <f>SUM(Table1[Data Leavers Date]+Table1[Data GP End])</f>
        <v>0</v>
      </c>
      <c r="EO81" s="44" t="str">
        <f>IF(Table1[EET2]="NEET",1,IF(Table1[EET2]="Employment",2,IF(Table1[EET2]="Education",2,IF(Table1[EET2]="Training",2,IF(Table1[EET2]="Retired",3,IF(Table1[EET]="NEET",1,IF(Table1[EET]="Employment",2,IF(Table1[EET]="Education",2,IF(Table1[EET]="Training",2,IF(Table1[EET]="Retired",3,""))))))))))</f>
        <v/>
      </c>
      <c r="EP81" s="44" t="e">
        <f>+Table1[[#This Row],[Data Leavers Date]]+Table1[[#This Row],[Data EET End]]</f>
        <v>#VALUE!</v>
      </c>
      <c r="EQ81" s="44">
        <f>IF(Table1[Exit Form Received]="Yes",1,0)</f>
        <v>0</v>
      </c>
      <c r="ER81" s="44">
        <f>+Table1[[#This Row],[Data Leavers Date]]+Table1[[#This Row],[Data Exit Forms]]</f>
        <v>0</v>
      </c>
      <c r="ES81" s="44" t="str">
        <f>IF(Table1[Data Leavers Date]=1000,SUM(Table1[Leaving Date]-Table1[Start Date]),"")</f>
        <v/>
      </c>
      <c r="ET81" s="44" t="str">
        <f>IF(Table1[Data Leavers Date]=2000,SUM(Table1[Leaving Date]-Table1[Start Date]),"")</f>
        <v/>
      </c>
      <c r="EU81" s="44" t="str">
        <f>IF(Table1[Data Leavers Date]=3000,SUM(Table1[Leaving Date]-Table1[Start Date]),"")</f>
        <v/>
      </c>
      <c r="EV81" s="44" t="str">
        <f>IF(Table1[Data Leavers Date]=4000,SUM(Table1[Leaving Date]-Table1[Start Date]),"")</f>
        <v/>
      </c>
      <c r="EW81" s="44" t="str">
        <f>IF(Table1[Data Leavers Date]=5000,SUM(Table1[Leaving Date]-Table1[Start Date]),"")</f>
        <v/>
      </c>
      <c r="EX81" s="44" t="str">
        <f>IF(Table1[Data Leavers Date]=6000,SUM(Table1[Leaving Date]-Table1[Start Date]),"")</f>
        <v/>
      </c>
      <c r="EY81" s="44" t="str">
        <f>IF(Table1[Data Leavers Date]=7000,SUM(Table1[Leaving Date]-Table1[Start Date]),"")</f>
        <v/>
      </c>
      <c r="EZ81" s="44" t="str">
        <f>IF(Table1[Data Leavers Date]=8000,SUM(Table1[Leaving Date]-Table1[Start Date]),"")</f>
        <v/>
      </c>
      <c r="FA81" s="44" t="str">
        <f>IF(Table1[Date of Initial Assessment]="","",IF(AND(Table1[Start Date]&gt;42094,Table1[Start Date]&lt;42461),Table1[Motivation and Taking Responsibility],""))</f>
        <v/>
      </c>
      <c r="FB81" s="44" t="str">
        <f>IF(Table1[Date of Initial Assessment]="","",IF(AND(Table1[Start Date]&gt;42094,Table1[Start Date]&lt;42461),Table1[Self-Care and Living Skills],""))</f>
        <v/>
      </c>
      <c r="FC81" s="44" t="str">
        <f>IF(Table1[Date of Initial Assessment]="","",IF(AND(Table1[Start Date]&gt;42094,Table1[Start Date]&lt;42461),Table1[Managing Money and Personal Administration],""))</f>
        <v/>
      </c>
      <c r="FD81" s="44" t="str">
        <f>IF(Table1[Date of Initial Assessment]="","",IF(AND(Table1[Start Date]&gt;42094,Table1[Start Date]&lt;42461),Table1[Social Networks and Relationships],""))</f>
        <v/>
      </c>
      <c r="FE81" s="44" t="str">
        <f>IF(Table1[Date of Initial Assessment]="","",IF(AND(Table1[Start Date]&gt;42094,Table1[Start Date]&lt;42461),Table1[Drug and Alcohol Misuse],""))</f>
        <v/>
      </c>
      <c r="FF81" s="44" t="str">
        <f>IF(Table1[Date of Initial Assessment]="","",IF(AND(Table1[Start Date]&gt;42094,Table1[Start Date]&lt;42461),Table1[Physical Health],""))</f>
        <v/>
      </c>
      <c r="FG81" s="44" t="str">
        <f>IF(Table1[Date of Initial Assessment]="","",IF(AND(Table1[Start Date]&gt;42094,Table1[Start Date]&lt;42461),Table1[Emotional and Mental Health],""))</f>
        <v/>
      </c>
      <c r="FH81" s="44" t="str">
        <f>IF(Table1[Date of Initial Assessment]="","",IF(AND(Table1[Start Date]&gt;42094,Table1[Start Date]&lt;42461),Table1[Meaningful Use of Time],""))</f>
        <v/>
      </c>
      <c r="FI81" s="44" t="str">
        <f>IF(Table1[Date of Initial Assessment]="","",IF(AND(Table1[Start Date]&gt;42094,Table1[Start Date]&lt;42461),Table1[Managing Tenancy and Accommodation],""))</f>
        <v/>
      </c>
      <c r="FJ81" s="44" t="str">
        <f>IF(Table1[Date of Initial Assessment]="","",IF(AND(Table1[Start Date]&gt;42094,Table1[Start Date]&lt;42461),Table1[Offending],""))</f>
        <v/>
      </c>
      <c r="FK81" s="44" t="str">
        <f>IF(Table1[Leaving Date]="","",IF(Table1[Date of Initial Assessment]="","",IF(AND(Table1[Leaving Date]&gt;42094,Table1[Leaving Date]&lt;42461),IF(Table1[Date of Last Assessment]="",Table1[Motivation and Taking Responsibility],Table1[Motivation and Taking Responsibility2]),"")))</f>
        <v/>
      </c>
      <c r="FL81" s="44" t="str">
        <f>IF(Table1[Leaving Date]="","",IF(Table1[Date of Initial Assessment]="","",IF(AND(Table1[Leaving Date]&gt;42094,Table1[Leaving Date]&lt;42461),IF(Table1[Date of Last Assessment]="",Table1[Self-Care and Living Skills],Table1[Self-Care and Living Skills2]),"")))</f>
        <v/>
      </c>
      <c r="FM81" s="44" t="str">
        <f>IF(Table1[Leaving Date]="","",IF(Table1[Date of Initial Assessment]="","",IF(AND(Table1[Leaving Date]&gt;42094,Table1[Leaving Date]&lt;42461),IF(Table1[Date of Last Assessment]="",Table1[Managing Money and Personal Administration],Table1[Managing Money and Personal Administration2]),"")))</f>
        <v/>
      </c>
      <c r="FN81" s="44" t="str">
        <f>IF(Table1[Leaving Date]="","",IF(Table1[Date of Initial Assessment]="","",IF(AND(Table1[Leaving Date]&gt;42094,Table1[Leaving Date]&lt;42461),IF(Table1[Date of Last Assessment]="",Table1[Social Networks and Relationships],Table1[Social Networks and Relationships2]),"")))</f>
        <v/>
      </c>
      <c r="FO81" s="44" t="str">
        <f>IF(Table1[Leaving Date]="","",IF(Table1[Date of Initial Assessment]="","",IF(AND(Table1[Leaving Date]&gt;42094,Table1[Leaving Date]&lt;42461),IF(Table1[Date of Last Assessment]="",Table1[Drug and Alcohol Misuse],Table1[Drug and Alcohol Misuse2]),"")))</f>
        <v/>
      </c>
      <c r="FP81" s="44" t="str">
        <f>IF(Table1[Leaving Date]="","",IF(Table1[Date of Initial Assessment]="","",IF(AND(Table1[Leaving Date]&gt;42094,Table1[Leaving Date]&lt;42461),IF(Table1[Date of Last Assessment]="",Table1[Physical Health],Table1[Physical Health2]),"")))</f>
        <v/>
      </c>
      <c r="FQ81" s="44" t="str">
        <f>IF(Table1[Leaving Date]="","",IF(Table1[Date of Initial Assessment]="","",IF(AND(Table1[Leaving Date]&gt;42094,Table1[Leaving Date]&lt;42461),IF(Table1[Date of Last Assessment]="",Table1[Emotional and Mental Health],Table1[Emotional and Mental Health2]),"")))</f>
        <v/>
      </c>
      <c r="FR81" s="44" t="str">
        <f>IF(Table1[Leaving Date]="","",IF(Table1[Date of Initial Assessment]="","",IF(AND(Table1[Leaving Date]&gt;42094,Table1[Leaving Date]&lt;42461),IF(Table1[Date of Last Assessment]="",Table1[Meaningful Use of Time],Table1[Meaningful Use of Time2]),"")))</f>
        <v/>
      </c>
      <c r="FS81" s="44" t="str">
        <f>IF(Table1[Leaving Date]="","",IF(Table1[Date of Initial Assessment]="","",IF(AND(Table1[Leaving Date]&gt;42094,Table1[Leaving Date]&lt;42461),IF(Table1[Date of Last Assessment]="",Table1[Managing Tenancy and Accommodation],Table1[Managing Tenancy and Accommodation2]),"")))</f>
        <v/>
      </c>
      <c r="FT81" s="44" t="str">
        <f>IF(Table1[Leaving Date]="","",IF(Table1[Date of Initial Assessment]="","",IF(AND(Table1[Leaving Date]&gt;42094,Table1[Leaving Date]&lt;42461),IF(Table1[Date of Last Assessment]="",Table1[Offending],Table1[Offending2]),"")))</f>
        <v/>
      </c>
      <c r="FU81" s="44" t="str">
        <f>IF(Table1[Date of Initial Assessment]="","",IF(AND(Table1[Start Date]&gt;42460,Table1[Start Date]&lt;42826),Table1[Motivation and Taking Responsibility],""))</f>
        <v/>
      </c>
      <c r="FV81" s="44" t="str">
        <f>IF(Table1[Date of Initial Assessment]="","",IF(AND(Table1[Start Date]&gt;42460,Table1[Start Date]&lt;42826),Table1[Self-Care and Living Skills],""))</f>
        <v/>
      </c>
      <c r="FW81" s="44" t="str">
        <f>IF(Table1[Date of Initial Assessment]="","",IF(AND(Table1[Start Date]&gt;42460,Table1[Start Date]&lt;42826),Table1[Managing Money and Personal Administration],""))</f>
        <v/>
      </c>
      <c r="FX81" s="44" t="str">
        <f>IF(Table1[Date of Initial Assessment]="","",IF(AND(Table1[Start Date]&gt;42460,Table1[Start Date]&lt;42826),Table1[Social Networks and Relationships],""))</f>
        <v/>
      </c>
      <c r="FY81" s="44" t="str">
        <f>IF(Table1[Date of Initial Assessment]="","",IF(AND(Table1[Start Date]&gt;42460,Table1[Start Date]&lt;42826),Table1[Drug and Alcohol Misuse],""))</f>
        <v/>
      </c>
      <c r="FZ81" s="44" t="str">
        <f>IF(Table1[Date of Initial Assessment]="","",IF(AND(Table1[Start Date]&gt;42460,Table1[Start Date]&lt;42826),Table1[Physical Health],""))</f>
        <v/>
      </c>
      <c r="GA81" s="44" t="str">
        <f>IF(Table1[Date of Initial Assessment]="","",IF(AND(Table1[Start Date]&gt;42460,Table1[Start Date]&lt;42826),Table1[Emotional and Mental Health],""))</f>
        <v/>
      </c>
      <c r="GB81" s="44" t="str">
        <f>IF(Table1[Date of Initial Assessment]="","",IF(AND(Table1[Start Date]&gt;42460,Table1[Start Date]&lt;42826),Table1[Meaningful Use of Time],""))</f>
        <v/>
      </c>
      <c r="GC81" s="44" t="str">
        <f>IF(Table1[Date of Initial Assessment]="","",IF(AND(Table1[Start Date]&gt;42460,Table1[Start Date]&lt;42826),Table1[Managing Tenancy and Accommodation],""))</f>
        <v/>
      </c>
      <c r="GD81" s="44" t="str">
        <f>IF(Table1[Date of Initial Assessment]="","",IF(AND(Table1[Start Date]&gt;42460,Table1[Start Date]&lt;42826),Table1[Offending],""))</f>
        <v/>
      </c>
      <c r="GE81" s="44" t="str">
        <f>IF(Table1[Leaving Date]="","",IF(AND(Table1[Leaving Date]&gt;42460,Table1[Leaving Date]&lt;42826),IF(Table1[Date of Last Assessment]="",Table1[Motivation and Taking Responsibility],Table1[Motivation and Taking Responsibility2]),""))</f>
        <v/>
      </c>
      <c r="GF81" s="44" t="str">
        <f>IF(Table1[Leaving Date]="","",IF(AND(Table1[Leaving Date]&gt;42460,Table1[Leaving Date]&lt;42826),IF(Table1[Date of Last Assessment]="",Table1[Self-Care and Living Skills],Table1[Self-Care and Living Skills2]),""))</f>
        <v/>
      </c>
      <c r="GG81" s="44" t="str">
        <f>IF(Table1[Leaving Date]="","",IF(AND(Table1[Leaving Date]&gt;42460,Table1[Leaving Date]&lt;42826),IF(Table1[Date of Last Assessment]="",Table1[Managing Money and Personal Administration],Table1[Managing Money and Personal Administration2]),""))</f>
        <v/>
      </c>
      <c r="GH81" s="44" t="str">
        <f>IF(Table1[Leaving Date]="","",IF(AND(Table1[Leaving Date]&gt;42460,Table1[Leaving Date]&lt;42826),IF(Table1[Date of Last Assessment]="",Table1[Social Networks and Relationships],Table1[Social Networks and Relationships2]),""))</f>
        <v/>
      </c>
      <c r="GI81" s="44" t="str">
        <f>IF(Table1[Leaving Date]="","",IF(AND(Table1[Leaving Date]&gt;42460,Table1[Leaving Date]&lt;42826),IF(Table1[Date of Last Assessment]="",Table1[Drug and Alcohol Misuse],Table1[Drug and Alcohol Misuse2]),""))</f>
        <v/>
      </c>
      <c r="GJ81" s="44" t="str">
        <f>IF(Table1[Leaving Date]="","",IF(AND(Table1[Leaving Date]&gt;42460,Table1[Leaving Date]&lt;42826),IF(Table1[Date of Last Assessment]="",Table1[Physical Health],Table1[Physical Health2]),""))</f>
        <v/>
      </c>
      <c r="GK81" s="44" t="str">
        <f>IF(Table1[Leaving Date]="","",IF(AND(Table1[Leaving Date]&gt;42460,Table1[Leaving Date]&lt;42826),IF(Table1[Date of Last Assessment]="",Table1[Emotional and Mental Health],Table1[Emotional and Mental Health2]),""))</f>
        <v/>
      </c>
      <c r="GL81" s="44" t="str">
        <f>IF(Table1[Leaving Date]="","",IF(AND(Table1[Leaving Date]&gt;42460,Table1[Leaving Date]&lt;42826),IF(Table1[Date of Last Assessment]="",Table1[Meaningful Use of Time],Table1[Meaningful Use of Time2]),""))</f>
        <v/>
      </c>
      <c r="GM81" s="44" t="str">
        <f>IF(Table1[Leaving Date]="","",IF(AND(Table1[Leaving Date]&gt;42460,Table1[Leaving Date]&lt;42826),IF(Table1[Date of Last Assessment]="",Table1[Managing Tenancy and Accommodation],Table1[Managing Tenancy and Accommodation2]),""))</f>
        <v/>
      </c>
      <c r="GN81" s="44" t="str">
        <f>IF(Table1[Leaving Date]="","",IF(AND(Table1[Leaving Date]&gt;42460,Table1[Leaving Date]&lt;42826),IF(Table1[Date of Last Assessment]="",Table1[Offending],Table1[Offending2]),""))</f>
        <v/>
      </c>
    </row>
    <row r="82" spans="2:196" ht="20.100000000000001" customHeight="1" x14ac:dyDescent="0.2">
      <c r="B82" s="86">
        <f>+'Service Data'!$C$5:$C$5</f>
        <v>0</v>
      </c>
      <c r="C82" s="86"/>
      <c r="D82" s="86"/>
      <c r="E82" s="86"/>
      <c r="F82" s="86"/>
      <c r="G82" s="86"/>
      <c r="H82" s="6"/>
      <c r="I82" s="99" t="str">
        <f ca="1">IF(Table1[[#This Row],[Date of Birth]]="","",SUM(TODAY()-Table1[[#This Row],[Date of Birth]])/365)</f>
        <v/>
      </c>
      <c r="L82" s="86"/>
      <c r="M82" s="77"/>
      <c r="N82" s="86"/>
      <c r="O82" s="86"/>
      <c r="P82" s="91"/>
      <c r="Q82" s="86"/>
      <c r="R82" s="77"/>
      <c r="S82" s="77"/>
      <c r="T82" s="68"/>
      <c r="U82" s="68"/>
      <c r="V82" s="67"/>
      <c r="W82" s="67"/>
      <c r="X82" s="67"/>
      <c r="Y82" s="67"/>
      <c r="Z82" s="67"/>
      <c r="AA82" s="67"/>
      <c r="AB82" s="67"/>
      <c r="AC82" s="67"/>
      <c r="AD82" s="67"/>
      <c r="AE82" s="67"/>
      <c r="AF82" s="67"/>
      <c r="AG82" s="67"/>
      <c r="AH82" s="67"/>
      <c r="AI82" s="67"/>
      <c r="AJ82" s="67"/>
      <c r="AK82" s="67"/>
      <c r="AL82" s="67"/>
      <c r="AM82" s="67"/>
      <c r="AN82" s="77"/>
      <c r="AO82" s="76"/>
      <c r="AP82" s="77"/>
      <c r="AQ82" s="76"/>
      <c r="AR82" s="76"/>
      <c r="AS82" s="76"/>
      <c r="AT82" s="76"/>
      <c r="AU82" s="76"/>
      <c r="AV82" s="77"/>
      <c r="AW82" s="76"/>
      <c r="AX82" s="77"/>
      <c r="AY82" s="76"/>
      <c r="AZ82" s="76"/>
      <c r="BA82" s="76"/>
      <c r="BB82" s="76"/>
      <c r="BC82" s="76"/>
      <c r="BD82" s="77"/>
      <c r="BE82" s="76"/>
      <c r="BF82" s="77"/>
      <c r="BG82" s="76"/>
      <c r="BH82" s="76"/>
      <c r="BI82" s="76"/>
      <c r="BJ82" s="76"/>
      <c r="BK82" s="76"/>
      <c r="BL82" s="77"/>
      <c r="BM82" s="76"/>
      <c r="BN82" s="77"/>
      <c r="BO82" s="76"/>
      <c r="BP82" s="76"/>
      <c r="BQ82" s="76"/>
      <c r="BR82" s="76"/>
      <c r="BS82" s="76"/>
      <c r="BT82" s="77"/>
      <c r="BU82" s="76"/>
      <c r="BV82" s="77"/>
      <c r="BW82" s="76"/>
      <c r="BX82" s="76"/>
      <c r="BY82" s="76"/>
      <c r="BZ82" s="76"/>
      <c r="CA82" s="76"/>
      <c r="CB82" s="77"/>
      <c r="CC82" s="76"/>
      <c r="CD82" s="77"/>
      <c r="CE82" s="76"/>
      <c r="CF82" s="76"/>
      <c r="CG82" s="76"/>
      <c r="CH82" s="76"/>
      <c r="CI82" s="76"/>
      <c r="CJ82" s="77"/>
      <c r="CK82" s="76"/>
      <c r="CL82" s="77"/>
      <c r="CM82" s="76"/>
      <c r="CN82" s="76"/>
      <c r="CO82" s="76"/>
      <c r="CP82" s="76"/>
      <c r="CQ82" s="76"/>
      <c r="CR82" s="78" t="str">
        <f t="shared" si="31"/>
        <v/>
      </c>
      <c r="CS82" s="79" t="str">
        <f t="shared" si="32"/>
        <v/>
      </c>
      <c r="CT82" s="79" t="str">
        <f t="shared" si="33"/>
        <v/>
      </c>
      <c r="CU82" s="79" t="str">
        <f t="shared" si="34"/>
        <v/>
      </c>
      <c r="CV82" s="79" t="str">
        <f t="shared" si="35"/>
        <v/>
      </c>
      <c r="CW82" s="79" t="str">
        <f t="shared" si="36"/>
        <v/>
      </c>
      <c r="CX82" s="79" t="str">
        <f t="shared" si="37"/>
        <v/>
      </c>
      <c r="CY82" s="79" t="str">
        <f t="shared" si="38"/>
        <v/>
      </c>
      <c r="CZ82" s="79" t="str">
        <f t="shared" si="39"/>
        <v/>
      </c>
      <c r="DA82" s="79" t="str">
        <f t="shared" si="40"/>
        <v/>
      </c>
      <c r="DB82" s="79" t="str">
        <f t="shared" si="41"/>
        <v/>
      </c>
      <c r="DC82" s="79" t="str">
        <f t="shared" si="42"/>
        <v/>
      </c>
      <c r="DD82" s="79" t="str">
        <f t="shared" si="43"/>
        <v/>
      </c>
      <c r="DE82" s="79" t="str">
        <f t="shared" si="44"/>
        <v/>
      </c>
      <c r="DF82" s="79" t="str">
        <f t="shared" si="45"/>
        <v/>
      </c>
      <c r="DG82" s="79" t="str">
        <f t="shared" si="46"/>
        <v/>
      </c>
      <c r="DH82" s="76"/>
      <c r="DI82" s="78"/>
      <c r="DJ82" s="76"/>
      <c r="DK82" s="77"/>
      <c r="DL82" s="77"/>
      <c r="DM82" s="77"/>
      <c r="DN82" s="80"/>
      <c r="DO82" s="80"/>
      <c r="DP82" s="92" t="str">
        <f>IF(Table1[Start Date]="","",IF(Table1[Start Date]&gt;42185,"",IF(AND(Table1[Leaving Date]&gt;1,Table1[Leaving Date]&lt;42095),"",1)))</f>
        <v/>
      </c>
      <c r="DQ82" s="92" t="str">
        <f>IF(Table1[Start Date]="","",IF(Table1[Start Date]&gt;42277,"",IF(AND(Table1[Leaving Date]&gt;1,Table1[Leaving Date]&lt;42186),"",1)))</f>
        <v/>
      </c>
      <c r="DR82" s="92" t="str">
        <f>IF(Table1[Start Date]="","",IF(Table1[Start Date]&gt;42369,"",IF(AND(Table1[Leaving Date]&gt;1,Table1[Leaving Date]&lt;42278),"",1)))</f>
        <v/>
      </c>
      <c r="DS82" s="92" t="str">
        <f>IF(Table1[Start Date]="","",IF(Table1[Start Date]&gt;42460,"",IF(AND(Table1[Leaving Date]&gt;1,Table1[Leaving Date]&lt;42370),"",1)))</f>
        <v/>
      </c>
      <c r="DT82" s="92" t="str">
        <f>IF(Table1[Start Date]="","",IF(Table1[Start Date]&gt;42551,"",IF(AND(Table1[Leaving Date]&gt;1,Table1[Leaving Date]&lt;42461),"",1)))</f>
        <v/>
      </c>
      <c r="DU82" s="92" t="str">
        <f>IF(Table1[Start Date]="","",IF(Table1[Start Date]&gt;42643,"",IF(AND(Table1[Leaving Date]&gt;1,Table1[Leaving Date]&lt;42552),"",1)))</f>
        <v/>
      </c>
      <c r="DV82" s="92" t="str">
        <f>IF(Table1[Start Date]="","",IF(Table1[Start Date]&gt;42735,"",IF(AND(Table1[Leaving Date]&gt;1,Table1[Leaving Date]&lt;42644),"",1)))</f>
        <v/>
      </c>
      <c r="DW82" s="92" t="str">
        <f>IF(Table1[Start Date]="","",IF(Table1[Start Date]&gt;42825,"",IF(AND(Table1[Leaving Date]&gt;1,Table1[Leaving Date]&lt;42736),"",1)))</f>
        <v/>
      </c>
      <c r="DX82"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82" s="44" t="e">
        <f>VLOOKUP(Table1[Referral Source],Lists!$G$2:$H$20,2,FALSE)</f>
        <v>#N/A</v>
      </c>
      <c r="DZ82" s="93" t="e">
        <f>SUM(Table1[Data Referral Quarter]+Table1[Data Referral Source])</f>
        <v>#N/A</v>
      </c>
      <c r="EA82" s="44" t="b">
        <f>IF(Table1[Referral Decision]="Accepted",100,IF(Table1[Referral Decision]="Rejected by Provider",200,IF(Table1[Referral Decision]="Rejected by Applicant",300)))</f>
        <v>0</v>
      </c>
      <c r="EB82" s="44">
        <f>SUM(Table1[Data Referral Quarter]+Table1[Data Referral Decision])</f>
        <v>0</v>
      </c>
      <c r="EC82" s="44" t="b">
        <f>IF(Table1[Start Date]&gt;42735,8000,IF(Table1[Start Date]&gt;42643,7000,IF(Table1[Start Date]&gt;42551,6000,IF(Table1[Start Date]&gt;42460,5000,IF(Table1[Start Date]&gt;42369,4000,IF(Table1[Start Date]&gt;42277,3000,IF(Table1[Start Date]&gt;42185,2000,IF(Table1[Start Date]&gt;42094,1000))))))))</f>
        <v>0</v>
      </c>
      <c r="ED82" s="44" t="str">
        <f>IF(Table1[Start Date]="","",IF(Table1[Current Local Authority]="Swindon",1,"2"))</f>
        <v/>
      </c>
      <c r="EE82" s="44" t="e">
        <f>SUM(Table1[Data Start Date]+Table1[Data Local Authority])</f>
        <v>#VALUE!</v>
      </c>
      <c r="EF82" s="44">
        <f>IF(Table1[Registered with GP]="Yes",1,0)</f>
        <v>0</v>
      </c>
      <c r="EG82" s="44">
        <f>SUM(Table1[Data Start Date]+Table1[Data GP Start])</f>
        <v>0</v>
      </c>
      <c r="EH82" s="44" t="str">
        <f>IF(Table1[EET]="NEET",1,IF(Table1[EET]="Education",2,IF(Table1[EET]="Employment",2,IF(Table1[EET]="Training",2,IF(Table1[EET]="Retired",3,"")))))</f>
        <v/>
      </c>
      <c r="EI82" s="44" t="e">
        <f>Table1[Data Start Date]+Table1[Data EET Start]</f>
        <v>#VALUE!</v>
      </c>
      <c r="EJ82" s="44" t="b">
        <f>IF(Table1[Leaving Date]&gt;42735,8000,IF(Table1[Leaving Date]&gt;42643,7000,IF(Table1[Leaving Date]&gt;42551,6000,IF(Table1[Leaving Date]&gt;42460,5000,IF(Table1[Leaving Date]&gt;42369,4000,IF(Table1[Leaving Date]&gt;42277,3000,IF(Table1[Leaving Date]&gt;42185,2000,IF(Table1[Leaving Date]&gt;42094,1000))))))))</f>
        <v>0</v>
      </c>
      <c r="EK82" s="44" t="e">
        <f>VLOOKUP(Table1[Reason for Leaving],Lists!$T$2:$U$15,2,FALSE)</f>
        <v>#N/A</v>
      </c>
      <c r="EL82" s="44" t="e">
        <f>SUM(Table1[Data Leavers Date]+Table1[Data Move On])</f>
        <v>#N/A</v>
      </c>
      <c r="EM82" s="44" t="b">
        <f>IF(Table1[Registered with GP2]="Yes",1,IF(Table1[Registered with GP2]="No",0,IF(Table1[Registered with GP]="Yes",1,IF(Table1[Registered with GP]="No",0))))</f>
        <v>0</v>
      </c>
      <c r="EN82" s="44">
        <f>SUM(Table1[Data Leavers Date]+Table1[Data GP End])</f>
        <v>0</v>
      </c>
      <c r="EO82" s="44" t="str">
        <f>IF(Table1[EET2]="NEET",1,IF(Table1[EET2]="Employment",2,IF(Table1[EET2]="Education",2,IF(Table1[EET2]="Training",2,IF(Table1[EET2]="Retired",3,IF(Table1[EET]="NEET",1,IF(Table1[EET]="Employment",2,IF(Table1[EET]="Education",2,IF(Table1[EET]="Training",2,IF(Table1[EET]="Retired",3,""))))))))))</f>
        <v/>
      </c>
      <c r="EP82" s="44" t="e">
        <f>+Table1[[#This Row],[Data Leavers Date]]+Table1[[#This Row],[Data EET End]]</f>
        <v>#VALUE!</v>
      </c>
      <c r="EQ82" s="44">
        <f>IF(Table1[Exit Form Received]="Yes",1,0)</f>
        <v>0</v>
      </c>
      <c r="ER82" s="44">
        <f>+Table1[[#This Row],[Data Leavers Date]]+Table1[[#This Row],[Data Exit Forms]]</f>
        <v>0</v>
      </c>
      <c r="ES82" s="44" t="str">
        <f>IF(Table1[Data Leavers Date]=1000,SUM(Table1[Leaving Date]-Table1[Start Date]),"")</f>
        <v/>
      </c>
      <c r="ET82" s="44" t="str">
        <f>IF(Table1[Data Leavers Date]=2000,SUM(Table1[Leaving Date]-Table1[Start Date]),"")</f>
        <v/>
      </c>
      <c r="EU82" s="44" t="str">
        <f>IF(Table1[Data Leavers Date]=3000,SUM(Table1[Leaving Date]-Table1[Start Date]),"")</f>
        <v/>
      </c>
      <c r="EV82" s="44" t="str">
        <f>IF(Table1[Data Leavers Date]=4000,SUM(Table1[Leaving Date]-Table1[Start Date]),"")</f>
        <v/>
      </c>
      <c r="EW82" s="44" t="str">
        <f>IF(Table1[Data Leavers Date]=5000,SUM(Table1[Leaving Date]-Table1[Start Date]),"")</f>
        <v/>
      </c>
      <c r="EX82" s="44" t="str">
        <f>IF(Table1[Data Leavers Date]=6000,SUM(Table1[Leaving Date]-Table1[Start Date]),"")</f>
        <v/>
      </c>
      <c r="EY82" s="44" t="str">
        <f>IF(Table1[Data Leavers Date]=7000,SUM(Table1[Leaving Date]-Table1[Start Date]),"")</f>
        <v/>
      </c>
      <c r="EZ82" s="44" t="str">
        <f>IF(Table1[Data Leavers Date]=8000,SUM(Table1[Leaving Date]-Table1[Start Date]),"")</f>
        <v/>
      </c>
      <c r="FA82" s="44" t="str">
        <f>IF(Table1[Date of Initial Assessment]="","",IF(AND(Table1[Start Date]&gt;42094,Table1[Start Date]&lt;42461),Table1[Motivation and Taking Responsibility],""))</f>
        <v/>
      </c>
      <c r="FB82" s="44" t="str">
        <f>IF(Table1[Date of Initial Assessment]="","",IF(AND(Table1[Start Date]&gt;42094,Table1[Start Date]&lt;42461),Table1[Self-Care and Living Skills],""))</f>
        <v/>
      </c>
      <c r="FC82" s="44" t="str">
        <f>IF(Table1[Date of Initial Assessment]="","",IF(AND(Table1[Start Date]&gt;42094,Table1[Start Date]&lt;42461),Table1[Managing Money and Personal Administration],""))</f>
        <v/>
      </c>
      <c r="FD82" s="44" t="str">
        <f>IF(Table1[Date of Initial Assessment]="","",IF(AND(Table1[Start Date]&gt;42094,Table1[Start Date]&lt;42461),Table1[Social Networks and Relationships],""))</f>
        <v/>
      </c>
      <c r="FE82" s="44" t="str">
        <f>IF(Table1[Date of Initial Assessment]="","",IF(AND(Table1[Start Date]&gt;42094,Table1[Start Date]&lt;42461),Table1[Drug and Alcohol Misuse],""))</f>
        <v/>
      </c>
      <c r="FF82" s="44" t="str">
        <f>IF(Table1[Date of Initial Assessment]="","",IF(AND(Table1[Start Date]&gt;42094,Table1[Start Date]&lt;42461),Table1[Physical Health],""))</f>
        <v/>
      </c>
      <c r="FG82" s="44" t="str">
        <f>IF(Table1[Date of Initial Assessment]="","",IF(AND(Table1[Start Date]&gt;42094,Table1[Start Date]&lt;42461),Table1[Emotional and Mental Health],""))</f>
        <v/>
      </c>
      <c r="FH82" s="44" t="str">
        <f>IF(Table1[Date of Initial Assessment]="","",IF(AND(Table1[Start Date]&gt;42094,Table1[Start Date]&lt;42461),Table1[Meaningful Use of Time],""))</f>
        <v/>
      </c>
      <c r="FI82" s="44" t="str">
        <f>IF(Table1[Date of Initial Assessment]="","",IF(AND(Table1[Start Date]&gt;42094,Table1[Start Date]&lt;42461),Table1[Managing Tenancy and Accommodation],""))</f>
        <v/>
      </c>
      <c r="FJ82" s="44" t="str">
        <f>IF(Table1[Date of Initial Assessment]="","",IF(AND(Table1[Start Date]&gt;42094,Table1[Start Date]&lt;42461),Table1[Offending],""))</f>
        <v/>
      </c>
      <c r="FK82" s="44" t="str">
        <f>IF(Table1[Leaving Date]="","",IF(Table1[Date of Initial Assessment]="","",IF(AND(Table1[Leaving Date]&gt;42094,Table1[Leaving Date]&lt;42461),IF(Table1[Date of Last Assessment]="",Table1[Motivation and Taking Responsibility],Table1[Motivation and Taking Responsibility2]),"")))</f>
        <v/>
      </c>
      <c r="FL82" s="44" t="str">
        <f>IF(Table1[Leaving Date]="","",IF(Table1[Date of Initial Assessment]="","",IF(AND(Table1[Leaving Date]&gt;42094,Table1[Leaving Date]&lt;42461),IF(Table1[Date of Last Assessment]="",Table1[Self-Care and Living Skills],Table1[Self-Care and Living Skills2]),"")))</f>
        <v/>
      </c>
      <c r="FM82" s="44" t="str">
        <f>IF(Table1[Leaving Date]="","",IF(Table1[Date of Initial Assessment]="","",IF(AND(Table1[Leaving Date]&gt;42094,Table1[Leaving Date]&lt;42461),IF(Table1[Date of Last Assessment]="",Table1[Managing Money and Personal Administration],Table1[Managing Money and Personal Administration2]),"")))</f>
        <v/>
      </c>
      <c r="FN82" s="44" t="str">
        <f>IF(Table1[Leaving Date]="","",IF(Table1[Date of Initial Assessment]="","",IF(AND(Table1[Leaving Date]&gt;42094,Table1[Leaving Date]&lt;42461),IF(Table1[Date of Last Assessment]="",Table1[Social Networks and Relationships],Table1[Social Networks and Relationships2]),"")))</f>
        <v/>
      </c>
      <c r="FO82" s="44" t="str">
        <f>IF(Table1[Leaving Date]="","",IF(Table1[Date of Initial Assessment]="","",IF(AND(Table1[Leaving Date]&gt;42094,Table1[Leaving Date]&lt;42461),IF(Table1[Date of Last Assessment]="",Table1[Drug and Alcohol Misuse],Table1[Drug and Alcohol Misuse2]),"")))</f>
        <v/>
      </c>
      <c r="FP82" s="44" t="str">
        <f>IF(Table1[Leaving Date]="","",IF(Table1[Date of Initial Assessment]="","",IF(AND(Table1[Leaving Date]&gt;42094,Table1[Leaving Date]&lt;42461),IF(Table1[Date of Last Assessment]="",Table1[Physical Health],Table1[Physical Health2]),"")))</f>
        <v/>
      </c>
      <c r="FQ82" s="44" t="str">
        <f>IF(Table1[Leaving Date]="","",IF(Table1[Date of Initial Assessment]="","",IF(AND(Table1[Leaving Date]&gt;42094,Table1[Leaving Date]&lt;42461),IF(Table1[Date of Last Assessment]="",Table1[Emotional and Mental Health],Table1[Emotional and Mental Health2]),"")))</f>
        <v/>
      </c>
      <c r="FR82" s="44" t="str">
        <f>IF(Table1[Leaving Date]="","",IF(Table1[Date of Initial Assessment]="","",IF(AND(Table1[Leaving Date]&gt;42094,Table1[Leaving Date]&lt;42461),IF(Table1[Date of Last Assessment]="",Table1[Meaningful Use of Time],Table1[Meaningful Use of Time2]),"")))</f>
        <v/>
      </c>
      <c r="FS82" s="44" t="str">
        <f>IF(Table1[Leaving Date]="","",IF(Table1[Date of Initial Assessment]="","",IF(AND(Table1[Leaving Date]&gt;42094,Table1[Leaving Date]&lt;42461),IF(Table1[Date of Last Assessment]="",Table1[Managing Tenancy and Accommodation],Table1[Managing Tenancy and Accommodation2]),"")))</f>
        <v/>
      </c>
      <c r="FT82" s="44" t="str">
        <f>IF(Table1[Leaving Date]="","",IF(Table1[Date of Initial Assessment]="","",IF(AND(Table1[Leaving Date]&gt;42094,Table1[Leaving Date]&lt;42461),IF(Table1[Date of Last Assessment]="",Table1[Offending],Table1[Offending2]),"")))</f>
        <v/>
      </c>
      <c r="FU82" s="44" t="str">
        <f>IF(Table1[Date of Initial Assessment]="","",IF(AND(Table1[Start Date]&gt;42460,Table1[Start Date]&lt;42826),Table1[Motivation and Taking Responsibility],""))</f>
        <v/>
      </c>
      <c r="FV82" s="44" t="str">
        <f>IF(Table1[Date of Initial Assessment]="","",IF(AND(Table1[Start Date]&gt;42460,Table1[Start Date]&lt;42826),Table1[Self-Care and Living Skills],""))</f>
        <v/>
      </c>
      <c r="FW82" s="44" t="str">
        <f>IF(Table1[Date of Initial Assessment]="","",IF(AND(Table1[Start Date]&gt;42460,Table1[Start Date]&lt;42826),Table1[Managing Money and Personal Administration],""))</f>
        <v/>
      </c>
      <c r="FX82" s="44" t="str">
        <f>IF(Table1[Date of Initial Assessment]="","",IF(AND(Table1[Start Date]&gt;42460,Table1[Start Date]&lt;42826),Table1[Social Networks and Relationships],""))</f>
        <v/>
      </c>
      <c r="FY82" s="44" t="str">
        <f>IF(Table1[Date of Initial Assessment]="","",IF(AND(Table1[Start Date]&gt;42460,Table1[Start Date]&lt;42826),Table1[Drug and Alcohol Misuse],""))</f>
        <v/>
      </c>
      <c r="FZ82" s="44" t="str">
        <f>IF(Table1[Date of Initial Assessment]="","",IF(AND(Table1[Start Date]&gt;42460,Table1[Start Date]&lt;42826),Table1[Physical Health],""))</f>
        <v/>
      </c>
      <c r="GA82" s="44" t="str">
        <f>IF(Table1[Date of Initial Assessment]="","",IF(AND(Table1[Start Date]&gt;42460,Table1[Start Date]&lt;42826),Table1[Emotional and Mental Health],""))</f>
        <v/>
      </c>
      <c r="GB82" s="44" t="str">
        <f>IF(Table1[Date of Initial Assessment]="","",IF(AND(Table1[Start Date]&gt;42460,Table1[Start Date]&lt;42826),Table1[Meaningful Use of Time],""))</f>
        <v/>
      </c>
      <c r="GC82" s="44" t="str">
        <f>IF(Table1[Date of Initial Assessment]="","",IF(AND(Table1[Start Date]&gt;42460,Table1[Start Date]&lt;42826),Table1[Managing Tenancy and Accommodation],""))</f>
        <v/>
      </c>
      <c r="GD82" s="44" t="str">
        <f>IF(Table1[Date of Initial Assessment]="","",IF(AND(Table1[Start Date]&gt;42460,Table1[Start Date]&lt;42826),Table1[Offending],""))</f>
        <v/>
      </c>
      <c r="GE82" s="44" t="str">
        <f>IF(Table1[Leaving Date]="","",IF(AND(Table1[Leaving Date]&gt;42460,Table1[Leaving Date]&lt;42826),IF(Table1[Date of Last Assessment]="",Table1[Motivation and Taking Responsibility],Table1[Motivation and Taking Responsibility2]),""))</f>
        <v/>
      </c>
      <c r="GF82" s="44" t="str">
        <f>IF(Table1[Leaving Date]="","",IF(AND(Table1[Leaving Date]&gt;42460,Table1[Leaving Date]&lt;42826),IF(Table1[Date of Last Assessment]="",Table1[Self-Care and Living Skills],Table1[Self-Care and Living Skills2]),""))</f>
        <v/>
      </c>
      <c r="GG82" s="44" t="str">
        <f>IF(Table1[Leaving Date]="","",IF(AND(Table1[Leaving Date]&gt;42460,Table1[Leaving Date]&lt;42826),IF(Table1[Date of Last Assessment]="",Table1[Managing Money and Personal Administration],Table1[Managing Money and Personal Administration2]),""))</f>
        <v/>
      </c>
      <c r="GH82" s="44" t="str">
        <f>IF(Table1[Leaving Date]="","",IF(AND(Table1[Leaving Date]&gt;42460,Table1[Leaving Date]&lt;42826),IF(Table1[Date of Last Assessment]="",Table1[Social Networks and Relationships],Table1[Social Networks and Relationships2]),""))</f>
        <v/>
      </c>
      <c r="GI82" s="44" t="str">
        <f>IF(Table1[Leaving Date]="","",IF(AND(Table1[Leaving Date]&gt;42460,Table1[Leaving Date]&lt;42826),IF(Table1[Date of Last Assessment]="",Table1[Drug and Alcohol Misuse],Table1[Drug and Alcohol Misuse2]),""))</f>
        <v/>
      </c>
      <c r="GJ82" s="44" t="str">
        <f>IF(Table1[Leaving Date]="","",IF(AND(Table1[Leaving Date]&gt;42460,Table1[Leaving Date]&lt;42826),IF(Table1[Date of Last Assessment]="",Table1[Physical Health],Table1[Physical Health2]),""))</f>
        <v/>
      </c>
      <c r="GK82" s="44" t="str">
        <f>IF(Table1[Leaving Date]="","",IF(AND(Table1[Leaving Date]&gt;42460,Table1[Leaving Date]&lt;42826),IF(Table1[Date of Last Assessment]="",Table1[Emotional and Mental Health],Table1[Emotional and Mental Health2]),""))</f>
        <v/>
      </c>
      <c r="GL82" s="44" t="str">
        <f>IF(Table1[Leaving Date]="","",IF(AND(Table1[Leaving Date]&gt;42460,Table1[Leaving Date]&lt;42826),IF(Table1[Date of Last Assessment]="",Table1[Meaningful Use of Time],Table1[Meaningful Use of Time2]),""))</f>
        <v/>
      </c>
      <c r="GM82" s="44" t="str">
        <f>IF(Table1[Leaving Date]="","",IF(AND(Table1[Leaving Date]&gt;42460,Table1[Leaving Date]&lt;42826),IF(Table1[Date of Last Assessment]="",Table1[Managing Tenancy and Accommodation],Table1[Managing Tenancy and Accommodation2]),""))</f>
        <v/>
      </c>
      <c r="GN82" s="44" t="str">
        <f>IF(Table1[Leaving Date]="","",IF(AND(Table1[Leaving Date]&gt;42460,Table1[Leaving Date]&lt;42826),IF(Table1[Date of Last Assessment]="",Table1[Offending],Table1[Offending2]),""))</f>
        <v/>
      </c>
    </row>
    <row r="83" spans="2:196" ht="20.100000000000001" customHeight="1" x14ac:dyDescent="0.2">
      <c r="B83" s="86">
        <f>+'Service Data'!$C$5:$C$5</f>
        <v>0</v>
      </c>
      <c r="C83" s="86"/>
      <c r="D83" s="86"/>
      <c r="E83" s="86"/>
      <c r="F83" s="86"/>
      <c r="G83" s="86"/>
      <c r="H83" s="6"/>
      <c r="I83" s="99" t="str">
        <f ca="1">IF(Table1[[#This Row],[Date of Birth]]="","",SUM(TODAY()-Table1[[#This Row],[Date of Birth]])/365)</f>
        <v/>
      </c>
      <c r="L83" s="86"/>
      <c r="M83" s="77"/>
      <c r="N83" s="86"/>
      <c r="O83" s="86"/>
      <c r="P83" s="91"/>
      <c r="Q83" s="86"/>
      <c r="R83" s="77"/>
      <c r="S83" s="77"/>
      <c r="T83" s="68"/>
      <c r="U83" s="68"/>
      <c r="V83" s="67"/>
      <c r="W83" s="67"/>
      <c r="X83" s="67"/>
      <c r="Y83" s="67"/>
      <c r="Z83" s="67"/>
      <c r="AA83" s="67"/>
      <c r="AB83" s="67"/>
      <c r="AC83" s="67"/>
      <c r="AD83" s="67"/>
      <c r="AE83" s="67"/>
      <c r="AF83" s="67"/>
      <c r="AG83" s="67"/>
      <c r="AH83" s="67"/>
      <c r="AI83" s="67"/>
      <c r="AJ83" s="67"/>
      <c r="AK83" s="67"/>
      <c r="AL83" s="67"/>
      <c r="AM83" s="67"/>
      <c r="AN83" s="77"/>
      <c r="AO83" s="76"/>
      <c r="AP83" s="77"/>
      <c r="AQ83" s="76"/>
      <c r="AR83" s="76"/>
      <c r="AS83" s="76"/>
      <c r="AT83" s="76"/>
      <c r="AU83" s="76"/>
      <c r="AV83" s="77"/>
      <c r="AW83" s="76"/>
      <c r="AX83" s="77"/>
      <c r="AY83" s="76"/>
      <c r="AZ83" s="76"/>
      <c r="BA83" s="76"/>
      <c r="BB83" s="76"/>
      <c r="BC83" s="76"/>
      <c r="BD83" s="77"/>
      <c r="BE83" s="76"/>
      <c r="BF83" s="77"/>
      <c r="BG83" s="76"/>
      <c r="BH83" s="76"/>
      <c r="BI83" s="76"/>
      <c r="BJ83" s="76"/>
      <c r="BK83" s="76"/>
      <c r="BL83" s="77"/>
      <c r="BM83" s="76"/>
      <c r="BN83" s="77"/>
      <c r="BO83" s="76"/>
      <c r="BP83" s="76"/>
      <c r="BQ83" s="76"/>
      <c r="BR83" s="76"/>
      <c r="BS83" s="76"/>
      <c r="BT83" s="77"/>
      <c r="BU83" s="76"/>
      <c r="BV83" s="77"/>
      <c r="BW83" s="76"/>
      <c r="BX83" s="76"/>
      <c r="BY83" s="76"/>
      <c r="BZ83" s="76"/>
      <c r="CA83" s="76"/>
      <c r="CB83" s="77"/>
      <c r="CC83" s="76"/>
      <c r="CD83" s="77"/>
      <c r="CE83" s="76"/>
      <c r="CF83" s="76"/>
      <c r="CG83" s="76"/>
      <c r="CH83" s="76"/>
      <c r="CI83" s="76"/>
      <c r="CJ83" s="77"/>
      <c r="CK83" s="76"/>
      <c r="CL83" s="77"/>
      <c r="CM83" s="76"/>
      <c r="CN83" s="76"/>
      <c r="CO83" s="76"/>
      <c r="CP83" s="76"/>
      <c r="CQ83" s="76"/>
      <c r="CR83" s="78" t="str">
        <f t="shared" si="31"/>
        <v/>
      </c>
      <c r="CS83" s="79" t="str">
        <f t="shared" si="32"/>
        <v/>
      </c>
      <c r="CT83" s="79" t="str">
        <f t="shared" si="33"/>
        <v/>
      </c>
      <c r="CU83" s="79" t="str">
        <f t="shared" si="34"/>
        <v/>
      </c>
      <c r="CV83" s="79" t="str">
        <f t="shared" si="35"/>
        <v/>
      </c>
      <c r="CW83" s="79" t="str">
        <f t="shared" si="36"/>
        <v/>
      </c>
      <c r="CX83" s="79" t="str">
        <f t="shared" si="37"/>
        <v/>
      </c>
      <c r="CY83" s="79" t="str">
        <f t="shared" si="38"/>
        <v/>
      </c>
      <c r="CZ83" s="79" t="str">
        <f t="shared" si="39"/>
        <v/>
      </c>
      <c r="DA83" s="79" t="str">
        <f t="shared" si="40"/>
        <v/>
      </c>
      <c r="DB83" s="79" t="str">
        <f t="shared" si="41"/>
        <v/>
      </c>
      <c r="DC83" s="79" t="str">
        <f t="shared" si="42"/>
        <v/>
      </c>
      <c r="DD83" s="79" t="str">
        <f t="shared" si="43"/>
        <v/>
      </c>
      <c r="DE83" s="79" t="str">
        <f t="shared" si="44"/>
        <v/>
      </c>
      <c r="DF83" s="79" t="str">
        <f t="shared" si="45"/>
        <v/>
      </c>
      <c r="DG83" s="79" t="str">
        <f t="shared" si="46"/>
        <v/>
      </c>
      <c r="DH83" s="76"/>
      <c r="DI83" s="78"/>
      <c r="DJ83" s="76"/>
      <c r="DK83" s="77"/>
      <c r="DL83" s="77"/>
      <c r="DM83" s="77"/>
      <c r="DN83" s="80"/>
      <c r="DO83" s="80"/>
      <c r="DP83" s="92" t="str">
        <f>IF(Table1[Start Date]="","",IF(Table1[Start Date]&gt;42185,"",IF(AND(Table1[Leaving Date]&gt;1,Table1[Leaving Date]&lt;42095),"",1)))</f>
        <v/>
      </c>
      <c r="DQ83" s="92" t="str">
        <f>IF(Table1[Start Date]="","",IF(Table1[Start Date]&gt;42277,"",IF(AND(Table1[Leaving Date]&gt;1,Table1[Leaving Date]&lt;42186),"",1)))</f>
        <v/>
      </c>
      <c r="DR83" s="92" t="str">
        <f>IF(Table1[Start Date]="","",IF(Table1[Start Date]&gt;42369,"",IF(AND(Table1[Leaving Date]&gt;1,Table1[Leaving Date]&lt;42278),"",1)))</f>
        <v/>
      </c>
      <c r="DS83" s="92" t="str">
        <f>IF(Table1[Start Date]="","",IF(Table1[Start Date]&gt;42460,"",IF(AND(Table1[Leaving Date]&gt;1,Table1[Leaving Date]&lt;42370),"",1)))</f>
        <v/>
      </c>
      <c r="DT83" s="92" t="str">
        <f>IF(Table1[Start Date]="","",IF(Table1[Start Date]&gt;42551,"",IF(AND(Table1[Leaving Date]&gt;1,Table1[Leaving Date]&lt;42461),"",1)))</f>
        <v/>
      </c>
      <c r="DU83" s="92" t="str">
        <f>IF(Table1[Start Date]="","",IF(Table1[Start Date]&gt;42643,"",IF(AND(Table1[Leaving Date]&gt;1,Table1[Leaving Date]&lt;42552),"",1)))</f>
        <v/>
      </c>
      <c r="DV83" s="92" t="str">
        <f>IF(Table1[Start Date]="","",IF(Table1[Start Date]&gt;42735,"",IF(AND(Table1[Leaving Date]&gt;1,Table1[Leaving Date]&lt;42644),"",1)))</f>
        <v/>
      </c>
      <c r="DW83" s="92" t="str">
        <f>IF(Table1[Start Date]="","",IF(Table1[Start Date]&gt;42825,"",IF(AND(Table1[Leaving Date]&gt;1,Table1[Leaving Date]&lt;42736),"",1)))</f>
        <v/>
      </c>
      <c r="DX83"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83" s="44" t="e">
        <f>VLOOKUP(Table1[Referral Source],Lists!$G$2:$H$20,2,FALSE)</f>
        <v>#N/A</v>
      </c>
      <c r="DZ83" s="93" t="e">
        <f>SUM(Table1[Data Referral Quarter]+Table1[Data Referral Source])</f>
        <v>#N/A</v>
      </c>
      <c r="EA83" s="44" t="b">
        <f>IF(Table1[Referral Decision]="Accepted",100,IF(Table1[Referral Decision]="Rejected by Provider",200,IF(Table1[Referral Decision]="Rejected by Applicant",300)))</f>
        <v>0</v>
      </c>
      <c r="EB83" s="44">
        <f>SUM(Table1[Data Referral Quarter]+Table1[Data Referral Decision])</f>
        <v>0</v>
      </c>
      <c r="EC83" s="44" t="b">
        <f>IF(Table1[Start Date]&gt;42735,8000,IF(Table1[Start Date]&gt;42643,7000,IF(Table1[Start Date]&gt;42551,6000,IF(Table1[Start Date]&gt;42460,5000,IF(Table1[Start Date]&gt;42369,4000,IF(Table1[Start Date]&gt;42277,3000,IF(Table1[Start Date]&gt;42185,2000,IF(Table1[Start Date]&gt;42094,1000))))))))</f>
        <v>0</v>
      </c>
      <c r="ED83" s="44" t="str">
        <f>IF(Table1[Start Date]="","",IF(Table1[Current Local Authority]="Swindon",1,"2"))</f>
        <v/>
      </c>
      <c r="EE83" s="44" t="e">
        <f>SUM(Table1[Data Start Date]+Table1[Data Local Authority])</f>
        <v>#VALUE!</v>
      </c>
      <c r="EF83" s="44">
        <f>IF(Table1[Registered with GP]="Yes",1,0)</f>
        <v>0</v>
      </c>
      <c r="EG83" s="44">
        <f>SUM(Table1[Data Start Date]+Table1[Data GP Start])</f>
        <v>0</v>
      </c>
      <c r="EH83" s="44" t="str">
        <f>IF(Table1[EET]="NEET",1,IF(Table1[EET]="Education",2,IF(Table1[EET]="Employment",2,IF(Table1[EET]="Training",2,IF(Table1[EET]="Retired",3,"")))))</f>
        <v/>
      </c>
      <c r="EI83" s="44" t="e">
        <f>Table1[Data Start Date]+Table1[Data EET Start]</f>
        <v>#VALUE!</v>
      </c>
      <c r="EJ83" s="44" t="b">
        <f>IF(Table1[Leaving Date]&gt;42735,8000,IF(Table1[Leaving Date]&gt;42643,7000,IF(Table1[Leaving Date]&gt;42551,6000,IF(Table1[Leaving Date]&gt;42460,5000,IF(Table1[Leaving Date]&gt;42369,4000,IF(Table1[Leaving Date]&gt;42277,3000,IF(Table1[Leaving Date]&gt;42185,2000,IF(Table1[Leaving Date]&gt;42094,1000))))))))</f>
        <v>0</v>
      </c>
      <c r="EK83" s="44" t="e">
        <f>VLOOKUP(Table1[Reason for Leaving],Lists!$T$2:$U$15,2,FALSE)</f>
        <v>#N/A</v>
      </c>
      <c r="EL83" s="44" t="e">
        <f>SUM(Table1[Data Leavers Date]+Table1[Data Move On])</f>
        <v>#N/A</v>
      </c>
      <c r="EM83" s="44" t="b">
        <f>IF(Table1[Registered with GP2]="Yes",1,IF(Table1[Registered with GP2]="No",0,IF(Table1[Registered with GP]="Yes",1,IF(Table1[Registered with GP]="No",0))))</f>
        <v>0</v>
      </c>
      <c r="EN83" s="44">
        <f>SUM(Table1[Data Leavers Date]+Table1[Data GP End])</f>
        <v>0</v>
      </c>
      <c r="EO83" s="44" t="str">
        <f>IF(Table1[EET2]="NEET",1,IF(Table1[EET2]="Employment",2,IF(Table1[EET2]="Education",2,IF(Table1[EET2]="Training",2,IF(Table1[EET2]="Retired",3,IF(Table1[EET]="NEET",1,IF(Table1[EET]="Employment",2,IF(Table1[EET]="Education",2,IF(Table1[EET]="Training",2,IF(Table1[EET]="Retired",3,""))))))))))</f>
        <v/>
      </c>
      <c r="EP83" s="44" t="e">
        <f>+Table1[[#This Row],[Data Leavers Date]]+Table1[[#This Row],[Data EET End]]</f>
        <v>#VALUE!</v>
      </c>
      <c r="EQ83" s="44">
        <f>IF(Table1[Exit Form Received]="Yes",1,0)</f>
        <v>0</v>
      </c>
      <c r="ER83" s="44">
        <f>+Table1[[#This Row],[Data Leavers Date]]+Table1[[#This Row],[Data Exit Forms]]</f>
        <v>0</v>
      </c>
      <c r="ES83" s="44" t="str">
        <f>IF(Table1[Data Leavers Date]=1000,SUM(Table1[Leaving Date]-Table1[Start Date]),"")</f>
        <v/>
      </c>
      <c r="ET83" s="44" t="str">
        <f>IF(Table1[Data Leavers Date]=2000,SUM(Table1[Leaving Date]-Table1[Start Date]),"")</f>
        <v/>
      </c>
      <c r="EU83" s="44" t="str">
        <f>IF(Table1[Data Leavers Date]=3000,SUM(Table1[Leaving Date]-Table1[Start Date]),"")</f>
        <v/>
      </c>
      <c r="EV83" s="44" t="str">
        <f>IF(Table1[Data Leavers Date]=4000,SUM(Table1[Leaving Date]-Table1[Start Date]),"")</f>
        <v/>
      </c>
      <c r="EW83" s="44" t="str">
        <f>IF(Table1[Data Leavers Date]=5000,SUM(Table1[Leaving Date]-Table1[Start Date]),"")</f>
        <v/>
      </c>
      <c r="EX83" s="44" t="str">
        <f>IF(Table1[Data Leavers Date]=6000,SUM(Table1[Leaving Date]-Table1[Start Date]),"")</f>
        <v/>
      </c>
      <c r="EY83" s="44" t="str">
        <f>IF(Table1[Data Leavers Date]=7000,SUM(Table1[Leaving Date]-Table1[Start Date]),"")</f>
        <v/>
      </c>
      <c r="EZ83" s="44" t="str">
        <f>IF(Table1[Data Leavers Date]=8000,SUM(Table1[Leaving Date]-Table1[Start Date]),"")</f>
        <v/>
      </c>
      <c r="FA83" s="44" t="str">
        <f>IF(Table1[Date of Initial Assessment]="","",IF(AND(Table1[Start Date]&gt;42094,Table1[Start Date]&lt;42461),Table1[Motivation and Taking Responsibility],""))</f>
        <v/>
      </c>
      <c r="FB83" s="44" t="str">
        <f>IF(Table1[Date of Initial Assessment]="","",IF(AND(Table1[Start Date]&gt;42094,Table1[Start Date]&lt;42461),Table1[Self-Care and Living Skills],""))</f>
        <v/>
      </c>
      <c r="FC83" s="44" t="str">
        <f>IF(Table1[Date of Initial Assessment]="","",IF(AND(Table1[Start Date]&gt;42094,Table1[Start Date]&lt;42461),Table1[Managing Money and Personal Administration],""))</f>
        <v/>
      </c>
      <c r="FD83" s="44" t="str">
        <f>IF(Table1[Date of Initial Assessment]="","",IF(AND(Table1[Start Date]&gt;42094,Table1[Start Date]&lt;42461),Table1[Social Networks and Relationships],""))</f>
        <v/>
      </c>
      <c r="FE83" s="44" t="str">
        <f>IF(Table1[Date of Initial Assessment]="","",IF(AND(Table1[Start Date]&gt;42094,Table1[Start Date]&lt;42461),Table1[Drug and Alcohol Misuse],""))</f>
        <v/>
      </c>
      <c r="FF83" s="44" t="str">
        <f>IF(Table1[Date of Initial Assessment]="","",IF(AND(Table1[Start Date]&gt;42094,Table1[Start Date]&lt;42461),Table1[Physical Health],""))</f>
        <v/>
      </c>
      <c r="FG83" s="44" t="str">
        <f>IF(Table1[Date of Initial Assessment]="","",IF(AND(Table1[Start Date]&gt;42094,Table1[Start Date]&lt;42461),Table1[Emotional and Mental Health],""))</f>
        <v/>
      </c>
      <c r="FH83" s="44" t="str">
        <f>IF(Table1[Date of Initial Assessment]="","",IF(AND(Table1[Start Date]&gt;42094,Table1[Start Date]&lt;42461),Table1[Meaningful Use of Time],""))</f>
        <v/>
      </c>
      <c r="FI83" s="44" t="str">
        <f>IF(Table1[Date of Initial Assessment]="","",IF(AND(Table1[Start Date]&gt;42094,Table1[Start Date]&lt;42461),Table1[Managing Tenancy and Accommodation],""))</f>
        <v/>
      </c>
      <c r="FJ83" s="44" t="str">
        <f>IF(Table1[Date of Initial Assessment]="","",IF(AND(Table1[Start Date]&gt;42094,Table1[Start Date]&lt;42461),Table1[Offending],""))</f>
        <v/>
      </c>
      <c r="FK83" s="44" t="str">
        <f>IF(Table1[Leaving Date]="","",IF(Table1[Date of Initial Assessment]="","",IF(AND(Table1[Leaving Date]&gt;42094,Table1[Leaving Date]&lt;42461),IF(Table1[Date of Last Assessment]="",Table1[Motivation and Taking Responsibility],Table1[Motivation and Taking Responsibility2]),"")))</f>
        <v/>
      </c>
      <c r="FL83" s="44" t="str">
        <f>IF(Table1[Leaving Date]="","",IF(Table1[Date of Initial Assessment]="","",IF(AND(Table1[Leaving Date]&gt;42094,Table1[Leaving Date]&lt;42461),IF(Table1[Date of Last Assessment]="",Table1[Self-Care and Living Skills],Table1[Self-Care and Living Skills2]),"")))</f>
        <v/>
      </c>
      <c r="FM83" s="44" t="str">
        <f>IF(Table1[Leaving Date]="","",IF(Table1[Date of Initial Assessment]="","",IF(AND(Table1[Leaving Date]&gt;42094,Table1[Leaving Date]&lt;42461),IF(Table1[Date of Last Assessment]="",Table1[Managing Money and Personal Administration],Table1[Managing Money and Personal Administration2]),"")))</f>
        <v/>
      </c>
      <c r="FN83" s="44" t="str">
        <f>IF(Table1[Leaving Date]="","",IF(Table1[Date of Initial Assessment]="","",IF(AND(Table1[Leaving Date]&gt;42094,Table1[Leaving Date]&lt;42461),IF(Table1[Date of Last Assessment]="",Table1[Social Networks and Relationships],Table1[Social Networks and Relationships2]),"")))</f>
        <v/>
      </c>
      <c r="FO83" s="44" t="str">
        <f>IF(Table1[Leaving Date]="","",IF(Table1[Date of Initial Assessment]="","",IF(AND(Table1[Leaving Date]&gt;42094,Table1[Leaving Date]&lt;42461),IF(Table1[Date of Last Assessment]="",Table1[Drug and Alcohol Misuse],Table1[Drug and Alcohol Misuse2]),"")))</f>
        <v/>
      </c>
      <c r="FP83" s="44" t="str">
        <f>IF(Table1[Leaving Date]="","",IF(Table1[Date of Initial Assessment]="","",IF(AND(Table1[Leaving Date]&gt;42094,Table1[Leaving Date]&lt;42461),IF(Table1[Date of Last Assessment]="",Table1[Physical Health],Table1[Physical Health2]),"")))</f>
        <v/>
      </c>
      <c r="FQ83" s="44" t="str">
        <f>IF(Table1[Leaving Date]="","",IF(Table1[Date of Initial Assessment]="","",IF(AND(Table1[Leaving Date]&gt;42094,Table1[Leaving Date]&lt;42461),IF(Table1[Date of Last Assessment]="",Table1[Emotional and Mental Health],Table1[Emotional and Mental Health2]),"")))</f>
        <v/>
      </c>
      <c r="FR83" s="44" t="str">
        <f>IF(Table1[Leaving Date]="","",IF(Table1[Date of Initial Assessment]="","",IF(AND(Table1[Leaving Date]&gt;42094,Table1[Leaving Date]&lt;42461),IF(Table1[Date of Last Assessment]="",Table1[Meaningful Use of Time],Table1[Meaningful Use of Time2]),"")))</f>
        <v/>
      </c>
      <c r="FS83" s="44" t="str">
        <f>IF(Table1[Leaving Date]="","",IF(Table1[Date of Initial Assessment]="","",IF(AND(Table1[Leaving Date]&gt;42094,Table1[Leaving Date]&lt;42461),IF(Table1[Date of Last Assessment]="",Table1[Managing Tenancy and Accommodation],Table1[Managing Tenancy and Accommodation2]),"")))</f>
        <v/>
      </c>
      <c r="FT83" s="44" t="str">
        <f>IF(Table1[Leaving Date]="","",IF(Table1[Date of Initial Assessment]="","",IF(AND(Table1[Leaving Date]&gt;42094,Table1[Leaving Date]&lt;42461),IF(Table1[Date of Last Assessment]="",Table1[Offending],Table1[Offending2]),"")))</f>
        <v/>
      </c>
      <c r="FU83" s="44" t="str">
        <f>IF(Table1[Date of Initial Assessment]="","",IF(AND(Table1[Start Date]&gt;42460,Table1[Start Date]&lt;42826),Table1[Motivation and Taking Responsibility],""))</f>
        <v/>
      </c>
      <c r="FV83" s="44" t="str">
        <f>IF(Table1[Date of Initial Assessment]="","",IF(AND(Table1[Start Date]&gt;42460,Table1[Start Date]&lt;42826),Table1[Self-Care and Living Skills],""))</f>
        <v/>
      </c>
      <c r="FW83" s="44" t="str">
        <f>IF(Table1[Date of Initial Assessment]="","",IF(AND(Table1[Start Date]&gt;42460,Table1[Start Date]&lt;42826),Table1[Managing Money and Personal Administration],""))</f>
        <v/>
      </c>
      <c r="FX83" s="44" t="str">
        <f>IF(Table1[Date of Initial Assessment]="","",IF(AND(Table1[Start Date]&gt;42460,Table1[Start Date]&lt;42826),Table1[Social Networks and Relationships],""))</f>
        <v/>
      </c>
      <c r="FY83" s="44" t="str">
        <f>IF(Table1[Date of Initial Assessment]="","",IF(AND(Table1[Start Date]&gt;42460,Table1[Start Date]&lt;42826),Table1[Drug and Alcohol Misuse],""))</f>
        <v/>
      </c>
      <c r="FZ83" s="44" t="str">
        <f>IF(Table1[Date of Initial Assessment]="","",IF(AND(Table1[Start Date]&gt;42460,Table1[Start Date]&lt;42826),Table1[Physical Health],""))</f>
        <v/>
      </c>
      <c r="GA83" s="44" t="str">
        <f>IF(Table1[Date of Initial Assessment]="","",IF(AND(Table1[Start Date]&gt;42460,Table1[Start Date]&lt;42826),Table1[Emotional and Mental Health],""))</f>
        <v/>
      </c>
      <c r="GB83" s="44" t="str">
        <f>IF(Table1[Date of Initial Assessment]="","",IF(AND(Table1[Start Date]&gt;42460,Table1[Start Date]&lt;42826),Table1[Meaningful Use of Time],""))</f>
        <v/>
      </c>
      <c r="GC83" s="44" t="str">
        <f>IF(Table1[Date of Initial Assessment]="","",IF(AND(Table1[Start Date]&gt;42460,Table1[Start Date]&lt;42826),Table1[Managing Tenancy and Accommodation],""))</f>
        <v/>
      </c>
      <c r="GD83" s="44" t="str">
        <f>IF(Table1[Date of Initial Assessment]="","",IF(AND(Table1[Start Date]&gt;42460,Table1[Start Date]&lt;42826),Table1[Offending],""))</f>
        <v/>
      </c>
      <c r="GE83" s="44" t="str">
        <f>IF(Table1[Leaving Date]="","",IF(AND(Table1[Leaving Date]&gt;42460,Table1[Leaving Date]&lt;42826),IF(Table1[Date of Last Assessment]="",Table1[Motivation and Taking Responsibility],Table1[Motivation and Taking Responsibility2]),""))</f>
        <v/>
      </c>
      <c r="GF83" s="44" t="str">
        <f>IF(Table1[Leaving Date]="","",IF(AND(Table1[Leaving Date]&gt;42460,Table1[Leaving Date]&lt;42826),IF(Table1[Date of Last Assessment]="",Table1[Self-Care and Living Skills],Table1[Self-Care and Living Skills2]),""))</f>
        <v/>
      </c>
      <c r="GG83" s="44" t="str">
        <f>IF(Table1[Leaving Date]="","",IF(AND(Table1[Leaving Date]&gt;42460,Table1[Leaving Date]&lt;42826),IF(Table1[Date of Last Assessment]="",Table1[Managing Money and Personal Administration],Table1[Managing Money and Personal Administration2]),""))</f>
        <v/>
      </c>
      <c r="GH83" s="44" t="str">
        <f>IF(Table1[Leaving Date]="","",IF(AND(Table1[Leaving Date]&gt;42460,Table1[Leaving Date]&lt;42826),IF(Table1[Date of Last Assessment]="",Table1[Social Networks and Relationships],Table1[Social Networks and Relationships2]),""))</f>
        <v/>
      </c>
      <c r="GI83" s="44" t="str">
        <f>IF(Table1[Leaving Date]="","",IF(AND(Table1[Leaving Date]&gt;42460,Table1[Leaving Date]&lt;42826),IF(Table1[Date of Last Assessment]="",Table1[Drug and Alcohol Misuse],Table1[Drug and Alcohol Misuse2]),""))</f>
        <v/>
      </c>
      <c r="GJ83" s="44" t="str">
        <f>IF(Table1[Leaving Date]="","",IF(AND(Table1[Leaving Date]&gt;42460,Table1[Leaving Date]&lt;42826),IF(Table1[Date of Last Assessment]="",Table1[Physical Health],Table1[Physical Health2]),""))</f>
        <v/>
      </c>
      <c r="GK83" s="44" t="str">
        <f>IF(Table1[Leaving Date]="","",IF(AND(Table1[Leaving Date]&gt;42460,Table1[Leaving Date]&lt;42826),IF(Table1[Date of Last Assessment]="",Table1[Emotional and Mental Health],Table1[Emotional and Mental Health2]),""))</f>
        <v/>
      </c>
      <c r="GL83" s="44" t="str">
        <f>IF(Table1[Leaving Date]="","",IF(AND(Table1[Leaving Date]&gt;42460,Table1[Leaving Date]&lt;42826),IF(Table1[Date of Last Assessment]="",Table1[Meaningful Use of Time],Table1[Meaningful Use of Time2]),""))</f>
        <v/>
      </c>
      <c r="GM83" s="44" t="str">
        <f>IF(Table1[Leaving Date]="","",IF(AND(Table1[Leaving Date]&gt;42460,Table1[Leaving Date]&lt;42826),IF(Table1[Date of Last Assessment]="",Table1[Managing Tenancy and Accommodation],Table1[Managing Tenancy and Accommodation2]),""))</f>
        <v/>
      </c>
      <c r="GN83" s="44" t="str">
        <f>IF(Table1[Leaving Date]="","",IF(AND(Table1[Leaving Date]&gt;42460,Table1[Leaving Date]&lt;42826),IF(Table1[Date of Last Assessment]="",Table1[Offending],Table1[Offending2]),""))</f>
        <v/>
      </c>
    </row>
    <row r="84" spans="2:196" ht="20.100000000000001" customHeight="1" x14ac:dyDescent="0.2">
      <c r="B84" s="86">
        <f>+'Service Data'!$C$5:$C$5</f>
        <v>0</v>
      </c>
      <c r="C84" s="86"/>
      <c r="D84" s="86"/>
      <c r="E84" s="86"/>
      <c r="F84" s="86"/>
      <c r="G84" s="86"/>
      <c r="H84" s="6"/>
      <c r="I84" s="99" t="str">
        <f ca="1">IF(Table1[[#This Row],[Date of Birth]]="","",SUM(TODAY()-Table1[[#This Row],[Date of Birth]])/365)</f>
        <v/>
      </c>
      <c r="L84" s="86"/>
      <c r="M84" s="77"/>
      <c r="N84" s="86"/>
      <c r="O84" s="86"/>
      <c r="P84" s="91"/>
      <c r="Q84" s="86"/>
      <c r="R84" s="77"/>
      <c r="S84" s="77"/>
      <c r="T84" s="68"/>
      <c r="U84" s="68"/>
      <c r="V84" s="67"/>
      <c r="W84" s="67"/>
      <c r="X84" s="67"/>
      <c r="Y84" s="67"/>
      <c r="Z84" s="67"/>
      <c r="AA84" s="67"/>
      <c r="AB84" s="67"/>
      <c r="AC84" s="67"/>
      <c r="AD84" s="67"/>
      <c r="AE84" s="67"/>
      <c r="AF84" s="67"/>
      <c r="AG84" s="67"/>
      <c r="AH84" s="67"/>
      <c r="AI84" s="67"/>
      <c r="AJ84" s="67"/>
      <c r="AK84" s="67"/>
      <c r="AL84" s="67"/>
      <c r="AM84" s="67"/>
      <c r="AN84" s="77"/>
      <c r="AO84" s="76"/>
      <c r="AP84" s="77"/>
      <c r="AQ84" s="76"/>
      <c r="AR84" s="76"/>
      <c r="AS84" s="76"/>
      <c r="AT84" s="76"/>
      <c r="AU84" s="76"/>
      <c r="AV84" s="77"/>
      <c r="AW84" s="76"/>
      <c r="AX84" s="77"/>
      <c r="AY84" s="76"/>
      <c r="AZ84" s="76"/>
      <c r="BA84" s="76"/>
      <c r="BB84" s="76"/>
      <c r="BC84" s="76"/>
      <c r="BD84" s="77"/>
      <c r="BE84" s="76"/>
      <c r="BF84" s="77"/>
      <c r="BG84" s="76"/>
      <c r="BH84" s="76"/>
      <c r="BI84" s="76"/>
      <c r="BJ84" s="76"/>
      <c r="BK84" s="76"/>
      <c r="BL84" s="77"/>
      <c r="BM84" s="76"/>
      <c r="BN84" s="77"/>
      <c r="BO84" s="76"/>
      <c r="BP84" s="76"/>
      <c r="BQ84" s="76"/>
      <c r="BR84" s="76"/>
      <c r="BS84" s="76"/>
      <c r="BT84" s="77"/>
      <c r="BU84" s="76"/>
      <c r="BV84" s="77"/>
      <c r="BW84" s="76"/>
      <c r="BX84" s="76"/>
      <c r="BY84" s="76"/>
      <c r="BZ84" s="76"/>
      <c r="CA84" s="76"/>
      <c r="CB84" s="77"/>
      <c r="CC84" s="76"/>
      <c r="CD84" s="77"/>
      <c r="CE84" s="76"/>
      <c r="CF84" s="76"/>
      <c r="CG84" s="76"/>
      <c r="CH84" s="76"/>
      <c r="CI84" s="76"/>
      <c r="CJ84" s="77"/>
      <c r="CK84" s="76"/>
      <c r="CL84" s="77"/>
      <c r="CM84" s="76"/>
      <c r="CN84" s="76"/>
      <c r="CO84" s="76"/>
      <c r="CP84" s="76"/>
      <c r="CQ84" s="76"/>
      <c r="CR84" s="78" t="str">
        <f t="shared" si="31"/>
        <v/>
      </c>
      <c r="CS84" s="79" t="str">
        <f t="shared" si="32"/>
        <v/>
      </c>
      <c r="CT84" s="79" t="str">
        <f t="shared" si="33"/>
        <v/>
      </c>
      <c r="CU84" s="79" t="str">
        <f t="shared" si="34"/>
        <v/>
      </c>
      <c r="CV84" s="79" t="str">
        <f t="shared" si="35"/>
        <v/>
      </c>
      <c r="CW84" s="79" t="str">
        <f t="shared" si="36"/>
        <v/>
      </c>
      <c r="CX84" s="79" t="str">
        <f t="shared" si="37"/>
        <v/>
      </c>
      <c r="CY84" s="79" t="str">
        <f t="shared" si="38"/>
        <v/>
      </c>
      <c r="CZ84" s="79" t="str">
        <f t="shared" si="39"/>
        <v/>
      </c>
      <c r="DA84" s="79" t="str">
        <f t="shared" si="40"/>
        <v/>
      </c>
      <c r="DB84" s="79" t="str">
        <f t="shared" si="41"/>
        <v/>
      </c>
      <c r="DC84" s="79" t="str">
        <f t="shared" si="42"/>
        <v/>
      </c>
      <c r="DD84" s="79" t="str">
        <f t="shared" si="43"/>
        <v/>
      </c>
      <c r="DE84" s="79" t="str">
        <f t="shared" si="44"/>
        <v/>
      </c>
      <c r="DF84" s="79" t="str">
        <f t="shared" si="45"/>
        <v/>
      </c>
      <c r="DG84" s="79" t="str">
        <f t="shared" si="46"/>
        <v/>
      </c>
      <c r="DH84" s="76"/>
      <c r="DI84" s="78"/>
      <c r="DJ84" s="76"/>
      <c r="DK84" s="77"/>
      <c r="DL84" s="77"/>
      <c r="DM84" s="77"/>
      <c r="DN84" s="80"/>
      <c r="DO84" s="80"/>
      <c r="DP84" s="92" t="str">
        <f>IF(Table1[Start Date]="","",IF(Table1[Start Date]&gt;42185,"",IF(AND(Table1[Leaving Date]&gt;1,Table1[Leaving Date]&lt;42095),"",1)))</f>
        <v/>
      </c>
      <c r="DQ84" s="92" t="str">
        <f>IF(Table1[Start Date]="","",IF(Table1[Start Date]&gt;42277,"",IF(AND(Table1[Leaving Date]&gt;1,Table1[Leaving Date]&lt;42186),"",1)))</f>
        <v/>
      </c>
      <c r="DR84" s="92" t="str">
        <f>IF(Table1[Start Date]="","",IF(Table1[Start Date]&gt;42369,"",IF(AND(Table1[Leaving Date]&gt;1,Table1[Leaving Date]&lt;42278),"",1)))</f>
        <v/>
      </c>
      <c r="DS84" s="92" t="str">
        <f>IF(Table1[Start Date]="","",IF(Table1[Start Date]&gt;42460,"",IF(AND(Table1[Leaving Date]&gt;1,Table1[Leaving Date]&lt;42370),"",1)))</f>
        <v/>
      </c>
      <c r="DT84" s="92" t="str">
        <f>IF(Table1[Start Date]="","",IF(Table1[Start Date]&gt;42551,"",IF(AND(Table1[Leaving Date]&gt;1,Table1[Leaving Date]&lt;42461),"",1)))</f>
        <v/>
      </c>
      <c r="DU84" s="92" t="str">
        <f>IF(Table1[Start Date]="","",IF(Table1[Start Date]&gt;42643,"",IF(AND(Table1[Leaving Date]&gt;1,Table1[Leaving Date]&lt;42552),"",1)))</f>
        <v/>
      </c>
      <c r="DV84" s="92" t="str">
        <f>IF(Table1[Start Date]="","",IF(Table1[Start Date]&gt;42735,"",IF(AND(Table1[Leaving Date]&gt;1,Table1[Leaving Date]&lt;42644),"",1)))</f>
        <v/>
      </c>
      <c r="DW84" s="92" t="str">
        <f>IF(Table1[Start Date]="","",IF(Table1[Start Date]&gt;42825,"",IF(AND(Table1[Leaving Date]&gt;1,Table1[Leaving Date]&lt;42736),"",1)))</f>
        <v/>
      </c>
      <c r="DX84"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84" s="44" t="e">
        <f>VLOOKUP(Table1[Referral Source],Lists!$G$2:$H$20,2,FALSE)</f>
        <v>#N/A</v>
      </c>
      <c r="DZ84" s="93" t="e">
        <f>SUM(Table1[Data Referral Quarter]+Table1[Data Referral Source])</f>
        <v>#N/A</v>
      </c>
      <c r="EA84" s="44" t="b">
        <f>IF(Table1[Referral Decision]="Accepted",100,IF(Table1[Referral Decision]="Rejected by Provider",200,IF(Table1[Referral Decision]="Rejected by Applicant",300)))</f>
        <v>0</v>
      </c>
      <c r="EB84" s="44">
        <f>SUM(Table1[Data Referral Quarter]+Table1[Data Referral Decision])</f>
        <v>0</v>
      </c>
      <c r="EC84" s="44" t="b">
        <f>IF(Table1[Start Date]&gt;42735,8000,IF(Table1[Start Date]&gt;42643,7000,IF(Table1[Start Date]&gt;42551,6000,IF(Table1[Start Date]&gt;42460,5000,IF(Table1[Start Date]&gt;42369,4000,IF(Table1[Start Date]&gt;42277,3000,IF(Table1[Start Date]&gt;42185,2000,IF(Table1[Start Date]&gt;42094,1000))))))))</f>
        <v>0</v>
      </c>
      <c r="ED84" s="44" t="str">
        <f>IF(Table1[Start Date]="","",IF(Table1[Current Local Authority]="Swindon",1,"2"))</f>
        <v/>
      </c>
      <c r="EE84" s="44" t="e">
        <f>SUM(Table1[Data Start Date]+Table1[Data Local Authority])</f>
        <v>#VALUE!</v>
      </c>
      <c r="EF84" s="44">
        <f>IF(Table1[Registered with GP]="Yes",1,0)</f>
        <v>0</v>
      </c>
      <c r="EG84" s="44">
        <f>SUM(Table1[Data Start Date]+Table1[Data GP Start])</f>
        <v>0</v>
      </c>
      <c r="EH84" s="44" t="str">
        <f>IF(Table1[EET]="NEET",1,IF(Table1[EET]="Education",2,IF(Table1[EET]="Employment",2,IF(Table1[EET]="Training",2,IF(Table1[EET]="Retired",3,"")))))</f>
        <v/>
      </c>
      <c r="EI84" s="44" t="e">
        <f>Table1[Data Start Date]+Table1[Data EET Start]</f>
        <v>#VALUE!</v>
      </c>
      <c r="EJ84" s="44" t="b">
        <f>IF(Table1[Leaving Date]&gt;42735,8000,IF(Table1[Leaving Date]&gt;42643,7000,IF(Table1[Leaving Date]&gt;42551,6000,IF(Table1[Leaving Date]&gt;42460,5000,IF(Table1[Leaving Date]&gt;42369,4000,IF(Table1[Leaving Date]&gt;42277,3000,IF(Table1[Leaving Date]&gt;42185,2000,IF(Table1[Leaving Date]&gt;42094,1000))))))))</f>
        <v>0</v>
      </c>
      <c r="EK84" s="44" t="e">
        <f>VLOOKUP(Table1[Reason for Leaving],Lists!$T$2:$U$15,2,FALSE)</f>
        <v>#N/A</v>
      </c>
      <c r="EL84" s="44" t="e">
        <f>SUM(Table1[Data Leavers Date]+Table1[Data Move On])</f>
        <v>#N/A</v>
      </c>
      <c r="EM84" s="44" t="b">
        <f>IF(Table1[Registered with GP2]="Yes",1,IF(Table1[Registered with GP2]="No",0,IF(Table1[Registered with GP]="Yes",1,IF(Table1[Registered with GP]="No",0))))</f>
        <v>0</v>
      </c>
      <c r="EN84" s="44">
        <f>SUM(Table1[Data Leavers Date]+Table1[Data GP End])</f>
        <v>0</v>
      </c>
      <c r="EO84" s="44" t="str">
        <f>IF(Table1[EET2]="NEET",1,IF(Table1[EET2]="Employment",2,IF(Table1[EET2]="Education",2,IF(Table1[EET2]="Training",2,IF(Table1[EET2]="Retired",3,IF(Table1[EET]="NEET",1,IF(Table1[EET]="Employment",2,IF(Table1[EET]="Education",2,IF(Table1[EET]="Training",2,IF(Table1[EET]="Retired",3,""))))))))))</f>
        <v/>
      </c>
      <c r="EP84" s="44" t="e">
        <f>+Table1[[#This Row],[Data Leavers Date]]+Table1[[#This Row],[Data EET End]]</f>
        <v>#VALUE!</v>
      </c>
      <c r="EQ84" s="44">
        <f>IF(Table1[Exit Form Received]="Yes",1,0)</f>
        <v>0</v>
      </c>
      <c r="ER84" s="44">
        <f>+Table1[[#This Row],[Data Leavers Date]]+Table1[[#This Row],[Data Exit Forms]]</f>
        <v>0</v>
      </c>
      <c r="ES84" s="44" t="str">
        <f>IF(Table1[Data Leavers Date]=1000,SUM(Table1[Leaving Date]-Table1[Start Date]),"")</f>
        <v/>
      </c>
      <c r="ET84" s="44" t="str">
        <f>IF(Table1[Data Leavers Date]=2000,SUM(Table1[Leaving Date]-Table1[Start Date]),"")</f>
        <v/>
      </c>
      <c r="EU84" s="44" t="str">
        <f>IF(Table1[Data Leavers Date]=3000,SUM(Table1[Leaving Date]-Table1[Start Date]),"")</f>
        <v/>
      </c>
      <c r="EV84" s="44" t="str">
        <f>IF(Table1[Data Leavers Date]=4000,SUM(Table1[Leaving Date]-Table1[Start Date]),"")</f>
        <v/>
      </c>
      <c r="EW84" s="44" t="str">
        <f>IF(Table1[Data Leavers Date]=5000,SUM(Table1[Leaving Date]-Table1[Start Date]),"")</f>
        <v/>
      </c>
      <c r="EX84" s="44" t="str">
        <f>IF(Table1[Data Leavers Date]=6000,SUM(Table1[Leaving Date]-Table1[Start Date]),"")</f>
        <v/>
      </c>
      <c r="EY84" s="44" t="str">
        <f>IF(Table1[Data Leavers Date]=7000,SUM(Table1[Leaving Date]-Table1[Start Date]),"")</f>
        <v/>
      </c>
      <c r="EZ84" s="44" t="str">
        <f>IF(Table1[Data Leavers Date]=8000,SUM(Table1[Leaving Date]-Table1[Start Date]),"")</f>
        <v/>
      </c>
      <c r="FA84" s="44" t="str">
        <f>IF(Table1[Date of Initial Assessment]="","",IF(AND(Table1[Start Date]&gt;42094,Table1[Start Date]&lt;42461),Table1[Motivation and Taking Responsibility],""))</f>
        <v/>
      </c>
      <c r="FB84" s="44" t="str">
        <f>IF(Table1[Date of Initial Assessment]="","",IF(AND(Table1[Start Date]&gt;42094,Table1[Start Date]&lt;42461),Table1[Self-Care and Living Skills],""))</f>
        <v/>
      </c>
      <c r="FC84" s="44" t="str">
        <f>IF(Table1[Date of Initial Assessment]="","",IF(AND(Table1[Start Date]&gt;42094,Table1[Start Date]&lt;42461),Table1[Managing Money and Personal Administration],""))</f>
        <v/>
      </c>
      <c r="FD84" s="44" t="str">
        <f>IF(Table1[Date of Initial Assessment]="","",IF(AND(Table1[Start Date]&gt;42094,Table1[Start Date]&lt;42461),Table1[Social Networks and Relationships],""))</f>
        <v/>
      </c>
      <c r="FE84" s="44" t="str">
        <f>IF(Table1[Date of Initial Assessment]="","",IF(AND(Table1[Start Date]&gt;42094,Table1[Start Date]&lt;42461),Table1[Drug and Alcohol Misuse],""))</f>
        <v/>
      </c>
      <c r="FF84" s="44" t="str">
        <f>IF(Table1[Date of Initial Assessment]="","",IF(AND(Table1[Start Date]&gt;42094,Table1[Start Date]&lt;42461),Table1[Physical Health],""))</f>
        <v/>
      </c>
      <c r="FG84" s="44" t="str">
        <f>IF(Table1[Date of Initial Assessment]="","",IF(AND(Table1[Start Date]&gt;42094,Table1[Start Date]&lt;42461),Table1[Emotional and Mental Health],""))</f>
        <v/>
      </c>
      <c r="FH84" s="44" t="str">
        <f>IF(Table1[Date of Initial Assessment]="","",IF(AND(Table1[Start Date]&gt;42094,Table1[Start Date]&lt;42461),Table1[Meaningful Use of Time],""))</f>
        <v/>
      </c>
      <c r="FI84" s="44" t="str">
        <f>IF(Table1[Date of Initial Assessment]="","",IF(AND(Table1[Start Date]&gt;42094,Table1[Start Date]&lt;42461),Table1[Managing Tenancy and Accommodation],""))</f>
        <v/>
      </c>
      <c r="FJ84" s="44" t="str">
        <f>IF(Table1[Date of Initial Assessment]="","",IF(AND(Table1[Start Date]&gt;42094,Table1[Start Date]&lt;42461),Table1[Offending],""))</f>
        <v/>
      </c>
      <c r="FK84" s="44" t="str">
        <f>IF(Table1[Leaving Date]="","",IF(Table1[Date of Initial Assessment]="","",IF(AND(Table1[Leaving Date]&gt;42094,Table1[Leaving Date]&lt;42461),IF(Table1[Date of Last Assessment]="",Table1[Motivation and Taking Responsibility],Table1[Motivation and Taking Responsibility2]),"")))</f>
        <v/>
      </c>
      <c r="FL84" s="44" t="str">
        <f>IF(Table1[Leaving Date]="","",IF(Table1[Date of Initial Assessment]="","",IF(AND(Table1[Leaving Date]&gt;42094,Table1[Leaving Date]&lt;42461),IF(Table1[Date of Last Assessment]="",Table1[Self-Care and Living Skills],Table1[Self-Care and Living Skills2]),"")))</f>
        <v/>
      </c>
      <c r="FM84" s="44" t="str">
        <f>IF(Table1[Leaving Date]="","",IF(Table1[Date of Initial Assessment]="","",IF(AND(Table1[Leaving Date]&gt;42094,Table1[Leaving Date]&lt;42461),IF(Table1[Date of Last Assessment]="",Table1[Managing Money and Personal Administration],Table1[Managing Money and Personal Administration2]),"")))</f>
        <v/>
      </c>
      <c r="FN84" s="44" t="str">
        <f>IF(Table1[Leaving Date]="","",IF(Table1[Date of Initial Assessment]="","",IF(AND(Table1[Leaving Date]&gt;42094,Table1[Leaving Date]&lt;42461),IF(Table1[Date of Last Assessment]="",Table1[Social Networks and Relationships],Table1[Social Networks and Relationships2]),"")))</f>
        <v/>
      </c>
      <c r="FO84" s="44" t="str">
        <f>IF(Table1[Leaving Date]="","",IF(Table1[Date of Initial Assessment]="","",IF(AND(Table1[Leaving Date]&gt;42094,Table1[Leaving Date]&lt;42461),IF(Table1[Date of Last Assessment]="",Table1[Drug and Alcohol Misuse],Table1[Drug and Alcohol Misuse2]),"")))</f>
        <v/>
      </c>
      <c r="FP84" s="44" t="str">
        <f>IF(Table1[Leaving Date]="","",IF(Table1[Date of Initial Assessment]="","",IF(AND(Table1[Leaving Date]&gt;42094,Table1[Leaving Date]&lt;42461),IF(Table1[Date of Last Assessment]="",Table1[Physical Health],Table1[Physical Health2]),"")))</f>
        <v/>
      </c>
      <c r="FQ84" s="44" t="str">
        <f>IF(Table1[Leaving Date]="","",IF(Table1[Date of Initial Assessment]="","",IF(AND(Table1[Leaving Date]&gt;42094,Table1[Leaving Date]&lt;42461),IF(Table1[Date of Last Assessment]="",Table1[Emotional and Mental Health],Table1[Emotional and Mental Health2]),"")))</f>
        <v/>
      </c>
      <c r="FR84" s="44" t="str">
        <f>IF(Table1[Leaving Date]="","",IF(Table1[Date of Initial Assessment]="","",IF(AND(Table1[Leaving Date]&gt;42094,Table1[Leaving Date]&lt;42461),IF(Table1[Date of Last Assessment]="",Table1[Meaningful Use of Time],Table1[Meaningful Use of Time2]),"")))</f>
        <v/>
      </c>
      <c r="FS84" s="44" t="str">
        <f>IF(Table1[Leaving Date]="","",IF(Table1[Date of Initial Assessment]="","",IF(AND(Table1[Leaving Date]&gt;42094,Table1[Leaving Date]&lt;42461),IF(Table1[Date of Last Assessment]="",Table1[Managing Tenancy and Accommodation],Table1[Managing Tenancy and Accommodation2]),"")))</f>
        <v/>
      </c>
      <c r="FT84" s="44" t="str">
        <f>IF(Table1[Leaving Date]="","",IF(Table1[Date of Initial Assessment]="","",IF(AND(Table1[Leaving Date]&gt;42094,Table1[Leaving Date]&lt;42461),IF(Table1[Date of Last Assessment]="",Table1[Offending],Table1[Offending2]),"")))</f>
        <v/>
      </c>
      <c r="FU84" s="44" t="str">
        <f>IF(Table1[Date of Initial Assessment]="","",IF(AND(Table1[Start Date]&gt;42460,Table1[Start Date]&lt;42826),Table1[Motivation and Taking Responsibility],""))</f>
        <v/>
      </c>
      <c r="FV84" s="44" t="str">
        <f>IF(Table1[Date of Initial Assessment]="","",IF(AND(Table1[Start Date]&gt;42460,Table1[Start Date]&lt;42826),Table1[Self-Care and Living Skills],""))</f>
        <v/>
      </c>
      <c r="FW84" s="44" t="str">
        <f>IF(Table1[Date of Initial Assessment]="","",IF(AND(Table1[Start Date]&gt;42460,Table1[Start Date]&lt;42826),Table1[Managing Money and Personal Administration],""))</f>
        <v/>
      </c>
      <c r="FX84" s="44" t="str">
        <f>IF(Table1[Date of Initial Assessment]="","",IF(AND(Table1[Start Date]&gt;42460,Table1[Start Date]&lt;42826),Table1[Social Networks and Relationships],""))</f>
        <v/>
      </c>
      <c r="FY84" s="44" t="str">
        <f>IF(Table1[Date of Initial Assessment]="","",IF(AND(Table1[Start Date]&gt;42460,Table1[Start Date]&lt;42826),Table1[Drug and Alcohol Misuse],""))</f>
        <v/>
      </c>
      <c r="FZ84" s="44" t="str">
        <f>IF(Table1[Date of Initial Assessment]="","",IF(AND(Table1[Start Date]&gt;42460,Table1[Start Date]&lt;42826),Table1[Physical Health],""))</f>
        <v/>
      </c>
      <c r="GA84" s="44" t="str">
        <f>IF(Table1[Date of Initial Assessment]="","",IF(AND(Table1[Start Date]&gt;42460,Table1[Start Date]&lt;42826),Table1[Emotional and Mental Health],""))</f>
        <v/>
      </c>
      <c r="GB84" s="44" t="str">
        <f>IF(Table1[Date of Initial Assessment]="","",IF(AND(Table1[Start Date]&gt;42460,Table1[Start Date]&lt;42826),Table1[Meaningful Use of Time],""))</f>
        <v/>
      </c>
      <c r="GC84" s="44" t="str">
        <f>IF(Table1[Date of Initial Assessment]="","",IF(AND(Table1[Start Date]&gt;42460,Table1[Start Date]&lt;42826),Table1[Managing Tenancy and Accommodation],""))</f>
        <v/>
      </c>
      <c r="GD84" s="44" t="str">
        <f>IF(Table1[Date of Initial Assessment]="","",IF(AND(Table1[Start Date]&gt;42460,Table1[Start Date]&lt;42826),Table1[Offending],""))</f>
        <v/>
      </c>
      <c r="GE84" s="44" t="str">
        <f>IF(Table1[Leaving Date]="","",IF(AND(Table1[Leaving Date]&gt;42460,Table1[Leaving Date]&lt;42826),IF(Table1[Date of Last Assessment]="",Table1[Motivation and Taking Responsibility],Table1[Motivation and Taking Responsibility2]),""))</f>
        <v/>
      </c>
      <c r="GF84" s="44" t="str">
        <f>IF(Table1[Leaving Date]="","",IF(AND(Table1[Leaving Date]&gt;42460,Table1[Leaving Date]&lt;42826),IF(Table1[Date of Last Assessment]="",Table1[Self-Care and Living Skills],Table1[Self-Care and Living Skills2]),""))</f>
        <v/>
      </c>
      <c r="GG84" s="44" t="str">
        <f>IF(Table1[Leaving Date]="","",IF(AND(Table1[Leaving Date]&gt;42460,Table1[Leaving Date]&lt;42826),IF(Table1[Date of Last Assessment]="",Table1[Managing Money and Personal Administration],Table1[Managing Money and Personal Administration2]),""))</f>
        <v/>
      </c>
      <c r="GH84" s="44" t="str">
        <f>IF(Table1[Leaving Date]="","",IF(AND(Table1[Leaving Date]&gt;42460,Table1[Leaving Date]&lt;42826),IF(Table1[Date of Last Assessment]="",Table1[Social Networks and Relationships],Table1[Social Networks and Relationships2]),""))</f>
        <v/>
      </c>
      <c r="GI84" s="44" t="str">
        <f>IF(Table1[Leaving Date]="","",IF(AND(Table1[Leaving Date]&gt;42460,Table1[Leaving Date]&lt;42826),IF(Table1[Date of Last Assessment]="",Table1[Drug and Alcohol Misuse],Table1[Drug and Alcohol Misuse2]),""))</f>
        <v/>
      </c>
      <c r="GJ84" s="44" t="str">
        <f>IF(Table1[Leaving Date]="","",IF(AND(Table1[Leaving Date]&gt;42460,Table1[Leaving Date]&lt;42826),IF(Table1[Date of Last Assessment]="",Table1[Physical Health],Table1[Physical Health2]),""))</f>
        <v/>
      </c>
      <c r="GK84" s="44" t="str">
        <f>IF(Table1[Leaving Date]="","",IF(AND(Table1[Leaving Date]&gt;42460,Table1[Leaving Date]&lt;42826),IF(Table1[Date of Last Assessment]="",Table1[Emotional and Mental Health],Table1[Emotional and Mental Health2]),""))</f>
        <v/>
      </c>
      <c r="GL84" s="44" t="str">
        <f>IF(Table1[Leaving Date]="","",IF(AND(Table1[Leaving Date]&gt;42460,Table1[Leaving Date]&lt;42826),IF(Table1[Date of Last Assessment]="",Table1[Meaningful Use of Time],Table1[Meaningful Use of Time2]),""))</f>
        <v/>
      </c>
      <c r="GM84" s="44" t="str">
        <f>IF(Table1[Leaving Date]="","",IF(AND(Table1[Leaving Date]&gt;42460,Table1[Leaving Date]&lt;42826),IF(Table1[Date of Last Assessment]="",Table1[Managing Tenancy and Accommodation],Table1[Managing Tenancy and Accommodation2]),""))</f>
        <v/>
      </c>
      <c r="GN84" s="44" t="str">
        <f>IF(Table1[Leaving Date]="","",IF(AND(Table1[Leaving Date]&gt;42460,Table1[Leaving Date]&lt;42826),IF(Table1[Date of Last Assessment]="",Table1[Offending],Table1[Offending2]),""))</f>
        <v/>
      </c>
    </row>
    <row r="85" spans="2:196" ht="20.100000000000001" customHeight="1" x14ac:dyDescent="0.2">
      <c r="B85" s="86">
        <f>+'Service Data'!$C$5:$C$5</f>
        <v>0</v>
      </c>
      <c r="C85" s="86"/>
      <c r="D85" s="86"/>
      <c r="E85" s="86"/>
      <c r="F85" s="86"/>
      <c r="G85" s="86"/>
      <c r="H85" s="6"/>
      <c r="I85" s="99" t="str">
        <f ca="1">IF(Table1[[#This Row],[Date of Birth]]="","",SUM(TODAY()-Table1[[#This Row],[Date of Birth]])/365)</f>
        <v/>
      </c>
      <c r="L85" s="86"/>
      <c r="M85" s="77"/>
      <c r="N85" s="86"/>
      <c r="O85" s="86"/>
      <c r="P85" s="91"/>
      <c r="Q85" s="86"/>
      <c r="R85" s="77"/>
      <c r="S85" s="77"/>
      <c r="T85" s="68"/>
      <c r="U85" s="68"/>
      <c r="V85" s="67"/>
      <c r="W85" s="67"/>
      <c r="X85" s="67"/>
      <c r="Y85" s="67"/>
      <c r="Z85" s="67"/>
      <c r="AA85" s="67"/>
      <c r="AB85" s="67"/>
      <c r="AC85" s="67"/>
      <c r="AD85" s="67"/>
      <c r="AE85" s="67"/>
      <c r="AF85" s="67"/>
      <c r="AG85" s="67"/>
      <c r="AH85" s="67"/>
      <c r="AI85" s="67"/>
      <c r="AJ85" s="67"/>
      <c r="AK85" s="67"/>
      <c r="AL85" s="67"/>
      <c r="AM85" s="67"/>
      <c r="AN85" s="77"/>
      <c r="AO85" s="76"/>
      <c r="AP85" s="77"/>
      <c r="AQ85" s="76"/>
      <c r="AR85" s="76"/>
      <c r="AS85" s="76"/>
      <c r="AT85" s="76"/>
      <c r="AU85" s="76"/>
      <c r="AV85" s="77"/>
      <c r="AW85" s="76"/>
      <c r="AX85" s="77"/>
      <c r="AY85" s="76"/>
      <c r="AZ85" s="76"/>
      <c r="BA85" s="76"/>
      <c r="BB85" s="76"/>
      <c r="BC85" s="76"/>
      <c r="BD85" s="77"/>
      <c r="BE85" s="76"/>
      <c r="BF85" s="77"/>
      <c r="BG85" s="76"/>
      <c r="BH85" s="76"/>
      <c r="BI85" s="76"/>
      <c r="BJ85" s="76"/>
      <c r="BK85" s="76"/>
      <c r="BL85" s="77"/>
      <c r="BM85" s="76"/>
      <c r="BN85" s="77"/>
      <c r="BO85" s="76"/>
      <c r="BP85" s="76"/>
      <c r="BQ85" s="76"/>
      <c r="BR85" s="76"/>
      <c r="BS85" s="76"/>
      <c r="BT85" s="77"/>
      <c r="BU85" s="76"/>
      <c r="BV85" s="77"/>
      <c r="BW85" s="76"/>
      <c r="BX85" s="76"/>
      <c r="BY85" s="76"/>
      <c r="BZ85" s="76"/>
      <c r="CA85" s="76"/>
      <c r="CB85" s="77"/>
      <c r="CC85" s="76"/>
      <c r="CD85" s="77"/>
      <c r="CE85" s="76"/>
      <c r="CF85" s="76"/>
      <c r="CG85" s="76"/>
      <c r="CH85" s="76"/>
      <c r="CI85" s="76"/>
      <c r="CJ85" s="77"/>
      <c r="CK85" s="76"/>
      <c r="CL85" s="77"/>
      <c r="CM85" s="76"/>
      <c r="CN85" s="76"/>
      <c r="CO85" s="76"/>
      <c r="CP85" s="76"/>
      <c r="CQ85" s="76"/>
      <c r="CR85" s="78" t="str">
        <f t="shared" si="31"/>
        <v/>
      </c>
      <c r="CS85" s="79" t="str">
        <f t="shared" si="32"/>
        <v/>
      </c>
      <c r="CT85" s="79" t="str">
        <f t="shared" si="33"/>
        <v/>
      </c>
      <c r="CU85" s="79" t="str">
        <f t="shared" si="34"/>
        <v/>
      </c>
      <c r="CV85" s="79" t="str">
        <f t="shared" si="35"/>
        <v/>
      </c>
      <c r="CW85" s="79" t="str">
        <f t="shared" si="36"/>
        <v/>
      </c>
      <c r="CX85" s="79" t="str">
        <f t="shared" si="37"/>
        <v/>
      </c>
      <c r="CY85" s="79" t="str">
        <f t="shared" si="38"/>
        <v/>
      </c>
      <c r="CZ85" s="79" t="str">
        <f t="shared" si="39"/>
        <v/>
      </c>
      <c r="DA85" s="79" t="str">
        <f t="shared" si="40"/>
        <v/>
      </c>
      <c r="DB85" s="79" t="str">
        <f t="shared" si="41"/>
        <v/>
      </c>
      <c r="DC85" s="79" t="str">
        <f t="shared" si="42"/>
        <v/>
      </c>
      <c r="DD85" s="79" t="str">
        <f t="shared" si="43"/>
        <v/>
      </c>
      <c r="DE85" s="79" t="str">
        <f t="shared" si="44"/>
        <v/>
      </c>
      <c r="DF85" s="79" t="str">
        <f t="shared" si="45"/>
        <v/>
      </c>
      <c r="DG85" s="79" t="str">
        <f t="shared" si="46"/>
        <v/>
      </c>
      <c r="DH85" s="76"/>
      <c r="DI85" s="78"/>
      <c r="DJ85" s="76"/>
      <c r="DK85" s="77"/>
      <c r="DL85" s="77"/>
      <c r="DM85" s="77"/>
      <c r="DN85" s="80"/>
      <c r="DO85" s="80"/>
      <c r="DP85" s="92" t="str">
        <f>IF(Table1[Start Date]="","",IF(Table1[Start Date]&gt;42185,"",IF(AND(Table1[Leaving Date]&gt;1,Table1[Leaving Date]&lt;42095),"",1)))</f>
        <v/>
      </c>
      <c r="DQ85" s="92" t="str">
        <f>IF(Table1[Start Date]="","",IF(Table1[Start Date]&gt;42277,"",IF(AND(Table1[Leaving Date]&gt;1,Table1[Leaving Date]&lt;42186),"",1)))</f>
        <v/>
      </c>
      <c r="DR85" s="92" t="str">
        <f>IF(Table1[Start Date]="","",IF(Table1[Start Date]&gt;42369,"",IF(AND(Table1[Leaving Date]&gt;1,Table1[Leaving Date]&lt;42278),"",1)))</f>
        <v/>
      </c>
      <c r="DS85" s="92" t="str">
        <f>IF(Table1[Start Date]="","",IF(Table1[Start Date]&gt;42460,"",IF(AND(Table1[Leaving Date]&gt;1,Table1[Leaving Date]&lt;42370),"",1)))</f>
        <v/>
      </c>
      <c r="DT85" s="92" t="str">
        <f>IF(Table1[Start Date]="","",IF(Table1[Start Date]&gt;42551,"",IF(AND(Table1[Leaving Date]&gt;1,Table1[Leaving Date]&lt;42461),"",1)))</f>
        <v/>
      </c>
      <c r="DU85" s="92" t="str">
        <f>IF(Table1[Start Date]="","",IF(Table1[Start Date]&gt;42643,"",IF(AND(Table1[Leaving Date]&gt;1,Table1[Leaving Date]&lt;42552),"",1)))</f>
        <v/>
      </c>
      <c r="DV85" s="92" t="str">
        <f>IF(Table1[Start Date]="","",IF(Table1[Start Date]&gt;42735,"",IF(AND(Table1[Leaving Date]&gt;1,Table1[Leaving Date]&lt;42644),"",1)))</f>
        <v/>
      </c>
      <c r="DW85" s="92" t="str">
        <f>IF(Table1[Start Date]="","",IF(Table1[Start Date]&gt;42825,"",IF(AND(Table1[Leaving Date]&gt;1,Table1[Leaving Date]&lt;42736),"",1)))</f>
        <v/>
      </c>
      <c r="DX85"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85" s="44" t="e">
        <f>VLOOKUP(Table1[Referral Source],Lists!$G$2:$H$20,2,FALSE)</f>
        <v>#N/A</v>
      </c>
      <c r="DZ85" s="93" t="e">
        <f>SUM(Table1[Data Referral Quarter]+Table1[Data Referral Source])</f>
        <v>#N/A</v>
      </c>
      <c r="EA85" s="44" t="b">
        <f>IF(Table1[Referral Decision]="Accepted",100,IF(Table1[Referral Decision]="Rejected by Provider",200,IF(Table1[Referral Decision]="Rejected by Applicant",300)))</f>
        <v>0</v>
      </c>
      <c r="EB85" s="44">
        <f>SUM(Table1[Data Referral Quarter]+Table1[Data Referral Decision])</f>
        <v>0</v>
      </c>
      <c r="EC85" s="44" t="b">
        <f>IF(Table1[Start Date]&gt;42735,8000,IF(Table1[Start Date]&gt;42643,7000,IF(Table1[Start Date]&gt;42551,6000,IF(Table1[Start Date]&gt;42460,5000,IF(Table1[Start Date]&gt;42369,4000,IF(Table1[Start Date]&gt;42277,3000,IF(Table1[Start Date]&gt;42185,2000,IF(Table1[Start Date]&gt;42094,1000))))))))</f>
        <v>0</v>
      </c>
      <c r="ED85" s="44" t="str">
        <f>IF(Table1[Start Date]="","",IF(Table1[Current Local Authority]="Swindon",1,"2"))</f>
        <v/>
      </c>
      <c r="EE85" s="44" t="e">
        <f>SUM(Table1[Data Start Date]+Table1[Data Local Authority])</f>
        <v>#VALUE!</v>
      </c>
      <c r="EF85" s="44">
        <f>IF(Table1[Registered with GP]="Yes",1,0)</f>
        <v>0</v>
      </c>
      <c r="EG85" s="44">
        <f>SUM(Table1[Data Start Date]+Table1[Data GP Start])</f>
        <v>0</v>
      </c>
      <c r="EH85" s="44" t="str">
        <f>IF(Table1[EET]="NEET",1,IF(Table1[EET]="Education",2,IF(Table1[EET]="Employment",2,IF(Table1[EET]="Training",2,IF(Table1[EET]="Retired",3,"")))))</f>
        <v/>
      </c>
      <c r="EI85" s="44" t="e">
        <f>Table1[Data Start Date]+Table1[Data EET Start]</f>
        <v>#VALUE!</v>
      </c>
      <c r="EJ85" s="44" t="b">
        <f>IF(Table1[Leaving Date]&gt;42735,8000,IF(Table1[Leaving Date]&gt;42643,7000,IF(Table1[Leaving Date]&gt;42551,6000,IF(Table1[Leaving Date]&gt;42460,5000,IF(Table1[Leaving Date]&gt;42369,4000,IF(Table1[Leaving Date]&gt;42277,3000,IF(Table1[Leaving Date]&gt;42185,2000,IF(Table1[Leaving Date]&gt;42094,1000))))))))</f>
        <v>0</v>
      </c>
      <c r="EK85" s="44" t="e">
        <f>VLOOKUP(Table1[Reason for Leaving],Lists!$T$2:$U$15,2,FALSE)</f>
        <v>#N/A</v>
      </c>
      <c r="EL85" s="44" t="e">
        <f>SUM(Table1[Data Leavers Date]+Table1[Data Move On])</f>
        <v>#N/A</v>
      </c>
      <c r="EM85" s="44" t="b">
        <f>IF(Table1[Registered with GP2]="Yes",1,IF(Table1[Registered with GP2]="No",0,IF(Table1[Registered with GP]="Yes",1,IF(Table1[Registered with GP]="No",0))))</f>
        <v>0</v>
      </c>
      <c r="EN85" s="44">
        <f>SUM(Table1[Data Leavers Date]+Table1[Data GP End])</f>
        <v>0</v>
      </c>
      <c r="EO85" s="44" t="str">
        <f>IF(Table1[EET2]="NEET",1,IF(Table1[EET2]="Employment",2,IF(Table1[EET2]="Education",2,IF(Table1[EET2]="Training",2,IF(Table1[EET2]="Retired",3,IF(Table1[EET]="NEET",1,IF(Table1[EET]="Employment",2,IF(Table1[EET]="Education",2,IF(Table1[EET]="Training",2,IF(Table1[EET]="Retired",3,""))))))))))</f>
        <v/>
      </c>
      <c r="EP85" s="44" t="e">
        <f>+Table1[[#This Row],[Data Leavers Date]]+Table1[[#This Row],[Data EET End]]</f>
        <v>#VALUE!</v>
      </c>
      <c r="EQ85" s="44">
        <f>IF(Table1[Exit Form Received]="Yes",1,0)</f>
        <v>0</v>
      </c>
      <c r="ER85" s="44">
        <f>+Table1[[#This Row],[Data Leavers Date]]+Table1[[#This Row],[Data Exit Forms]]</f>
        <v>0</v>
      </c>
      <c r="ES85" s="44" t="str">
        <f>IF(Table1[Data Leavers Date]=1000,SUM(Table1[Leaving Date]-Table1[Start Date]),"")</f>
        <v/>
      </c>
      <c r="ET85" s="44" t="str">
        <f>IF(Table1[Data Leavers Date]=2000,SUM(Table1[Leaving Date]-Table1[Start Date]),"")</f>
        <v/>
      </c>
      <c r="EU85" s="44" t="str">
        <f>IF(Table1[Data Leavers Date]=3000,SUM(Table1[Leaving Date]-Table1[Start Date]),"")</f>
        <v/>
      </c>
      <c r="EV85" s="44" t="str">
        <f>IF(Table1[Data Leavers Date]=4000,SUM(Table1[Leaving Date]-Table1[Start Date]),"")</f>
        <v/>
      </c>
      <c r="EW85" s="44" t="str">
        <f>IF(Table1[Data Leavers Date]=5000,SUM(Table1[Leaving Date]-Table1[Start Date]),"")</f>
        <v/>
      </c>
      <c r="EX85" s="44" t="str">
        <f>IF(Table1[Data Leavers Date]=6000,SUM(Table1[Leaving Date]-Table1[Start Date]),"")</f>
        <v/>
      </c>
      <c r="EY85" s="44" t="str">
        <f>IF(Table1[Data Leavers Date]=7000,SUM(Table1[Leaving Date]-Table1[Start Date]),"")</f>
        <v/>
      </c>
      <c r="EZ85" s="44" t="str">
        <f>IF(Table1[Data Leavers Date]=8000,SUM(Table1[Leaving Date]-Table1[Start Date]),"")</f>
        <v/>
      </c>
      <c r="FA85" s="44" t="str">
        <f>IF(Table1[Date of Initial Assessment]="","",IF(AND(Table1[Start Date]&gt;42094,Table1[Start Date]&lt;42461),Table1[Motivation and Taking Responsibility],""))</f>
        <v/>
      </c>
      <c r="FB85" s="44" t="str">
        <f>IF(Table1[Date of Initial Assessment]="","",IF(AND(Table1[Start Date]&gt;42094,Table1[Start Date]&lt;42461),Table1[Self-Care and Living Skills],""))</f>
        <v/>
      </c>
      <c r="FC85" s="44" t="str">
        <f>IF(Table1[Date of Initial Assessment]="","",IF(AND(Table1[Start Date]&gt;42094,Table1[Start Date]&lt;42461),Table1[Managing Money and Personal Administration],""))</f>
        <v/>
      </c>
      <c r="FD85" s="44" t="str">
        <f>IF(Table1[Date of Initial Assessment]="","",IF(AND(Table1[Start Date]&gt;42094,Table1[Start Date]&lt;42461),Table1[Social Networks and Relationships],""))</f>
        <v/>
      </c>
      <c r="FE85" s="44" t="str">
        <f>IF(Table1[Date of Initial Assessment]="","",IF(AND(Table1[Start Date]&gt;42094,Table1[Start Date]&lt;42461),Table1[Drug and Alcohol Misuse],""))</f>
        <v/>
      </c>
      <c r="FF85" s="44" t="str">
        <f>IF(Table1[Date of Initial Assessment]="","",IF(AND(Table1[Start Date]&gt;42094,Table1[Start Date]&lt;42461),Table1[Physical Health],""))</f>
        <v/>
      </c>
      <c r="FG85" s="44" t="str">
        <f>IF(Table1[Date of Initial Assessment]="","",IF(AND(Table1[Start Date]&gt;42094,Table1[Start Date]&lt;42461),Table1[Emotional and Mental Health],""))</f>
        <v/>
      </c>
      <c r="FH85" s="44" t="str">
        <f>IF(Table1[Date of Initial Assessment]="","",IF(AND(Table1[Start Date]&gt;42094,Table1[Start Date]&lt;42461),Table1[Meaningful Use of Time],""))</f>
        <v/>
      </c>
      <c r="FI85" s="44" t="str">
        <f>IF(Table1[Date of Initial Assessment]="","",IF(AND(Table1[Start Date]&gt;42094,Table1[Start Date]&lt;42461),Table1[Managing Tenancy and Accommodation],""))</f>
        <v/>
      </c>
      <c r="FJ85" s="44" t="str">
        <f>IF(Table1[Date of Initial Assessment]="","",IF(AND(Table1[Start Date]&gt;42094,Table1[Start Date]&lt;42461),Table1[Offending],""))</f>
        <v/>
      </c>
      <c r="FK85" s="44" t="str">
        <f>IF(Table1[Leaving Date]="","",IF(Table1[Date of Initial Assessment]="","",IF(AND(Table1[Leaving Date]&gt;42094,Table1[Leaving Date]&lt;42461),IF(Table1[Date of Last Assessment]="",Table1[Motivation and Taking Responsibility],Table1[Motivation and Taking Responsibility2]),"")))</f>
        <v/>
      </c>
      <c r="FL85" s="44" t="str">
        <f>IF(Table1[Leaving Date]="","",IF(Table1[Date of Initial Assessment]="","",IF(AND(Table1[Leaving Date]&gt;42094,Table1[Leaving Date]&lt;42461),IF(Table1[Date of Last Assessment]="",Table1[Self-Care and Living Skills],Table1[Self-Care and Living Skills2]),"")))</f>
        <v/>
      </c>
      <c r="FM85" s="44" t="str">
        <f>IF(Table1[Leaving Date]="","",IF(Table1[Date of Initial Assessment]="","",IF(AND(Table1[Leaving Date]&gt;42094,Table1[Leaving Date]&lt;42461),IF(Table1[Date of Last Assessment]="",Table1[Managing Money and Personal Administration],Table1[Managing Money and Personal Administration2]),"")))</f>
        <v/>
      </c>
      <c r="FN85" s="44" t="str">
        <f>IF(Table1[Leaving Date]="","",IF(Table1[Date of Initial Assessment]="","",IF(AND(Table1[Leaving Date]&gt;42094,Table1[Leaving Date]&lt;42461),IF(Table1[Date of Last Assessment]="",Table1[Social Networks and Relationships],Table1[Social Networks and Relationships2]),"")))</f>
        <v/>
      </c>
      <c r="FO85" s="44" t="str">
        <f>IF(Table1[Leaving Date]="","",IF(Table1[Date of Initial Assessment]="","",IF(AND(Table1[Leaving Date]&gt;42094,Table1[Leaving Date]&lt;42461),IF(Table1[Date of Last Assessment]="",Table1[Drug and Alcohol Misuse],Table1[Drug and Alcohol Misuse2]),"")))</f>
        <v/>
      </c>
      <c r="FP85" s="44" t="str">
        <f>IF(Table1[Leaving Date]="","",IF(Table1[Date of Initial Assessment]="","",IF(AND(Table1[Leaving Date]&gt;42094,Table1[Leaving Date]&lt;42461),IF(Table1[Date of Last Assessment]="",Table1[Physical Health],Table1[Physical Health2]),"")))</f>
        <v/>
      </c>
      <c r="FQ85" s="44" t="str">
        <f>IF(Table1[Leaving Date]="","",IF(Table1[Date of Initial Assessment]="","",IF(AND(Table1[Leaving Date]&gt;42094,Table1[Leaving Date]&lt;42461),IF(Table1[Date of Last Assessment]="",Table1[Emotional and Mental Health],Table1[Emotional and Mental Health2]),"")))</f>
        <v/>
      </c>
      <c r="FR85" s="44" t="str">
        <f>IF(Table1[Leaving Date]="","",IF(Table1[Date of Initial Assessment]="","",IF(AND(Table1[Leaving Date]&gt;42094,Table1[Leaving Date]&lt;42461),IF(Table1[Date of Last Assessment]="",Table1[Meaningful Use of Time],Table1[Meaningful Use of Time2]),"")))</f>
        <v/>
      </c>
      <c r="FS85" s="44" t="str">
        <f>IF(Table1[Leaving Date]="","",IF(Table1[Date of Initial Assessment]="","",IF(AND(Table1[Leaving Date]&gt;42094,Table1[Leaving Date]&lt;42461),IF(Table1[Date of Last Assessment]="",Table1[Managing Tenancy and Accommodation],Table1[Managing Tenancy and Accommodation2]),"")))</f>
        <v/>
      </c>
      <c r="FT85" s="44" t="str">
        <f>IF(Table1[Leaving Date]="","",IF(Table1[Date of Initial Assessment]="","",IF(AND(Table1[Leaving Date]&gt;42094,Table1[Leaving Date]&lt;42461),IF(Table1[Date of Last Assessment]="",Table1[Offending],Table1[Offending2]),"")))</f>
        <v/>
      </c>
      <c r="FU85" s="44" t="str">
        <f>IF(Table1[Date of Initial Assessment]="","",IF(AND(Table1[Start Date]&gt;42460,Table1[Start Date]&lt;42826),Table1[Motivation and Taking Responsibility],""))</f>
        <v/>
      </c>
      <c r="FV85" s="44" t="str">
        <f>IF(Table1[Date of Initial Assessment]="","",IF(AND(Table1[Start Date]&gt;42460,Table1[Start Date]&lt;42826),Table1[Self-Care and Living Skills],""))</f>
        <v/>
      </c>
      <c r="FW85" s="44" t="str">
        <f>IF(Table1[Date of Initial Assessment]="","",IF(AND(Table1[Start Date]&gt;42460,Table1[Start Date]&lt;42826),Table1[Managing Money and Personal Administration],""))</f>
        <v/>
      </c>
      <c r="FX85" s="44" t="str">
        <f>IF(Table1[Date of Initial Assessment]="","",IF(AND(Table1[Start Date]&gt;42460,Table1[Start Date]&lt;42826),Table1[Social Networks and Relationships],""))</f>
        <v/>
      </c>
      <c r="FY85" s="44" t="str">
        <f>IF(Table1[Date of Initial Assessment]="","",IF(AND(Table1[Start Date]&gt;42460,Table1[Start Date]&lt;42826),Table1[Drug and Alcohol Misuse],""))</f>
        <v/>
      </c>
      <c r="FZ85" s="44" t="str">
        <f>IF(Table1[Date of Initial Assessment]="","",IF(AND(Table1[Start Date]&gt;42460,Table1[Start Date]&lt;42826),Table1[Physical Health],""))</f>
        <v/>
      </c>
      <c r="GA85" s="44" t="str">
        <f>IF(Table1[Date of Initial Assessment]="","",IF(AND(Table1[Start Date]&gt;42460,Table1[Start Date]&lt;42826),Table1[Emotional and Mental Health],""))</f>
        <v/>
      </c>
      <c r="GB85" s="44" t="str">
        <f>IF(Table1[Date of Initial Assessment]="","",IF(AND(Table1[Start Date]&gt;42460,Table1[Start Date]&lt;42826),Table1[Meaningful Use of Time],""))</f>
        <v/>
      </c>
      <c r="GC85" s="44" t="str">
        <f>IF(Table1[Date of Initial Assessment]="","",IF(AND(Table1[Start Date]&gt;42460,Table1[Start Date]&lt;42826),Table1[Managing Tenancy and Accommodation],""))</f>
        <v/>
      </c>
      <c r="GD85" s="44" t="str">
        <f>IF(Table1[Date of Initial Assessment]="","",IF(AND(Table1[Start Date]&gt;42460,Table1[Start Date]&lt;42826),Table1[Offending],""))</f>
        <v/>
      </c>
      <c r="GE85" s="44" t="str">
        <f>IF(Table1[Leaving Date]="","",IF(AND(Table1[Leaving Date]&gt;42460,Table1[Leaving Date]&lt;42826),IF(Table1[Date of Last Assessment]="",Table1[Motivation and Taking Responsibility],Table1[Motivation and Taking Responsibility2]),""))</f>
        <v/>
      </c>
      <c r="GF85" s="44" t="str">
        <f>IF(Table1[Leaving Date]="","",IF(AND(Table1[Leaving Date]&gt;42460,Table1[Leaving Date]&lt;42826),IF(Table1[Date of Last Assessment]="",Table1[Self-Care and Living Skills],Table1[Self-Care and Living Skills2]),""))</f>
        <v/>
      </c>
      <c r="GG85" s="44" t="str">
        <f>IF(Table1[Leaving Date]="","",IF(AND(Table1[Leaving Date]&gt;42460,Table1[Leaving Date]&lt;42826),IF(Table1[Date of Last Assessment]="",Table1[Managing Money and Personal Administration],Table1[Managing Money and Personal Administration2]),""))</f>
        <v/>
      </c>
      <c r="GH85" s="44" t="str">
        <f>IF(Table1[Leaving Date]="","",IF(AND(Table1[Leaving Date]&gt;42460,Table1[Leaving Date]&lt;42826),IF(Table1[Date of Last Assessment]="",Table1[Social Networks and Relationships],Table1[Social Networks and Relationships2]),""))</f>
        <v/>
      </c>
      <c r="GI85" s="44" t="str">
        <f>IF(Table1[Leaving Date]="","",IF(AND(Table1[Leaving Date]&gt;42460,Table1[Leaving Date]&lt;42826),IF(Table1[Date of Last Assessment]="",Table1[Drug and Alcohol Misuse],Table1[Drug and Alcohol Misuse2]),""))</f>
        <v/>
      </c>
      <c r="GJ85" s="44" t="str">
        <f>IF(Table1[Leaving Date]="","",IF(AND(Table1[Leaving Date]&gt;42460,Table1[Leaving Date]&lt;42826),IF(Table1[Date of Last Assessment]="",Table1[Physical Health],Table1[Physical Health2]),""))</f>
        <v/>
      </c>
      <c r="GK85" s="44" t="str">
        <f>IF(Table1[Leaving Date]="","",IF(AND(Table1[Leaving Date]&gt;42460,Table1[Leaving Date]&lt;42826),IF(Table1[Date of Last Assessment]="",Table1[Emotional and Mental Health],Table1[Emotional and Mental Health2]),""))</f>
        <v/>
      </c>
      <c r="GL85" s="44" t="str">
        <f>IF(Table1[Leaving Date]="","",IF(AND(Table1[Leaving Date]&gt;42460,Table1[Leaving Date]&lt;42826),IF(Table1[Date of Last Assessment]="",Table1[Meaningful Use of Time],Table1[Meaningful Use of Time2]),""))</f>
        <v/>
      </c>
      <c r="GM85" s="44" t="str">
        <f>IF(Table1[Leaving Date]="","",IF(AND(Table1[Leaving Date]&gt;42460,Table1[Leaving Date]&lt;42826),IF(Table1[Date of Last Assessment]="",Table1[Managing Tenancy and Accommodation],Table1[Managing Tenancy and Accommodation2]),""))</f>
        <v/>
      </c>
      <c r="GN85" s="44" t="str">
        <f>IF(Table1[Leaving Date]="","",IF(AND(Table1[Leaving Date]&gt;42460,Table1[Leaving Date]&lt;42826),IF(Table1[Date of Last Assessment]="",Table1[Offending],Table1[Offending2]),""))</f>
        <v/>
      </c>
    </row>
    <row r="86" spans="2:196" ht="20.100000000000001" customHeight="1" x14ac:dyDescent="0.2">
      <c r="B86" s="86">
        <f>+'Service Data'!$C$5:$C$5</f>
        <v>0</v>
      </c>
      <c r="C86" s="86"/>
      <c r="D86" s="86"/>
      <c r="E86" s="86"/>
      <c r="F86" s="86"/>
      <c r="G86" s="86"/>
      <c r="H86" s="6"/>
      <c r="I86" s="99" t="str">
        <f ca="1">IF(Table1[[#This Row],[Date of Birth]]="","",SUM(TODAY()-Table1[[#This Row],[Date of Birth]])/365)</f>
        <v/>
      </c>
      <c r="L86" s="86"/>
      <c r="M86" s="77"/>
      <c r="N86" s="86"/>
      <c r="O86" s="86"/>
      <c r="P86" s="91"/>
      <c r="Q86" s="86"/>
      <c r="R86" s="77"/>
      <c r="S86" s="77"/>
      <c r="T86" s="68"/>
      <c r="U86" s="68"/>
      <c r="V86" s="67"/>
      <c r="W86" s="67"/>
      <c r="X86" s="67"/>
      <c r="Y86" s="67"/>
      <c r="Z86" s="67"/>
      <c r="AA86" s="67"/>
      <c r="AB86" s="67"/>
      <c r="AC86" s="67"/>
      <c r="AD86" s="67"/>
      <c r="AE86" s="67"/>
      <c r="AF86" s="67"/>
      <c r="AG86" s="67"/>
      <c r="AH86" s="67"/>
      <c r="AI86" s="67"/>
      <c r="AJ86" s="67"/>
      <c r="AK86" s="67"/>
      <c r="AL86" s="67"/>
      <c r="AM86" s="67"/>
      <c r="AN86" s="77"/>
      <c r="AO86" s="76"/>
      <c r="AP86" s="77"/>
      <c r="AQ86" s="76"/>
      <c r="AR86" s="76"/>
      <c r="AS86" s="76"/>
      <c r="AT86" s="76"/>
      <c r="AU86" s="76"/>
      <c r="AV86" s="77"/>
      <c r="AW86" s="76"/>
      <c r="AX86" s="77"/>
      <c r="AY86" s="76"/>
      <c r="AZ86" s="76"/>
      <c r="BA86" s="76"/>
      <c r="BB86" s="76"/>
      <c r="BC86" s="76"/>
      <c r="BD86" s="77"/>
      <c r="BE86" s="76"/>
      <c r="BF86" s="77"/>
      <c r="BG86" s="76"/>
      <c r="BH86" s="76"/>
      <c r="BI86" s="76"/>
      <c r="BJ86" s="76"/>
      <c r="BK86" s="76"/>
      <c r="BL86" s="77"/>
      <c r="BM86" s="76"/>
      <c r="BN86" s="77"/>
      <c r="BO86" s="76"/>
      <c r="BP86" s="76"/>
      <c r="BQ86" s="76"/>
      <c r="BR86" s="76"/>
      <c r="BS86" s="76"/>
      <c r="BT86" s="77"/>
      <c r="BU86" s="76"/>
      <c r="BV86" s="77"/>
      <c r="BW86" s="76"/>
      <c r="BX86" s="76"/>
      <c r="BY86" s="76"/>
      <c r="BZ86" s="76"/>
      <c r="CA86" s="76"/>
      <c r="CB86" s="77"/>
      <c r="CC86" s="76"/>
      <c r="CD86" s="77"/>
      <c r="CE86" s="76"/>
      <c r="CF86" s="76"/>
      <c r="CG86" s="76"/>
      <c r="CH86" s="76"/>
      <c r="CI86" s="76"/>
      <c r="CJ86" s="77"/>
      <c r="CK86" s="76"/>
      <c r="CL86" s="77"/>
      <c r="CM86" s="76"/>
      <c r="CN86" s="76"/>
      <c r="CO86" s="76"/>
      <c r="CP86" s="76"/>
      <c r="CQ86" s="76"/>
      <c r="CR86" s="78" t="str">
        <f t="shared" si="31"/>
        <v/>
      </c>
      <c r="CS86" s="79" t="str">
        <f t="shared" si="32"/>
        <v/>
      </c>
      <c r="CT86" s="79" t="str">
        <f t="shared" si="33"/>
        <v/>
      </c>
      <c r="CU86" s="79" t="str">
        <f t="shared" si="34"/>
        <v/>
      </c>
      <c r="CV86" s="79" t="str">
        <f t="shared" si="35"/>
        <v/>
      </c>
      <c r="CW86" s="79" t="str">
        <f t="shared" si="36"/>
        <v/>
      </c>
      <c r="CX86" s="79" t="str">
        <f t="shared" si="37"/>
        <v/>
      </c>
      <c r="CY86" s="79" t="str">
        <f t="shared" si="38"/>
        <v/>
      </c>
      <c r="CZ86" s="79" t="str">
        <f t="shared" si="39"/>
        <v/>
      </c>
      <c r="DA86" s="79" t="str">
        <f t="shared" si="40"/>
        <v/>
      </c>
      <c r="DB86" s="79" t="str">
        <f t="shared" si="41"/>
        <v/>
      </c>
      <c r="DC86" s="79" t="str">
        <f t="shared" si="42"/>
        <v/>
      </c>
      <c r="DD86" s="79" t="str">
        <f t="shared" si="43"/>
        <v/>
      </c>
      <c r="DE86" s="79" t="str">
        <f t="shared" si="44"/>
        <v/>
      </c>
      <c r="DF86" s="79" t="str">
        <f t="shared" si="45"/>
        <v/>
      </c>
      <c r="DG86" s="79" t="str">
        <f t="shared" si="46"/>
        <v/>
      </c>
      <c r="DH86" s="76"/>
      <c r="DI86" s="78"/>
      <c r="DJ86" s="76"/>
      <c r="DK86" s="77"/>
      <c r="DL86" s="77"/>
      <c r="DM86" s="77"/>
      <c r="DN86" s="80"/>
      <c r="DO86" s="80"/>
      <c r="DP86" s="92" t="str">
        <f>IF(Table1[Start Date]="","",IF(Table1[Start Date]&gt;42185,"",IF(AND(Table1[Leaving Date]&gt;1,Table1[Leaving Date]&lt;42095),"",1)))</f>
        <v/>
      </c>
      <c r="DQ86" s="92" t="str">
        <f>IF(Table1[Start Date]="","",IF(Table1[Start Date]&gt;42277,"",IF(AND(Table1[Leaving Date]&gt;1,Table1[Leaving Date]&lt;42186),"",1)))</f>
        <v/>
      </c>
      <c r="DR86" s="92" t="str">
        <f>IF(Table1[Start Date]="","",IF(Table1[Start Date]&gt;42369,"",IF(AND(Table1[Leaving Date]&gt;1,Table1[Leaving Date]&lt;42278),"",1)))</f>
        <v/>
      </c>
      <c r="DS86" s="92" t="str">
        <f>IF(Table1[Start Date]="","",IF(Table1[Start Date]&gt;42460,"",IF(AND(Table1[Leaving Date]&gt;1,Table1[Leaving Date]&lt;42370),"",1)))</f>
        <v/>
      </c>
      <c r="DT86" s="92" t="str">
        <f>IF(Table1[Start Date]="","",IF(Table1[Start Date]&gt;42551,"",IF(AND(Table1[Leaving Date]&gt;1,Table1[Leaving Date]&lt;42461),"",1)))</f>
        <v/>
      </c>
      <c r="DU86" s="92" t="str">
        <f>IF(Table1[Start Date]="","",IF(Table1[Start Date]&gt;42643,"",IF(AND(Table1[Leaving Date]&gt;1,Table1[Leaving Date]&lt;42552),"",1)))</f>
        <v/>
      </c>
      <c r="DV86" s="92" t="str">
        <f>IF(Table1[Start Date]="","",IF(Table1[Start Date]&gt;42735,"",IF(AND(Table1[Leaving Date]&gt;1,Table1[Leaving Date]&lt;42644),"",1)))</f>
        <v/>
      </c>
      <c r="DW86" s="92" t="str">
        <f>IF(Table1[Start Date]="","",IF(Table1[Start Date]&gt;42825,"",IF(AND(Table1[Leaving Date]&gt;1,Table1[Leaving Date]&lt;42736),"",1)))</f>
        <v/>
      </c>
      <c r="DX86"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86" s="44" t="e">
        <f>VLOOKUP(Table1[Referral Source],Lists!$G$2:$H$20,2,FALSE)</f>
        <v>#N/A</v>
      </c>
      <c r="DZ86" s="93" t="e">
        <f>SUM(Table1[Data Referral Quarter]+Table1[Data Referral Source])</f>
        <v>#N/A</v>
      </c>
      <c r="EA86" s="44" t="b">
        <f>IF(Table1[Referral Decision]="Accepted",100,IF(Table1[Referral Decision]="Rejected by Provider",200,IF(Table1[Referral Decision]="Rejected by Applicant",300)))</f>
        <v>0</v>
      </c>
      <c r="EB86" s="44">
        <f>SUM(Table1[Data Referral Quarter]+Table1[Data Referral Decision])</f>
        <v>0</v>
      </c>
      <c r="EC86" s="44" t="b">
        <f>IF(Table1[Start Date]&gt;42735,8000,IF(Table1[Start Date]&gt;42643,7000,IF(Table1[Start Date]&gt;42551,6000,IF(Table1[Start Date]&gt;42460,5000,IF(Table1[Start Date]&gt;42369,4000,IF(Table1[Start Date]&gt;42277,3000,IF(Table1[Start Date]&gt;42185,2000,IF(Table1[Start Date]&gt;42094,1000))))))))</f>
        <v>0</v>
      </c>
      <c r="ED86" s="44" t="str">
        <f>IF(Table1[Start Date]="","",IF(Table1[Current Local Authority]="Swindon",1,"2"))</f>
        <v/>
      </c>
      <c r="EE86" s="44" t="e">
        <f>SUM(Table1[Data Start Date]+Table1[Data Local Authority])</f>
        <v>#VALUE!</v>
      </c>
      <c r="EF86" s="44">
        <f>IF(Table1[Registered with GP]="Yes",1,0)</f>
        <v>0</v>
      </c>
      <c r="EG86" s="44">
        <f>SUM(Table1[Data Start Date]+Table1[Data GP Start])</f>
        <v>0</v>
      </c>
      <c r="EH86" s="44" t="str">
        <f>IF(Table1[EET]="NEET",1,IF(Table1[EET]="Education",2,IF(Table1[EET]="Employment",2,IF(Table1[EET]="Training",2,IF(Table1[EET]="Retired",3,"")))))</f>
        <v/>
      </c>
      <c r="EI86" s="44" t="e">
        <f>Table1[Data Start Date]+Table1[Data EET Start]</f>
        <v>#VALUE!</v>
      </c>
      <c r="EJ86" s="44" t="b">
        <f>IF(Table1[Leaving Date]&gt;42735,8000,IF(Table1[Leaving Date]&gt;42643,7000,IF(Table1[Leaving Date]&gt;42551,6000,IF(Table1[Leaving Date]&gt;42460,5000,IF(Table1[Leaving Date]&gt;42369,4000,IF(Table1[Leaving Date]&gt;42277,3000,IF(Table1[Leaving Date]&gt;42185,2000,IF(Table1[Leaving Date]&gt;42094,1000))))))))</f>
        <v>0</v>
      </c>
      <c r="EK86" s="44" t="e">
        <f>VLOOKUP(Table1[Reason for Leaving],Lists!$T$2:$U$15,2,FALSE)</f>
        <v>#N/A</v>
      </c>
      <c r="EL86" s="44" t="e">
        <f>SUM(Table1[Data Leavers Date]+Table1[Data Move On])</f>
        <v>#N/A</v>
      </c>
      <c r="EM86" s="44" t="b">
        <f>IF(Table1[Registered with GP2]="Yes",1,IF(Table1[Registered with GP2]="No",0,IF(Table1[Registered with GP]="Yes",1,IF(Table1[Registered with GP]="No",0))))</f>
        <v>0</v>
      </c>
      <c r="EN86" s="44">
        <f>SUM(Table1[Data Leavers Date]+Table1[Data GP End])</f>
        <v>0</v>
      </c>
      <c r="EO86" s="44" t="str">
        <f>IF(Table1[EET2]="NEET",1,IF(Table1[EET2]="Employment",2,IF(Table1[EET2]="Education",2,IF(Table1[EET2]="Training",2,IF(Table1[EET2]="Retired",3,IF(Table1[EET]="NEET",1,IF(Table1[EET]="Employment",2,IF(Table1[EET]="Education",2,IF(Table1[EET]="Training",2,IF(Table1[EET]="Retired",3,""))))))))))</f>
        <v/>
      </c>
      <c r="EP86" s="44" t="e">
        <f>+Table1[[#This Row],[Data Leavers Date]]+Table1[[#This Row],[Data EET End]]</f>
        <v>#VALUE!</v>
      </c>
      <c r="EQ86" s="44">
        <f>IF(Table1[Exit Form Received]="Yes",1,0)</f>
        <v>0</v>
      </c>
      <c r="ER86" s="44">
        <f>+Table1[[#This Row],[Data Leavers Date]]+Table1[[#This Row],[Data Exit Forms]]</f>
        <v>0</v>
      </c>
      <c r="ES86" s="44" t="str">
        <f>IF(Table1[Data Leavers Date]=1000,SUM(Table1[Leaving Date]-Table1[Start Date]),"")</f>
        <v/>
      </c>
      <c r="ET86" s="44" t="str">
        <f>IF(Table1[Data Leavers Date]=2000,SUM(Table1[Leaving Date]-Table1[Start Date]),"")</f>
        <v/>
      </c>
      <c r="EU86" s="44" t="str">
        <f>IF(Table1[Data Leavers Date]=3000,SUM(Table1[Leaving Date]-Table1[Start Date]),"")</f>
        <v/>
      </c>
      <c r="EV86" s="44" t="str">
        <f>IF(Table1[Data Leavers Date]=4000,SUM(Table1[Leaving Date]-Table1[Start Date]),"")</f>
        <v/>
      </c>
      <c r="EW86" s="44" t="str">
        <f>IF(Table1[Data Leavers Date]=5000,SUM(Table1[Leaving Date]-Table1[Start Date]),"")</f>
        <v/>
      </c>
      <c r="EX86" s="44" t="str">
        <f>IF(Table1[Data Leavers Date]=6000,SUM(Table1[Leaving Date]-Table1[Start Date]),"")</f>
        <v/>
      </c>
      <c r="EY86" s="44" t="str">
        <f>IF(Table1[Data Leavers Date]=7000,SUM(Table1[Leaving Date]-Table1[Start Date]),"")</f>
        <v/>
      </c>
      <c r="EZ86" s="44" t="str">
        <f>IF(Table1[Data Leavers Date]=8000,SUM(Table1[Leaving Date]-Table1[Start Date]),"")</f>
        <v/>
      </c>
      <c r="FA86" s="44" t="str">
        <f>IF(Table1[Date of Initial Assessment]="","",IF(AND(Table1[Start Date]&gt;42094,Table1[Start Date]&lt;42461),Table1[Motivation and Taking Responsibility],""))</f>
        <v/>
      </c>
      <c r="FB86" s="44" t="str">
        <f>IF(Table1[Date of Initial Assessment]="","",IF(AND(Table1[Start Date]&gt;42094,Table1[Start Date]&lt;42461),Table1[Self-Care and Living Skills],""))</f>
        <v/>
      </c>
      <c r="FC86" s="44" t="str">
        <f>IF(Table1[Date of Initial Assessment]="","",IF(AND(Table1[Start Date]&gt;42094,Table1[Start Date]&lt;42461),Table1[Managing Money and Personal Administration],""))</f>
        <v/>
      </c>
      <c r="FD86" s="44" t="str">
        <f>IF(Table1[Date of Initial Assessment]="","",IF(AND(Table1[Start Date]&gt;42094,Table1[Start Date]&lt;42461),Table1[Social Networks and Relationships],""))</f>
        <v/>
      </c>
      <c r="FE86" s="44" t="str">
        <f>IF(Table1[Date of Initial Assessment]="","",IF(AND(Table1[Start Date]&gt;42094,Table1[Start Date]&lt;42461),Table1[Drug and Alcohol Misuse],""))</f>
        <v/>
      </c>
      <c r="FF86" s="44" t="str">
        <f>IF(Table1[Date of Initial Assessment]="","",IF(AND(Table1[Start Date]&gt;42094,Table1[Start Date]&lt;42461),Table1[Physical Health],""))</f>
        <v/>
      </c>
      <c r="FG86" s="44" t="str">
        <f>IF(Table1[Date of Initial Assessment]="","",IF(AND(Table1[Start Date]&gt;42094,Table1[Start Date]&lt;42461),Table1[Emotional and Mental Health],""))</f>
        <v/>
      </c>
      <c r="FH86" s="44" t="str">
        <f>IF(Table1[Date of Initial Assessment]="","",IF(AND(Table1[Start Date]&gt;42094,Table1[Start Date]&lt;42461),Table1[Meaningful Use of Time],""))</f>
        <v/>
      </c>
      <c r="FI86" s="44" t="str">
        <f>IF(Table1[Date of Initial Assessment]="","",IF(AND(Table1[Start Date]&gt;42094,Table1[Start Date]&lt;42461),Table1[Managing Tenancy and Accommodation],""))</f>
        <v/>
      </c>
      <c r="FJ86" s="44" t="str">
        <f>IF(Table1[Date of Initial Assessment]="","",IF(AND(Table1[Start Date]&gt;42094,Table1[Start Date]&lt;42461),Table1[Offending],""))</f>
        <v/>
      </c>
      <c r="FK86" s="44" t="str">
        <f>IF(Table1[Leaving Date]="","",IF(Table1[Date of Initial Assessment]="","",IF(AND(Table1[Leaving Date]&gt;42094,Table1[Leaving Date]&lt;42461),IF(Table1[Date of Last Assessment]="",Table1[Motivation and Taking Responsibility],Table1[Motivation and Taking Responsibility2]),"")))</f>
        <v/>
      </c>
      <c r="FL86" s="44" t="str">
        <f>IF(Table1[Leaving Date]="","",IF(Table1[Date of Initial Assessment]="","",IF(AND(Table1[Leaving Date]&gt;42094,Table1[Leaving Date]&lt;42461),IF(Table1[Date of Last Assessment]="",Table1[Self-Care and Living Skills],Table1[Self-Care and Living Skills2]),"")))</f>
        <v/>
      </c>
      <c r="FM86" s="44" t="str">
        <f>IF(Table1[Leaving Date]="","",IF(Table1[Date of Initial Assessment]="","",IF(AND(Table1[Leaving Date]&gt;42094,Table1[Leaving Date]&lt;42461),IF(Table1[Date of Last Assessment]="",Table1[Managing Money and Personal Administration],Table1[Managing Money and Personal Administration2]),"")))</f>
        <v/>
      </c>
      <c r="FN86" s="44" t="str">
        <f>IF(Table1[Leaving Date]="","",IF(Table1[Date of Initial Assessment]="","",IF(AND(Table1[Leaving Date]&gt;42094,Table1[Leaving Date]&lt;42461),IF(Table1[Date of Last Assessment]="",Table1[Social Networks and Relationships],Table1[Social Networks and Relationships2]),"")))</f>
        <v/>
      </c>
      <c r="FO86" s="44" t="str">
        <f>IF(Table1[Leaving Date]="","",IF(Table1[Date of Initial Assessment]="","",IF(AND(Table1[Leaving Date]&gt;42094,Table1[Leaving Date]&lt;42461),IF(Table1[Date of Last Assessment]="",Table1[Drug and Alcohol Misuse],Table1[Drug and Alcohol Misuse2]),"")))</f>
        <v/>
      </c>
      <c r="FP86" s="44" t="str">
        <f>IF(Table1[Leaving Date]="","",IF(Table1[Date of Initial Assessment]="","",IF(AND(Table1[Leaving Date]&gt;42094,Table1[Leaving Date]&lt;42461),IF(Table1[Date of Last Assessment]="",Table1[Physical Health],Table1[Physical Health2]),"")))</f>
        <v/>
      </c>
      <c r="FQ86" s="44" t="str">
        <f>IF(Table1[Leaving Date]="","",IF(Table1[Date of Initial Assessment]="","",IF(AND(Table1[Leaving Date]&gt;42094,Table1[Leaving Date]&lt;42461),IF(Table1[Date of Last Assessment]="",Table1[Emotional and Mental Health],Table1[Emotional and Mental Health2]),"")))</f>
        <v/>
      </c>
      <c r="FR86" s="44" t="str">
        <f>IF(Table1[Leaving Date]="","",IF(Table1[Date of Initial Assessment]="","",IF(AND(Table1[Leaving Date]&gt;42094,Table1[Leaving Date]&lt;42461),IF(Table1[Date of Last Assessment]="",Table1[Meaningful Use of Time],Table1[Meaningful Use of Time2]),"")))</f>
        <v/>
      </c>
      <c r="FS86" s="44" t="str">
        <f>IF(Table1[Leaving Date]="","",IF(Table1[Date of Initial Assessment]="","",IF(AND(Table1[Leaving Date]&gt;42094,Table1[Leaving Date]&lt;42461),IF(Table1[Date of Last Assessment]="",Table1[Managing Tenancy and Accommodation],Table1[Managing Tenancy and Accommodation2]),"")))</f>
        <v/>
      </c>
      <c r="FT86" s="44" t="str">
        <f>IF(Table1[Leaving Date]="","",IF(Table1[Date of Initial Assessment]="","",IF(AND(Table1[Leaving Date]&gt;42094,Table1[Leaving Date]&lt;42461),IF(Table1[Date of Last Assessment]="",Table1[Offending],Table1[Offending2]),"")))</f>
        <v/>
      </c>
      <c r="FU86" s="44" t="str">
        <f>IF(Table1[Date of Initial Assessment]="","",IF(AND(Table1[Start Date]&gt;42460,Table1[Start Date]&lt;42826),Table1[Motivation and Taking Responsibility],""))</f>
        <v/>
      </c>
      <c r="FV86" s="44" t="str">
        <f>IF(Table1[Date of Initial Assessment]="","",IF(AND(Table1[Start Date]&gt;42460,Table1[Start Date]&lt;42826),Table1[Self-Care and Living Skills],""))</f>
        <v/>
      </c>
      <c r="FW86" s="44" t="str">
        <f>IF(Table1[Date of Initial Assessment]="","",IF(AND(Table1[Start Date]&gt;42460,Table1[Start Date]&lt;42826),Table1[Managing Money and Personal Administration],""))</f>
        <v/>
      </c>
      <c r="FX86" s="44" t="str">
        <f>IF(Table1[Date of Initial Assessment]="","",IF(AND(Table1[Start Date]&gt;42460,Table1[Start Date]&lt;42826),Table1[Social Networks and Relationships],""))</f>
        <v/>
      </c>
      <c r="FY86" s="44" t="str">
        <f>IF(Table1[Date of Initial Assessment]="","",IF(AND(Table1[Start Date]&gt;42460,Table1[Start Date]&lt;42826),Table1[Drug and Alcohol Misuse],""))</f>
        <v/>
      </c>
      <c r="FZ86" s="44" t="str">
        <f>IF(Table1[Date of Initial Assessment]="","",IF(AND(Table1[Start Date]&gt;42460,Table1[Start Date]&lt;42826),Table1[Physical Health],""))</f>
        <v/>
      </c>
      <c r="GA86" s="44" t="str">
        <f>IF(Table1[Date of Initial Assessment]="","",IF(AND(Table1[Start Date]&gt;42460,Table1[Start Date]&lt;42826),Table1[Emotional and Mental Health],""))</f>
        <v/>
      </c>
      <c r="GB86" s="44" t="str">
        <f>IF(Table1[Date of Initial Assessment]="","",IF(AND(Table1[Start Date]&gt;42460,Table1[Start Date]&lt;42826),Table1[Meaningful Use of Time],""))</f>
        <v/>
      </c>
      <c r="GC86" s="44" t="str">
        <f>IF(Table1[Date of Initial Assessment]="","",IF(AND(Table1[Start Date]&gt;42460,Table1[Start Date]&lt;42826),Table1[Managing Tenancy and Accommodation],""))</f>
        <v/>
      </c>
      <c r="GD86" s="44" t="str">
        <f>IF(Table1[Date of Initial Assessment]="","",IF(AND(Table1[Start Date]&gt;42460,Table1[Start Date]&lt;42826),Table1[Offending],""))</f>
        <v/>
      </c>
      <c r="GE86" s="44" t="str">
        <f>IF(Table1[Leaving Date]="","",IF(AND(Table1[Leaving Date]&gt;42460,Table1[Leaving Date]&lt;42826),IF(Table1[Date of Last Assessment]="",Table1[Motivation and Taking Responsibility],Table1[Motivation and Taking Responsibility2]),""))</f>
        <v/>
      </c>
      <c r="GF86" s="44" t="str">
        <f>IF(Table1[Leaving Date]="","",IF(AND(Table1[Leaving Date]&gt;42460,Table1[Leaving Date]&lt;42826),IF(Table1[Date of Last Assessment]="",Table1[Self-Care and Living Skills],Table1[Self-Care and Living Skills2]),""))</f>
        <v/>
      </c>
      <c r="GG86" s="44" t="str">
        <f>IF(Table1[Leaving Date]="","",IF(AND(Table1[Leaving Date]&gt;42460,Table1[Leaving Date]&lt;42826),IF(Table1[Date of Last Assessment]="",Table1[Managing Money and Personal Administration],Table1[Managing Money and Personal Administration2]),""))</f>
        <v/>
      </c>
      <c r="GH86" s="44" t="str">
        <f>IF(Table1[Leaving Date]="","",IF(AND(Table1[Leaving Date]&gt;42460,Table1[Leaving Date]&lt;42826),IF(Table1[Date of Last Assessment]="",Table1[Social Networks and Relationships],Table1[Social Networks and Relationships2]),""))</f>
        <v/>
      </c>
      <c r="GI86" s="44" t="str">
        <f>IF(Table1[Leaving Date]="","",IF(AND(Table1[Leaving Date]&gt;42460,Table1[Leaving Date]&lt;42826),IF(Table1[Date of Last Assessment]="",Table1[Drug and Alcohol Misuse],Table1[Drug and Alcohol Misuse2]),""))</f>
        <v/>
      </c>
      <c r="GJ86" s="44" t="str">
        <f>IF(Table1[Leaving Date]="","",IF(AND(Table1[Leaving Date]&gt;42460,Table1[Leaving Date]&lt;42826),IF(Table1[Date of Last Assessment]="",Table1[Physical Health],Table1[Physical Health2]),""))</f>
        <v/>
      </c>
      <c r="GK86" s="44" t="str">
        <f>IF(Table1[Leaving Date]="","",IF(AND(Table1[Leaving Date]&gt;42460,Table1[Leaving Date]&lt;42826),IF(Table1[Date of Last Assessment]="",Table1[Emotional and Mental Health],Table1[Emotional and Mental Health2]),""))</f>
        <v/>
      </c>
      <c r="GL86" s="44" t="str">
        <f>IF(Table1[Leaving Date]="","",IF(AND(Table1[Leaving Date]&gt;42460,Table1[Leaving Date]&lt;42826),IF(Table1[Date of Last Assessment]="",Table1[Meaningful Use of Time],Table1[Meaningful Use of Time2]),""))</f>
        <v/>
      </c>
      <c r="GM86" s="44" t="str">
        <f>IF(Table1[Leaving Date]="","",IF(AND(Table1[Leaving Date]&gt;42460,Table1[Leaving Date]&lt;42826),IF(Table1[Date of Last Assessment]="",Table1[Managing Tenancy and Accommodation],Table1[Managing Tenancy and Accommodation2]),""))</f>
        <v/>
      </c>
      <c r="GN86" s="44" t="str">
        <f>IF(Table1[Leaving Date]="","",IF(AND(Table1[Leaving Date]&gt;42460,Table1[Leaving Date]&lt;42826),IF(Table1[Date of Last Assessment]="",Table1[Offending],Table1[Offending2]),""))</f>
        <v/>
      </c>
    </row>
    <row r="87" spans="2:196" ht="20.100000000000001" customHeight="1" x14ac:dyDescent="0.2">
      <c r="B87" s="86">
        <f>+'Service Data'!$C$5:$C$5</f>
        <v>0</v>
      </c>
      <c r="C87" s="86"/>
      <c r="D87" s="86"/>
      <c r="E87" s="86"/>
      <c r="F87" s="86"/>
      <c r="G87" s="86"/>
      <c r="H87" s="6"/>
      <c r="I87" s="99" t="str">
        <f ca="1">IF(Table1[[#This Row],[Date of Birth]]="","",SUM(TODAY()-Table1[[#This Row],[Date of Birth]])/365)</f>
        <v/>
      </c>
      <c r="L87" s="86"/>
      <c r="M87" s="77"/>
      <c r="N87" s="86"/>
      <c r="O87" s="86"/>
      <c r="P87" s="91"/>
      <c r="Q87" s="86"/>
      <c r="R87" s="77"/>
      <c r="S87" s="77"/>
      <c r="T87" s="68"/>
      <c r="U87" s="68"/>
      <c r="V87" s="67"/>
      <c r="W87" s="67"/>
      <c r="X87" s="67"/>
      <c r="Y87" s="67"/>
      <c r="Z87" s="67"/>
      <c r="AA87" s="67"/>
      <c r="AB87" s="67"/>
      <c r="AC87" s="67"/>
      <c r="AD87" s="67"/>
      <c r="AE87" s="67"/>
      <c r="AF87" s="67"/>
      <c r="AG87" s="67"/>
      <c r="AH87" s="67"/>
      <c r="AI87" s="67"/>
      <c r="AJ87" s="67"/>
      <c r="AK87" s="67"/>
      <c r="AL87" s="67"/>
      <c r="AM87" s="67"/>
      <c r="AN87" s="77"/>
      <c r="AO87" s="76"/>
      <c r="AP87" s="77"/>
      <c r="AQ87" s="76"/>
      <c r="AR87" s="76"/>
      <c r="AS87" s="76"/>
      <c r="AT87" s="76"/>
      <c r="AU87" s="76"/>
      <c r="AV87" s="77"/>
      <c r="AW87" s="76"/>
      <c r="AX87" s="77"/>
      <c r="AY87" s="76"/>
      <c r="AZ87" s="76"/>
      <c r="BA87" s="76"/>
      <c r="BB87" s="76"/>
      <c r="BC87" s="76"/>
      <c r="BD87" s="77"/>
      <c r="BE87" s="76"/>
      <c r="BF87" s="77"/>
      <c r="BG87" s="76"/>
      <c r="BH87" s="76"/>
      <c r="BI87" s="76"/>
      <c r="BJ87" s="76"/>
      <c r="BK87" s="76"/>
      <c r="BL87" s="77"/>
      <c r="BM87" s="76"/>
      <c r="BN87" s="77"/>
      <c r="BO87" s="76"/>
      <c r="BP87" s="76"/>
      <c r="BQ87" s="76"/>
      <c r="BR87" s="76"/>
      <c r="BS87" s="76"/>
      <c r="BT87" s="77"/>
      <c r="BU87" s="76"/>
      <c r="BV87" s="77"/>
      <c r="BW87" s="76"/>
      <c r="BX87" s="76"/>
      <c r="BY87" s="76"/>
      <c r="BZ87" s="76"/>
      <c r="CA87" s="76"/>
      <c r="CB87" s="77"/>
      <c r="CC87" s="76"/>
      <c r="CD87" s="77"/>
      <c r="CE87" s="76"/>
      <c r="CF87" s="76"/>
      <c r="CG87" s="76"/>
      <c r="CH87" s="76"/>
      <c r="CI87" s="76"/>
      <c r="CJ87" s="77"/>
      <c r="CK87" s="76"/>
      <c r="CL87" s="77"/>
      <c r="CM87" s="76"/>
      <c r="CN87" s="76"/>
      <c r="CO87" s="76"/>
      <c r="CP87" s="76"/>
      <c r="CQ87" s="76"/>
      <c r="CR87" s="78" t="str">
        <f t="shared" si="31"/>
        <v/>
      </c>
      <c r="CS87" s="79" t="str">
        <f t="shared" si="32"/>
        <v/>
      </c>
      <c r="CT87" s="79" t="str">
        <f t="shared" si="33"/>
        <v/>
      </c>
      <c r="CU87" s="79" t="str">
        <f t="shared" si="34"/>
        <v/>
      </c>
      <c r="CV87" s="79" t="str">
        <f t="shared" si="35"/>
        <v/>
      </c>
      <c r="CW87" s="79" t="str">
        <f t="shared" si="36"/>
        <v/>
      </c>
      <c r="CX87" s="79" t="str">
        <f t="shared" si="37"/>
        <v/>
      </c>
      <c r="CY87" s="79" t="str">
        <f t="shared" si="38"/>
        <v/>
      </c>
      <c r="CZ87" s="79" t="str">
        <f t="shared" si="39"/>
        <v/>
      </c>
      <c r="DA87" s="79" t="str">
        <f t="shared" si="40"/>
        <v/>
      </c>
      <c r="DB87" s="79" t="str">
        <f t="shared" si="41"/>
        <v/>
      </c>
      <c r="DC87" s="79" t="str">
        <f t="shared" si="42"/>
        <v/>
      </c>
      <c r="DD87" s="79" t="str">
        <f t="shared" si="43"/>
        <v/>
      </c>
      <c r="DE87" s="79" t="str">
        <f t="shared" si="44"/>
        <v/>
      </c>
      <c r="DF87" s="79" t="str">
        <f t="shared" si="45"/>
        <v/>
      </c>
      <c r="DG87" s="79" t="str">
        <f t="shared" si="46"/>
        <v/>
      </c>
      <c r="DH87" s="76"/>
      <c r="DI87" s="78"/>
      <c r="DJ87" s="76"/>
      <c r="DK87" s="77"/>
      <c r="DL87" s="77"/>
      <c r="DM87" s="77"/>
      <c r="DN87" s="80"/>
      <c r="DO87" s="80"/>
      <c r="DP87" s="92" t="str">
        <f>IF(Table1[Start Date]="","",IF(Table1[Start Date]&gt;42185,"",IF(AND(Table1[Leaving Date]&gt;1,Table1[Leaving Date]&lt;42095),"",1)))</f>
        <v/>
      </c>
      <c r="DQ87" s="92" t="str">
        <f>IF(Table1[Start Date]="","",IF(Table1[Start Date]&gt;42277,"",IF(AND(Table1[Leaving Date]&gt;1,Table1[Leaving Date]&lt;42186),"",1)))</f>
        <v/>
      </c>
      <c r="DR87" s="92" t="str">
        <f>IF(Table1[Start Date]="","",IF(Table1[Start Date]&gt;42369,"",IF(AND(Table1[Leaving Date]&gt;1,Table1[Leaving Date]&lt;42278),"",1)))</f>
        <v/>
      </c>
      <c r="DS87" s="92" t="str">
        <f>IF(Table1[Start Date]="","",IF(Table1[Start Date]&gt;42460,"",IF(AND(Table1[Leaving Date]&gt;1,Table1[Leaving Date]&lt;42370),"",1)))</f>
        <v/>
      </c>
      <c r="DT87" s="92" t="str">
        <f>IF(Table1[Start Date]="","",IF(Table1[Start Date]&gt;42551,"",IF(AND(Table1[Leaving Date]&gt;1,Table1[Leaving Date]&lt;42461),"",1)))</f>
        <v/>
      </c>
      <c r="DU87" s="92" t="str">
        <f>IF(Table1[Start Date]="","",IF(Table1[Start Date]&gt;42643,"",IF(AND(Table1[Leaving Date]&gt;1,Table1[Leaving Date]&lt;42552),"",1)))</f>
        <v/>
      </c>
      <c r="DV87" s="92" t="str">
        <f>IF(Table1[Start Date]="","",IF(Table1[Start Date]&gt;42735,"",IF(AND(Table1[Leaving Date]&gt;1,Table1[Leaving Date]&lt;42644),"",1)))</f>
        <v/>
      </c>
      <c r="DW87" s="92" t="str">
        <f>IF(Table1[Start Date]="","",IF(Table1[Start Date]&gt;42825,"",IF(AND(Table1[Leaving Date]&gt;1,Table1[Leaving Date]&lt;42736),"",1)))</f>
        <v/>
      </c>
      <c r="DX87"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87" s="44" t="e">
        <f>VLOOKUP(Table1[Referral Source],Lists!$G$2:$H$20,2,FALSE)</f>
        <v>#N/A</v>
      </c>
      <c r="DZ87" s="93" t="e">
        <f>SUM(Table1[Data Referral Quarter]+Table1[Data Referral Source])</f>
        <v>#N/A</v>
      </c>
      <c r="EA87" s="44" t="b">
        <f>IF(Table1[Referral Decision]="Accepted",100,IF(Table1[Referral Decision]="Rejected by Provider",200,IF(Table1[Referral Decision]="Rejected by Applicant",300)))</f>
        <v>0</v>
      </c>
      <c r="EB87" s="44">
        <f>SUM(Table1[Data Referral Quarter]+Table1[Data Referral Decision])</f>
        <v>0</v>
      </c>
      <c r="EC87" s="44" t="b">
        <f>IF(Table1[Start Date]&gt;42735,8000,IF(Table1[Start Date]&gt;42643,7000,IF(Table1[Start Date]&gt;42551,6000,IF(Table1[Start Date]&gt;42460,5000,IF(Table1[Start Date]&gt;42369,4000,IF(Table1[Start Date]&gt;42277,3000,IF(Table1[Start Date]&gt;42185,2000,IF(Table1[Start Date]&gt;42094,1000))))))))</f>
        <v>0</v>
      </c>
      <c r="ED87" s="44" t="str">
        <f>IF(Table1[Start Date]="","",IF(Table1[Current Local Authority]="Swindon",1,"2"))</f>
        <v/>
      </c>
      <c r="EE87" s="44" t="e">
        <f>SUM(Table1[Data Start Date]+Table1[Data Local Authority])</f>
        <v>#VALUE!</v>
      </c>
      <c r="EF87" s="44">
        <f>IF(Table1[Registered with GP]="Yes",1,0)</f>
        <v>0</v>
      </c>
      <c r="EG87" s="44">
        <f>SUM(Table1[Data Start Date]+Table1[Data GP Start])</f>
        <v>0</v>
      </c>
      <c r="EH87" s="44" t="str">
        <f>IF(Table1[EET]="NEET",1,IF(Table1[EET]="Education",2,IF(Table1[EET]="Employment",2,IF(Table1[EET]="Training",2,IF(Table1[EET]="Retired",3,"")))))</f>
        <v/>
      </c>
      <c r="EI87" s="44" t="e">
        <f>Table1[Data Start Date]+Table1[Data EET Start]</f>
        <v>#VALUE!</v>
      </c>
      <c r="EJ87" s="44" t="b">
        <f>IF(Table1[Leaving Date]&gt;42735,8000,IF(Table1[Leaving Date]&gt;42643,7000,IF(Table1[Leaving Date]&gt;42551,6000,IF(Table1[Leaving Date]&gt;42460,5000,IF(Table1[Leaving Date]&gt;42369,4000,IF(Table1[Leaving Date]&gt;42277,3000,IF(Table1[Leaving Date]&gt;42185,2000,IF(Table1[Leaving Date]&gt;42094,1000))))))))</f>
        <v>0</v>
      </c>
      <c r="EK87" s="44" t="e">
        <f>VLOOKUP(Table1[Reason for Leaving],Lists!$T$2:$U$15,2,FALSE)</f>
        <v>#N/A</v>
      </c>
      <c r="EL87" s="44" t="e">
        <f>SUM(Table1[Data Leavers Date]+Table1[Data Move On])</f>
        <v>#N/A</v>
      </c>
      <c r="EM87" s="44" t="b">
        <f>IF(Table1[Registered with GP2]="Yes",1,IF(Table1[Registered with GP2]="No",0,IF(Table1[Registered with GP]="Yes",1,IF(Table1[Registered with GP]="No",0))))</f>
        <v>0</v>
      </c>
      <c r="EN87" s="44">
        <f>SUM(Table1[Data Leavers Date]+Table1[Data GP End])</f>
        <v>0</v>
      </c>
      <c r="EO87" s="44" t="str">
        <f>IF(Table1[EET2]="NEET",1,IF(Table1[EET2]="Employment",2,IF(Table1[EET2]="Education",2,IF(Table1[EET2]="Training",2,IF(Table1[EET2]="Retired",3,IF(Table1[EET]="NEET",1,IF(Table1[EET]="Employment",2,IF(Table1[EET]="Education",2,IF(Table1[EET]="Training",2,IF(Table1[EET]="Retired",3,""))))))))))</f>
        <v/>
      </c>
      <c r="EP87" s="44" t="e">
        <f>+Table1[[#This Row],[Data Leavers Date]]+Table1[[#This Row],[Data EET End]]</f>
        <v>#VALUE!</v>
      </c>
      <c r="EQ87" s="44">
        <f>IF(Table1[Exit Form Received]="Yes",1,0)</f>
        <v>0</v>
      </c>
      <c r="ER87" s="44">
        <f>+Table1[[#This Row],[Data Leavers Date]]+Table1[[#This Row],[Data Exit Forms]]</f>
        <v>0</v>
      </c>
      <c r="ES87" s="44" t="str">
        <f>IF(Table1[Data Leavers Date]=1000,SUM(Table1[Leaving Date]-Table1[Start Date]),"")</f>
        <v/>
      </c>
      <c r="ET87" s="44" t="str">
        <f>IF(Table1[Data Leavers Date]=2000,SUM(Table1[Leaving Date]-Table1[Start Date]),"")</f>
        <v/>
      </c>
      <c r="EU87" s="44" t="str">
        <f>IF(Table1[Data Leavers Date]=3000,SUM(Table1[Leaving Date]-Table1[Start Date]),"")</f>
        <v/>
      </c>
      <c r="EV87" s="44" t="str">
        <f>IF(Table1[Data Leavers Date]=4000,SUM(Table1[Leaving Date]-Table1[Start Date]),"")</f>
        <v/>
      </c>
      <c r="EW87" s="44" t="str">
        <f>IF(Table1[Data Leavers Date]=5000,SUM(Table1[Leaving Date]-Table1[Start Date]),"")</f>
        <v/>
      </c>
      <c r="EX87" s="44" t="str">
        <f>IF(Table1[Data Leavers Date]=6000,SUM(Table1[Leaving Date]-Table1[Start Date]),"")</f>
        <v/>
      </c>
      <c r="EY87" s="44" t="str">
        <f>IF(Table1[Data Leavers Date]=7000,SUM(Table1[Leaving Date]-Table1[Start Date]),"")</f>
        <v/>
      </c>
      <c r="EZ87" s="44" t="str">
        <f>IF(Table1[Data Leavers Date]=8000,SUM(Table1[Leaving Date]-Table1[Start Date]),"")</f>
        <v/>
      </c>
      <c r="FA87" s="44" t="str">
        <f>IF(Table1[Date of Initial Assessment]="","",IF(AND(Table1[Start Date]&gt;42094,Table1[Start Date]&lt;42461),Table1[Motivation and Taking Responsibility],""))</f>
        <v/>
      </c>
      <c r="FB87" s="44" t="str">
        <f>IF(Table1[Date of Initial Assessment]="","",IF(AND(Table1[Start Date]&gt;42094,Table1[Start Date]&lt;42461),Table1[Self-Care and Living Skills],""))</f>
        <v/>
      </c>
      <c r="FC87" s="44" t="str">
        <f>IF(Table1[Date of Initial Assessment]="","",IF(AND(Table1[Start Date]&gt;42094,Table1[Start Date]&lt;42461),Table1[Managing Money and Personal Administration],""))</f>
        <v/>
      </c>
      <c r="FD87" s="44" t="str">
        <f>IF(Table1[Date of Initial Assessment]="","",IF(AND(Table1[Start Date]&gt;42094,Table1[Start Date]&lt;42461),Table1[Social Networks and Relationships],""))</f>
        <v/>
      </c>
      <c r="FE87" s="44" t="str">
        <f>IF(Table1[Date of Initial Assessment]="","",IF(AND(Table1[Start Date]&gt;42094,Table1[Start Date]&lt;42461),Table1[Drug and Alcohol Misuse],""))</f>
        <v/>
      </c>
      <c r="FF87" s="44" t="str">
        <f>IF(Table1[Date of Initial Assessment]="","",IF(AND(Table1[Start Date]&gt;42094,Table1[Start Date]&lt;42461),Table1[Physical Health],""))</f>
        <v/>
      </c>
      <c r="FG87" s="44" t="str">
        <f>IF(Table1[Date of Initial Assessment]="","",IF(AND(Table1[Start Date]&gt;42094,Table1[Start Date]&lt;42461),Table1[Emotional and Mental Health],""))</f>
        <v/>
      </c>
      <c r="FH87" s="44" t="str">
        <f>IF(Table1[Date of Initial Assessment]="","",IF(AND(Table1[Start Date]&gt;42094,Table1[Start Date]&lt;42461),Table1[Meaningful Use of Time],""))</f>
        <v/>
      </c>
      <c r="FI87" s="44" t="str">
        <f>IF(Table1[Date of Initial Assessment]="","",IF(AND(Table1[Start Date]&gt;42094,Table1[Start Date]&lt;42461),Table1[Managing Tenancy and Accommodation],""))</f>
        <v/>
      </c>
      <c r="FJ87" s="44" t="str">
        <f>IF(Table1[Date of Initial Assessment]="","",IF(AND(Table1[Start Date]&gt;42094,Table1[Start Date]&lt;42461),Table1[Offending],""))</f>
        <v/>
      </c>
      <c r="FK87" s="44" t="str">
        <f>IF(Table1[Leaving Date]="","",IF(Table1[Date of Initial Assessment]="","",IF(AND(Table1[Leaving Date]&gt;42094,Table1[Leaving Date]&lt;42461),IF(Table1[Date of Last Assessment]="",Table1[Motivation and Taking Responsibility],Table1[Motivation and Taking Responsibility2]),"")))</f>
        <v/>
      </c>
      <c r="FL87" s="44" t="str">
        <f>IF(Table1[Leaving Date]="","",IF(Table1[Date of Initial Assessment]="","",IF(AND(Table1[Leaving Date]&gt;42094,Table1[Leaving Date]&lt;42461),IF(Table1[Date of Last Assessment]="",Table1[Self-Care and Living Skills],Table1[Self-Care and Living Skills2]),"")))</f>
        <v/>
      </c>
      <c r="FM87" s="44" t="str">
        <f>IF(Table1[Leaving Date]="","",IF(Table1[Date of Initial Assessment]="","",IF(AND(Table1[Leaving Date]&gt;42094,Table1[Leaving Date]&lt;42461),IF(Table1[Date of Last Assessment]="",Table1[Managing Money and Personal Administration],Table1[Managing Money and Personal Administration2]),"")))</f>
        <v/>
      </c>
      <c r="FN87" s="44" t="str">
        <f>IF(Table1[Leaving Date]="","",IF(Table1[Date of Initial Assessment]="","",IF(AND(Table1[Leaving Date]&gt;42094,Table1[Leaving Date]&lt;42461),IF(Table1[Date of Last Assessment]="",Table1[Social Networks and Relationships],Table1[Social Networks and Relationships2]),"")))</f>
        <v/>
      </c>
      <c r="FO87" s="44" t="str">
        <f>IF(Table1[Leaving Date]="","",IF(Table1[Date of Initial Assessment]="","",IF(AND(Table1[Leaving Date]&gt;42094,Table1[Leaving Date]&lt;42461),IF(Table1[Date of Last Assessment]="",Table1[Drug and Alcohol Misuse],Table1[Drug and Alcohol Misuse2]),"")))</f>
        <v/>
      </c>
      <c r="FP87" s="44" t="str">
        <f>IF(Table1[Leaving Date]="","",IF(Table1[Date of Initial Assessment]="","",IF(AND(Table1[Leaving Date]&gt;42094,Table1[Leaving Date]&lt;42461),IF(Table1[Date of Last Assessment]="",Table1[Physical Health],Table1[Physical Health2]),"")))</f>
        <v/>
      </c>
      <c r="FQ87" s="44" t="str">
        <f>IF(Table1[Leaving Date]="","",IF(Table1[Date of Initial Assessment]="","",IF(AND(Table1[Leaving Date]&gt;42094,Table1[Leaving Date]&lt;42461),IF(Table1[Date of Last Assessment]="",Table1[Emotional and Mental Health],Table1[Emotional and Mental Health2]),"")))</f>
        <v/>
      </c>
      <c r="FR87" s="44" t="str">
        <f>IF(Table1[Leaving Date]="","",IF(Table1[Date of Initial Assessment]="","",IF(AND(Table1[Leaving Date]&gt;42094,Table1[Leaving Date]&lt;42461),IF(Table1[Date of Last Assessment]="",Table1[Meaningful Use of Time],Table1[Meaningful Use of Time2]),"")))</f>
        <v/>
      </c>
      <c r="FS87" s="44" t="str">
        <f>IF(Table1[Leaving Date]="","",IF(Table1[Date of Initial Assessment]="","",IF(AND(Table1[Leaving Date]&gt;42094,Table1[Leaving Date]&lt;42461),IF(Table1[Date of Last Assessment]="",Table1[Managing Tenancy and Accommodation],Table1[Managing Tenancy and Accommodation2]),"")))</f>
        <v/>
      </c>
      <c r="FT87" s="44" t="str">
        <f>IF(Table1[Leaving Date]="","",IF(Table1[Date of Initial Assessment]="","",IF(AND(Table1[Leaving Date]&gt;42094,Table1[Leaving Date]&lt;42461),IF(Table1[Date of Last Assessment]="",Table1[Offending],Table1[Offending2]),"")))</f>
        <v/>
      </c>
      <c r="FU87" s="44" t="str">
        <f>IF(Table1[Date of Initial Assessment]="","",IF(AND(Table1[Start Date]&gt;42460,Table1[Start Date]&lt;42826),Table1[Motivation and Taking Responsibility],""))</f>
        <v/>
      </c>
      <c r="FV87" s="44" t="str">
        <f>IF(Table1[Date of Initial Assessment]="","",IF(AND(Table1[Start Date]&gt;42460,Table1[Start Date]&lt;42826),Table1[Self-Care and Living Skills],""))</f>
        <v/>
      </c>
      <c r="FW87" s="44" t="str">
        <f>IF(Table1[Date of Initial Assessment]="","",IF(AND(Table1[Start Date]&gt;42460,Table1[Start Date]&lt;42826),Table1[Managing Money and Personal Administration],""))</f>
        <v/>
      </c>
      <c r="FX87" s="44" t="str">
        <f>IF(Table1[Date of Initial Assessment]="","",IF(AND(Table1[Start Date]&gt;42460,Table1[Start Date]&lt;42826),Table1[Social Networks and Relationships],""))</f>
        <v/>
      </c>
      <c r="FY87" s="44" t="str">
        <f>IF(Table1[Date of Initial Assessment]="","",IF(AND(Table1[Start Date]&gt;42460,Table1[Start Date]&lt;42826),Table1[Drug and Alcohol Misuse],""))</f>
        <v/>
      </c>
      <c r="FZ87" s="44" t="str">
        <f>IF(Table1[Date of Initial Assessment]="","",IF(AND(Table1[Start Date]&gt;42460,Table1[Start Date]&lt;42826),Table1[Physical Health],""))</f>
        <v/>
      </c>
      <c r="GA87" s="44" t="str">
        <f>IF(Table1[Date of Initial Assessment]="","",IF(AND(Table1[Start Date]&gt;42460,Table1[Start Date]&lt;42826),Table1[Emotional and Mental Health],""))</f>
        <v/>
      </c>
      <c r="GB87" s="44" t="str">
        <f>IF(Table1[Date of Initial Assessment]="","",IF(AND(Table1[Start Date]&gt;42460,Table1[Start Date]&lt;42826),Table1[Meaningful Use of Time],""))</f>
        <v/>
      </c>
      <c r="GC87" s="44" t="str">
        <f>IF(Table1[Date of Initial Assessment]="","",IF(AND(Table1[Start Date]&gt;42460,Table1[Start Date]&lt;42826),Table1[Managing Tenancy and Accommodation],""))</f>
        <v/>
      </c>
      <c r="GD87" s="44" t="str">
        <f>IF(Table1[Date of Initial Assessment]="","",IF(AND(Table1[Start Date]&gt;42460,Table1[Start Date]&lt;42826),Table1[Offending],""))</f>
        <v/>
      </c>
      <c r="GE87" s="44" t="str">
        <f>IF(Table1[Leaving Date]="","",IF(AND(Table1[Leaving Date]&gt;42460,Table1[Leaving Date]&lt;42826),IF(Table1[Date of Last Assessment]="",Table1[Motivation and Taking Responsibility],Table1[Motivation and Taking Responsibility2]),""))</f>
        <v/>
      </c>
      <c r="GF87" s="44" t="str">
        <f>IF(Table1[Leaving Date]="","",IF(AND(Table1[Leaving Date]&gt;42460,Table1[Leaving Date]&lt;42826),IF(Table1[Date of Last Assessment]="",Table1[Self-Care and Living Skills],Table1[Self-Care and Living Skills2]),""))</f>
        <v/>
      </c>
      <c r="GG87" s="44" t="str">
        <f>IF(Table1[Leaving Date]="","",IF(AND(Table1[Leaving Date]&gt;42460,Table1[Leaving Date]&lt;42826),IF(Table1[Date of Last Assessment]="",Table1[Managing Money and Personal Administration],Table1[Managing Money and Personal Administration2]),""))</f>
        <v/>
      </c>
      <c r="GH87" s="44" t="str">
        <f>IF(Table1[Leaving Date]="","",IF(AND(Table1[Leaving Date]&gt;42460,Table1[Leaving Date]&lt;42826),IF(Table1[Date of Last Assessment]="",Table1[Social Networks and Relationships],Table1[Social Networks and Relationships2]),""))</f>
        <v/>
      </c>
      <c r="GI87" s="44" t="str">
        <f>IF(Table1[Leaving Date]="","",IF(AND(Table1[Leaving Date]&gt;42460,Table1[Leaving Date]&lt;42826),IF(Table1[Date of Last Assessment]="",Table1[Drug and Alcohol Misuse],Table1[Drug and Alcohol Misuse2]),""))</f>
        <v/>
      </c>
      <c r="GJ87" s="44" t="str">
        <f>IF(Table1[Leaving Date]="","",IF(AND(Table1[Leaving Date]&gt;42460,Table1[Leaving Date]&lt;42826),IF(Table1[Date of Last Assessment]="",Table1[Physical Health],Table1[Physical Health2]),""))</f>
        <v/>
      </c>
      <c r="GK87" s="44" t="str">
        <f>IF(Table1[Leaving Date]="","",IF(AND(Table1[Leaving Date]&gt;42460,Table1[Leaving Date]&lt;42826),IF(Table1[Date of Last Assessment]="",Table1[Emotional and Mental Health],Table1[Emotional and Mental Health2]),""))</f>
        <v/>
      </c>
      <c r="GL87" s="44" t="str">
        <f>IF(Table1[Leaving Date]="","",IF(AND(Table1[Leaving Date]&gt;42460,Table1[Leaving Date]&lt;42826),IF(Table1[Date of Last Assessment]="",Table1[Meaningful Use of Time],Table1[Meaningful Use of Time2]),""))</f>
        <v/>
      </c>
      <c r="GM87" s="44" t="str">
        <f>IF(Table1[Leaving Date]="","",IF(AND(Table1[Leaving Date]&gt;42460,Table1[Leaving Date]&lt;42826),IF(Table1[Date of Last Assessment]="",Table1[Managing Tenancy and Accommodation],Table1[Managing Tenancy and Accommodation2]),""))</f>
        <v/>
      </c>
      <c r="GN87" s="44" t="str">
        <f>IF(Table1[Leaving Date]="","",IF(AND(Table1[Leaving Date]&gt;42460,Table1[Leaving Date]&lt;42826),IF(Table1[Date of Last Assessment]="",Table1[Offending],Table1[Offending2]),""))</f>
        <v/>
      </c>
    </row>
    <row r="88" spans="2:196" ht="20.100000000000001" customHeight="1" x14ac:dyDescent="0.2">
      <c r="B88" s="86">
        <f>+'Service Data'!$C$5:$C$5</f>
        <v>0</v>
      </c>
      <c r="C88" s="86"/>
      <c r="D88" s="86"/>
      <c r="E88" s="86"/>
      <c r="F88" s="86"/>
      <c r="G88" s="86"/>
      <c r="H88" s="6"/>
      <c r="I88" s="99" t="str">
        <f ca="1">IF(Table1[[#This Row],[Date of Birth]]="","",SUM(TODAY()-Table1[[#This Row],[Date of Birth]])/365)</f>
        <v/>
      </c>
      <c r="L88" s="86"/>
      <c r="M88" s="77"/>
      <c r="N88" s="86"/>
      <c r="O88" s="86"/>
      <c r="P88" s="91"/>
      <c r="Q88" s="86"/>
      <c r="R88" s="77"/>
      <c r="S88" s="77"/>
      <c r="T88" s="68"/>
      <c r="U88" s="68"/>
      <c r="V88" s="67"/>
      <c r="W88" s="67"/>
      <c r="X88" s="67"/>
      <c r="Y88" s="67"/>
      <c r="Z88" s="67"/>
      <c r="AA88" s="67"/>
      <c r="AB88" s="67"/>
      <c r="AC88" s="67"/>
      <c r="AD88" s="67"/>
      <c r="AE88" s="67"/>
      <c r="AF88" s="67"/>
      <c r="AG88" s="67"/>
      <c r="AH88" s="67"/>
      <c r="AI88" s="67"/>
      <c r="AJ88" s="67"/>
      <c r="AK88" s="67"/>
      <c r="AL88" s="67"/>
      <c r="AM88" s="67"/>
      <c r="AN88" s="77"/>
      <c r="AO88" s="76"/>
      <c r="AP88" s="77"/>
      <c r="AQ88" s="76"/>
      <c r="AR88" s="76"/>
      <c r="AS88" s="76"/>
      <c r="AT88" s="76"/>
      <c r="AU88" s="76"/>
      <c r="AV88" s="77"/>
      <c r="AW88" s="76"/>
      <c r="AX88" s="77"/>
      <c r="AY88" s="76"/>
      <c r="AZ88" s="76"/>
      <c r="BA88" s="76"/>
      <c r="BB88" s="76"/>
      <c r="BC88" s="76"/>
      <c r="BD88" s="77"/>
      <c r="BE88" s="76"/>
      <c r="BF88" s="77"/>
      <c r="BG88" s="76"/>
      <c r="BH88" s="76"/>
      <c r="BI88" s="76"/>
      <c r="BJ88" s="76"/>
      <c r="BK88" s="76"/>
      <c r="BL88" s="77"/>
      <c r="BM88" s="76"/>
      <c r="BN88" s="77"/>
      <c r="BO88" s="76"/>
      <c r="BP88" s="76"/>
      <c r="BQ88" s="76"/>
      <c r="BR88" s="76"/>
      <c r="BS88" s="76"/>
      <c r="BT88" s="77"/>
      <c r="BU88" s="76"/>
      <c r="BV88" s="77"/>
      <c r="BW88" s="76"/>
      <c r="BX88" s="76"/>
      <c r="BY88" s="76"/>
      <c r="BZ88" s="76"/>
      <c r="CA88" s="76"/>
      <c r="CB88" s="77"/>
      <c r="CC88" s="76"/>
      <c r="CD88" s="77"/>
      <c r="CE88" s="76"/>
      <c r="CF88" s="76"/>
      <c r="CG88" s="76"/>
      <c r="CH88" s="76"/>
      <c r="CI88" s="76"/>
      <c r="CJ88" s="77"/>
      <c r="CK88" s="76"/>
      <c r="CL88" s="77"/>
      <c r="CM88" s="76"/>
      <c r="CN88" s="76"/>
      <c r="CO88" s="76"/>
      <c r="CP88" s="76"/>
      <c r="CQ88" s="76"/>
      <c r="CR88" s="78" t="str">
        <f t="shared" si="31"/>
        <v/>
      </c>
      <c r="CS88" s="79" t="str">
        <f t="shared" si="32"/>
        <v/>
      </c>
      <c r="CT88" s="79" t="str">
        <f t="shared" si="33"/>
        <v/>
      </c>
      <c r="CU88" s="79" t="str">
        <f t="shared" si="34"/>
        <v/>
      </c>
      <c r="CV88" s="79" t="str">
        <f t="shared" si="35"/>
        <v/>
      </c>
      <c r="CW88" s="79" t="str">
        <f t="shared" si="36"/>
        <v/>
      </c>
      <c r="CX88" s="79" t="str">
        <f t="shared" si="37"/>
        <v/>
      </c>
      <c r="CY88" s="79" t="str">
        <f t="shared" si="38"/>
        <v/>
      </c>
      <c r="CZ88" s="79" t="str">
        <f t="shared" si="39"/>
        <v/>
      </c>
      <c r="DA88" s="79" t="str">
        <f t="shared" si="40"/>
        <v/>
      </c>
      <c r="DB88" s="79" t="str">
        <f t="shared" si="41"/>
        <v/>
      </c>
      <c r="DC88" s="79" t="str">
        <f t="shared" si="42"/>
        <v/>
      </c>
      <c r="DD88" s="79" t="str">
        <f t="shared" si="43"/>
        <v/>
      </c>
      <c r="DE88" s="79" t="str">
        <f t="shared" si="44"/>
        <v/>
      </c>
      <c r="DF88" s="79" t="str">
        <f t="shared" si="45"/>
        <v/>
      </c>
      <c r="DG88" s="79" t="str">
        <f t="shared" si="46"/>
        <v/>
      </c>
      <c r="DH88" s="76"/>
      <c r="DI88" s="78"/>
      <c r="DJ88" s="76"/>
      <c r="DK88" s="77"/>
      <c r="DL88" s="77"/>
      <c r="DM88" s="77"/>
      <c r="DN88" s="80"/>
      <c r="DO88" s="80"/>
      <c r="DP88" s="92" t="str">
        <f>IF(Table1[Start Date]="","",IF(Table1[Start Date]&gt;42185,"",IF(AND(Table1[Leaving Date]&gt;1,Table1[Leaving Date]&lt;42095),"",1)))</f>
        <v/>
      </c>
      <c r="DQ88" s="92" t="str">
        <f>IF(Table1[Start Date]="","",IF(Table1[Start Date]&gt;42277,"",IF(AND(Table1[Leaving Date]&gt;1,Table1[Leaving Date]&lt;42186),"",1)))</f>
        <v/>
      </c>
      <c r="DR88" s="92" t="str">
        <f>IF(Table1[Start Date]="","",IF(Table1[Start Date]&gt;42369,"",IF(AND(Table1[Leaving Date]&gt;1,Table1[Leaving Date]&lt;42278),"",1)))</f>
        <v/>
      </c>
      <c r="DS88" s="92" t="str">
        <f>IF(Table1[Start Date]="","",IF(Table1[Start Date]&gt;42460,"",IF(AND(Table1[Leaving Date]&gt;1,Table1[Leaving Date]&lt;42370),"",1)))</f>
        <v/>
      </c>
      <c r="DT88" s="92" t="str">
        <f>IF(Table1[Start Date]="","",IF(Table1[Start Date]&gt;42551,"",IF(AND(Table1[Leaving Date]&gt;1,Table1[Leaving Date]&lt;42461),"",1)))</f>
        <v/>
      </c>
      <c r="DU88" s="92" t="str">
        <f>IF(Table1[Start Date]="","",IF(Table1[Start Date]&gt;42643,"",IF(AND(Table1[Leaving Date]&gt;1,Table1[Leaving Date]&lt;42552),"",1)))</f>
        <v/>
      </c>
      <c r="DV88" s="92" t="str">
        <f>IF(Table1[Start Date]="","",IF(Table1[Start Date]&gt;42735,"",IF(AND(Table1[Leaving Date]&gt;1,Table1[Leaving Date]&lt;42644),"",1)))</f>
        <v/>
      </c>
      <c r="DW88" s="92" t="str">
        <f>IF(Table1[Start Date]="","",IF(Table1[Start Date]&gt;42825,"",IF(AND(Table1[Leaving Date]&gt;1,Table1[Leaving Date]&lt;42736),"",1)))</f>
        <v/>
      </c>
      <c r="DX88"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88" s="44" t="e">
        <f>VLOOKUP(Table1[Referral Source],Lists!$G$2:$H$20,2,FALSE)</f>
        <v>#N/A</v>
      </c>
      <c r="DZ88" s="93" t="e">
        <f>SUM(Table1[Data Referral Quarter]+Table1[Data Referral Source])</f>
        <v>#N/A</v>
      </c>
      <c r="EA88" s="44" t="b">
        <f>IF(Table1[Referral Decision]="Accepted",100,IF(Table1[Referral Decision]="Rejected by Provider",200,IF(Table1[Referral Decision]="Rejected by Applicant",300)))</f>
        <v>0</v>
      </c>
      <c r="EB88" s="44">
        <f>SUM(Table1[Data Referral Quarter]+Table1[Data Referral Decision])</f>
        <v>0</v>
      </c>
      <c r="EC88" s="44" t="b">
        <f>IF(Table1[Start Date]&gt;42735,8000,IF(Table1[Start Date]&gt;42643,7000,IF(Table1[Start Date]&gt;42551,6000,IF(Table1[Start Date]&gt;42460,5000,IF(Table1[Start Date]&gt;42369,4000,IF(Table1[Start Date]&gt;42277,3000,IF(Table1[Start Date]&gt;42185,2000,IF(Table1[Start Date]&gt;42094,1000))))))))</f>
        <v>0</v>
      </c>
      <c r="ED88" s="44" t="str">
        <f>IF(Table1[Start Date]="","",IF(Table1[Current Local Authority]="Swindon",1,"2"))</f>
        <v/>
      </c>
      <c r="EE88" s="44" t="e">
        <f>SUM(Table1[Data Start Date]+Table1[Data Local Authority])</f>
        <v>#VALUE!</v>
      </c>
      <c r="EF88" s="44">
        <f>IF(Table1[Registered with GP]="Yes",1,0)</f>
        <v>0</v>
      </c>
      <c r="EG88" s="44">
        <f>SUM(Table1[Data Start Date]+Table1[Data GP Start])</f>
        <v>0</v>
      </c>
      <c r="EH88" s="44" t="str">
        <f>IF(Table1[EET]="NEET",1,IF(Table1[EET]="Education",2,IF(Table1[EET]="Employment",2,IF(Table1[EET]="Training",2,IF(Table1[EET]="Retired",3,"")))))</f>
        <v/>
      </c>
      <c r="EI88" s="44" t="e">
        <f>Table1[Data Start Date]+Table1[Data EET Start]</f>
        <v>#VALUE!</v>
      </c>
      <c r="EJ88" s="44" t="b">
        <f>IF(Table1[Leaving Date]&gt;42735,8000,IF(Table1[Leaving Date]&gt;42643,7000,IF(Table1[Leaving Date]&gt;42551,6000,IF(Table1[Leaving Date]&gt;42460,5000,IF(Table1[Leaving Date]&gt;42369,4000,IF(Table1[Leaving Date]&gt;42277,3000,IF(Table1[Leaving Date]&gt;42185,2000,IF(Table1[Leaving Date]&gt;42094,1000))))))))</f>
        <v>0</v>
      </c>
      <c r="EK88" s="44" t="e">
        <f>VLOOKUP(Table1[Reason for Leaving],Lists!$T$2:$U$15,2,FALSE)</f>
        <v>#N/A</v>
      </c>
      <c r="EL88" s="44" t="e">
        <f>SUM(Table1[Data Leavers Date]+Table1[Data Move On])</f>
        <v>#N/A</v>
      </c>
      <c r="EM88" s="44" t="b">
        <f>IF(Table1[Registered with GP2]="Yes",1,IF(Table1[Registered with GP2]="No",0,IF(Table1[Registered with GP]="Yes",1,IF(Table1[Registered with GP]="No",0))))</f>
        <v>0</v>
      </c>
      <c r="EN88" s="44">
        <f>SUM(Table1[Data Leavers Date]+Table1[Data GP End])</f>
        <v>0</v>
      </c>
      <c r="EO88" s="44" t="str">
        <f>IF(Table1[EET2]="NEET",1,IF(Table1[EET2]="Employment",2,IF(Table1[EET2]="Education",2,IF(Table1[EET2]="Training",2,IF(Table1[EET2]="Retired",3,IF(Table1[EET]="NEET",1,IF(Table1[EET]="Employment",2,IF(Table1[EET]="Education",2,IF(Table1[EET]="Training",2,IF(Table1[EET]="Retired",3,""))))))))))</f>
        <v/>
      </c>
      <c r="EP88" s="44" t="e">
        <f>+Table1[[#This Row],[Data Leavers Date]]+Table1[[#This Row],[Data EET End]]</f>
        <v>#VALUE!</v>
      </c>
      <c r="EQ88" s="44">
        <f>IF(Table1[Exit Form Received]="Yes",1,0)</f>
        <v>0</v>
      </c>
      <c r="ER88" s="44">
        <f>+Table1[[#This Row],[Data Leavers Date]]+Table1[[#This Row],[Data Exit Forms]]</f>
        <v>0</v>
      </c>
      <c r="ES88" s="44" t="str">
        <f>IF(Table1[Data Leavers Date]=1000,SUM(Table1[Leaving Date]-Table1[Start Date]),"")</f>
        <v/>
      </c>
      <c r="ET88" s="44" t="str">
        <f>IF(Table1[Data Leavers Date]=2000,SUM(Table1[Leaving Date]-Table1[Start Date]),"")</f>
        <v/>
      </c>
      <c r="EU88" s="44" t="str">
        <f>IF(Table1[Data Leavers Date]=3000,SUM(Table1[Leaving Date]-Table1[Start Date]),"")</f>
        <v/>
      </c>
      <c r="EV88" s="44" t="str">
        <f>IF(Table1[Data Leavers Date]=4000,SUM(Table1[Leaving Date]-Table1[Start Date]),"")</f>
        <v/>
      </c>
      <c r="EW88" s="44" t="str">
        <f>IF(Table1[Data Leavers Date]=5000,SUM(Table1[Leaving Date]-Table1[Start Date]),"")</f>
        <v/>
      </c>
      <c r="EX88" s="44" t="str">
        <f>IF(Table1[Data Leavers Date]=6000,SUM(Table1[Leaving Date]-Table1[Start Date]),"")</f>
        <v/>
      </c>
      <c r="EY88" s="44" t="str">
        <f>IF(Table1[Data Leavers Date]=7000,SUM(Table1[Leaving Date]-Table1[Start Date]),"")</f>
        <v/>
      </c>
      <c r="EZ88" s="44" t="str">
        <f>IF(Table1[Data Leavers Date]=8000,SUM(Table1[Leaving Date]-Table1[Start Date]),"")</f>
        <v/>
      </c>
      <c r="FA88" s="44" t="str">
        <f>IF(Table1[Date of Initial Assessment]="","",IF(AND(Table1[Start Date]&gt;42094,Table1[Start Date]&lt;42461),Table1[Motivation and Taking Responsibility],""))</f>
        <v/>
      </c>
      <c r="FB88" s="44" t="str">
        <f>IF(Table1[Date of Initial Assessment]="","",IF(AND(Table1[Start Date]&gt;42094,Table1[Start Date]&lt;42461),Table1[Self-Care and Living Skills],""))</f>
        <v/>
      </c>
      <c r="FC88" s="44" t="str">
        <f>IF(Table1[Date of Initial Assessment]="","",IF(AND(Table1[Start Date]&gt;42094,Table1[Start Date]&lt;42461),Table1[Managing Money and Personal Administration],""))</f>
        <v/>
      </c>
      <c r="FD88" s="44" t="str">
        <f>IF(Table1[Date of Initial Assessment]="","",IF(AND(Table1[Start Date]&gt;42094,Table1[Start Date]&lt;42461),Table1[Social Networks and Relationships],""))</f>
        <v/>
      </c>
      <c r="FE88" s="44" t="str">
        <f>IF(Table1[Date of Initial Assessment]="","",IF(AND(Table1[Start Date]&gt;42094,Table1[Start Date]&lt;42461),Table1[Drug and Alcohol Misuse],""))</f>
        <v/>
      </c>
      <c r="FF88" s="44" t="str">
        <f>IF(Table1[Date of Initial Assessment]="","",IF(AND(Table1[Start Date]&gt;42094,Table1[Start Date]&lt;42461),Table1[Physical Health],""))</f>
        <v/>
      </c>
      <c r="FG88" s="44" t="str">
        <f>IF(Table1[Date of Initial Assessment]="","",IF(AND(Table1[Start Date]&gt;42094,Table1[Start Date]&lt;42461),Table1[Emotional and Mental Health],""))</f>
        <v/>
      </c>
      <c r="FH88" s="44" t="str">
        <f>IF(Table1[Date of Initial Assessment]="","",IF(AND(Table1[Start Date]&gt;42094,Table1[Start Date]&lt;42461),Table1[Meaningful Use of Time],""))</f>
        <v/>
      </c>
      <c r="FI88" s="44" t="str">
        <f>IF(Table1[Date of Initial Assessment]="","",IF(AND(Table1[Start Date]&gt;42094,Table1[Start Date]&lt;42461),Table1[Managing Tenancy and Accommodation],""))</f>
        <v/>
      </c>
      <c r="FJ88" s="44" t="str">
        <f>IF(Table1[Date of Initial Assessment]="","",IF(AND(Table1[Start Date]&gt;42094,Table1[Start Date]&lt;42461),Table1[Offending],""))</f>
        <v/>
      </c>
      <c r="FK88" s="44" t="str">
        <f>IF(Table1[Leaving Date]="","",IF(Table1[Date of Initial Assessment]="","",IF(AND(Table1[Leaving Date]&gt;42094,Table1[Leaving Date]&lt;42461),IF(Table1[Date of Last Assessment]="",Table1[Motivation and Taking Responsibility],Table1[Motivation and Taking Responsibility2]),"")))</f>
        <v/>
      </c>
      <c r="FL88" s="44" t="str">
        <f>IF(Table1[Leaving Date]="","",IF(Table1[Date of Initial Assessment]="","",IF(AND(Table1[Leaving Date]&gt;42094,Table1[Leaving Date]&lt;42461),IF(Table1[Date of Last Assessment]="",Table1[Self-Care and Living Skills],Table1[Self-Care and Living Skills2]),"")))</f>
        <v/>
      </c>
      <c r="FM88" s="44" t="str">
        <f>IF(Table1[Leaving Date]="","",IF(Table1[Date of Initial Assessment]="","",IF(AND(Table1[Leaving Date]&gt;42094,Table1[Leaving Date]&lt;42461),IF(Table1[Date of Last Assessment]="",Table1[Managing Money and Personal Administration],Table1[Managing Money and Personal Administration2]),"")))</f>
        <v/>
      </c>
      <c r="FN88" s="44" t="str">
        <f>IF(Table1[Leaving Date]="","",IF(Table1[Date of Initial Assessment]="","",IF(AND(Table1[Leaving Date]&gt;42094,Table1[Leaving Date]&lt;42461),IF(Table1[Date of Last Assessment]="",Table1[Social Networks and Relationships],Table1[Social Networks and Relationships2]),"")))</f>
        <v/>
      </c>
      <c r="FO88" s="44" t="str">
        <f>IF(Table1[Leaving Date]="","",IF(Table1[Date of Initial Assessment]="","",IF(AND(Table1[Leaving Date]&gt;42094,Table1[Leaving Date]&lt;42461),IF(Table1[Date of Last Assessment]="",Table1[Drug and Alcohol Misuse],Table1[Drug and Alcohol Misuse2]),"")))</f>
        <v/>
      </c>
      <c r="FP88" s="44" t="str">
        <f>IF(Table1[Leaving Date]="","",IF(Table1[Date of Initial Assessment]="","",IF(AND(Table1[Leaving Date]&gt;42094,Table1[Leaving Date]&lt;42461),IF(Table1[Date of Last Assessment]="",Table1[Physical Health],Table1[Physical Health2]),"")))</f>
        <v/>
      </c>
      <c r="FQ88" s="44" t="str">
        <f>IF(Table1[Leaving Date]="","",IF(Table1[Date of Initial Assessment]="","",IF(AND(Table1[Leaving Date]&gt;42094,Table1[Leaving Date]&lt;42461),IF(Table1[Date of Last Assessment]="",Table1[Emotional and Mental Health],Table1[Emotional and Mental Health2]),"")))</f>
        <v/>
      </c>
      <c r="FR88" s="44" t="str">
        <f>IF(Table1[Leaving Date]="","",IF(Table1[Date of Initial Assessment]="","",IF(AND(Table1[Leaving Date]&gt;42094,Table1[Leaving Date]&lt;42461),IF(Table1[Date of Last Assessment]="",Table1[Meaningful Use of Time],Table1[Meaningful Use of Time2]),"")))</f>
        <v/>
      </c>
      <c r="FS88" s="44" t="str">
        <f>IF(Table1[Leaving Date]="","",IF(Table1[Date of Initial Assessment]="","",IF(AND(Table1[Leaving Date]&gt;42094,Table1[Leaving Date]&lt;42461),IF(Table1[Date of Last Assessment]="",Table1[Managing Tenancy and Accommodation],Table1[Managing Tenancy and Accommodation2]),"")))</f>
        <v/>
      </c>
      <c r="FT88" s="44" t="str">
        <f>IF(Table1[Leaving Date]="","",IF(Table1[Date of Initial Assessment]="","",IF(AND(Table1[Leaving Date]&gt;42094,Table1[Leaving Date]&lt;42461),IF(Table1[Date of Last Assessment]="",Table1[Offending],Table1[Offending2]),"")))</f>
        <v/>
      </c>
      <c r="FU88" s="44" t="str">
        <f>IF(Table1[Date of Initial Assessment]="","",IF(AND(Table1[Start Date]&gt;42460,Table1[Start Date]&lt;42826),Table1[Motivation and Taking Responsibility],""))</f>
        <v/>
      </c>
      <c r="FV88" s="44" t="str">
        <f>IF(Table1[Date of Initial Assessment]="","",IF(AND(Table1[Start Date]&gt;42460,Table1[Start Date]&lt;42826),Table1[Self-Care and Living Skills],""))</f>
        <v/>
      </c>
      <c r="FW88" s="44" t="str">
        <f>IF(Table1[Date of Initial Assessment]="","",IF(AND(Table1[Start Date]&gt;42460,Table1[Start Date]&lt;42826),Table1[Managing Money and Personal Administration],""))</f>
        <v/>
      </c>
      <c r="FX88" s="44" t="str">
        <f>IF(Table1[Date of Initial Assessment]="","",IF(AND(Table1[Start Date]&gt;42460,Table1[Start Date]&lt;42826),Table1[Social Networks and Relationships],""))</f>
        <v/>
      </c>
      <c r="FY88" s="44" t="str">
        <f>IF(Table1[Date of Initial Assessment]="","",IF(AND(Table1[Start Date]&gt;42460,Table1[Start Date]&lt;42826),Table1[Drug and Alcohol Misuse],""))</f>
        <v/>
      </c>
      <c r="FZ88" s="44" t="str">
        <f>IF(Table1[Date of Initial Assessment]="","",IF(AND(Table1[Start Date]&gt;42460,Table1[Start Date]&lt;42826),Table1[Physical Health],""))</f>
        <v/>
      </c>
      <c r="GA88" s="44" t="str">
        <f>IF(Table1[Date of Initial Assessment]="","",IF(AND(Table1[Start Date]&gt;42460,Table1[Start Date]&lt;42826),Table1[Emotional and Mental Health],""))</f>
        <v/>
      </c>
      <c r="GB88" s="44" t="str">
        <f>IF(Table1[Date of Initial Assessment]="","",IF(AND(Table1[Start Date]&gt;42460,Table1[Start Date]&lt;42826),Table1[Meaningful Use of Time],""))</f>
        <v/>
      </c>
      <c r="GC88" s="44" t="str">
        <f>IF(Table1[Date of Initial Assessment]="","",IF(AND(Table1[Start Date]&gt;42460,Table1[Start Date]&lt;42826),Table1[Managing Tenancy and Accommodation],""))</f>
        <v/>
      </c>
      <c r="GD88" s="44" t="str">
        <f>IF(Table1[Date of Initial Assessment]="","",IF(AND(Table1[Start Date]&gt;42460,Table1[Start Date]&lt;42826),Table1[Offending],""))</f>
        <v/>
      </c>
      <c r="GE88" s="44" t="str">
        <f>IF(Table1[Leaving Date]="","",IF(AND(Table1[Leaving Date]&gt;42460,Table1[Leaving Date]&lt;42826),IF(Table1[Date of Last Assessment]="",Table1[Motivation and Taking Responsibility],Table1[Motivation and Taking Responsibility2]),""))</f>
        <v/>
      </c>
      <c r="GF88" s="44" t="str">
        <f>IF(Table1[Leaving Date]="","",IF(AND(Table1[Leaving Date]&gt;42460,Table1[Leaving Date]&lt;42826),IF(Table1[Date of Last Assessment]="",Table1[Self-Care and Living Skills],Table1[Self-Care and Living Skills2]),""))</f>
        <v/>
      </c>
      <c r="GG88" s="44" t="str">
        <f>IF(Table1[Leaving Date]="","",IF(AND(Table1[Leaving Date]&gt;42460,Table1[Leaving Date]&lt;42826),IF(Table1[Date of Last Assessment]="",Table1[Managing Money and Personal Administration],Table1[Managing Money and Personal Administration2]),""))</f>
        <v/>
      </c>
      <c r="GH88" s="44" t="str">
        <f>IF(Table1[Leaving Date]="","",IF(AND(Table1[Leaving Date]&gt;42460,Table1[Leaving Date]&lt;42826),IF(Table1[Date of Last Assessment]="",Table1[Social Networks and Relationships],Table1[Social Networks and Relationships2]),""))</f>
        <v/>
      </c>
      <c r="GI88" s="44" t="str">
        <f>IF(Table1[Leaving Date]="","",IF(AND(Table1[Leaving Date]&gt;42460,Table1[Leaving Date]&lt;42826),IF(Table1[Date of Last Assessment]="",Table1[Drug and Alcohol Misuse],Table1[Drug and Alcohol Misuse2]),""))</f>
        <v/>
      </c>
      <c r="GJ88" s="44" t="str">
        <f>IF(Table1[Leaving Date]="","",IF(AND(Table1[Leaving Date]&gt;42460,Table1[Leaving Date]&lt;42826),IF(Table1[Date of Last Assessment]="",Table1[Physical Health],Table1[Physical Health2]),""))</f>
        <v/>
      </c>
      <c r="GK88" s="44" t="str">
        <f>IF(Table1[Leaving Date]="","",IF(AND(Table1[Leaving Date]&gt;42460,Table1[Leaving Date]&lt;42826),IF(Table1[Date of Last Assessment]="",Table1[Emotional and Mental Health],Table1[Emotional and Mental Health2]),""))</f>
        <v/>
      </c>
      <c r="GL88" s="44" t="str">
        <f>IF(Table1[Leaving Date]="","",IF(AND(Table1[Leaving Date]&gt;42460,Table1[Leaving Date]&lt;42826),IF(Table1[Date of Last Assessment]="",Table1[Meaningful Use of Time],Table1[Meaningful Use of Time2]),""))</f>
        <v/>
      </c>
      <c r="GM88" s="44" t="str">
        <f>IF(Table1[Leaving Date]="","",IF(AND(Table1[Leaving Date]&gt;42460,Table1[Leaving Date]&lt;42826),IF(Table1[Date of Last Assessment]="",Table1[Managing Tenancy and Accommodation],Table1[Managing Tenancy and Accommodation2]),""))</f>
        <v/>
      </c>
      <c r="GN88" s="44" t="str">
        <f>IF(Table1[Leaving Date]="","",IF(AND(Table1[Leaving Date]&gt;42460,Table1[Leaving Date]&lt;42826),IF(Table1[Date of Last Assessment]="",Table1[Offending],Table1[Offending2]),""))</f>
        <v/>
      </c>
    </row>
    <row r="89" spans="2:196" ht="20.100000000000001" customHeight="1" x14ac:dyDescent="0.2">
      <c r="B89" s="86">
        <f>+'Service Data'!$C$5:$C$5</f>
        <v>0</v>
      </c>
      <c r="C89" s="86"/>
      <c r="D89" s="86"/>
      <c r="E89" s="86"/>
      <c r="F89" s="86"/>
      <c r="G89" s="86"/>
      <c r="H89" s="6"/>
      <c r="I89" s="99" t="str">
        <f ca="1">IF(Table1[[#This Row],[Date of Birth]]="","",SUM(TODAY()-Table1[[#This Row],[Date of Birth]])/365)</f>
        <v/>
      </c>
      <c r="L89" s="86"/>
      <c r="M89" s="77"/>
      <c r="N89" s="86"/>
      <c r="O89" s="86"/>
      <c r="P89" s="91"/>
      <c r="Q89" s="86"/>
      <c r="R89" s="77"/>
      <c r="S89" s="77"/>
      <c r="T89" s="68"/>
      <c r="U89" s="68"/>
      <c r="V89" s="67"/>
      <c r="W89" s="67"/>
      <c r="X89" s="67"/>
      <c r="Y89" s="67"/>
      <c r="Z89" s="67"/>
      <c r="AA89" s="67"/>
      <c r="AB89" s="67"/>
      <c r="AC89" s="67"/>
      <c r="AD89" s="67"/>
      <c r="AE89" s="67"/>
      <c r="AF89" s="67"/>
      <c r="AG89" s="67"/>
      <c r="AH89" s="67"/>
      <c r="AI89" s="67"/>
      <c r="AJ89" s="67"/>
      <c r="AK89" s="67"/>
      <c r="AL89" s="67"/>
      <c r="AM89" s="67"/>
      <c r="AN89" s="77"/>
      <c r="AO89" s="76"/>
      <c r="AP89" s="77"/>
      <c r="AQ89" s="76"/>
      <c r="AR89" s="76"/>
      <c r="AS89" s="76"/>
      <c r="AT89" s="76"/>
      <c r="AU89" s="76"/>
      <c r="AV89" s="77"/>
      <c r="AW89" s="76"/>
      <c r="AX89" s="77"/>
      <c r="AY89" s="76"/>
      <c r="AZ89" s="76"/>
      <c r="BA89" s="76"/>
      <c r="BB89" s="76"/>
      <c r="BC89" s="76"/>
      <c r="BD89" s="77"/>
      <c r="BE89" s="76"/>
      <c r="BF89" s="77"/>
      <c r="BG89" s="76"/>
      <c r="BH89" s="76"/>
      <c r="BI89" s="76"/>
      <c r="BJ89" s="76"/>
      <c r="BK89" s="76"/>
      <c r="BL89" s="77"/>
      <c r="BM89" s="76"/>
      <c r="BN89" s="77"/>
      <c r="BO89" s="76"/>
      <c r="BP89" s="76"/>
      <c r="BQ89" s="76"/>
      <c r="BR89" s="76"/>
      <c r="BS89" s="76"/>
      <c r="BT89" s="77"/>
      <c r="BU89" s="76"/>
      <c r="BV89" s="77"/>
      <c r="BW89" s="76"/>
      <c r="BX89" s="76"/>
      <c r="BY89" s="76"/>
      <c r="BZ89" s="76"/>
      <c r="CA89" s="76"/>
      <c r="CB89" s="77"/>
      <c r="CC89" s="76"/>
      <c r="CD89" s="77"/>
      <c r="CE89" s="76"/>
      <c r="CF89" s="76"/>
      <c r="CG89" s="76"/>
      <c r="CH89" s="76"/>
      <c r="CI89" s="76"/>
      <c r="CJ89" s="77"/>
      <c r="CK89" s="76"/>
      <c r="CL89" s="77"/>
      <c r="CM89" s="76"/>
      <c r="CN89" s="76"/>
      <c r="CO89" s="76"/>
      <c r="CP89" s="76"/>
      <c r="CQ89" s="76"/>
      <c r="CR89" s="78" t="str">
        <f t="shared" si="31"/>
        <v/>
      </c>
      <c r="CS89" s="79" t="str">
        <f t="shared" si="32"/>
        <v/>
      </c>
      <c r="CT89" s="79" t="str">
        <f t="shared" si="33"/>
        <v/>
      </c>
      <c r="CU89" s="79" t="str">
        <f t="shared" si="34"/>
        <v/>
      </c>
      <c r="CV89" s="79" t="str">
        <f t="shared" si="35"/>
        <v/>
      </c>
      <c r="CW89" s="79" t="str">
        <f t="shared" si="36"/>
        <v/>
      </c>
      <c r="CX89" s="79" t="str">
        <f t="shared" si="37"/>
        <v/>
      </c>
      <c r="CY89" s="79" t="str">
        <f t="shared" si="38"/>
        <v/>
      </c>
      <c r="CZ89" s="79" t="str">
        <f t="shared" si="39"/>
        <v/>
      </c>
      <c r="DA89" s="79" t="str">
        <f t="shared" si="40"/>
        <v/>
      </c>
      <c r="DB89" s="79" t="str">
        <f t="shared" si="41"/>
        <v/>
      </c>
      <c r="DC89" s="79" t="str">
        <f t="shared" si="42"/>
        <v/>
      </c>
      <c r="DD89" s="79" t="str">
        <f t="shared" si="43"/>
        <v/>
      </c>
      <c r="DE89" s="79" t="str">
        <f t="shared" si="44"/>
        <v/>
      </c>
      <c r="DF89" s="79" t="str">
        <f t="shared" si="45"/>
        <v/>
      </c>
      <c r="DG89" s="79" t="str">
        <f t="shared" si="46"/>
        <v/>
      </c>
      <c r="DH89" s="76"/>
      <c r="DI89" s="78"/>
      <c r="DJ89" s="76"/>
      <c r="DK89" s="77"/>
      <c r="DL89" s="77"/>
      <c r="DM89" s="77"/>
      <c r="DN89" s="80"/>
      <c r="DO89" s="80"/>
      <c r="DP89" s="92" t="str">
        <f>IF(Table1[Start Date]="","",IF(Table1[Start Date]&gt;42185,"",IF(AND(Table1[Leaving Date]&gt;1,Table1[Leaving Date]&lt;42095),"",1)))</f>
        <v/>
      </c>
      <c r="DQ89" s="92" t="str">
        <f>IF(Table1[Start Date]="","",IF(Table1[Start Date]&gt;42277,"",IF(AND(Table1[Leaving Date]&gt;1,Table1[Leaving Date]&lt;42186),"",1)))</f>
        <v/>
      </c>
      <c r="DR89" s="92" t="str">
        <f>IF(Table1[Start Date]="","",IF(Table1[Start Date]&gt;42369,"",IF(AND(Table1[Leaving Date]&gt;1,Table1[Leaving Date]&lt;42278),"",1)))</f>
        <v/>
      </c>
      <c r="DS89" s="92" t="str">
        <f>IF(Table1[Start Date]="","",IF(Table1[Start Date]&gt;42460,"",IF(AND(Table1[Leaving Date]&gt;1,Table1[Leaving Date]&lt;42370),"",1)))</f>
        <v/>
      </c>
      <c r="DT89" s="92" t="str">
        <f>IF(Table1[Start Date]="","",IF(Table1[Start Date]&gt;42551,"",IF(AND(Table1[Leaving Date]&gt;1,Table1[Leaving Date]&lt;42461),"",1)))</f>
        <v/>
      </c>
      <c r="DU89" s="92" t="str">
        <f>IF(Table1[Start Date]="","",IF(Table1[Start Date]&gt;42643,"",IF(AND(Table1[Leaving Date]&gt;1,Table1[Leaving Date]&lt;42552),"",1)))</f>
        <v/>
      </c>
      <c r="DV89" s="92" t="str">
        <f>IF(Table1[Start Date]="","",IF(Table1[Start Date]&gt;42735,"",IF(AND(Table1[Leaving Date]&gt;1,Table1[Leaving Date]&lt;42644),"",1)))</f>
        <v/>
      </c>
      <c r="DW89" s="92" t="str">
        <f>IF(Table1[Start Date]="","",IF(Table1[Start Date]&gt;42825,"",IF(AND(Table1[Leaving Date]&gt;1,Table1[Leaving Date]&lt;42736),"",1)))</f>
        <v/>
      </c>
      <c r="DX89"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89" s="44" t="e">
        <f>VLOOKUP(Table1[Referral Source],Lists!$G$2:$H$20,2,FALSE)</f>
        <v>#N/A</v>
      </c>
      <c r="DZ89" s="93" t="e">
        <f>SUM(Table1[Data Referral Quarter]+Table1[Data Referral Source])</f>
        <v>#N/A</v>
      </c>
      <c r="EA89" s="44" t="b">
        <f>IF(Table1[Referral Decision]="Accepted",100,IF(Table1[Referral Decision]="Rejected by Provider",200,IF(Table1[Referral Decision]="Rejected by Applicant",300)))</f>
        <v>0</v>
      </c>
      <c r="EB89" s="44">
        <f>SUM(Table1[Data Referral Quarter]+Table1[Data Referral Decision])</f>
        <v>0</v>
      </c>
      <c r="EC89" s="44" t="b">
        <f>IF(Table1[Start Date]&gt;42735,8000,IF(Table1[Start Date]&gt;42643,7000,IF(Table1[Start Date]&gt;42551,6000,IF(Table1[Start Date]&gt;42460,5000,IF(Table1[Start Date]&gt;42369,4000,IF(Table1[Start Date]&gt;42277,3000,IF(Table1[Start Date]&gt;42185,2000,IF(Table1[Start Date]&gt;42094,1000))))))))</f>
        <v>0</v>
      </c>
      <c r="ED89" s="44" t="str">
        <f>IF(Table1[Start Date]="","",IF(Table1[Current Local Authority]="Swindon",1,"2"))</f>
        <v/>
      </c>
      <c r="EE89" s="44" t="e">
        <f>SUM(Table1[Data Start Date]+Table1[Data Local Authority])</f>
        <v>#VALUE!</v>
      </c>
      <c r="EF89" s="44">
        <f>IF(Table1[Registered with GP]="Yes",1,0)</f>
        <v>0</v>
      </c>
      <c r="EG89" s="44">
        <f>SUM(Table1[Data Start Date]+Table1[Data GP Start])</f>
        <v>0</v>
      </c>
      <c r="EH89" s="44" t="str">
        <f>IF(Table1[EET]="NEET",1,IF(Table1[EET]="Education",2,IF(Table1[EET]="Employment",2,IF(Table1[EET]="Training",2,IF(Table1[EET]="Retired",3,"")))))</f>
        <v/>
      </c>
      <c r="EI89" s="44" t="e">
        <f>Table1[Data Start Date]+Table1[Data EET Start]</f>
        <v>#VALUE!</v>
      </c>
      <c r="EJ89" s="44" t="b">
        <f>IF(Table1[Leaving Date]&gt;42735,8000,IF(Table1[Leaving Date]&gt;42643,7000,IF(Table1[Leaving Date]&gt;42551,6000,IF(Table1[Leaving Date]&gt;42460,5000,IF(Table1[Leaving Date]&gt;42369,4000,IF(Table1[Leaving Date]&gt;42277,3000,IF(Table1[Leaving Date]&gt;42185,2000,IF(Table1[Leaving Date]&gt;42094,1000))))))))</f>
        <v>0</v>
      </c>
      <c r="EK89" s="44" t="e">
        <f>VLOOKUP(Table1[Reason for Leaving],Lists!$T$2:$U$15,2,FALSE)</f>
        <v>#N/A</v>
      </c>
      <c r="EL89" s="44" t="e">
        <f>SUM(Table1[Data Leavers Date]+Table1[Data Move On])</f>
        <v>#N/A</v>
      </c>
      <c r="EM89" s="44" t="b">
        <f>IF(Table1[Registered with GP2]="Yes",1,IF(Table1[Registered with GP2]="No",0,IF(Table1[Registered with GP]="Yes",1,IF(Table1[Registered with GP]="No",0))))</f>
        <v>0</v>
      </c>
      <c r="EN89" s="44">
        <f>SUM(Table1[Data Leavers Date]+Table1[Data GP End])</f>
        <v>0</v>
      </c>
      <c r="EO89" s="44" t="str">
        <f>IF(Table1[EET2]="NEET",1,IF(Table1[EET2]="Employment",2,IF(Table1[EET2]="Education",2,IF(Table1[EET2]="Training",2,IF(Table1[EET2]="Retired",3,IF(Table1[EET]="NEET",1,IF(Table1[EET]="Employment",2,IF(Table1[EET]="Education",2,IF(Table1[EET]="Training",2,IF(Table1[EET]="Retired",3,""))))))))))</f>
        <v/>
      </c>
      <c r="EP89" s="44" t="e">
        <f>+Table1[[#This Row],[Data Leavers Date]]+Table1[[#This Row],[Data EET End]]</f>
        <v>#VALUE!</v>
      </c>
      <c r="EQ89" s="44">
        <f>IF(Table1[Exit Form Received]="Yes",1,0)</f>
        <v>0</v>
      </c>
      <c r="ER89" s="44">
        <f>+Table1[[#This Row],[Data Leavers Date]]+Table1[[#This Row],[Data Exit Forms]]</f>
        <v>0</v>
      </c>
      <c r="ES89" s="44" t="str">
        <f>IF(Table1[Data Leavers Date]=1000,SUM(Table1[Leaving Date]-Table1[Start Date]),"")</f>
        <v/>
      </c>
      <c r="ET89" s="44" t="str">
        <f>IF(Table1[Data Leavers Date]=2000,SUM(Table1[Leaving Date]-Table1[Start Date]),"")</f>
        <v/>
      </c>
      <c r="EU89" s="44" t="str">
        <f>IF(Table1[Data Leavers Date]=3000,SUM(Table1[Leaving Date]-Table1[Start Date]),"")</f>
        <v/>
      </c>
      <c r="EV89" s="44" t="str">
        <f>IF(Table1[Data Leavers Date]=4000,SUM(Table1[Leaving Date]-Table1[Start Date]),"")</f>
        <v/>
      </c>
      <c r="EW89" s="44" t="str">
        <f>IF(Table1[Data Leavers Date]=5000,SUM(Table1[Leaving Date]-Table1[Start Date]),"")</f>
        <v/>
      </c>
      <c r="EX89" s="44" t="str">
        <f>IF(Table1[Data Leavers Date]=6000,SUM(Table1[Leaving Date]-Table1[Start Date]),"")</f>
        <v/>
      </c>
      <c r="EY89" s="44" t="str">
        <f>IF(Table1[Data Leavers Date]=7000,SUM(Table1[Leaving Date]-Table1[Start Date]),"")</f>
        <v/>
      </c>
      <c r="EZ89" s="44" t="str">
        <f>IF(Table1[Data Leavers Date]=8000,SUM(Table1[Leaving Date]-Table1[Start Date]),"")</f>
        <v/>
      </c>
      <c r="FA89" s="44" t="str">
        <f>IF(Table1[Date of Initial Assessment]="","",IF(AND(Table1[Start Date]&gt;42094,Table1[Start Date]&lt;42461),Table1[Motivation and Taking Responsibility],""))</f>
        <v/>
      </c>
      <c r="FB89" s="44" t="str">
        <f>IF(Table1[Date of Initial Assessment]="","",IF(AND(Table1[Start Date]&gt;42094,Table1[Start Date]&lt;42461),Table1[Self-Care and Living Skills],""))</f>
        <v/>
      </c>
      <c r="FC89" s="44" t="str">
        <f>IF(Table1[Date of Initial Assessment]="","",IF(AND(Table1[Start Date]&gt;42094,Table1[Start Date]&lt;42461),Table1[Managing Money and Personal Administration],""))</f>
        <v/>
      </c>
      <c r="FD89" s="44" t="str">
        <f>IF(Table1[Date of Initial Assessment]="","",IF(AND(Table1[Start Date]&gt;42094,Table1[Start Date]&lt;42461),Table1[Social Networks and Relationships],""))</f>
        <v/>
      </c>
      <c r="FE89" s="44" t="str">
        <f>IF(Table1[Date of Initial Assessment]="","",IF(AND(Table1[Start Date]&gt;42094,Table1[Start Date]&lt;42461),Table1[Drug and Alcohol Misuse],""))</f>
        <v/>
      </c>
      <c r="FF89" s="44" t="str">
        <f>IF(Table1[Date of Initial Assessment]="","",IF(AND(Table1[Start Date]&gt;42094,Table1[Start Date]&lt;42461),Table1[Physical Health],""))</f>
        <v/>
      </c>
      <c r="FG89" s="44" t="str">
        <f>IF(Table1[Date of Initial Assessment]="","",IF(AND(Table1[Start Date]&gt;42094,Table1[Start Date]&lt;42461),Table1[Emotional and Mental Health],""))</f>
        <v/>
      </c>
      <c r="FH89" s="44" t="str">
        <f>IF(Table1[Date of Initial Assessment]="","",IF(AND(Table1[Start Date]&gt;42094,Table1[Start Date]&lt;42461),Table1[Meaningful Use of Time],""))</f>
        <v/>
      </c>
      <c r="FI89" s="44" t="str">
        <f>IF(Table1[Date of Initial Assessment]="","",IF(AND(Table1[Start Date]&gt;42094,Table1[Start Date]&lt;42461),Table1[Managing Tenancy and Accommodation],""))</f>
        <v/>
      </c>
      <c r="FJ89" s="44" t="str">
        <f>IF(Table1[Date of Initial Assessment]="","",IF(AND(Table1[Start Date]&gt;42094,Table1[Start Date]&lt;42461),Table1[Offending],""))</f>
        <v/>
      </c>
      <c r="FK89" s="44" t="str">
        <f>IF(Table1[Leaving Date]="","",IF(Table1[Date of Initial Assessment]="","",IF(AND(Table1[Leaving Date]&gt;42094,Table1[Leaving Date]&lt;42461),IF(Table1[Date of Last Assessment]="",Table1[Motivation and Taking Responsibility],Table1[Motivation and Taking Responsibility2]),"")))</f>
        <v/>
      </c>
      <c r="FL89" s="44" t="str">
        <f>IF(Table1[Leaving Date]="","",IF(Table1[Date of Initial Assessment]="","",IF(AND(Table1[Leaving Date]&gt;42094,Table1[Leaving Date]&lt;42461),IF(Table1[Date of Last Assessment]="",Table1[Self-Care and Living Skills],Table1[Self-Care and Living Skills2]),"")))</f>
        <v/>
      </c>
      <c r="FM89" s="44" t="str">
        <f>IF(Table1[Leaving Date]="","",IF(Table1[Date of Initial Assessment]="","",IF(AND(Table1[Leaving Date]&gt;42094,Table1[Leaving Date]&lt;42461),IF(Table1[Date of Last Assessment]="",Table1[Managing Money and Personal Administration],Table1[Managing Money and Personal Administration2]),"")))</f>
        <v/>
      </c>
      <c r="FN89" s="44" t="str">
        <f>IF(Table1[Leaving Date]="","",IF(Table1[Date of Initial Assessment]="","",IF(AND(Table1[Leaving Date]&gt;42094,Table1[Leaving Date]&lt;42461),IF(Table1[Date of Last Assessment]="",Table1[Social Networks and Relationships],Table1[Social Networks and Relationships2]),"")))</f>
        <v/>
      </c>
      <c r="FO89" s="44" t="str">
        <f>IF(Table1[Leaving Date]="","",IF(Table1[Date of Initial Assessment]="","",IF(AND(Table1[Leaving Date]&gt;42094,Table1[Leaving Date]&lt;42461),IF(Table1[Date of Last Assessment]="",Table1[Drug and Alcohol Misuse],Table1[Drug and Alcohol Misuse2]),"")))</f>
        <v/>
      </c>
      <c r="FP89" s="44" t="str">
        <f>IF(Table1[Leaving Date]="","",IF(Table1[Date of Initial Assessment]="","",IF(AND(Table1[Leaving Date]&gt;42094,Table1[Leaving Date]&lt;42461),IF(Table1[Date of Last Assessment]="",Table1[Physical Health],Table1[Physical Health2]),"")))</f>
        <v/>
      </c>
      <c r="FQ89" s="44" t="str">
        <f>IF(Table1[Leaving Date]="","",IF(Table1[Date of Initial Assessment]="","",IF(AND(Table1[Leaving Date]&gt;42094,Table1[Leaving Date]&lt;42461),IF(Table1[Date of Last Assessment]="",Table1[Emotional and Mental Health],Table1[Emotional and Mental Health2]),"")))</f>
        <v/>
      </c>
      <c r="FR89" s="44" t="str">
        <f>IF(Table1[Leaving Date]="","",IF(Table1[Date of Initial Assessment]="","",IF(AND(Table1[Leaving Date]&gt;42094,Table1[Leaving Date]&lt;42461),IF(Table1[Date of Last Assessment]="",Table1[Meaningful Use of Time],Table1[Meaningful Use of Time2]),"")))</f>
        <v/>
      </c>
      <c r="FS89" s="44" t="str">
        <f>IF(Table1[Leaving Date]="","",IF(Table1[Date of Initial Assessment]="","",IF(AND(Table1[Leaving Date]&gt;42094,Table1[Leaving Date]&lt;42461),IF(Table1[Date of Last Assessment]="",Table1[Managing Tenancy and Accommodation],Table1[Managing Tenancy and Accommodation2]),"")))</f>
        <v/>
      </c>
      <c r="FT89" s="44" t="str">
        <f>IF(Table1[Leaving Date]="","",IF(Table1[Date of Initial Assessment]="","",IF(AND(Table1[Leaving Date]&gt;42094,Table1[Leaving Date]&lt;42461),IF(Table1[Date of Last Assessment]="",Table1[Offending],Table1[Offending2]),"")))</f>
        <v/>
      </c>
      <c r="FU89" s="44" t="str">
        <f>IF(Table1[Date of Initial Assessment]="","",IF(AND(Table1[Start Date]&gt;42460,Table1[Start Date]&lt;42826),Table1[Motivation and Taking Responsibility],""))</f>
        <v/>
      </c>
      <c r="FV89" s="44" t="str">
        <f>IF(Table1[Date of Initial Assessment]="","",IF(AND(Table1[Start Date]&gt;42460,Table1[Start Date]&lt;42826),Table1[Self-Care and Living Skills],""))</f>
        <v/>
      </c>
      <c r="FW89" s="44" t="str">
        <f>IF(Table1[Date of Initial Assessment]="","",IF(AND(Table1[Start Date]&gt;42460,Table1[Start Date]&lt;42826),Table1[Managing Money and Personal Administration],""))</f>
        <v/>
      </c>
      <c r="FX89" s="44" t="str">
        <f>IF(Table1[Date of Initial Assessment]="","",IF(AND(Table1[Start Date]&gt;42460,Table1[Start Date]&lt;42826),Table1[Social Networks and Relationships],""))</f>
        <v/>
      </c>
      <c r="FY89" s="44" t="str">
        <f>IF(Table1[Date of Initial Assessment]="","",IF(AND(Table1[Start Date]&gt;42460,Table1[Start Date]&lt;42826),Table1[Drug and Alcohol Misuse],""))</f>
        <v/>
      </c>
      <c r="FZ89" s="44" t="str">
        <f>IF(Table1[Date of Initial Assessment]="","",IF(AND(Table1[Start Date]&gt;42460,Table1[Start Date]&lt;42826),Table1[Physical Health],""))</f>
        <v/>
      </c>
      <c r="GA89" s="44" t="str">
        <f>IF(Table1[Date of Initial Assessment]="","",IF(AND(Table1[Start Date]&gt;42460,Table1[Start Date]&lt;42826),Table1[Emotional and Mental Health],""))</f>
        <v/>
      </c>
      <c r="GB89" s="44" t="str">
        <f>IF(Table1[Date of Initial Assessment]="","",IF(AND(Table1[Start Date]&gt;42460,Table1[Start Date]&lt;42826),Table1[Meaningful Use of Time],""))</f>
        <v/>
      </c>
      <c r="GC89" s="44" t="str">
        <f>IF(Table1[Date of Initial Assessment]="","",IF(AND(Table1[Start Date]&gt;42460,Table1[Start Date]&lt;42826),Table1[Managing Tenancy and Accommodation],""))</f>
        <v/>
      </c>
      <c r="GD89" s="44" t="str">
        <f>IF(Table1[Date of Initial Assessment]="","",IF(AND(Table1[Start Date]&gt;42460,Table1[Start Date]&lt;42826),Table1[Offending],""))</f>
        <v/>
      </c>
      <c r="GE89" s="44" t="str">
        <f>IF(Table1[Leaving Date]="","",IF(AND(Table1[Leaving Date]&gt;42460,Table1[Leaving Date]&lt;42826),IF(Table1[Date of Last Assessment]="",Table1[Motivation and Taking Responsibility],Table1[Motivation and Taking Responsibility2]),""))</f>
        <v/>
      </c>
      <c r="GF89" s="44" t="str">
        <f>IF(Table1[Leaving Date]="","",IF(AND(Table1[Leaving Date]&gt;42460,Table1[Leaving Date]&lt;42826),IF(Table1[Date of Last Assessment]="",Table1[Self-Care and Living Skills],Table1[Self-Care and Living Skills2]),""))</f>
        <v/>
      </c>
      <c r="GG89" s="44" t="str">
        <f>IF(Table1[Leaving Date]="","",IF(AND(Table1[Leaving Date]&gt;42460,Table1[Leaving Date]&lt;42826),IF(Table1[Date of Last Assessment]="",Table1[Managing Money and Personal Administration],Table1[Managing Money and Personal Administration2]),""))</f>
        <v/>
      </c>
      <c r="GH89" s="44" t="str">
        <f>IF(Table1[Leaving Date]="","",IF(AND(Table1[Leaving Date]&gt;42460,Table1[Leaving Date]&lt;42826),IF(Table1[Date of Last Assessment]="",Table1[Social Networks and Relationships],Table1[Social Networks and Relationships2]),""))</f>
        <v/>
      </c>
      <c r="GI89" s="44" t="str">
        <f>IF(Table1[Leaving Date]="","",IF(AND(Table1[Leaving Date]&gt;42460,Table1[Leaving Date]&lt;42826),IF(Table1[Date of Last Assessment]="",Table1[Drug and Alcohol Misuse],Table1[Drug and Alcohol Misuse2]),""))</f>
        <v/>
      </c>
      <c r="GJ89" s="44" t="str">
        <f>IF(Table1[Leaving Date]="","",IF(AND(Table1[Leaving Date]&gt;42460,Table1[Leaving Date]&lt;42826),IF(Table1[Date of Last Assessment]="",Table1[Physical Health],Table1[Physical Health2]),""))</f>
        <v/>
      </c>
      <c r="GK89" s="44" t="str">
        <f>IF(Table1[Leaving Date]="","",IF(AND(Table1[Leaving Date]&gt;42460,Table1[Leaving Date]&lt;42826),IF(Table1[Date of Last Assessment]="",Table1[Emotional and Mental Health],Table1[Emotional and Mental Health2]),""))</f>
        <v/>
      </c>
      <c r="GL89" s="44" t="str">
        <f>IF(Table1[Leaving Date]="","",IF(AND(Table1[Leaving Date]&gt;42460,Table1[Leaving Date]&lt;42826),IF(Table1[Date of Last Assessment]="",Table1[Meaningful Use of Time],Table1[Meaningful Use of Time2]),""))</f>
        <v/>
      </c>
      <c r="GM89" s="44" t="str">
        <f>IF(Table1[Leaving Date]="","",IF(AND(Table1[Leaving Date]&gt;42460,Table1[Leaving Date]&lt;42826),IF(Table1[Date of Last Assessment]="",Table1[Managing Tenancy and Accommodation],Table1[Managing Tenancy and Accommodation2]),""))</f>
        <v/>
      </c>
      <c r="GN89" s="44" t="str">
        <f>IF(Table1[Leaving Date]="","",IF(AND(Table1[Leaving Date]&gt;42460,Table1[Leaving Date]&lt;42826),IF(Table1[Date of Last Assessment]="",Table1[Offending],Table1[Offending2]),""))</f>
        <v/>
      </c>
    </row>
    <row r="90" spans="2:196" ht="20.100000000000001" customHeight="1" x14ac:dyDescent="0.2">
      <c r="B90" s="86">
        <f>+'Service Data'!$C$5:$C$5</f>
        <v>0</v>
      </c>
      <c r="C90" s="86"/>
      <c r="D90" s="86"/>
      <c r="E90" s="86"/>
      <c r="F90" s="86"/>
      <c r="G90" s="86"/>
      <c r="H90" s="6"/>
      <c r="I90" s="99" t="str">
        <f ca="1">IF(Table1[[#This Row],[Date of Birth]]="","",SUM(TODAY()-Table1[[#This Row],[Date of Birth]])/365)</f>
        <v/>
      </c>
      <c r="L90" s="86"/>
      <c r="M90" s="77"/>
      <c r="N90" s="86"/>
      <c r="O90" s="86"/>
      <c r="P90" s="91"/>
      <c r="Q90" s="86"/>
      <c r="R90" s="77"/>
      <c r="S90" s="77"/>
      <c r="T90" s="68"/>
      <c r="U90" s="68"/>
      <c r="V90" s="67"/>
      <c r="W90" s="67"/>
      <c r="X90" s="67"/>
      <c r="Y90" s="67"/>
      <c r="Z90" s="67"/>
      <c r="AA90" s="67"/>
      <c r="AB90" s="67"/>
      <c r="AC90" s="67"/>
      <c r="AD90" s="67"/>
      <c r="AE90" s="67"/>
      <c r="AF90" s="67"/>
      <c r="AG90" s="67"/>
      <c r="AH90" s="67"/>
      <c r="AI90" s="67"/>
      <c r="AJ90" s="67"/>
      <c r="AK90" s="67"/>
      <c r="AL90" s="67"/>
      <c r="AM90" s="67"/>
      <c r="AN90" s="77"/>
      <c r="AO90" s="76"/>
      <c r="AP90" s="77"/>
      <c r="AQ90" s="76"/>
      <c r="AR90" s="76"/>
      <c r="AS90" s="76"/>
      <c r="AT90" s="76"/>
      <c r="AU90" s="76"/>
      <c r="AV90" s="77"/>
      <c r="AW90" s="76"/>
      <c r="AX90" s="77"/>
      <c r="AY90" s="76"/>
      <c r="AZ90" s="76"/>
      <c r="BA90" s="76"/>
      <c r="BB90" s="76"/>
      <c r="BC90" s="76"/>
      <c r="BD90" s="77"/>
      <c r="BE90" s="76"/>
      <c r="BF90" s="77"/>
      <c r="BG90" s="76"/>
      <c r="BH90" s="76"/>
      <c r="BI90" s="76"/>
      <c r="BJ90" s="76"/>
      <c r="BK90" s="76"/>
      <c r="BL90" s="77"/>
      <c r="BM90" s="76"/>
      <c r="BN90" s="77"/>
      <c r="BO90" s="76"/>
      <c r="BP90" s="76"/>
      <c r="BQ90" s="76"/>
      <c r="BR90" s="76"/>
      <c r="BS90" s="76"/>
      <c r="BT90" s="77"/>
      <c r="BU90" s="76"/>
      <c r="BV90" s="77"/>
      <c r="BW90" s="76"/>
      <c r="BX90" s="76"/>
      <c r="BY90" s="76"/>
      <c r="BZ90" s="76"/>
      <c r="CA90" s="76"/>
      <c r="CB90" s="77"/>
      <c r="CC90" s="76"/>
      <c r="CD90" s="77"/>
      <c r="CE90" s="76"/>
      <c r="CF90" s="76"/>
      <c r="CG90" s="76"/>
      <c r="CH90" s="76"/>
      <c r="CI90" s="76"/>
      <c r="CJ90" s="77"/>
      <c r="CK90" s="76"/>
      <c r="CL90" s="77"/>
      <c r="CM90" s="76"/>
      <c r="CN90" s="76"/>
      <c r="CO90" s="76"/>
      <c r="CP90" s="76"/>
      <c r="CQ90" s="76"/>
      <c r="CR90" s="78" t="str">
        <f t="shared" si="31"/>
        <v/>
      </c>
      <c r="CS90" s="79" t="str">
        <f t="shared" si="32"/>
        <v/>
      </c>
      <c r="CT90" s="79" t="str">
        <f t="shared" si="33"/>
        <v/>
      </c>
      <c r="CU90" s="79" t="str">
        <f t="shared" si="34"/>
        <v/>
      </c>
      <c r="CV90" s="79" t="str">
        <f t="shared" si="35"/>
        <v/>
      </c>
      <c r="CW90" s="79" t="str">
        <f t="shared" si="36"/>
        <v/>
      </c>
      <c r="CX90" s="79" t="str">
        <f t="shared" si="37"/>
        <v/>
      </c>
      <c r="CY90" s="79" t="str">
        <f t="shared" si="38"/>
        <v/>
      </c>
      <c r="CZ90" s="79" t="str">
        <f t="shared" si="39"/>
        <v/>
      </c>
      <c r="DA90" s="79" t="str">
        <f t="shared" si="40"/>
        <v/>
      </c>
      <c r="DB90" s="79" t="str">
        <f t="shared" si="41"/>
        <v/>
      </c>
      <c r="DC90" s="79" t="str">
        <f t="shared" si="42"/>
        <v/>
      </c>
      <c r="DD90" s="79" t="str">
        <f t="shared" si="43"/>
        <v/>
      </c>
      <c r="DE90" s="79" t="str">
        <f t="shared" si="44"/>
        <v/>
      </c>
      <c r="DF90" s="79" t="str">
        <f t="shared" si="45"/>
        <v/>
      </c>
      <c r="DG90" s="79" t="str">
        <f t="shared" si="46"/>
        <v/>
      </c>
      <c r="DH90" s="76"/>
      <c r="DI90" s="78"/>
      <c r="DJ90" s="76"/>
      <c r="DK90" s="77"/>
      <c r="DL90" s="77"/>
      <c r="DM90" s="77"/>
      <c r="DN90" s="80"/>
      <c r="DO90" s="80"/>
      <c r="DP90" s="92" t="str">
        <f>IF(Table1[Start Date]="","",IF(Table1[Start Date]&gt;42185,"",IF(AND(Table1[Leaving Date]&gt;1,Table1[Leaving Date]&lt;42095),"",1)))</f>
        <v/>
      </c>
      <c r="DQ90" s="92" t="str">
        <f>IF(Table1[Start Date]="","",IF(Table1[Start Date]&gt;42277,"",IF(AND(Table1[Leaving Date]&gt;1,Table1[Leaving Date]&lt;42186),"",1)))</f>
        <v/>
      </c>
      <c r="DR90" s="92" t="str">
        <f>IF(Table1[Start Date]="","",IF(Table1[Start Date]&gt;42369,"",IF(AND(Table1[Leaving Date]&gt;1,Table1[Leaving Date]&lt;42278),"",1)))</f>
        <v/>
      </c>
      <c r="DS90" s="92" t="str">
        <f>IF(Table1[Start Date]="","",IF(Table1[Start Date]&gt;42460,"",IF(AND(Table1[Leaving Date]&gt;1,Table1[Leaving Date]&lt;42370),"",1)))</f>
        <v/>
      </c>
      <c r="DT90" s="92" t="str">
        <f>IF(Table1[Start Date]="","",IF(Table1[Start Date]&gt;42551,"",IF(AND(Table1[Leaving Date]&gt;1,Table1[Leaving Date]&lt;42461),"",1)))</f>
        <v/>
      </c>
      <c r="DU90" s="92" t="str">
        <f>IF(Table1[Start Date]="","",IF(Table1[Start Date]&gt;42643,"",IF(AND(Table1[Leaving Date]&gt;1,Table1[Leaving Date]&lt;42552),"",1)))</f>
        <v/>
      </c>
      <c r="DV90" s="92" t="str">
        <f>IF(Table1[Start Date]="","",IF(Table1[Start Date]&gt;42735,"",IF(AND(Table1[Leaving Date]&gt;1,Table1[Leaving Date]&lt;42644),"",1)))</f>
        <v/>
      </c>
      <c r="DW90" s="92" t="str">
        <f>IF(Table1[Start Date]="","",IF(Table1[Start Date]&gt;42825,"",IF(AND(Table1[Leaving Date]&gt;1,Table1[Leaving Date]&lt;42736),"",1)))</f>
        <v/>
      </c>
      <c r="DX90"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90" s="44" t="e">
        <f>VLOOKUP(Table1[Referral Source],Lists!$G$2:$H$20,2,FALSE)</f>
        <v>#N/A</v>
      </c>
      <c r="DZ90" s="93" t="e">
        <f>SUM(Table1[Data Referral Quarter]+Table1[Data Referral Source])</f>
        <v>#N/A</v>
      </c>
      <c r="EA90" s="44" t="b">
        <f>IF(Table1[Referral Decision]="Accepted",100,IF(Table1[Referral Decision]="Rejected by Provider",200,IF(Table1[Referral Decision]="Rejected by Applicant",300)))</f>
        <v>0</v>
      </c>
      <c r="EB90" s="44">
        <f>SUM(Table1[Data Referral Quarter]+Table1[Data Referral Decision])</f>
        <v>0</v>
      </c>
      <c r="EC90" s="44" t="b">
        <f>IF(Table1[Start Date]&gt;42735,8000,IF(Table1[Start Date]&gt;42643,7000,IF(Table1[Start Date]&gt;42551,6000,IF(Table1[Start Date]&gt;42460,5000,IF(Table1[Start Date]&gt;42369,4000,IF(Table1[Start Date]&gt;42277,3000,IF(Table1[Start Date]&gt;42185,2000,IF(Table1[Start Date]&gt;42094,1000))))))))</f>
        <v>0</v>
      </c>
      <c r="ED90" s="44" t="str">
        <f>IF(Table1[Start Date]="","",IF(Table1[Current Local Authority]="Swindon",1,"2"))</f>
        <v/>
      </c>
      <c r="EE90" s="44" t="e">
        <f>SUM(Table1[Data Start Date]+Table1[Data Local Authority])</f>
        <v>#VALUE!</v>
      </c>
      <c r="EF90" s="44">
        <f>IF(Table1[Registered with GP]="Yes",1,0)</f>
        <v>0</v>
      </c>
      <c r="EG90" s="44">
        <f>SUM(Table1[Data Start Date]+Table1[Data GP Start])</f>
        <v>0</v>
      </c>
      <c r="EH90" s="44" t="str">
        <f>IF(Table1[EET]="NEET",1,IF(Table1[EET]="Education",2,IF(Table1[EET]="Employment",2,IF(Table1[EET]="Training",2,IF(Table1[EET]="Retired",3,"")))))</f>
        <v/>
      </c>
      <c r="EI90" s="44" t="e">
        <f>Table1[Data Start Date]+Table1[Data EET Start]</f>
        <v>#VALUE!</v>
      </c>
      <c r="EJ90" s="44" t="b">
        <f>IF(Table1[Leaving Date]&gt;42735,8000,IF(Table1[Leaving Date]&gt;42643,7000,IF(Table1[Leaving Date]&gt;42551,6000,IF(Table1[Leaving Date]&gt;42460,5000,IF(Table1[Leaving Date]&gt;42369,4000,IF(Table1[Leaving Date]&gt;42277,3000,IF(Table1[Leaving Date]&gt;42185,2000,IF(Table1[Leaving Date]&gt;42094,1000))))))))</f>
        <v>0</v>
      </c>
      <c r="EK90" s="44" t="e">
        <f>VLOOKUP(Table1[Reason for Leaving],Lists!$T$2:$U$15,2,FALSE)</f>
        <v>#N/A</v>
      </c>
      <c r="EL90" s="44" t="e">
        <f>SUM(Table1[Data Leavers Date]+Table1[Data Move On])</f>
        <v>#N/A</v>
      </c>
      <c r="EM90" s="44" t="b">
        <f>IF(Table1[Registered with GP2]="Yes",1,IF(Table1[Registered with GP2]="No",0,IF(Table1[Registered with GP]="Yes",1,IF(Table1[Registered with GP]="No",0))))</f>
        <v>0</v>
      </c>
      <c r="EN90" s="44">
        <f>SUM(Table1[Data Leavers Date]+Table1[Data GP End])</f>
        <v>0</v>
      </c>
      <c r="EO90" s="44" t="str">
        <f>IF(Table1[EET2]="NEET",1,IF(Table1[EET2]="Employment",2,IF(Table1[EET2]="Education",2,IF(Table1[EET2]="Training",2,IF(Table1[EET2]="Retired",3,IF(Table1[EET]="NEET",1,IF(Table1[EET]="Employment",2,IF(Table1[EET]="Education",2,IF(Table1[EET]="Training",2,IF(Table1[EET]="Retired",3,""))))))))))</f>
        <v/>
      </c>
      <c r="EP90" s="44" t="e">
        <f>+Table1[[#This Row],[Data Leavers Date]]+Table1[[#This Row],[Data EET End]]</f>
        <v>#VALUE!</v>
      </c>
      <c r="EQ90" s="44">
        <f>IF(Table1[Exit Form Received]="Yes",1,0)</f>
        <v>0</v>
      </c>
      <c r="ER90" s="44">
        <f>+Table1[[#This Row],[Data Leavers Date]]+Table1[[#This Row],[Data Exit Forms]]</f>
        <v>0</v>
      </c>
      <c r="ES90" s="44" t="str">
        <f>IF(Table1[Data Leavers Date]=1000,SUM(Table1[Leaving Date]-Table1[Start Date]),"")</f>
        <v/>
      </c>
      <c r="ET90" s="44" t="str">
        <f>IF(Table1[Data Leavers Date]=2000,SUM(Table1[Leaving Date]-Table1[Start Date]),"")</f>
        <v/>
      </c>
      <c r="EU90" s="44" t="str">
        <f>IF(Table1[Data Leavers Date]=3000,SUM(Table1[Leaving Date]-Table1[Start Date]),"")</f>
        <v/>
      </c>
      <c r="EV90" s="44" t="str">
        <f>IF(Table1[Data Leavers Date]=4000,SUM(Table1[Leaving Date]-Table1[Start Date]),"")</f>
        <v/>
      </c>
      <c r="EW90" s="44" t="str">
        <f>IF(Table1[Data Leavers Date]=5000,SUM(Table1[Leaving Date]-Table1[Start Date]),"")</f>
        <v/>
      </c>
      <c r="EX90" s="44" t="str">
        <f>IF(Table1[Data Leavers Date]=6000,SUM(Table1[Leaving Date]-Table1[Start Date]),"")</f>
        <v/>
      </c>
      <c r="EY90" s="44" t="str">
        <f>IF(Table1[Data Leavers Date]=7000,SUM(Table1[Leaving Date]-Table1[Start Date]),"")</f>
        <v/>
      </c>
      <c r="EZ90" s="44" t="str">
        <f>IF(Table1[Data Leavers Date]=8000,SUM(Table1[Leaving Date]-Table1[Start Date]),"")</f>
        <v/>
      </c>
      <c r="FA90" s="44" t="str">
        <f>IF(Table1[Date of Initial Assessment]="","",IF(AND(Table1[Start Date]&gt;42094,Table1[Start Date]&lt;42461),Table1[Motivation and Taking Responsibility],""))</f>
        <v/>
      </c>
      <c r="FB90" s="44" t="str">
        <f>IF(Table1[Date of Initial Assessment]="","",IF(AND(Table1[Start Date]&gt;42094,Table1[Start Date]&lt;42461),Table1[Self-Care and Living Skills],""))</f>
        <v/>
      </c>
      <c r="FC90" s="44" t="str">
        <f>IF(Table1[Date of Initial Assessment]="","",IF(AND(Table1[Start Date]&gt;42094,Table1[Start Date]&lt;42461),Table1[Managing Money and Personal Administration],""))</f>
        <v/>
      </c>
      <c r="FD90" s="44" t="str">
        <f>IF(Table1[Date of Initial Assessment]="","",IF(AND(Table1[Start Date]&gt;42094,Table1[Start Date]&lt;42461),Table1[Social Networks and Relationships],""))</f>
        <v/>
      </c>
      <c r="FE90" s="44" t="str">
        <f>IF(Table1[Date of Initial Assessment]="","",IF(AND(Table1[Start Date]&gt;42094,Table1[Start Date]&lt;42461),Table1[Drug and Alcohol Misuse],""))</f>
        <v/>
      </c>
      <c r="FF90" s="44" t="str">
        <f>IF(Table1[Date of Initial Assessment]="","",IF(AND(Table1[Start Date]&gt;42094,Table1[Start Date]&lt;42461),Table1[Physical Health],""))</f>
        <v/>
      </c>
      <c r="FG90" s="44" t="str">
        <f>IF(Table1[Date of Initial Assessment]="","",IF(AND(Table1[Start Date]&gt;42094,Table1[Start Date]&lt;42461),Table1[Emotional and Mental Health],""))</f>
        <v/>
      </c>
      <c r="FH90" s="44" t="str">
        <f>IF(Table1[Date of Initial Assessment]="","",IF(AND(Table1[Start Date]&gt;42094,Table1[Start Date]&lt;42461),Table1[Meaningful Use of Time],""))</f>
        <v/>
      </c>
      <c r="FI90" s="44" t="str">
        <f>IF(Table1[Date of Initial Assessment]="","",IF(AND(Table1[Start Date]&gt;42094,Table1[Start Date]&lt;42461),Table1[Managing Tenancy and Accommodation],""))</f>
        <v/>
      </c>
      <c r="FJ90" s="44" t="str">
        <f>IF(Table1[Date of Initial Assessment]="","",IF(AND(Table1[Start Date]&gt;42094,Table1[Start Date]&lt;42461),Table1[Offending],""))</f>
        <v/>
      </c>
      <c r="FK90" s="44" t="str">
        <f>IF(Table1[Leaving Date]="","",IF(Table1[Date of Initial Assessment]="","",IF(AND(Table1[Leaving Date]&gt;42094,Table1[Leaving Date]&lt;42461),IF(Table1[Date of Last Assessment]="",Table1[Motivation and Taking Responsibility],Table1[Motivation and Taking Responsibility2]),"")))</f>
        <v/>
      </c>
      <c r="FL90" s="44" t="str">
        <f>IF(Table1[Leaving Date]="","",IF(Table1[Date of Initial Assessment]="","",IF(AND(Table1[Leaving Date]&gt;42094,Table1[Leaving Date]&lt;42461),IF(Table1[Date of Last Assessment]="",Table1[Self-Care and Living Skills],Table1[Self-Care and Living Skills2]),"")))</f>
        <v/>
      </c>
      <c r="FM90" s="44" t="str">
        <f>IF(Table1[Leaving Date]="","",IF(Table1[Date of Initial Assessment]="","",IF(AND(Table1[Leaving Date]&gt;42094,Table1[Leaving Date]&lt;42461),IF(Table1[Date of Last Assessment]="",Table1[Managing Money and Personal Administration],Table1[Managing Money and Personal Administration2]),"")))</f>
        <v/>
      </c>
      <c r="FN90" s="44" t="str">
        <f>IF(Table1[Leaving Date]="","",IF(Table1[Date of Initial Assessment]="","",IF(AND(Table1[Leaving Date]&gt;42094,Table1[Leaving Date]&lt;42461),IF(Table1[Date of Last Assessment]="",Table1[Social Networks and Relationships],Table1[Social Networks and Relationships2]),"")))</f>
        <v/>
      </c>
      <c r="FO90" s="44" t="str">
        <f>IF(Table1[Leaving Date]="","",IF(Table1[Date of Initial Assessment]="","",IF(AND(Table1[Leaving Date]&gt;42094,Table1[Leaving Date]&lt;42461),IF(Table1[Date of Last Assessment]="",Table1[Drug and Alcohol Misuse],Table1[Drug and Alcohol Misuse2]),"")))</f>
        <v/>
      </c>
      <c r="FP90" s="44" t="str">
        <f>IF(Table1[Leaving Date]="","",IF(Table1[Date of Initial Assessment]="","",IF(AND(Table1[Leaving Date]&gt;42094,Table1[Leaving Date]&lt;42461),IF(Table1[Date of Last Assessment]="",Table1[Physical Health],Table1[Physical Health2]),"")))</f>
        <v/>
      </c>
      <c r="FQ90" s="44" t="str">
        <f>IF(Table1[Leaving Date]="","",IF(Table1[Date of Initial Assessment]="","",IF(AND(Table1[Leaving Date]&gt;42094,Table1[Leaving Date]&lt;42461),IF(Table1[Date of Last Assessment]="",Table1[Emotional and Mental Health],Table1[Emotional and Mental Health2]),"")))</f>
        <v/>
      </c>
      <c r="FR90" s="44" t="str">
        <f>IF(Table1[Leaving Date]="","",IF(Table1[Date of Initial Assessment]="","",IF(AND(Table1[Leaving Date]&gt;42094,Table1[Leaving Date]&lt;42461),IF(Table1[Date of Last Assessment]="",Table1[Meaningful Use of Time],Table1[Meaningful Use of Time2]),"")))</f>
        <v/>
      </c>
      <c r="FS90" s="44" t="str">
        <f>IF(Table1[Leaving Date]="","",IF(Table1[Date of Initial Assessment]="","",IF(AND(Table1[Leaving Date]&gt;42094,Table1[Leaving Date]&lt;42461),IF(Table1[Date of Last Assessment]="",Table1[Managing Tenancy and Accommodation],Table1[Managing Tenancy and Accommodation2]),"")))</f>
        <v/>
      </c>
      <c r="FT90" s="44" t="str">
        <f>IF(Table1[Leaving Date]="","",IF(Table1[Date of Initial Assessment]="","",IF(AND(Table1[Leaving Date]&gt;42094,Table1[Leaving Date]&lt;42461),IF(Table1[Date of Last Assessment]="",Table1[Offending],Table1[Offending2]),"")))</f>
        <v/>
      </c>
      <c r="FU90" s="44" t="str">
        <f>IF(Table1[Date of Initial Assessment]="","",IF(AND(Table1[Start Date]&gt;42460,Table1[Start Date]&lt;42826),Table1[Motivation and Taking Responsibility],""))</f>
        <v/>
      </c>
      <c r="FV90" s="44" t="str">
        <f>IF(Table1[Date of Initial Assessment]="","",IF(AND(Table1[Start Date]&gt;42460,Table1[Start Date]&lt;42826),Table1[Self-Care and Living Skills],""))</f>
        <v/>
      </c>
      <c r="FW90" s="44" t="str">
        <f>IF(Table1[Date of Initial Assessment]="","",IF(AND(Table1[Start Date]&gt;42460,Table1[Start Date]&lt;42826),Table1[Managing Money and Personal Administration],""))</f>
        <v/>
      </c>
      <c r="FX90" s="44" t="str">
        <f>IF(Table1[Date of Initial Assessment]="","",IF(AND(Table1[Start Date]&gt;42460,Table1[Start Date]&lt;42826),Table1[Social Networks and Relationships],""))</f>
        <v/>
      </c>
      <c r="FY90" s="44" t="str">
        <f>IF(Table1[Date of Initial Assessment]="","",IF(AND(Table1[Start Date]&gt;42460,Table1[Start Date]&lt;42826),Table1[Drug and Alcohol Misuse],""))</f>
        <v/>
      </c>
      <c r="FZ90" s="44" t="str">
        <f>IF(Table1[Date of Initial Assessment]="","",IF(AND(Table1[Start Date]&gt;42460,Table1[Start Date]&lt;42826),Table1[Physical Health],""))</f>
        <v/>
      </c>
      <c r="GA90" s="44" t="str">
        <f>IF(Table1[Date of Initial Assessment]="","",IF(AND(Table1[Start Date]&gt;42460,Table1[Start Date]&lt;42826),Table1[Emotional and Mental Health],""))</f>
        <v/>
      </c>
      <c r="GB90" s="44" t="str">
        <f>IF(Table1[Date of Initial Assessment]="","",IF(AND(Table1[Start Date]&gt;42460,Table1[Start Date]&lt;42826),Table1[Meaningful Use of Time],""))</f>
        <v/>
      </c>
      <c r="GC90" s="44" t="str">
        <f>IF(Table1[Date of Initial Assessment]="","",IF(AND(Table1[Start Date]&gt;42460,Table1[Start Date]&lt;42826),Table1[Managing Tenancy and Accommodation],""))</f>
        <v/>
      </c>
      <c r="GD90" s="44" t="str">
        <f>IF(Table1[Date of Initial Assessment]="","",IF(AND(Table1[Start Date]&gt;42460,Table1[Start Date]&lt;42826),Table1[Offending],""))</f>
        <v/>
      </c>
      <c r="GE90" s="44" t="str">
        <f>IF(Table1[Leaving Date]="","",IF(AND(Table1[Leaving Date]&gt;42460,Table1[Leaving Date]&lt;42826),IF(Table1[Date of Last Assessment]="",Table1[Motivation and Taking Responsibility],Table1[Motivation and Taking Responsibility2]),""))</f>
        <v/>
      </c>
      <c r="GF90" s="44" t="str">
        <f>IF(Table1[Leaving Date]="","",IF(AND(Table1[Leaving Date]&gt;42460,Table1[Leaving Date]&lt;42826),IF(Table1[Date of Last Assessment]="",Table1[Self-Care and Living Skills],Table1[Self-Care and Living Skills2]),""))</f>
        <v/>
      </c>
      <c r="GG90" s="44" t="str">
        <f>IF(Table1[Leaving Date]="","",IF(AND(Table1[Leaving Date]&gt;42460,Table1[Leaving Date]&lt;42826),IF(Table1[Date of Last Assessment]="",Table1[Managing Money and Personal Administration],Table1[Managing Money and Personal Administration2]),""))</f>
        <v/>
      </c>
      <c r="GH90" s="44" t="str">
        <f>IF(Table1[Leaving Date]="","",IF(AND(Table1[Leaving Date]&gt;42460,Table1[Leaving Date]&lt;42826),IF(Table1[Date of Last Assessment]="",Table1[Social Networks and Relationships],Table1[Social Networks and Relationships2]),""))</f>
        <v/>
      </c>
      <c r="GI90" s="44" t="str">
        <f>IF(Table1[Leaving Date]="","",IF(AND(Table1[Leaving Date]&gt;42460,Table1[Leaving Date]&lt;42826),IF(Table1[Date of Last Assessment]="",Table1[Drug and Alcohol Misuse],Table1[Drug and Alcohol Misuse2]),""))</f>
        <v/>
      </c>
      <c r="GJ90" s="44" t="str">
        <f>IF(Table1[Leaving Date]="","",IF(AND(Table1[Leaving Date]&gt;42460,Table1[Leaving Date]&lt;42826),IF(Table1[Date of Last Assessment]="",Table1[Physical Health],Table1[Physical Health2]),""))</f>
        <v/>
      </c>
      <c r="GK90" s="44" t="str">
        <f>IF(Table1[Leaving Date]="","",IF(AND(Table1[Leaving Date]&gt;42460,Table1[Leaving Date]&lt;42826),IF(Table1[Date of Last Assessment]="",Table1[Emotional and Mental Health],Table1[Emotional and Mental Health2]),""))</f>
        <v/>
      </c>
      <c r="GL90" s="44" t="str">
        <f>IF(Table1[Leaving Date]="","",IF(AND(Table1[Leaving Date]&gt;42460,Table1[Leaving Date]&lt;42826),IF(Table1[Date of Last Assessment]="",Table1[Meaningful Use of Time],Table1[Meaningful Use of Time2]),""))</f>
        <v/>
      </c>
      <c r="GM90" s="44" t="str">
        <f>IF(Table1[Leaving Date]="","",IF(AND(Table1[Leaving Date]&gt;42460,Table1[Leaving Date]&lt;42826),IF(Table1[Date of Last Assessment]="",Table1[Managing Tenancy and Accommodation],Table1[Managing Tenancy and Accommodation2]),""))</f>
        <v/>
      </c>
      <c r="GN90" s="44" t="str">
        <f>IF(Table1[Leaving Date]="","",IF(AND(Table1[Leaving Date]&gt;42460,Table1[Leaving Date]&lt;42826),IF(Table1[Date of Last Assessment]="",Table1[Offending],Table1[Offending2]),""))</f>
        <v/>
      </c>
    </row>
    <row r="91" spans="2:196" ht="20.100000000000001" customHeight="1" x14ac:dyDescent="0.2">
      <c r="B91" s="86">
        <f>+'Service Data'!$C$5:$C$5</f>
        <v>0</v>
      </c>
      <c r="C91" s="86"/>
      <c r="D91" s="86"/>
      <c r="E91" s="86"/>
      <c r="F91" s="86"/>
      <c r="G91" s="86"/>
      <c r="H91" s="6"/>
      <c r="I91" s="99" t="str">
        <f ca="1">IF(Table1[[#This Row],[Date of Birth]]="","",SUM(TODAY()-Table1[[#This Row],[Date of Birth]])/365)</f>
        <v/>
      </c>
      <c r="L91" s="86"/>
      <c r="M91" s="77"/>
      <c r="N91" s="86"/>
      <c r="O91" s="86"/>
      <c r="P91" s="91"/>
      <c r="Q91" s="86"/>
      <c r="R91" s="77"/>
      <c r="S91" s="77"/>
      <c r="T91" s="68"/>
      <c r="U91" s="68"/>
      <c r="V91" s="67"/>
      <c r="W91" s="67"/>
      <c r="X91" s="67"/>
      <c r="Y91" s="67"/>
      <c r="Z91" s="67"/>
      <c r="AA91" s="67"/>
      <c r="AB91" s="67"/>
      <c r="AC91" s="67"/>
      <c r="AD91" s="67"/>
      <c r="AE91" s="67"/>
      <c r="AF91" s="67"/>
      <c r="AG91" s="67"/>
      <c r="AH91" s="67"/>
      <c r="AI91" s="67"/>
      <c r="AJ91" s="67"/>
      <c r="AK91" s="67"/>
      <c r="AL91" s="67"/>
      <c r="AM91" s="67"/>
      <c r="AN91" s="77"/>
      <c r="AO91" s="76"/>
      <c r="AP91" s="77"/>
      <c r="AQ91" s="76"/>
      <c r="AR91" s="76"/>
      <c r="AS91" s="76"/>
      <c r="AT91" s="76"/>
      <c r="AU91" s="76"/>
      <c r="AV91" s="77"/>
      <c r="AW91" s="76"/>
      <c r="AX91" s="77"/>
      <c r="AY91" s="76"/>
      <c r="AZ91" s="76"/>
      <c r="BA91" s="76"/>
      <c r="BB91" s="76"/>
      <c r="BC91" s="76"/>
      <c r="BD91" s="77"/>
      <c r="BE91" s="76"/>
      <c r="BF91" s="77"/>
      <c r="BG91" s="76"/>
      <c r="BH91" s="76"/>
      <c r="BI91" s="76"/>
      <c r="BJ91" s="76"/>
      <c r="BK91" s="76"/>
      <c r="BL91" s="77"/>
      <c r="BM91" s="76"/>
      <c r="BN91" s="77"/>
      <c r="BO91" s="76"/>
      <c r="BP91" s="76"/>
      <c r="BQ91" s="76"/>
      <c r="BR91" s="76"/>
      <c r="BS91" s="76"/>
      <c r="BT91" s="77"/>
      <c r="BU91" s="76"/>
      <c r="BV91" s="77"/>
      <c r="BW91" s="76"/>
      <c r="BX91" s="76"/>
      <c r="BY91" s="76"/>
      <c r="BZ91" s="76"/>
      <c r="CA91" s="76"/>
      <c r="CB91" s="77"/>
      <c r="CC91" s="76"/>
      <c r="CD91" s="77"/>
      <c r="CE91" s="76"/>
      <c r="CF91" s="76"/>
      <c r="CG91" s="76"/>
      <c r="CH91" s="76"/>
      <c r="CI91" s="76"/>
      <c r="CJ91" s="77"/>
      <c r="CK91" s="76"/>
      <c r="CL91" s="77"/>
      <c r="CM91" s="76"/>
      <c r="CN91" s="76"/>
      <c r="CO91" s="76"/>
      <c r="CP91" s="76"/>
      <c r="CQ91" s="76"/>
      <c r="CR91" s="78" t="str">
        <f t="shared" si="31"/>
        <v/>
      </c>
      <c r="CS91" s="79" t="str">
        <f t="shared" si="32"/>
        <v/>
      </c>
      <c r="CT91" s="79" t="str">
        <f t="shared" si="33"/>
        <v/>
      </c>
      <c r="CU91" s="79" t="str">
        <f t="shared" si="34"/>
        <v/>
      </c>
      <c r="CV91" s="79" t="str">
        <f t="shared" si="35"/>
        <v/>
      </c>
      <c r="CW91" s="79" t="str">
        <f t="shared" si="36"/>
        <v/>
      </c>
      <c r="CX91" s="79" t="str">
        <f t="shared" si="37"/>
        <v/>
      </c>
      <c r="CY91" s="79" t="str">
        <f t="shared" si="38"/>
        <v/>
      </c>
      <c r="CZ91" s="79" t="str">
        <f t="shared" si="39"/>
        <v/>
      </c>
      <c r="DA91" s="79" t="str">
        <f t="shared" si="40"/>
        <v/>
      </c>
      <c r="DB91" s="79" t="str">
        <f t="shared" si="41"/>
        <v/>
      </c>
      <c r="DC91" s="79" t="str">
        <f t="shared" si="42"/>
        <v/>
      </c>
      <c r="DD91" s="79" t="str">
        <f t="shared" si="43"/>
        <v/>
      </c>
      <c r="DE91" s="79" t="str">
        <f t="shared" si="44"/>
        <v/>
      </c>
      <c r="DF91" s="79" t="str">
        <f t="shared" si="45"/>
        <v/>
      </c>
      <c r="DG91" s="79" t="str">
        <f t="shared" si="46"/>
        <v/>
      </c>
      <c r="DH91" s="76"/>
      <c r="DI91" s="78"/>
      <c r="DJ91" s="76"/>
      <c r="DK91" s="77"/>
      <c r="DL91" s="77"/>
      <c r="DM91" s="77"/>
      <c r="DN91" s="80"/>
      <c r="DO91" s="80"/>
      <c r="DP91" s="92" t="str">
        <f>IF(Table1[Start Date]="","",IF(Table1[Start Date]&gt;42185,"",IF(AND(Table1[Leaving Date]&gt;1,Table1[Leaving Date]&lt;42095),"",1)))</f>
        <v/>
      </c>
      <c r="DQ91" s="92" t="str">
        <f>IF(Table1[Start Date]="","",IF(Table1[Start Date]&gt;42277,"",IF(AND(Table1[Leaving Date]&gt;1,Table1[Leaving Date]&lt;42186),"",1)))</f>
        <v/>
      </c>
      <c r="DR91" s="92" t="str">
        <f>IF(Table1[Start Date]="","",IF(Table1[Start Date]&gt;42369,"",IF(AND(Table1[Leaving Date]&gt;1,Table1[Leaving Date]&lt;42278),"",1)))</f>
        <v/>
      </c>
      <c r="DS91" s="92" t="str">
        <f>IF(Table1[Start Date]="","",IF(Table1[Start Date]&gt;42460,"",IF(AND(Table1[Leaving Date]&gt;1,Table1[Leaving Date]&lt;42370),"",1)))</f>
        <v/>
      </c>
      <c r="DT91" s="92" t="str">
        <f>IF(Table1[Start Date]="","",IF(Table1[Start Date]&gt;42551,"",IF(AND(Table1[Leaving Date]&gt;1,Table1[Leaving Date]&lt;42461),"",1)))</f>
        <v/>
      </c>
      <c r="DU91" s="92" t="str">
        <f>IF(Table1[Start Date]="","",IF(Table1[Start Date]&gt;42643,"",IF(AND(Table1[Leaving Date]&gt;1,Table1[Leaving Date]&lt;42552),"",1)))</f>
        <v/>
      </c>
      <c r="DV91" s="92" t="str">
        <f>IF(Table1[Start Date]="","",IF(Table1[Start Date]&gt;42735,"",IF(AND(Table1[Leaving Date]&gt;1,Table1[Leaving Date]&lt;42644),"",1)))</f>
        <v/>
      </c>
      <c r="DW91" s="92" t="str">
        <f>IF(Table1[Start Date]="","",IF(Table1[Start Date]&gt;42825,"",IF(AND(Table1[Leaving Date]&gt;1,Table1[Leaving Date]&lt;42736),"",1)))</f>
        <v/>
      </c>
      <c r="DX91"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91" s="44" t="e">
        <f>VLOOKUP(Table1[Referral Source],Lists!$G$2:$H$20,2,FALSE)</f>
        <v>#N/A</v>
      </c>
      <c r="DZ91" s="93" t="e">
        <f>SUM(Table1[Data Referral Quarter]+Table1[Data Referral Source])</f>
        <v>#N/A</v>
      </c>
      <c r="EA91" s="44" t="b">
        <f>IF(Table1[Referral Decision]="Accepted",100,IF(Table1[Referral Decision]="Rejected by Provider",200,IF(Table1[Referral Decision]="Rejected by Applicant",300)))</f>
        <v>0</v>
      </c>
      <c r="EB91" s="44">
        <f>SUM(Table1[Data Referral Quarter]+Table1[Data Referral Decision])</f>
        <v>0</v>
      </c>
      <c r="EC91" s="44" t="b">
        <f>IF(Table1[Start Date]&gt;42735,8000,IF(Table1[Start Date]&gt;42643,7000,IF(Table1[Start Date]&gt;42551,6000,IF(Table1[Start Date]&gt;42460,5000,IF(Table1[Start Date]&gt;42369,4000,IF(Table1[Start Date]&gt;42277,3000,IF(Table1[Start Date]&gt;42185,2000,IF(Table1[Start Date]&gt;42094,1000))))))))</f>
        <v>0</v>
      </c>
      <c r="ED91" s="44" t="str">
        <f>IF(Table1[Start Date]="","",IF(Table1[Current Local Authority]="Swindon",1,"2"))</f>
        <v/>
      </c>
      <c r="EE91" s="44" t="e">
        <f>SUM(Table1[Data Start Date]+Table1[Data Local Authority])</f>
        <v>#VALUE!</v>
      </c>
      <c r="EF91" s="44">
        <f>IF(Table1[Registered with GP]="Yes",1,0)</f>
        <v>0</v>
      </c>
      <c r="EG91" s="44">
        <f>SUM(Table1[Data Start Date]+Table1[Data GP Start])</f>
        <v>0</v>
      </c>
      <c r="EH91" s="44" t="str">
        <f>IF(Table1[EET]="NEET",1,IF(Table1[EET]="Education",2,IF(Table1[EET]="Employment",2,IF(Table1[EET]="Training",2,IF(Table1[EET]="Retired",3,"")))))</f>
        <v/>
      </c>
      <c r="EI91" s="44" t="e">
        <f>Table1[Data Start Date]+Table1[Data EET Start]</f>
        <v>#VALUE!</v>
      </c>
      <c r="EJ91" s="44" t="b">
        <f>IF(Table1[Leaving Date]&gt;42735,8000,IF(Table1[Leaving Date]&gt;42643,7000,IF(Table1[Leaving Date]&gt;42551,6000,IF(Table1[Leaving Date]&gt;42460,5000,IF(Table1[Leaving Date]&gt;42369,4000,IF(Table1[Leaving Date]&gt;42277,3000,IF(Table1[Leaving Date]&gt;42185,2000,IF(Table1[Leaving Date]&gt;42094,1000))))))))</f>
        <v>0</v>
      </c>
      <c r="EK91" s="44" t="e">
        <f>VLOOKUP(Table1[Reason for Leaving],Lists!$T$2:$U$15,2,FALSE)</f>
        <v>#N/A</v>
      </c>
      <c r="EL91" s="44" t="e">
        <f>SUM(Table1[Data Leavers Date]+Table1[Data Move On])</f>
        <v>#N/A</v>
      </c>
      <c r="EM91" s="44" t="b">
        <f>IF(Table1[Registered with GP2]="Yes",1,IF(Table1[Registered with GP2]="No",0,IF(Table1[Registered with GP]="Yes",1,IF(Table1[Registered with GP]="No",0))))</f>
        <v>0</v>
      </c>
      <c r="EN91" s="44">
        <f>SUM(Table1[Data Leavers Date]+Table1[Data GP End])</f>
        <v>0</v>
      </c>
      <c r="EO91" s="44" t="str">
        <f>IF(Table1[EET2]="NEET",1,IF(Table1[EET2]="Employment",2,IF(Table1[EET2]="Education",2,IF(Table1[EET2]="Training",2,IF(Table1[EET2]="Retired",3,IF(Table1[EET]="NEET",1,IF(Table1[EET]="Employment",2,IF(Table1[EET]="Education",2,IF(Table1[EET]="Training",2,IF(Table1[EET]="Retired",3,""))))))))))</f>
        <v/>
      </c>
      <c r="EP91" s="44" t="e">
        <f>+Table1[[#This Row],[Data Leavers Date]]+Table1[[#This Row],[Data EET End]]</f>
        <v>#VALUE!</v>
      </c>
      <c r="EQ91" s="44">
        <f>IF(Table1[Exit Form Received]="Yes",1,0)</f>
        <v>0</v>
      </c>
      <c r="ER91" s="44">
        <f>+Table1[[#This Row],[Data Leavers Date]]+Table1[[#This Row],[Data Exit Forms]]</f>
        <v>0</v>
      </c>
      <c r="ES91" s="44" t="str">
        <f>IF(Table1[Data Leavers Date]=1000,SUM(Table1[Leaving Date]-Table1[Start Date]),"")</f>
        <v/>
      </c>
      <c r="ET91" s="44" t="str">
        <f>IF(Table1[Data Leavers Date]=2000,SUM(Table1[Leaving Date]-Table1[Start Date]),"")</f>
        <v/>
      </c>
      <c r="EU91" s="44" t="str">
        <f>IF(Table1[Data Leavers Date]=3000,SUM(Table1[Leaving Date]-Table1[Start Date]),"")</f>
        <v/>
      </c>
      <c r="EV91" s="44" t="str">
        <f>IF(Table1[Data Leavers Date]=4000,SUM(Table1[Leaving Date]-Table1[Start Date]),"")</f>
        <v/>
      </c>
      <c r="EW91" s="44" t="str">
        <f>IF(Table1[Data Leavers Date]=5000,SUM(Table1[Leaving Date]-Table1[Start Date]),"")</f>
        <v/>
      </c>
      <c r="EX91" s="44" t="str">
        <f>IF(Table1[Data Leavers Date]=6000,SUM(Table1[Leaving Date]-Table1[Start Date]),"")</f>
        <v/>
      </c>
      <c r="EY91" s="44" t="str">
        <f>IF(Table1[Data Leavers Date]=7000,SUM(Table1[Leaving Date]-Table1[Start Date]),"")</f>
        <v/>
      </c>
      <c r="EZ91" s="44" t="str">
        <f>IF(Table1[Data Leavers Date]=8000,SUM(Table1[Leaving Date]-Table1[Start Date]),"")</f>
        <v/>
      </c>
      <c r="FA91" s="44" t="str">
        <f>IF(Table1[Date of Initial Assessment]="","",IF(AND(Table1[Start Date]&gt;42094,Table1[Start Date]&lt;42461),Table1[Motivation and Taking Responsibility],""))</f>
        <v/>
      </c>
      <c r="FB91" s="44" t="str">
        <f>IF(Table1[Date of Initial Assessment]="","",IF(AND(Table1[Start Date]&gt;42094,Table1[Start Date]&lt;42461),Table1[Self-Care and Living Skills],""))</f>
        <v/>
      </c>
      <c r="FC91" s="44" t="str">
        <f>IF(Table1[Date of Initial Assessment]="","",IF(AND(Table1[Start Date]&gt;42094,Table1[Start Date]&lt;42461),Table1[Managing Money and Personal Administration],""))</f>
        <v/>
      </c>
      <c r="FD91" s="44" t="str">
        <f>IF(Table1[Date of Initial Assessment]="","",IF(AND(Table1[Start Date]&gt;42094,Table1[Start Date]&lt;42461),Table1[Social Networks and Relationships],""))</f>
        <v/>
      </c>
      <c r="FE91" s="44" t="str">
        <f>IF(Table1[Date of Initial Assessment]="","",IF(AND(Table1[Start Date]&gt;42094,Table1[Start Date]&lt;42461),Table1[Drug and Alcohol Misuse],""))</f>
        <v/>
      </c>
      <c r="FF91" s="44" t="str">
        <f>IF(Table1[Date of Initial Assessment]="","",IF(AND(Table1[Start Date]&gt;42094,Table1[Start Date]&lt;42461),Table1[Physical Health],""))</f>
        <v/>
      </c>
      <c r="FG91" s="44" t="str">
        <f>IF(Table1[Date of Initial Assessment]="","",IF(AND(Table1[Start Date]&gt;42094,Table1[Start Date]&lt;42461),Table1[Emotional and Mental Health],""))</f>
        <v/>
      </c>
      <c r="FH91" s="44" t="str">
        <f>IF(Table1[Date of Initial Assessment]="","",IF(AND(Table1[Start Date]&gt;42094,Table1[Start Date]&lt;42461),Table1[Meaningful Use of Time],""))</f>
        <v/>
      </c>
      <c r="FI91" s="44" t="str">
        <f>IF(Table1[Date of Initial Assessment]="","",IF(AND(Table1[Start Date]&gt;42094,Table1[Start Date]&lt;42461),Table1[Managing Tenancy and Accommodation],""))</f>
        <v/>
      </c>
      <c r="FJ91" s="44" t="str">
        <f>IF(Table1[Date of Initial Assessment]="","",IF(AND(Table1[Start Date]&gt;42094,Table1[Start Date]&lt;42461),Table1[Offending],""))</f>
        <v/>
      </c>
      <c r="FK91" s="44" t="str">
        <f>IF(Table1[Leaving Date]="","",IF(Table1[Date of Initial Assessment]="","",IF(AND(Table1[Leaving Date]&gt;42094,Table1[Leaving Date]&lt;42461),IF(Table1[Date of Last Assessment]="",Table1[Motivation and Taking Responsibility],Table1[Motivation and Taking Responsibility2]),"")))</f>
        <v/>
      </c>
      <c r="FL91" s="44" t="str">
        <f>IF(Table1[Leaving Date]="","",IF(Table1[Date of Initial Assessment]="","",IF(AND(Table1[Leaving Date]&gt;42094,Table1[Leaving Date]&lt;42461),IF(Table1[Date of Last Assessment]="",Table1[Self-Care and Living Skills],Table1[Self-Care and Living Skills2]),"")))</f>
        <v/>
      </c>
      <c r="FM91" s="44" t="str">
        <f>IF(Table1[Leaving Date]="","",IF(Table1[Date of Initial Assessment]="","",IF(AND(Table1[Leaving Date]&gt;42094,Table1[Leaving Date]&lt;42461),IF(Table1[Date of Last Assessment]="",Table1[Managing Money and Personal Administration],Table1[Managing Money and Personal Administration2]),"")))</f>
        <v/>
      </c>
      <c r="FN91" s="44" t="str">
        <f>IF(Table1[Leaving Date]="","",IF(Table1[Date of Initial Assessment]="","",IF(AND(Table1[Leaving Date]&gt;42094,Table1[Leaving Date]&lt;42461),IF(Table1[Date of Last Assessment]="",Table1[Social Networks and Relationships],Table1[Social Networks and Relationships2]),"")))</f>
        <v/>
      </c>
      <c r="FO91" s="44" t="str">
        <f>IF(Table1[Leaving Date]="","",IF(Table1[Date of Initial Assessment]="","",IF(AND(Table1[Leaving Date]&gt;42094,Table1[Leaving Date]&lt;42461),IF(Table1[Date of Last Assessment]="",Table1[Drug and Alcohol Misuse],Table1[Drug and Alcohol Misuse2]),"")))</f>
        <v/>
      </c>
      <c r="FP91" s="44" t="str">
        <f>IF(Table1[Leaving Date]="","",IF(Table1[Date of Initial Assessment]="","",IF(AND(Table1[Leaving Date]&gt;42094,Table1[Leaving Date]&lt;42461),IF(Table1[Date of Last Assessment]="",Table1[Physical Health],Table1[Physical Health2]),"")))</f>
        <v/>
      </c>
      <c r="FQ91" s="44" t="str">
        <f>IF(Table1[Leaving Date]="","",IF(Table1[Date of Initial Assessment]="","",IF(AND(Table1[Leaving Date]&gt;42094,Table1[Leaving Date]&lt;42461),IF(Table1[Date of Last Assessment]="",Table1[Emotional and Mental Health],Table1[Emotional and Mental Health2]),"")))</f>
        <v/>
      </c>
      <c r="FR91" s="44" t="str">
        <f>IF(Table1[Leaving Date]="","",IF(Table1[Date of Initial Assessment]="","",IF(AND(Table1[Leaving Date]&gt;42094,Table1[Leaving Date]&lt;42461),IF(Table1[Date of Last Assessment]="",Table1[Meaningful Use of Time],Table1[Meaningful Use of Time2]),"")))</f>
        <v/>
      </c>
      <c r="FS91" s="44" t="str">
        <f>IF(Table1[Leaving Date]="","",IF(Table1[Date of Initial Assessment]="","",IF(AND(Table1[Leaving Date]&gt;42094,Table1[Leaving Date]&lt;42461),IF(Table1[Date of Last Assessment]="",Table1[Managing Tenancy and Accommodation],Table1[Managing Tenancy and Accommodation2]),"")))</f>
        <v/>
      </c>
      <c r="FT91" s="44" t="str">
        <f>IF(Table1[Leaving Date]="","",IF(Table1[Date of Initial Assessment]="","",IF(AND(Table1[Leaving Date]&gt;42094,Table1[Leaving Date]&lt;42461),IF(Table1[Date of Last Assessment]="",Table1[Offending],Table1[Offending2]),"")))</f>
        <v/>
      </c>
      <c r="FU91" s="44" t="str">
        <f>IF(Table1[Date of Initial Assessment]="","",IF(AND(Table1[Start Date]&gt;42460,Table1[Start Date]&lt;42826),Table1[Motivation and Taking Responsibility],""))</f>
        <v/>
      </c>
      <c r="FV91" s="44" t="str">
        <f>IF(Table1[Date of Initial Assessment]="","",IF(AND(Table1[Start Date]&gt;42460,Table1[Start Date]&lt;42826),Table1[Self-Care and Living Skills],""))</f>
        <v/>
      </c>
      <c r="FW91" s="44" t="str">
        <f>IF(Table1[Date of Initial Assessment]="","",IF(AND(Table1[Start Date]&gt;42460,Table1[Start Date]&lt;42826),Table1[Managing Money and Personal Administration],""))</f>
        <v/>
      </c>
      <c r="FX91" s="44" t="str">
        <f>IF(Table1[Date of Initial Assessment]="","",IF(AND(Table1[Start Date]&gt;42460,Table1[Start Date]&lt;42826),Table1[Social Networks and Relationships],""))</f>
        <v/>
      </c>
      <c r="FY91" s="44" t="str">
        <f>IF(Table1[Date of Initial Assessment]="","",IF(AND(Table1[Start Date]&gt;42460,Table1[Start Date]&lt;42826),Table1[Drug and Alcohol Misuse],""))</f>
        <v/>
      </c>
      <c r="FZ91" s="44" t="str">
        <f>IF(Table1[Date of Initial Assessment]="","",IF(AND(Table1[Start Date]&gt;42460,Table1[Start Date]&lt;42826),Table1[Physical Health],""))</f>
        <v/>
      </c>
      <c r="GA91" s="44" t="str">
        <f>IF(Table1[Date of Initial Assessment]="","",IF(AND(Table1[Start Date]&gt;42460,Table1[Start Date]&lt;42826),Table1[Emotional and Mental Health],""))</f>
        <v/>
      </c>
      <c r="GB91" s="44" t="str">
        <f>IF(Table1[Date of Initial Assessment]="","",IF(AND(Table1[Start Date]&gt;42460,Table1[Start Date]&lt;42826),Table1[Meaningful Use of Time],""))</f>
        <v/>
      </c>
      <c r="GC91" s="44" t="str">
        <f>IF(Table1[Date of Initial Assessment]="","",IF(AND(Table1[Start Date]&gt;42460,Table1[Start Date]&lt;42826),Table1[Managing Tenancy and Accommodation],""))</f>
        <v/>
      </c>
      <c r="GD91" s="44" t="str">
        <f>IF(Table1[Date of Initial Assessment]="","",IF(AND(Table1[Start Date]&gt;42460,Table1[Start Date]&lt;42826),Table1[Offending],""))</f>
        <v/>
      </c>
      <c r="GE91" s="44" t="str">
        <f>IF(Table1[Leaving Date]="","",IF(AND(Table1[Leaving Date]&gt;42460,Table1[Leaving Date]&lt;42826),IF(Table1[Date of Last Assessment]="",Table1[Motivation and Taking Responsibility],Table1[Motivation and Taking Responsibility2]),""))</f>
        <v/>
      </c>
      <c r="GF91" s="44" t="str">
        <f>IF(Table1[Leaving Date]="","",IF(AND(Table1[Leaving Date]&gt;42460,Table1[Leaving Date]&lt;42826),IF(Table1[Date of Last Assessment]="",Table1[Self-Care and Living Skills],Table1[Self-Care and Living Skills2]),""))</f>
        <v/>
      </c>
      <c r="GG91" s="44" t="str">
        <f>IF(Table1[Leaving Date]="","",IF(AND(Table1[Leaving Date]&gt;42460,Table1[Leaving Date]&lt;42826),IF(Table1[Date of Last Assessment]="",Table1[Managing Money and Personal Administration],Table1[Managing Money and Personal Administration2]),""))</f>
        <v/>
      </c>
      <c r="GH91" s="44" t="str">
        <f>IF(Table1[Leaving Date]="","",IF(AND(Table1[Leaving Date]&gt;42460,Table1[Leaving Date]&lt;42826),IF(Table1[Date of Last Assessment]="",Table1[Social Networks and Relationships],Table1[Social Networks and Relationships2]),""))</f>
        <v/>
      </c>
      <c r="GI91" s="44" t="str">
        <f>IF(Table1[Leaving Date]="","",IF(AND(Table1[Leaving Date]&gt;42460,Table1[Leaving Date]&lt;42826),IF(Table1[Date of Last Assessment]="",Table1[Drug and Alcohol Misuse],Table1[Drug and Alcohol Misuse2]),""))</f>
        <v/>
      </c>
      <c r="GJ91" s="44" t="str">
        <f>IF(Table1[Leaving Date]="","",IF(AND(Table1[Leaving Date]&gt;42460,Table1[Leaving Date]&lt;42826),IF(Table1[Date of Last Assessment]="",Table1[Physical Health],Table1[Physical Health2]),""))</f>
        <v/>
      </c>
      <c r="GK91" s="44" t="str">
        <f>IF(Table1[Leaving Date]="","",IF(AND(Table1[Leaving Date]&gt;42460,Table1[Leaving Date]&lt;42826),IF(Table1[Date of Last Assessment]="",Table1[Emotional and Mental Health],Table1[Emotional and Mental Health2]),""))</f>
        <v/>
      </c>
      <c r="GL91" s="44" t="str">
        <f>IF(Table1[Leaving Date]="","",IF(AND(Table1[Leaving Date]&gt;42460,Table1[Leaving Date]&lt;42826),IF(Table1[Date of Last Assessment]="",Table1[Meaningful Use of Time],Table1[Meaningful Use of Time2]),""))</f>
        <v/>
      </c>
      <c r="GM91" s="44" t="str">
        <f>IF(Table1[Leaving Date]="","",IF(AND(Table1[Leaving Date]&gt;42460,Table1[Leaving Date]&lt;42826),IF(Table1[Date of Last Assessment]="",Table1[Managing Tenancy and Accommodation],Table1[Managing Tenancy and Accommodation2]),""))</f>
        <v/>
      </c>
      <c r="GN91" s="44" t="str">
        <f>IF(Table1[Leaving Date]="","",IF(AND(Table1[Leaving Date]&gt;42460,Table1[Leaving Date]&lt;42826),IF(Table1[Date of Last Assessment]="",Table1[Offending],Table1[Offending2]),""))</f>
        <v/>
      </c>
    </row>
    <row r="92" spans="2:196" ht="20.100000000000001" customHeight="1" x14ac:dyDescent="0.2">
      <c r="B92" s="86">
        <f>+'Service Data'!$C$5:$C$5</f>
        <v>0</v>
      </c>
      <c r="C92" s="86"/>
      <c r="D92" s="86"/>
      <c r="E92" s="86"/>
      <c r="F92" s="86"/>
      <c r="G92" s="86"/>
      <c r="H92" s="6"/>
      <c r="I92" s="99" t="str">
        <f ca="1">IF(Table1[[#This Row],[Date of Birth]]="","",SUM(TODAY()-Table1[[#This Row],[Date of Birth]])/365)</f>
        <v/>
      </c>
      <c r="L92" s="86"/>
      <c r="M92" s="77"/>
      <c r="N92" s="86"/>
      <c r="O92" s="86"/>
      <c r="P92" s="91"/>
      <c r="Q92" s="86"/>
      <c r="R92" s="77"/>
      <c r="S92" s="77"/>
      <c r="T92" s="68"/>
      <c r="U92" s="68"/>
      <c r="V92" s="67"/>
      <c r="W92" s="67"/>
      <c r="X92" s="67"/>
      <c r="Y92" s="67"/>
      <c r="Z92" s="67"/>
      <c r="AA92" s="67"/>
      <c r="AB92" s="67"/>
      <c r="AC92" s="67"/>
      <c r="AD92" s="67"/>
      <c r="AE92" s="67"/>
      <c r="AF92" s="67"/>
      <c r="AG92" s="67"/>
      <c r="AH92" s="67"/>
      <c r="AI92" s="67"/>
      <c r="AJ92" s="67"/>
      <c r="AK92" s="67"/>
      <c r="AL92" s="67"/>
      <c r="AM92" s="67"/>
      <c r="AN92" s="77"/>
      <c r="AO92" s="76"/>
      <c r="AP92" s="77"/>
      <c r="AQ92" s="76"/>
      <c r="AR92" s="76"/>
      <c r="AS92" s="76"/>
      <c r="AT92" s="76"/>
      <c r="AU92" s="76"/>
      <c r="AV92" s="77"/>
      <c r="AW92" s="76"/>
      <c r="AX92" s="77"/>
      <c r="AY92" s="76"/>
      <c r="AZ92" s="76"/>
      <c r="BA92" s="76"/>
      <c r="BB92" s="76"/>
      <c r="BC92" s="76"/>
      <c r="BD92" s="77"/>
      <c r="BE92" s="76"/>
      <c r="BF92" s="77"/>
      <c r="BG92" s="76"/>
      <c r="BH92" s="76"/>
      <c r="BI92" s="76"/>
      <c r="BJ92" s="76"/>
      <c r="BK92" s="76"/>
      <c r="BL92" s="77"/>
      <c r="BM92" s="76"/>
      <c r="BN92" s="77"/>
      <c r="BO92" s="76"/>
      <c r="BP92" s="76"/>
      <c r="BQ92" s="76"/>
      <c r="BR92" s="76"/>
      <c r="BS92" s="76"/>
      <c r="BT92" s="77"/>
      <c r="BU92" s="76"/>
      <c r="BV92" s="77"/>
      <c r="BW92" s="76"/>
      <c r="BX92" s="76"/>
      <c r="BY92" s="76"/>
      <c r="BZ92" s="76"/>
      <c r="CA92" s="76"/>
      <c r="CB92" s="77"/>
      <c r="CC92" s="76"/>
      <c r="CD92" s="77"/>
      <c r="CE92" s="76"/>
      <c r="CF92" s="76"/>
      <c r="CG92" s="76"/>
      <c r="CH92" s="76"/>
      <c r="CI92" s="76"/>
      <c r="CJ92" s="77"/>
      <c r="CK92" s="76"/>
      <c r="CL92" s="77"/>
      <c r="CM92" s="76"/>
      <c r="CN92" s="76"/>
      <c r="CO92" s="76"/>
      <c r="CP92" s="76"/>
      <c r="CQ92" s="76"/>
      <c r="CR92" s="78" t="str">
        <f t="shared" si="31"/>
        <v/>
      </c>
      <c r="CS92" s="79" t="str">
        <f t="shared" si="32"/>
        <v/>
      </c>
      <c r="CT92" s="79" t="str">
        <f t="shared" si="33"/>
        <v/>
      </c>
      <c r="CU92" s="79" t="str">
        <f t="shared" si="34"/>
        <v/>
      </c>
      <c r="CV92" s="79" t="str">
        <f t="shared" si="35"/>
        <v/>
      </c>
      <c r="CW92" s="79" t="str">
        <f t="shared" si="36"/>
        <v/>
      </c>
      <c r="CX92" s="79" t="str">
        <f t="shared" si="37"/>
        <v/>
      </c>
      <c r="CY92" s="79" t="str">
        <f t="shared" si="38"/>
        <v/>
      </c>
      <c r="CZ92" s="79" t="str">
        <f t="shared" si="39"/>
        <v/>
      </c>
      <c r="DA92" s="79" t="str">
        <f t="shared" si="40"/>
        <v/>
      </c>
      <c r="DB92" s="79" t="str">
        <f t="shared" si="41"/>
        <v/>
      </c>
      <c r="DC92" s="79" t="str">
        <f t="shared" si="42"/>
        <v/>
      </c>
      <c r="DD92" s="79" t="str">
        <f t="shared" si="43"/>
        <v/>
      </c>
      <c r="DE92" s="79" t="str">
        <f t="shared" si="44"/>
        <v/>
      </c>
      <c r="DF92" s="79" t="str">
        <f t="shared" si="45"/>
        <v/>
      </c>
      <c r="DG92" s="79" t="str">
        <f t="shared" si="46"/>
        <v/>
      </c>
      <c r="DH92" s="76"/>
      <c r="DI92" s="78"/>
      <c r="DJ92" s="76"/>
      <c r="DK92" s="77"/>
      <c r="DL92" s="77"/>
      <c r="DM92" s="77"/>
      <c r="DN92" s="80"/>
      <c r="DO92" s="80"/>
      <c r="DP92" s="92" t="str">
        <f>IF(Table1[Start Date]="","",IF(Table1[Start Date]&gt;42185,"",IF(AND(Table1[Leaving Date]&gt;1,Table1[Leaving Date]&lt;42095),"",1)))</f>
        <v/>
      </c>
      <c r="DQ92" s="92" t="str">
        <f>IF(Table1[Start Date]="","",IF(Table1[Start Date]&gt;42277,"",IF(AND(Table1[Leaving Date]&gt;1,Table1[Leaving Date]&lt;42186),"",1)))</f>
        <v/>
      </c>
      <c r="DR92" s="92" t="str">
        <f>IF(Table1[Start Date]="","",IF(Table1[Start Date]&gt;42369,"",IF(AND(Table1[Leaving Date]&gt;1,Table1[Leaving Date]&lt;42278),"",1)))</f>
        <v/>
      </c>
      <c r="DS92" s="92" t="str">
        <f>IF(Table1[Start Date]="","",IF(Table1[Start Date]&gt;42460,"",IF(AND(Table1[Leaving Date]&gt;1,Table1[Leaving Date]&lt;42370),"",1)))</f>
        <v/>
      </c>
      <c r="DT92" s="92" t="str">
        <f>IF(Table1[Start Date]="","",IF(Table1[Start Date]&gt;42551,"",IF(AND(Table1[Leaving Date]&gt;1,Table1[Leaving Date]&lt;42461),"",1)))</f>
        <v/>
      </c>
      <c r="DU92" s="92" t="str">
        <f>IF(Table1[Start Date]="","",IF(Table1[Start Date]&gt;42643,"",IF(AND(Table1[Leaving Date]&gt;1,Table1[Leaving Date]&lt;42552),"",1)))</f>
        <v/>
      </c>
      <c r="DV92" s="92" t="str">
        <f>IF(Table1[Start Date]="","",IF(Table1[Start Date]&gt;42735,"",IF(AND(Table1[Leaving Date]&gt;1,Table1[Leaving Date]&lt;42644),"",1)))</f>
        <v/>
      </c>
      <c r="DW92" s="92" t="str">
        <f>IF(Table1[Start Date]="","",IF(Table1[Start Date]&gt;42825,"",IF(AND(Table1[Leaving Date]&gt;1,Table1[Leaving Date]&lt;42736),"",1)))</f>
        <v/>
      </c>
      <c r="DX92"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92" s="44" t="e">
        <f>VLOOKUP(Table1[Referral Source],Lists!$G$2:$H$20,2,FALSE)</f>
        <v>#N/A</v>
      </c>
      <c r="DZ92" s="93" t="e">
        <f>SUM(Table1[Data Referral Quarter]+Table1[Data Referral Source])</f>
        <v>#N/A</v>
      </c>
      <c r="EA92" s="44" t="b">
        <f>IF(Table1[Referral Decision]="Accepted",100,IF(Table1[Referral Decision]="Rejected by Provider",200,IF(Table1[Referral Decision]="Rejected by Applicant",300)))</f>
        <v>0</v>
      </c>
      <c r="EB92" s="44">
        <f>SUM(Table1[Data Referral Quarter]+Table1[Data Referral Decision])</f>
        <v>0</v>
      </c>
      <c r="EC92" s="44" t="b">
        <f>IF(Table1[Start Date]&gt;42735,8000,IF(Table1[Start Date]&gt;42643,7000,IF(Table1[Start Date]&gt;42551,6000,IF(Table1[Start Date]&gt;42460,5000,IF(Table1[Start Date]&gt;42369,4000,IF(Table1[Start Date]&gt;42277,3000,IF(Table1[Start Date]&gt;42185,2000,IF(Table1[Start Date]&gt;42094,1000))))))))</f>
        <v>0</v>
      </c>
      <c r="ED92" s="44" t="str">
        <f>IF(Table1[Start Date]="","",IF(Table1[Current Local Authority]="Swindon",1,"2"))</f>
        <v/>
      </c>
      <c r="EE92" s="44" t="e">
        <f>SUM(Table1[Data Start Date]+Table1[Data Local Authority])</f>
        <v>#VALUE!</v>
      </c>
      <c r="EF92" s="44">
        <f>IF(Table1[Registered with GP]="Yes",1,0)</f>
        <v>0</v>
      </c>
      <c r="EG92" s="44">
        <f>SUM(Table1[Data Start Date]+Table1[Data GP Start])</f>
        <v>0</v>
      </c>
      <c r="EH92" s="44" t="str">
        <f>IF(Table1[EET]="NEET",1,IF(Table1[EET]="Education",2,IF(Table1[EET]="Employment",2,IF(Table1[EET]="Training",2,IF(Table1[EET]="Retired",3,"")))))</f>
        <v/>
      </c>
      <c r="EI92" s="44" t="e">
        <f>Table1[Data Start Date]+Table1[Data EET Start]</f>
        <v>#VALUE!</v>
      </c>
      <c r="EJ92" s="44" t="b">
        <f>IF(Table1[Leaving Date]&gt;42735,8000,IF(Table1[Leaving Date]&gt;42643,7000,IF(Table1[Leaving Date]&gt;42551,6000,IF(Table1[Leaving Date]&gt;42460,5000,IF(Table1[Leaving Date]&gt;42369,4000,IF(Table1[Leaving Date]&gt;42277,3000,IF(Table1[Leaving Date]&gt;42185,2000,IF(Table1[Leaving Date]&gt;42094,1000))))))))</f>
        <v>0</v>
      </c>
      <c r="EK92" s="44" t="e">
        <f>VLOOKUP(Table1[Reason for Leaving],Lists!$T$2:$U$15,2,FALSE)</f>
        <v>#N/A</v>
      </c>
      <c r="EL92" s="44" t="e">
        <f>SUM(Table1[Data Leavers Date]+Table1[Data Move On])</f>
        <v>#N/A</v>
      </c>
      <c r="EM92" s="44" t="b">
        <f>IF(Table1[Registered with GP2]="Yes",1,IF(Table1[Registered with GP2]="No",0,IF(Table1[Registered with GP]="Yes",1,IF(Table1[Registered with GP]="No",0))))</f>
        <v>0</v>
      </c>
      <c r="EN92" s="44">
        <f>SUM(Table1[Data Leavers Date]+Table1[Data GP End])</f>
        <v>0</v>
      </c>
      <c r="EO92" s="44" t="str">
        <f>IF(Table1[EET2]="NEET",1,IF(Table1[EET2]="Employment",2,IF(Table1[EET2]="Education",2,IF(Table1[EET2]="Training",2,IF(Table1[EET2]="Retired",3,IF(Table1[EET]="NEET",1,IF(Table1[EET]="Employment",2,IF(Table1[EET]="Education",2,IF(Table1[EET]="Training",2,IF(Table1[EET]="Retired",3,""))))))))))</f>
        <v/>
      </c>
      <c r="EP92" s="44" t="e">
        <f>+Table1[[#This Row],[Data Leavers Date]]+Table1[[#This Row],[Data EET End]]</f>
        <v>#VALUE!</v>
      </c>
      <c r="EQ92" s="44">
        <f>IF(Table1[Exit Form Received]="Yes",1,0)</f>
        <v>0</v>
      </c>
      <c r="ER92" s="44">
        <f>+Table1[[#This Row],[Data Leavers Date]]+Table1[[#This Row],[Data Exit Forms]]</f>
        <v>0</v>
      </c>
      <c r="ES92" s="44" t="str">
        <f>IF(Table1[Data Leavers Date]=1000,SUM(Table1[Leaving Date]-Table1[Start Date]),"")</f>
        <v/>
      </c>
      <c r="ET92" s="44" t="str">
        <f>IF(Table1[Data Leavers Date]=2000,SUM(Table1[Leaving Date]-Table1[Start Date]),"")</f>
        <v/>
      </c>
      <c r="EU92" s="44" t="str">
        <f>IF(Table1[Data Leavers Date]=3000,SUM(Table1[Leaving Date]-Table1[Start Date]),"")</f>
        <v/>
      </c>
      <c r="EV92" s="44" t="str">
        <f>IF(Table1[Data Leavers Date]=4000,SUM(Table1[Leaving Date]-Table1[Start Date]),"")</f>
        <v/>
      </c>
      <c r="EW92" s="44" t="str">
        <f>IF(Table1[Data Leavers Date]=5000,SUM(Table1[Leaving Date]-Table1[Start Date]),"")</f>
        <v/>
      </c>
      <c r="EX92" s="44" t="str">
        <f>IF(Table1[Data Leavers Date]=6000,SUM(Table1[Leaving Date]-Table1[Start Date]),"")</f>
        <v/>
      </c>
      <c r="EY92" s="44" t="str">
        <f>IF(Table1[Data Leavers Date]=7000,SUM(Table1[Leaving Date]-Table1[Start Date]),"")</f>
        <v/>
      </c>
      <c r="EZ92" s="44" t="str">
        <f>IF(Table1[Data Leavers Date]=8000,SUM(Table1[Leaving Date]-Table1[Start Date]),"")</f>
        <v/>
      </c>
      <c r="FA92" s="44" t="str">
        <f>IF(Table1[Date of Initial Assessment]="","",IF(AND(Table1[Start Date]&gt;42094,Table1[Start Date]&lt;42461),Table1[Motivation and Taking Responsibility],""))</f>
        <v/>
      </c>
      <c r="FB92" s="44" t="str">
        <f>IF(Table1[Date of Initial Assessment]="","",IF(AND(Table1[Start Date]&gt;42094,Table1[Start Date]&lt;42461),Table1[Self-Care and Living Skills],""))</f>
        <v/>
      </c>
      <c r="FC92" s="44" t="str">
        <f>IF(Table1[Date of Initial Assessment]="","",IF(AND(Table1[Start Date]&gt;42094,Table1[Start Date]&lt;42461),Table1[Managing Money and Personal Administration],""))</f>
        <v/>
      </c>
      <c r="FD92" s="44" t="str">
        <f>IF(Table1[Date of Initial Assessment]="","",IF(AND(Table1[Start Date]&gt;42094,Table1[Start Date]&lt;42461),Table1[Social Networks and Relationships],""))</f>
        <v/>
      </c>
      <c r="FE92" s="44" t="str">
        <f>IF(Table1[Date of Initial Assessment]="","",IF(AND(Table1[Start Date]&gt;42094,Table1[Start Date]&lt;42461),Table1[Drug and Alcohol Misuse],""))</f>
        <v/>
      </c>
      <c r="FF92" s="44" t="str">
        <f>IF(Table1[Date of Initial Assessment]="","",IF(AND(Table1[Start Date]&gt;42094,Table1[Start Date]&lt;42461),Table1[Physical Health],""))</f>
        <v/>
      </c>
      <c r="FG92" s="44" t="str">
        <f>IF(Table1[Date of Initial Assessment]="","",IF(AND(Table1[Start Date]&gt;42094,Table1[Start Date]&lt;42461),Table1[Emotional and Mental Health],""))</f>
        <v/>
      </c>
      <c r="FH92" s="44" t="str">
        <f>IF(Table1[Date of Initial Assessment]="","",IF(AND(Table1[Start Date]&gt;42094,Table1[Start Date]&lt;42461),Table1[Meaningful Use of Time],""))</f>
        <v/>
      </c>
      <c r="FI92" s="44" t="str">
        <f>IF(Table1[Date of Initial Assessment]="","",IF(AND(Table1[Start Date]&gt;42094,Table1[Start Date]&lt;42461),Table1[Managing Tenancy and Accommodation],""))</f>
        <v/>
      </c>
      <c r="FJ92" s="44" t="str">
        <f>IF(Table1[Date of Initial Assessment]="","",IF(AND(Table1[Start Date]&gt;42094,Table1[Start Date]&lt;42461),Table1[Offending],""))</f>
        <v/>
      </c>
      <c r="FK92" s="44" t="str">
        <f>IF(Table1[Leaving Date]="","",IF(Table1[Date of Initial Assessment]="","",IF(AND(Table1[Leaving Date]&gt;42094,Table1[Leaving Date]&lt;42461),IF(Table1[Date of Last Assessment]="",Table1[Motivation and Taking Responsibility],Table1[Motivation and Taking Responsibility2]),"")))</f>
        <v/>
      </c>
      <c r="FL92" s="44" t="str">
        <f>IF(Table1[Leaving Date]="","",IF(Table1[Date of Initial Assessment]="","",IF(AND(Table1[Leaving Date]&gt;42094,Table1[Leaving Date]&lt;42461),IF(Table1[Date of Last Assessment]="",Table1[Self-Care and Living Skills],Table1[Self-Care and Living Skills2]),"")))</f>
        <v/>
      </c>
      <c r="FM92" s="44" t="str">
        <f>IF(Table1[Leaving Date]="","",IF(Table1[Date of Initial Assessment]="","",IF(AND(Table1[Leaving Date]&gt;42094,Table1[Leaving Date]&lt;42461),IF(Table1[Date of Last Assessment]="",Table1[Managing Money and Personal Administration],Table1[Managing Money and Personal Administration2]),"")))</f>
        <v/>
      </c>
      <c r="FN92" s="44" t="str">
        <f>IF(Table1[Leaving Date]="","",IF(Table1[Date of Initial Assessment]="","",IF(AND(Table1[Leaving Date]&gt;42094,Table1[Leaving Date]&lt;42461),IF(Table1[Date of Last Assessment]="",Table1[Social Networks and Relationships],Table1[Social Networks and Relationships2]),"")))</f>
        <v/>
      </c>
      <c r="FO92" s="44" t="str">
        <f>IF(Table1[Leaving Date]="","",IF(Table1[Date of Initial Assessment]="","",IF(AND(Table1[Leaving Date]&gt;42094,Table1[Leaving Date]&lt;42461),IF(Table1[Date of Last Assessment]="",Table1[Drug and Alcohol Misuse],Table1[Drug and Alcohol Misuse2]),"")))</f>
        <v/>
      </c>
      <c r="FP92" s="44" t="str">
        <f>IF(Table1[Leaving Date]="","",IF(Table1[Date of Initial Assessment]="","",IF(AND(Table1[Leaving Date]&gt;42094,Table1[Leaving Date]&lt;42461),IF(Table1[Date of Last Assessment]="",Table1[Physical Health],Table1[Physical Health2]),"")))</f>
        <v/>
      </c>
      <c r="FQ92" s="44" t="str">
        <f>IF(Table1[Leaving Date]="","",IF(Table1[Date of Initial Assessment]="","",IF(AND(Table1[Leaving Date]&gt;42094,Table1[Leaving Date]&lt;42461),IF(Table1[Date of Last Assessment]="",Table1[Emotional and Mental Health],Table1[Emotional and Mental Health2]),"")))</f>
        <v/>
      </c>
      <c r="FR92" s="44" t="str">
        <f>IF(Table1[Leaving Date]="","",IF(Table1[Date of Initial Assessment]="","",IF(AND(Table1[Leaving Date]&gt;42094,Table1[Leaving Date]&lt;42461),IF(Table1[Date of Last Assessment]="",Table1[Meaningful Use of Time],Table1[Meaningful Use of Time2]),"")))</f>
        <v/>
      </c>
      <c r="FS92" s="44" t="str">
        <f>IF(Table1[Leaving Date]="","",IF(Table1[Date of Initial Assessment]="","",IF(AND(Table1[Leaving Date]&gt;42094,Table1[Leaving Date]&lt;42461),IF(Table1[Date of Last Assessment]="",Table1[Managing Tenancy and Accommodation],Table1[Managing Tenancy and Accommodation2]),"")))</f>
        <v/>
      </c>
      <c r="FT92" s="44" t="str">
        <f>IF(Table1[Leaving Date]="","",IF(Table1[Date of Initial Assessment]="","",IF(AND(Table1[Leaving Date]&gt;42094,Table1[Leaving Date]&lt;42461),IF(Table1[Date of Last Assessment]="",Table1[Offending],Table1[Offending2]),"")))</f>
        <v/>
      </c>
      <c r="FU92" s="44" t="str">
        <f>IF(Table1[Date of Initial Assessment]="","",IF(AND(Table1[Start Date]&gt;42460,Table1[Start Date]&lt;42826),Table1[Motivation and Taking Responsibility],""))</f>
        <v/>
      </c>
      <c r="FV92" s="44" t="str">
        <f>IF(Table1[Date of Initial Assessment]="","",IF(AND(Table1[Start Date]&gt;42460,Table1[Start Date]&lt;42826),Table1[Self-Care and Living Skills],""))</f>
        <v/>
      </c>
      <c r="FW92" s="44" t="str">
        <f>IF(Table1[Date of Initial Assessment]="","",IF(AND(Table1[Start Date]&gt;42460,Table1[Start Date]&lt;42826),Table1[Managing Money and Personal Administration],""))</f>
        <v/>
      </c>
      <c r="FX92" s="44" t="str">
        <f>IF(Table1[Date of Initial Assessment]="","",IF(AND(Table1[Start Date]&gt;42460,Table1[Start Date]&lt;42826),Table1[Social Networks and Relationships],""))</f>
        <v/>
      </c>
      <c r="FY92" s="44" t="str">
        <f>IF(Table1[Date of Initial Assessment]="","",IF(AND(Table1[Start Date]&gt;42460,Table1[Start Date]&lt;42826),Table1[Drug and Alcohol Misuse],""))</f>
        <v/>
      </c>
      <c r="FZ92" s="44" t="str">
        <f>IF(Table1[Date of Initial Assessment]="","",IF(AND(Table1[Start Date]&gt;42460,Table1[Start Date]&lt;42826),Table1[Physical Health],""))</f>
        <v/>
      </c>
      <c r="GA92" s="44" t="str">
        <f>IF(Table1[Date of Initial Assessment]="","",IF(AND(Table1[Start Date]&gt;42460,Table1[Start Date]&lt;42826),Table1[Emotional and Mental Health],""))</f>
        <v/>
      </c>
      <c r="GB92" s="44" t="str">
        <f>IF(Table1[Date of Initial Assessment]="","",IF(AND(Table1[Start Date]&gt;42460,Table1[Start Date]&lt;42826),Table1[Meaningful Use of Time],""))</f>
        <v/>
      </c>
      <c r="GC92" s="44" t="str">
        <f>IF(Table1[Date of Initial Assessment]="","",IF(AND(Table1[Start Date]&gt;42460,Table1[Start Date]&lt;42826),Table1[Managing Tenancy and Accommodation],""))</f>
        <v/>
      </c>
      <c r="GD92" s="44" t="str">
        <f>IF(Table1[Date of Initial Assessment]="","",IF(AND(Table1[Start Date]&gt;42460,Table1[Start Date]&lt;42826),Table1[Offending],""))</f>
        <v/>
      </c>
      <c r="GE92" s="44" t="str">
        <f>IF(Table1[Leaving Date]="","",IF(AND(Table1[Leaving Date]&gt;42460,Table1[Leaving Date]&lt;42826),IF(Table1[Date of Last Assessment]="",Table1[Motivation and Taking Responsibility],Table1[Motivation and Taking Responsibility2]),""))</f>
        <v/>
      </c>
      <c r="GF92" s="44" t="str">
        <f>IF(Table1[Leaving Date]="","",IF(AND(Table1[Leaving Date]&gt;42460,Table1[Leaving Date]&lt;42826),IF(Table1[Date of Last Assessment]="",Table1[Self-Care and Living Skills],Table1[Self-Care and Living Skills2]),""))</f>
        <v/>
      </c>
      <c r="GG92" s="44" t="str">
        <f>IF(Table1[Leaving Date]="","",IF(AND(Table1[Leaving Date]&gt;42460,Table1[Leaving Date]&lt;42826),IF(Table1[Date of Last Assessment]="",Table1[Managing Money and Personal Administration],Table1[Managing Money and Personal Administration2]),""))</f>
        <v/>
      </c>
      <c r="GH92" s="44" t="str">
        <f>IF(Table1[Leaving Date]="","",IF(AND(Table1[Leaving Date]&gt;42460,Table1[Leaving Date]&lt;42826),IF(Table1[Date of Last Assessment]="",Table1[Social Networks and Relationships],Table1[Social Networks and Relationships2]),""))</f>
        <v/>
      </c>
      <c r="GI92" s="44" t="str">
        <f>IF(Table1[Leaving Date]="","",IF(AND(Table1[Leaving Date]&gt;42460,Table1[Leaving Date]&lt;42826),IF(Table1[Date of Last Assessment]="",Table1[Drug and Alcohol Misuse],Table1[Drug and Alcohol Misuse2]),""))</f>
        <v/>
      </c>
      <c r="GJ92" s="44" t="str">
        <f>IF(Table1[Leaving Date]="","",IF(AND(Table1[Leaving Date]&gt;42460,Table1[Leaving Date]&lt;42826),IF(Table1[Date of Last Assessment]="",Table1[Physical Health],Table1[Physical Health2]),""))</f>
        <v/>
      </c>
      <c r="GK92" s="44" t="str">
        <f>IF(Table1[Leaving Date]="","",IF(AND(Table1[Leaving Date]&gt;42460,Table1[Leaving Date]&lt;42826),IF(Table1[Date of Last Assessment]="",Table1[Emotional and Mental Health],Table1[Emotional and Mental Health2]),""))</f>
        <v/>
      </c>
      <c r="GL92" s="44" t="str">
        <f>IF(Table1[Leaving Date]="","",IF(AND(Table1[Leaving Date]&gt;42460,Table1[Leaving Date]&lt;42826),IF(Table1[Date of Last Assessment]="",Table1[Meaningful Use of Time],Table1[Meaningful Use of Time2]),""))</f>
        <v/>
      </c>
      <c r="GM92" s="44" t="str">
        <f>IF(Table1[Leaving Date]="","",IF(AND(Table1[Leaving Date]&gt;42460,Table1[Leaving Date]&lt;42826),IF(Table1[Date of Last Assessment]="",Table1[Managing Tenancy and Accommodation],Table1[Managing Tenancy and Accommodation2]),""))</f>
        <v/>
      </c>
      <c r="GN92" s="44" t="str">
        <f>IF(Table1[Leaving Date]="","",IF(AND(Table1[Leaving Date]&gt;42460,Table1[Leaving Date]&lt;42826),IF(Table1[Date of Last Assessment]="",Table1[Offending],Table1[Offending2]),""))</f>
        <v/>
      </c>
    </row>
    <row r="93" spans="2:196" ht="20.100000000000001" customHeight="1" x14ac:dyDescent="0.2">
      <c r="B93" s="86">
        <f>+'Service Data'!$C$5:$C$5</f>
        <v>0</v>
      </c>
      <c r="C93" s="86"/>
      <c r="D93" s="86"/>
      <c r="E93" s="86"/>
      <c r="F93" s="86"/>
      <c r="G93" s="86"/>
      <c r="H93" s="6"/>
      <c r="I93" s="99" t="str">
        <f ca="1">IF(Table1[[#This Row],[Date of Birth]]="","",SUM(TODAY()-Table1[[#This Row],[Date of Birth]])/365)</f>
        <v/>
      </c>
      <c r="L93" s="86"/>
      <c r="M93" s="77"/>
      <c r="N93" s="86"/>
      <c r="O93" s="86"/>
      <c r="P93" s="91"/>
      <c r="Q93" s="86"/>
      <c r="R93" s="77"/>
      <c r="S93" s="77"/>
      <c r="T93" s="68"/>
      <c r="U93" s="68"/>
      <c r="V93" s="67"/>
      <c r="W93" s="67"/>
      <c r="X93" s="67"/>
      <c r="Y93" s="67"/>
      <c r="Z93" s="67"/>
      <c r="AA93" s="67"/>
      <c r="AB93" s="67"/>
      <c r="AC93" s="67"/>
      <c r="AD93" s="67"/>
      <c r="AE93" s="67"/>
      <c r="AF93" s="67"/>
      <c r="AG93" s="67"/>
      <c r="AH93" s="67"/>
      <c r="AI93" s="67"/>
      <c r="AJ93" s="67"/>
      <c r="AK93" s="67"/>
      <c r="AL93" s="67"/>
      <c r="AM93" s="67"/>
      <c r="AN93" s="77"/>
      <c r="AO93" s="76"/>
      <c r="AP93" s="77"/>
      <c r="AQ93" s="76"/>
      <c r="AR93" s="76"/>
      <c r="AS93" s="76"/>
      <c r="AT93" s="76"/>
      <c r="AU93" s="76"/>
      <c r="AV93" s="77"/>
      <c r="AW93" s="76"/>
      <c r="AX93" s="77"/>
      <c r="AY93" s="76"/>
      <c r="AZ93" s="76"/>
      <c r="BA93" s="76"/>
      <c r="BB93" s="76"/>
      <c r="BC93" s="76"/>
      <c r="BD93" s="77"/>
      <c r="BE93" s="76"/>
      <c r="BF93" s="77"/>
      <c r="BG93" s="76"/>
      <c r="BH93" s="76"/>
      <c r="BI93" s="76"/>
      <c r="BJ93" s="76"/>
      <c r="BK93" s="76"/>
      <c r="BL93" s="77"/>
      <c r="BM93" s="76"/>
      <c r="BN93" s="77"/>
      <c r="BO93" s="76"/>
      <c r="BP93" s="76"/>
      <c r="BQ93" s="76"/>
      <c r="BR93" s="76"/>
      <c r="BS93" s="76"/>
      <c r="BT93" s="77"/>
      <c r="BU93" s="76"/>
      <c r="BV93" s="77"/>
      <c r="BW93" s="76"/>
      <c r="BX93" s="76"/>
      <c r="BY93" s="76"/>
      <c r="BZ93" s="76"/>
      <c r="CA93" s="76"/>
      <c r="CB93" s="77"/>
      <c r="CC93" s="76"/>
      <c r="CD93" s="77"/>
      <c r="CE93" s="76"/>
      <c r="CF93" s="76"/>
      <c r="CG93" s="76"/>
      <c r="CH93" s="76"/>
      <c r="CI93" s="76"/>
      <c r="CJ93" s="77"/>
      <c r="CK93" s="76"/>
      <c r="CL93" s="77"/>
      <c r="CM93" s="76"/>
      <c r="CN93" s="76"/>
      <c r="CO93" s="76"/>
      <c r="CP93" s="76"/>
      <c r="CQ93" s="76"/>
      <c r="CR93" s="78" t="str">
        <f t="shared" si="31"/>
        <v/>
      </c>
      <c r="CS93" s="79" t="str">
        <f t="shared" si="32"/>
        <v/>
      </c>
      <c r="CT93" s="79" t="str">
        <f t="shared" si="33"/>
        <v/>
      </c>
      <c r="CU93" s="79" t="str">
        <f t="shared" si="34"/>
        <v/>
      </c>
      <c r="CV93" s="79" t="str">
        <f t="shared" si="35"/>
        <v/>
      </c>
      <c r="CW93" s="79" t="str">
        <f t="shared" si="36"/>
        <v/>
      </c>
      <c r="CX93" s="79" t="str">
        <f t="shared" si="37"/>
        <v/>
      </c>
      <c r="CY93" s="79" t="str">
        <f t="shared" si="38"/>
        <v/>
      </c>
      <c r="CZ93" s="79" t="str">
        <f t="shared" si="39"/>
        <v/>
      </c>
      <c r="DA93" s="79" t="str">
        <f t="shared" si="40"/>
        <v/>
      </c>
      <c r="DB93" s="79" t="str">
        <f t="shared" si="41"/>
        <v/>
      </c>
      <c r="DC93" s="79" t="str">
        <f t="shared" si="42"/>
        <v/>
      </c>
      <c r="DD93" s="79" t="str">
        <f t="shared" si="43"/>
        <v/>
      </c>
      <c r="DE93" s="79" t="str">
        <f t="shared" si="44"/>
        <v/>
      </c>
      <c r="DF93" s="79" t="str">
        <f t="shared" si="45"/>
        <v/>
      </c>
      <c r="DG93" s="79" t="str">
        <f t="shared" si="46"/>
        <v/>
      </c>
      <c r="DH93" s="76"/>
      <c r="DI93" s="78"/>
      <c r="DJ93" s="76"/>
      <c r="DK93" s="77"/>
      <c r="DL93" s="77"/>
      <c r="DM93" s="77"/>
      <c r="DN93" s="80"/>
      <c r="DO93" s="80"/>
      <c r="DP93" s="92" t="str">
        <f>IF(Table1[Start Date]="","",IF(Table1[Start Date]&gt;42185,"",IF(AND(Table1[Leaving Date]&gt;1,Table1[Leaving Date]&lt;42095),"",1)))</f>
        <v/>
      </c>
      <c r="DQ93" s="92" t="str">
        <f>IF(Table1[Start Date]="","",IF(Table1[Start Date]&gt;42277,"",IF(AND(Table1[Leaving Date]&gt;1,Table1[Leaving Date]&lt;42186),"",1)))</f>
        <v/>
      </c>
      <c r="DR93" s="92" t="str">
        <f>IF(Table1[Start Date]="","",IF(Table1[Start Date]&gt;42369,"",IF(AND(Table1[Leaving Date]&gt;1,Table1[Leaving Date]&lt;42278),"",1)))</f>
        <v/>
      </c>
      <c r="DS93" s="92" t="str">
        <f>IF(Table1[Start Date]="","",IF(Table1[Start Date]&gt;42460,"",IF(AND(Table1[Leaving Date]&gt;1,Table1[Leaving Date]&lt;42370),"",1)))</f>
        <v/>
      </c>
      <c r="DT93" s="92" t="str">
        <f>IF(Table1[Start Date]="","",IF(Table1[Start Date]&gt;42551,"",IF(AND(Table1[Leaving Date]&gt;1,Table1[Leaving Date]&lt;42461),"",1)))</f>
        <v/>
      </c>
      <c r="DU93" s="92" t="str">
        <f>IF(Table1[Start Date]="","",IF(Table1[Start Date]&gt;42643,"",IF(AND(Table1[Leaving Date]&gt;1,Table1[Leaving Date]&lt;42552),"",1)))</f>
        <v/>
      </c>
      <c r="DV93" s="92" t="str">
        <f>IF(Table1[Start Date]="","",IF(Table1[Start Date]&gt;42735,"",IF(AND(Table1[Leaving Date]&gt;1,Table1[Leaving Date]&lt;42644),"",1)))</f>
        <v/>
      </c>
      <c r="DW93" s="92" t="str">
        <f>IF(Table1[Start Date]="","",IF(Table1[Start Date]&gt;42825,"",IF(AND(Table1[Leaving Date]&gt;1,Table1[Leaving Date]&lt;42736),"",1)))</f>
        <v/>
      </c>
      <c r="DX93"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93" s="44" t="e">
        <f>VLOOKUP(Table1[Referral Source],Lists!$G$2:$H$20,2,FALSE)</f>
        <v>#N/A</v>
      </c>
      <c r="DZ93" s="93" t="e">
        <f>SUM(Table1[Data Referral Quarter]+Table1[Data Referral Source])</f>
        <v>#N/A</v>
      </c>
      <c r="EA93" s="44" t="b">
        <f>IF(Table1[Referral Decision]="Accepted",100,IF(Table1[Referral Decision]="Rejected by Provider",200,IF(Table1[Referral Decision]="Rejected by Applicant",300)))</f>
        <v>0</v>
      </c>
      <c r="EB93" s="44">
        <f>SUM(Table1[Data Referral Quarter]+Table1[Data Referral Decision])</f>
        <v>0</v>
      </c>
      <c r="EC93" s="44" t="b">
        <f>IF(Table1[Start Date]&gt;42735,8000,IF(Table1[Start Date]&gt;42643,7000,IF(Table1[Start Date]&gt;42551,6000,IF(Table1[Start Date]&gt;42460,5000,IF(Table1[Start Date]&gt;42369,4000,IF(Table1[Start Date]&gt;42277,3000,IF(Table1[Start Date]&gt;42185,2000,IF(Table1[Start Date]&gt;42094,1000))))))))</f>
        <v>0</v>
      </c>
      <c r="ED93" s="44" t="str">
        <f>IF(Table1[Start Date]="","",IF(Table1[Current Local Authority]="Swindon",1,"2"))</f>
        <v/>
      </c>
      <c r="EE93" s="44" t="e">
        <f>SUM(Table1[Data Start Date]+Table1[Data Local Authority])</f>
        <v>#VALUE!</v>
      </c>
      <c r="EF93" s="44">
        <f>IF(Table1[Registered with GP]="Yes",1,0)</f>
        <v>0</v>
      </c>
      <c r="EG93" s="44">
        <f>SUM(Table1[Data Start Date]+Table1[Data GP Start])</f>
        <v>0</v>
      </c>
      <c r="EH93" s="44" t="str">
        <f>IF(Table1[EET]="NEET",1,IF(Table1[EET]="Education",2,IF(Table1[EET]="Employment",2,IF(Table1[EET]="Training",2,IF(Table1[EET]="Retired",3,"")))))</f>
        <v/>
      </c>
      <c r="EI93" s="44" t="e">
        <f>Table1[Data Start Date]+Table1[Data EET Start]</f>
        <v>#VALUE!</v>
      </c>
      <c r="EJ93" s="44" t="b">
        <f>IF(Table1[Leaving Date]&gt;42735,8000,IF(Table1[Leaving Date]&gt;42643,7000,IF(Table1[Leaving Date]&gt;42551,6000,IF(Table1[Leaving Date]&gt;42460,5000,IF(Table1[Leaving Date]&gt;42369,4000,IF(Table1[Leaving Date]&gt;42277,3000,IF(Table1[Leaving Date]&gt;42185,2000,IF(Table1[Leaving Date]&gt;42094,1000))))))))</f>
        <v>0</v>
      </c>
      <c r="EK93" s="44" t="e">
        <f>VLOOKUP(Table1[Reason for Leaving],Lists!$T$2:$U$15,2,FALSE)</f>
        <v>#N/A</v>
      </c>
      <c r="EL93" s="44" t="e">
        <f>SUM(Table1[Data Leavers Date]+Table1[Data Move On])</f>
        <v>#N/A</v>
      </c>
      <c r="EM93" s="44" t="b">
        <f>IF(Table1[Registered with GP2]="Yes",1,IF(Table1[Registered with GP2]="No",0,IF(Table1[Registered with GP]="Yes",1,IF(Table1[Registered with GP]="No",0))))</f>
        <v>0</v>
      </c>
      <c r="EN93" s="44">
        <f>SUM(Table1[Data Leavers Date]+Table1[Data GP End])</f>
        <v>0</v>
      </c>
      <c r="EO93" s="44" t="str">
        <f>IF(Table1[EET2]="NEET",1,IF(Table1[EET2]="Employment",2,IF(Table1[EET2]="Education",2,IF(Table1[EET2]="Training",2,IF(Table1[EET2]="Retired",3,IF(Table1[EET]="NEET",1,IF(Table1[EET]="Employment",2,IF(Table1[EET]="Education",2,IF(Table1[EET]="Training",2,IF(Table1[EET]="Retired",3,""))))))))))</f>
        <v/>
      </c>
      <c r="EP93" s="44" t="e">
        <f>+Table1[[#This Row],[Data Leavers Date]]+Table1[[#This Row],[Data EET End]]</f>
        <v>#VALUE!</v>
      </c>
      <c r="EQ93" s="44">
        <f>IF(Table1[Exit Form Received]="Yes",1,0)</f>
        <v>0</v>
      </c>
      <c r="ER93" s="44">
        <f>+Table1[[#This Row],[Data Leavers Date]]+Table1[[#This Row],[Data Exit Forms]]</f>
        <v>0</v>
      </c>
      <c r="ES93" s="44" t="str">
        <f>IF(Table1[Data Leavers Date]=1000,SUM(Table1[Leaving Date]-Table1[Start Date]),"")</f>
        <v/>
      </c>
      <c r="ET93" s="44" t="str">
        <f>IF(Table1[Data Leavers Date]=2000,SUM(Table1[Leaving Date]-Table1[Start Date]),"")</f>
        <v/>
      </c>
      <c r="EU93" s="44" t="str">
        <f>IF(Table1[Data Leavers Date]=3000,SUM(Table1[Leaving Date]-Table1[Start Date]),"")</f>
        <v/>
      </c>
      <c r="EV93" s="44" t="str">
        <f>IF(Table1[Data Leavers Date]=4000,SUM(Table1[Leaving Date]-Table1[Start Date]),"")</f>
        <v/>
      </c>
      <c r="EW93" s="44" t="str">
        <f>IF(Table1[Data Leavers Date]=5000,SUM(Table1[Leaving Date]-Table1[Start Date]),"")</f>
        <v/>
      </c>
      <c r="EX93" s="44" t="str">
        <f>IF(Table1[Data Leavers Date]=6000,SUM(Table1[Leaving Date]-Table1[Start Date]),"")</f>
        <v/>
      </c>
      <c r="EY93" s="44" t="str">
        <f>IF(Table1[Data Leavers Date]=7000,SUM(Table1[Leaving Date]-Table1[Start Date]),"")</f>
        <v/>
      </c>
      <c r="EZ93" s="44" t="str">
        <f>IF(Table1[Data Leavers Date]=8000,SUM(Table1[Leaving Date]-Table1[Start Date]),"")</f>
        <v/>
      </c>
      <c r="FA93" s="44" t="str">
        <f>IF(Table1[Date of Initial Assessment]="","",IF(AND(Table1[Start Date]&gt;42094,Table1[Start Date]&lt;42461),Table1[Motivation and Taking Responsibility],""))</f>
        <v/>
      </c>
      <c r="FB93" s="44" t="str">
        <f>IF(Table1[Date of Initial Assessment]="","",IF(AND(Table1[Start Date]&gt;42094,Table1[Start Date]&lt;42461),Table1[Self-Care and Living Skills],""))</f>
        <v/>
      </c>
      <c r="FC93" s="44" t="str">
        <f>IF(Table1[Date of Initial Assessment]="","",IF(AND(Table1[Start Date]&gt;42094,Table1[Start Date]&lt;42461),Table1[Managing Money and Personal Administration],""))</f>
        <v/>
      </c>
      <c r="FD93" s="44" t="str">
        <f>IF(Table1[Date of Initial Assessment]="","",IF(AND(Table1[Start Date]&gt;42094,Table1[Start Date]&lt;42461),Table1[Social Networks and Relationships],""))</f>
        <v/>
      </c>
      <c r="FE93" s="44" t="str">
        <f>IF(Table1[Date of Initial Assessment]="","",IF(AND(Table1[Start Date]&gt;42094,Table1[Start Date]&lt;42461),Table1[Drug and Alcohol Misuse],""))</f>
        <v/>
      </c>
      <c r="FF93" s="44" t="str">
        <f>IF(Table1[Date of Initial Assessment]="","",IF(AND(Table1[Start Date]&gt;42094,Table1[Start Date]&lt;42461),Table1[Physical Health],""))</f>
        <v/>
      </c>
      <c r="FG93" s="44" t="str">
        <f>IF(Table1[Date of Initial Assessment]="","",IF(AND(Table1[Start Date]&gt;42094,Table1[Start Date]&lt;42461),Table1[Emotional and Mental Health],""))</f>
        <v/>
      </c>
      <c r="FH93" s="44" t="str">
        <f>IF(Table1[Date of Initial Assessment]="","",IF(AND(Table1[Start Date]&gt;42094,Table1[Start Date]&lt;42461),Table1[Meaningful Use of Time],""))</f>
        <v/>
      </c>
      <c r="FI93" s="44" t="str">
        <f>IF(Table1[Date of Initial Assessment]="","",IF(AND(Table1[Start Date]&gt;42094,Table1[Start Date]&lt;42461),Table1[Managing Tenancy and Accommodation],""))</f>
        <v/>
      </c>
      <c r="FJ93" s="44" t="str">
        <f>IF(Table1[Date of Initial Assessment]="","",IF(AND(Table1[Start Date]&gt;42094,Table1[Start Date]&lt;42461),Table1[Offending],""))</f>
        <v/>
      </c>
      <c r="FK93" s="44" t="str">
        <f>IF(Table1[Leaving Date]="","",IF(Table1[Date of Initial Assessment]="","",IF(AND(Table1[Leaving Date]&gt;42094,Table1[Leaving Date]&lt;42461),IF(Table1[Date of Last Assessment]="",Table1[Motivation and Taking Responsibility],Table1[Motivation and Taking Responsibility2]),"")))</f>
        <v/>
      </c>
      <c r="FL93" s="44" t="str">
        <f>IF(Table1[Leaving Date]="","",IF(Table1[Date of Initial Assessment]="","",IF(AND(Table1[Leaving Date]&gt;42094,Table1[Leaving Date]&lt;42461),IF(Table1[Date of Last Assessment]="",Table1[Self-Care and Living Skills],Table1[Self-Care and Living Skills2]),"")))</f>
        <v/>
      </c>
      <c r="FM93" s="44" t="str">
        <f>IF(Table1[Leaving Date]="","",IF(Table1[Date of Initial Assessment]="","",IF(AND(Table1[Leaving Date]&gt;42094,Table1[Leaving Date]&lt;42461),IF(Table1[Date of Last Assessment]="",Table1[Managing Money and Personal Administration],Table1[Managing Money and Personal Administration2]),"")))</f>
        <v/>
      </c>
      <c r="FN93" s="44" t="str">
        <f>IF(Table1[Leaving Date]="","",IF(Table1[Date of Initial Assessment]="","",IF(AND(Table1[Leaving Date]&gt;42094,Table1[Leaving Date]&lt;42461),IF(Table1[Date of Last Assessment]="",Table1[Social Networks and Relationships],Table1[Social Networks and Relationships2]),"")))</f>
        <v/>
      </c>
      <c r="FO93" s="44" t="str">
        <f>IF(Table1[Leaving Date]="","",IF(Table1[Date of Initial Assessment]="","",IF(AND(Table1[Leaving Date]&gt;42094,Table1[Leaving Date]&lt;42461),IF(Table1[Date of Last Assessment]="",Table1[Drug and Alcohol Misuse],Table1[Drug and Alcohol Misuse2]),"")))</f>
        <v/>
      </c>
      <c r="FP93" s="44" t="str">
        <f>IF(Table1[Leaving Date]="","",IF(Table1[Date of Initial Assessment]="","",IF(AND(Table1[Leaving Date]&gt;42094,Table1[Leaving Date]&lt;42461),IF(Table1[Date of Last Assessment]="",Table1[Physical Health],Table1[Physical Health2]),"")))</f>
        <v/>
      </c>
      <c r="FQ93" s="44" t="str">
        <f>IF(Table1[Leaving Date]="","",IF(Table1[Date of Initial Assessment]="","",IF(AND(Table1[Leaving Date]&gt;42094,Table1[Leaving Date]&lt;42461),IF(Table1[Date of Last Assessment]="",Table1[Emotional and Mental Health],Table1[Emotional and Mental Health2]),"")))</f>
        <v/>
      </c>
      <c r="FR93" s="44" t="str">
        <f>IF(Table1[Leaving Date]="","",IF(Table1[Date of Initial Assessment]="","",IF(AND(Table1[Leaving Date]&gt;42094,Table1[Leaving Date]&lt;42461),IF(Table1[Date of Last Assessment]="",Table1[Meaningful Use of Time],Table1[Meaningful Use of Time2]),"")))</f>
        <v/>
      </c>
      <c r="FS93" s="44" t="str">
        <f>IF(Table1[Leaving Date]="","",IF(Table1[Date of Initial Assessment]="","",IF(AND(Table1[Leaving Date]&gt;42094,Table1[Leaving Date]&lt;42461),IF(Table1[Date of Last Assessment]="",Table1[Managing Tenancy and Accommodation],Table1[Managing Tenancy and Accommodation2]),"")))</f>
        <v/>
      </c>
      <c r="FT93" s="44" t="str">
        <f>IF(Table1[Leaving Date]="","",IF(Table1[Date of Initial Assessment]="","",IF(AND(Table1[Leaving Date]&gt;42094,Table1[Leaving Date]&lt;42461),IF(Table1[Date of Last Assessment]="",Table1[Offending],Table1[Offending2]),"")))</f>
        <v/>
      </c>
      <c r="FU93" s="44" t="str">
        <f>IF(Table1[Date of Initial Assessment]="","",IF(AND(Table1[Start Date]&gt;42460,Table1[Start Date]&lt;42826),Table1[Motivation and Taking Responsibility],""))</f>
        <v/>
      </c>
      <c r="FV93" s="44" t="str">
        <f>IF(Table1[Date of Initial Assessment]="","",IF(AND(Table1[Start Date]&gt;42460,Table1[Start Date]&lt;42826),Table1[Self-Care and Living Skills],""))</f>
        <v/>
      </c>
      <c r="FW93" s="44" t="str">
        <f>IF(Table1[Date of Initial Assessment]="","",IF(AND(Table1[Start Date]&gt;42460,Table1[Start Date]&lt;42826),Table1[Managing Money and Personal Administration],""))</f>
        <v/>
      </c>
      <c r="FX93" s="44" t="str">
        <f>IF(Table1[Date of Initial Assessment]="","",IF(AND(Table1[Start Date]&gt;42460,Table1[Start Date]&lt;42826),Table1[Social Networks and Relationships],""))</f>
        <v/>
      </c>
      <c r="FY93" s="44" t="str">
        <f>IF(Table1[Date of Initial Assessment]="","",IF(AND(Table1[Start Date]&gt;42460,Table1[Start Date]&lt;42826),Table1[Drug and Alcohol Misuse],""))</f>
        <v/>
      </c>
      <c r="FZ93" s="44" t="str">
        <f>IF(Table1[Date of Initial Assessment]="","",IF(AND(Table1[Start Date]&gt;42460,Table1[Start Date]&lt;42826),Table1[Physical Health],""))</f>
        <v/>
      </c>
      <c r="GA93" s="44" t="str">
        <f>IF(Table1[Date of Initial Assessment]="","",IF(AND(Table1[Start Date]&gt;42460,Table1[Start Date]&lt;42826),Table1[Emotional and Mental Health],""))</f>
        <v/>
      </c>
      <c r="GB93" s="44" t="str">
        <f>IF(Table1[Date of Initial Assessment]="","",IF(AND(Table1[Start Date]&gt;42460,Table1[Start Date]&lt;42826),Table1[Meaningful Use of Time],""))</f>
        <v/>
      </c>
      <c r="GC93" s="44" t="str">
        <f>IF(Table1[Date of Initial Assessment]="","",IF(AND(Table1[Start Date]&gt;42460,Table1[Start Date]&lt;42826),Table1[Managing Tenancy and Accommodation],""))</f>
        <v/>
      </c>
      <c r="GD93" s="44" t="str">
        <f>IF(Table1[Date of Initial Assessment]="","",IF(AND(Table1[Start Date]&gt;42460,Table1[Start Date]&lt;42826),Table1[Offending],""))</f>
        <v/>
      </c>
      <c r="GE93" s="44" t="str">
        <f>IF(Table1[Leaving Date]="","",IF(AND(Table1[Leaving Date]&gt;42460,Table1[Leaving Date]&lt;42826),IF(Table1[Date of Last Assessment]="",Table1[Motivation and Taking Responsibility],Table1[Motivation and Taking Responsibility2]),""))</f>
        <v/>
      </c>
      <c r="GF93" s="44" t="str">
        <f>IF(Table1[Leaving Date]="","",IF(AND(Table1[Leaving Date]&gt;42460,Table1[Leaving Date]&lt;42826),IF(Table1[Date of Last Assessment]="",Table1[Self-Care and Living Skills],Table1[Self-Care and Living Skills2]),""))</f>
        <v/>
      </c>
      <c r="GG93" s="44" t="str">
        <f>IF(Table1[Leaving Date]="","",IF(AND(Table1[Leaving Date]&gt;42460,Table1[Leaving Date]&lt;42826),IF(Table1[Date of Last Assessment]="",Table1[Managing Money and Personal Administration],Table1[Managing Money and Personal Administration2]),""))</f>
        <v/>
      </c>
      <c r="GH93" s="44" t="str">
        <f>IF(Table1[Leaving Date]="","",IF(AND(Table1[Leaving Date]&gt;42460,Table1[Leaving Date]&lt;42826),IF(Table1[Date of Last Assessment]="",Table1[Social Networks and Relationships],Table1[Social Networks and Relationships2]),""))</f>
        <v/>
      </c>
      <c r="GI93" s="44" t="str">
        <f>IF(Table1[Leaving Date]="","",IF(AND(Table1[Leaving Date]&gt;42460,Table1[Leaving Date]&lt;42826),IF(Table1[Date of Last Assessment]="",Table1[Drug and Alcohol Misuse],Table1[Drug and Alcohol Misuse2]),""))</f>
        <v/>
      </c>
      <c r="GJ93" s="44" t="str">
        <f>IF(Table1[Leaving Date]="","",IF(AND(Table1[Leaving Date]&gt;42460,Table1[Leaving Date]&lt;42826),IF(Table1[Date of Last Assessment]="",Table1[Physical Health],Table1[Physical Health2]),""))</f>
        <v/>
      </c>
      <c r="GK93" s="44" t="str">
        <f>IF(Table1[Leaving Date]="","",IF(AND(Table1[Leaving Date]&gt;42460,Table1[Leaving Date]&lt;42826),IF(Table1[Date of Last Assessment]="",Table1[Emotional and Mental Health],Table1[Emotional and Mental Health2]),""))</f>
        <v/>
      </c>
      <c r="GL93" s="44" t="str">
        <f>IF(Table1[Leaving Date]="","",IF(AND(Table1[Leaving Date]&gt;42460,Table1[Leaving Date]&lt;42826),IF(Table1[Date of Last Assessment]="",Table1[Meaningful Use of Time],Table1[Meaningful Use of Time2]),""))</f>
        <v/>
      </c>
      <c r="GM93" s="44" t="str">
        <f>IF(Table1[Leaving Date]="","",IF(AND(Table1[Leaving Date]&gt;42460,Table1[Leaving Date]&lt;42826),IF(Table1[Date of Last Assessment]="",Table1[Managing Tenancy and Accommodation],Table1[Managing Tenancy and Accommodation2]),""))</f>
        <v/>
      </c>
      <c r="GN93" s="44" t="str">
        <f>IF(Table1[Leaving Date]="","",IF(AND(Table1[Leaving Date]&gt;42460,Table1[Leaving Date]&lt;42826),IF(Table1[Date of Last Assessment]="",Table1[Offending],Table1[Offending2]),""))</f>
        <v/>
      </c>
    </row>
    <row r="94" spans="2:196" ht="20.100000000000001" customHeight="1" x14ac:dyDescent="0.2">
      <c r="B94" s="86">
        <f>+'Service Data'!$C$5:$C$5</f>
        <v>0</v>
      </c>
      <c r="C94" s="86"/>
      <c r="D94" s="86"/>
      <c r="E94" s="86"/>
      <c r="F94" s="86"/>
      <c r="G94" s="86"/>
      <c r="H94" s="6"/>
      <c r="I94" s="99" t="str">
        <f ca="1">IF(Table1[[#This Row],[Date of Birth]]="","",SUM(TODAY()-Table1[[#This Row],[Date of Birth]])/365)</f>
        <v/>
      </c>
      <c r="L94" s="86"/>
      <c r="M94" s="77"/>
      <c r="N94" s="86"/>
      <c r="O94" s="86"/>
      <c r="P94" s="91"/>
      <c r="Q94" s="86"/>
      <c r="R94" s="77"/>
      <c r="S94" s="77"/>
      <c r="T94" s="68"/>
      <c r="U94" s="68"/>
      <c r="V94" s="67"/>
      <c r="W94" s="67"/>
      <c r="X94" s="67"/>
      <c r="Y94" s="67"/>
      <c r="Z94" s="67"/>
      <c r="AA94" s="67"/>
      <c r="AB94" s="67"/>
      <c r="AC94" s="67"/>
      <c r="AD94" s="67"/>
      <c r="AE94" s="67"/>
      <c r="AF94" s="67"/>
      <c r="AG94" s="67"/>
      <c r="AH94" s="67"/>
      <c r="AI94" s="67"/>
      <c r="AJ94" s="67"/>
      <c r="AK94" s="67"/>
      <c r="AL94" s="67"/>
      <c r="AM94" s="67"/>
      <c r="AN94" s="77"/>
      <c r="AO94" s="76"/>
      <c r="AP94" s="77"/>
      <c r="AQ94" s="76"/>
      <c r="AR94" s="76"/>
      <c r="AS94" s="76"/>
      <c r="AT94" s="76"/>
      <c r="AU94" s="76"/>
      <c r="AV94" s="77"/>
      <c r="AW94" s="76"/>
      <c r="AX94" s="77"/>
      <c r="AY94" s="76"/>
      <c r="AZ94" s="76"/>
      <c r="BA94" s="76"/>
      <c r="BB94" s="76"/>
      <c r="BC94" s="76"/>
      <c r="BD94" s="77"/>
      <c r="BE94" s="76"/>
      <c r="BF94" s="77"/>
      <c r="BG94" s="76"/>
      <c r="BH94" s="76"/>
      <c r="BI94" s="76"/>
      <c r="BJ94" s="76"/>
      <c r="BK94" s="76"/>
      <c r="BL94" s="77"/>
      <c r="BM94" s="76"/>
      <c r="BN94" s="77"/>
      <c r="BO94" s="76"/>
      <c r="BP94" s="76"/>
      <c r="BQ94" s="76"/>
      <c r="BR94" s="76"/>
      <c r="BS94" s="76"/>
      <c r="BT94" s="77"/>
      <c r="BU94" s="76"/>
      <c r="BV94" s="77"/>
      <c r="BW94" s="76"/>
      <c r="BX94" s="76"/>
      <c r="BY94" s="76"/>
      <c r="BZ94" s="76"/>
      <c r="CA94" s="76"/>
      <c r="CB94" s="77"/>
      <c r="CC94" s="76"/>
      <c r="CD94" s="77"/>
      <c r="CE94" s="76"/>
      <c r="CF94" s="76"/>
      <c r="CG94" s="76"/>
      <c r="CH94" s="76"/>
      <c r="CI94" s="76"/>
      <c r="CJ94" s="77"/>
      <c r="CK94" s="76"/>
      <c r="CL94" s="77"/>
      <c r="CM94" s="76"/>
      <c r="CN94" s="76"/>
      <c r="CO94" s="76"/>
      <c r="CP94" s="76"/>
      <c r="CQ94" s="76"/>
      <c r="CR94" s="78" t="str">
        <f t="shared" si="31"/>
        <v/>
      </c>
      <c r="CS94" s="79" t="str">
        <f t="shared" si="32"/>
        <v/>
      </c>
      <c r="CT94" s="79" t="str">
        <f t="shared" si="33"/>
        <v/>
      </c>
      <c r="CU94" s="79" t="str">
        <f t="shared" si="34"/>
        <v/>
      </c>
      <c r="CV94" s="79" t="str">
        <f t="shared" si="35"/>
        <v/>
      </c>
      <c r="CW94" s="79" t="str">
        <f t="shared" si="36"/>
        <v/>
      </c>
      <c r="CX94" s="79" t="str">
        <f t="shared" si="37"/>
        <v/>
      </c>
      <c r="CY94" s="79" t="str">
        <f t="shared" si="38"/>
        <v/>
      </c>
      <c r="CZ94" s="79" t="str">
        <f t="shared" si="39"/>
        <v/>
      </c>
      <c r="DA94" s="79" t="str">
        <f t="shared" si="40"/>
        <v/>
      </c>
      <c r="DB94" s="79" t="str">
        <f t="shared" si="41"/>
        <v/>
      </c>
      <c r="DC94" s="79" t="str">
        <f t="shared" si="42"/>
        <v/>
      </c>
      <c r="DD94" s="79" t="str">
        <f t="shared" si="43"/>
        <v/>
      </c>
      <c r="DE94" s="79" t="str">
        <f t="shared" si="44"/>
        <v/>
      </c>
      <c r="DF94" s="79" t="str">
        <f t="shared" si="45"/>
        <v/>
      </c>
      <c r="DG94" s="79" t="str">
        <f t="shared" si="46"/>
        <v/>
      </c>
      <c r="DH94" s="76"/>
      <c r="DI94" s="78"/>
      <c r="DJ94" s="76"/>
      <c r="DK94" s="77"/>
      <c r="DL94" s="77"/>
      <c r="DM94" s="77"/>
      <c r="DN94" s="80"/>
      <c r="DO94" s="80"/>
      <c r="DP94" s="92" t="str">
        <f>IF(Table1[Start Date]="","",IF(Table1[Start Date]&gt;42185,"",IF(AND(Table1[Leaving Date]&gt;1,Table1[Leaving Date]&lt;42095),"",1)))</f>
        <v/>
      </c>
      <c r="DQ94" s="92" t="str">
        <f>IF(Table1[Start Date]="","",IF(Table1[Start Date]&gt;42277,"",IF(AND(Table1[Leaving Date]&gt;1,Table1[Leaving Date]&lt;42186),"",1)))</f>
        <v/>
      </c>
      <c r="DR94" s="92" t="str">
        <f>IF(Table1[Start Date]="","",IF(Table1[Start Date]&gt;42369,"",IF(AND(Table1[Leaving Date]&gt;1,Table1[Leaving Date]&lt;42278),"",1)))</f>
        <v/>
      </c>
      <c r="DS94" s="92" t="str">
        <f>IF(Table1[Start Date]="","",IF(Table1[Start Date]&gt;42460,"",IF(AND(Table1[Leaving Date]&gt;1,Table1[Leaving Date]&lt;42370),"",1)))</f>
        <v/>
      </c>
      <c r="DT94" s="92" t="str">
        <f>IF(Table1[Start Date]="","",IF(Table1[Start Date]&gt;42551,"",IF(AND(Table1[Leaving Date]&gt;1,Table1[Leaving Date]&lt;42461),"",1)))</f>
        <v/>
      </c>
      <c r="DU94" s="92" t="str">
        <f>IF(Table1[Start Date]="","",IF(Table1[Start Date]&gt;42643,"",IF(AND(Table1[Leaving Date]&gt;1,Table1[Leaving Date]&lt;42552),"",1)))</f>
        <v/>
      </c>
      <c r="DV94" s="92" t="str">
        <f>IF(Table1[Start Date]="","",IF(Table1[Start Date]&gt;42735,"",IF(AND(Table1[Leaving Date]&gt;1,Table1[Leaving Date]&lt;42644),"",1)))</f>
        <v/>
      </c>
      <c r="DW94" s="92" t="str">
        <f>IF(Table1[Start Date]="","",IF(Table1[Start Date]&gt;42825,"",IF(AND(Table1[Leaving Date]&gt;1,Table1[Leaving Date]&lt;42736),"",1)))</f>
        <v/>
      </c>
      <c r="DX94"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94" s="44" t="e">
        <f>VLOOKUP(Table1[Referral Source],Lists!$G$2:$H$20,2,FALSE)</f>
        <v>#N/A</v>
      </c>
      <c r="DZ94" s="93" t="e">
        <f>SUM(Table1[Data Referral Quarter]+Table1[Data Referral Source])</f>
        <v>#N/A</v>
      </c>
      <c r="EA94" s="44" t="b">
        <f>IF(Table1[Referral Decision]="Accepted",100,IF(Table1[Referral Decision]="Rejected by Provider",200,IF(Table1[Referral Decision]="Rejected by Applicant",300)))</f>
        <v>0</v>
      </c>
      <c r="EB94" s="44">
        <f>SUM(Table1[Data Referral Quarter]+Table1[Data Referral Decision])</f>
        <v>0</v>
      </c>
      <c r="EC94" s="44" t="b">
        <f>IF(Table1[Start Date]&gt;42735,8000,IF(Table1[Start Date]&gt;42643,7000,IF(Table1[Start Date]&gt;42551,6000,IF(Table1[Start Date]&gt;42460,5000,IF(Table1[Start Date]&gt;42369,4000,IF(Table1[Start Date]&gt;42277,3000,IF(Table1[Start Date]&gt;42185,2000,IF(Table1[Start Date]&gt;42094,1000))))))))</f>
        <v>0</v>
      </c>
      <c r="ED94" s="44" t="str">
        <f>IF(Table1[Start Date]="","",IF(Table1[Current Local Authority]="Swindon",1,"2"))</f>
        <v/>
      </c>
      <c r="EE94" s="44" t="e">
        <f>SUM(Table1[Data Start Date]+Table1[Data Local Authority])</f>
        <v>#VALUE!</v>
      </c>
      <c r="EF94" s="44">
        <f>IF(Table1[Registered with GP]="Yes",1,0)</f>
        <v>0</v>
      </c>
      <c r="EG94" s="44">
        <f>SUM(Table1[Data Start Date]+Table1[Data GP Start])</f>
        <v>0</v>
      </c>
      <c r="EH94" s="44" t="str">
        <f>IF(Table1[EET]="NEET",1,IF(Table1[EET]="Education",2,IF(Table1[EET]="Employment",2,IF(Table1[EET]="Training",2,IF(Table1[EET]="Retired",3,"")))))</f>
        <v/>
      </c>
      <c r="EI94" s="44" t="e">
        <f>Table1[Data Start Date]+Table1[Data EET Start]</f>
        <v>#VALUE!</v>
      </c>
      <c r="EJ94" s="44" t="b">
        <f>IF(Table1[Leaving Date]&gt;42735,8000,IF(Table1[Leaving Date]&gt;42643,7000,IF(Table1[Leaving Date]&gt;42551,6000,IF(Table1[Leaving Date]&gt;42460,5000,IF(Table1[Leaving Date]&gt;42369,4000,IF(Table1[Leaving Date]&gt;42277,3000,IF(Table1[Leaving Date]&gt;42185,2000,IF(Table1[Leaving Date]&gt;42094,1000))))))))</f>
        <v>0</v>
      </c>
      <c r="EK94" s="44" t="e">
        <f>VLOOKUP(Table1[Reason for Leaving],Lists!$T$2:$U$15,2,FALSE)</f>
        <v>#N/A</v>
      </c>
      <c r="EL94" s="44" t="e">
        <f>SUM(Table1[Data Leavers Date]+Table1[Data Move On])</f>
        <v>#N/A</v>
      </c>
      <c r="EM94" s="44" t="b">
        <f>IF(Table1[Registered with GP2]="Yes",1,IF(Table1[Registered with GP2]="No",0,IF(Table1[Registered with GP]="Yes",1,IF(Table1[Registered with GP]="No",0))))</f>
        <v>0</v>
      </c>
      <c r="EN94" s="44">
        <f>SUM(Table1[Data Leavers Date]+Table1[Data GP End])</f>
        <v>0</v>
      </c>
      <c r="EO94" s="44" t="str">
        <f>IF(Table1[EET2]="NEET",1,IF(Table1[EET2]="Employment",2,IF(Table1[EET2]="Education",2,IF(Table1[EET2]="Training",2,IF(Table1[EET2]="Retired",3,IF(Table1[EET]="NEET",1,IF(Table1[EET]="Employment",2,IF(Table1[EET]="Education",2,IF(Table1[EET]="Training",2,IF(Table1[EET]="Retired",3,""))))))))))</f>
        <v/>
      </c>
      <c r="EP94" s="44" t="e">
        <f>+Table1[[#This Row],[Data Leavers Date]]+Table1[[#This Row],[Data EET End]]</f>
        <v>#VALUE!</v>
      </c>
      <c r="EQ94" s="44">
        <f>IF(Table1[Exit Form Received]="Yes",1,0)</f>
        <v>0</v>
      </c>
      <c r="ER94" s="44">
        <f>+Table1[[#This Row],[Data Leavers Date]]+Table1[[#This Row],[Data Exit Forms]]</f>
        <v>0</v>
      </c>
      <c r="ES94" s="44" t="str">
        <f>IF(Table1[Data Leavers Date]=1000,SUM(Table1[Leaving Date]-Table1[Start Date]),"")</f>
        <v/>
      </c>
      <c r="ET94" s="44" t="str">
        <f>IF(Table1[Data Leavers Date]=2000,SUM(Table1[Leaving Date]-Table1[Start Date]),"")</f>
        <v/>
      </c>
      <c r="EU94" s="44" t="str">
        <f>IF(Table1[Data Leavers Date]=3000,SUM(Table1[Leaving Date]-Table1[Start Date]),"")</f>
        <v/>
      </c>
      <c r="EV94" s="44" t="str">
        <f>IF(Table1[Data Leavers Date]=4000,SUM(Table1[Leaving Date]-Table1[Start Date]),"")</f>
        <v/>
      </c>
      <c r="EW94" s="44" t="str">
        <f>IF(Table1[Data Leavers Date]=5000,SUM(Table1[Leaving Date]-Table1[Start Date]),"")</f>
        <v/>
      </c>
      <c r="EX94" s="44" t="str">
        <f>IF(Table1[Data Leavers Date]=6000,SUM(Table1[Leaving Date]-Table1[Start Date]),"")</f>
        <v/>
      </c>
      <c r="EY94" s="44" t="str">
        <f>IF(Table1[Data Leavers Date]=7000,SUM(Table1[Leaving Date]-Table1[Start Date]),"")</f>
        <v/>
      </c>
      <c r="EZ94" s="44" t="str">
        <f>IF(Table1[Data Leavers Date]=8000,SUM(Table1[Leaving Date]-Table1[Start Date]),"")</f>
        <v/>
      </c>
      <c r="FA94" s="44" t="str">
        <f>IF(Table1[Date of Initial Assessment]="","",IF(AND(Table1[Start Date]&gt;42094,Table1[Start Date]&lt;42461),Table1[Motivation and Taking Responsibility],""))</f>
        <v/>
      </c>
      <c r="FB94" s="44" t="str">
        <f>IF(Table1[Date of Initial Assessment]="","",IF(AND(Table1[Start Date]&gt;42094,Table1[Start Date]&lt;42461),Table1[Self-Care and Living Skills],""))</f>
        <v/>
      </c>
      <c r="FC94" s="44" t="str">
        <f>IF(Table1[Date of Initial Assessment]="","",IF(AND(Table1[Start Date]&gt;42094,Table1[Start Date]&lt;42461),Table1[Managing Money and Personal Administration],""))</f>
        <v/>
      </c>
      <c r="FD94" s="44" t="str">
        <f>IF(Table1[Date of Initial Assessment]="","",IF(AND(Table1[Start Date]&gt;42094,Table1[Start Date]&lt;42461),Table1[Social Networks and Relationships],""))</f>
        <v/>
      </c>
      <c r="FE94" s="44" t="str">
        <f>IF(Table1[Date of Initial Assessment]="","",IF(AND(Table1[Start Date]&gt;42094,Table1[Start Date]&lt;42461),Table1[Drug and Alcohol Misuse],""))</f>
        <v/>
      </c>
      <c r="FF94" s="44" t="str">
        <f>IF(Table1[Date of Initial Assessment]="","",IF(AND(Table1[Start Date]&gt;42094,Table1[Start Date]&lt;42461),Table1[Physical Health],""))</f>
        <v/>
      </c>
      <c r="FG94" s="44" t="str">
        <f>IF(Table1[Date of Initial Assessment]="","",IF(AND(Table1[Start Date]&gt;42094,Table1[Start Date]&lt;42461),Table1[Emotional and Mental Health],""))</f>
        <v/>
      </c>
      <c r="FH94" s="44" t="str">
        <f>IF(Table1[Date of Initial Assessment]="","",IF(AND(Table1[Start Date]&gt;42094,Table1[Start Date]&lt;42461),Table1[Meaningful Use of Time],""))</f>
        <v/>
      </c>
      <c r="FI94" s="44" t="str">
        <f>IF(Table1[Date of Initial Assessment]="","",IF(AND(Table1[Start Date]&gt;42094,Table1[Start Date]&lt;42461),Table1[Managing Tenancy and Accommodation],""))</f>
        <v/>
      </c>
      <c r="FJ94" s="44" t="str">
        <f>IF(Table1[Date of Initial Assessment]="","",IF(AND(Table1[Start Date]&gt;42094,Table1[Start Date]&lt;42461),Table1[Offending],""))</f>
        <v/>
      </c>
      <c r="FK94" s="44" t="str">
        <f>IF(Table1[Leaving Date]="","",IF(Table1[Date of Initial Assessment]="","",IF(AND(Table1[Leaving Date]&gt;42094,Table1[Leaving Date]&lt;42461),IF(Table1[Date of Last Assessment]="",Table1[Motivation and Taking Responsibility],Table1[Motivation and Taking Responsibility2]),"")))</f>
        <v/>
      </c>
      <c r="FL94" s="44" t="str">
        <f>IF(Table1[Leaving Date]="","",IF(Table1[Date of Initial Assessment]="","",IF(AND(Table1[Leaving Date]&gt;42094,Table1[Leaving Date]&lt;42461),IF(Table1[Date of Last Assessment]="",Table1[Self-Care and Living Skills],Table1[Self-Care and Living Skills2]),"")))</f>
        <v/>
      </c>
      <c r="FM94" s="44" t="str">
        <f>IF(Table1[Leaving Date]="","",IF(Table1[Date of Initial Assessment]="","",IF(AND(Table1[Leaving Date]&gt;42094,Table1[Leaving Date]&lt;42461),IF(Table1[Date of Last Assessment]="",Table1[Managing Money and Personal Administration],Table1[Managing Money and Personal Administration2]),"")))</f>
        <v/>
      </c>
      <c r="FN94" s="44" t="str">
        <f>IF(Table1[Leaving Date]="","",IF(Table1[Date of Initial Assessment]="","",IF(AND(Table1[Leaving Date]&gt;42094,Table1[Leaving Date]&lt;42461),IF(Table1[Date of Last Assessment]="",Table1[Social Networks and Relationships],Table1[Social Networks and Relationships2]),"")))</f>
        <v/>
      </c>
      <c r="FO94" s="44" t="str">
        <f>IF(Table1[Leaving Date]="","",IF(Table1[Date of Initial Assessment]="","",IF(AND(Table1[Leaving Date]&gt;42094,Table1[Leaving Date]&lt;42461),IF(Table1[Date of Last Assessment]="",Table1[Drug and Alcohol Misuse],Table1[Drug and Alcohol Misuse2]),"")))</f>
        <v/>
      </c>
      <c r="FP94" s="44" t="str">
        <f>IF(Table1[Leaving Date]="","",IF(Table1[Date of Initial Assessment]="","",IF(AND(Table1[Leaving Date]&gt;42094,Table1[Leaving Date]&lt;42461),IF(Table1[Date of Last Assessment]="",Table1[Physical Health],Table1[Physical Health2]),"")))</f>
        <v/>
      </c>
      <c r="FQ94" s="44" t="str">
        <f>IF(Table1[Leaving Date]="","",IF(Table1[Date of Initial Assessment]="","",IF(AND(Table1[Leaving Date]&gt;42094,Table1[Leaving Date]&lt;42461),IF(Table1[Date of Last Assessment]="",Table1[Emotional and Mental Health],Table1[Emotional and Mental Health2]),"")))</f>
        <v/>
      </c>
      <c r="FR94" s="44" t="str">
        <f>IF(Table1[Leaving Date]="","",IF(Table1[Date of Initial Assessment]="","",IF(AND(Table1[Leaving Date]&gt;42094,Table1[Leaving Date]&lt;42461),IF(Table1[Date of Last Assessment]="",Table1[Meaningful Use of Time],Table1[Meaningful Use of Time2]),"")))</f>
        <v/>
      </c>
      <c r="FS94" s="44" t="str">
        <f>IF(Table1[Leaving Date]="","",IF(Table1[Date of Initial Assessment]="","",IF(AND(Table1[Leaving Date]&gt;42094,Table1[Leaving Date]&lt;42461),IF(Table1[Date of Last Assessment]="",Table1[Managing Tenancy and Accommodation],Table1[Managing Tenancy and Accommodation2]),"")))</f>
        <v/>
      </c>
      <c r="FT94" s="44" t="str">
        <f>IF(Table1[Leaving Date]="","",IF(Table1[Date of Initial Assessment]="","",IF(AND(Table1[Leaving Date]&gt;42094,Table1[Leaving Date]&lt;42461),IF(Table1[Date of Last Assessment]="",Table1[Offending],Table1[Offending2]),"")))</f>
        <v/>
      </c>
      <c r="FU94" s="44" t="str">
        <f>IF(Table1[Date of Initial Assessment]="","",IF(AND(Table1[Start Date]&gt;42460,Table1[Start Date]&lt;42826),Table1[Motivation and Taking Responsibility],""))</f>
        <v/>
      </c>
      <c r="FV94" s="44" t="str">
        <f>IF(Table1[Date of Initial Assessment]="","",IF(AND(Table1[Start Date]&gt;42460,Table1[Start Date]&lt;42826),Table1[Self-Care and Living Skills],""))</f>
        <v/>
      </c>
      <c r="FW94" s="44" t="str">
        <f>IF(Table1[Date of Initial Assessment]="","",IF(AND(Table1[Start Date]&gt;42460,Table1[Start Date]&lt;42826),Table1[Managing Money and Personal Administration],""))</f>
        <v/>
      </c>
      <c r="FX94" s="44" t="str">
        <f>IF(Table1[Date of Initial Assessment]="","",IF(AND(Table1[Start Date]&gt;42460,Table1[Start Date]&lt;42826),Table1[Social Networks and Relationships],""))</f>
        <v/>
      </c>
      <c r="FY94" s="44" t="str">
        <f>IF(Table1[Date of Initial Assessment]="","",IF(AND(Table1[Start Date]&gt;42460,Table1[Start Date]&lt;42826),Table1[Drug and Alcohol Misuse],""))</f>
        <v/>
      </c>
      <c r="FZ94" s="44" t="str">
        <f>IF(Table1[Date of Initial Assessment]="","",IF(AND(Table1[Start Date]&gt;42460,Table1[Start Date]&lt;42826),Table1[Physical Health],""))</f>
        <v/>
      </c>
      <c r="GA94" s="44" t="str">
        <f>IF(Table1[Date of Initial Assessment]="","",IF(AND(Table1[Start Date]&gt;42460,Table1[Start Date]&lt;42826),Table1[Emotional and Mental Health],""))</f>
        <v/>
      </c>
      <c r="GB94" s="44" t="str">
        <f>IF(Table1[Date of Initial Assessment]="","",IF(AND(Table1[Start Date]&gt;42460,Table1[Start Date]&lt;42826),Table1[Meaningful Use of Time],""))</f>
        <v/>
      </c>
      <c r="GC94" s="44" t="str">
        <f>IF(Table1[Date of Initial Assessment]="","",IF(AND(Table1[Start Date]&gt;42460,Table1[Start Date]&lt;42826),Table1[Managing Tenancy and Accommodation],""))</f>
        <v/>
      </c>
      <c r="GD94" s="44" t="str">
        <f>IF(Table1[Date of Initial Assessment]="","",IF(AND(Table1[Start Date]&gt;42460,Table1[Start Date]&lt;42826),Table1[Offending],""))</f>
        <v/>
      </c>
      <c r="GE94" s="44" t="str">
        <f>IF(Table1[Leaving Date]="","",IF(AND(Table1[Leaving Date]&gt;42460,Table1[Leaving Date]&lt;42826),IF(Table1[Date of Last Assessment]="",Table1[Motivation and Taking Responsibility],Table1[Motivation and Taking Responsibility2]),""))</f>
        <v/>
      </c>
      <c r="GF94" s="44" t="str">
        <f>IF(Table1[Leaving Date]="","",IF(AND(Table1[Leaving Date]&gt;42460,Table1[Leaving Date]&lt;42826),IF(Table1[Date of Last Assessment]="",Table1[Self-Care and Living Skills],Table1[Self-Care and Living Skills2]),""))</f>
        <v/>
      </c>
      <c r="GG94" s="44" t="str">
        <f>IF(Table1[Leaving Date]="","",IF(AND(Table1[Leaving Date]&gt;42460,Table1[Leaving Date]&lt;42826),IF(Table1[Date of Last Assessment]="",Table1[Managing Money and Personal Administration],Table1[Managing Money and Personal Administration2]),""))</f>
        <v/>
      </c>
      <c r="GH94" s="44" t="str">
        <f>IF(Table1[Leaving Date]="","",IF(AND(Table1[Leaving Date]&gt;42460,Table1[Leaving Date]&lt;42826),IF(Table1[Date of Last Assessment]="",Table1[Social Networks and Relationships],Table1[Social Networks and Relationships2]),""))</f>
        <v/>
      </c>
      <c r="GI94" s="44" t="str">
        <f>IF(Table1[Leaving Date]="","",IF(AND(Table1[Leaving Date]&gt;42460,Table1[Leaving Date]&lt;42826),IF(Table1[Date of Last Assessment]="",Table1[Drug and Alcohol Misuse],Table1[Drug and Alcohol Misuse2]),""))</f>
        <v/>
      </c>
      <c r="GJ94" s="44" t="str">
        <f>IF(Table1[Leaving Date]="","",IF(AND(Table1[Leaving Date]&gt;42460,Table1[Leaving Date]&lt;42826),IF(Table1[Date of Last Assessment]="",Table1[Physical Health],Table1[Physical Health2]),""))</f>
        <v/>
      </c>
      <c r="GK94" s="44" t="str">
        <f>IF(Table1[Leaving Date]="","",IF(AND(Table1[Leaving Date]&gt;42460,Table1[Leaving Date]&lt;42826),IF(Table1[Date of Last Assessment]="",Table1[Emotional and Mental Health],Table1[Emotional and Mental Health2]),""))</f>
        <v/>
      </c>
      <c r="GL94" s="44" t="str">
        <f>IF(Table1[Leaving Date]="","",IF(AND(Table1[Leaving Date]&gt;42460,Table1[Leaving Date]&lt;42826),IF(Table1[Date of Last Assessment]="",Table1[Meaningful Use of Time],Table1[Meaningful Use of Time2]),""))</f>
        <v/>
      </c>
      <c r="GM94" s="44" t="str">
        <f>IF(Table1[Leaving Date]="","",IF(AND(Table1[Leaving Date]&gt;42460,Table1[Leaving Date]&lt;42826),IF(Table1[Date of Last Assessment]="",Table1[Managing Tenancy and Accommodation],Table1[Managing Tenancy and Accommodation2]),""))</f>
        <v/>
      </c>
      <c r="GN94" s="44" t="str">
        <f>IF(Table1[Leaving Date]="","",IF(AND(Table1[Leaving Date]&gt;42460,Table1[Leaving Date]&lt;42826),IF(Table1[Date of Last Assessment]="",Table1[Offending],Table1[Offending2]),""))</f>
        <v/>
      </c>
    </row>
    <row r="95" spans="2:196" ht="20.100000000000001" customHeight="1" x14ac:dyDescent="0.2">
      <c r="B95" s="86">
        <f>+'Service Data'!$C$5:$C$5</f>
        <v>0</v>
      </c>
      <c r="C95" s="86"/>
      <c r="D95" s="86"/>
      <c r="E95" s="86"/>
      <c r="F95" s="86"/>
      <c r="G95" s="86"/>
      <c r="H95" s="6"/>
      <c r="I95" s="99" t="str">
        <f ca="1">IF(Table1[[#This Row],[Date of Birth]]="","",SUM(TODAY()-Table1[[#This Row],[Date of Birth]])/365)</f>
        <v/>
      </c>
      <c r="L95" s="86"/>
      <c r="M95" s="77"/>
      <c r="N95" s="86"/>
      <c r="O95" s="86"/>
      <c r="P95" s="91"/>
      <c r="Q95" s="86"/>
      <c r="R95" s="77"/>
      <c r="S95" s="77"/>
      <c r="T95" s="68"/>
      <c r="U95" s="68"/>
      <c r="V95" s="67"/>
      <c r="W95" s="67"/>
      <c r="X95" s="67"/>
      <c r="Y95" s="67"/>
      <c r="Z95" s="67"/>
      <c r="AA95" s="67"/>
      <c r="AB95" s="67"/>
      <c r="AC95" s="67"/>
      <c r="AD95" s="67"/>
      <c r="AE95" s="67"/>
      <c r="AF95" s="67"/>
      <c r="AG95" s="67"/>
      <c r="AH95" s="67"/>
      <c r="AI95" s="67"/>
      <c r="AJ95" s="67"/>
      <c r="AK95" s="67"/>
      <c r="AL95" s="67"/>
      <c r="AM95" s="67"/>
      <c r="AN95" s="77"/>
      <c r="AO95" s="76"/>
      <c r="AP95" s="77"/>
      <c r="AQ95" s="76"/>
      <c r="AR95" s="76"/>
      <c r="AS95" s="76"/>
      <c r="AT95" s="76"/>
      <c r="AU95" s="76"/>
      <c r="AV95" s="77"/>
      <c r="AW95" s="76"/>
      <c r="AX95" s="77"/>
      <c r="AY95" s="76"/>
      <c r="AZ95" s="76"/>
      <c r="BA95" s="76"/>
      <c r="BB95" s="76"/>
      <c r="BC95" s="76"/>
      <c r="BD95" s="77"/>
      <c r="BE95" s="76"/>
      <c r="BF95" s="77"/>
      <c r="BG95" s="76"/>
      <c r="BH95" s="76"/>
      <c r="BI95" s="76"/>
      <c r="BJ95" s="76"/>
      <c r="BK95" s="76"/>
      <c r="BL95" s="77"/>
      <c r="BM95" s="76"/>
      <c r="BN95" s="77"/>
      <c r="BO95" s="76"/>
      <c r="BP95" s="76"/>
      <c r="BQ95" s="76"/>
      <c r="BR95" s="76"/>
      <c r="BS95" s="76"/>
      <c r="BT95" s="77"/>
      <c r="BU95" s="76"/>
      <c r="BV95" s="77"/>
      <c r="BW95" s="76"/>
      <c r="BX95" s="76"/>
      <c r="BY95" s="76"/>
      <c r="BZ95" s="76"/>
      <c r="CA95" s="76"/>
      <c r="CB95" s="77"/>
      <c r="CC95" s="76"/>
      <c r="CD95" s="77"/>
      <c r="CE95" s="76"/>
      <c r="CF95" s="76"/>
      <c r="CG95" s="76"/>
      <c r="CH95" s="76"/>
      <c r="CI95" s="76"/>
      <c r="CJ95" s="77"/>
      <c r="CK95" s="76"/>
      <c r="CL95" s="77"/>
      <c r="CM95" s="76"/>
      <c r="CN95" s="76"/>
      <c r="CO95" s="76"/>
      <c r="CP95" s="76"/>
      <c r="CQ95" s="76"/>
      <c r="CR95" s="78" t="str">
        <f t="shared" si="31"/>
        <v/>
      </c>
      <c r="CS95" s="79" t="str">
        <f t="shared" si="32"/>
        <v/>
      </c>
      <c r="CT95" s="79" t="str">
        <f t="shared" si="33"/>
        <v/>
      </c>
      <c r="CU95" s="79" t="str">
        <f t="shared" si="34"/>
        <v/>
      </c>
      <c r="CV95" s="79" t="str">
        <f t="shared" si="35"/>
        <v/>
      </c>
      <c r="CW95" s="79" t="str">
        <f t="shared" si="36"/>
        <v/>
      </c>
      <c r="CX95" s="79" t="str">
        <f t="shared" si="37"/>
        <v/>
      </c>
      <c r="CY95" s="79" t="str">
        <f t="shared" si="38"/>
        <v/>
      </c>
      <c r="CZ95" s="79" t="str">
        <f t="shared" si="39"/>
        <v/>
      </c>
      <c r="DA95" s="79" t="str">
        <f t="shared" si="40"/>
        <v/>
      </c>
      <c r="DB95" s="79" t="str">
        <f t="shared" si="41"/>
        <v/>
      </c>
      <c r="DC95" s="79" t="str">
        <f t="shared" si="42"/>
        <v/>
      </c>
      <c r="DD95" s="79" t="str">
        <f t="shared" si="43"/>
        <v/>
      </c>
      <c r="DE95" s="79" t="str">
        <f t="shared" si="44"/>
        <v/>
      </c>
      <c r="DF95" s="79" t="str">
        <f t="shared" si="45"/>
        <v/>
      </c>
      <c r="DG95" s="79" t="str">
        <f t="shared" si="46"/>
        <v/>
      </c>
      <c r="DH95" s="76"/>
      <c r="DI95" s="78"/>
      <c r="DJ95" s="76"/>
      <c r="DK95" s="77"/>
      <c r="DL95" s="77"/>
      <c r="DM95" s="77"/>
      <c r="DN95" s="80"/>
      <c r="DO95" s="80"/>
      <c r="DP95" s="92" t="str">
        <f>IF(Table1[Start Date]="","",IF(Table1[Start Date]&gt;42185,"",IF(AND(Table1[Leaving Date]&gt;1,Table1[Leaving Date]&lt;42095),"",1)))</f>
        <v/>
      </c>
      <c r="DQ95" s="92" t="str">
        <f>IF(Table1[Start Date]="","",IF(Table1[Start Date]&gt;42277,"",IF(AND(Table1[Leaving Date]&gt;1,Table1[Leaving Date]&lt;42186),"",1)))</f>
        <v/>
      </c>
      <c r="DR95" s="92" t="str">
        <f>IF(Table1[Start Date]="","",IF(Table1[Start Date]&gt;42369,"",IF(AND(Table1[Leaving Date]&gt;1,Table1[Leaving Date]&lt;42278),"",1)))</f>
        <v/>
      </c>
      <c r="DS95" s="92" t="str">
        <f>IF(Table1[Start Date]="","",IF(Table1[Start Date]&gt;42460,"",IF(AND(Table1[Leaving Date]&gt;1,Table1[Leaving Date]&lt;42370),"",1)))</f>
        <v/>
      </c>
      <c r="DT95" s="92" t="str">
        <f>IF(Table1[Start Date]="","",IF(Table1[Start Date]&gt;42551,"",IF(AND(Table1[Leaving Date]&gt;1,Table1[Leaving Date]&lt;42461),"",1)))</f>
        <v/>
      </c>
      <c r="DU95" s="92" t="str">
        <f>IF(Table1[Start Date]="","",IF(Table1[Start Date]&gt;42643,"",IF(AND(Table1[Leaving Date]&gt;1,Table1[Leaving Date]&lt;42552),"",1)))</f>
        <v/>
      </c>
      <c r="DV95" s="92" t="str">
        <f>IF(Table1[Start Date]="","",IF(Table1[Start Date]&gt;42735,"",IF(AND(Table1[Leaving Date]&gt;1,Table1[Leaving Date]&lt;42644),"",1)))</f>
        <v/>
      </c>
      <c r="DW95" s="92" t="str">
        <f>IF(Table1[Start Date]="","",IF(Table1[Start Date]&gt;42825,"",IF(AND(Table1[Leaving Date]&gt;1,Table1[Leaving Date]&lt;42736),"",1)))</f>
        <v/>
      </c>
      <c r="DX95"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95" s="44" t="e">
        <f>VLOOKUP(Table1[Referral Source],Lists!$G$2:$H$20,2,FALSE)</f>
        <v>#N/A</v>
      </c>
      <c r="DZ95" s="93" t="e">
        <f>SUM(Table1[Data Referral Quarter]+Table1[Data Referral Source])</f>
        <v>#N/A</v>
      </c>
      <c r="EA95" s="44" t="b">
        <f>IF(Table1[Referral Decision]="Accepted",100,IF(Table1[Referral Decision]="Rejected by Provider",200,IF(Table1[Referral Decision]="Rejected by Applicant",300)))</f>
        <v>0</v>
      </c>
      <c r="EB95" s="44">
        <f>SUM(Table1[Data Referral Quarter]+Table1[Data Referral Decision])</f>
        <v>0</v>
      </c>
      <c r="EC95" s="44" t="b">
        <f>IF(Table1[Start Date]&gt;42735,8000,IF(Table1[Start Date]&gt;42643,7000,IF(Table1[Start Date]&gt;42551,6000,IF(Table1[Start Date]&gt;42460,5000,IF(Table1[Start Date]&gt;42369,4000,IF(Table1[Start Date]&gt;42277,3000,IF(Table1[Start Date]&gt;42185,2000,IF(Table1[Start Date]&gt;42094,1000))))))))</f>
        <v>0</v>
      </c>
      <c r="ED95" s="44" t="str">
        <f>IF(Table1[Start Date]="","",IF(Table1[Current Local Authority]="Swindon",1,"2"))</f>
        <v/>
      </c>
      <c r="EE95" s="44" t="e">
        <f>SUM(Table1[Data Start Date]+Table1[Data Local Authority])</f>
        <v>#VALUE!</v>
      </c>
      <c r="EF95" s="44">
        <f>IF(Table1[Registered with GP]="Yes",1,0)</f>
        <v>0</v>
      </c>
      <c r="EG95" s="44">
        <f>SUM(Table1[Data Start Date]+Table1[Data GP Start])</f>
        <v>0</v>
      </c>
      <c r="EH95" s="44" t="str">
        <f>IF(Table1[EET]="NEET",1,IF(Table1[EET]="Education",2,IF(Table1[EET]="Employment",2,IF(Table1[EET]="Training",2,IF(Table1[EET]="Retired",3,"")))))</f>
        <v/>
      </c>
      <c r="EI95" s="44" t="e">
        <f>Table1[Data Start Date]+Table1[Data EET Start]</f>
        <v>#VALUE!</v>
      </c>
      <c r="EJ95" s="44" t="b">
        <f>IF(Table1[Leaving Date]&gt;42735,8000,IF(Table1[Leaving Date]&gt;42643,7000,IF(Table1[Leaving Date]&gt;42551,6000,IF(Table1[Leaving Date]&gt;42460,5000,IF(Table1[Leaving Date]&gt;42369,4000,IF(Table1[Leaving Date]&gt;42277,3000,IF(Table1[Leaving Date]&gt;42185,2000,IF(Table1[Leaving Date]&gt;42094,1000))))))))</f>
        <v>0</v>
      </c>
      <c r="EK95" s="44" t="e">
        <f>VLOOKUP(Table1[Reason for Leaving],Lists!$T$2:$U$15,2,FALSE)</f>
        <v>#N/A</v>
      </c>
      <c r="EL95" s="44" t="e">
        <f>SUM(Table1[Data Leavers Date]+Table1[Data Move On])</f>
        <v>#N/A</v>
      </c>
      <c r="EM95" s="44" t="b">
        <f>IF(Table1[Registered with GP2]="Yes",1,IF(Table1[Registered with GP2]="No",0,IF(Table1[Registered with GP]="Yes",1,IF(Table1[Registered with GP]="No",0))))</f>
        <v>0</v>
      </c>
      <c r="EN95" s="44">
        <f>SUM(Table1[Data Leavers Date]+Table1[Data GP End])</f>
        <v>0</v>
      </c>
      <c r="EO95" s="44" t="str">
        <f>IF(Table1[EET2]="NEET",1,IF(Table1[EET2]="Employment",2,IF(Table1[EET2]="Education",2,IF(Table1[EET2]="Training",2,IF(Table1[EET2]="Retired",3,IF(Table1[EET]="NEET",1,IF(Table1[EET]="Employment",2,IF(Table1[EET]="Education",2,IF(Table1[EET]="Training",2,IF(Table1[EET]="Retired",3,""))))))))))</f>
        <v/>
      </c>
      <c r="EP95" s="44" t="e">
        <f>+Table1[[#This Row],[Data Leavers Date]]+Table1[[#This Row],[Data EET End]]</f>
        <v>#VALUE!</v>
      </c>
      <c r="EQ95" s="44">
        <f>IF(Table1[Exit Form Received]="Yes",1,0)</f>
        <v>0</v>
      </c>
      <c r="ER95" s="44">
        <f>+Table1[[#This Row],[Data Leavers Date]]+Table1[[#This Row],[Data Exit Forms]]</f>
        <v>0</v>
      </c>
      <c r="ES95" s="44" t="str">
        <f>IF(Table1[Data Leavers Date]=1000,SUM(Table1[Leaving Date]-Table1[Start Date]),"")</f>
        <v/>
      </c>
      <c r="ET95" s="44" t="str">
        <f>IF(Table1[Data Leavers Date]=2000,SUM(Table1[Leaving Date]-Table1[Start Date]),"")</f>
        <v/>
      </c>
      <c r="EU95" s="44" t="str">
        <f>IF(Table1[Data Leavers Date]=3000,SUM(Table1[Leaving Date]-Table1[Start Date]),"")</f>
        <v/>
      </c>
      <c r="EV95" s="44" t="str">
        <f>IF(Table1[Data Leavers Date]=4000,SUM(Table1[Leaving Date]-Table1[Start Date]),"")</f>
        <v/>
      </c>
      <c r="EW95" s="44" t="str">
        <f>IF(Table1[Data Leavers Date]=5000,SUM(Table1[Leaving Date]-Table1[Start Date]),"")</f>
        <v/>
      </c>
      <c r="EX95" s="44" t="str">
        <f>IF(Table1[Data Leavers Date]=6000,SUM(Table1[Leaving Date]-Table1[Start Date]),"")</f>
        <v/>
      </c>
      <c r="EY95" s="44" t="str">
        <f>IF(Table1[Data Leavers Date]=7000,SUM(Table1[Leaving Date]-Table1[Start Date]),"")</f>
        <v/>
      </c>
      <c r="EZ95" s="44" t="str">
        <f>IF(Table1[Data Leavers Date]=8000,SUM(Table1[Leaving Date]-Table1[Start Date]),"")</f>
        <v/>
      </c>
      <c r="FA95" s="44" t="str">
        <f>IF(Table1[Date of Initial Assessment]="","",IF(AND(Table1[Start Date]&gt;42094,Table1[Start Date]&lt;42461),Table1[Motivation and Taking Responsibility],""))</f>
        <v/>
      </c>
      <c r="FB95" s="44" t="str">
        <f>IF(Table1[Date of Initial Assessment]="","",IF(AND(Table1[Start Date]&gt;42094,Table1[Start Date]&lt;42461),Table1[Self-Care and Living Skills],""))</f>
        <v/>
      </c>
      <c r="FC95" s="44" t="str">
        <f>IF(Table1[Date of Initial Assessment]="","",IF(AND(Table1[Start Date]&gt;42094,Table1[Start Date]&lt;42461),Table1[Managing Money and Personal Administration],""))</f>
        <v/>
      </c>
      <c r="FD95" s="44" t="str">
        <f>IF(Table1[Date of Initial Assessment]="","",IF(AND(Table1[Start Date]&gt;42094,Table1[Start Date]&lt;42461),Table1[Social Networks and Relationships],""))</f>
        <v/>
      </c>
      <c r="FE95" s="44" t="str">
        <f>IF(Table1[Date of Initial Assessment]="","",IF(AND(Table1[Start Date]&gt;42094,Table1[Start Date]&lt;42461),Table1[Drug and Alcohol Misuse],""))</f>
        <v/>
      </c>
      <c r="FF95" s="44" t="str">
        <f>IF(Table1[Date of Initial Assessment]="","",IF(AND(Table1[Start Date]&gt;42094,Table1[Start Date]&lt;42461),Table1[Physical Health],""))</f>
        <v/>
      </c>
      <c r="FG95" s="44" t="str">
        <f>IF(Table1[Date of Initial Assessment]="","",IF(AND(Table1[Start Date]&gt;42094,Table1[Start Date]&lt;42461),Table1[Emotional and Mental Health],""))</f>
        <v/>
      </c>
      <c r="FH95" s="44" t="str">
        <f>IF(Table1[Date of Initial Assessment]="","",IF(AND(Table1[Start Date]&gt;42094,Table1[Start Date]&lt;42461),Table1[Meaningful Use of Time],""))</f>
        <v/>
      </c>
      <c r="FI95" s="44" t="str">
        <f>IF(Table1[Date of Initial Assessment]="","",IF(AND(Table1[Start Date]&gt;42094,Table1[Start Date]&lt;42461),Table1[Managing Tenancy and Accommodation],""))</f>
        <v/>
      </c>
      <c r="FJ95" s="44" t="str">
        <f>IF(Table1[Date of Initial Assessment]="","",IF(AND(Table1[Start Date]&gt;42094,Table1[Start Date]&lt;42461),Table1[Offending],""))</f>
        <v/>
      </c>
      <c r="FK95" s="44" t="str">
        <f>IF(Table1[Leaving Date]="","",IF(Table1[Date of Initial Assessment]="","",IF(AND(Table1[Leaving Date]&gt;42094,Table1[Leaving Date]&lt;42461),IF(Table1[Date of Last Assessment]="",Table1[Motivation and Taking Responsibility],Table1[Motivation and Taking Responsibility2]),"")))</f>
        <v/>
      </c>
      <c r="FL95" s="44" t="str">
        <f>IF(Table1[Leaving Date]="","",IF(Table1[Date of Initial Assessment]="","",IF(AND(Table1[Leaving Date]&gt;42094,Table1[Leaving Date]&lt;42461),IF(Table1[Date of Last Assessment]="",Table1[Self-Care and Living Skills],Table1[Self-Care and Living Skills2]),"")))</f>
        <v/>
      </c>
      <c r="FM95" s="44" t="str">
        <f>IF(Table1[Leaving Date]="","",IF(Table1[Date of Initial Assessment]="","",IF(AND(Table1[Leaving Date]&gt;42094,Table1[Leaving Date]&lt;42461),IF(Table1[Date of Last Assessment]="",Table1[Managing Money and Personal Administration],Table1[Managing Money and Personal Administration2]),"")))</f>
        <v/>
      </c>
      <c r="FN95" s="44" t="str">
        <f>IF(Table1[Leaving Date]="","",IF(Table1[Date of Initial Assessment]="","",IF(AND(Table1[Leaving Date]&gt;42094,Table1[Leaving Date]&lt;42461),IF(Table1[Date of Last Assessment]="",Table1[Social Networks and Relationships],Table1[Social Networks and Relationships2]),"")))</f>
        <v/>
      </c>
      <c r="FO95" s="44" t="str">
        <f>IF(Table1[Leaving Date]="","",IF(Table1[Date of Initial Assessment]="","",IF(AND(Table1[Leaving Date]&gt;42094,Table1[Leaving Date]&lt;42461),IF(Table1[Date of Last Assessment]="",Table1[Drug and Alcohol Misuse],Table1[Drug and Alcohol Misuse2]),"")))</f>
        <v/>
      </c>
      <c r="FP95" s="44" t="str">
        <f>IF(Table1[Leaving Date]="","",IF(Table1[Date of Initial Assessment]="","",IF(AND(Table1[Leaving Date]&gt;42094,Table1[Leaving Date]&lt;42461),IF(Table1[Date of Last Assessment]="",Table1[Physical Health],Table1[Physical Health2]),"")))</f>
        <v/>
      </c>
      <c r="FQ95" s="44" t="str">
        <f>IF(Table1[Leaving Date]="","",IF(Table1[Date of Initial Assessment]="","",IF(AND(Table1[Leaving Date]&gt;42094,Table1[Leaving Date]&lt;42461),IF(Table1[Date of Last Assessment]="",Table1[Emotional and Mental Health],Table1[Emotional and Mental Health2]),"")))</f>
        <v/>
      </c>
      <c r="FR95" s="44" t="str">
        <f>IF(Table1[Leaving Date]="","",IF(Table1[Date of Initial Assessment]="","",IF(AND(Table1[Leaving Date]&gt;42094,Table1[Leaving Date]&lt;42461),IF(Table1[Date of Last Assessment]="",Table1[Meaningful Use of Time],Table1[Meaningful Use of Time2]),"")))</f>
        <v/>
      </c>
      <c r="FS95" s="44" t="str">
        <f>IF(Table1[Leaving Date]="","",IF(Table1[Date of Initial Assessment]="","",IF(AND(Table1[Leaving Date]&gt;42094,Table1[Leaving Date]&lt;42461),IF(Table1[Date of Last Assessment]="",Table1[Managing Tenancy and Accommodation],Table1[Managing Tenancy and Accommodation2]),"")))</f>
        <v/>
      </c>
      <c r="FT95" s="44" t="str">
        <f>IF(Table1[Leaving Date]="","",IF(Table1[Date of Initial Assessment]="","",IF(AND(Table1[Leaving Date]&gt;42094,Table1[Leaving Date]&lt;42461),IF(Table1[Date of Last Assessment]="",Table1[Offending],Table1[Offending2]),"")))</f>
        <v/>
      </c>
      <c r="FU95" s="44" t="str">
        <f>IF(Table1[Date of Initial Assessment]="","",IF(AND(Table1[Start Date]&gt;42460,Table1[Start Date]&lt;42826),Table1[Motivation and Taking Responsibility],""))</f>
        <v/>
      </c>
      <c r="FV95" s="44" t="str">
        <f>IF(Table1[Date of Initial Assessment]="","",IF(AND(Table1[Start Date]&gt;42460,Table1[Start Date]&lt;42826),Table1[Self-Care and Living Skills],""))</f>
        <v/>
      </c>
      <c r="FW95" s="44" t="str">
        <f>IF(Table1[Date of Initial Assessment]="","",IF(AND(Table1[Start Date]&gt;42460,Table1[Start Date]&lt;42826),Table1[Managing Money and Personal Administration],""))</f>
        <v/>
      </c>
      <c r="FX95" s="44" t="str">
        <f>IF(Table1[Date of Initial Assessment]="","",IF(AND(Table1[Start Date]&gt;42460,Table1[Start Date]&lt;42826),Table1[Social Networks and Relationships],""))</f>
        <v/>
      </c>
      <c r="FY95" s="44" t="str">
        <f>IF(Table1[Date of Initial Assessment]="","",IF(AND(Table1[Start Date]&gt;42460,Table1[Start Date]&lt;42826),Table1[Drug and Alcohol Misuse],""))</f>
        <v/>
      </c>
      <c r="FZ95" s="44" t="str">
        <f>IF(Table1[Date of Initial Assessment]="","",IF(AND(Table1[Start Date]&gt;42460,Table1[Start Date]&lt;42826),Table1[Physical Health],""))</f>
        <v/>
      </c>
      <c r="GA95" s="44" t="str">
        <f>IF(Table1[Date of Initial Assessment]="","",IF(AND(Table1[Start Date]&gt;42460,Table1[Start Date]&lt;42826),Table1[Emotional and Mental Health],""))</f>
        <v/>
      </c>
      <c r="GB95" s="44" t="str">
        <f>IF(Table1[Date of Initial Assessment]="","",IF(AND(Table1[Start Date]&gt;42460,Table1[Start Date]&lt;42826),Table1[Meaningful Use of Time],""))</f>
        <v/>
      </c>
      <c r="GC95" s="44" t="str">
        <f>IF(Table1[Date of Initial Assessment]="","",IF(AND(Table1[Start Date]&gt;42460,Table1[Start Date]&lt;42826),Table1[Managing Tenancy and Accommodation],""))</f>
        <v/>
      </c>
      <c r="GD95" s="44" t="str">
        <f>IF(Table1[Date of Initial Assessment]="","",IF(AND(Table1[Start Date]&gt;42460,Table1[Start Date]&lt;42826),Table1[Offending],""))</f>
        <v/>
      </c>
      <c r="GE95" s="44" t="str">
        <f>IF(Table1[Leaving Date]="","",IF(AND(Table1[Leaving Date]&gt;42460,Table1[Leaving Date]&lt;42826),IF(Table1[Date of Last Assessment]="",Table1[Motivation and Taking Responsibility],Table1[Motivation and Taking Responsibility2]),""))</f>
        <v/>
      </c>
      <c r="GF95" s="44" t="str">
        <f>IF(Table1[Leaving Date]="","",IF(AND(Table1[Leaving Date]&gt;42460,Table1[Leaving Date]&lt;42826),IF(Table1[Date of Last Assessment]="",Table1[Self-Care and Living Skills],Table1[Self-Care and Living Skills2]),""))</f>
        <v/>
      </c>
      <c r="GG95" s="44" t="str">
        <f>IF(Table1[Leaving Date]="","",IF(AND(Table1[Leaving Date]&gt;42460,Table1[Leaving Date]&lt;42826),IF(Table1[Date of Last Assessment]="",Table1[Managing Money and Personal Administration],Table1[Managing Money and Personal Administration2]),""))</f>
        <v/>
      </c>
      <c r="GH95" s="44" t="str">
        <f>IF(Table1[Leaving Date]="","",IF(AND(Table1[Leaving Date]&gt;42460,Table1[Leaving Date]&lt;42826),IF(Table1[Date of Last Assessment]="",Table1[Social Networks and Relationships],Table1[Social Networks and Relationships2]),""))</f>
        <v/>
      </c>
      <c r="GI95" s="44" t="str">
        <f>IF(Table1[Leaving Date]="","",IF(AND(Table1[Leaving Date]&gt;42460,Table1[Leaving Date]&lt;42826),IF(Table1[Date of Last Assessment]="",Table1[Drug and Alcohol Misuse],Table1[Drug and Alcohol Misuse2]),""))</f>
        <v/>
      </c>
      <c r="GJ95" s="44" t="str">
        <f>IF(Table1[Leaving Date]="","",IF(AND(Table1[Leaving Date]&gt;42460,Table1[Leaving Date]&lt;42826),IF(Table1[Date of Last Assessment]="",Table1[Physical Health],Table1[Physical Health2]),""))</f>
        <v/>
      </c>
      <c r="GK95" s="44" t="str">
        <f>IF(Table1[Leaving Date]="","",IF(AND(Table1[Leaving Date]&gt;42460,Table1[Leaving Date]&lt;42826),IF(Table1[Date of Last Assessment]="",Table1[Emotional and Mental Health],Table1[Emotional and Mental Health2]),""))</f>
        <v/>
      </c>
      <c r="GL95" s="44" t="str">
        <f>IF(Table1[Leaving Date]="","",IF(AND(Table1[Leaving Date]&gt;42460,Table1[Leaving Date]&lt;42826),IF(Table1[Date of Last Assessment]="",Table1[Meaningful Use of Time],Table1[Meaningful Use of Time2]),""))</f>
        <v/>
      </c>
      <c r="GM95" s="44" t="str">
        <f>IF(Table1[Leaving Date]="","",IF(AND(Table1[Leaving Date]&gt;42460,Table1[Leaving Date]&lt;42826),IF(Table1[Date of Last Assessment]="",Table1[Managing Tenancy and Accommodation],Table1[Managing Tenancy and Accommodation2]),""))</f>
        <v/>
      </c>
      <c r="GN95" s="44" t="str">
        <f>IF(Table1[Leaving Date]="","",IF(AND(Table1[Leaving Date]&gt;42460,Table1[Leaving Date]&lt;42826),IF(Table1[Date of Last Assessment]="",Table1[Offending],Table1[Offending2]),""))</f>
        <v/>
      </c>
    </row>
    <row r="96" spans="2:196" ht="20.100000000000001" customHeight="1" x14ac:dyDescent="0.2">
      <c r="B96" s="86">
        <f>+'Service Data'!$C$5:$C$5</f>
        <v>0</v>
      </c>
      <c r="C96" s="86"/>
      <c r="D96" s="86"/>
      <c r="E96" s="86"/>
      <c r="F96" s="86"/>
      <c r="G96" s="86"/>
      <c r="H96" s="6"/>
      <c r="I96" s="99" t="str">
        <f ca="1">IF(Table1[[#This Row],[Date of Birth]]="","",SUM(TODAY()-Table1[[#This Row],[Date of Birth]])/365)</f>
        <v/>
      </c>
      <c r="L96" s="86"/>
      <c r="M96" s="77"/>
      <c r="N96" s="86"/>
      <c r="O96" s="86"/>
      <c r="P96" s="91"/>
      <c r="Q96" s="86"/>
      <c r="R96" s="77"/>
      <c r="S96" s="77"/>
      <c r="T96" s="68"/>
      <c r="U96" s="68"/>
      <c r="V96" s="67"/>
      <c r="W96" s="67"/>
      <c r="X96" s="67"/>
      <c r="Y96" s="67"/>
      <c r="Z96" s="67"/>
      <c r="AA96" s="67"/>
      <c r="AB96" s="67"/>
      <c r="AC96" s="67"/>
      <c r="AD96" s="67"/>
      <c r="AE96" s="67"/>
      <c r="AF96" s="67"/>
      <c r="AG96" s="67"/>
      <c r="AH96" s="67"/>
      <c r="AI96" s="67"/>
      <c r="AJ96" s="67"/>
      <c r="AK96" s="67"/>
      <c r="AL96" s="67"/>
      <c r="AM96" s="67"/>
      <c r="AN96" s="77"/>
      <c r="AO96" s="76"/>
      <c r="AP96" s="77"/>
      <c r="AQ96" s="76"/>
      <c r="AR96" s="76"/>
      <c r="AS96" s="76"/>
      <c r="AT96" s="76"/>
      <c r="AU96" s="76"/>
      <c r="AV96" s="77"/>
      <c r="AW96" s="76"/>
      <c r="AX96" s="77"/>
      <c r="AY96" s="76"/>
      <c r="AZ96" s="76"/>
      <c r="BA96" s="76"/>
      <c r="BB96" s="76"/>
      <c r="BC96" s="76"/>
      <c r="BD96" s="77"/>
      <c r="BE96" s="76"/>
      <c r="BF96" s="77"/>
      <c r="BG96" s="76"/>
      <c r="BH96" s="76"/>
      <c r="BI96" s="76"/>
      <c r="BJ96" s="76"/>
      <c r="BK96" s="76"/>
      <c r="BL96" s="77"/>
      <c r="BM96" s="76"/>
      <c r="BN96" s="77"/>
      <c r="BO96" s="76"/>
      <c r="BP96" s="76"/>
      <c r="BQ96" s="76"/>
      <c r="BR96" s="76"/>
      <c r="BS96" s="76"/>
      <c r="BT96" s="77"/>
      <c r="BU96" s="76"/>
      <c r="BV96" s="77"/>
      <c r="BW96" s="76"/>
      <c r="BX96" s="76"/>
      <c r="BY96" s="76"/>
      <c r="BZ96" s="76"/>
      <c r="CA96" s="76"/>
      <c r="CB96" s="77"/>
      <c r="CC96" s="76"/>
      <c r="CD96" s="77"/>
      <c r="CE96" s="76"/>
      <c r="CF96" s="76"/>
      <c r="CG96" s="76"/>
      <c r="CH96" s="76"/>
      <c r="CI96" s="76"/>
      <c r="CJ96" s="77"/>
      <c r="CK96" s="76"/>
      <c r="CL96" s="77"/>
      <c r="CM96" s="76"/>
      <c r="CN96" s="76"/>
      <c r="CO96" s="76"/>
      <c r="CP96" s="76"/>
      <c r="CQ96" s="76"/>
      <c r="CR96" s="78" t="str">
        <f t="shared" si="31"/>
        <v/>
      </c>
      <c r="CS96" s="79" t="str">
        <f t="shared" si="32"/>
        <v/>
      </c>
      <c r="CT96" s="79" t="str">
        <f t="shared" si="33"/>
        <v/>
      </c>
      <c r="CU96" s="79" t="str">
        <f t="shared" si="34"/>
        <v/>
      </c>
      <c r="CV96" s="79" t="str">
        <f t="shared" si="35"/>
        <v/>
      </c>
      <c r="CW96" s="79" t="str">
        <f t="shared" si="36"/>
        <v/>
      </c>
      <c r="CX96" s="79" t="str">
        <f t="shared" si="37"/>
        <v/>
      </c>
      <c r="CY96" s="79" t="str">
        <f t="shared" si="38"/>
        <v/>
      </c>
      <c r="CZ96" s="79" t="str">
        <f t="shared" si="39"/>
        <v/>
      </c>
      <c r="DA96" s="79" t="str">
        <f t="shared" si="40"/>
        <v/>
      </c>
      <c r="DB96" s="79" t="str">
        <f t="shared" si="41"/>
        <v/>
      </c>
      <c r="DC96" s="79" t="str">
        <f t="shared" si="42"/>
        <v/>
      </c>
      <c r="DD96" s="79" t="str">
        <f t="shared" si="43"/>
        <v/>
      </c>
      <c r="DE96" s="79" t="str">
        <f t="shared" si="44"/>
        <v/>
      </c>
      <c r="DF96" s="79" t="str">
        <f t="shared" si="45"/>
        <v/>
      </c>
      <c r="DG96" s="79" t="str">
        <f t="shared" si="46"/>
        <v/>
      </c>
      <c r="DH96" s="76"/>
      <c r="DI96" s="78"/>
      <c r="DJ96" s="76"/>
      <c r="DK96" s="77"/>
      <c r="DL96" s="77"/>
      <c r="DM96" s="77"/>
      <c r="DN96" s="80"/>
      <c r="DO96" s="80"/>
      <c r="DP96" s="92" t="str">
        <f>IF(Table1[Start Date]="","",IF(Table1[Start Date]&gt;42185,"",IF(AND(Table1[Leaving Date]&gt;1,Table1[Leaving Date]&lt;42095),"",1)))</f>
        <v/>
      </c>
      <c r="DQ96" s="92" t="str">
        <f>IF(Table1[Start Date]="","",IF(Table1[Start Date]&gt;42277,"",IF(AND(Table1[Leaving Date]&gt;1,Table1[Leaving Date]&lt;42186),"",1)))</f>
        <v/>
      </c>
      <c r="DR96" s="92" t="str">
        <f>IF(Table1[Start Date]="","",IF(Table1[Start Date]&gt;42369,"",IF(AND(Table1[Leaving Date]&gt;1,Table1[Leaving Date]&lt;42278),"",1)))</f>
        <v/>
      </c>
      <c r="DS96" s="92" t="str">
        <f>IF(Table1[Start Date]="","",IF(Table1[Start Date]&gt;42460,"",IF(AND(Table1[Leaving Date]&gt;1,Table1[Leaving Date]&lt;42370),"",1)))</f>
        <v/>
      </c>
      <c r="DT96" s="92" t="str">
        <f>IF(Table1[Start Date]="","",IF(Table1[Start Date]&gt;42551,"",IF(AND(Table1[Leaving Date]&gt;1,Table1[Leaving Date]&lt;42461),"",1)))</f>
        <v/>
      </c>
      <c r="DU96" s="92" t="str">
        <f>IF(Table1[Start Date]="","",IF(Table1[Start Date]&gt;42643,"",IF(AND(Table1[Leaving Date]&gt;1,Table1[Leaving Date]&lt;42552),"",1)))</f>
        <v/>
      </c>
      <c r="DV96" s="92" t="str">
        <f>IF(Table1[Start Date]="","",IF(Table1[Start Date]&gt;42735,"",IF(AND(Table1[Leaving Date]&gt;1,Table1[Leaving Date]&lt;42644),"",1)))</f>
        <v/>
      </c>
      <c r="DW96" s="92" t="str">
        <f>IF(Table1[Start Date]="","",IF(Table1[Start Date]&gt;42825,"",IF(AND(Table1[Leaving Date]&gt;1,Table1[Leaving Date]&lt;42736),"",1)))</f>
        <v/>
      </c>
      <c r="DX96"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96" s="44" t="e">
        <f>VLOOKUP(Table1[Referral Source],Lists!$G$2:$H$20,2,FALSE)</f>
        <v>#N/A</v>
      </c>
      <c r="DZ96" s="93" t="e">
        <f>SUM(Table1[Data Referral Quarter]+Table1[Data Referral Source])</f>
        <v>#N/A</v>
      </c>
      <c r="EA96" s="44" t="b">
        <f>IF(Table1[Referral Decision]="Accepted",100,IF(Table1[Referral Decision]="Rejected by Provider",200,IF(Table1[Referral Decision]="Rejected by Applicant",300)))</f>
        <v>0</v>
      </c>
      <c r="EB96" s="44">
        <f>SUM(Table1[Data Referral Quarter]+Table1[Data Referral Decision])</f>
        <v>0</v>
      </c>
      <c r="EC96" s="44" t="b">
        <f>IF(Table1[Start Date]&gt;42735,8000,IF(Table1[Start Date]&gt;42643,7000,IF(Table1[Start Date]&gt;42551,6000,IF(Table1[Start Date]&gt;42460,5000,IF(Table1[Start Date]&gt;42369,4000,IF(Table1[Start Date]&gt;42277,3000,IF(Table1[Start Date]&gt;42185,2000,IF(Table1[Start Date]&gt;42094,1000))))))))</f>
        <v>0</v>
      </c>
      <c r="ED96" s="44" t="str">
        <f>IF(Table1[Start Date]="","",IF(Table1[Current Local Authority]="Swindon",1,"2"))</f>
        <v/>
      </c>
      <c r="EE96" s="44" t="e">
        <f>SUM(Table1[Data Start Date]+Table1[Data Local Authority])</f>
        <v>#VALUE!</v>
      </c>
      <c r="EF96" s="44">
        <f>IF(Table1[Registered with GP]="Yes",1,0)</f>
        <v>0</v>
      </c>
      <c r="EG96" s="44">
        <f>SUM(Table1[Data Start Date]+Table1[Data GP Start])</f>
        <v>0</v>
      </c>
      <c r="EH96" s="44" t="str">
        <f>IF(Table1[EET]="NEET",1,IF(Table1[EET]="Education",2,IF(Table1[EET]="Employment",2,IF(Table1[EET]="Training",2,IF(Table1[EET]="Retired",3,"")))))</f>
        <v/>
      </c>
      <c r="EI96" s="44" t="e">
        <f>Table1[Data Start Date]+Table1[Data EET Start]</f>
        <v>#VALUE!</v>
      </c>
      <c r="EJ96" s="44" t="b">
        <f>IF(Table1[Leaving Date]&gt;42735,8000,IF(Table1[Leaving Date]&gt;42643,7000,IF(Table1[Leaving Date]&gt;42551,6000,IF(Table1[Leaving Date]&gt;42460,5000,IF(Table1[Leaving Date]&gt;42369,4000,IF(Table1[Leaving Date]&gt;42277,3000,IF(Table1[Leaving Date]&gt;42185,2000,IF(Table1[Leaving Date]&gt;42094,1000))))))))</f>
        <v>0</v>
      </c>
      <c r="EK96" s="44" t="e">
        <f>VLOOKUP(Table1[Reason for Leaving],Lists!$T$2:$U$15,2,FALSE)</f>
        <v>#N/A</v>
      </c>
      <c r="EL96" s="44" t="e">
        <f>SUM(Table1[Data Leavers Date]+Table1[Data Move On])</f>
        <v>#N/A</v>
      </c>
      <c r="EM96" s="44" t="b">
        <f>IF(Table1[Registered with GP2]="Yes",1,IF(Table1[Registered with GP2]="No",0,IF(Table1[Registered with GP]="Yes",1,IF(Table1[Registered with GP]="No",0))))</f>
        <v>0</v>
      </c>
      <c r="EN96" s="44">
        <f>SUM(Table1[Data Leavers Date]+Table1[Data GP End])</f>
        <v>0</v>
      </c>
      <c r="EO96" s="44" t="str">
        <f>IF(Table1[EET2]="NEET",1,IF(Table1[EET2]="Employment",2,IF(Table1[EET2]="Education",2,IF(Table1[EET2]="Training",2,IF(Table1[EET2]="Retired",3,IF(Table1[EET]="NEET",1,IF(Table1[EET]="Employment",2,IF(Table1[EET]="Education",2,IF(Table1[EET]="Training",2,IF(Table1[EET]="Retired",3,""))))))))))</f>
        <v/>
      </c>
      <c r="EP96" s="44" t="e">
        <f>+Table1[[#This Row],[Data Leavers Date]]+Table1[[#This Row],[Data EET End]]</f>
        <v>#VALUE!</v>
      </c>
      <c r="EQ96" s="44">
        <f>IF(Table1[Exit Form Received]="Yes",1,0)</f>
        <v>0</v>
      </c>
      <c r="ER96" s="44">
        <f>+Table1[[#This Row],[Data Leavers Date]]+Table1[[#This Row],[Data Exit Forms]]</f>
        <v>0</v>
      </c>
      <c r="ES96" s="44" t="str">
        <f>IF(Table1[Data Leavers Date]=1000,SUM(Table1[Leaving Date]-Table1[Start Date]),"")</f>
        <v/>
      </c>
      <c r="ET96" s="44" t="str">
        <f>IF(Table1[Data Leavers Date]=2000,SUM(Table1[Leaving Date]-Table1[Start Date]),"")</f>
        <v/>
      </c>
      <c r="EU96" s="44" t="str">
        <f>IF(Table1[Data Leavers Date]=3000,SUM(Table1[Leaving Date]-Table1[Start Date]),"")</f>
        <v/>
      </c>
      <c r="EV96" s="44" t="str">
        <f>IF(Table1[Data Leavers Date]=4000,SUM(Table1[Leaving Date]-Table1[Start Date]),"")</f>
        <v/>
      </c>
      <c r="EW96" s="44" t="str">
        <f>IF(Table1[Data Leavers Date]=5000,SUM(Table1[Leaving Date]-Table1[Start Date]),"")</f>
        <v/>
      </c>
      <c r="EX96" s="44" t="str">
        <f>IF(Table1[Data Leavers Date]=6000,SUM(Table1[Leaving Date]-Table1[Start Date]),"")</f>
        <v/>
      </c>
      <c r="EY96" s="44" t="str">
        <f>IF(Table1[Data Leavers Date]=7000,SUM(Table1[Leaving Date]-Table1[Start Date]),"")</f>
        <v/>
      </c>
      <c r="EZ96" s="44" t="str">
        <f>IF(Table1[Data Leavers Date]=8000,SUM(Table1[Leaving Date]-Table1[Start Date]),"")</f>
        <v/>
      </c>
      <c r="FA96" s="44" t="str">
        <f>IF(Table1[Date of Initial Assessment]="","",IF(AND(Table1[Start Date]&gt;42094,Table1[Start Date]&lt;42461),Table1[Motivation and Taking Responsibility],""))</f>
        <v/>
      </c>
      <c r="FB96" s="44" t="str">
        <f>IF(Table1[Date of Initial Assessment]="","",IF(AND(Table1[Start Date]&gt;42094,Table1[Start Date]&lt;42461),Table1[Self-Care and Living Skills],""))</f>
        <v/>
      </c>
      <c r="FC96" s="44" t="str">
        <f>IF(Table1[Date of Initial Assessment]="","",IF(AND(Table1[Start Date]&gt;42094,Table1[Start Date]&lt;42461),Table1[Managing Money and Personal Administration],""))</f>
        <v/>
      </c>
      <c r="FD96" s="44" t="str">
        <f>IF(Table1[Date of Initial Assessment]="","",IF(AND(Table1[Start Date]&gt;42094,Table1[Start Date]&lt;42461),Table1[Social Networks and Relationships],""))</f>
        <v/>
      </c>
      <c r="FE96" s="44" t="str">
        <f>IF(Table1[Date of Initial Assessment]="","",IF(AND(Table1[Start Date]&gt;42094,Table1[Start Date]&lt;42461),Table1[Drug and Alcohol Misuse],""))</f>
        <v/>
      </c>
      <c r="FF96" s="44" t="str">
        <f>IF(Table1[Date of Initial Assessment]="","",IF(AND(Table1[Start Date]&gt;42094,Table1[Start Date]&lt;42461),Table1[Physical Health],""))</f>
        <v/>
      </c>
      <c r="FG96" s="44" t="str">
        <f>IF(Table1[Date of Initial Assessment]="","",IF(AND(Table1[Start Date]&gt;42094,Table1[Start Date]&lt;42461),Table1[Emotional and Mental Health],""))</f>
        <v/>
      </c>
      <c r="FH96" s="44" t="str">
        <f>IF(Table1[Date of Initial Assessment]="","",IF(AND(Table1[Start Date]&gt;42094,Table1[Start Date]&lt;42461),Table1[Meaningful Use of Time],""))</f>
        <v/>
      </c>
      <c r="FI96" s="44" t="str">
        <f>IF(Table1[Date of Initial Assessment]="","",IF(AND(Table1[Start Date]&gt;42094,Table1[Start Date]&lt;42461),Table1[Managing Tenancy and Accommodation],""))</f>
        <v/>
      </c>
      <c r="FJ96" s="44" t="str">
        <f>IF(Table1[Date of Initial Assessment]="","",IF(AND(Table1[Start Date]&gt;42094,Table1[Start Date]&lt;42461),Table1[Offending],""))</f>
        <v/>
      </c>
      <c r="FK96" s="44" t="str">
        <f>IF(Table1[Leaving Date]="","",IF(Table1[Date of Initial Assessment]="","",IF(AND(Table1[Leaving Date]&gt;42094,Table1[Leaving Date]&lt;42461),IF(Table1[Date of Last Assessment]="",Table1[Motivation and Taking Responsibility],Table1[Motivation and Taking Responsibility2]),"")))</f>
        <v/>
      </c>
      <c r="FL96" s="44" t="str">
        <f>IF(Table1[Leaving Date]="","",IF(Table1[Date of Initial Assessment]="","",IF(AND(Table1[Leaving Date]&gt;42094,Table1[Leaving Date]&lt;42461),IF(Table1[Date of Last Assessment]="",Table1[Self-Care and Living Skills],Table1[Self-Care and Living Skills2]),"")))</f>
        <v/>
      </c>
      <c r="FM96" s="44" t="str">
        <f>IF(Table1[Leaving Date]="","",IF(Table1[Date of Initial Assessment]="","",IF(AND(Table1[Leaving Date]&gt;42094,Table1[Leaving Date]&lt;42461),IF(Table1[Date of Last Assessment]="",Table1[Managing Money and Personal Administration],Table1[Managing Money and Personal Administration2]),"")))</f>
        <v/>
      </c>
      <c r="FN96" s="44" t="str">
        <f>IF(Table1[Leaving Date]="","",IF(Table1[Date of Initial Assessment]="","",IF(AND(Table1[Leaving Date]&gt;42094,Table1[Leaving Date]&lt;42461),IF(Table1[Date of Last Assessment]="",Table1[Social Networks and Relationships],Table1[Social Networks and Relationships2]),"")))</f>
        <v/>
      </c>
      <c r="FO96" s="44" t="str">
        <f>IF(Table1[Leaving Date]="","",IF(Table1[Date of Initial Assessment]="","",IF(AND(Table1[Leaving Date]&gt;42094,Table1[Leaving Date]&lt;42461),IF(Table1[Date of Last Assessment]="",Table1[Drug and Alcohol Misuse],Table1[Drug and Alcohol Misuse2]),"")))</f>
        <v/>
      </c>
      <c r="FP96" s="44" t="str">
        <f>IF(Table1[Leaving Date]="","",IF(Table1[Date of Initial Assessment]="","",IF(AND(Table1[Leaving Date]&gt;42094,Table1[Leaving Date]&lt;42461),IF(Table1[Date of Last Assessment]="",Table1[Physical Health],Table1[Physical Health2]),"")))</f>
        <v/>
      </c>
      <c r="FQ96" s="44" t="str">
        <f>IF(Table1[Leaving Date]="","",IF(Table1[Date of Initial Assessment]="","",IF(AND(Table1[Leaving Date]&gt;42094,Table1[Leaving Date]&lt;42461),IF(Table1[Date of Last Assessment]="",Table1[Emotional and Mental Health],Table1[Emotional and Mental Health2]),"")))</f>
        <v/>
      </c>
      <c r="FR96" s="44" t="str">
        <f>IF(Table1[Leaving Date]="","",IF(Table1[Date of Initial Assessment]="","",IF(AND(Table1[Leaving Date]&gt;42094,Table1[Leaving Date]&lt;42461),IF(Table1[Date of Last Assessment]="",Table1[Meaningful Use of Time],Table1[Meaningful Use of Time2]),"")))</f>
        <v/>
      </c>
      <c r="FS96" s="44" t="str">
        <f>IF(Table1[Leaving Date]="","",IF(Table1[Date of Initial Assessment]="","",IF(AND(Table1[Leaving Date]&gt;42094,Table1[Leaving Date]&lt;42461),IF(Table1[Date of Last Assessment]="",Table1[Managing Tenancy and Accommodation],Table1[Managing Tenancy and Accommodation2]),"")))</f>
        <v/>
      </c>
      <c r="FT96" s="44" t="str">
        <f>IF(Table1[Leaving Date]="","",IF(Table1[Date of Initial Assessment]="","",IF(AND(Table1[Leaving Date]&gt;42094,Table1[Leaving Date]&lt;42461),IF(Table1[Date of Last Assessment]="",Table1[Offending],Table1[Offending2]),"")))</f>
        <v/>
      </c>
      <c r="FU96" s="44" t="str">
        <f>IF(Table1[Date of Initial Assessment]="","",IF(AND(Table1[Start Date]&gt;42460,Table1[Start Date]&lt;42826),Table1[Motivation and Taking Responsibility],""))</f>
        <v/>
      </c>
      <c r="FV96" s="44" t="str">
        <f>IF(Table1[Date of Initial Assessment]="","",IF(AND(Table1[Start Date]&gt;42460,Table1[Start Date]&lt;42826),Table1[Self-Care and Living Skills],""))</f>
        <v/>
      </c>
      <c r="FW96" s="44" t="str">
        <f>IF(Table1[Date of Initial Assessment]="","",IF(AND(Table1[Start Date]&gt;42460,Table1[Start Date]&lt;42826),Table1[Managing Money and Personal Administration],""))</f>
        <v/>
      </c>
      <c r="FX96" s="44" t="str">
        <f>IF(Table1[Date of Initial Assessment]="","",IF(AND(Table1[Start Date]&gt;42460,Table1[Start Date]&lt;42826),Table1[Social Networks and Relationships],""))</f>
        <v/>
      </c>
      <c r="FY96" s="44" t="str">
        <f>IF(Table1[Date of Initial Assessment]="","",IF(AND(Table1[Start Date]&gt;42460,Table1[Start Date]&lt;42826),Table1[Drug and Alcohol Misuse],""))</f>
        <v/>
      </c>
      <c r="FZ96" s="44" t="str">
        <f>IF(Table1[Date of Initial Assessment]="","",IF(AND(Table1[Start Date]&gt;42460,Table1[Start Date]&lt;42826),Table1[Physical Health],""))</f>
        <v/>
      </c>
      <c r="GA96" s="44" t="str">
        <f>IF(Table1[Date of Initial Assessment]="","",IF(AND(Table1[Start Date]&gt;42460,Table1[Start Date]&lt;42826),Table1[Emotional and Mental Health],""))</f>
        <v/>
      </c>
      <c r="GB96" s="44" t="str">
        <f>IF(Table1[Date of Initial Assessment]="","",IF(AND(Table1[Start Date]&gt;42460,Table1[Start Date]&lt;42826),Table1[Meaningful Use of Time],""))</f>
        <v/>
      </c>
      <c r="GC96" s="44" t="str">
        <f>IF(Table1[Date of Initial Assessment]="","",IF(AND(Table1[Start Date]&gt;42460,Table1[Start Date]&lt;42826),Table1[Managing Tenancy and Accommodation],""))</f>
        <v/>
      </c>
      <c r="GD96" s="44" t="str">
        <f>IF(Table1[Date of Initial Assessment]="","",IF(AND(Table1[Start Date]&gt;42460,Table1[Start Date]&lt;42826),Table1[Offending],""))</f>
        <v/>
      </c>
      <c r="GE96" s="44" t="str">
        <f>IF(Table1[Leaving Date]="","",IF(AND(Table1[Leaving Date]&gt;42460,Table1[Leaving Date]&lt;42826),IF(Table1[Date of Last Assessment]="",Table1[Motivation and Taking Responsibility],Table1[Motivation and Taking Responsibility2]),""))</f>
        <v/>
      </c>
      <c r="GF96" s="44" t="str">
        <f>IF(Table1[Leaving Date]="","",IF(AND(Table1[Leaving Date]&gt;42460,Table1[Leaving Date]&lt;42826),IF(Table1[Date of Last Assessment]="",Table1[Self-Care and Living Skills],Table1[Self-Care and Living Skills2]),""))</f>
        <v/>
      </c>
      <c r="GG96" s="44" t="str">
        <f>IF(Table1[Leaving Date]="","",IF(AND(Table1[Leaving Date]&gt;42460,Table1[Leaving Date]&lt;42826),IF(Table1[Date of Last Assessment]="",Table1[Managing Money and Personal Administration],Table1[Managing Money and Personal Administration2]),""))</f>
        <v/>
      </c>
      <c r="GH96" s="44" t="str">
        <f>IF(Table1[Leaving Date]="","",IF(AND(Table1[Leaving Date]&gt;42460,Table1[Leaving Date]&lt;42826),IF(Table1[Date of Last Assessment]="",Table1[Social Networks and Relationships],Table1[Social Networks and Relationships2]),""))</f>
        <v/>
      </c>
      <c r="GI96" s="44" t="str">
        <f>IF(Table1[Leaving Date]="","",IF(AND(Table1[Leaving Date]&gt;42460,Table1[Leaving Date]&lt;42826),IF(Table1[Date of Last Assessment]="",Table1[Drug and Alcohol Misuse],Table1[Drug and Alcohol Misuse2]),""))</f>
        <v/>
      </c>
      <c r="GJ96" s="44" t="str">
        <f>IF(Table1[Leaving Date]="","",IF(AND(Table1[Leaving Date]&gt;42460,Table1[Leaving Date]&lt;42826),IF(Table1[Date of Last Assessment]="",Table1[Physical Health],Table1[Physical Health2]),""))</f>
        <v/>
      </c>
      <c r="GK96" s="44" t="str">
        <f>IF(Table1[Leaving Date]="","",IF(AND(Table1[Leaving Date]&gt;42460,Table1[Leaving Date]&lt;42826),IF(Table1[Date of Last Assessment]="",Table1[Emotional and Mental Health],Table1[Emotional and Mental Health2]),""))</f>
        <v/>
      </c>
      <c r="GL96" s="44" t="str">
        <f>IF(Table1[Leaving Date]="","",IF(AND(Table1[Leaving Date]&gt;42460,Table1[Leaving Date]&lt;42826),IF(Table1[Date of Last Assessment]="",Table1[Meaningful Use of Time],Table1[Meaningful Use of Time2]),""))</f>
        <v/>
      </c>
      <c r="GM96" s="44" t="str">
        <f>IF(Table1[Leaving Date]="","",IF(AND(Table1[Leaving Date]&gt;42460,Table1[Leaving Date]&lt;42826),IF(Table1[Date of Last Assessment]="",Table1[Managing Tenancy and Accommodation],Table1[Managing Tenancy and Accommodation2]),""))</f>
        <v/>
      </c>
      <c r="GN96" s="44" t="str">
        <f>IF(Table1[Leaving Date]="","",IF(AND(Table1[Leaving Date]&gt;42460,Table1[Leaving Date]&lt;42826),IF(Table1[Date of Last Assessment]="",Table1[Offending],Table1[Offending2]),""))</f>
        <v/>
      </c>
    </row>
    <row r="97" spans="2:196" ht="20.100000000000001" customHeight="1" x14ac:dyDescent="0.2">
      <c r="B97" s="86">
        <f>+'Service Data'!$C$5:$C$5</f>
        <v>0</v>
      </c>
      <c r="C97" s="86"/>
      <c r="D97" s="86"/>
      <c r="E97" s="86"/>
      <c r="F97" s="86"/>
      <c r="G97" s="86"/>
      <c r="H97" s="6"/>
      <c r="I97" s="99" t="str">
        <f ca="1">IF(Table1[[#This Row],[Date of Birth]]="","",SUM(TODAY()-Table1[[#This Row],[Date of Birth]])/365)</f>
        <v/>
      </c>
      <c r="L97" s="86"/>
      <c r="M97" s="77"/>
      <c r="N97" s="86"/>
      <c r="O97" s="86"/>
      <c r="P97" s="91"/>
      <c r="Q97" s="86"/>
      <c r="R97" s="77"/>
      <c r="S97" s="77"/>
      <c r="T97" s="68"/>
      <c r="U97" s="68"/>
      <c r="V97" s="67"/>
      <c r="W97" s="67"/>
      <c r="X97" s="67"/>
      <c r="Y97" s="67"/>
      <c r="Z97" s="67"/>
      <c r="AA97" s="67"/>
      <c r="AB97" s="67"/>
      <c r="AC97" s="67"/>
      <c r="AD97" s="67"/>
      <c r="AE97" s="67"/>
      <c r="AF97" s="67"/>
      <c r="AG97" s="67"/>
      <c r="AH97" s="67"/>
      <c r="AI97" s="67"/>
      <c r="AJ97" s="67"/>
      <c r="AK97" s="67"/>
      <c r="AL97" s="67"/>
      <c r="AM97" s="67"/>
      <c r="AN97" s="77"/>
      <c r="AO97" s="76"/>
      <c r="AP97" s="77"/>
      <c r="AQ97" s="76"/>
      <c r="AR97" s="76"/>
      <c r="AS97" s="76"/>
      <c r="AT97" s="76"/>
      <c r="AU97" s="76"/>
      <c r="AV97" s="77"/>
      <c r="AW97" s="76"/>
      <c r="AX97" s="77"/>
      <c r="AY97" s="76"/>
      <c r="AZ97" s="76"/>
      <c r="BA97" s="76"/>
      <c r="BB97" s="76"/>
      <c r="BC97" s="76"/>
      <c r="BD97" s="77"/>
      <c r="BE97" s="76"/>
      <c r="BF97" s="77"/>
      <c r="BG97" s="76"/>
      <c r="BH97" s="76"/>
      <c r="BI97" s="76"/>
      <c r="BJ97" s="76"/>
      <c r="BK97" s="76"/>
      <c r="BL97" s="77"/>
      <c r="BM97" s="76"/>
      <c r="BN97" s="77"/>
      <c r="BO97" s="76"/>
      <c r="BP97" s="76"/>
      <c r="BQ97" s="76"/>
      <c r="BR97" s="76"/>
      <c r="BS97" s="76"/>
      <c r="BT97" s="77"/>
      <c r="BU97" s="76"/>
      <c r="BV97" s="77"/>
      <c r="BW97" s="76"/>
      <c r="BX97" s="76"/>
      <c r="BY97" s="76"/>
      <c r="BZ97" s="76"/>
      <c r="CA97" s="76"/>
      <c r="CB97" s="77"/>
      <c r="CC97" s="76"/>
      <c r="CD97" s="77"/>
      <c r="CE97" s="76"/>
      <c r="CF97" s="76"/>
      <c r="CG97" s="76"/>
      <c r="CH97" s="76"/>
      <c r="CI97" s="76"/>
      <c r="CJ97" s="77"/>
      <c r="CK97" s="76"/>
      <c r="CL97" s="77"/>
      <c r="CM97" s="76"/>
      <c r="CN97" s="76"/>
      <c r="CO97" s="76"/>
      <c r="CP97" s="76"/>
      <c r="CQ97" s="76"/>
      <c r="CR97" s="78" t="str">
        <f t="shared" si="31"/>
        <v/>
      </c>
      <c r="CS97" s="79" t="str">
        <f t="shared" si="32"/>
        <v/>
      </c>
      <c r="CT97" s="79" t="str">
        <f t="shared" si="33"/>
        <v/>
      </c>
      <c r="CU97" s="79" t="str">
        <f t="shared" si="34"/>
        <v/>
      </c>
      <c r="CV97" s="79" t="str">
        <f t="shared" si="35"/>
        <v/>
      </c>
      <c r="CW97" s="79" t="str">
        <f t="shared" si="36"/>
        <v/>
      </c>
      <c r="CX97" s="79" t="str">
        <f t="shared" si="37"/>
        <v/>
      </c>
      <c r="CY97" s="79" t="str">
        <f t="shared" si="38"/>
        <v/>
      </c>
      <c r="CZ97" s="79" t="str">
        <f t="shared" si="39"/>
        <v/>
      </c>
      <c r="DA97" s="79" t="str">
        <f t="shared" si="40"/>
        <v/>
      </c>
      <c r="DB97" s="79" t="str">
        <f t="shared" si="41"/>
        <v/>
      </c>
      <c r="DC97" s="79" t="str">
        <f t="shared" si="42"/>
        <v/>
      </c>
      <c r="DD97" s="79" t="str">
        <f t="shared" si="43"/>
        <v/>
      </c>
      <c r="DE97" s="79" t="str">
        <f t="shared" si="44"/>
        <v/>
      </c>
      <c r="DF97" s="79" t="str">
        <f t="shared" si="45"/>
        <v/>
      </c>
      <c r="DG97" s="79" t="str">
        <f t="shared" si="46"/>
        <v/>
      </c>
      <c r="DH97" s="76"/>
      <c r="DI97" s="78"/>
      <c r="DJ97" s="76"/>
      <c r="DK97" s="77"/>
      <c r="DL97" s="77"/>
      <c r="DM97" s="77"/>
      <c r="DN97" s="80"/>
      <c r="DO97" s="80"/>
      <c r="DP97" s="92" t="str">
        <f>IF(Table1[Start Date]="","",IF(Table1[Start Date]&gt;42185,"",IF(AND(Table1[Leaving Date]&gt;1,Table1[Leaving Date]&lt;42095),"",1)))</f>
        <v/>
      </c>
      <c r="DQ97" s="92" t="str">
        <f>IF(Table1[Start Date]="","",IF(Table1[Start Date]&gt;42277,"",IF(AND(Table1[Leaving Date]&gt;1,Table1[Leaving Date]&lt;42186),"",1)))</f>
        <v/>
      </c>
      <c r="DR97" s="92" t="str">
        <f>IF(Table1[Start Date]="","",IF(Table1[Start Date]&gt;42369,"",IF(AND(Table1[Leaving Date]&gt;1,Table1[Leaving Date]&lt;42278),"",1)))</f>
        <v/>
      </c>
      <c r="DS97" s="92" t="str">
        <f>IF(Table1[Start Date]="","",IF(Table1[Start Date]&gt;42460,"",IF(AND(Table1[Leaving Date]&gt;1,Table1[Leaving Date]&lt;42370),"",1)))</f>
        <v/>
      </c>
      <c r="DT97" s="92" t="str">
        <f>IF(Table1[Start Date]="","",IF(Table1[Start Date]&gt;42551,"",IF(AND(Table1[Leaving Date]&gt;1,Table1[Leaving Date]&lt;42461),"",1)))</f>
        <v/>
      </c>
      <c r="DU97" s="92" t="str">
        <f>IF(Table1[Start Date]="","",IF(Table1[Start Date]&gt;42643,"",IF(AND(Table1[Leaving Date]&gt;1,Table1[Leaving Date]&lt;42552),"",1)))</f>
        <v/>
      </c>
      <c r="DV97" s="92" t="str">
        <f>IF(Table1[Start Date]="","",IF(Table1[Start Date]&gt;42735,"",IF(AND(Table1[Leaving Date]&gt;1,Table1[Leaving Date]&lt;42644),"",1)))</f>
        <v/>
      </c>
      <c r="DW97" s="92" t="str">
        <f>IF(Table1[Start Date]="","",IF(Table1[Start Date]&gt;42825,"",IF(AND(Table1[Leaving Date]&gt;1,Table1[Leaving Date]&lt;42736),"",1)))</f>
        <v/>
      </c>
      <c r="DX97"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97" s="44" t="e">
        <f>VLOOKUP(Table1[Referral Source],Lists!$G$2:$H$20,2,FALSE)</f>
        <v>#N/A</v>
      </c>
      <c r="DZ97" s="93" t="e">
        <f>SUM(Table1[Data Referral Quarter]+Table1[Data Referral Source])</f>
        <v>#N/A</v>
      </c>
      <c r="EA97" s="44" t="b">
        <f>IF(Table1[Referral Decision]="Accepted",100,IF(Table1[Referral Decision]="Rejected by Provider",200,IF(Table1[Referral Decision]="Rejected by Applicant",300)))</f>
        <v>0</v>
      </c>
      <c r="EB97" s="44">
        <f>SUM(Table1[Data Referral Quarter]+Table1[Data Referral Decision])</f>
        <v>0</v>
      </c>
      <c r="EC97" s="44" t="b">
        <f>IF(Table1[Start Date]&gt;42735,8000,IF(Table1[Start Date]&gt;42643,7000,IF(Table1[Start Date]&gt;42551,6000,IF(Table1[Start Date]&gt;42460,5000,IF(Table1[Start Date]&gt;42369,4000,IF(Table1[Start Date]&gt;42277,3000,IF(Table1[Start Date]&gt;42185,2000,IF(Table1[Start Date]&gt;42094,1000))))))))</f>
        <v>0</v>
      </c>
      <c r="ED97" s="44" t="str">
        <f>IF(Table1[Start Date]="","",IF(Table1[Current Local Authority]="Swindon",1,"2"))</f>
        <v/>
      </c>
      <c r="EE97" s="44" t="e">
        <f>SUM(Table1[Data Start Date]+Table1[Data Local Authority])</f>
        <v>#VALUE!</v>
      </c>
      <c r="EF97" s="44">
        <f>IF(Table1[Registered with GP]="Yes",1,0)</f>
        <v>0</v>
      </c>
      <c r="EG97" s="44">
        <f>SUM(Table1[Data Start Date]+Table1[Data GP Start])</f>
        <v>0</v>
      </c>
      <c r="EH97" s="44" t="str">
        <f>IF(Table1[EET]="NEET",1,IF(Table1[EET]="Education",2,IF(Table1[EET]="Employment",2,IF(Table1[EET]="Training",2,IF(Table1[EET]="Retired",3,"")))))</f>
        <v/>
      </c>
      <c r="EI97" s="44" t="e">
        <f>Table1[Data Start Date]+Table1[Data EET Start]</f>
        <v>#VALUE!</v>
      </c>
      <c r="EJ97" s="44" t="b">
        <f>IF(Table1[Leaving Date]&gt;42735,8000,IF(Table1[Leaving Date]&gt;42643,7000,IF(Table1[Leaving Date]&gt;42551,6000,IF(Table1[Leaving Date]&gt;42460,5000,IF(Table1[Leaving Date]&gt;42369,4000,IF(Table1[Leaving Date]&gt;42277,3000,IF(Table1[Leaving Date]&gt;42185,2000,IF(Table1[Leaving Date]&gt;42094,1000))))))))</f>
        <v>0</v>
      </c>
      <c r="EK97" s="44" t="e">
        <f>VLOOKUP(Table1[Reason for Leaving],Lists!$T$2:$U$15,2,FALSE)</f>
        <v>#N/A</v>
      </c>
      <c r="EL97" s="44" t="e">
        <f>SUM(Table1[Data Leavers Date]+Table1[Data Move On])</f>
        <v>#N/A</v>
      </c>
      <c r="EM97" s="44" t="b">
        <f>IF(Table1[Registered with GP2]="Yes",1,IF(Table1[Registered with GP2]="No",0,IF(Table1[Registered with GP]="Yes",1,IF(Table1[Registered with GP]="No",0))))</f>
        <v>0</v>
      </c>
      <c r="EN97" s="44">
        <f>SUM(Table1[Data Leavers Date]+Table1[Data GP End])</f>
        <v>0</v>
      </c>
      <c r="EO97" s="44" t="str">
        <f>IF(Table1[EET2]="NEET",1,IF(Table1[EET2]="Employment",2,IF(Table1[EET2]="Education",2,IF(Table1[EET2]="Training",2,IF(Table1[EET2]="Retired",3,IF(Table1[EET]="NEET",1,IF(Table1[EET]="Employment",2,IF(Table1[EET]="Education",2,IF(Table1[EET]="Training",2,IF(Table1[EET]="Retired",3,""))))))))))</f>
        <v/>
      </c>
      <c r="EP97" s="44" t="e">
        <f>+Table1[[#This Row],[Data Leavers Date]]+Table1[[#This Row],[Data EET End]]</f>
        <v>#VALUE!</v>
      </c>
      <c r="EQ97" s="44">
        <f>IF(Table1[Exit Form Received]="Yes",1,0)</f>
        <v>0</v>
      </c>
      <c r="ER97" s="44">
        <f>+Table1[[#This Row],[Data Leavers Date]]+Table1[[#This Row],[Data Exit Forms]]</f>
        <v>0</v>
      </c>
      <c r="ES97" s="44" t="str">
        <f>IF(Table1[Data Leavers Date]=1000,SUM(Table1[Leaving Date]-Table1[Start Date]),"")</f>
        <v/>
      </c>
      <c r="ET97" s="44" t="str">
        <f>IF(Table1[Data Leavers Date]=2000,SUM(Table1[Leaving Date]-Table1[Start Date]),"")</f>
        <v/>
      </c>
      <c r="EU97" s="44" t="str">
        <f>IF(Table1[Data Leavers Date]=3000,SUM(Table1[Leaving Date]-Table1[Start Date]),"")</f>
        <v/>
      </c>
      <c r="EV97" s="44" t="str">
        <f>IF(Table1[Data Leavers Date]=4000,SUM(Table1[Leaving Date]-Table1[Start Date]),"")</f>
        <v/>
      </c>
      <c r="EW97" s="44" t="str">
        <f>IF(Table1[Data Leavers Date]=5000,SUM(Table1[Leaving Date]-Table1[Start Date]),"")</f>
        <v/>
      </c>
      <c r="EX97" s="44" t="str">
        <f>IF(Table1[Data Leavers Date]=6000,SUM(Table1[Leaving Date]-Table1[Start Date]),"")</f>
        <v/>
      </c>
      <c r="EY97" s="44" t="str">
        <f>IF(Table1[Data Leavers Date]=7000,SUM(Table1[Leaving Date]-Table1[Start Date]),"")</f>
        <v/>
      </c>
      <c r="EZ97" s="44" t="str">
        <f>IF(Table1[Data Leavers Date]=8000,SUM(Table1[Leaving Date]-Table1[Start Date]),"")</f>
        <v/>
      </c>
      <c r="FA97" s="44" t="str">
        <f>IF(Table1[Date of Initial Assessment]="","",IF(AND(Table1[Start Date]&gt;42094,Table1[Start Date]&lt;42461),Table1[Motivation and Taking Responsibility],""))</f>
        <v/>
      </c>
      <c r="FB97" s="44" t="str">
        <f>IF(Table1[Date of Initial Assessment]="","",IF(AND(Table1[Start Date]&gt;42094,Table1[Start Date]&lt;42461),Table1[Self-Care and Living Skills],""))</f>
        <v/>
      </c>
      <c r="FC97" s="44" t="str">
        <f>IF(Table1[Date of Initial Assessment]="","",IF(AND(Table1[Start Date]&gt;42094,Table1[Start Date]&lt;42461),Table1[Managing Money and Personal Administration],""))</f>
        <v/>
      </c>
      <c r="FD97" s="44" t="str">
        <f>IF(Table1[Date of Initial Assessment]="","",IF(AND(Table1[Start Date]&gt;42094,Table1[Start Date]&lt;42461),Table1[Social Networks and Relationships],""))</f>
        <v/>
      </c>
      <c r="FE97" s="44" t="str">
        <f>IF(Table1[Date of Initial Assessment]="","",IF(AND(Table1[Start Date]&gt;42094,Table1[Start Date]&lt;42461),Table1[Drug and Alcohol Misuse],""))</f>
        <v/>
      </c>
      <c r="FF97" s="44" t="str">
        <f>IF(Table1[Date of Initial Assessment]="","",IF(AND(Table1[Start Date]&gt;42094,Table1[Start Date]&lt;42461),Table1[Physical Health],""))</f>
        <v/>
      </c>
      <c r="FG97" s="44" t="str">
        <f>IF(Table1[Date of Initial Assessment]="","",IF(AND(Table1[Start Date]&gt;42094,Table1[Start Date]&lt;42461),Table1[Emotional and Mental Health],""))</f>
        <v/>
      </c>
      <c r="FH97" s="44" t="str">
        <f>IF(Table1[Date of Initial Assessment]="","",IF(AND(Table1[Start Date]&gt;42094,Table1[Start Date]&lt;42461),Table1[Meaningful Use of Time],""))</f>
        <v/>
      </c>
      <c r="FI97" s="44" t="str">
        <f>IF(Table1[Date of Initial Assessment]="","",IF(AND(Table1[Start Date]&gt;42094,Table1[Start Date]&lt;42461),Table1[Managing Tenancy and Accommodation],""))</f>
        <v/>
      </c>
      <c r="FJ97" s="44" t="str">
        <f>IF(Table1[Date of Initial Assessment]="","",IF(AND(Table1[Start Date]&gt;42094,Table1[Start Date]&lt;42461),Table1[Offending],""))</f>
        <v/>
      </c>
      <c r="FK97" s="44" t="str">
        <f>IF(Table1[Leaving Date]="","",IF(Table1[Date of Initial Assessment]="","",IF(AND(Table1[Leaving Date]&gt;42094,Table1[Leaving Date]&lt;42461),IF(Table1[Date of Last Assessment]="",Table1[Motivation and Taking Responsibility],Table1[Motivation and Taking Responsibility2]),"")))</f>
        <v/>
      </c>
      <c r="FL97" s="44" t="str">
        <f>IF(Table1[Leaving Date]="","",IF(Table1[Date of Initial Assessment]="","",IF(AND(Table1[Leaving Date]&gt;42094,Table1[Leaving Date]&lt;42461),IF(Table1[Date of Last Assessment]="",Table1[Self-Care and Living Skills],Table1[Self-Care and Living Skills2]),"")))</f>
        <v/>
      </c>
      <c r="FM97" s="44" t="str">
        <f>IF(Table1[Leaving Date]="","",IF(Table1[Date of Initial Assessment]="","",IF(AND(Table1[Leaving Date]&gt;42094,Table1[Leaving Date]&lt;42461),IF(Table1[Date of Last Assessment]="",Table1[Managing Money and Personal Administration],Table1[Managing Money and Personal Administration2]),"")))</f>
        <v/>
      </c>
      <c r="FN97" s="44" t="str">
        <f>IF(Table1[Leaving Date]="","",IF(Table1[Date of Initial Assessment]="","",IF(AND(Table1[Leaving Date]&gt;42094,Table1[Leaving Date]&lt;42461),IF(Table1[Date of Last Assessment]="",Table1[Social Networks and Relationships],Table1[Social Networks and Relationships2]),"")))</f>
        <v/>
      </c>
      <c r="FO97" s="44" t="str">
        <f>IF(Table1[Leaving Date]="","",IF(Table1[Date of Initial Assessment]="","",IF(AND(Table1[Leaving Date]&gt;42094,Table1[Leaving Date]&lt;42461),IF(Table1[Date of Last Assessment]="",Table1[Drug and Alcohol Misuse],Table1[Drug and Alcohol Misuse2]),"")))</f>
        <v/>
      </c>
      <c r="FP97" s="44" t="str">
        <f>IF(Table1[Leaving Date]="","",IF(Table1[Date of Initial Assessment]="","",IF(AND(Table1[Leaving Date]&gt;42094,Table1[Leaving Date]&lt;42461),IF(Table1[Date of Last Assessment]="",Table1[Physical Health],Table1[Physical Health2]),"")))</f>
        <v/>
      </c>
      <c r="FQ97" s="44" t="str">
        <f>IF(Table1[Leaving Date]="","",IF(Table1[Date of Initial Assessment]="","",IF(AND(Table1[Leaving Date]&gt;42094,Table1[Leaving Date]&lt;42461),IF(Table1[Date of Last Assessment]="",Table1[Emotional and Mental Health],Table1[Emotional and Mental Health2]),"")))</f>
        <v/>
      </c>
      <c r="FR97" s="44" t="str">
        <f>IF(Table1[Leaving Date]="","",IF(Table1[Date of Initial Assessment]="","",IF(AND(Table1[Leaving Date]&gt;42094,Table1[Leaving Date]&lt;42461),IF(Table1[Date of Last Assessment]="",Table1[Meaningful Use of Time],Table1[Meaningful Use of Time2]),"")))</f>
        <v/>
      </c>
      <c r="FS97" s="44" t="str">
        <f>IF(Table1[Leaving Date]="","",IF(Table1[Date of Initial Assessment]="","",IF(AND(Table1[Leaving Date]&gt;42094,Table1[Leaving Date]&lt;42461),IF(Table1[Date of Last Assessment]="",Table1[Managing Tenancy and Accommodation],Table1[Managing Tenancy and Accommodation2]),"")))</f>
        <v/>
      </c>
      <c r="FT97" s="44" t="str">
        <f>IF(Table1[Leaving Date]="","",IF(Table1[Date of Initial Assessment]="","",IF(AND(Table1[Leaving Date]&gt;42094,Table1[Leaving Date]&lt;42461),IF(Table1[Date of Last Assessment]="",Table1[Offending],Table1[Offending2]),"")))</f>
        <v/>
      </c>
      <c r="FU97" s="44" t="str">
        <f>IF(Table1[Date of Initial Assessment]="","",IF(AND(Table1[Start Date]&gt;42460,Table1[Start Date]&lt;42826),Table1[Motivation and Taking Responsibility],""))</f>
        <v/>
      </c>
      <c r="FV97" s="44" t="str">
        <f>IF(Table1[Date of Initial Assessment]="","",IF(AND(Table1[Start Date]&gt;42460,Table1[Start Date]&lt;42826),Table1[Self-Care and Living Skills],""))</f>
        <v/>
      </c>
      <c r="FW97" s="44" t="str">
        <f>IF(Table1[Date of Initial Assessment]="","",IF(AND(Table1[Start Date]&gt;42460,Table1[Start Date]&lt;42826),Table1[Managing Money and Personal Administration],""))</f>
        <v/>
      </c>
      <c r="FX97" s="44" t="str">
        <f>IF(Table1[Date of Initial Assessment]="","",IF(AND(Table1[Start Date]&gt;42460,Table1[Start Date]&lt;42826),Table1[Social Networks and Relationships],""))</f>
        <v/>
      </c>
      <c r="FY97" s="44" t="str">
        <f>IF(Table1[Date of Initial Assessment]="","",IF(AND(Table1[Start Date]&gt;42460,Table1[Start Date]&lt;42826),Table1[Drug and Alcohol Misuse],""))</f>
        <v/>
      </c>
      <c r="FZ97" s="44" t="str">
        <f>IF(Table1[Date of Initial Assessment]="","",IF(AND(Table1[Start Date]&gt;42460,Table1[Start Date]&lt;42826),Table1[Physical Health],""))</f>
        <v/>
      </c>
      <c r="GA97" s="44" t="str">
        <f>IF(Table1[Date of Initial Assessment]="","",IF(AND(Table1[Start Date]&gt;42460,Table1[Start Date]&lt;42826),Table1[Emotional and Mental Health],""))</f>
        <v/>
      </c>
      <c r="GB97" s="44" t="str">
        <f>IF(Table1[Date of Initial Assessment]="","",IF(AND(Table1[Start Date]&gt;42460,Table1[Start Date]&lt;42826),Table1[Meaningful Use of Time],""))</f>
        <v/>
      </c>
      <c r="GC97" s="44" t="str">
        <f>IF(Table1[Date of Initial Assessment]="","",IF(AND(Table1[Start Date]&gt;42460,Table1[Start Date]&lt;42826),Table1[Managing Tenancy and Accommodation],""))</f>
        <v/>
      </c>
      <c r="GD97" s="44" t="str">
        <f>IF(Table1[Date of Initial Assessment]="","",IF(AND(Table1[Start Date]&gt;42460,Table1[Start Date]&lt;42826),Table1[Offending],""))</f>
        <v/>
      </c>
      <c r="GE97" s="44" t="str">
        <f>IF(Table1[Leaving Date]="","",IF(AND(Table1[Leaving Date]&gt;42460,Table1[Leaving Date]&lt;42826),IF(Table1[Date of Last Assessment]="",Table1[Motivation and Taking Responsibility],Table1[Motivation and Taking Responsibility2]),""))</f>
        <v/>
      </c>
      <c r="GF97" s="44" t="str">
        <f>IF(Table1[Leaving Date]="","",IF(AND(Table1[Leaving Date]&gt;42460,Table1[Leaving Date]&lt;42826),IF(Table1[Date of Last Assessment]="",Table1[Self-Care and Living Skills],Table1[Self-Care and Living Skills2]),""))</f>
        <v/>
      </c>
      <c r="GG97" s="44" t="str">
        <f>IF(Table1[Leaving Date]="","",IF(AND(Table1[Leaving Date]&gt;42460,Table1[Leaving Date]&lt;42826),IF(Table1[Date of Last Assessment]="",Table1[Managing Money and Personal Administration],Table1[Managing Money and Personal Administration2]),""))</f>
        <v/>
      </c>
      <c r="GH97" s="44" t="str">
        <f>IF(Table1[Leaving Date]="","",IF(AND(Table1[Leaving Date]&gt;42460,Table1[Leaving Date]&lt;42826),IF(Table1[Date of Last Assessment]="",Table1[Social Networks and Relationships],Table1[Social Networks and Relationships2]),""))</f>
        <v/>
      </c>
      <c r="GI97" s="44" t="str">
        <f>IF(Table1[Leaving Date]="","",IF(AND(Table1[Leaving Date]&gt;42460,Table1[Leaving Date]&lt;42826),IF(Table1[Date of Last Assessment]="",Table1[Drug and Alcohol Misuse],Table1[Drug and Alcohol Misuse2]),""))</f>
        <v/>
      </c>
      <c r="GJ97" s="44" t="str">
        <f>IF(Table1[Leaving Date]="","",IF(AND(Table1[Leaving Date]&gt;42460,Table1[Leaving Date]&lt;42826),IF(Table1[Date of Last Assessment]="",Table1[Physical Health],Table1[Physical Health2]),""))</f>
        <v/>
      </c>
      <c r="GK97" s="44" t="str">
        <f>IF(Table1[Leaving Date]="","",IF(AND(Table1[Leaving Date]&gt;42460,Table1[Leaving Date]&lt;42826),IF(Table1[Date of Last Assessment]="",Table1[Emotional and Mental Health],Table1[Emotional and Mental Health2]),""))</f>
        <v/>
      </c>
      <c r="GL97" s="44" t="str">
        <f>IF(Table1[Leaving Date]="","",IF(AND(Table1[Leaving Date]&gt;42460,Table1[Leaving Date]&lt;42826),IF(Table1[Date of Last Assessment]="",Table1[Meaningful Use of Time],Table1[Meaningful Use of Time2]),""))</f>
        <v/>
      </c>
      <c r="GM97" s="44" t="str">
        <f>IF(Table1[Leaving Date]="","",IF(AND(Table1[Leaving Date]&gt;42460,Table1[Leaving Date]&lt;42826),IF(Table1[Date of Last Assessment]="",Table1[Managing Tenancy and Accommodation],Table1[Managing Tenancy and Accommodation2]),""))</f>
        <v/>
      </c>
      <c r="GN97" s="44" t="str">
        <f>IF(Table1[Leaving Date]="","",IF(AND(Table1[Leaving Date]&gt;42460,Table1[Leaving Date]&lt;42826),IF(Table1[Date of Last Assessment]="",Table1[Offending],Table1[Offending2]),""))</f>
        <v/>
      </c>
    </row>
    <row r="98" spans="2:196" ht="20.100000000000001" customHeight="1" x14ac:dyDescent="0.2">
      <c r="B98" s="86">
        <f>+'Service Data'!$C$5:$C$5</f>
        <v>0</v>
      </c>
      <c r="C98" s="86"/>
      <c r="D98" s="86"/>
      <c r="E98" s="86"/>
      <c r="F98" s="86"/>
      <c r="G98" s="86"/>
      <c r="H98" s="6"/>
      <c r="I98" s="99" t="str">
        <f ca="1">IF(Table1[[#This Row],[Date of Birth]]="","",SUM(TODAY()-Table1[[#This Row],[Date of Birth]])/365)</f>
        <v/>
      </c>
      <c r="L98" s="86"/>
      <c r="M98" s="77"/>
      <c r="N98" s="86"/>
      <c r="O98" s="86"/>
      <c r="P98" s="91"/>
      <c r="Q98" s="86"/>
      <c r="R98" s="77"/>
      <c r="S98" s="77"/>
      <c r="T98" s="68"/>
      <c r="U98" s="68"/>
      <c r="V98" s="67"/>
      <c r="W98" s="67"/>
      <c r="X98" s="67"/>
      <c r="Y98" s="67"/>
      <c r="Z98" s="67"/>
      <c r="AA98" s="67"/>
      <c r="AB98" s="67"/>
      <c r="AC98" s="67"/>
      <c r="AD98" s="67"/>
      <c r="AE98" s="67"/>
      <c r="AF98" s="67"/>
      <c r="AG98" s="67"/>
      <c r="AH98" s="67"/>
      <c r="AI98" s="67"/>
      <c r="AJ98" s="67"/>
      <c r="AK98" s="67"/>
      <c r="AL98" s="67"/>
      <c r="AM98" s="67"/>
      <c r="AN98" s="77"/>
      <c r="AO98" s="76"/>
      <c r="AP98" s="77"/>
      <c r="AQ98" s="76"/>
      <c r="AR98" s="76"/>
      <c r="AS98" s="76"/>
      <c r="AT98" s="76"/>
      <c r="AU98" s="76"/>
      <c r="AV98" s="77"/>
      <c r="AW98" s="76"/>
      <c r="AX98" s="77"/>
      <c r="AY98" s="76"/>
      <c r="AZ98" s="76"/>
      <c r="BA98" s="76"/>
      <c r="BB98" s="76"/>
      <c r="BC98" s="76"/>
      <c r="BD98" s="77"/>
      <c r="BE98" s="76"/>
      <c r="BF98" s="77"/>
      <c r="BG98" s="76"/>
      <c r="BH98" s="76"/>
      <c r="BI98" s="76"/>
      <c r="BJ98" s="76"/>
      <c r="BK98" s="76"/>
      <c r="BL98" s="77"/>
      <c r="BM98" s="76"/>
      <c r="BN98" s="77"/>
      <c r="BO98" s="76"/>
      <c r="BP98" s="76"/>
      <c r="BQ98" s="76"/>
      <c r="BR98" s="76"/>
      <c r="BS98" s="76"/>
      <c r="BT98" s="77"/>
      <c r="BU98" s="76"/>
      <c r="BV98" s="77"/>
      <c r="BW98" s="76"/>
      <c r="BX98" s="76"/>
      <c r="BY98" s="76"/>
      <c r="BZ98" s="76"/>
      <c r="CA98" s="76"/>
      <c r="CB98" s="77"/>
      <c r="CC98" s="76"/>
      <c r="CD98" s="77"/>
      <c r="CE98" s="76"/>
      <c r="CF98" s="76"/>
      <c r="CG98" s="76"/>
      <c r="CH98" s="76"/>
      <c r="CI98" s="76"/>
      <c r="CJ98" s="77"/>
      <c r="CK98" s="76"/>
      <c r="CL98" s="77"/>
      <c r="CM98" s="76"/>
      <c r="CN98" s="76"/>
      <c r="CO98" s="76"/>
      <c r="CP98" s="76"/>
      <c r="CQ98" s="76"/>
      <c r="CR98" s="78" t="str">
        <f t="shared" si="31"/>
        <v/>
      </c>
      <c r="CS98" s="79" t="str">
        <f t="shared" si="32"/>
        <v/>
      </c>
      <c r="CT98" s="79" t="str">
        <f t="shared" si="33"/>
        <v/>
      </c>
      <c r="CU98" s="79" t="str">
        <f t="shared" si="34"/>
        <v/>
      </c>
      <c r="CV98" s="79" t="str">
        <f t="shared" si="35"/>
        <v/>
      </c>
      <c r="CW98" s="79" t="str">
        <f t="shared" si="36"/>
        <v/>
      </c>
      <c r="CX98" s="79" t="str">
        <f t="shared" si="37"/>
        <v/>
      </c>
      <c r="CY98" s="79" t="str">
        <f t="shared" si="38"/>
        <v/>
      </c>
      <c r="CZ98" s="79" t="str">
        <f t="shared" si="39"/>
        <v/>
      </c>
      <c r="DA98" s="79" t="str">
        <f t="shared" si="40"/>
        <v/>
      </c>
      <c r="DB98" s="79" t="str">
        <f t="shared" si="41"/>
        <v/>
      </c>
      <c r="DC98" s="79" t="str">
        <f t="shared" si="42"/>
        <v/>
      </c>
      <c r="DD98" s="79" t="str">
        <f t="shared" si="43"/>
        <v/>
      </c>
      <c r="DE98" s="79" t="str">
        <f t="shared" si="44"/>
        <v/>
      </c>
      <c r="DF98" s="79" t="str">
        <f t="shared" si="45"/>
        <v/>
      </c>
      <c r="DG98" s="79" t="str">
        <f t="shared" si="46"/>
        <v/>
      </c>
      <c r="DH98" s="76"/>
      <c r="DI98" s="78"/>
      <c r="DJ98" s="76"/>
      <c r="DK98" s="77"/>
      <c r="DL98" s="77"/>
      <c r="DM98" s="77"/>
      <c r="DN98" s="80"/>
      <c r="DO98" s="80"/>
      <c r="DP98" s="92" t="str">
        <f>IF(Table1[Start Date]="","",IF(Table1[Start Date]&gt;42185,"",IF(AND(Table1[Leaving Date]&gt;1,Table1[Leaving Date]&lt;42095),"",1)))</f>
        <v/>
      </c>
      <c r="DQ98" s="92" t="str">
        <f>IF(Table1[Start Date]="","",IF(Table1[Start Date]&gt;42277,"",IF(AND(Table1[Leaving Date]&gt;1,Table1[Leaving Date]&lt;42186),"",1)))</f>
        <v/>
      </c>
      <c r="DR98" s="92" t="str">
        <f>IF(Table1[Start Date]="","",IF(Table1[Start Date]&gt;42369,"",IF(AND(Table1[Leaving Date]&gt;1,Table1[Leaving Date]&lt;42278),"",1)))</f>
        <v/>
      </c>
      <c r="DS98" s="92" t="str">
        <f>IF(Table1[Start Date]="","",IF(Table1[Start Date]&gt;42460,"",IF(AND(Table1[Leaving Date]&gt;1,Table1[Leaving Date]&lt;42370),"",1)))</f>
        <v/>
      </c>
      <c r="DT98" s="92" t="str">
        <f>IF(Table1[Start Date]="","",IF(Table1[Start Date]&gt;42551,"",IF(AND(Table1[Leaving Date]&gt;1,Table1[Leaving Date]&lt;42461),"",1)))</f>
        <v/>
      </c>
      <c r="DU98" s="92" t="str">
        <f>IF(Table1[Start Date]="","",IF(Table1[Start Date]&gt;42643,"",IF(AND(Table1[Leaving Date]&gt;1,Table1[Leaving Date]&lt;42552),"",1)))</f>
        <v/>
      </c>
      <c r="DV98" s="92" t="str">
        <f>IF(Table1[Start Date]="","",IF(Table1[Start Date]&gt;42735,"",IF(AND(Table1[Leaving Date]&gt;1,Table1[Leaving Date]&lt;42644),"",1)))</f>
        <v/>
      </c>
      <c r="DW98" s="92" t="str">
        <f>IF(Table1[Start Date]="","",IF(Table1[Start Date]&gt;42825,"",IF(AND(Table1[Leaving Date]&gt;1,Table1[Leaving Date]&lt;42736),"",1)))</f>
        <v/>
      </c>
      <c r="DX98"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98" s="44" t="e">
        <f>VLOOKUP(Table1[Referral Source],Lists!$G$2:$H$20,2,FALSE)</f>
        <v>#N/A</v>
      </c>
      <c r="DZ98" s="93" t="e">
        <f>SUM(Table1[Data Referral Quarter]+Table1[Data Referral Source])</f>
        <v>#N/A</v>
      </c>
      <c r="EA98" s="44" t="b">
        <f>IF(Table1[Referral Decision]="Accepted",100,IF(Table1[Referral Decision]="Rejected by Provider",200,IF(Table1[Referral Decision]="Rejected by Applicant",300)))</f>
        <v>0</v>
      </c>
      <c r="EB98" s="44">
        <f>SUM(Table1[Data Referral Quarter]+Table1[Data Referral Decision])</f>
        <v>0</v>
      </c>
      <c r="EC98" s="44" t="b">
        <f>IF(Table1[Start Date]&gt;42735,8000,IF(Table1[Start Date]&gt;42643,7000,IF(Table1[Start Date]&gt;42551,6000,IF(Table1[Start Date]&gt;42460,5000,IF(Table1[Start Date]&gt;42369,4000,IF(Table1[Start Date]&gt;42277,3000,IF(Table1[Start Date]&gt;42185,2000,IF(Table1[Start Date]&gt;42094,1000))))))))</f>
        <v>0</v>
      </c>
      <c r="ED98" s="44" t="str">
        <f>IF(Table1[Start Date]="","",IF(Table1[Current Local Authority]="Swindon",1,"2"))</f>
        <v/>
      </c>
      <c r="EE98" s="44" t="e">
        <f>SUM(Table1[Data Start Date]+Table1[Data Local Authority])</f>
        <v>#VALUE!</v>
      </c>
      <c r="EF98" s="44">
        <f>IF(Table1[Registered with GP]="Yes",1,0)</f>
        <v>0</v>
      </c>
      <c r="EG98" s="44">
        <f>SUM(Table1[Data Start Date]+Table1[Data GP Start])</f>
        <v>0</v>
      </c>
      <c r="EH98" s="44" t="str">
        <f>IF(Table1[EET]="NEET",1,IF(Table1[EET]="Education",2,IF(Table1[EET]="Employment",2,IF(Table1[EET]="Training",2,IF(Table1[EET]="Retired",3,"")))))</f>
        <v/>
      </c>
      <c r="EI98" s="44" t="e">
        <f>Table1[Data Start Date]+Table1[Data EET Start]</f>
        <v>#VALUE!</v>
      </c>
      <c r="EJ98" s="44" t="b">
        <f>IF(Table1[Leaving Date]&gt;42735,8000,IF(Table1[Leaving Date]&gt;42643,7000,IF(Table1[Leaving Date]&gt;42551,6000,IF(Table1[Leaving Date]&gt;42460,5000,IF(Table1[Leaving Date]&gt;42369,4000,IF(Table1[Leaving Date]&gt;42277,3000,IF(Table1[Leaving Date]&gt;42185,2000,IF(Table1[Leaving Date]&gt;42094,1000))))))))</f>
        <v>0</v>
      </c>
      <c r="EK98" s="44" t="e">
        <f>VLOOKUP(Table1[Reason for Leaving],Lists!$T$2:$U$15,2,FALSE)</f>
        <v>#N/A</v>
      </c>
      <c r="EL98" s="44" t="e">
        <f>SUM(Table1[Data Leavers Date]+Table1[Data Move On])</f>
        <v>#N/A</v>
      </c>
      <c r="EM98" s="44" t="b">
        <f>IF(Table1[Registered with GP2]="Yes",1,IF(Table1[Registered with GP2]="No",0,IF(Table1[Registered with GP]="Yes",1,IF(Table1[Registered with GP]="No",0))))</f>
        <v>0</v>
      </c>
      <c r="EN98" s="44">
        <f>SUM(Table1[Data Leavers Date]+Table1[Data GP End])</f>
        <v>0</v>
      </c>
      <c r="EO98" s="44" t="str">
        <f>IF(Table1[EET2]="NEET",1,IF(Table1[EET2]="Employment",2,IF(Table1[EET2]="Education",2,IF(Table1[EET2]="Training",2,IF(Table1[EET2]="Retired",3,IF(Table1[EET]="NEET",1,IF(Table1[EET]="Employment",2,IF(Table1[EET]="Education",2,IF(Table1[EET]="Training",2,IF(Table1[EET]="Retired",3,""))))))))))</f>
        <v/>
      </c>
      <c r="EP98" s="44" t="e">
        <f>+Table1[[#This Row],[Data Leavers Date]]+Table1[[#This Row],[Data EET End]]</f>
        <v>#VALUE!</v>
      </c>
      <c r="EQ98" s="44">
        <f>IF(Table1[Exit Form Received]="Yes",1,0)</f>
        <v>0</v>
      </c>
      <c r="ER98" s="44">
        <f>+Table1[[#This Row],[Data Leavers Date]]+Table1[[#This Row],[Data Exit Forms]]</f>
        <v>0</v>
      </c>
      <c r="ES98" s="44" t="str">
        <f>IF(Table1[Data Leavers Date]=1000,SUM(Table1[Leaving Date]-Table1[Start Date]),"")</f>
        <v/>
      </c>
      <c r="ET98" s="44" t="str">
        <f>IF(Table1[Data Leavers Date]=2000,SUM(Table1[Leaving Date]-Table1[Start Date]),"")</f>
        <v/>
      </c>
      <c r="EU98" s="44" t="str">
        <f>IF(Table1[Data Leavers Date]=3000,SUM(Table1[Leaving Date]-Table1[Start Date]),"")</f>
        <v/>
      </c>
      <c r="EV98" s="44" t="str">
        <f>IF(Table1[Data Leavers Date]=4000,SUM(Table1[Leaving Date]-Table1[Start Date]),"")</f>
        <v/>
      </c>
      <c r="EW98" s="44" t="str">
        <f>IF(Table1[Data Leavers Date]=5000,SUM(Table1[Leaving Date]-Table1[Start Date]),"")</f>
        <v/>
      </c>
      <c r="EX98" s="44" t="str">
        <f>IF(Table1[Data Leavers Date]=6000,SUM(Table1[Leaving Date]-Table1[Start Date]),"")</f>
        <v/>
      </c>
      <c r="EY98" s="44" t="str">
        <f>IF(Table1[Data Leavers Date]=7000,SUM(Table1[Leaving Date]-Table1[Start Date]),"")</f>
        <v/>
      </c>
      <c r="EZ98" s="44" t="str">
        <f>IF(Table1[Data Leavers Date]=8000,SUM(Table1[Leaving Date]-Table1[Start Date]),"")</f>
        <v/>
      </c>
      <c r="FA98" s="44" t="str">
        <f>IF(Table1[Date of Initial Assessment]="","",IF(AND(Table1[Start Date]&gt;42094,Table1[Start Date]&lt;42461),Table1[Motivation and Taking Responsibility],""))</f>
        <v/>
      </c>
      <c r="FB98" s="44" t="str">
        <f>IF(Table1[Date of Initial Assessment]="","",IF(AND(Table1[Start Date]&gt;42094,Table1[Start Date]&lt;42461),Table1[Self-Care and Living Skills],""))</f>
        <v/>
      </c>
      <c r="FC98" s="44" t="str">
        <f>IF(Table1[Date of Initial Assessment]="","",IF(AND(Table1[Start Date]&gt;42094,Table1[Start Date]&lt;42461),Table1[Managing Money and Personal Administration],""))</f>
        <v/>
      </c>
      <c r="FD98" s="44" t="str">
        <f>IF(Table1[Date of Initial Assessment]="","",IF(AND(Table1[Start Date]&gt;42094,Table1[Start Date]&lt;42461),Table1[Social Networks and Relationships],""))</f>
        <v/>
      </c>
      <c r="FE98" s="44" t="str">
        <f>IF(Table1[Date of Initial Assessment]="","",IF(AND(Table1[Start Date]&gt;42094,Table1[Start Date]&lt;42461),Table1[Drug and Alcohol Misuse],""))</f>
        <v/>
      </c>
      <c r="FF98" s="44" t="str">
        <f>IF(Table1[Date of Initial Assessment]="","",IF(AND(Table1[Start Date]&gt;42094,Table1[Start Date]&lt;42461),Table1[Physical Health],""))</f>
        <v/>
      </c>
      <c r="FG98" s="44" t="str">
        <f>IF(Table1[Date of Initial Assessment]="","",IF(AND(Table1[Start Date]&gt;42094,Table1[Start Date]&lt;42461),Table1[Emotional and Mental Health],""))</f>
        <v/>
      </c>
      <c r="FH98" s="44" t="str">
        <f>IF(Table1[Date of Initial Assessment]="","",IF(AND(Table1[Start Date]&gt;42094,Table1[Start Date]&lt;42461),Table1[Meaningful Use of Time],""))</f>
        <v/>
      </c>
      <c r="FI98" s="44" t="str">
        <f>IF(Table1[Date of Initial Assessment]="","",IF(AND(Table1[Start Date]&gt;42094,Table1[Start Date]&lt;42461),Table1[Managing Tenancy and Accommodation],""))</f>
        <v/>
      </c>
      <c r="FJ98" s="44" t="str">
        <f>IF(Table1[Date of Initial Assessment]="","",IF(AND(Table1[Start Date]&gt;42094,Table1[Start Date]&lt;42461),Table1[Offending],""))</f>
        <v/>
      </c>
      <c r="FK98" s="44" t="str">
        <f>IF(Table1[Leaving Date]="","",IF(Table1[Date of Initial Assessment]="","",IF(AND(Table1[Leaving Date]&gt;42094,Table1[Leaving Date]&lt;42461),IF(Table1[Date of Last Assessment]="",Table1[Motivation and Taking Responsibility],Table1[Motivation and Taking Responsibility2]),"")))</f>
        <v/>
      </c>
      <c r="FL98" s="44" t="str">
        <f>IF(Table1[Leaving Date]="","",IF(Table1[Date of Initial Assessment]="","",IF(AND(Table1[Leaving Date]&gt;42094,Table1[Leaving Date]&lt;42461),IF(Table1[Date of Last Assessment]="",Table1[Self-Care and Living Skills],Table1[Self-Care and Living Skills2]),"")))</f>
        <v/>
      </c>
      <c r="FM98" s="44" t="str">
        <f>IF(Table1[Leaving Date]="","",IF(Table1[Date of Initial Assessment]="","",IF(AND(Table1[Leaving Date]&gt;42094,Table1[Leaving Date]&lt;42461),IF(Table1[Date of Last Assessment]="",Table1[Managing Money and Personal Administration],Table1[Managing Money and Personal Administration2]),"")))</f>
        <v/>
      </c>
      <c r="FN98" s="44" t="str">
        <f>IF(Table1[Leaving Date]="","",IF(Table1[Date of Initial Assessment]="","",IF(AND(Table1[Leaving Date]&gt;42094,Table1[Leaving Date]&lt;42461),IF(Table1[Date of Last Assessment]="",Table1[Social Networks and Relationships],Table1[Social Networks and Relationships2]),"")))</f>
        <v/>
      </c>
      <c r="FO98" s="44" t="str">
        <f>IF(Table1[Leaving Date]="","",IF(Table1[Date of Initial Assessment]="","",IF(AND(Table1[Leaving Date]&gt;42094,Table1[Leaving Date]&lt;42461),IF(Table1[Date of Last Assessment]="",Table1[Drug and Alcohol Misuse],Table1[Drug and Alcohol Misuse2]),"")))</f>
        <v/>
      </c>
      <c r="FP98" s="44" t="str">
        <f>IF(Table1[Leaving Date]="","",IF(Table1[Date of Initial Assessment]="","",IF(AND(Table1[Leaving Date]&gt;42094,Table1[Leaving Date]&lt;42461),IF(Table1[Date of Last Assessment]="",Table1[Physical Health],Table1[Physical Health2]),"")))</f>
        <v/>
      </c>
      <c r="FQ98" s="44" t="str">
        <f>IF(Table1[Leaving Date]="","",IF(Table1[Date of Initial Assessment]="","",IF(AND(Table1[Leaving Date]&gt;42094,Table1[Leaving Date]&lt;42461),IF(Table1[Date of Last Assessment]="",Table1[Emotional and Mental Health],Table1[Emotional and Mental Health2]),"")))</f>
        <v/>
      </c>
      <c r="FR98" s="44" t="str">
        <f>IF(Table1[Leaving Date]="","",IF(Table1[Date of Initial Assessment]="","",IF(AND(Table1[Leaving Date]&gt;42094,Table1[Leaving Date]&lt;42461),IF(Table1[Date of Last Assessment]="",Table1[Meaningful Use of Time],Table1[Meaningful Use of Time2]),"")))</f>
        <v/>
      </c>
      <c r="FS98" s="44" t="str">
        <f>IF(Table1[Leaving Date]="","",IF(Table1[Date of Initial Assessment]="","",IF(AND(Table1[Leaving Date]&gt;42094,Table1[Leaving Date]&lt;42461),IF(Table1[Date of Last Assessment]="",Table1[Managing Tenancy and Accommodation],Table1[Managing Tenancy and Accommodation2]),"")))</f>
        <v/>
      </c>
      <c r="FT98" s="44" t="str">
        <f>IF(Table1[Leaving Date]="","",IF(Table1[Date of Initial Assessment]="","",IF(AND(Table1[Leaving Date]&gt;42094,Table1[Leaving Date]&lt;42461),IF(Table1[Date of Last Assessment]="",Table1[Offending],Table1[Offending2]),"")))</f>
        <v/>
      </c>
      <c r="FU98" s="44" t="str">
        <f>IF(Table1[Date of Initial Assessment]="","",IF(AND(Table1[Start Date]&gt;42460,Table1[Start Date]&lt;42826),Table1[Motivation and Taking Responsibility],""))</f>
        <v/>
      </c>
      <c r="FV98" s="44" t="str">
        <f>IF(Table1[Date of Initial Assessment]="","",IF(AND(Table1[Start Date]&gt;42460,Table1[Start Date]&lt;42826),Table1[Self-Care and Living Skills],""))</f>
        <v/>
      </c>
      <c r="FW98" s="44" t="str">
        <f>IF(Table1[Date of Initial Assessment]="","",IF(AND(Table1[Start Date]&gt;42460,Table1[Start Date]&lt;42826),Table1[Managing Money and Personal Administration],""))</f>
        <v/>
      </c>
      <c r="FX98" s="44" t="str">
        <f>IF(Table1[Date of Initial Assessment]="","",IF(AND(Table1[Start Date]&gt;42460,Table1[Start Date]&lt;42826),Table1[Social Networks and Relationships],""))</f>
        <v/>
      </c>
      <c r="FY98" s="44" t="str">
        <f>IF(Table1[Date of Initial Assessment]="","",IF(AND(Table1[Start Date]&gt;42460,Table1[Start Date]&lt;42826),Table1[Drug and Alcohol Misuse],""))</f>
        <v/>
      </c>
      <c r="FZ98" s="44" t="str">
        <f>IF(Table1[Date of Initial Assessment]="","",IF(AND(Table1[Start Date]&gt;42460,Table1[Start Date]&lt;42826),Table1[Physical Health],""))</f>
        <v/>
      </c>
      <c r="GA98" s="44" t="str">
        <f>IF(Table1[Date of Initial Assessment]="","",IF(AND(Table1[Start Date]&gt;42460,Table1[Start Date]&lt;42826),Table1[Emotional and Mental Health],""))</f>
        <v/>
      </c>
      <c r="GB98" s="44" t="str">
        <f>IF(Table1[Date of Initial Assessment]="","",IF(AND(Table1[Start Date]&gt;42460,Table1[Start Date]&lt;42826),Table1[Meaningful Use of Time],""))</f>
        <v/>
      </c>
      <c r="GC98" s="44" t="str">
        <f>IF(Table1[Date of Initial Assessment]="","",IF(AND(Table1[Start Date]&gt;42460,Table1[Start Date]&lt;42826),Table1[Managing Tenancy and Accommodation],""))</f>
        <v/>
      </c>
      <c r="GD98" s="44" t="str">
        <f>IF(Table1[Date of Initial Assessment]="","",IF(AND(Table1[Start Date]&gt;42460,Table1[Start Date]&lt;42826),Table1[Offending],""))</f>
        <v/>
      </c>
      <c r="GE98" s="44" t="str">
        <f>IF(Table1[Leaving Date]="","",IF(AND(Table1[Leaving Date]&gt;42460,Table1[Leaving Date]&lt;42826),IF(Table1[Date of Last Assessment]="",Table1[Motivation and Taking Responsibility],Table1[Motivation and Taking Responsibility2]),""))</f>
        <v/>
      </c>
      <c r="GF98" s="44" t="str">
        <f>IF(Table1[Leaving Date]="","",IF(AND(Table1[Leaving Date]&gt;42460,Table1[Leaving Date]&lt;42826),IF(Table1[Date of Last Assessment]="",Table1[Self-Care and Living Skills],Table1[Self-Care and Living Skills2]),""))</f>
        <v/>
      </c>
      <c r="GG98" s="44" t="str">
        <f>IF(Table1[Leaving Date]="","",IF(AND(Table1[Leaving Date]&gt;42460,Table1[Leaving Date]&lt;42826),IF(Table1[Date of Last Assessment]="",Table1[Managing Money and Personal Administration],Table1[Managing Money and Personal Administration2]),""))</f>
        <v/>
      </c>
      <c r="GH98" s="44" t="str">
        <f>IF(Table1[Leaving Date]="","",IF(AND(Table1[Leaving Date]&gt;42460,Table1[Leaving Date]&lt;42826),IF(Table1[Date of Last Assessment]="",Table1[Social Networks and Relationships],Table1[Social Networks and Relationships2]),""))</f>
        <v/>
      </c>
      <c r="GI98" s="44" t="str">
        <f>IF(Table1[Leaving Date]="","",IF(AND(Table1[Leaving Date]&gt;42460,Table1[Leaving Date]&lt;42826),IF(Table1[Date of Last Assessment]="",Table1[Drug and Alcohol Misuse],Table1[Drug and Alcohol Misuse2]),""))</f>
        <v/>
      </c>
      <c r="GJ98" s="44" t="str">
        <f>IF(Table1[Leaving Date]="","",IF(AND(Table1[Leaving Date]&gt;42460,Table1[Leaving Date]&lt;42826),IF(Table1[Date of Last Assessment]="",Table1[Physical Health],Table1[Physical Health2]),""))</f>
        <v/>
      </c>
      <c r="GK98" s="44" t="str">
        <f>IF(Table1[Leaving Date]="","",IF(AND(Table1[Leaving Date]&gt;42460,Table1[Leaving Date]&lt;42826),IF(Table1[Date of Last Assessment]="",Table1[Emotional and Mental Health],Table1[Emotional and Mental Health2]),""))</f>
        <v/>
      </c>
      <c r="GL98" s="44" t="str">
        <f>IF(Table1[Leaving Date]="","",IF(AND(Table1[Leaving Date]&gt;42460,Table1[Leaving Date]&lt;42826),IF(Table1[Date of Last Assessment]="",Table1[Meaningful Use of Time],Table1[Meaningful Use of Time2]),""))</f>
        <v/>
      </c>
      <c r="GM98" s="44" t="str">
        <f>IF(Table1[Leaving Date]="","",IF(AND(Table1[Leaving Date]&gt;42460,Table1[Leaving Date]&lt;42826),IF(Table1[Date of Last Assessment]="",Table1[Managing Tenancy and Accommodation],Table1[Managing Tenancy and Accommodation2]),""))</f>
        <v/>
      </c>
      <c r="GN98" s="44" t="str">
        <f>IF(Table1[Leaving Date]="","",IF(AND(Table1[Leaving Date]&gt;42460,Table1[Leaving Date]&lt;42826),IF(Table1[Date of Last Assessment]="",Table1[Offending],Table1[Offending2]),""))</f>
        <v/>
      </c>
    </row>
    <row r="99" spans="2:196" ht="20.100000000000001" customHeight="1" x14ac:dyDescent="0.2">
      <c r="B99" s="86">
        <f>+'Service Data'!$C$5:$C$5</f>
        <v>0</v>
      </c>
      <c r="C99" s="86"/>
      <c r="D99" s="86"/>
      <c r="E99" s="86"/>
      <c r="F99" s="86"/>
      <c r="G99" s="86"/>
      <c r="H99" s="6"/>
      <c r="I99" s="99" t="str">
        <f ca="1">IF(Table1[[#This Row],[Date of Birth]]="","",SUM(TODAY()-Table1[[#This Row],[Date of Birth]])/365)</f>
        <v/>
      </c>
      <c r="L99" s="86"/>
      <c r="M99" s="77"/>
      <c r="N99" s="86"/>
      <c r="O99" s="86"/>
      <c r="P99" s="91"/>
      <c r="Q99" s="86"/>
      <c r="R99" s="77"/>
      <c r="S99" s="77"/>
      <c r="T99" s="68"/>
      <c r="U99" s="68"/>
      <c r="V99" s="67"/>
      <c r="W99" s="67"/>
      <c r="X99" s="67"/>
      <c r="Y99" s="67"/>
      <c r="Z99" s="67"/>
      <c r="AA99" s="67"/>
      <c r="AB99" s="67"/>
      <c r="AC99" s="67"/>
      <c r="AD99" s="67"/>
      <c r="AE99" s="67"/>
      <c r="AF99" s="67"/>
      <c r="AG99" s="67"/>
      <c r="AH99" s="67"/>
      <c r="AI99" s="67"/>
      <c r="AJ99" s="67"/>
      <c r="AK99" s="67"/>
      <c r="AL99" s="67"/>
      <c r="AM99" s="67"/>
      <c r="AN99" s="77"/>
      <c r="AO99" s="76"/>
      <c r="AP99" s="77"/>
      <c r="AQ99" s="76"/>
      <c r="AR99" s="76"/>
      <c r="AS99" s="76"/>
      <c r="AT99" s="76"/>
      <c r="AU99" s="76"/>
      <c r="AV99" s="77"/>
      <c r="AW99" s="76"/>
      <c r="AX99" s="77"/>
      <c r="AY99" s="76"/>
      <c r="AZ99" s="76"/>
      <c r="BA99" s="76"/>
      <c r="BB99" s="76"/>
      <c r="BC99" s="76"/>
      <c r="BD99" s="77"/>
      <c r="BE99" s="76"/>
      <c r="BF99" s="77"/>
      <c r="BG99" s="76"/>
      <c r="BH99" s="76"/>
      <c r="BI99" s="76"/>
      <c r="BJ99" s="76"/>
      <c r="BK99" s="76"/>
      <c r="BL99" s="77"/>
      <c r="BM99" s="76"/>
      <c r="BN99" s="77"/>
      <c r="BO99" s="76"/>
      <c r="BP99" s="76"/>
      <c r="BQ99" s="76"/>
      <c r="BR99" s="76"/>
      <c r="BS99" s="76"/>
      <c r="BT99" s="77"/>
      <c r="BU99" s="76"/>
      <c r="BV99" s="77"/>
      <c r="BW99" s="76"/>
      <c r="BX99" s="76"/>
      <c r="BY99" s="76"/>
      <c r="BZ99" s="76"/>
      <c r="CA99" s="76"/>
      <c r="CB99" s="77"/>
      <c r="CC99" s="76"/>
      <c r="CD99" s="77"/>
      <c r="CE99" s="76"/>
      <c r="CF99" s="76"/>
      <c r="CG99" s="76"/>
      <c r="CH99" s="76"/>
      <c r="CI99" s="76"/>
      <c r="CJ99" s="77"/>
      <c r="CK99" s="76"/>
      <c r="CL99" s="77"/>
      <c r="CM99" s="76"/>
      <c r="CN99" s="76"/>
      <c r="CO99" s="76"/>
      <c r="CP99" s="76"/>
      <c r="CQ99" s="76"/>
      <c r="CR99" s="78" t="str">
        <f t="shared" si="31"/>
        <v/>
      </c>
      <c r="CS99" s="79" t="str">
        <f t="shared" si="32"/>
        <v/>
      </c>
      <c r="CT99" s="79" t="str">
        <f t="shared" si="33"/>
        <v/>
      </c>
      <c r="CU99" s="79" t="str">
        <f t="shared" si="34"/>
        <v/>
      </c>
      <c r="CV99" s="79" t="str">
        <f t="shared" si="35"/>
        <v/>
      </c>
      <c r="CW99" s="79" t="str">
        <f t="shared" si="36"/>
        <v/>
      </c>
      <c r="CX99" s="79" t="str">
        <f t="shared" si="37"/>
        <v/>
      </c>
      <c r="CY99" s="79" t="str">
        <f t="shared" si="38"/>
        <v/>
      </c>
      <c r="CZ99" s="79" t="str">
        <f t="shared" si="39"/>
        <v/>
      </c>
      <c r="DA99" s="79" t="str">
        <f t="shared" si="40"/>
        <v/>
      </c>
      <c r="DB99" s="79" t="str">
        <f t="shared" si="41"/>
        <v/>
      </c>
      <c r="DC99" s="79" t="str">
        <f t="shared" si="42"/>
        <v/>
      </c>
      <c r="DD99" s="79" t="str">
        <f t="shared" si="43"/>
        <v/>
      </c>
      <c r="DE99" s="79" t="str">
        <f t="shared" si="44"/>
        <v/>
      </c>
      <c r="DF99" s="79" t="str">
        <f t="shared" si="45"/>
        <v/>
      </c>
      <c r="DG99" s="79" t="str">
        <f t="shared" si="46"/>
        <v/>
      </c>
      <c r="DH99" s="76"/>
      <c r="DI99" s="78"/>
      <c r="DJ99" s="76"/>
      <c r="DK99" s="77"/>
      <c r="DL99" s="77"/>
      <c r="DM99" s="77"/>
      <c r="DN99" s="80"/>
      <c r="DO99" s="80"/>
      <c r="DP99" s="92" t="str">
        <f>IF(Table1[Start Date]="","",IF(Table1[Start Date]&gt;42185,"",IF(AND(Table1[Leaving Date]&gt;1,Table1[Leaving Date]&lt;42095),"",1)))</f>
        <v/>
      </c>
      <c r="DQ99" s="92" t="str">
        <f>IF(Table1[Start Date]="","",IF(Table1[Start Date]&gt;42277,"",IF(AND(Table1[Leaving Date]&gt;1,Table1[Leaving Date]&lt;42186),"",1)))</f>
        <v/>
      </c>
      <c r="DR99" s="92" t="str">
        <f>IF(Table1[Start Date]="","",IF(Table1[Start Date]&gt;42369,"",IF(AND(Table1[Leaving Date]&gt;1,Table1[Leaving Date]&lt;42278),"",1)))</f>
        <v/>
      </c>
      <c r="DS99" s="92" t="str">
        <f>IF(Table1[Start Date]="","",IF(Table1[Start Date]&gt;42460,"",IF(AND(Table1[Leaving Date]&gt;1,Table1[Leaving Date]&lt;42370),"",1)))</f>
        <v/>
      </c>
      <c r="DT99" s="92" t="str">
        <f>IF(Table1[Start Date]="","",IF(Table1[Start Date]&gt;42551,"",IF(AND(Table1[Leaving Date]&gt;1,Table1[Leaving Date]&lt;42461),"",1)))</f>
        <v/>
      </c>
      <c r="DU99" s="92" t="str">
        <f>IF(Table1[Start Date]="","",IF(Table1[Start Date]&gt;42643,"",IF(AND(Table1[Leaving Date]&gt;1,Table1[Leaving Date]&lt;42552),"",1)))</f>
        <v/>
      </c>
      <c r="DV99" s="92" t="str">
        <f>IF(Table1[Start Date]="","",IF(Table1[Start Date]&gt;42735,"",IF(AND(Table1[Leaving Date]&gt;1,Table1[Leaving Date]&lt;42644),"",1)))</f>
        <v/>
      </c>
      <c r="DW99" s="92" t="str">
        <f>IF(Table1[Start Date]="","",IF(Table1[Start Date]&gt;42825,"",IF(AND(Table1[Leaving Date]&gt;1,Table1[Leaving Date]&lt;42736),"",1)))</f>
        <v/>
      </c>
      <c r="DX99"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99" s="44" t="e">
        <f>VLOOKUP(Table1[Referral Source],Lists!$G$2:$H$20,2,FALSE)</f>
        <v>#N/A</v>
      </c>
      <c r="DZ99" s="93" t="e">
        <f>SUM(Table1[Data Referral Quarter]+Table1[Data Referral Source])</f>
        <v>#N/A</v>
      </c>
      <c r="EA99" s="44" t="b">
        <f>IF(Table1[Referral Decision]="Accepted",100,IF(Table1[Referral Decision]="Rejected by Provider",200,IF(Table1[Referral Decision]="Rejected by Applicant",300)))</f>
        <v>0</v>
      </c>
      <c r="EB99" s="44">
        <f>SUM(Table1[Data Referral Quarter]+Table1[Data Referral Decision])</f>
        <v>0</v>
      </c>
      <c r="EC99" s="44" t="b">
        <f>IF(Table1[Start Date]&gt;42735,8000,IF(Table1[Start Date]&gt;42643,7000,IF(Table1[Start Date]&gt;42551,6000,IF(Table1[Start Date]&gt;42460,5000,IF(Table1[Start Date]&gt;42369,4000,IF(Table1[Start Date]&gt;42277,3000,IF(Table1[Start Date]&gt;42185,2000,IF(Table1[Start Date]&gt;42094,1000))))))))</f>
        <v>0</v>
      </c>
      <c r="ED99" s="44" t="str">
        <f>IF(Table1[Start Date]="","",IF(Table1[Current Local Authority]="Swindon",1,"2"))</f>
        <v/>
      </c>
      <c r="EE99" s="44" t="e">
        <f>SUM(Table1[Data Start Date]+Table1[Data Local Authority])</f>
        <v>#VALUE!</v>
      </c>
      <c r="EF99" s="44">
        <f>IF(Table1[Registered with GP]="Yes",1,0)</f>
        <v>0</v>
      </c>
      <c r="EG99" s="44">
        <f>SUM(Table1[Data Start Date]+Table1[Data GP Start])</f>
        <v>0</v>
      </c>
      <c r="EH99" s="44" t="str">
        <f>IF(Table1[EET]="NEET",1,IF(Table1[EET]="Education",2,IF(Table1[EET]="Employment",2,IF(Table1[EET]="Training",2,IF(Table1[EET]="Retired",3,"")))))</f>
        <v/>
      </c>
      <c r="EI99" s="44" t="e">
        <f>Table1[Data Start Date]+Table1[Data EET Start]</f>
        <v>#VALUE!</v>
      </c>
      <c r="EJ99" s="44" t="b">
        <f>IF(Table1[Leaving Date]&gt;42735,8000,IF(Table1[Leaving Date]&gt;42643,7000,IF(Table1[Leaving Date]&gt;42551,6000,IF(Table1[Leaving Date]&gt;42460,5000,IF(Table1[Leaving Date]&gt;42369,4000,IF(Table1[Leaving Date]&gt;42277,3000,IF(Table1[Leaving Date]&gt;42185,2000,IF(Table1[Leaving Date]&gt;42094,1000))))))))</f>
        <v>0</v>
      </c>
      <c r="EK99" s="44" t="e">
        <f>VLOOKUP(Table1[Reason for Leaving],Lists!$T$2:$U$15,2,FALSE)</f>
        <v>#N/A</v>
      </c>
      <c r="EL99" s="44" t="e">
        <f>SUM(Table1[Data Leavers Date]+Table1[Data Move On])</f>
        <v>#N/A</v>
      </c>
      <c r="EM99" s="44" t="b">
        <f>IF(Table1[Registered with GP2]="Yes",1,IF(Table1[Registered with GP2]="No",0,IF(Table1[Registered with GP]="Yes",1,IF(Table1[Registered with GP]="No",0))))</f>
        <v>0</v>
      </c>
      <c r="EN99" s="44">
        <f>SUM(Table1[Data Leavers Date]+Table1[Data GP End])</f>
        <v>0</v>
      </c>
      <c r="EO99" s="44" t="str">
        <f>IF(Table1[EET2]="NEET",1,IF(Table1[EET2]="Employment",2,IF(Table1[EET2]="Education",2,IF(Table1[EET2]="Training",2,IF(Table1[EET2]="Retired",3,IF(Table1[EET]="NEET",1,IF(Table1[EET]="Employment",2,IF(Table1[EET]="Education",2,IF(Table1[EET]="Training",2,IF(Table1[EET]="Retired",3,""))))))))))</f>
        <v/>
      </c>
      <c r="EP99" s="44" t="e">
        <f>+Table1[[#This Row],[Data Leavers Date]]+Table1[[#This Row],[Data EET End]]</f>
        <v>#VALUE!</v>
      </c>
      <c r="EQ99" s="44">
        <f>IF(Table1[Exit Form Received]="Yes",1,0)</f>
        <v>0</v>
      </c>
      <c r="ER99" s="44">
        <f>+Table1[[#This Row],[Data Leavers Date]]+Table1[[#This Row],[Data Exit Forms]]</f>
        <v>0</v>
      </c>
      <c r="ES99" s="44" t="str">
        <f>IF(Table1[Data Leavers Date]=1000,SUM(Table1[Leaving Date]-Table1[Start Date]),"")</f>
        <v/>
      </c>
      <c r="ET99" s="44" t="str">
        <f>IF(Table1[Data Leavers Date]=2000,SUM(Table1[Leaving Date]-Table1[Start Date]),"")</f>
        <v/>
      </c>
      <c r="EU99" s="44" t="str">
        <f>IF(Table1[Data Leavers Date]=3000,SUM(Table1[Leaving Date]-Table1[Start Date]),"")</f>
        <v/>
      </c>
      <c r="EV99" s="44" t="str">
        <f>IF(Table1[Data Leavers Date]=4000,SUM(Table1[Leaving Date]-Table1[Start Date]),"")</f>
        <v/>
      </c>
      <c r="EW99" s="44" t="str">
        <f>IF(Table1[Data Leavers Date]=5000,SUM(Table1[Leaving Date]-Table1[Start Date]),"")</f>
        <v/>
      </c>
      <c r="EX99" s="44" t="str">
        <f>IF(Table1[Data Leavers Date]=6000,SUM(Table1[Leaving Date]-Table1[Start Date]),"")</f>
        <v/>
      </c>
      <c r="EY99" s="44" t="str">
        <f>IF(Table1[Data Leavers Date]=7000,SUM(Table1[Leaving Date]-Table1[Start Date]),"")</f>
        <v/>
      </c>
      <c r="EZ99" s="44" t="str">
        <f>IF(Table1[Data Leavers Date]=8000,SUM(Table1[Leaving Date]-Table1[Start Date]),"")</f>
        <v/>
      </c>
      <c r="FA99" s="44" t="str">
        <f>IF(Table1[Date of Initial Assessment]="","",IF(AND(Table1[Start Date]&gt;42094,Table1[Start Date]&lt;42461),Table1[Motivation and Taking Responsibility],""))</f>
        <v/>
      </c>
      <c r="FB99" s="44" t="str">
        <f>IF(Table1[Date of Initial Assessment]="","",IF(AND(Table1[Start Date]&gt;42094,Table1[Start Date]&lt;42461),Table1[Self-Care and Living Skills],""))</f>
        <v/>
      </c>
      <c r="FC99" s="44" t="str">
        <f>IF(Table1[Date of Initial Assessment]="","",IF(AND(Table1[Start Date]&gt;42094,Table1[Start Date]&lt;42461),Table1[Managing Money and Personal Administration],""))</f>
        <v/>
      </c>
      <c r="FD99" s="44" t="str">
        <f>IF(Table1[Date of Initial Assessment]="","",IF(AND(Table1[Start Date]&gt;42094,Table1[Start Date]&lt;42461),Table1[Social Networks and Relationships],""))</f>
        <v/>
      </c>
      <c r="FE99" s="44" t="str">
        <f>IF(Table1[Date of Initial Assessment]="","",IF(AND(Table1[Start Date]&gt;42094,Table1[Start Date]&lt;42461),Table1[Drug and Alcohol Misuse],""))</f>
        <v/>
      </c>
      <c r="FF99" s="44" t="str">
        <f>IF(Table1[Date of Initial Assessment]="","",IF(AND(Table1[Start Date]&gt;42094,Table1[Start Date]&lt;42461),Table1[Physical Health],""))</f>
        <v/>
      </c>
      <c r="FG99" s="44" t="str">
        <f>IF(Table1[Date of Initial Assessment]="","",IF(AND(Table1[Start Date]&gt;42094,Table1[Start Date]&lt;42461),Table1[Emotional and Mental Health],""))</f>
        <v/>
      </c>
      <c r="FH99" s="44" t="str">
        <f>IF(Table1[Date of Initial Assessment]="","",IF(AND(Table1[Start Date]&gt;42094,Table1[Start Date]&lt;42461),Table1[Meaningful Use of Time],""))</f>
        <v/>
      </c>
      <c r="FI99" s="44" t="str">
        <f>IF(Table1[Date of Initial Assessment]="","",IF(AND(Table1[Start Date]&gt;42094,Table1[Start Date]&lt;42461),Table1[Managing Tenancy and Accommodation],""))</f>
        <v/>
      </c>
      <c r="FJ99" s="44" t="str">
        <f>IF(Table1[Date of Initial Assessment]="","",IF(AND(Table1[Start Date]&gt;42094,Table1[Start Date]&lt;42461),Table1[Offending],""))</f>
        <v/>
      </c>
      <c r="FK99" s="44" t="str">
        <f>IF(Table1[Leaving Date]="","",IF(Table1[Date of Initial Assessment]="","",IF(AND(Table1[Leaving Date]&gt;42094,Table1[Leaving Date]&lt;42461),IF(Table1[Date of Last Assessment]="",Table1[Motivation and Taking Responsibility],Table1[Motivation and Taking Responsibility2]),"")))</f>
        <v/>
      </c>
      <c r="FL99" s="44" t="str">
        <f>IF(Table1[Leaving Date]="","",IF(Table1[Date of Initial Assessment]="","",IF(AND(Table1[Leaving Date]&gt;42094,Table1[Leaving Date]&lt;42461),IF(Table1[Date of Last Assessment]="",Table1[Self-Care and Living Skills],Table1[Self-Care and Living Skills2]),"")))</f>
        <v/>
      </c>
      <c r="FM99" s="44" t="str">
        <f>IF(Table1[Leaving Date]="","",IF(Table1[Date of Initial Assessment]="","",IF(AND(Table1[Leaving Date]&gt;42094,Table1[Leaving Date]&lt;42461),IF(Table1[Date of Last Assessment]="",Table1[Managing Money and Personal Administration],Table1[Managing Money and Personal Administration2]),"")))</f>
        <v/>
      </c>
      <c r="FN99" s="44" t="str">
        <f>IF(Table1[Leaving Date]="","",IF(Table1[Date of Initial Assessment]="","",IF(AND(Table1[Leaving Date]&gt;42094,Table1[Leaving Date]&lt;42461),IF(Table1[Date of Last Assessment]="",Table1[Social Networks and Relationships],Table1[Social Networks and Relationships2]),"")))</f>
        <v/>
      </c>
      <c r="FO99" s="44" t="str">
        <f>IF(Table1[Leaving Date]="","",IF(Table1[Date of Initial Assessment]="","",IF(AND(Table1[Leaving Date]&gt;42094,Table1[Leaving Date]&lt;42461),IF(Table1[Date of Last Assessment]="",Table1[Drug and Alcohol Misuse],Table1[Drug and Alcohol Misuse2]),"")))</f>
        <v/>
      </c>
      <c r="FP99" s="44" t="str">
        <f>IF(Table1[Leaving Date]="","",IF(Table1[Date of Initial Assessment]="","",IF(AND(Table1[Leaving Date]&gt;42094,Table1[Leaving Date]&lt;42461),IF(Table1[Date of Last Assessment]="",Table1[Physical Health],Table1[Physical Health2]),"")))</f>
        <v/>
      </c>
      <c r="FQ99" s="44" t="str">
        <f>IF(Table1[Leaving Date]="","",IF(Table1[Date of Initial Assessment]="","",IF(AND(Table1[Leaving Date]&gt;42094,Table1[Leaving Date]&lt;42461),IF(Table1[Date of Last Assessment]="",Table1[Emotional and Mental Health],Table1[Emotional and Mental Health2]),"")))</f>
        <v/>
      </c>
      <c r="FR99" s="44" t="str">
        <f>IF(Table1[Leaving Date]="","",IF(Table1[Date of Initial Assessment]="","",IF(AND(Table1[Leaving Date]&gt;42094,Table1[Leaving Date]&lt;42461),IF(Table1[Date of Last Assessment]="",Table1[Meaningful Use of Time],Table1[Meaningful Use of Time2]),"")))</f>
        <v/>
      </c>
      <c r="FS99" s="44" t="str">
        <f>IF(Table1[Leaving Date]="","",IF(Table1[Date of Initial Assessment]="","",IF(AND(Table1[Leaving Date]&gt;42094,Table1[Leaving Date]&lt;42461),IF(Table1[Date of Last Assessment]="",Table1[Managing Tenancy and Accommodation],Table1[Managing Tenancy and Accommodation2]),"")))</f>
        <v/>
      </c>
      <c r="FT99" s="44" t="str">
        <f>IF(Table1[Leaving Date]="","",IF(Table1[Date of Initial Assessment]="","",IF(AND(Table1[Leaving Date]&gt;42094,Table1[Leaving Date]&lt;42461),IF(Table1[Date of Last Assessment]="",Table1[Offending],Table1[Offending2]),"")))</f>
        <v/>
      </c>
      <c r="FU99" s="44" t="str">
        <f>IF(Table1[Date of Initial Assessment]="","",IF(AND(Table1[Start Date]&gt;42460,Table1[Start Date]&lt;42826),Table1[Motivation and Taking Responsibility],""))</f>
        <v/>
      </c>
      <c r="FV99" s="44" t="str">
        <f>IF(Table1[Date of Initial Assessment]="","",IF(AND(Table1[Start Date]&gt;42460,Table1[Start Date]&lt;42826),Table1[Self-Care and Living Skills],""))</f>
        <v/>
      </c>
      <c r="FW99" s="44" t="str">
        <f>IF(Table1[Date of Initial Assessment]="","",IF(AND(Table1[Start Date]&gt;42460,Table1[Start Date]&lt;42826),Table1[Managing Money and Personal Administration],""))</f>
        <v/>
      </c>
      <c r="FX99" s="44" t="str">
        <f>IF(Table1[Date of Initial Assessment]="","",IF(AND(Table1[Start Date]&gt;42460,Table1[Start Date]&lt;42826),Table1[Social Networks and Relationships],""))</f>
        <v/>
      </c>
      <c r="FY99" s="44" t="str">
        <f>IF(Table1[Date of Initial Assessment]="","",IF(AND(Table1[Start Date]&gt;42460,Table1[Start Date]&lt;42826),Table1[Drug and Alcohol Misuse],""))</f>
        <v/>
      </c>
      <c r="FZ99" s="44" t="str">
        <f>IF(Table1[Date of Initial Assessment]="","",IF(AND(Table1[Start Date]&gt;42460,Table1[Start Date]&lt;42826),Table1[Physical Health],""))</f>
        <v/>
      </c>
      <c r="GA99" s="44" t="str">
        <f>IF(Table1[Date of Initial Assessment]="","",IF(AND(Table1[Start Date]&gt;42460,Table1[Start Date]&lt;42826),Table1[Emotional and Mental Health],""))</f>
        <v/>
      </c>
      <c r="GB99" s="44" t="str">
        <f>IF(Table1[Date of Initial Assessment]="","",IF(AND(Table1[Start Date]&gt;42460,Table1[Start Date]&lt;42826),Table1[Meaningful Use of Time],""))</f>
        <v/>
      </c>
      <c r="GC99" s="44" t="str">
        <f>IF(Table1[Date of Initial Assessment]="","",IF(AND(Table1[Start Date]&gt;42460,Table1[Start Date]&lt;42826),Table1[Managing Tenancy and Accommodation],""))</f>
        <v/>
      </c>
      <c r="GD99" s="44" t="str">
        <f>IF(Table1[Date of Initial Assessment]="","",IF(AND(Table1[Start Date]&gt;42460,Table1[Start Date]&lt;42826),Table1[Offending],""))</f>
        <v/>
      </c>
      <c r="GE99" s="44" t="str">
        <f>IF(Table1[Leaving Date]="","",IF(AND(Table1[Leaving Date]&gt;42460,Table1[Leaving Date]&lt;42826),IF(Table1[Date of Last Assessment]="",Table1[Motivation and Taking Responsibility],Table1[Motivation and Taking Responsibility2]),""))</f>
        <v/>
      </c>
      <c r="GF99" s="44" t="str">
        <f>IF(Table1[Leaving Date]="","",IF(AND(Table1[Leaving Date]&gt;42460,Table1[Leaving Date]&lt;42826),IF(Table1[Date of Last Assessment]="",Table1[Self-Care and Living Skills],Table1[Self-Care and Living Skills2]),""))</f>
        <v/>
      </c>
      <c r="GG99" s="44" t="str">
        <f>IF(Table1[Leaving Date]="","",IF(AND(Table1[Leaving Date]&gt;42460,Table1[Leaving Date]&lt;42826),IF(Table1[Date of Last Assessment]="",Table1[Managing Money and Personal Administration],Table1[Managing Money and Personal Administration2]),""))</f>
        <v/>
      </c>
      <c r="GH99" s="44" t="str">
        <f>IF(Table1[Leaving Date]="","",IF(AND(Table1[Leaving Date]&gt;42460,Table1[Leaving Date]&lt;42826),IF(Table1[Date of Last Assessment]="",Table1[Social Networks and Relationships],Table1[Social Networks and Relationships2]),""))</f>
        <v/>
      </c>
      <c r="GI99" s="44" t="str">
        <f>IF(Table1[Leaving Date]="","",IF(AND(Table1[Leaving Date]&gt;42460,Table1[Leaving Date]&lt;42826),IF(Table1[Date of Last Assessment]="",Table1[Drug and Alcohol Misuse],Table1[Drug and Alcohol Misuse2]),""))</f>
        <v/>
      </c>
      <c r="GJ99" s="44" t="str">
        <f>IF(Table1[Leaving Date]="","",IF(AND(Table1[Leaving Date]&gt;42460,Table1[Leaving Date]&lt;42826),IF(Table1[Date of Last Assessment]="",Table1[Physical Health],Table1[Physical Health2]),""))</f>
        <v/>
      </c>
      <c r="GK99" s="44" t="str">
        <f>IF(Table1[Leaving Date]="","",IF(AND(Table1[Leaving Date]&gt;42460,Table1[Leaving Date]&lt;42826),IF(Table1[Date of Last Assessment]="",Table1[Emotional and Mental Health],Table1[Emotional and Mental Health2]),""))</f>
        <v/>
      </c>
      <c r="GL99" s="44" t="str">
        <f>IF(Table1[Leaving Date]="","",IF(AND(Table1[Leaving Date]&gt;42460,Table1[Leaving Date]&lt;42826),IF(Table1[Date of Last Assessment]="",Table1[Meaningful Use of Time],Table1[Meaningful Use of Time2]),""))</f>
        <v/>
      </c>
      <c r="GM99" s="44" t="str">
        <f>IF(Table1[Leaving Date]="","",IF(AND(Table1[Leaving Date]&gt;42460,Table1[Leaving Date]&lt;42826),IF(Table1[Date of Last Assessment]="",Table1[Managing Tenancy and Accommodation],Table1[Managing Tenancy and Accommodation2]),""))</f>
        <v/>
      </c>
      <c r="GN99" s="44" t="str">
        <f>IF(Table1[Leaving Date]="","",IF(AND(Table1[Leaving Date]&gt;42460,Table1[Leaving Date]&lt;42826),IF(Table1[Date of Last Assessment]="",Table1[Offending],Table1[Offending2]),""))</f>
        <v/>
      </c>
    </row>
    <row r="100" spans="2:196" ht="20.100000000000001" customHeight="1" x14ac:dyDescent="0.2">
      <c r="B100" s="86">
        <f>+'Service Data'!$C$5:$C$5</f>
        <v>0</v>
      </c>
      <c r="C100" s="86"/>
      <c r="D100" s="86"/>
      <c r="E100" s="86"/>
      <c r="F100" s="86"/>
      <c r="G100" s="86"/>
      <c r="H100" s="6"/>
      <c r="I100" s="99" t="str">
        <f ca="1">IF(Table1[[#This Row],[Date of Birth]]="","",SUM(TODAY()-Table1[[#This Row],[Date of Birth]])/365)</f>
        <v/>
      </c>
      <c r="L100" s="86"/>
      <c r="M100" s="77"/>
      <c r="N100" s="86"/>
      <c r="O100" s="86"/>
      <c r="P100" s="91"/>
      <c r="Q100" s="86"/>
      <c r="R100" s="77"/>
      <c r="S100" s="77"/>
      <c r="T100" s="68"/>
      <c r="U100" s="68"/>
      <c r="V100" s="67"/>
      <c r="W100" s="67"/>
      <c r="X100" s="67"/>
      <c r="Y100" s="67"/>
      <c r="Z100" s="67"/>
      <c r="AA100" s="67"/>
      <c r="AB100" s="67"/>
      <c r="AC100" s="67"/>
      <c r="AD100" s="67"/>
      <c r="AE100" s="67"/>
      <c r="AF100" s="67"/>
      <c r="AG100" s="67"/>
      <c r="AH100" s="67"/>
      <c r="AI100" s="67"/>
      <c r="AJ100" s="67"/>
      <c r="AK100" s="67"/>
      <c r="AL100" s="67"/>
      <c r="AM100" s="67"/>
      <c r="AN100" s="77"/>
      <c r="AO100" s="76"/>
      <c r="AP100" s="77"/>
      <c r="AQ100" s="76"/>
      <c r="AR100" s="76"/>
      <c r="AS100" s="76"/>
      <c r="AT100" s="76"/>
      <c r="AU100" s="76"/>
      <c r="AV100" s="77"/>
      <c r="AW100" s="76"/>
      <c r="AX100" s="77"/>
      <c r="AY100" s="76"/>
      <c r="AZ100" s="76"/>
      <c r="BA100" s="76"/>
      <c r="BB100" s="76"/>
      <c r="BC100" s="76"/>
      <c r="BD100" s="77"/>
      <c r="BE100" s="76"/>
      <c r="BF100" s="77"/>
      <c r="BG100" s="76"/>
      <c r="BH100" s="76"/>
      <c r="BI100" s="76"/>
      <c r="BJ100" s="76"/>
      <c r="BK100" s="76"/>
      <c r="BL100" s="77"/>
      <c r="BM100" s="76"/>
      <c r="BN100" s="77"/>
      <c r="BO100" s="76"/>
      <c r="BP100" s="76"/>
      <c r="BQ100" s="76"/>
      <c r="BR100" s="76"/>
      <c r="BS100" s="76"/>
      <c r="BT100" s="77"/>
      <c r="BU100" s="76"/>
      <c r="BV100" s="77"/>
      <c r="BW100" s="76"/>
      <c r="BX100" s="76"/>
      <c r="BY100" s="76"/>
      <c r="BZ100" s="76"/>
      <c r="CA100" s="76"/>
      <c r="CB100" s="77"/>
      <c r="CC100" s="76"/>
      <c r="CD100" s="77"/>
      <c r="CE100" s="76"/>
      <c r="CF100" s="76"/>
      <c r="CG100" s="76"/>
      <c r="CH100" s="76"/>
      <c r="CI100" s="76"/>
      <c r="CJ100" s="77"/>
      <c r="CK100" s="76"/>
      <c r="CL100" s="77"/>
      <c r="CM100" s="76"/>
      <c r="CN100" s="76"/>
      <c r="CO100" s="76"/>
      <c r="CP100" s="76"/>
      <c r="CQ100" s="76"/>
      <c r="CR100" s="78" t="str">
        <f t="shared" si="31"/>
        <v/>
      </c>
      <c r="CS100" s="79" t="str">
        <f t="shared" si="32"/>
        <v/>
      </c>
      <c r="CT100" s="79" t="str">
        <f t="shared" si="33"/>
        <v/>
      </c>
      <c r="CU100" s="79" t="str">
        <f t="shared" si="34"/>
        <v/>
      </c>
      <c r="CV100" s="79" t="str">
        <f t="shared" si="35"/>
        <v/>
      </c>
      <c r="CW100" s="79" t="str">
        <f t="shared" si="36"/>
        <v/>
      </c>
      <c r="CX100" s="79" t="str">
        <f t="shared" si="37"/>
        <v/>
      </c>
      <c r="CY100" s="79" t="str">
        <f t="shared" si="38"/>
        <v/>
      </c>
      <c r="CZ100" s="79" t="str">
        <f t="shared" si="39"/>
        <v/>
      </c>
      <c r="DA100" s="79" t="str">
        <f t="shared" si="40"/>
        <v/>
      </c>
      <c r="DB100" s="79" t="str">
        <f t="shared" si="41"/>
        <v/>
      </c>
      <c r="DC100" s="79" t="str">
        <f t="shared" si="42"/>
        <v/>
      </c>
      <c r="DD100" s="79" t="str">
        <f t="shared" si="43"/>
        <v/>
      </c>
      <c r="DE100" s="79" t="str">
        <f t="shared" si="44"/>
        <v/>
      </c>
      <c r="DF100" s="79" t="str">
        <f t="shared" si="45"/>
        <v/>
      </c>
      <c r="DG100" s="79" t="str">
        <f t="shared" si="46"/>
        <v/>
      </c>
      <c r="DH100" s="76"/>
      <c r="DI100" s="78"/>
      <c r="DJ100" s="76"/>
      <c r="DK100" s="77"/>
      <c r="DL100" s="77"/>
      <c r="DM100" s="77"/>
      <c r="DN100" s="80"/>
      <c r="DO100" s="80"/>
      <c r="DP100" s="92" t="str">
        <f>IF(Table1[Start Date]="","",IF(Table1[Start Date]&gt;42185,"",IF(AND(Table1[Leaving Date]&gt;1,Table1[Leaving Date]&lt;42095),"",1)))</f>
        <v/>
      </c>
      <c r="DQ100" s="92" t="str">
        <f>IF(Table1[Start Date]="","",IF(Table1[Start Date]&gt;42277,"",IF(AND(Table1[Leaving Date]&gt;1,Table1[Leaving Date]&lt;42186),"",1)))</f>
        <v/>
      </c>
      <c r="DR100" s="92" t="str">
        <f>IF(Table1[Start Date]="","",IF(Table1[Start Date]&gt;42369,"",IF(AND(Table1[Leaving Date]&gt;1,Table1[Leaving Date]&lt;42278),"",1)))</f>
        <v/>
      </c>
      <c r="DS100" s="92" t="str">
        <f>IF(Table1[Start Date]="","",IF(Table1[Start Date]&gt;42460,"",IF(AND(Table1[Leaving Date]&gt;1,Table1[Leaving Date]&lt;42370),"",1)))</f>
        <v/>
      </c>
      <c r="DT100" s="92" t="str">
        <f>IF(Table1[Start Date]="","",IF(Table1[Start Date]&gt;42551,"",IF(AND(Table1[Leaving Date]&gt;1,Table1[Leaving Date]&lt;42461),"",1)))</f>
        <v/>
      </c>
      <c r="DU100" s="92" t="str">
        <f>IF(Table1[Start Date]="","",IF(Table1[Start Date]&gt;42643,"",IF(AND(Table1[Leaving Date]&gt;1,Table1[Leaving Date]&lt;42552),"",1)))</f>
        <v/>
      </c>
      <c r="DV100" s="92" t="str">
        <f>IF(Table1[Start Date]="","",IF(Table1[Start Date]&gt;42735,"",IF(AND(Table1[Leaving Date]&gt;1,Table1[Leaving Date]&lt;42644),"",1)))</f>
        <v/>
      </c>
      <c r="DW100" s="92" t="str">
        <f>IF(Table1[Start Date]="","",IF(Table1[Start Date]&gt;42825,"",IF(AND(Table1[Leaving Date]&gt;1,Table1[Leaving Date]&lt;42736),"",1)))</f>
        <v/>
      </c>
      <c r="DX100"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100" s="44" t="e">
        <f>VLOOKUP(Table1[Referral Source],Lists!$G$2:$H$20,2,FALSE)</f>
        <v>#N/A</v>
      </c>
      <c r="DZ100" s="93" t="e">
        <f>SUM(Table1[Data Referral Quarter]+Table1[Data Referral Source])</f>
        <v>#N/A</v>
      </c>
      <c r="EA100" s="44" t="b">
        <f>IF(Table1[Referral Decision]="Accepted",100,IF(Table1[Referral Decision]="Rejected by Provider",200,IF(Table1[Referral Decision]="Rejected by Applicant",300)))</f>
        <v>0</v>
      </c>
      <c r="EB100" s="44">
        <f>SUM(Table1[Data Referral Quarter]+Table1[Data Referral Decision])</f>
        <v>0</v>
      </c>
      <c r="EC100" s="44" t="b">
        <f>IF(Table1[Start Date]&gt;42735,8000,IF(Table1[Start Date]&gt;42643,7000,IF(Table1[Start Date]&gt;42551,6000,IF(Table1[Start Date]&gt;42460,5000,IF(Table1[Start Date]&gt;42369,4000,IF(Table1[Start Date]&gt;42277,3000,IF(Table1[Start Date]&gt;42185,2000,IF(Table1[Start Date]&gt;42094,1000))))))))</f>
        <v>0</v>
      </c>
      <c r="ED100" s="44" t="str">
        <f>IF(Table1[Start Date]="","",IF(Table1[Current Local Authority]="Swindon",1,"2"))</f>
        <v/>
      </c>
      <c r="EE100" s="44" t="e">
        <f>SUM(Table1[Data Start Date]+Table1[Data Local Authority])</f>
        <v>#VALUE!</v>
      </c>
      <c r="EF100" s="44">
        <f>IF(Table1[Registered with GP]="Yes",1,0)</f>
        <v>0</v>
      </c>
      <c r="EG100" s="44">
        <f>SUM(Table1[Data Start Date]+Table1[Data GP Start])</f>
        <v>0</v>
      </c>
      <c r="EH100" s="44" t="str">
        <f>IF(Table1[EET]="NEET",1,IF(Table1[EET]="Education",2,IF(Table1[EET]="Employment",2,IF(Table1[EET]="Training",2,IF(Table1[EET]="Retired",3,"")))))</f>
        <v/>
      </c>
      <c r="EI100" s="44" t="e">
        <f>Table1[Data Start Date]+Table1[Data EET Start]</f>
        <v>#VALUE!</v>
      </c>
      <c r="EJ100" s="44" t="b">
        <f>IF(Table1[Leaving Date]&gt;42735,8000,IF(Table1[Leaving Date]&gt;42643,7000,IF(Table1[Leaving Date]&gt;42551,6000,IF(Table1[Leaving Date]&gt;42460,5000,IF(Table1[Leaving Date]&gt;42369,4000,IF(Table1[Leaving Date]&gt;42277,3000,IF(Table1[Leaving Date]&gt;42185,2000,IF(Table1[Leaving Date]&gt;42094,1000))))))))</f>
        <v>0</v>
      </c>
      <c r="EK100" s="44" t="e">
        <f>VLOOKUP(Table1[Reason for Leaving],Lists!$T$2:$U$15,2,FALSE)</f>
        <v>#N/A</v>
      </c>
      <c r="EL100" s="44" t="e">
        <f>SUM(Table1[Data Leavers Date]+Table1[Data Move On])</f>
        <v>#N/A</v>
      </c>
      <c r="EM100" s="44" t="b">
        <f>IF(Table1[Registered with GP2]="Yes",1,IF(Table1[Registered with GP2]="No",0,IF(Table1[Registered with GP]="Yes",1,IF(Table1[Registered with GP]="No",0))))</f>
        <v>0</v>
      </c>
      <c r="EN100" s="44">
        <f>SUM(Table1[Data Leavers Date]+Table1[Data GP End])</f>
        <v>0</v>
      </c>
      <c r="EO100" s="44" t="str">
        <f>IF(Table1[EET2]="NEET",1,IF(Table1[EET2]="Employment",2,IF(Table1[EET2]="Education",2,IF(Table1[EET2]="Training",2,IF(Table1[EET2]="Retired",3,IF(Table1[EET]="NEET",1,IF(Table1[EET]="Employment",2,IF(Table1[EET]="Education",2,IF(Table1[EET]="Training",2,IF(Table1[EET]="Retired",3,""))))))))))</f>
        <v/>
      </c>
      <c r="EP100" s="44" t="e">
        <f>+Table1[[#This Row],[Data Leavers Date]]+Table1[[#This Row],[Data EET End]]</f>
        <v>#VALUE!</v>
      </c>
      <c r="EQ100" s="44">
        <f>IF(Table1[Exit Form Received]="Yes",1,0)</f>
        <v>0</v>
      </c>
      <c r="ER100" s="44">
        <f>+Table1[[#This Row],[Data Leavers Date]]+Table1[[#This Row],[Data Exit Forms]]</f>
        <v>0</v>
      </c>
      <c r="ES100" s="44" t="str">
        <f>IF(Table1[Data Leavers Date]=1000,SUM(Table1[Leaving Date]-Table1[Start Date]),"")</f>
        <v/>
      </c>
      <c r="ET100" s="44" t="str">
        <f>IF(Table1[Data Leavers Date]=2000,SUM(Table1[Leaving Date]-Table1[Start Date]),"")</f>
        <v/>
      </c>
      <c r="EU100" s="44" t="str">
        <f>IF(Table1[Data Leavers Date]=3000,SUM(Table1[Leaving Date]-Table1[Start Date]),"")</f>
        <v/>
      </c>
      <c r="EV100" s="44" t="str">
        <f>IF(Table1[Data Leavers Date]=4000,SUM(Table1[Leaving Date]-Table1[Start Date]),"")</f>
        <v/>
      </c>
      <c r="EW100" s="44" t="str">
        <f>IF(Table1[Data Leavers Date]=5000,SUM(Table1[Leaving Date]-Table1[Start Date]),"")</f>
        <v/>
      </c>
      <c r="EX100" s="44" t="str">
        <f>IF(Table1[Data Leavers Date]=6000,SUM(Table1[Leaving Date]-Table1[Start Date]),"")</f>
        <v/>
      </c>
      <c r="EY100" s="44" t="str">
        <f>IF(Table1[Data Leavers Date]=7000,SUM(Table1[Leaving Date]-Table1[Start Date]),"")</f>
        <v/>
      </c>
      <c r="EZ100" s="44" t="str">
        <f>IF(Table1[Data Leavers Date]=8000,SUM(Table1[Leaving Date]-Table1[Start Date]),"")</f>
        <v/>
      </c>
      <c r="FA100" s="44" t="str">
        <f>IF(Table1[Date of Initial Assessment]="","",IF(AND(Table1[Start Date]&gt;42094,Table1[Start Date]&lt;42461),Table1[Motivation and Taking Responsibility],""))</f>
        <v/>
      </c>
      <c r="FB100" s="44" t="str">
        <f>IF(Table1[Date of Initial Assessment]="","",IF(AND(Table1[Start Date]&gt;42094,Table1[Start Date]&lt;42461),Table1[Self-Care and Living Skills],""))</f>
        <v/>
      </c>
      <c r="FC100" s="44" t="str">
        <f>IF(Table1[Date of Initial Assessment]="","",IF(AND(Table1[Start Date]&gt;42094,Table1[Start Date]&lt;42461),Table1[Managing Money and Personal Administration],""))</f>
        <v/>
      </c>
      <c r="FD100" s="44" t="str">
        <f>IF(Table1[Date of Initial Assessment]="","",IF(AND(Table1[Start Date]&gt;42094,Table1[Start Date]&lt;42461),Table1[Social Networks and Relationships],""))</f>
        <v/>
      </c>
      <c r="FE100" s="44" t="str">
        <f>IF(Table1[Date of Initial Assessment]="","",IF(AND(Table1[Start Date]&gt;42094,Table1[Start Date]&lt;42461),Table1[Drug and Alcohol Misuse],""))</f>
        <v/>
      </c>
      <c r="FF100" s="44" t="str">
        <f>IF(Table1[Date of Initial Assessment]="","",IF(AND(Table1[Start Date]&gt;42094,Table1[Start Date]&lt;42461),Table1[Physical Health],""))</f>
        <v/>
      </c>
      <c r="FG100" s="44" t="str">
        <f>IF(Table1[Date of Initial Assessment]="","",IF(AND(Table1[Start Date]&gt;42094,Table1[Start Date]&lt;42461),Table1[Emotional and Mental Health],""))</f>
        <v/>
      </c>
      <c r="FH100" s="44" t="str">
        <f>IF(Table1[Date of Initial Assessment]="","",IF(AND(Table1[Start Date]&gt;42094,Table1[Start Date]&lt;42461),Table1[Meaningful Use of Time],""))</f>
        <v/>
      </c>
      <c r="FI100" s="44" t="str">
        <f>IF(Table1[Date of Initial Assessment]="","",IF(AND(Table1[Start Date]&gt;42094,Table1[Start Date]&lt;42461),Table1[Managing Tenancy and Accommodation],""))</f>
        <v/>
      </c>
      <c r="FJ100" s="44" t="str">
        <f>IF(Table1[Date of Initial Assessment]="","",IF(AND(Table1[Start Date]&gt;42094,Table1[Start Date]&lt;42461),Table1[Offending],""))</f>
        <v/>
      </c>
      <c r="FK100" s="44" t="str">
        <f>IF(Table1[Leaving Date]="","",IF(Table1[Date of Initial Assessment]="","",IF(AND(Table1[Leaving Date]&gt;42094,Table1[Leaving Date]&lt;42461),IF(Table1[Date of Last Assessment]="",Table1[Motivation and Taking Responsibility],Table1[Motivation and Taking Responsibility2]),"")))</f>
        <v/>
      </c>
      <c r="FL100" s="44" t="str">
        <f>IF(Table1[Leaving Date]="","",IF(Table1[Date of Initial Assessment]="","",IF(AND(Table1[Leaving Date]&gt;42094,Table1[Leaving Date]&lt;42461),IF(Table1[Date of Last Assessment]="",Table1[Self-Care and Living Skills],Table1[Self-Care and Living Skills2]),"")))</f>
        <v/>
      </c>
      <c r="FM100" s="44" t="str">
        <f>IF(Table1[Leaving Date]="","",IF(Table1[Date of Initial Assessment]="","",IF(AND(Table1[Leaving Date]&gt;42094,Table1[Leaving Date]&lt;42461),IF(Table1[Date of Last Assessment]="",Table1[Managing Money and Personal Administration],Table1[Managing Money and Personal Administration2]),"")))</f>
        <v/>
      </c>
      <c r="FN100" s="44" t="str">
        <f>IF(Table1[Leaving Date]="","",IF(Table1[Date of Initial Assessment]="","",IF(AND(Table1[Leaving Date]&gt;42094,Table1[Leaving Date]&lt;42461),IF(Table1[Date of Last Assessment]="",Table1[Social Networks and Relationships],Table1[Social Networks and Relationships2]),"")))</f>
        <v/>
      </c>
      <c r="FO100" s="44" t="str">
        <f>IF(Table1[Leaving Date]="","",IF(Table1[Date of Initial Assessment]="","",IF(AND(Table1[Leaving Date]&gt;42094,Table1[Leaving Date]&lt;42461),IF(Table1[Date of Last Assessment]="",Table1[Drug and Alcohol Misuse],Table1[Drug and Alcohol Misuse2]),"")))</f>
        <v/>
      </c>
      <c r="FP100" s="44" t="str">
        <f>IF(Table1[Leaving Date]="","",IF(Table1[Date of Initial Assessment]="","",IF(AND(Table1[Leaving Date]&gt;42094,Table1[Leaving Date]&lt;42461),IF(Table1[Date of Last Assessment]="",Table1[Physical Health],Table1[Physical Health2]),"")))</f>
        <v/>
      </c>
      <c r="FQ100" s="44" t="str">
        <f>IF(Table1[Leaving Date]="","",IF(Table1[Date of Initial Assessment]="","",IF(AND(Table1[Leaving Date]&gt;42094,Table1[Leaving Date]&lt;42461),IF(Table1[Date of Last Assessment]="",Table1[Emotional and Mental Health],Table1[Emotional and Mental Health2]),"")))</f>
        <v/>
      </c>
      <c r="FR100" s="44" t="str">
        <f>IF(Table1[Leaving Date]="","",IF(Table1[Date of Initial Assessment]="","",IF(AND(Table1[Leaving Date]&gt;42094,Table1[Leaving Date]&lt;42461),IF(Table1[Date of Last Assessment]="",Table1[Meaningful Use of Time],Table1[Meaningful Use of Time2]),"")))</f>
        <v/>
      </c>
      <c r="FS100" s="44" t="str">
        <f>IF(Table1[Leaving Date]="","",IF(Table1[Date of Initial Assessment]="","",IF(AND(Table1[Leaving Date]&gt;42094,Table1[Leaving Date]&lt;42461),IF(Table1[Date of Last Assessment]="",Table1[Managing Tenancy and Accommodation],Table1[Managing Tenancy and Accommodation2]),"")))</f>
        <v/>
      </c>
      <c r="FT100" s="44" t="str">
        <f>IF(Table1[Leaving Date]="","",IF(Table1[Date of Initial Assessment]="","",IF(AND(Table1[Leaving Date]&gt;42094,Table1[Leaving Date]&lt;42461),IF(Table1[Date of Last Assessment]="",Table1[Offending],Table1[Offending2]),"")))</f>
        <v/>
      </c>
      <c r="FU100" s="44" t="str">
        <f>IF(Table1[Date of Initial Assessment]="","",IF(AND(Table1[Start Date]&gt;42460,Table1[Start Date]&lt;42826),Table1[Motivation and Taking Responsibility],""))</f>
        <v/>
      </c>
      <c r="FV100" s="44" t="str">
        <f>IF(Table1[Date of Initial Assessment]="","",IF(AND(Table1[Start Date]&gt;42460,Table1[Start Date]&lt;42826),Table1[Self-Care and Living Skills],""))</f>
        <v/>
      </c>
      <c r="FW100" s="44" t="str">
        <f>IF(Table1[Date of Initial Assessment]="","",IF(AND(Table1[Start Date]&gt;42460,Table1[Start Date]&lt;42826),Table1[Managing Money and Personal Administration],""))</f>
        <v/>
      </c>
      <c r="FX100" s="44" t="str">
        <f>IF(Table1[Date of Initial Assessment]="","",IF(AND(Table1[Start Date]&gt;42460,Table1[Start Date]&lt;42826),Table1[Social Networks and Relationships],""))</f>
        <v/>
      </c>
      <c r="FY100" s="44" t="str">
        <f>IF(Table1[Date of Initial Assessment]="","",IF(AND(Table1[Start Date]&gt;42460,Table1[Start Date]&lt;42826),Table1[Drug and Alcohol Misuse],""))</f>
        <v/>
      </c>
      <c r="FZ100" s="44" t="str">
        <f>IF(Table1[Date of Initial Assessment]="","",IF(AND(Table1[Start Date]&gt;42460,Table1[Start Date]&lt;42826),Table1[Physical Health],""))</f>
        <v/>
      </c>
      <c r="GA100" s="44" t="str">
        <f>IF(Table1[Date of Initial Assessment]="","",IF(AND(Table1[Start Date]&gt;42460,Table1[Start Date]&lt;42826),Table1[Emotional and Mental Health],""))</f>
        <v/>
      </c>
      <c r="GB100" s="44" t="str">
        <f>IF(Table1[Date of Initial Assessment]="","",IF(AND(Table1[Start Date]&gt;42460,Table1[Start Date]&lt;42826),Table1[Meaningful Use of Time],""))</f>
        <v/>
      </c>
      <c r="GC100" s="44" t="str">
        <f>IF(Table1[Date of Initial Assessment]="","",IF(AND(Table1[Start Date]&gt;42460,Table1[Start Date]&lt;42826),Table1[Managing Tenancy and Accommodation],""))</f>
        <v/>
      </c>
      <c r="GD100" s="44" t="str">
        <f>IF(Table1[Date of Initial Assessment]="","",IF(AND(Table1[Start Date]&gt;42460,Table1[Start Date]&lt;42826),Table1[Offending],""))</f>
        <v/>
      </c>
      <c r="GE100" s="44" t="str">
        <f>IF(Table1[Leaving Date]="","",IF(AND(Table1[Leaving Date]&gt;42460,Table1[Leaving Date]&lt;42826),IF(Table1[Date of Last Assessment]="",Table1[Motivation and Taking Responsibility],Table1[Motivation and Taking Responsibility2]),""))</f>
        <v/>
      </c>
      <c r="GF100" s="44" t="str">
        <f>IF(Table1[Leaving Date]="","",IF(AND(Table1[Leaving Date]&gt;42460,Table1[Leaving Date]&lt;42826),IF(Table1[Date of Last Assessment]="",Table1[Self-Care and Living Skills],Table1[Self-Care and Living Skills2]),""))</f>
        <v/>
      </c>
      <c r="GG100" s="44" t="str">
        <f>IF(Table1[Leaving Date]="","",IF(AND(Table1[Leaving Date]&gt;42460,Table1[Leaving Date]&lt;42826),IF(Table1[Date of Last Assessment]="",Table1[Managing Money and Personal Administration],Table1[Managing Money and Personal Administration2]),""))</f>
        <v/>
      </c>
      <c r="GH100" s="44" t="str">
        <f>IF(Table1[Leaving Date]="","",IF(AND(Table1[Leaving Date]&gt;42460,Table1[Leaving Date]&lt;42826),IF(Table1[Date of Last Assessment]="",Table1[Social Networks and Relationships],Table1[Social Networks and Relationships2]),""))</f>
        <v/>
      </c>
      <c r="GI100" s="44" t="str">
        <f>IF(Table1[Leaving Date]="","",IF(AND(Table1[Leaving Date]&gt;42460,Table1[Leaving Date]&lt;42826),IF(Table1[Date of Last Assessment]="",Table1[Drug and Alcohol Misuse],Table1[Drug and Alcohol Misuse2]),""))</f>
        <v/>
      </c>
      <c r="GJ100" s="44" t="str">
        <f>IF(Table1[Leaving Date]="","",IF(AND(Table1[Leaving Date]&gt;42460,Table1[Leaving Date]&lt;42826),IF(Table1[Date of Last Assessment]="",Table1[Physical Health],Table1[Physical Health2]),""))</f>
        <v/>
      </c>
      <c r="GK100" s="44" t="str">
        <f>IF(Table1[Leaving Date]="","",IF(AND(Table1[Leaving Date]&gt;42460,Table1[Leaving Date]&lt;42826),IF(Table1[Date of Last Assessment]="",Table1[Emotional and Mental Health],Table1[Emotional and Mental Health2]),""))</f>
        <v/>
      </c>
      <c r="GL100" s="44" t="str">
        <f>IF(Table1[Leaving Date]="","",IF(AND(Table1[Leaving Date]&gt;42460,Table1[Leaving Date]&lt;42826),IF(Table1[Date of Last Assessment]="",Table1[Meaningful Use of Time],Table1[Meaningful Use of Time2]),""))</f>
        <v/>
      </c>
      <c r="GM100" s="44" t="str">
        <f>IF(Table1[Leaving Date]="","",IF(AND(Table1[Leaving Date]&gt;42460,Table1[Leaving Date]&lt;42826),IF(Table1[Date of Last Assessment]="",Table1[Managing Tenancy and Accommodation],Table1[Managing Tenancy and Accommodation2]),""))</f>
        <v/>
      </c>
      <c r="GN100" s="44" t="str">
        <f>IF(Table1[Leaving Date]="","",IF(AND(Table1[Leaving Date]&gt;42460,Table1[Leaving Date]&lt;42826),IF(Table1[Date of Last Assessment]="",Table1[Offending],Table1[Offending2]),""))</f>
        <v/>
      </c>
    </row>
    <row r="101" spans="2:196" ht="20.100000000000001" customHeight="1" x14ac:dyDescent="0.2">
      <c r="B101" s="86">
        <f>+'Service Data'!$C$5:$C$5</f>
        <v>0</v>
      </c>
      <c r="C101" s="86"/>
      <c r="D101" s="86"/>
      <c r="E101" s="86"/>
      <c r="F101" s="86"/>
      <c r="G101" s="86"/>
      <c r="H101" s="6"/>
      <c r="I101" s="99" t="str">
        <f ca="1">IF(Table1[[#This Row],[Date of Birth]]="","",SUM(TODAY()-Table1[[#This Row],[Date of Birth]])/365)</f>
        <v/>
      </c>
      <c r="L101" s="86"/>
      <c r="M101" s="77"/>
      <c r="N101" s="86"/>
      <c r="O101" s="86"/>
      <c r="P101" s="91"/>
      <c r="Q101" s="86"/>
      <c r="R101" s="77"/>
      <c r="S101" s="77"/>
      <c r="T101" s="68"/>
      <c r="U101" s="68"/>
      <c r="V101" s="67"/>
      <c r="W101" s="67"/>
      <c r="X101" s="67"/>
      <c r="Y101" s="67"/>
      <c r="Z101" s="67"/>
      <c r="AA101" s="67"/>
      <c r="AB101" s="67"/>
      <c r="AC101" s="67"/>
      <c r="AD101" s="67"/>
      <c r="AE101" s="67"/>
      <c r="AF101" s="67"/>
      <c r="AG101" s="67"/>
      <c r="AH101" s="67"/>
      <c r="AI101" s="67"/>
      <c r="AJ101" s="67"/>
      <c r="AK101" s="67"/>
      <c r="AL101" s="67"/>
      <c r="AM101" s="67"/>
      <c r="AN101" s="77"/>
      <c r="AO101" s="76"/>
      <c r="AP101" s="77"/>
      <c r="AQ101" s="76"/>
      <c r="AR101" s="76"/>
      <c r="AS101" s="76"/>
      <c r="AT101" s="76"/>
      <c r="AU101" s="76"/>
      <c r="AV101" s="77"/>
      <c r="AW101" s="76"/>
      <c r="AX101" s="77"/>
      <c r="AY101" s="76"/>
      <c r="AZ101" s="76"/>
      <c r="BA101" s="76"/>
      <c r="BB101" s="76"/>
      <c r="BC101" s="76"/>
      <c r="BD101" s="77"/>
      <c r="BE101" s="76"/>
      <c r="BF101" s="77"/>
      <c r="BG101" s="76"/>
      <c r="BH101" s="76"/>
      <c r="BI101" s="76"/>
      <c r="BJ101" s="76"/>
      <c r="BK101" s="76"/>
      <c r="BL101" s="77"/>
      <c r="BM101" s="76"/>
      <c r="BN101" s="77"/>
      <c r="BO101" s="76"/>
      <c r="BP101" s="76"/>
      <c r="BQ101" s="76"/>
      <c r="BR101" s="76"/>
      <c r="BS101" s="76"/>
      <c r="BT101" s="77"/>
      <c r="BU101" s="76"/>
      <c r="BV101" s="77"/>
      <c r="BW101" s="76"/>
      <c r="BX101" s="76"/>
      <c r="BY101" s="76"/>
      <c r="BZ101" s="76"/>
      <c r="CA101" s="76"/>
      <c r="CB101" s="77"/>
      <c r="CC101" s="76"/>
      <c r="CD101" s="77"/>
      <c r="CE101" s="76"/>
      <c r="CF101" s="76"/>
      <c r="CG101" s="76"/>
      <c r="CH101" s="76"/>
      <c r="CI101" s="76"/>
      <c r="CJ101" s="77"/>
      <c r="CK101" s="76"/>
      <c r="CL101" s="77"/>
      <c r="CM101" s="76"/>
      <c r="CN101" s="76"/>
      <c r="CO101" s="76"/>
      <c r="CP101" s="76"/>
      <c r="CQ101" s="76"/>
      <c r="CR101" s="78" t="str">
        <f t="shared" si="31"/>
        <v/>
      </c>
      <c r="CS101" s="79" t="str">
        <f t="shared" si="32"/>
        <v/>
      </c>
      <c r="CT101" s="79" t="str">
        <f t="shared" si="33"/>
        <v/>
      </c>
      <c r="CU101" s="79" t="str">
        <f t="shared" si="34"/>
        <v/>
      </c>
      <c r="CV101" s="79" t="str">
        <f t="shared" si="35"/>
        <v/>
      </c>
      <c r="CW101" s="79" t="str">
        <f t="shared" si="36"/>
        <v/>
      </c>
      <c r="CX101" s="79" t="str">
        <f t="shared" si="37"/>
        <v/>
      </c>
      <c r="CY101" s="79" t="str">
        <f t="shared" si="38"/>
        <v/>
      </c>
      <c r="CZ101" s="79" t="str">
        <f t="shared" si="39"/>
        <v/>
      </c>
      <c r="DA101" s="79" t="str">
        <f t="shared" si="40"/>
        <v/>
      </c>
      <c r="DB101" s="79" t="str">
        <f t="shared" si="41"/>
        <v/>
      </c>
      <c r="DC101" s="79" t="str">
        <f t="shared" si="42"/>
        <v/>
      </c>
      <c r="DD101" s="79" t="str">
        <f t="shared" si="43"/>
        <v/>
      </c>
      <c r="DE101" s="79" t="str">
        <f t="shared" si="44"/>
        <v/>
      </c>
      <c r="DF101" s="79" t="str">
        <f t="shared" si="45"/>
        <v/>
      </c>
      <c r="DG101" s="79" t="str">
        <f t="shared" si="46"/>
        <v/>
      </c>
      <c r="DH101" s="76"/>
      <c r="DI101" s="78"/>
      <c r="DJ101" s="76"/>
      <c r="DK101" s="77"/>
      <c r="DL101" s="77"/>
      <c r="DM101" s="77"/>
      <c r="DN101" s="80"/>
      <c r="DO101" s="80"/>
      <c r="DP101" s="92" t="str">
        <f>IF(Table1[Start Date]="","",IF(Table1[Start Date]&gt;42185,"",IF(AND(Table1[Leaving Date]&gt;1,Table1[Leaving Date]&lt;42095),"",1)))</f>
        <v/>
      </c>
      <c r="DQ101" s="92" t="str">
        <f>IF(Table1[Start Date]="","",IF(Table1[Start Date]&gt;42277,"",IF(AND(Table1[Leaving Date]&gt;1,Table1[Leaving Date]&lt;42186),"",1)))</f>
        <v/>
      </c>
      <c r="DR101" s="92" t="str">
        <f>IF(Table1[Start Date]="","",IF(Table1[Start Date]&gt;42369,"",IF(AND(Table1[Leaving Date]&gt;1,Table1[Leaving Date]&lt;42278),"",1)))</f>
        <v/>
      </c>
      <c r="DS101" s="92" t="str">
        <f>IF(Table1[Start Date]="","",IF(Table1[Start Date]&gt;42460,"",IF(AND(Table1[Leaving Date]&gt;1,Table1[Leaving Date]&lt;42370),"",1)))</f>
        <v/>
      </c>
      <c r="DT101" s="92" t="str">
        <f>IF(Table1[Start Date]="","",IF(Table1[Start Date]&gt;42551,"",IF(AND(Table1[Leaving Date]&gt;1,Table1[Leaving Date]&lt;42461),"",1)))</f>
        <v/>
      </c>
      <c r="DU101" s="92" t="str">
        <f>IF(Table1[Start Date]="","",IF(Table1[Start Date]&gt;42643,"",IF(AND(Table1[Leaving Date]&gt;1,Table1[Leaving Date]&lt;42552),"",1)))</f>
        <v/>
      </c>
      <c r="DV101" s="92" t="str">
        <f>IF(Table1[Start Date]="","",IF(Table1[Start Date]&gt;42735,"",IF(AND(Table1[Leaving Date]&gt;1,Table1[Leaving Date]&lt;42644),"",1)))</f>
        <v/>
      </c>
      <c r="DW101" s="92" t="str">
        <f>IF(Table1[Start Date]="","",IF(Table1[Start Date]&gt;42825,"",IF(AND(Table1[Leaving Date]&gt;1,Table1[Leaving Date]&lt;42736),"",1)))</f>
        <v/>
      </c>
      <c r="DX101"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101" s="44" t="e">
        <f>VLOOKUP(Table1[Referral Source],Lists!$G$2:$H$20,2,FALSE)</f>
        <v>#N/A</v>
      </c>
      <c r="DZ101" s="93" t="e">
        <f>SUM(Table1[Data Referral Quarter]+Table1[Data Referral Source])</f>
        <v>#N/A</v>
      </c>
      <c r="EA101" s="44" t="b">
        <f>IF(Table1[Referral Decision]="Accepted",100,IF(Table1[Referral Decision]="Rejected by Provider",200,IF(Table1[Referral Decision]="Rejected by Applicant",300)))</f>
        <v>0</v>
      </c>
      <c r="EB101" s="44">
        <f>SUM(Table1[Data Referral Quarter]+Table1[Data Referral Decision])</f>
        <v>0</v>
      </c>
      <c r="EC101" s="44" t="b">
        <f>IF(Table1[Start Date]&gt;42735,8000,IF(Table1[Start Date]&gt;42643,7000,IF(Table1[Start Date]&gt;42551,6000,IF(Table1[Start Date]&gt;42460,5000,IF(Table1[Start Date]&gt;42369,4000,IF(Table1[Start Date]&gt;42277,3000,IF(Table1[Start Date]&gt;42185,2000,IF(Table1[Start Date]&gt;42094,1000))))))))</f>
        <v>0</v>
      </c>
      <c r="ED101" s="44" t="str">
        <f>IF(Table1[Start Date]="","",IF(Table1[Current Local Authority]="Swindon",1,"2"))</f>
        <v/>
      </c>
      <c r="EE101" s="44" t="e">
        <f>SUM(Table1[Data Start Date]+Table1[Data Local Authority])</f>
        <v>#VALUE!</v>
      </c>
      <c r="EF101" s="44">
        <f>IF(Table1[Registered with GP]="Yes",1,0)</f>
        <v>0</v>
      </c>
      <c r="EG101" s="44">
        <f>SUM(Table1[Data Start Date]+Table1[Data GP Start])</f>
        <v>0</v>
      </c>
      <c r="EH101" s="44" t="str">
        <f>IF(Table1[EET]="NEET",1,IF(Table1[EET]="Education",2,IF(Table1[EET]="Employment",2,IF(Table1[EET]="Training",2,IF(Table1[EET]="Retired",3,"")))))</f>
        <v/>
      </c>
      <c r="EI101" s="44" t="e">
        <f>Table1[Data Start Date]+Table1[Data EET Start]</f>
        <v>#VALUE!</v>
      </c>
      <c r="EJ101" s="44" t="b">
        <f>IF(Table1[Leaving Date]&gt;42735,8000,IF(Table1[Leaving Date]&gt;42643,7000,IF(Table1[Leaving Date]&gt;42551,6000,IF(Table1[Leaving Date]&gt;42460,5000,IF(Table1[Leaving Date]&gt;42369,4000,IF(Table1[Leaving Date]&gt;42277,3000,IF(Table1[Leaving Date]&gt;42185,2000,IF(Table1[Leaving Date]&gt;42094,1000))))))))</f>
        <v>0</v>
      </c>
      <c r="EK101" s="44" t="e">
        <f>VLOOKUP(Table1[Reason for Leaving],Lists!$T$2:$U$15,2,FALSE)</f>
        <v>#N/A</v>
      </c>
      <c r="EL101" s="44" t="e">
        <f>SUM(Table1[Data Leavers Date]+Table1[Data Move On])</f>
        <v>#N/A</v>
      </c>
      <c r="EM101" s="44" t="b">
        <f>IF(Table1[Registered with GP2]="Yes",1,IF(Table1[Registered with GP2]="No",0,IF(Table1[Registered with GP]="Yes",1,IF(Table1[Registered with GP]="No",0))))</f>
        <v>0</v>
      </c>
      <c r="EN101" s="44">
        <f>SUM(Table1[Data Leavers Date]+Table1[Data GP End])</f>
        <v>0</v>
      </c>
      <c r="EO101" s="44" t="str">
        <f>IF(Table1[EET2]="NEET",1,IF(Table1[EET2]="Employment",2,IF(Table1[EET2]="Education",2,IF(Table1[EET2]="Training",2,IF(Table1[EET2]="Retired",3,IF(Table1[EET]="NEET",1,IF(Table1[EET]="Employment",2,IF(Table1[EET]="Education",2,IF(Table1[EET]="Training",2,IF(Table1[EET]="Retired",3,""))))))))))</f>
        <v/>
      </c>
      <c r="EP101" s="44" t="e">
        <f>+Table1[[#This Row],[Data Leavers Date]]+Table1[[#This Row],[Data EET End]]</f>
        <v>#VALUE!</v>
      </c>
      <c r="EQ101" s="44">
        <f>IF(Table1[Exit Form Received]="Yes",1,0)</f>
        <v>0</v>
      </c>
      <c r="ER101" s="44">
        <f>+Table1[[#This Row],[Data Leavers Date]]+Table1[[#This Row],[Data Exit Forms]]</f>
        <v>0</v>
      </c>
      <c r="ES101" s="44" t="str">
        <f>IF(Table1[Data Leavers Date]=1000,SUM(Table1[Leaving Date]-Table1[Start Date]),"")</f>
        <v/>
      </c>
      <c r="ET101" s="44" t="str">
        <f>IF(Table1[Data Leavers Date]=2000,SUM(Table1[Leaving Date]-Table1[Start Date]),"")</f>
        <v/>
      </c>
      <c r="EU101" s="44" t="str">
        <f>IF(Table1[Data Leavers Date]=3000,SUM(Table1[Leaving Date]-Table1[Start Date]),"")</f>
        <v/>
      </c>
      <c r="EV101" s="44" t="str">
        <f>IF(Table1[Data Leavers Date]=4000,SUM(Table1[Leaving Date]-Table1[Start Date]),"")</f>
        <v/>
      </c>
      <c r="EW101" s="44" t="str">
        <f>IF(Table1[Data Leavers Date]=5000,SUM(Table1[Leaving Date]-Table1[Start Date]),"")</f>
        <v/>
      </c>
      <c r="EX101" s="44" t="str">
        <f>IF(Table1[Data Leavers Date]=6000,SUM(Table1[Leaving Date]-Table1[Start Date]),"")</f>
        <v/>
      </c>
      <c r="EY101" s="44" t="str">
        <f>IF(Table1[Data Leavers Date]=7000,SUM(Table1[Leaving Date]-Table1[Start Date]),"")</f>
        <v/>
      </c>
      <c r="EZ101" s="44" t="str">
        <f>IF(Table1[Data Leavers Date]=8000,SUM(Table1[Leaving Date]-Table1[Start Date]),"")</f>
        <v/>
      </c>
      <c r="FA101" s="44" t="str">
        <f>IF(Table1[Date of Initial Assessment]="","",IF(AND(Table1[Start Date]&gt;42094,Table1[Start Date]&lt;42461),Table1[Motivation and Taking Responsibility],""))</f>
        <v/>
      </c>
      <c r="FB101" s="44" t="str">
        <f>IF(Table1[Date of Initial Assessment]="","",IF(AND(Table1[Start Date]&gt;42094,Table1[Start Date]&lt;42461),Table1[Self-Care and Living Skills],""))</f>
        <v/>
      </c>
      <c r="FC101" s="44" t="str">
        <f>IF(Table1[Date of Initial Assessment]="","",IF(AND(Table1[Start Date]&gt;42094,Table1[Start Date]&lt;42461),Table1[Managing Money and Personal Administration],""))</f>
        <v/>
      </c>
      <c r="FD101" s="44" t="str">
        <f>IF(Table1[Date of Initial Assessment]="","",IF(AND(Table1[Start Date]&gt;42094,Table1[Start Date]&lt;42461),Table1[Social Networks and Relationships],""))</f>
        <v/>
      </c>
      <c r="FE101" s="44" t="str">
        <f>IF(Table1[Date of Initial Assessment]="","",IF(AND(Table1[Start Date]&gt;42094,Table1[Start Date]&lt;42461),Table1[Drug and Alcohol Misuse],""))</f>
        <v/>
      </c>
      <c r="FF101" s="44" t="str">
        <f>IF(Table1[Date of Initial Assessment]="","",IF(AND(Table1[Start Date]&gt;42094,Table1[Start Date]&lt;42461),Table1[Physical Health],""))</f>
        <v/>
      </c>
      <c r="FG101" s="44" t="str">
        <f>IF(Table1[Date of Initial Assessment]="","",IF(AND(Table1[Start Date]&gt;42094,Table1[Start Date]&lt;42461),Table1[Emotional and Mental Health],""))</f>
        <v/>
      </c>
      <c r="FH101" s="44" t="str">
        <f>IF(Table1[Date of Initial Assessment]="","",IF(AND(Table1[Start Date]&gt;42094,Table1[Start Date]&lt;42461),Table1[Meaningful Use of Time],""))</f>
        <v/>
      </c>
      <c r="FI101" s="44" t="str">
        <f>IF(Table1[Date of Initial Assessment]="","",IF(AND(Table1[Start Date]&gt;42094,Table1[Start Date]&lt;42461),Table1[Managing Tenancy and Accommodation],""))</f>
        <v/>
      </c>
      <c r="FJ101" s="44" t="str">
        <f>IF(Table1[Date of Initial Assessment]="","",IF(AND(Table1[Start Date]&gt;42094,Table1[Start Date]&lt;42461),Table1[Offending],""))</f>
        <v/>
      </c>
      <c r="FK101" s="44" t="str">
        <f>IF(Table1[Leaving Date]="","",IF(Table1[Date of Initial Assessment]="","",IF(AND(Table1[Leaving Date]&gt;42094,Table1[Leaving Date]&lt;42461),IF(Table1[Date of Last Assessment]="",Table1[Motivation and Taking Responsibility],Table1[Motivation and Taking Responsibility2]),"")))</f>
        <v/>
      </c>
      <c r="FL101" s="44" t="str">
        <f>IF(Table1[Leaving Date]="","",IF(Table1[Date of Initial Assessment]="","",IF(AND(Table1[Leaving Date]&gt;42094,Table1[Leaving Date]&lt;42461),IF(Table1[Date of Last Assessment]="",Table1[Self-Care and Living Skills],Table1[Self-Care and Living Skills2]),"")))</f>
        <v/>
      </c>
      <c r="FM101" s="44" t="str">
        <f>IF(Table1[Leaving Date]="","",IF(Table1[Date of Initial Assessment]="","",IF(AND(Table1[Leaving Date]&gt;42094,Table1[Leaving Date]&lt;42461),IF(Table1[Date of Last Assessment]="",Table1[Managing Money and Personal Administration],Table1[Managing Money and Personal Administration2]),"")))</f>
        <v/>
      </c>
      <c r="FN101" s="44" t="str">
        <f>IF(Table1[Leaving Date]="","",IF(Table1[Date of Initial Assessment]="","",IF(AND(Table1[Leaving Date]&gt;42094,Table1[Leaving Date]&lt;42461),IF(Table1[Date of Last Assessment]="",Table1[Social Networks and Relationships],Table1[Social Networks and Relationships2]),"")))</f>
        <v/>
      </c>
      <c r="FO101" s="44" t="str">
        <f>IF(Table1[Leaving Date]="","",IF(Table1[Date of Initial Assessment]="","",IF(AND(Table1[Leaving Date]&gt;42094,Table1[Leaving Date]&lt;42461),IF(Table1[Date of Last Assessment]="",Table1[Drug and Alcohol Misuse],Table1[Drug and Alcohol Misuse2]),"")))</f>
        <v/>
      </c>
      <c r="FP101" s="44" t="str">
        <f>IF(Table1[Leaving Date]="","",IF(Table1[Date of Initial Assessment]="","",IF(AND(Table1[Leaving Date]&gt;42094,Table1[Leaving Date]&lt;42461),IF(Table1[Date of Last Assessment]="",Table1[Physical Health],Table1[Physical Health2]),"")))</f>
        <v/>
      </c>
      <c r="FQ101" s="44" t="str">
        <f>IF(Table1[Leaving Date]="","",IF(Table1[Date of Initial Assessment]="","",IF(AND(Table1[Leaving Date]&gt;42094,Table1[Leaving Date]&lt;42461),IF(Table1[Date of Last Assessment]="",Table1[Emotional and Mental Health],Table1[Emotional and Mental Health2]),"")))</f>
        <v/>
      </c>
      <c r="FR101" s="44" t="str">
        <f>IF(Table1[Leaving Date]="","",IF(Table1[Date of Initial Assessment]="","",IF(AND(Table1[Leaving Date]&gt;42094,Table1[Leaving Date]&lt;42461),IF(Table1[Date of Last Assessment]="",Table1[Meaningful Use of Time],Table1[Meaningful Use of Time2]),"")))</f>
        <v/>
      </c>
      <c r="FS101" s="44" t="str">
        <f>IF(Table1[Leaving Date]="","",IF(Table1[Date of Initial Assessment]="","",IF(AND(Table1[Leaving Date]&gt;42094,Table1[Leaving Date]&lt;42461),IF(Table1[Date of Last Assessment]="",Table1[Managing Tenancy and Accommodation],Table1[Managing Tenancy and Accommodation2]),"")))</f>
        <v/>
      </c>
      <c r="FT101" s="44" t="str">
        <f>IF(Table1[Leaving Date]="","",IF(Table1[Date of Initial Assessment]="","",IF(AND(Table1[Leaving Date]&gt;42094,Table1[Leaving Date]&lt;42461),IF(Table1[Date of Last Assessment]="",Table1[Offending],Table1[Offending2]),"")))</f>
        <v/>
      </c>
      <c r="FU101" s="44" t="str">
        <f>IF(Table1[Date of Initial Assessment]="","",IF(AND(Table1[Start Date]&gt;42460,Table1[Start Date]&lt;42826),Table1[Motivation and Taking Responsibility],""))</f>
        <v/>
      </c>
      <c r="FV101" s="44" t="str">
        <f>IF(Table1[Date of Initial Assessment]="","",IF(AND(Table1[Start Date]&gt;42460,Table1[Start Date]&lt;42826),Table1[Self-Care and Living Skills],""))</f>
        <v/>
      </c>
      <c r="FW101" s="44" t="str">
        <f>IF(Table1[Date of Initial Assessment]="","",IF(AND(Table1[Start Date]&gt;42460,Table1[Start Date]&lt;42826),Table1[Managing Money and Personal Administration],""))</f>
        <v/>
      </c>
      <c r="FX101" s="44" t="str">
        <f>IF(Table1[Date of Initial Assessment]="","",IF(AND(Table1[Start Date]&gt;42460,Table1[Start Date]&lt;42826),Table1[Social Networks and Relationships],""))</f>
        <v/>
      </c>
      <c r="FY101" s="44" t="str">
        <f>IF(Table1[Date of Initial Assessment]="","",IF(AND(Table1[Start Date]&gt;42460,Table1[Start Date]&lt;42826),Table1[Drug and Alcohol Misuse],""))</f>
        <v/>
      </c>
      <c r="FZ101" s="44" t="str">
        <f>IF(Table1[Date of Initial Assessment]="","",IF(AND(Table1[Start Date]&gt;42460,Table1[Start Date]&lt;42826),Table1[Physical Health],""))</f>
        <v/>
      </c>
      <c r="GA101" s="44" t="str">
        <f>IF(Table1[Date of Initial Assessment]="","",IF(AND(Table1[Start Date]&gt;42460,Table1[Start Date]&lt;42826),Table1[Emotional and Mental Health],""))</f>
        <v/>
      </c>
      <c r="GB101" s="44" t="str">
        <f>IF(Table1[Date of Initial Assessment]="","",IF(AND(Table1[Start Date]&gt;42460,Table1[Start Date]&lt;42826),Table1[Meaningful Use of Time],""))</f>
        <v/>
      </c>
      <c r="GC101" s="44" t="str">
        <f>IF(Table1[Date of Initial Assessment]="","",IF(AND(Table1[Start Date]&gt;42460,Table1[Start Date]&lt;42826),Table1[Managing Tenancy and Accommodation],""))</f>
        <v/>
      </c>
      <c r="GD101" s="44" t="str">
        <f>IF(Table1[Date of Initial Assessment]="","",IF(AND(Table1[Start Date]&gt;42460,Table1[Start Date]&lt;42826),Table1[Offending],""))</f>
        <v/>
      </c>
      <c r="GE101" s="44" t="str">
        <f>IF(Table1[Leaving Date]="","",IF(AND(Table1[Leaving Date]&gt;42460,Table1[Leaving Date]&lt;42826),IF(Table1[Date of Last Assessment]="",Table1[Motivation and Taking Responsibility],Table1[Motivation and Taking Responsibility2]),""))</f>
        <v/>
      </c>
      <c r="GF101" s="44" t="str">
        <f>IF(Table1[Leaving Date]="","",IF(AND(Table1[Leaving Date]&gt;42460,Table1[Leaving Date]&lt;42826),IF(Table1[Date of Last Assessment]="",Table1[Self-Care and Living Skills],Table1[Self-Care and Living Skills2]),""))</f>
        <v/>
      </c>
      <c r="GG101" s="44" t="str">
        <f>IF(Table1[Leaving Date]="","",IF(AND(Table1[Leaving Date]&gt;42460,Table1[Leaving Date]&lt;42826),IF(Table1[Date of Last Assessment]="",Table1[Managing Money and Personal Administration],Table1[Managing Money and Personal Administration2]),""))</f>
        <v/>
      </c>
      <c r="GH101" s="44" t="str">
        <f>IF(Table1[Leaving Date]="","",IF(AND(Table1[Leaving Date]&gt;42460,Table1[Leaving Date]&lt;42826),IF(Table1[Date of Last Assessment]="",Table1[Social Networks and Relationships],Table1[Social Networks and Relationships2]),""))</f>
        <v/>
      </c>
      <c r="GI101" s="44" t="str">
        <f>IF(Table1[Leaving Date]="","",IF(AND(Table1[Leaving Date]&gt;42460,Table1[Leaving Date]&lt;42826),IF(Table1[Date of Last Assessment]="",Table1[Drug and Alcohol Misuse],Table1[Drug and Alcohol Misuse2]),""))</f>
        <v/>
      </c>
      <c r="GJ101" s="44" t="str">
        <f>IF(Table1[Leaving Date]="","",IF(AND(Table1[Leaving Date]&gt;42460,Table1[Leaving Date]&lt;42826),IF(Table1[Date of Last Assessment]="",Table1[Physical Health],Table1[Physical Health2]),""))</f>
        <v/>
      </c>
      <c r="GK101" s="44" t="str">
        <f>IF(Table1[Leaving Date]="","",IF(AND(Table1[Leaving Date]&gt;42460,Table1[Leaving Date]&lt;42826),IF(Table1[Date of Last Assessment]="",Table1[Emotional and Mental Health],Table1[Emotional and Mental Health2]),""))</f>
        <v/>
      </c>
      <c r="GL101" s="44" t="str">
        <f>IF(Table1[Leaving Date]="","",IF(AND(Table1[Leaving Date]&gt;42460,Table1[Leaving Date]&lt;42826),IF(Table1[Date of Last Assessment]="",Table1[Meaningful Use of Time],Table1[Meaningful Use of Time2]),""))</f>
        <v/>
      </c>
      <c r="GM101" s="44" t="str">
        <f>IF(Table1[Leaving Date]="","",IF(AND(Table1[Leaving Date]&gt;42460,Table1[Leaving Date]&lt;42826),IF(Table1[Date of Last Assessment]="",Table1[Managing Tenancy and Accommodation],Table1[Managing Tenancy and Accommodation2]),""))</f>
        <v/>
      </c>
      <c r="GN101" s="44" t="str">
        <f>IF(Table1[Leaving Date]="","",IF(AND(Table1[Leaving Date]&gt;42460,Table1[Leaving Date]&lt;42826),IF(Table1[Date of Last Assessment]="",Table1[Offending],Table1[Offending2]),""))</f>
        <v/>
      </c>
    </row>
    <row r="102" spans="2:196" ht="20.100000000000001" customHeight="1" x14ac:dyDescent="0.2">
      <c r="B102" s="86">
        <f>+'Service Data'!$C$5:$C$5</f>
        <v>0</v>
      </c>
      <c r="C102" s="86"/>
      <c r="D102" s="86"/>
      <c r="E102" s="86"/>
      <c r="F102" s="86"/>
      <c r="G102" s="86"/>
      <c r="H102" s="6"/>
      <c r="I102" s="99" t="str">
        <f ca="1">IF(Table1[[#This Row],[Date of Birth]]="","",SUM(TODAY()-Table1[[#This Row],[Date of Birth]])/365)</f>
        <v/>
      </c>
      <c r="L102" s="86"/>
      <c r="M102" s="77"/>
      <c r="N102" s="86"/>
      <c r="O102" s="86"/>
      <c r="P102" s="91"/>
      <c r="Q102" s="86"/>
      <c r="R102" s="77"/>
      <c r="S102" s="77"/>
      <c r="T102" s="68"/>
      <c r="U102" s="68"/>
      <c r="V102" s="67"/>
      <c r="W102" s="67"/>
      <c r="X102" s="67"/>
      <c r="Y102" s="67"/>
      <c r="Z102" s="67"/>
      <c r="AA102" s="67"/>
      <c r="AB102" s="67"/>
      <c r="AC102" s="67"/>
      <c r="AD102" s="67"/>
      <c r="AE102" s="67"/>
      <c r="AF102" s="67"/>
      <c r="AG102" s="67"/>
      <c r="AH102" s="67"/>
      <c r="AI102" s="67"/>
      <c r="AJ102" s="67"/>
      <c r="AK102" s="67"/>
      <c r="AL102" s="67"/>
      <c r="AM102" s="67"/>
      <c r="AN102" s="77"/>
      <c r="AO102" s="76"/>
      <c r="AP102" s="77"/>
      <c r="AQ102" s="76"/>
      <c r="AR102" s="76"/>
      <c r="AS102" s="76"/>
      <c r="AT102" s="76"/>
      <c r="AU102" s="76"/>
      <c r="AV102" s="77"/>
      <c r="AW102" s="76"/>
      <c r="AX102" s="77"/>
      <c r="AY102" s="76"/>
      <c r="AZ102" s="76"/>
      <c r="BA102" s="76"/>
      <c r="BB102" s="76"/>
      <c r="BC102" s="76"/>
      <c r="BD102" s="77"/>
      <c r="BE102" s="76"/>
      <c r="BF102" s="77"/>
      <c r="BG102" s="76"/>
      <c r="BH102" s="76"/>
      <c r="BI102" s="76"/>
      <c r="BJ102" s="76"/>
      <c r="BK102" s="76"/>
      <c r="BL102" s="77"/>
      <c r="BM102" s="76"/>
      <c r="BN102" s="77"/>
      <c r="BO102" s="76"/>
      <c r="BP102" s="76"/>
      <c r="BQ102" s="76"/>
      <c r="BR102" s="76"/>
      <c r="BS102" s="76"/>
      <c r="BT102" s="77"/>
      <c r="BU102" s="76"/>
      <c r="BV102" s="77"/>
      <c r="BW102" s="76"/>
      <c r="BX102" s="76"/>
      <c r="BY102" s="76"/>
      <c r="BZ102" s="76"/>
      <c r="CA102" s="76"/>
      <c r="CB102" s="77"/>
      <c r="CC102" s="76"/>
      <c r="CD102" s="77"/>
      <c r="CE102" s="76"/>
      <c r="CF102" s="76"/>
      <c r="CG102" s="76"/>
      <c r="CH102" s="76"/>
      <c r="CI102" s="76"/>
      <c r="CJ102" s="77"/>
      <c r="CK102" s="76"/>
      <c r="CL102" s="77"/>
      <c r="CM102" s="76"/>
      <c r="CN102" s="76"/>
      <c r="CO102" s="76"/>
      <c r="CP102" s="76"/>
      <c r="CQ102" s="76"/>
      <c r="CR102" s="78" t="str">
        <f t="shared" si="31"/>
        <v/>
      </c>
      <c r="CS102" s="79" t="str">
        <f t="shared" si="32"/>
        <v/>
      </c>
      <c r="CT102" s="79" t="str">
        <f t="shared" si="33"/>
        <v/>
      </c>
      <c r="CU102" s="79" t="str">
        <f t="shared" si="34"/>
        <v/>
      </c>
      <c r="CV102" s="79" t="str">
        <f t="shared" si="35"/>
        <v/>
      </c>
      <c r="CW102" s="79" t="str">
        <f t="shared" si="36"/>
        <v/>
      </c>
      <c r="CX102" s="79" t="str">
        <f t="shared" si="37"/>
        <v/>
      </c>
      <c r="CY102" s="79" t="str">
        <f t="shared" si="38"/>
        <v/>
      </c>
      <c r="CZ102" s="79" t="str">
        <f t="shared" si="39"/>
        <v/>
      </c>
      <c r="DA102" s="79" t="str">
        <f t="shared" si="40"/>
        <v/>
      </c>
      <c r="DB102" s="79" t="str">
        <f t="shared" si="41"/>
        <v/>
      </c>
      <c r="DC102" s="79" t="str">
        <f t="shared" si="42"/>
        <v/>
      </c>
      <c r="DD102" s="79" t="str">
        <f t="shared" si="43"/>
        <v/>
      </c>
      <c r="DE102" s="79" t="str">
        <f t="shared" si="44"/>
        <v/>
      </c>
      <c r="DF102" s="79" t="str">
        <f t="shared" si="45"/>
        <v/>
      </c>
      <c r="DG102" s="79" t="str">
        <f t="shared" si="46"/>
        <v/>
      </c>
      <c r="DH102" s="76"/>
      <c r="DI102" s="78"/>
      <c r="DJ102" s="76"/>
      <c r="DK102" s="77"/>
      <c r="DL102" s="77"/>
      <c r="DM102" s="77"/>
      <c r="DN102" s="80"/>
      <c r="DO102" s="80"/>
      <c r="DP102" s="92" t="str">
        <f>IF(Table1[Start Date]="","",IF(Table1[Start Date]&gt;42185,"",IF(AND(Table1[Leaving Date]&gt;1,Table1[Leaving Date]&lt;42095),"",1)))</f>
        <v/>
      </c>
      <c r="DQ102" s="92" t="str">
        <f>IF(Table1[Start Date]="","",IF(Table1[Start Date]&gt;42277,"",IF(AND(Table1[Leaving Date]&gt;1,Table1[Leaving Date]&lt;42186),"",1)))</f>
        <v/>
      </c>
      <c r="DR102" s="92" t="str">
        <f>IF(Table1[Start Date]="","",IF(Table1[Start Date]&gt;42369,"",IF(AND(Table1[Leaving Date]&gt;1,Table1[Leaving Date]&lt;42278),"",1)))</f>
        <v/>
      </c>
      <c r="DS102" s="92" t="str">
        <f>IF(Table1[Start Date]="","",IF(Table1[Start Date]&gt;42460,"",IF(AND(Table1[Leaving Date]&gt;1,Table1[Leaving Date]&lt;42370),"",1)))</f>
        <v/>
      </c>
      <c r="DT102" s="92" t="str">
        <f>IF(Table1[Start Date]="","",IF(Table1[Start Date]&gt;42551,"",IF(AND(Table1[Leaving Date]&gt;1,Table1[Leaving Date]&lt;42461),"",1)))</f>
        <v/>
      </c>
      <c r="DU102" s="92" t="str">
        <f>IF(Table1[Start Date]="","",IF(Table1[Start Date]&gt;42643,"",IF(AND(Table1[Leaving Date]&gt;1,Table1[Leaving Date]&lt;42552),"",1)))</f>
        <v/>
      </c>
      <c r="DV102" s="92" t="str">
        <f>IF(Table1[Start Date]="","",IF(Table1[Start Date]&gt;42735,"",IF(AND(Table1[Leaving Date]&gt;1,Table1[Leaving Date]&lt;42644),"",1)))</f>
        <v/>
      </c>
      <c r="DW102" s="92" t="str">
        <f>IF(Table1[Start Date]="","",IF(Table1[Start Date]&gt;42825,"",IF(AND(Table1[Leaving Date]&gt;1,Table1[Leaving Date]&lt;42736),"",1)))</f>
        <v/>
      </c>
      <c r="DX102"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102" s="44" t="e">
        <f>VLOOKUP(Table1[Referral Source],Lists!$G$2:$H$20,2,FALSE)</f>
        <v>#N/A</v>
      </c>
      <c r="DZ102" s="93" t="e">
        <f>SUM(Table1[Data Referral Quarter]+Table1[Data Referral Source])</f>
        <v>#N/A</v>
      </c>
      <c r="EA102" s="44" t="b">
        <f>IF(Table1[Referral Decision]="Accepted",100,IF(Table1[Referral Decision]="Rejected by Provider",200,IF(Table1[Referral Decision]="Rejected by Applicant",300)))</f>
        <v>0</v>
      </c>
      <c r="EB102" s="44">
        <f>SUM(Table1[Data Referral Quarter]+Table1[Data Referral Decision])</f>
        <v>0</v>
      </c>
      <c r="EC102" s="44" t="b">
        <f>IF(Table1[Start Date]&gt;42735,8000,IF(Table1[Start Date]&gt;42643,7000,IF(Table1[Start Date]&gt;42551,6000,IF(Table1[Start Date]&gt;42460,5000,IF(Table1[Start Date]&gt;42369,4000,IF(Table1[Start Date]&gt;42277,3000,IF(Table1[Start Date]&gt;42185,2000,IF(Table1[Start Date]&gt;42094,1000))))))))</f>
        <v>0</v>
      </c>
      <c r="ED102" s="44" t="str">
        <f>IF(Table1[Start Date]="","",IF(Table1[Current Local Authority]="Swindon",1,"2"))</f>
        <v/>
      </c>
      <c r="EE102" s="44" t="e">
        <f>SUM(Table1[Data Start Date]+Table1[Data Local Authority])</f>
        <v>#VALUE!</v>
      </c>
      <c r="EF102" s="44">
        <f>IF(Table1[Registered with GP]="Yes",1,0)</f>
        <v>0</v>
      </c>
      <c r="EG102" s="44">
        <f>SUM(Table1[Data Start Date]+Table1[Data GP Start])</f>
        <v>0</v>
      </c>
      <c r="EH102" s="44" t="str">
        <f>IF(Table1[EET]="NEET",1,IF(Table1[EET]="Education",2,IF(Table1[EET]="Employment",2,IF(Table1[EET]="Training",2,IF(Table1[EET]="Retired",3,"")))))</f>
        <v/>
      </c>
      <c r="EI102" s="44" t="e">
        <f>Table1[Data Start Date]+Table1[Data EET Start]</f>
        <v>#VALUE!</v>
      </c>
      <c r="EJ102" s="44" t="b">
        <f>IF(Table1[Leaving Date]&gt;42735,8000,IF(Table1[Leaving Date]&gt;42643,7000,IF(Table1[Leaving Date]&gt;42551,6000,IF(Table1[Leaving Date]&gt;42460,5000,IF(Table1[Leaving Date]&gt;42369,4000,IF(Table1[Leaving Date]&gt;42277,3000,IF(Table1[Leaving Date]&gt;42185,2000,IF(Table1[Leaving Date]&gt;42094,1000))))))))</f>
        <v>0</v>
      </c>
      <c r="EK102" s="44" t="e">
        <f>VLOOKUP(Table1[Reason for Leaving],Lists!$T$2:$U$15,2,FALSE)</f>
        <v>#N/A</v>
      </c>
      <c r="EL102" s="44" t="e">
        <f>SUM(Table1[Data Leavers Date]+Table1[Data Move On])</f>
        <v>#N/A</v>
      </c>
      <c r="EM102" s="44" t="b">
        <f>IF(Table1[Registered with GP2]="Yes",1,IF(Table1[Registered with GP2]="No",0,IF(Table1[Registered with GP]="Yes",1,IF(Table1[Registered with GP]="No",0))))</f>
        <v>0</v>
      </c>
      <c r="EN102" s="44">
        <f>SUM(Table1[Data Leavers Date]+Table1[Data GP End])</f>
        <v>0</v>
      </c>
      <c r="EO102" s="44" t="str">
        <f>IF(Table1[EET2]="NEET",1,IF(Table1[EET2]="Employment",2,IF(Table1[EET2]="Education",2,IF(Table1[EET2]="Training",2,IF(Table1[EET2]="Retired",3,IF(Table1[EET]="NEET",1,IF(Table1[EET]="Employment",2,IF(Table1[EET]="Education",2,IF(Table1[EET]="Training",2,IF(Table1[EET]="Retired",3,""))))))))))</f>
        <v/>
      </c>
      <c r="EP102" s="44" t="e">
        <f>+Table1[[#This Row],[Data Leavers Date]]+Table1[[#This Row],[Data EET End]]</f>
        <v>#VALUE!</v>
      </c>
      <c r="EQ102" s="44">
        <f>IF(Table1[Exit Form Received]="Yes",1,0)</f>
        <v>0</v>
      </c>
      <c r="ER102" s="44">
        <f>+Table1[[#This Row],[Data Leavers Date]]+Table1[[#This Row],[Data Exit Forms]]</f>
        <v>0</v>
      </c>
      <c r="ES102" s="44" t="str">
        <f>IF(Table1[Data Leavers Date]=1000,SUM(Table1[Leaving Date]-Table1[Start Date]),"")</f>
        <v/>
      </c>
      <c r="ET102" s="44" t="str">
        <f>IF(Table1[Data Leavers Date]=2000,SUM(Table1[Leaving Date]-Table1[Start Date]),"")</f>
        <v/>
      </c>
      <c r="EU102" s="44" t="str">
        <f>IF(Table1[Data Leavers Date]=3000,SUM(Table1[Leaving Date]-Table1[Start Date]),"")</f>
        <v/>
      </c>
      <c r="EV102" s="44" t="str">
        <f>IF(Table1[Data Leavers Date]=4000,SUM(Table1[Leaving Date]-Table1[Start Date]),"")</f>
        <v/>
      </c>
      <c r="EW102" s="44" t="str">
        <f>IF(Table1[Data Leavers Date]=5000,SUM(Table1[Leaving Date]-Table1[Start Date]),"")</f>
        <v/>
      </c>
      <c r="EX102" s="44" t="str">
        <f>IF(Table1[Data Leavers Date]=6000,SUM(Table1[Leaving Date]-Table1[Start Date]),"")</f>
        <v/>
      </c>
      <c r="EY102" s="44" t="str">
        <f>IF(Table1[Data Leavers Date]=7000,SUM(Table1[Leaving Date]-Table1[Start Date]),"")</f>
        <v/>
      </c>
      <c r="EZ102" s="44" t="str">
        <f>IF(Table1[Data Leavers Date]=8000,SUM(Table1[Leaving Date]-Table1[Start Date]),"")</f>
        <v/>
      </c>
      <c r="FA102" s="44" t="str">
        <f>IF(Table1[Date of Initial Assessment]="","",IF(AND(Table1[Start Date]&gt;42094,Table1[Start Date]&lt;42461),Table1[Motivation and Taking Responsibility],""))</f>
        <v/>
      </c>
      <c r="FB102" s="44" t="str">
        <f>IF(Table1[Date of Initial Assessment]="","",IF(AND(Table1[Start Date]&gt;42094,Table1[Start Date]&lt;42461),Table1[Self-Care and Living Skills],""))</f>
        <v/>
      </c>
      <c r="FC102" s="44" t="str">
        <f>IF(Table1[Date of Initial Assessment]="","",IF(AND(Table1[Start Date]&gt;42094,Table1[Start Date]&lt;42461),Table1[Managing Money and Personal Administration],""))</f>
        <v/>
      </c>
      <c r="FD102" s="44" t="str">
        <f>IF(Table1[Date of Initial Assessment]="","",IF(AND(Table1[Start Date]&gt;42094,Table1[Start Date]&lt;42461),Table1[Social Networks and Relationships],""))</f>
        <v/>
      </c>
      <c r="FE102" s="44" t="str">
        <f>IF(Table1[Date of Initial Assessment]="","",IF(AND(Table1[Start Date]&gt;42094,Table1[Start Date]&lt;42461),Table1[Drug and Alcohol Misuse],""))</f>
        <v/>
      </c>
      <c r="FF102" s="44" t="str">
        <f>IF(Table1[Date of Initial Assessment]="","",IF(AND(Table1[Start Date]&gt;42094,Table1[Start Date]&lt;42461),Table1[Physical Health],""))</f>
        <v/>
      </c>
      <c r="FG102" s="44" t="str">
        <f>IF(Table1[Date of Initial Assessment]="","",IF(AND(Table1[Start Date]&gt;42094,Table1[Start Date]&lt;42461),Table1[Emotional and Mental Health],""))</f>
        <v/>
      </c>
      <c r="FH102" s="44" t="str">
        <f>IF(Table1[Date of Initial Assessment]="","",IF(AND(Table1[Start Date]&gt;42094,Table1[Start Date]&lt;42461),Table1[Meaningful Use of Time],""))</f>
        <v/>
      </c>
      <c r="FI102" s="44" t="str">
        <f>IF(Table1[Date of Initial Assessment]="","",IF(AND(Table1[Start Date]&gt;42094,Table1[Start Date]&lt;42461),Table1[Managing Tenancy and Accommodation],""))</f>
        <v/>
      </c>
      <c r="FJ102" s="44" t="str">
        <f>IF(Table1[Date of Initial Assessment]="","",IF(AND(Table1[Start Date]&gt;42094,Table1[Start Date]&lt;42461),Table1[Offending],""))</f>
        <v/>
      </c>
      <c r="FK102" s="44" t="str">
        <f>IF(Table1[Leaving Date]="","",IF(Table1[Date of Initial Assessment]="","",IF(AND(Table1[Leaving Date]&gt;42094,Table1[Leaving Date]&lt;42461),IF(Table1[Date of Last Assessment]="",Table1[Motivation and Taking Responsibility],Table1[Motivation and Taking Responsibility2]),"")))</f>
        <v/>
      </c>
      <c r="FL102" s="44" t="str">
        <f>IF(Table1[Leaving Date]="","",IF(Table1[Date of Initial Assessment]="","",IF(AND(Table1[Leaving Date]&gt;42094,Table1[Leaving Date]&lt;42461),IF(Table1[Date of Last Assessment]="",Table1[Self-Care and Living Skills],Table1[Self-Care and Living Skills2]),"")))</f>
        <v/>
      </c>
      <c r="FM102" s="44" t="str">
        <f>IF(Table1[Leaving Date]="","",IF(Table1[Date of Initial Assessment]="","",IF(AND(Table1[Leaving Date]&gt;42094,Table1[Leaving Date]&lt;42461),IF(Table1[Date of Last Assessment]="",Table1[Managing Money and Personal Administration],Table1[Managing Money and Personal Administration2]),"")))</f>
        <v/>
      </c>
      <c r="FN102" s="44" t="str">
        <f>IF(Table1[Leaving Date]="","",IF(Table1[Date of Initial Assessment]="","",IF(AND(Table1[Leaving Date]&gt;42094,Table1[Leaving Date]&lt;42461),IF(Table1[Date of Last Assessment]="",Table1[Social Networks and Relationships],Table1[Social Networks and Relationships2]),"")))</f>
        <v/>
      </c>
      <c r="FO102" s="44" t="str">
        <f>IF(Table1[Leaving Date]="","",IF(Table1[Date of Initial Assessment]="","",IF(AND(Table1[Leaving Date]&gt;42094,Table1[Leaving Date]&lt;42461),IF(Table1[Date of Last Assessment]="",Table1[Drug and Alcohol Misuse],Table1[Drug and Alcohol Misuse2]),"")))</f>
        <v/>
      </c>
      <c r="FP102" s="44" t="str">
        <f>IF(Table1[Leaving Date]="","",IF(Table1[Date of Initial Assessment]="","",IF(AND(Table1[Leaving Date]&gt;42094,Table1[Leaving Date]&lt;42461),IF(Table1[Date of Last Assessment]="",Table1[Physical Health],Table1[Physical Health2]),"")))</f>
        <v/>
      </c>
      <c r="FQ102" s="44" t="str">
        <f>IF(Table1[Leaving Date]="","",IF(Table1[Date of Initial Assessment]="","",IF(AND(Table1[Leaving Date]&gt;42094,Table1[Leaving Date]&lt;42461),IF(Table1[Date of Last Assessment]="",Table1[Emotional and Mental Health],Table1[Emotional and Mental Health2]),"")))</f>
        <v/>
      </c>
      <c r="FR102" s="44" t="str">
        <f>IF(Table1[Leaving Date]="","",IF(Table1[Date of Initial Assessment]="","",IF(AND(Table1[Leaving Date]&gt;42094,Table1[Leaving Date]&lt;42461),IF(Table1[Date of Last Assessment]="",Table1[Meaningful Use of Time],Table1[Meaningful Use of Time2]),"")))</f>
        <v/>
      </c>
      <c r="FS102" s="44" t="str">
        <f>IF(Table1[Leaving Date]="","",IF(Table1[Date of Initial Assessment]="","",IF(AND(Table1[Leaving Date]&gt;42094,Table1[Leaving Date]&lt;42461),IF(Table1[Date of Last Assessment]="",Table1[Managing Tenancy and Accommodation],Table1[Managing Tenancy and Accommodation2]),"")))</f>
        <v/>
      </c>
      <c r="FT102" s="44" t="str">
        <f>IF(Table1[Leaving Date]="","",IF(Table1[Date of Initial Assessment]="","",IF(AND(Table1[Leaving Date]&gt;42094,Table1[Leaving Date]&lt;42461),IF(Table1[Date of Last Assessment]="",Table1[Offending],Table1[Offending2]),"")))</f>
        <v/>
      </c>
      <c r="FU102" s="44" t="str">
        <f>IF(Table1[Date of Initial Assessment]="","",IF(AND(Table1[Start Date]&gt;42460,Table1[Start Date]&lt;42826),Table1[Motivation and Taking Responsibility],""))</f>
        <v/>
      </c>
      <c r="FV102" s="44" t="str">
        <f>IF(Table1[Date of Initial Assessment]="","",IF(AND(Table1[Start Date]&gt;42460,Table1[Start Date]&lt;42826),Table1[Self-Care and Living Skills],""))</f>
        <v/>
      </c>
      <c r="FW102" s="44" t="str">
        <f>IF(Table1[Date of Initial Assessment]="","",IF(AND(Table1[Start Date]&gt;42460,Table1[Start Date]&lt;42826),Table1[Managing Money and Personal Administration],""))</f>
        <v/>
      </c>
      <c r="FX102" s="44" t="str">
        <f>IF(Table1[Date of Initial Assessment]="","",IF(AND(Table1[Start Date]&gt;42460,Table1[Start Date]&lt;42826),Table1[Social Networks and Relationships],""))</f>
        <v/>
      </c>
      <c r="FY102" s="44" t="str">
        <f>IF(Table1[Date of Initial Assessment]="","",IF(AND(Table1[Start Date]&gt;42460,Table1[Start Date]&lt;42826),Table1[Drug and Alcohol Misuse],""))</f>
        <v/>
      </c>
      <c r="FZ102" s="44" t="str">
        <f>IF(Table1[Date of Initial Assessment]="","",IF(AND(Table1[Start Date]&gt;42460,Table1[Start Date]&lt;42826),Table1[Physical Health],""))</f>
        <v/>
      </c>
      <c r="GA102" s="44" t="str">
        <f>IF(Table1[Date of Initial Assessment]="","",IF(AND(Table1[Start Date]&gt;42460,Table1[Start Date]&lt;42826),Table1[Emotional and Mental Health],""))</f>
        <v/>
      </c>
      <c r="GB102" s="44" t="str">
        <f>IF(Table1[Date of Initial Assessment]="","",IF(AND(Table1[Start Date]&gt;42460,Table1[Start Date]&lt;42826),Table1[Meaningful Use of Time],""))</f>
        <v/>
      </c>
      <c r="GC102" s="44" t="str">
        <f>IF(Table1[Date of Initial Assessment]="","",IF(AND(Table1[Start Date]&gt;42460,Table1[Start Date]&lt;42826),Table1[Managing Tenancy and Accommodation],""))</f>
        <v/>
      </c>
      <c r="GD102" s="44" t="str">
        <f>IF(Table1[Date of Initial Assessment]="","",IF(AND(Table1[Start Date]&gt;42460,Table1[Start Date]&lt;42826),Table1[Offending],""))</f>
        <v/>
      </c>
      <c r="GE102" s="44" t="str">
        <f>IF(Table1[Leaving Date]="","",IF(AND(Table1[Leaving Date]&gt;42460,Table1[Leaving Date]&lt;42826),IF(Table1[Date of Last Assessment]="",Table1[Motivation and Taking Responsibility],Table1[Motivation and Taking Responsibility2]),""))</f>
        <v/>
      </c>
      <c r="GF102" s="44" t="str">
        <f>IF(Table1[Leaving Date]="","",IF(AND(Table1[Leaving Date]&gt;42460,Table1[Leaving Date]&lt;42826),IF(Table1[Date of Last Assessment]="",Table1[Self-Care and Living Skills],Table1[Self-Care and Living Skills2]),""))</f>
        <v/>
      </c>
      <c r="GG102" s="44" t="str">
        <f>IF(Table1[Leaving Date]="","",IF(AND(Table1[Leaving Date]&gt;42460,Table1[Leaving Date]&lt;42826),IF(Table1[Date of Last Assessment]="",Table1[Managing Money and Personal Administration],Table1[Managing Money and Personal Administration2]),""))</f>
        <v/>
      </c>
      <c r="GH102" s="44" t="str">
        <f>IF(Table1[Leaving Date]="","",IF(AND(Table1[Leaving Date]&gt;42460,Table1[Leaving Date]&lt;42826),IF(Table1[Date of Last Assessment]="",Table1[Social Networks and Relationships],Table1[Social Networks and Relationships2]),""))</f>
        <v/>
      </c>
      <c r="GI102" s="44" t="str">
        <f>IF(Table1[Leaving Date]="","",IF(AND(Table1[Leaving Date]&gt;42460,Table1[Leaving Date]&lt;42826),IF(Table1[Date of Last Assessment]="",Table1[Drug and Alcohol Misuse],Table1[Drug and Alcohol Misuse2]),""))</f>
        <v/>
      </c>
      <c r="GJ102" s="44" t="str">
        <f>IF(Table1[Leaving Date]="","",IF(AND(Table1[Leaving Date]&gt;42460,Table1[Leaving Date]&lt;42826),IF(Table1[Date of Last Assessment]="",Table1[Physical Health],Table1[Physical Health2]),""))</f>
        <v/>
      </c>
      <c r="GK102" s="44" t="str">
        <f>IF(Table1[Leaving Date]="","",IF(AND(Table1[Leaving Date]&gt;42460,Table1[Leaving Date]&lt;42826),IF(Table1[Date of Last Assessment]="",Table1[Emotional and Mental Health],Table1[Emotional and Mental Health2]),""))</f>
        <v/>
      </c>
      <c r="GL102" s="44" t="str">
        <f>IF(Table1[Leaving Date]="","",IF(AND(Table1[Leaving Date]&gt;42460,Table1[Leaving Date]&lt;42826),IF(Table1[Date of Last Assessment]="",Table1[Meaningful Use of Time],Table1[Meaningful Use of Time2]),""))</f>
        <v/>
      </c>
      <c r="GM102" s="44" t="str">
        <f>IF(Table1[Leaving Date]="","",IF(AND(Table1[Leaving Date]&gt;42460,Table1[Leaving Date]&lt;42826),IF(Table1[Date of Last Assessment]="",Table1[Managing Tenancy and Accommodation],Table1[Managing Tenancy and Accommodation2]),""))</f>
        <v/>
      </c>
      <c r="GN102" s="44" t="str">
        <f>IF(Table1[Leaving Date]="","",IF(AND(Table1[Leaving Date]&gt;42460,Table1[Leaving Date]&lt;42826),IF(Table1[Date of Last Assessment]="",Table1[Offending],Table1[Offending2]),""))</f>
        <v/>
      </c>
    </row>
    <row r="103" spans="2:196" ht="20.100000000000001" customHeight="1" x14ac:dyDescent="0.2">
      <c r="B103" s="86">
        <f>+'Service Data'!$C$5:$C$5</f>
        <v>0</v>
      </c>
      <c r="C103" s="86"/>
      <c r="D103" s="86"/>
      <c r="E103" s="86"/>
      <c r="F103" s="86"/>
      <c r="G103" s="86"/>
      <c r="H103" s="6"/>
      <c r="I103" s="99" t="str">
        <f ca="1">IF(Table1[[#This Row],[Date of Birth]]="","",SUM(TODAY()-Table1[[#This Row],[Date of Birth]])/365)</f>
        <v/>
      </c>
      <c r="L103" s="86"/>
      <c r="M103" s="77"/>
      <c r="N103" s="86"/>
      <c r="O103" s="86"/>
      <c r="P103" s="91"/>
      <c r="Q103" s="86"/>
      <c r="R103" s="77"/>
      <c r="S103" s="77"/>
      <c r="T103" s="68"/>
      <c r="U103" s="68"/>
      <c r="V103" s="67"/>
      <c r="W103" s="67"/>
      <c r="X103" s="67"/>
      <c r="Y103" s="67"/>
      <c r="Z103" s="67"/>
      <c r="AA103" s="67"/>
      <c r="AB103" s="67"/>
      <c r="AC103" s="67"/>
      <c r="AD103" s="67"/>
      <c r="AE103" s="67"/>
      <c r="AF103" s="67"/>
      <c r="AG103" s="67"/>
      <c r="AH103" s="67"/>
      <c r="AI103" s="67"/>
      <c r="AJ103" s="67"/>
      <c r="AK103" s="67"/>
      <c r="AL103" s="67"/>
      <c r="AM103" s="67"/>
      <c r="AN103" s="77"/>
      <c r="AO103" s="76"/>
      <c r="AP103" s="77"/>
      <c r="AQ103" s="76"/>
      <c r="AR103" s="76"/>
      <c r="AS103" s="76"/>
      <c r="AT103" s="76"/>
      <c r="AU103" s="76"/>
      <c r="AV103" s="77"/>
      <c r="AW103" s="76"/>
      <c r="AX103" s="77"/>
      <c r="AY103" s="76"/>
      <c r="AZ103" s="76"/>
      <c r="BA103" s="76"/>
      <c r="BB103" s="76"/>
      <c r="BC103" s="76"/>
      <c r="BD103" s="77"/>
      <c r="BE103" s="76"/>
      <c r="BF103" s="77"/>
      <c r="BG103" s="76"/>
      <c r="BH103" s="76"/>
      <c r="BI103" s="76"/>
      <c r="BJ103" s="76"/>
      <c r="BK103" s="76"/>
      <c r="BL103" s="77"/>
      <c r="BM103" s="76"/>
      <c r="BN103" s="77"/>
      <c r="BO103" s="76"/>
      <c r="BP103" s="76"/>
      <c r="BQ103" s="76"/>
      <c r="BR103" s="76"/>
      <c r="BS103" s="76"/>
      <c r="BT103" s="77"/>
      <c r="BU103" s="76"/>
      <c r="BV103" s="77"/>
      <c r="BW103" s="76"/>
      <c r="BX103" s="76"/>
      <c r="BY103" s="76"/>
      <c r="BZ103" s="76"/>
      <c r="CA103" s="76"/>
      <c r="CB103" s="77"/>
      <c r="CC103" s="76"/>
      <c r="CD103" s="77"/>
      <c r="CE103" s="76"/>
      <c r="CF103" s="76"/>
      <c r="CG103" s="76"/>
      <c r="CH103" s="76"/>
      <c r="CI103" s="76"/>
      <c r="CJ103" s="77"/>
      <c r="CK103" s="76"/>
      <c r="CL103" s="77"/>
      <c r="CM103" s="76"/>
      <c r="CN103" s="76"/>
      <c r="CO103" s="76"/>
      <c r="CP103" s="76"/>
      <c r="CQ103" s="76"/>
      <c r="CR103" s="78" t="str">
        <f t="shared" si="31"/>
        <v/>
      </c>
      <c r="CS103" s="79" t="str">
        <f t="shared" si="32"/>
        <v/>
      </c>
      <c r="CT103" s="79" t="str">
        <f t="shared" si="33"/>
        <v/>
      </c>
      <c r="CU103" s="79" t="str">
        <f t="shared" si="34"/>
        <v/>
      </c>
      <c r="CV103" s="79" t="str">
        <f t="shared" si="35"/>
        <v/>
      </c>
      <c r="CW103" s="79" t="str">
        <f t="shared" si="36"/>
        <v/>
      </c>
      <c r="CX103" s="79" t="str">
        <f t="shared" si="37"/>
        <v/>
      </c>
      <c r="CY103" s="79" t="str">
        <f t="shared" si="38"/>
        <v/>
      </c>
      <c r="CZ103" s="79" t="str">
        <f t="shared" si="39"/>
        <v/>
      </c>
      <c r="DA103" s="79" t="str">
        <f t="shared" si="40"/>
        <v/>
      </c>
      <c r="DB103" s="79" t="str">
        <f t="shared" si="41"/>
        <v/>
      </c>
      <c r="DC103" s="79" t="str">
        <f t="shared" si="42"/>
        <v/>
      </c>
      <c r="DD103" s="79" t="str">
        <f t="shared" si="43"/>
        <v/>
      </c>
      <c r="DE103" s="79" t="str">
        <f t="shared" si="44"/>
        <v/>
      </c>
      <c r="DF103" s="79" t="str">
        <f t="shared" si="45"/>
        <v/>
      </c>
      <c r="DG103" s="79" t="str">
        <f t="shared" si="46"/>
        <v/>
      </c>
      <c r="DH103" s="76"/>
      <c r="DI103" s="78"/>
      <c r="DJ103" s="76"/>
      <c r="DK103" s="77"/>
      <c r="DL103" s="77"/>
      <c r="DM103" s="77"/>
      <c r="DN103" s="80"/>
      <c r="DO103" s="80"/>
      <c r="DP103" s="92" t="str">
        <f>IF(Table1[Start Date]="","",IF(Table1[Start Date]&gt;42185,"",IF(AND(Table1[Leaving Date]&gt;1,Table1[Leaving Date]&lt;42095),"",1)))</f>
        <v/>
      </c>
      <c r="DQ103" s="92" t="str">
        <f>IF(Table1[Start Date]="","",IF(Table1[Start Date]&gt;42277,"",IF(AND(Table1[Leaving Date]&gt;1,Table1[Leaving Date]&lt;42186),"",1)))</f>
        <v/>
      </c>
      <c r="DR103" s="92" t="str">
        <f>IF(Table1[Start Date]="","",IF(Table1[Start Date]&gt;42369,"",IF(AND(Table1[Leaving Date]&gt;1,Table1[Leaving Date]&lt;42278),"",1)))</f>
        <v/>
      </c>
      <c r="DS103" s="92" t="str">
        <f>IF(Table1[Start Date]="","",IF(Table1[Start Date]&gt;42460,"",IF(AND(Table1[Leaving Date]&gt;1,Table1[Leaving Date]&lt;42370),"",1)))</f>
        <v/>
      </c>
      <c r="DT103" s="92" t="str">
        <f>IF(Table1[Start Date]="","",IF(Table1[Start Date]&gt;42551,"",IF(AND(Table1[Leaving Date]&gt;1,Table1[Leaving Date]&lt;42461),"",1)))</f>
        <v/>
      </c>
      <c r="DU103" s="92" t="str">
        <f>IF(Table1[Start Date]="","",IF(Table1[Start Date]&gt;42643,"",IF(AND(Table1[Leaving Date]&gt;1,Table1[Leaving Date]&lt;42552),"",1)))</f>
        <v/>
      </c>
      <c r="DV103" s="92" t="str">
        <f>IF(Table1[Start Date]="","",IF(Table1[Start Date]&gt;42735,"",IF(AND(Table1[Leaving Date]&gt;1,Table1[Leaving Date]&lt;42644),"",1)))</f>
        <v/>
      </c>
      <c r="DW103" s="92" t="str">
        <f>IF(Table1[Start Date]="","",IF(Table1[Start Date]&gt;42825,"",IF(AND(Table1[Leaving Date]&gt;1,Table1[Leaving Date]&lt;42736),"",1)))</f>
        <v/>
      </c>
      <c r="DX103"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103" s="44" t="e">
        <f>VLOOKUP(Table1[Referral Source],Lists!$G$2:$H$20,2,FALSE)</f>
        <v>#N/A</v>
      </c>
      <c r="DZ103" s="93" t="e">
        <f>SUM(Table1[Data Referral Quarter]+Table1[Data Referral Source])</f>
        <v>#N/A</v>
      </c>
      <c r="EA103" s="44" t="b">
        <f>IF(Table1[Referral Decision]="Accepted",100,IF(Table1[Referral Decision]="Rejected by Provider",200,IF(Table1[Referral Decision]="Rejected by Applicant",300)))</f>
        <v>0</v>
      </c>
      <c r="EB103" s="44">
        <f>SUM(Table1[Data Referral Quarter]+Table1[Data Referral Decision])</f>
        <v>0</v>
      </c>
      <c r="EC103" s="44" t="b">
        <f>IF(Table1[Start Date]&gt;42735,8000,IF(Table1[Start Date]&gt;42643,7000,IF(Table1[Start Date]&gt;42551,6000,IF(Table1[Start Date]&gt;42460,5000,IF(Table1[Start Date]&gt;42369,4000,IF(Table1[Start Date]&gt;42277,3000,IF(Table1[Start Date]&gt;42185,2000,IF(Table1[Start Date]&gt;42094,1000))))))))</f>
        <v>0</v>
      </c>
      <c r="ED103" s="44" t="str">
        <f>IF(Table1[Start Date]="","",IF(Table1[Current Local Authority]="Swindon",1,"2"))</f>
        <v/>
      </c>
      <c r="EE103" s="44" t="e">
        <f>SUM(Table1[Data Start Date]+Table1[Data Local Authority])</f>
        <v>#VALUE!</v>
      </c>
      <c r="EF103" s="44">
        <f>IF(Table1[Registered with GP]="Yes",1,0)</f>
        <v>0</v>
      </c>
      <c r="EG103" s="44">
        <f>SUM(Table1[Data Start Date]+Table1[Data GP Start])</f>
        <v>0</v>
      </c>
      <c r="EH103" s="44" t="str">
        <f>IF(Table1[EET]="NEET",1,IF(Table1[EET]="Education",2,IF(Table1[EET]="Employment",2,IF(Table1[EET]="Training",2,IF(Table1[EET]="Retired",3,"")))))</f>
        <v/>
      </c>
      <c r="EI103" s="44" t="e">
        <f>Table1[Data Start Date]+Table1[Data EET Start]</f>
        <v>#VALUE!</v>
      </c>
      <c r="EJ103" s="44" t="b">
        <f>IF(Table1[Leaving Date]&gt;42735,8000,IF(Table1[Leaving Date]&gt;42643,7000,IF(Table1[Leaving Date]&gt;42551,6000,IF(Table1[Leaving Date]&gt;42460,5000,IF(Table1[Leaving Date]&gt;42369,4000,IF(Table1[Leaving Date]&gt;42277,3000,IF(Table1[Leaving Date]&gt;42185,2000,IF(Table1[Leaving Date]&gt;42094,1000))))))))</f>
        <v>0</v>
      </c>
      <c r="EK103" s="44" t="e">
        <f>VLOOKUP(Table1[Reason for Leaving],Lists!$T$2:$U$15,2,FALSE)</f>
        <v>#N/A</v>
      </c>
      <c r="EL103" s="44" t="e">
        <f>SUM(Table1[Data Leavers Date]+Table1[Data Move On])</f>
        <v>#N/A</v>
      </c>
      <c r="EM103" s="44" t="b">
        <f>IF(Table1[Registered with GP2]="Yes",1,IF(Table1[Registered with GP2]="No",0,IF(Table1[Registered with GP]="Yes",1,IF(Table1[Registered with GP]="No",0))))</f>
        <v>0</v>
      </c>
      <c r="EN103" s="44">
        <f>SUM(Table1[Data Leavers Date]+Table1[Data GP End])</f>
        <v>0</v>
      </c>
      <c r="EO103" s="44" t="str">
        <f>IF(Table1[EET2]="NEET",1,IF(Table1[EET2]="Employment",2,IF(Table1[EET2]="Education",2,IF(Table1[EET2]="Training",2,IF(Table1[EET2]="Retired",3,IF(Table1[EET]="NEET",1,IF(Table1[EET]="Employment",2,IF(Table1[EET]="Education",2,IF(Table1[EET]="Training",2,IF(Table1[EET]="Retired",3,""))))))))))</f>
        <v/>
      </c>
      <c r="EP103" s="44" t="e">
        <f>+Table1[[#This Row],[Data Leavers Date]]+Table1[[#This Row],[Data EET End]]</f>
        <v>#VALUE!</v>
      </c>
      <c r="EQ103" s="44">
        <f>IF(Table1[Exit Form Received]="Yes",1,0)</f>
        <v>0</v>
      </c>
      <c r="ER103" s="44">
        <f>+Table1[[#This Row],[Data Leavers Date]]+Table1[[#This Row],[Data Exit Forms]]</f>
        <v>0</v>
      </c>
      <c r="ES103" s="44" t="str">
        <f>IF(Table1[Data Leavers Date]=1000,SUM(Table1[Leaving Date]-Table1[Start Date]),"")</f>
        <v/>
      </c>
      <c r="ET103" s="44" t="str">
        <f>IF(Table1[Data Leavers Date]=2000,SUM(Table1[Leaving Date]-Table1[Start Date]),"")</f>
        <v/>
      </c>
      <c r="EU103" s="44" t="str">
        <f>IF(Table1[Data Leavers Date]=3000,SUM(Table1[Leaving Date]-Table1[Start Date]),"")</f>
        <v/>
      </c>
      <c r="EV103" s="44" t="str">
        <f>IF(Table1[Data Leavers Date]=4000,SUM(Table1[Leaving Date]-Table1[Start Date]),"")</f>
        <v/>
      </c>
      <c r="EW103" s="44" t="str">
        <f>IF(Table1[Data Leavers Date]=5000,SUM(Table1[Leaving Date]-Table1[Start Date]),"")</f>
        <v/>
      </c>
      <c r="EX103" s="44" t="str">
        <f>IF(Table1[Data Leavers Date]=6000,SUM(Table1[Leaving Date]-Table1[Start Date]),"")</f>
        <v/>
      </c>
      <c r="EY103" s="44" t="str">
        <f>IF(Table1[Data Leavers Date]=7000,SUM(Table1[Leaving Date]-Table1[Start Date]),"")</f>
        <v/>
      </c>
      <c r="EZ103" s="44" t="str">
        <f>IF(Table1[Data Leavers Date]=8000,SUM(Table1[Leaving Date]-Table1[Start Date]),"")</f>
        <v/>
      </c>
      <c r="FA103" s="44" t="str">
        <f>IF(Table1[Date of Initial Assessment]="","",IF(AND(Table1[Start Date]&gt;42094,Table1[Start Date]&lt;42461),Table1[Motivation and Taking Responsibility],""))</f>
        <v/>
      </c>
      <c r="FB103" s="44" t="str">
        <f>IF(Table1[Date of Initial Assessment]="","",IF(AND(Table1[Start Date]&gt;42094,Table1[Start Date]&lt;42461),Table1[Self-Care and Living Skills],""))</f>
        <v/>
      </c>
      <c r="FC103" s="44" t="str">
        <f>IF(Table1[Date of Initial Assessment]="","",IF(AND(Table1[Start Date]&gt;42094,Table1[Start Date]&lt;42461),Table1[Managing Money and Personal Administration],""))</f>
        <v/>
      </c>
      <c r="FD103" s="44" t="str">
        <f>IF(Table1[Date of Initial Assessment]="","",IF(AND(Table1[Start Date]&gt;42094,Table1[Start Date]&lt;42461),Table1[Social Networks and Relationships],""))</f>
        <v/>
      </c>
      <c r="FE103" s="44" t="str">
        <f>IF(Table1[Date of Initial Assessment]="","",IF(AND(Table1[Start Date]&gt;42094,Table1[Start Date]&lt;42461),Table1[Drug and Alcohol Misuse],""))</f>
        <v/>
      </c>
      <c r="FF103" s="44" t="str">
        <f>IF(Table1[Date of Initial Assessment]="","",IF(AND(Table1[Start Date]&gt;42094,Table1[Start Date]&lt;42461),Table1[Physical Health],""))</f>
        <v/>
      </c>
      <c r="FG103" s="44" t="str">
        <f>IF(Table1[Date of Initial Assessment]="","",IF(AND(Table1[Start Date]&gt;42094,Table1[Start Date]&lt;42461),Table1[Emotional and Mental Health],""))</f>
        <v/>
      </c>
      <c r="FH103" s="44" t="str">
        <f>IF(Table1[Date of Initial Assessment]="","",IF(AND(Table1[Start Date]&gt;42094,Table1[Start Date]&lt;42461),Table1[Meaningful Use of Time],""))</f>
        <v/>
      </c>
      <c r="FI103" s="44" t="str">
        <f>IF(Table1[Date of Initial Assessment]="","",IF(AND(Table1[Start Date]&gt;42094,Table1[Start Date]&lt;42461),Table1[Managing Tenancy and Accommodation],""))</f>
        <v/>
      </c>
      <c r="FJ103" s="44" t="str">
        <f>IF(Table1[Date of Initial Assessment]="","",IF(AND(Table1[Start Date]&gt;42094,Table1[Start Date]&lt;42461),Table1[Offending],""))</f>
        <v/>
      </c>
      <c r="FK103" s="44" t="str">
        <f>IF(Table1[Leaving Date]="","",IF(Table1[Date of Initial Assessment]="","",IF(AND(Table1[Leaving Date]&gt;42094,Table1[Leaving Date]&lt;42461),IF(Table1[Date of Last Assessment]="",Table1[Motivation and Taking Responsibility],Table1[Motivation and Taking Responsibility2]),"")))</f>
        <v/>
      </c>
      <c r="FL103" s="44" t="str">
        <f>IF(Table1[Leaving Date]="","",IF(Table1[Date of Initial Assessment]="","",IF(AND(Table1[Leaving Date]&gt;42094,Table1[Leaving Date]&lt;42461),IF(Table1[Date of Last Assessment]="",Table1[Self-Care and Living Skills],Table1[Self-Care and Living Skills2]),"")))</f>
        <v/>
      </c>
      <c r="FM103" s="44" t="str">
        <f>IF(Table1[Leaving Date]="","",IF(Table1[Date of Initial Assessment]="","",IF(AND(Table1[Leaving Date]&gt;42094,Table1[Leaving Date]&lt;42461),IF(Table1[Date of Last Assessment]="",Table1[Managing Money and Personal Administration],Table1[Managing Money and Personal Administration2]),"")))</f>
        <v/>
      </c>
      <c r="FN103" s="44" t="str">
        <f>IF(Table1[Leaving Date]="","",IF(Table1[Date of Initial Assessment]="","",IF(AND(Table1[Leaving Date]&gt;42094,Table1[Leaving Date]&lt;42461),IF(Table1[Date of Last Assessment]="",Table1[Social Networks and Relationships],Table1[Social Networks and Relationships2]),"")))</f>
        <v/>
      </c>
      <c r="FO103" s="44" t="str">
        <f>IF(Table1[Leaving Date]="","",IF(Table1[Date of Initial Assessment]="","",IF(AND(Table1[Leaving Date]&gt;42094,Table1[Leaving Date]&lt;42461),IF(Table1[Date of Last Assessment]="",Table1[Drug and Alcohol Misuse],Table1[Drug and Alcohol Misuse2]),"")))</f>
        <v/>
      </c>
      <c r="FP103" s="44" t="str">
        <f>IF(Table1[Leaving Date]="","",IF(Table1[Date of Initial Assessment]="","",IF(AND(Table1[Leaving Date]&gt;42094,Table1[Leaving Date]&lt;42461),IF(Table1[Date of Last Assessment]="",Table1[Physical Health],Table1[Physical Health2]),"")))</f>
        <v/>
      </c>
      <c r="FQ103" s="44" t="str">
        <f>IF(Table1[Leaving Date]="","",IF(Table1[Date of Initial Assessment]="","",IF(AND(Table1[Leaving Date]&gt;42094,Table1[Leaving Date]&lt;42461),IF(Table1[Date of Last Assessment]="",Table1[Emotional and Mental Health],Table1[Emotional and Mental Health2]),"")))</f>
        <v/>
      </c>
      <c r="FR103" s="44" t="str">
        <f>IF(Table1[Leaving Date]="","",IF(Table1[Date of Initial Assessment]="","",IF(AND(Table1[Leaving Date]&gt;42094,Table1[Leaving Date]&lt;42461),IF(Table1[Date of Last Assessment]="",Table1[Meaningful Use of Time],Table1[Meaningful Use of Time2]),"")))</f>
        <v/>
      </c>
      <c r="FS103" s="44" t="str">
        <f>IF(Table1[Leaving Date]="","",IF(Table1[Date of Initial Assessment]="","",IF(AND(Table1[Leaving Date]&gt;42094,Table1[Leaving Date]&lt;42461),IF(Table1[Date of Last Assessment]="",Table1[Managing Tenancy and Accommodation],Table1[Managing Tenancy and Accommodation2]),"")))</f>
        <v/>
      </c>
      <c r="FT103" s="44" t="str">
        <f>IF(Table1[Leaving Date]="","",IF(Table1[Date of Initial Assessment]="","",IF(AND(Table1[Leaving Date]&gt;42094,Table1[Leaving Date]&lt;42461),IF(Table1[Date of Last Assessment]="",Table1[Offending],Table1[Offending2]),"")))</f>
        <v/>
      </c>
      <c r="FU103" s="44" t="str">
        <f>IF(Table1[Date of Initial Assessment]="","",IF(AND(Table1[Start Date]&gt;42460,Table1[Start Date]&lt;42826),Table1[Motivation and Taking Responsibility],""))</f>
        <v/>
      </c>
      <c r="FV103" s="44" t="str">
        <f>IF(Table1[Date of Initial Assessment]="","",IF(AND(Table1[Start Date]&gt;42460,Table1[Start Date]&lt;42826),Table1[Self-Care and Living Skills],""))</f>
        <v/>
      </c>
      <c r="FW103" s="44" t="str">
        <f>IF(Table1[Date of Initial Assessment]="","",IF(AND(Table1[Start Date]&gt;42460,Table1[Start Date]&lt;42826),Table1[Managing Money and Personal Administration],""))</f>
        <v/>
      </c>
      <c r="FX103" s="44" t="str">
        <f>IF(Table1[Date of Initial Assessment]="","",IF(AND(Table1[Start Date]&gt;42460,Table1[Start Date]&lt;42826),Table1[Social Networks and Relationships],""))</f>
        <v/>
      </c>
      <c r="FY103" s="44" t="str">
        <f>IF(Table1[Date of Initial Assessment]="","",IF(AND(Table1[Start Date]&gt;42460,Table1[Start Date]&lt;42826),Table1[Drug and Alcohol Misuse],""))</f>
        <v/>
      </c>
      <c r="FZ103" s="44" t="str">
        <f>IF(Table1[Date of Initial Assessment]="","",IF(AND(Table1[Start Date]&gt;42460,Table1[Start Date]&lt;42826),Table1[Physical Health],""))</f>
        <v/>
      </c>
      <c r="GA103" s="44" t="str">
        <f>IF(Table1[Date of Initial Assessment]="","",IF(AND(Table1[Start Date]&gt;42460,Table1[Start Date]&lt;42826),Table1[Emotional and Mental Health],""))</f>
        <v/>
      </c>
      <c r="GB103" s="44" t="str">
        <f>IF(Table1[Date of Initial Assessment]="","",IF(AND(Table1[Start Date]&gt;42460,Table1[Start Date]&lt;42826),Table1[Meaningful Use of Time],""))</f>
        <v/>
      </c>
      <c r="GC103" s="44" t="str">
        <f>IF(Table1[Date of Initial Assessment]="","",IF(AND(Table1[Start Date]&gt;42460,Table1[Start Date]&lt;42826),Table1[Managing Tenancy and Accommodation],""))</f>
        <v/>
      </c>
      <c r="GD103" s="44" t="str">
        <f>IF(Table1[Date of Initial Assessment]="","",IF(AND(Table1[Start Date]&gt;42460,Table1[Start Date]&lt;42826),Table1[Offending],""))</f>
        <v/>
      </c>
      <c r="GE103" s="44" t="str">
        <f>IF(Table1[Leaving Date]="","",IF(AND(Table1[Leaving Date]&gt;42460,Table1[Leaving Date]&lt;42826),IF(Table1[Date of Last Assessment]="",Table1[Motivation and Taking Responsibility],Table1[Motivation and Taking Responsibility2]),""))</f>
        <v/>
      </c>
      <c r="GF103" s="44" t="str">
        <f>IF(Table1[Leaving Date]="","",IF(AND(Table1[Leaving Date]&gt;42460,Table1[Leaving Date]&lt;42826),IF(Table1[Date of Last Assessment]="",Table1[Self-Care and Living Skills],Table1[Self-Care and Living Skills2]),""))</f>
        <v/>
      </c>
      <c r="GG103" s="44" t="str">
        <f>IF(Table1[Leaving Date]="","",IF(AND(Table1[Leaving Date]&gt;42460,Table1[Leaving Date]&lt;42826),IF(Table1[Date of Last Assessment]="",Table1[Managing Money and Personal Administration],Table1[Managing Money and Personal Administration2]),""))</f>
        <v/>
      </c>
      <c r="GH103" s="44" t="str">
        <f>IF(Table1[Leaving Date]="","",IF(AND(Table1[Leaving Date]&gt;42460,Table1[Leaving Date]&lt;42826),IF(Table1[Date of Last Assessment]="",Table1[Social Networks and Relationships],Table1[Social Networks and Relationships2]),""))</f>
        <v/>
      </c>
      <c r="GI103" s="44" t="str">
        <f>IF(Table1[Leaving Date]="","",IF(AND(Table1[Leaving Date]&gt;42460,Table1[Leaving Date]&lt;42826),IF(Table1[Date of Last Assessment]="",Table1[Drug and Alcohol Misuse],Table1[Drug and Alcohol Misuse2]),""))</f>
        <v/>
      </c>
      <c r="GJ103" s="44" t="str">
        <f>IF(Table1[Leaving Date]="","",IF(AND(Table1[Leaving Date]&gt;42460,Table1[Leaving Date]&lt;42826),IF(Table1[Date of Last Assessment]="",Table1[Physical Health],Table1[Physical Health2]),""))</f>
        <v/>
      </c>
      <c r="GK103" s="44" t="str">
        <f>IF(Table1[Leaving Date]="","",IF(AND(Table1[Leaving Date]&gt;42460,Table1[Leaving Date]&lt;42826),IF(Table1[Date of Last Assessment]="",Table1[Emotional and Mental Health],Table1[Emotional and Mental Health2]),""))</f>
        <v/>
      </c>
      <c r="GL103" s="44" t="str">
        <f>IF(Table1[Leaving Date]="","",IF(AND(Table1[Leaving Date]&gt;42460,Table1[Leaving Date]&lt;42826),IF(Table1[Date of Last Assessment]="",Table1[Meaningful Use of Time],Table1[Meaningful Use of Time2]),""))</f>
        <v/>
      </c>
      <c r="GM103" s="44" t="str">
        <f>IF(Table1[Leaving Date]="","",IF(AND(Table1[Leaving Date]&gt;42460,Table1[Leaving Date]&lt;42826),IF(Table1[Date of Last Assessment]="",Table1[Managing Tenancy and Accommodation],Table1[Managing Tenancy and Accommodation2]),""))</f>
        <v/>
      </c>
      <c r="GN103" s="44" t="str">
        <f>IF(Table1[Leaving Date]="","",IF(AND(Table1[Leaving Date]&gt;42460,Table1[Leaving Date]&lt;42826),IF(Table1[Date of Last Assessment]="",Table1[Offending],Table1[Offending2]),""))</f>
        <v/>
      </c>
    </row>
    <row r="104" spans="2:196" ht="20.100000000000001" customHeight="1" x14ac:dyDescent="0.2">
      <c r="B104" s="86">
        <f>+'Service Data'!$C$5:$C$5</f>
        <v>0</v>
      </c>
      <c r="C104" s="86"/>
      <c r="D104" s="86"/>
      <c r="E104" s="86"/>
      <c r="F104" s="86"/>
      <c r="G104" s="86"/>
      <c r="H104" s="6"/>
      <c r="I104" s="99" t="str">
        <f ca="1">IF(Table1[[#This Row],[Date of Birth]]="","",SUM(TODAY()-Table1[[#This Row],[Date of Birth]])/365)</f>
        <v/>
      </c>
      <c r="L104" s="86"/>
      <c r="M104" s="77"/>
      <c r="N104" s="86"/>
      <c r="O104" s="86"/>
      <c r="P104" s="91"/>
      <c r="Q104" s="86"/>
      <c r="R104" s="77"/>
      <c r="S104" s="77"/>
      <c r="T104" s="68"/>
      <c r="U104" s="68"/>
      <c r="V104" s="67"/>
      <c r="W104" s="67"/>
      <c r="X104" s="67"/>
      <c r="Y104" s="67"/>
      <c r="Z104" s="67"/>
      <c r="AA104" s="67"/>
      <c r="AB104" s="67"/>
      <c r="AC104" s="67"/>
      <c r="AD104" s="67"/>
      <c r="AE104" s="67"/>
      <c r="AF104" s="67"/>
      <c r="AG104" s="67"/>
      <c r="AH104" s="67"/>
      <c r="AI104" s="67"/>
      <c r="AJ104" s="67"/>
      <c r="AK104" s="67"/>
      <c r="AL104" s="67"/>
      <c r="AM104" s="67"/>
      <c r="AN104" s="77"/>
      <c r="AO104" s="76"/>
      <c r="AP104" s="77"/>
      <c r="AQ104" s="76"/>
      <c r="AR104" s="76"/>
      <c r="AS104" s="76"/>
      <c r="AT104" s="76"/>
      <c r="AU104" s="76"/>
      <c r="AV104" s="77"/>
      <c r="AW104" s="76"/>
      <c r="AX104" s="77"/>
      <c r="AY104" s="76"/>
      <c r="AZ104" s="76"/>
      <c r="BA104" s="76"/>
      <c r="BB104" s="76"/>
      <c r="BC104" s="76"/>
      <c r="BD104" s="77"/>
      <c r="BE104" s="76"/>
      <c r="BF104" s="77"/>
      <c r="BG104" s="76"/>
      <c r="BH104" s="76"/>
      <c r="BI104" s="76"/>
      <c r="BJ104" s="76"/>
      <c r="BK104" s="76"/>
      <c r="BL104" s="77"/>
      <c r="BM104" s="76"/>
      <c r="BN104" s="77"/>
      <c r="BO104" s="76"/>
      <c r="BP104" s="76"/>
      <c r="BQ104" s="76"/>
      <c r="BR104" s="76"/>
      <c r="BS104" s="76"/>
      <c r="BT104" s="77"/>
      <c r="BU104" s="76"/>
      <c r="BV104" s="77"/>
      <c r="BW104" s="76"/>
      <c r="BX104" s="76"/>
      <c r="BY104" s="76"/>
      <c r="BZ104" s="76"/>
      <c r="CA104" s="76"/>
      <c r="CB104" s="77"/>
      <c r="CC104" s="76"/>
      <c r="CD104" s="77"/>
      <c r="CE104" s="76"/>
      <c r="CF104" s="76"/>
      <c r="CG104" s="76"/>
      <c r="CH104" s="76"/>
      <c r="CI104" s="76"/>
      <c r="CJ104" s="77"/>
      <c r="CK104" s="76"/>
      <c r="CL104" s="77"/>
      <c r="CM104" s="76"/>
      <c r="CN104" s="76"/>
      <c r="CO104" s="76"/>
      <c r="CP104" s="76"/>
      <c r="CQ104" s="76"/>
      <c r="CR104" s="78" t="str">
        <f t="shared" si="31"/>
        <v/>
      </c>
      <c r="CS104" s="79" t="str">
        <f t="shared" si="32"/>
        <v/>
      </c>
      <c r="CT104" s="79" t="str">
        <f t="shared" si="33"/>
        <v/>
      </c>
      <c r="CU104" s="79" t="str">
        <f t="shared" si="34"/>
        <v/>
      </c>
      <c r="CV104" s="79" t="str">
        <f t="shared" si="35"/>
        <v/>
      </c>
      <c r="CW104" s="79" t="str">
        <f t="shared" si="36"/>
        <v/>
      </c>
      <c r="CX104" s="79" t="str">
        <f t="shared" si="37"/>
        <v/>
      </c>
      <c r="CY104" s="79" t="str">
        <f t="shared" si="38"/>
        <v/>
      </c>
      <c r="CZ104" s="79" t="str">
        <f t="shared" si="39"/>
        <v/>
      </c>
      <c r="DA104" s="79" t="str">
        <f t="shared" si="40"/>
        <v/>
      </c>
      <c r="DB104" s="79" t="str">
        <f t="shared" si="41"/>
        <v/>
      </c>
      <c r="DC104" s="79" t="str">
        <f t="shared" si="42"/>
        <v/>
      </c>
      <c r="DD104" s="79" t="str">
        <f t="shared" si="43"/>
        <v/>
      </c>
      <c r="DE104" s="79" t="str">
        <f t="shared" si="44"/>
        <v/>
      </c>
      <c r="DF104" s="79" t="str">
        <f t="shared" si="45"/>
        <v/>
      </c>
      <c r="DG104" s="79" t="str">
        <f t="shared" si="46"/>
        <v/>
      </c>
      <c r="DH104" s="76"/>
      <c r="DI104" s="78"/>
      <c r="DJ104" s="76"/>
      <c r="DK104" s="77"/>
      <c r="DL104" s="77"/>
      <c r="DM104" s="77"/>
      <c r="DN104" s="80"/>
      <c r="DO104" s="80"/>
      <c r="DP104" s="92" t="str">
        <f>IF(Table1[Start Date]="","",IF(Table1[Start Date]&gt;42185,"",IF(AND(Table1[Leaving Date]&gt;1,Table1[Leaving Date]&lt;42095),"",1)))</f>
        <v/>
      </c>
      <c r="DQ104" s="92" t="str">
        <f>IF(Table1[Start Date]="","",IF(Table1[Start Date]&gt;42277,"",IF(AND(Table1[Leaving Date]&gt;1,Table1[Leaving Date]&lt;42186),"",1)))</f>
        <v/>
      </c>
      <c r="DR104" s="92" t="str">
        <f>IF(Table1[Start Date]="","",IF(Table1[Start Date]&gt;42369,"",IF(AND(Table1[Leaving Date]&gt;1,Table1[Leaving Date]&lt;42278),"",1)))</f>
        <v/>
      </c>
      <c r="DS104" s="92" t="str">
        <f>IF(Table1[Start Date]="","",IF(Table1[Start Date]&gt;42460,"",IF(AND(Table1[Leaving Date]&gt;1,Table1[Leaving Date]&lt;42370),"",1)))</f>
        <v/>
      </c>
      <c r="DT104" s="92" t="str">
        <f>IF(Table1[Start Date]="","",IF(Table1[Start Date]&gt;42551,"",IF(AND(Table1[Leaving Date]&gt;1,Table1[Leaving Date]&lt;42461),"",1)))</f>
        <v/>
      </c>
      <c r="DU104" s="92" t="str">
        <f>IF(Table1[Start Date]="","",IF(Table1[Start Date]&gt;42643,"",IF(AND(Table1[Leaving Date]&gt;1,Table1[Leaving Date]&lt;42552),"",1)))</f>
        <v/>
      </c>
      <c r="DV104" s="92" t="str">
        <f>IF(Table1[Start Date]="","",IF(Table1[Start Date]&gt;42735,"",IF(AND(Table1[Leaving Date]&gt;1,Table1[Leaving Date]&lt;42644),"",1)))</f>
        <v/>
      </c>
      <c r="DW104" s="92" t="str">
        <f>IF(Table1[Start Date]="","",IF(Table1[Start Date]&gt;42825,"",IF(AND(Table1[Leaving Date]&gt;1,Table1[Leaving Date]&lt;42736),"",1)))</f>
        <v/>
      </c>
      <c r="DX104"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104" s="44" t="e">
        <f>VLOOKUP(Table1[Referral Source],Lists!$G$2:$H$20,2,FALSE)</f>
        <v>#N/A</v>
      </c>
      <c r="DZ104" s="93" t="e">
        <f>SUM(Table1[Data Referral Quarter]+Table1[Data Referral Source])</f>
        <v>#N/A</v>
      </c>
      <c r="EA104" s="44" t="b">
        <f>IF(Table1[Referral Decision]="Accepted",100,IF(Table1[Referral Decision]="Rejected by Provider",200,IF(Table1[Referral Decision]="Rejected by Applicant",300)))</f>
        <v>0</v>
      </c>
      <c r="EB104" s="44">
        <f>SUM(Table1[Data Referral Quarter]+Table1[Data Referral Decision])</f>
        <v>0</v>
      </c>
      <c r="EC104" s="44" t="b">
        <f>IF(Table1[Start Date]&gt;42735,8000,IF(Table1[Start Date]&gt;42643,7000,IF(Table1[Start Date]&gt;42551,6000,IF(Table1[Start Date]&gt;42460,5000,IF(Table1[Start Date]&gt;42369,4000,IF(Table1[Start Date]&gt;42277,3000,IF(Table1[Start Date]&gt;42185,2000,IF(Table1[Start Date]&gt;42094,1000))))))))</f>
        <v>0</v>
      </c>
      <c r="ED104" s="44" t="str">
        <f>IF(Table1[Start Date]="","",IF(Table1[Current Local Authority]="Swindon",1,"2"))</f>
        <v/>
      </c>
      <c r="EE104" s="44" t="e">
        <f>SUM(Table1[Data Start Date]+Table1[Data Local Authority])</f>
        <v>#VALUE!</v>
      </c>
      <c r="EF104" s="44">
        <f>IF(Table1[Registered with GP]="Yes",1,0)</f>
        <v>0</v>
      </c>
      <c r="EG104" s="44">
        <f>SUM(Table1[Data Start Date]+Table1[Data GP Start])</f>
        <v>0</v>
      </c>
      <c r="EH104" s="44" t="str">
        <f>IF(Table1[EET]="NEET",1,IF(Table1[EET]="Education",2,IF(Table1[EET]="Employment",2,IF(Table1[EET]="Training",2,IF(Table1[EET]="Retired",3,"")))))</f>
        <v/>
      </c>
      <c r="EI104" s="44" t="e">
        <f>Table1[Data Start Date]+Table1[Data EET Start]</f>
        <v>#VALUE!</v>
      </c>
      <c r="EJ104" s="44" t="b">
        <f>IF(Table1[Leaving Date]&gt;42735,8000,IF(Table1[Leaving Date]&gt;42643,7000,IF(Table1[Leaving Date]&gt;42551,6000,IF(Table1[Leaving Date]&gt;42460,5000,IF(Table1[Leaving Date]&gt;42369,4000,IF(Table1[Leaving Date]&gt;42277,3000,IF(Table1[Leaving Date]&gt;42185,2000,IF(Table1[Leaving Date]&gt;42094,1000))))))))</f>
        <v>0</v>
      </c>
      <c r="EK104" s="44" t="e">
        <f>VLOOKUP(Table1[Reason for Leaving],Lists!$T$2:$U$15,2,FALSE)</f>
        <v>#N/A</v>
      </c>
      <c r="EL104" s="44" t="e">
        <f>SUM(Table1[Data Leavers Date]+Table1[Data Move On])</f>
        <v>#N/A</v>
      </c>
      <c r="EM104" s="44" t="b">
        <f>IF(Table1[Registered with GP2]="Yes",1,IF(Table1[Registered with GP2]="No",0,IF(Table1[Registered with GP]="Yes",1,IF(Table1[Registered with GP]="No",0))))</f>
        <v>0</v>
      </c>
      <c r="EN104" s="44">
        <f>SUM(Table1[Data Leavers Date]+Table1[Data GP End])</f>
        <v>0</v>
      </c>
      <c r="EO104" s="44" t="str">
        <f>IF(Table1[EET2]="NEET",1,IF(Table1[EET2]="Employment",2,IF(Table1[EET2]="Education",2,IF(Table1[EET2]="Training",2,IF(Table1[EET2]="Retired",3,IF(Table1[EET]="NEET",1,IF(Table1[EET]="Employment",2,IF(Table1[EET]="Education",2,IF(Table1[EET]="Training",2,IF(Table1[EET]="Retired",3,""))))))))))</f>
        <v/>
      </c>
      <c r="EP104" s="44" t="e">
        <f>+Table1[[#This Row],[Data Leavers Date]]+Table1[[#This Row],[Data EET End]]</f>
        <v>#VALUE!</v>
      </c>
      <c r="EQ104" s="44">
        <f>IF(Table1[Exit Form Received]="Yes",1,0)</f>
        <v>0</v>
      </c>
      <c r="ER104" s="44">
        <f>+Table1[[#This Row],[Data Leavers Date]]+Table1[[#This Row],[Data Exit Forms]]</f>
        <v>0</v>
      </c>
      <c r="ES104" s="44" t="str">
        <f>IF(Table1[Data Leavers Date]=1000,SUM(Table1[Leaving Date]-Table1[Start Date]),"")</f>
        <v/>
      </c>
      <c r="ET104" s="44" t="str">
        <f>IF(Table1[Data Leavers Date]=2000,SUM(Table1[Leaving Date]-Table1[Start Date]),"")</f>
        <v/>
      </c>
      <c r="EU104" s="44" t="str">
        <f>IF(Table1[Data Leavers Date]=3000,SUM(Table1[Leaving Date]-Table1[Start Date]),"")</f>
        <v/>
      </c>
      <c r="EV104" s="44" t="str">
        <f>IF(Table1[Data Leavers Date]=4000,SUM(Table1[Leaving Date]-Table1[Start Date]),"")</f>
        <v/>
      </c>
      <c r="EW104" s="44" t="str">
        <f>IF(Table1[Data Leavers Date]=5000,SUM(Table1[Leaving Date]-Table1[Start Date]),"")</f>
        <v/>
      </c>
      <c r="EX104" s="44" t="str">
        <f>IF(Table1[Data Leavers Date]=6000,SUM(Table1[Leaving Date]-Table1[Start Date]),"")</f>
        <v/>
      </c>
      <c r="EY104" s="44" t="str">
        <f>IF(Table1[Data Leavers Date]=7000,SUM(Table1[Leaving Date]-Table1[Start Date]),"")</f>
        <v/>
      </c>
      <c r="EZ104" s="44" t="str">
        <f>IF(Table1[Data Leavers Date]=8000,SUM(Table1[Leaving Date]-Table1[Start Date]),"")</f>
        <v/>
      </c>
      <c r="FA104" s="44" t="str">
        <f>IF(Table1[Date of Initial Assessment]="","",IF(AND(Table1[Start Date]&gt;42094,Table1[Start Date]&lt;42461),Table1[Motivation and Taking Responsibility],""))</f>
        <v/>
      </c>
      <c r="FB104" s="44" t="str">
        <f>IF(Table1[Date of Initial Assessment]="","",IF(AND(Table1[Start Date]&gt;42094,Table1[Start Date]&lt;42461),Table1[Self-Care and Living Skills],""))</f>
        <v/>
      </c>
      <c r="FC104" s="44" t="str">
        <f>IF(Table1[Date of Initial Assessment]="","",IF(AND(Table1[Start Date]&gt;42094,Table1[Start Date]&lt;42461),Table1[Managing Money and Personal Administration],""))</f>
        <v/>
      </c>
      <c r="FD104" s="44" t="str">
        <f>IF(Table1[Date of Initial Assessment]="","",IF(AND(Table1[Start Date]&gt;42094,Table1[Start Date]&lt;42461),Table1[Social Networks and Relationships],""))</f>
        <v/>
      </c>
      <c r="FE104" s="44" t="str">
        <f>IF(Table1[Date of Initial Assessment]="","",IF(AND(Table1[Start Date]&gt;42094,Table1[Start Date]&lt;42461),Table1[Drug and Alcohol Misuse],""))</f>
        <v/>
      </c>
      <c r="FF104" s="44" t="str">
        <f>IF(Table1[Date of Initial Assessment]="","",IF(AND(Table1[Start Date]&gt;42094,Table1[Start Date]&lt;42461),Table1[Physical Health],""))</f>
        <v/>
      </c>
      <c r="FG104" s="44" t="str">
        <f>IF(Table1[Date of Initial Assessment]="","",IF(AND(Table1[Start Date]&gt;42094,Table1[Start Date]&lt;42461),Table1[Emotional and Mental Health],""))</f>
        <v/>
      </c>
      <c r="FH104" s="44" t="str">
        <f>IF(Table1[Date of Initial Assessment]="","",IF(AND(Table1[Start Date]&gt;42094,Table1[Start Date]&lt;42461),Table1[Meaningful Use of Time],""))</f>
        <v/>
      </c>
      <c r="FI104" s="44" t="str">
        <f>IF(Table1[Date of Initial Assessment]="","",IF(AND(Table1[Start Date]&gt;42094,Table1[Start Date]&lt;42461),Table1[Managing Tenancy and Accommodation],""))</f>
        <v/>
      </c>
      <c r="FJ104" s="44" t="str">
        <f>IF(Table1[Date of Initial Assessment]="","",IF(AND(Table1[Start Date]&gt;42094,Table1[Start Date]&lt;42461),Table1[Offending],""))</f>
        <v/>
      </c>
      <c r="FK104" s="44" t="str">
        <f>IF(Table1[Leaving Date]="","",IF(Table1[Date of Initial Assessment]="","",IF(AND(Table1[Leaving Date]&gt;42094,Table1[Leaving Date]&lt;42461),IF(Table1[Date of Last Assessment]="",Table1[Motivation and Taking Responsibility],Table1[Motivation and Taking Responsibility2]),"")))</f>
        <v/>
      </c>
      <c r="FL104" s="44" t="str">
        <f>IF(Table1[Leaving Date]="","",IF(Table1[Date of Initial Assessment]="","",IF(AND(Table1[Leaving Date]&gt;42094,Table1[Leaving Date]&lt;42461),IF(Table1[Date of Last Assessment]="",Table1[Self-Care and Living Skills],Table1[Self-Care and Living Skills2]),"")))</f>
        <v/>
      </c>
      <c r="FM104" s="44" t="str">
        <f>IF(Table1[Leaving Date]="","",IF(Table1[Date of Initial Assessment]="","",IF(AND(Table1[Leaving Date]&gt;42094,Table1[Leaving Date]&lt;42461),IF(Table1[Date of Last Assessment]="",Table1[Managing Money and Personal Administration],Table1[Managing Money and Personal Administration2]),"")))</f>
        <v/>
      </c>
      <c r="FN104" s="44" t="str">
        <f>IF(Table1[Leaving Date]="","",IF(Table1[Date of Initial Assessment]="","",IF(AND(Table1[Leaving Date]&gt;42094,Table1[Leaving Date]&lt;42461),IF(Table1[Date of Last Assessment]="",Table1[Social Networks and Relationships],Table1[Social Networks and Relationships2]),"")))</f>
        <v/>
      </c>
      <c r="FO104" s="44" t="str">
        <f>IF(Table1[Leaving Date]="","",IF(Table1[Date of Initial Assessment]="","",IF(AND(Table1[Leaving Date]&gt;42094,Table1[Leaving Date]&lt;42461),IF(Table1[Date of Last Assessment]="",Table1[Drug and Alcohol Misuse],Table1[Drug and Alcohol Misuse2]),"")))</f>
        <v/>
      </c>
      <c r="FP104" s="44" t="str">
        <f>IF(Table1[Leaving Date]="","",IF(Table1[Date of Initial Assessment]="","",IF(AND(Table1[Leaving Date]&gt;42094,Table1[Leaving Date]&lt;42461),IF(Table1[Date of Last Assessment]="",Table1[Physical Health],Table1[Physical Health2]),"")))</f>
        <v/>
      </c>
      <c r="FQ104" s="44" t="str">
        <f>IF(Table1[Leaving Date]="","",IF(Table1[Date of Initial Assessment]="","",IF(AND(Table1[Leaving Date]&gt;42094,Table1[Leaving Date]&lt;42461),IF(Table1[Date of Last Assessment]="",Table1[Emotional and Mental Health],Table1[Emotional and Mental Health2]),"")))</f>
        <v/>
      </c>
      <c r="FR104" s="44" t="str">
        <f>IF(Table1[Leaving Date]="","",IF(Table1[Date of Initial Assessment]="","",IF(AND(Table1[Leaving Date]&gt;42094,Table1[Leaving Date]&lt;42461),IF(Table1[Date of Last Assessment]="",Table1[Meaningful Use of Time],Table1[Meaningful Use of Time2]),"")))</f>
        <v/>
      </c>
      <c r="FS104" s="44" t="str">
        <f>IF(Table1[Leaving Date]="","",IF(Table1[Date of Initial Assessment]="","",IF(AND(Table1[Leaving Date]&gt;42094,Table1[Leaving Date]&lt;42461),IF(Table1[Date of Last Assessment]="",Table1[Managing Tenancy and Accommodation],Table1[Managing Tenancy and Accommodation2]),"")))</f>
        <v/>
      </c>
      <c r="FT104" s="44" t="str">
        <f>IF(Table1[Leaving Date]="","",IF(Table1[Date of Initial Assessment]="","",IF(AND(Table1[Leaving Date]&gt;42094,Table1[Leaving Date]&lt;42461),IF(Table1[Date of Last Assessment]="",Table1[Offending],Table1[Offending2]),"")))</f>
        <v/>
      </c>
      <c r="FU104" s="44" t="str">
        <f>IF(Table1[Date of Initial Assessment]="","",IF(AND(Table1[Start Date]&gt;42460,Table1[Start Date]&lt;42826),Table1[Motivation and Taking Responsibility],""))</f>
        <v/>
      </c>
      <c r="FV104" s="44" t="str">
        <f>IF(Table1[Date of Initial Assessment]="","",IF(AND(Table1[Start Date]&gt;42460,Table1[Start Date]&lt;42826),Table1[Self-Care and Living Skills],""))</f>
        <v/>
      </c>
      <c r="FW104" s="44" t="str">
        <f>IF(Table1[Date of Initial Assessment]="","",IF(AND(Table1[Start Date]&gt;42460,Table1[Start Date]&lt;42826),Table1[Managing Money and Personal Administration],""))</f>
        <v/>
      </c>
      <c r="FX104" s="44" t="str">
        <f>IF(Table1[Date of Initial Assessment]="","",IF(AND(Table1[Start Date]&gt;42460,Table1[Start Date]&lt;42826),Table1[Social Networks and Relationships],""))</f>
        <v/>
      </c>
      <c r="FY104" s="44" t="str">
        <f>IF(Table1[Date of Initial Assessment]="","",IF(AND(Table1[Start Date]&gt;42460,Table1[Start Date]&lt;42826),Table1[Drug and Alcohol Misuse],""))</f>
        <v/>
      </c>
      <c r="FZ104" s="44" t="str">
        <f>IF(Table1[Date of Initial Assessment]="","",IF(AND(Table1[Start Date]&gt;42460,Table1[Start Date]&lt;42826),Table1[Physical Health],""))</f>
        <v/>
      </c>
      <c r="GA104" s="44" t="str">
        <f>IF(Table1[Date of Initial Assessment]="","",IF(AND(Table1[Start Date]&gt;42460,Table1[Start Date]&lt;42826),Table1[Emotional and Mental Health],""))</f>
        <v/>
      </c>
      <c r="GB104" s="44" t="str">
        <f>IF(Table1[Date of Initial Assessment]="","",IF(AND(Table1[Start Date]&gt;42460,Table1[Start Date]&lt;42826),Table1[Meaningful Use of Time],""))</f>
        <v/>
      </c>
      <c r="GC104" s="44" t="str">
        <f>IF(Table1[Date of Initial Assessment]="","",IF(AND(Table1[Start Date]&gt;42460,Table1[Start Date]&lt;42826),Table1[Managing Tenancy and Accommodation],""))</f>
        <v/>
      </c>
      <c r="GD104" s="44" t="str">
        <f>IF(Table1[Date of Initial Assessment]="","",IF(AND(Table1[Start Date]&gt;42460,Table1[Start Date]&lt;42826),Table1[Offending],""))</f>
        <v/>
      </c>
      <c r="GE104" s="44" t="str">
        <f>IF(Table1[Leaving Date]="","",IF(AND(Table1[Leaving Date]&gt;42460,Table1[Leaving Date]&lt;42826),IF(Table1[Date of Last Assessment]="",Table1[Motivation and Taking Responsibility],Table1[Motivation and Taking Responsibility2]),""))</f>
        <v/>
      </c>
      <c r="GF104" s="44" t="str">
        <f>IF(Table1[Leaving Date]="","",IF(AND(Table1[Leaving Date]&gt;42460,Table1[Leaving Date]&lt;42826),IF(Table1[Date of Last Assessment]="",Table1[Self-Care and Living Skills],Table1[Self-Care and Living Skills2]),""))</f>
        <v/>
      </c>
      <c r="GG104" s="44" t="str">
        <f>IF(Table1[Leaving Date]="","",IF(AND(Table1[Leaving Date]&gt;42460,Table1[Leaving Date]&lt;42826),IF(Table1[Date of Last Assessment]="",Table1[Managing Money and Personal Administration],Table1[Managing Money and Personal Administration2]),""))</f>
        <v/>
      </c>
      <c r="GH104" s="44" t="str">
        <f>IF(Table1[Leaving Date]="","",IF(AND(Table1[Leaving Date]&gt;42460,Table1[Leaving Date]&lt;42826),IF(Table1[Date of Last Assessment]="",Table1[Social Networks and Relationships],Table1[Social Networks and Relationships2]),""))</f>
        <v/>
      </c>
      <c r="GI104" s="44" t="str">
        <f>IF(Table1[Leaving Date]="","",IF(AND(Table1[Leaving Date]&gt;42460,Table1[Leaving Date]&lt;42826),IF(Table1[Date of Last Assessment]="",Table1[Drug and Alcohol Misuse],Table1[Drug and Alcohol Misuse2]),""))</f>
        <v/>
      </c>
      <c r="GJ104" s="44" t="str">
        <f>IF(Table1[Leaving Date]="","",IF(AND(Table1[Leaving Date]&gt;42460,Table1[Leaving Date]&lt;42826),IF(Table1[Date of Last Assessment]="",Table1[Physical Health],Table1[Physical Health2]),""))</f>
        <v/>
      </c>
      <c r="GK104" s="44" t="str">
        <f>IF(Table1[Leaving Date]="","",IF(AND(Table1[Leaving Date]&gt;42460,Table1[Leaving Date]&lt;42826),IF(Table1[Date of Last Assessment]="",Table1[Emotional and Mental Health],Table1[Emotional and Mental Health2]),""))</f>
        <v/>
      </c>
      <c r="GL104" s="44" t="str">
        <f>IF(Table1[Leaving Date]="","",IF(AND(Table1[Leaving Date]&gt;42460,Table1[Leaving Date]&lt;42826),IF(Table1[Date of Last Assessment]="",Table1[Meaningful Use of Time],Table1[Meaningful Use of Time2]),""))</f>
        <v/>
      </c>
      <c r="GM104" s="44" t="str">
        <f>IF(Table1[Leaving Date]="","",IF(AND(Table1[Leaving Date]&gt;42460,Table1[Leaving Date]&lt;42826),IF(Table1[Date of Last Assessment]="",Table1[Managing Tenancy and Accommodation],Table1[Managing Tenancy and Accommodation2]),""))</f>
        <v/>
      </c>
      <c r="GN104" s="44" t="str">
        <f>IF(Table1[Leaving Date]="","",IF(AND(Table1[Leaving Date]&gt;42460,Table1[Leaving Date]&lt;42826),IF(Table1[Date of Last Assessment]="",Table1[Offending],Table1[Offending2]),""))</f>
        <v/>
      </c>
    </row>
    <row r="105" spans="2:196" ht="20.100000000000001" customHeight="1" x14ac:dyDescent="0.2">
      <c r="B105" s="86">
        <f>+'Service Data'!$C$5:$C$5</f>
        <v>0</v>
      </c>
      <c r="C105" s="86"/>
      <c r="D105" s="86"/>
      <c r="E105" s="86"/>
      <c r="F105" s="86"/>
      <c r="G105" s="86"/>
      <c r="H105" s="6"/>
      <c r="I105" s="99" t="str">
        <f ca="1">IF(Table1[[#This Row],[Date of Birth]]="","",SUM(TODAY()-Table1[[#This Row],[Date of Birth]])/365)</f>
        <v/>
      </c>
      <c r="L105" s="86"/>
      <c r="M105" s="77"/>
      <c r="N105" s="86"/>
      <c r="O105" s="86"/>
      <c r="P105" s="91"/>
      <c r="Q105" s="86"/>
      <c r="R105" s="77"/>
      <c r="S105" s="77"/>
      <c r="T105" s="68"/>
      <c r="U105" s="68"/>
      <c r="V105" s="67"/>
      <c r="W105" s="67"/>
      <c r="X105" s="67"/>
      <c r="Y105" s="67"/>
      <c r="Z105" s="67"/>
      <c r="AA105" s="67"/>
      <c r="AB105" s="67"/>
      <c r="AC105" s="67"/>
      <c r="AD105" s="67"/>
      <c r="AE105" s="67"/>
      <c r="AF105" s="67"/>
      <c r="AG105" s="67"/>
      <c r="AH105" s="67"/>
      <c r="AI105" s="67"/>
      <c r="AJ105" s="67"/>
      <c r="AK105" s="67"/>
      <c r="AL105" s="67"/>
      <c r="AM105" s="67"/>
      <c r="AN105" s="77"/>
      <c r="AO105" s="76"/>
      <c r="AP105" s="77"/>
      <c r="AQ105" s="76"/>
      <c r="AR105" s="76"/>
      <c r="AS105" s="76"/>
      <c r="AT105" s="76"/>
      <c r="AU105" s="76"/>
      <c r="AV105" s="77"/>
      <c r="AW105" s="76"/>
      <c r="AX105" s="77"/>
      <c r="AY105" s="76"/>
      <c r="AZ105" s="76"/>
      <c r="BA105" s="76"/>
      <c r="BB105" s="76"/>
      <c r="BC105" s="76"/>
      <c r="BD105" s="77"/>
      <c r="BE105" s="76"/>
      <c r="BF105" s="77"/>
      <c r="BG105" s="76"/>
      <c r="BH105" s="76"/>
      <c r="BI105" s="76"/>
      <c r="BJ105" s="76"/>
      <c r="BK105" s="76"/>
      <c r="BL105" s="77"/>
      <c r="BM105" s="76"/>
      <c r="BN105" s="77"/>
      <c r="BO105" s="76"/>
      <c r="BP105" s="76"/>
      <c r="BQ105" s="76"/>
      <c r="BR105" s="76"/>
      <c r="BS105" s="76"/>
      <c r="BT105" s="77"/>
      <c r="BU105" s="76"/>
      <c r="BV105" s="77"/>
      <c r="BW105" s="76"/>
      <c r="BX105" s="76"/>
      <c r="BY105" s="76"/>
      <c r="BZ105" s="76"/>
      <c r="CA105" s="76"/>
      <c r="CB105" s="77"/>
      <c r="CC105" s="76"/>
      <c r="CD105" s="77"/>
      <c r="CE105" s="76"/>
      <c r="CF105" s="76"/>
      <c r="CG105" s="76"/>
      <c r="CH105" s="76"/>
      <c r="CI105" s="76"/>
      <c r="CJ105" s="77"/>
      <c r="CK105" s="76"/>
      <c r="CL105" s="77"/>
      <c r="CM105" s="76"/>
      <c r="CN105" s="76"/>
      <c r="CO105" s="76"/>
      <c r="CP105" s="76"/>
      <c r="CQ105" s="76"/>
      <c r="CR105" s="78" t="str">
        <f t="shared" si="31"/>
        <v/>
      </c>
      <c r="CS105" s="79" t="str">
        <f t="shared" si="32"/>
        <v/>
      </c>
      <c r="CT105" s="79" t="str">
        <f t="shared" si="33"/>
        <v/>
      </c>
      <c r="CU105" s="79" t="str">
        <f t="shared" si="34"/>
        <v/>
      </c>
      <c r="CV105" s="79" t="str">
        <f t="shared" si="35"/>
        <v/>
      </c>
      <c r="CW105" s="79" t="str">
        <f t="shared" si="36"/>
        <v/>
      </c>
      <c r="CX105" s="79" t="str">
        <f t="shared" si="37"/>
        <v/>
      </c>
      <c r="CY105" s="79" t="str">
        <f t="shared" si="38"/>
        <v/>
      </c>
      <c r="CZ105" s="79" t="str">
        <f t="shared" si="39"/>
        <v/>
      </c>
      <c r="DA105" s="79" t="str">
        <f t="shared" si="40"/>
        <v/>
      </c>
      <c r="DB105" s="79" t="str">
        <f t="shared" si="41"/>
        <v/>
      </c>
      <c r="DC105" s="79" t="str">
        <f t="shared" si="42"/>
        <v/>
      </c>
      <c r="DD105" s="79" t="str">
        <f t="shared" si="43"/>
        <v/>
      </c>
      <c r="DE105" s="79" t="str">
        <f t="shared" si="44"/>
        <v/>
      </c>
      <c r="DF105" s="79" t="str">
        <f t="shared" si="45"/>
        <v/>
      </c>
      <c r="DG105" s="79" t="str">
        <f t="shared" si="46"/>
        <v/>
      </c>
      <c r="DH105" s="76"/>
      <c r="DI105" s="78"/>
      <c r="DJ105" s="76"/>
      <c r="DK105" s="77"/>
      <c r="DL105" s="77"/>
      <c r="DM105" s="77"/>
      <c r="DN105" s="80"/>
      <c r="DO105" s="80"/>
      <c r="DP105" s="92" t="str">
        <f>IF(Table1[Start Date]="","",IF(Table1[Start Date]&gt;42185,"",IF(AND(Table1[Leaving Date]&gt;1,Table1[Leaving Date]&lt;42095),"",1)))</f>
        <v/>
      </c>
      <c r="DQ105" s="92" t="str">
        <f>IF(Table1[Start Date]="","",IF(Table1[Start Date]&gt;42277,"",IF(AND(Table1[Leaving Date]&gt;1,Table1[Leaving Date]&lt;42186),"",1)))</f>
        <v/>
      </c>
      <c r="DR105" s="92" t="str">
        <f>IF(Table1[Start Date]="","",IF(Table1[Start Date]&gt;42369,"",IF(AND(Table1[Leaving Date]&gt;1,Table1[Leaving Date]&lt;42278),"",1)))</f>
        <v/>
      </c>
      <c r="DS105" s="92" t="str">
        <f>IF(Table1[Start Date]="","",IF(Table1[Start Date]&gt;42460,"",IF(AND(Table1[Leaving Date]&gt;1,Table1[Leaving Date]&lt;42370),"",1)))</f>
        <v/>
      </c>
      <c r="DT105" s="92" t="str">
        <f>IF(Table1[Start Date]="","",IF(Table1[Start Date]&gt;42551,"",IF(AND(Table1[Leaving Date]&gt;1,Table1[Leaving Date]&lt;42461),"",1)))</f>
        <v/>
      </c>
      <c r="DU105" s="92" t="str">
        <f>IF(Table1[Start Date]="","",IF(Table1[Start Date]&gt;42643,"",IF(AND(Table1[Leaving Date]&gt;1,Table1[Leaving Date]&lt;42552),"",1)))</f>
        <v/>
      </c>
      <c r="DV105" s="92" t="str">
        <f>IF(Table1[Start Date]="","",IF(Table1[Start Date]&gt;42735,"",IF(AND(Table1[Leaving Date]&gt;1,Table1[Leaving Date]&lt;42644),"",1)))</f>
        <v/>
      </c>
      <c r="DW105" s="92" t="str">
        <f>IF(Table1[Start Date]="","",IF(Table1[Start Date]&gt;42825,"",IF(AND(Table1[Leaving Date]&gt;1,Table1[Leaving Date]&lt;42736),"",1)))</f>
        <v/>
      </c>
      <c r="DX105"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105" s="44" t="e">
        <f>VLOOKUP(Table1[Referral Source],Lists!$G$2:$H$20,2,FALSE)</f>
        <v>#N/A</v>
      </c>
      <c r="DZ105" s="93" t="e">
        <f>SUM(Table1[Data Referral Quarter]+Table1[Data Referral Source])</f>
        <v>#N/A</v>
      </c>
      <c r="EA105" s="44" t="b">
        <f>IF(Table1[Referral Decision]="Accepted",100,IF(Table1[Referral Decision]="Rejected by Provider",200,IF(Table1[Referral Decision]="Rejected by Applicant",300)))</f>
        <v>0</v>
      </c>
      <c r="EB105" s="44">
        <f>SUM(Table1[Data Referral Quarter]+Table1[Data Referral Decision])</f>
        <v>0</v>
      </c>
      <c r="EC105" s="44" t="b">
        <f>IF(Table1[Start Date]&gt;42735,8000,IF(Table1[Start Date]&gt;42643,7000,IF(Table1[Start Date]&gt;42551,6000,IF(Table1[Start Date]&gt;42460,5000,IF(Table1[Start Date]&gt;42369,4000,IF(Table1[Start Date]&gt;42277,3000,IF(Table1[Start Date]&gt;42185,2000,IF(Table1[Start Date]&gt;42094,1000))))))))</f>
        <v>0</v>
      </c>
      <c r="ED105" s="44" t="str">
        <f>IF(Table1[Start Date]="","",IF(Table1[Current Local Authority]="Swindon",1,"2"))</f>
        <v/>
      </c>
      <c r="EE105" s="44" t="e">
        <f>SUM(Table1[Data Start Date]+Table1[Data Local Authority])</f>
        <v>#VALUE!</v>
      </c>
      <c r="EF105" s="44">
        <f>IF(Table1[Registered with GP]="Yes",1,0)</f>
        <v>0</v>
      </c>
      <c r="EG105" s="44">
        <f>SUM(Table1[Data Start Date]+Table1[Data GP Start])</f>
        <v>0</v>
      </c>
      <c r="EH105" s="44" t="str">
        <f>IF(Table1[EET]="NEET",1,IF(Table1[EET]="Education",2,IF(Table1[EET]="Employment",2,IF(Table1[EET]="Training",2,IF(Table1[EET]="Retired",3,"")))))</f>
        <v/>
      </c>
      <c r="EI105" s="44" t="e">
        <f>Table1[Data Start Date]+Table1[Data EET Start]</f>
        <v>#VALUE!</v>
      </c>
      <c r="EJ105" s="44" t="b">
        <f>IF(Table1[Leaving Date]&gt;42735,8000,IF(Table1[Leaving Date]&gt;42643,7000,IF(Table1[Leaving Date]&gt;42551,6000,IF(Table1[Leaving Date]&gt;42460,5000,IF(Table1[Leaving Date]&gt;42369,4000,IF(Table1[Leaving Date]&gt;42277,3000,IF(Table1[Leaving Date]&gt;42185,2000,IF(Table1[Leaving Date]&gt;42094,1000))))))))</f>
        <v>0</v>
      </c>
      <c r="EK105" s="44" t="e">
        <f>VLOOKUP(Table1[Reason for Leaving],Lists!$T$2:$U$15,2,FALSE)</f>
        <v>#N/A</v>
      </c>
      <c r="EL105" s="44" t="e">
        <f>SUM(Table1[Data Leavers Date]+Table1[Data Move On])</f>
        <v>#N/A</v>
      </c>
      <c r="EM105" s="44" t="b">
        <f>IF(Table1[Registered with GP2]="Yes",1,IF(Table1[Registered with GP2]="No",0,IF(Table1[Registered with GP]="Yes",1,IF(Table1[Registered with GP]="No",0))))</f>
        <v>0</v>
      </c>
      <c r="EN105" s="44">
        <f>SUM(Table1[Data Leavers Date]+Table1[Data GP End])</f>
        <v>0</v>
      </c>
      <c r="EO105" s="44" t="str">
        <f>IF(Table1[EET2]="NEET",1,IF(Table1[EET2]="Employment",2,IF(Table1[EET2]="Education",2,IF(Table1[EET2]="Training",2,IF(Table1[EET2]="Retired",3,IF(Table1[EET]="NEET",1,IF(Table1[EET]="Employment",2,IF(Table1[EET]="Education",2,IF(Table1[EET]="Training",2,IF(Table1[EET]="Retired",3,""))))))))))</f>
        <v/>
      </c>
      <c r="EP105" s="44" t="e">
        <f>+Table1[[#This Row],[Data Leavers Date]]+Table1[[#This Row],[Data EET End]]</f>
        <v>#VALUE!</v>
      </c>
      <c r="EQ105" s="44">
        <f>IF(Table1[Exit Form Received]="Yes",1,0)</f>
        <v>0</v>
      </c>
      <c r="ER105" s="44">
        <f>+Table1[[#This Row],[Data Leavers Date]]+Table1[[#This Row],[Data Exit Forms]]</f>
        <v>0</v>
      </c>
      <c r="ES105" s="44" t="str">
        <f>IF(Table1[Data Leavers Date]=1000,SUM(Table1[Leaving Date]-Table1[Start Date]),"")</f>
        <v/>
      </c>
      <c r="ET105" s="44" t="str">
        <f>IF(Table1[Data Leavers Date]=2000,SUM(Table1[Leaving Date]-Table1[Start Date]),"")</f>
        <v/>
      </c>
      <c r="EU105" s="44" t="str">
        <f>IF(Table1[Data Leavers Date]=3000,SUM(Table1[Leaving Date]-Table1[Start Date]),"")</f>
        <v/>
      </c>
      <c r="EV105" s="44" t="str">
        <f>IF(Table1[Data Leavers Date]=4000,SUM(Table1[Leaving Date]-Table1[Start Date]),"")</f>
        <v/>
      </c>
      <c r="EW105" s="44" t="str">
        <f>IF(Table1[Data Leavers Date]=5000,SUM(Table1[Leaving Date]-Table1[Start Date]),"")</f>
        <v/>
      </c>
      <c r="EX105" s="44" t="str">
        <f>IF(Table1[Data Leavers Date]=6000,SUM(Table1[Leaving Date]-Table1[Start Date]),"")</f>
        <v/>
      </c>
      <c r="EY105" s="44" t="str">
        <f>IF(Table1[Data Leavers Date]=7000,SUM(Table1[Leaving Date]-Table1[Start Date]),"")</f>
        <v/>
      </c>
      <c r="EZ105" s="44" t="str">
        <f>IF(Table1[Data Leavers Date]=8000,SUM(Table1[Leaving Date]-Table1[Start Date]),"")</f>
        <v/>
      </c>
      <c r="FA105" s="44" t="str">
        <f>IF(Table1[Date of Initial Assessment]="","",IF(AND(Table1[Start Date]&gt;42094,Table1[Start Date]&lt;42461),Table1[Motivation and Taking Responsibility],""))</f>
        <v/>
      </c>
      <c r="FB105" s="44" t="str">
        <f>IF(Table1[Date of Initial Assessment]="","",IF(AND(Table1[Start Date]&gt;42094,Table1[Start Date]&lt;42461),Table1[Self-Care and Living Skills],""))</f>
        <v/>
      </c>
      <c r="FC105" s="44" t="str">
        <f>IF(Table1[Date of Initial Assessment]="","",IF(AND(Table1[Start Date]&gt;42094,Table1[Start Date]&lt;42461),Table1[Managing Money and Personal Administration],""))</f>
        <v/>
      </c>
      <c r="FD105" s="44" t="str">
        <f>IF(Table1[Date of Initial Assessment]="","",IF(AND(Table1[Start Date]&gt;42094,Table1[Start Date]&lt;42461),Table1[Social Networks and Relationships],""))</f>
        <v/>
      </c>
      <c r="FE105" s="44" t="str">
        <f>IF(Table1[Date of Initial Assessment]="","",IF(AND(Table1[Start Date]&gt;42094,Table1[Start Date]&lt;42461),Table1[Drug and Alcohol Misuse],""))</f>
        <v/>
      </c>
      <c r="FF105" s="44" t="str">
        <f>IF(Table1[Date of Initial Assessment]="","",IF(AND(Table1[Start Date]&gt;42094,Table1[Start Date]&lt;42461),Table1[Physical Health],""))</f>
        <v/>
      </c>
      <c r="FG105" s="44" t="str">
        <f>IF(Table1[Date of Initial Assessment]="","",IF(AND(Table1[Start Date]&gt;42094,Table1[Start Date]&lt;42461),Table1[Emotional and Mental Health],""))</f>
        <v/>
      </c>
      <c r="FH105" s="44" t="str">
        <f>IF(Table1[Date of Initial Assessment]="","",IF(AND(Table1[Start Date]&gt;42094,Table1[Start Date]&lt;42461),Table1[Meaningful Use of Time],""))</f>
        <v/>
      </c>
      <c r="FI105" s="44" t="str">
        <f>IF(Table1[Date of Initial Assessment]="","",IF(AND(Table1[Start Date]&gt;42094,Table1[Start Date]&lt;42461),Table1[Managing Tenancy and Accommodation],""))</f>
        <v/>
      </c>
      <c r="FJ105" s="44" t="str">
        <f>IF(Table1[Date of Initial Assessment]="","",IF(AND(Table1[Start Date]&gt;42094,Table1[Start Date]&lt;42461),Table1[Offending],""))</f>
        <v/>
      </c>
      <c r="FK105" s="44" t="str">
        <f>IF(Table1[Leaving Date]="","",IF(Table1[Date of Initial Assessment]="","",IF(AND(Table1[Leaving Date]&gt;42094,Table1[Leaving Date]&lt;42461),IF(Table1[Date of Last Assessment]="",Table1[Motivation and Taking Responsibility],Table1[Motivation and Taking Responsibility2]),"")))</f>
        <v/>
      </c>
      <c r="FL105" s="44" t="str">
        <f>IF(Table1[Leaving Date]="","",IF(Table1[Date of Initial Assessment]="","",IF(AND(Table1[Leaving Date]&gt;42094,Table1[Leaving Date]&lt;42461),IF(Table1[Date of Last Assessment]="",Table1[Self-Care and Living Skills],Table1[Self-Care and Living Skills2]),"")))</f>
        <v/>
      </c>
      <c r="FM105" s="44" t="str">
        <f>IF(Table1[Leaving Date]="","",IF(Table1[Date of Initial Assessment]="","",IF(AND(Table1[Leaving Date]&gt;42094,Table1[Leaving Date]&lt;42461),IF(Table1[Date of Last Assessment]="",Table1[Managing Money and Personal Administration],Table1[Managing Money and Personal Administration2]),"")))</f>
        <v/>
      </c>
      <c r="FN105" s="44" t="str">
        <f>IF(Table1[Leaving Date]="","",IF(Table1[Date of Initial Assessment]="","",IF(AND(Table1[Leaving Date]&gt;42094,Table1[Leaving Date]&lt;42461),IF(Table1[Date of Last Assessment]="",Table1[Social Networks and Relationships],Table1[Social Networks and Relationships2]),"")))</f>
        <v/>
      </c>
      <c r="FO105" s="44" t="str">
        <f>IF(Table1[Leaving Date]="","",IF(Table1[Date of Initial Assessment]="","",IF(AND(Table1[Leaving Date]&gt;42094,Table1[Leaving Date]&lt;42461),IF(Table1[Date of Last Assessment]="",Table1[Drug and Alcohol Misuse],Table1[Drug and Alcohol Misuse2]),"")))</f>
        <v/>
      </c>
      <c r="FP105" s="44" t="str">
        <f>IF(Table1[Leaving Date]="","",IF(Table1[Date of Initial Assessment]="","",IF(AND(Table1[Leaving Date]&gt;42094,Table1[Leaving Date]&lt;42461),IF(Table1[Date of Last Assessment]="",Table1[Physical Health],Table1[Physical Health2]),"")))</f>
        <v/>
      </c>
      <c r="FQ105" s="44" t="str">
        <f>IF(Table1[Leaving Date]="","",IF(Table1[Date of Initial Assessment]="","",IF(AND(Table1[Leaving Date]&gt;42094,Table1[Leaving Date]&lt;42461),IF(Table1[Date of Last Assessment]="",Table1[Emotional and Mental Health],Table1[Emotional and Mental Health2]),"")))</f>
        <v/>
      </c>
      <c r="FR105" s="44" t="str">
        <f>IF(Table1[Leaving Date]="","",IF(Table1[Date of Initial Assessment]="","",IF(AND(Table1[Leaving Date]&gt;42094,Table1[Leaving Date]&lt;42461),IF(Table1[Date of Last Assessment]="",Table1[Meaningful Use of Time],Table1[Meaningful Use of Time2]),"")))</f>
        <v/>
      </c>
      <c r="FS105" s="44" t="str">
        <f>IF(Table1[Leaving Date]="","",IF(Table1[Date of Initial Assessment]="","",IF(AND(Table1[Leaving Date]&gt;42094,Table1[Leaving Date]&lt;42461),IF(Table1[Date of Last Assessment]="",Table1[Managing Tenancy and Accommodation],Table1[Managing Tenancy and Accommodation2]),"")))</f>
        <v/>
      </c>
      <c r="FT105" s="44" t="str">
        <f>IF(Table1[Leaving Date]="","",IF(Table1[Date of Initial Assessment]="","",IF(AND(Table1[Leaving Date]&gt;42094,Table1[Leaving Date]&lt;42461),IF(Table1[Date of Last Assessment]="",Table1[Offending],Table1[Offending2]),"")))</f>
        <v/>
      </c>
      <c r="FU105" s="44" t="str">
        <f>IF(Table1[Date of Initial Assessment]="","",IF(AND(Table1[Start Date]&gt;42460,Table1[Start Date]&lt;42826),Table1[Motivation and Taking Responsibility],""))</f>
        <v/>
      </c>
      <c r="FV105" s="44" t="str">
        <f>IF(Table1[Date of Initial Assessment]="","",IF(AND(Table1[Start Date]&gt;42460,Table1[Start Date]&lt;42826),Table1[Self-Care and Living Skills],""))</f>
        <v/>
      </c>
      <c r="FW105" s="44" t="str">
        <f>IF(Table1[Date of Initial Assessment]="","",IF(AND(Table1[Start Date]&gt;42460,Table1[Start Date]&lt;42826),Table1[Managing Money and Personal Administration],""))</f>
        <v/>
      </c>
      <c r="FX105" s="44" t="str">
        <f>IF(Table1[Date of Initial Assessment]="","",IF(AND(Table1[Start Date]&gt;42460,Table1[Start Date]&lt;42826),Table1[Social Networks and Relationships],""))</f>
        <v/>
      </c>
      <c r="FY105" s="44" t="str">
        <f>IF(Table1[Date of Initial Assessment]="","",IF(AND(Table1[Start Date]&gt;42460,Table1[Start Date]&lt;42826),Table1[Drug and Alcohol Misuse],""))</f>
        <v/>
      </c>
      <c r="FZ105" s="44" t="str">
        <f>IF(Table1[Date of Initial Assessment]="","",IF(AND(Table1[Start Date]&gt;42460,Table1[Start Date]&lt;42826),Table1[Physical Health],""))</f>
        <v/>
      </c>
      <c r="GA105" s="44" t="str">
        <f>IF(Table1[Date of Initial Assessment]="","",IF(AND(Table1[Start Date]&gt;42460,Table1[Start Date]&lt;42826),Table1[Emotional and Mental Health],""))</f>
        <v/>
      </c>
      <c r="GB105" s="44" t="str">
        <f>IF(Table1[Date of Initial Assessment]="","",IF(AND(Table1[Start Date]&gt;42460,Table1[Start Date]&lt;42826),Table1[Meaningful Use of Time],""))</f>
        <v/>
      </c>
      <c r="GC105" s="44" t="str">
        <f>IF(Table1[Date of Initial Assessment]="","",IF(AND(Table1[Start Date]&gt;42460,Table1[Start Date]&lt;42826),Table1[Managing Tenancy and Accommodation],""))</f>
        <v/>
      </c>
      <c r="GD105" s="44" t="str">
        <f>IF(Table1[Date of Initial Assessment]="","",IF(AND(Table1[Start Date]&gt;42460,Table1[Start Date]&lt;42826),Table1[Offending],""))</f>
        <v/>
      </c>
      <c r="GE105" s="44" t="str">
        <f>IF(Table1[Leaving Date]="","",IF(AND(Table1[Leaving Date]&gt;42460,Table1[Leaving Date]&lt;42826),IF(Table1[Date of Last Assessment]="",Table1[Motivation and Taking Responsibility],Table1[Motivation and Taking Responsibility2]),""))</f>
        <v/>
      </c>
      <c r="GF105" s="44" t="str">
        <f>IF(Table1[Leaving Date]="","",IF(AND(Table1[Leaving Date]&gt;42460,Table1[Leaving Date]&lt;42826),IF(Table1[Date of Last Assessment]="",Table1[Self-Care and Living Skills],Table1[Self-Care and Living Skills2]),""))</f>
        <v/>
      </c>
      <c r="GG105" s="44" t="str">
        <f>IF(Table1[Leaving Date]="","",IF(AND(Table1[Leaving Date]&gt;42460,Table1[Leaving Date]&lt;42826),IF(Table1[Date of Last Assessment]="",Table1[Managing Money and Personal Administration],Table1[Managing Money and Personal Administration2]),""))</f>
        <v/>
      </c>
      <c r="GH105" s="44" t="str">
        <f>IF(Table1[Leaving Date]="","",IF(AND(Table1[Leaving Date]&gt;42460,Table1[Leaving Date]&lt;42826),IF(Table1[Date of Last Assessment]="",Table1[Social Networks and Relationships],Table1[Social Networks and Relationships2]),""))</f>
        <v/>
      </c>
      <c r="GI105" s="44" t="str">
        <f>IF(Table1[Leaving Date]="","",IF(AND(Table1[Leaving Date]&gt;42460,Table1[Leaving Date]&lt;42826),IF(Table1[Date of Last Assessment]="",Table1[Drug and Alcohol Misuse],Table1[Drug and Alcohol Misuse2]),""))</f>
        <v/>
      </c>
      <c r="GJ105" s="44" t="str">
        <f>IF(Table1[Leaving Date]="","",IF(AND(Table1[Leaving Date]&gt;42460,Table1[Leaving Date]&lt;42826),IF(Table1[Date of Last Assessment]="",Table1[Physical Health],Table1[Physical Health2]),""))</f>
        <v/>
      </c>
      <c r="GK105" s="44" t="str">
        <f>IF(Table1[Leaving Date]="","",IF(AND(Table1[Leaving Date]&gt;42460,Table1[Leaving Date]&lt;42826),IF(Table1[Date of Last Assessment]="",Table1[Emotional and Mental Health],Table1[Emotional and Mental Health2]),""))</f>
        <v/>
      </c>
      <c r="GL105" s="44" t="str">
        <f>IF(Table1[Leaving Date]="","",IF(AND(Table1[Leaving Date]&gt;42460,Table1[Leaving Date]&lt;42826),IF(Table1[Date of Last Assessment]="",Table1[Meaningful Use of Time],Table1[Meaningful Use of Time2]),""))</f>
        <v/>
      </c>
      <c r="GM105" s="44" t="str">
        <f>IF(Table1[Leaving Date]="","",IF(AND(Table1[Leaving Date]&gt;42460,Table1[Leaving Date]&lt;42826),IF(Table1[Date of Last Assessment]="",Table1[Managing Tenancy and Accommodation],Table1[Managing Tenancy and Accommodation2]),""))</f>
        <v/>
      </c>
      <c r="GN105" s="44" t="str">
        <f>IF(Table1[Leaving Date]="","",IF(AND(Table1[Leaving Date]&gt;42460,Table1[Leaving Date]&lt;42826),IF(Table1[Date of Last Assessment]="",Table1[Offending],Table1[Offending2]),""))</f>
        <v/>
      </c>
    </row>
    <row r="106" spans="2:196" ht="20.100000000000001" customHeight="1" x14ac:dyDescent="0.2">
      <c r="B106" s="86">
        <f>+'Service Data'!$C$5:$C$5</f>
        <v>0</v>
      </c>
      <c r="C106" s="86"/>
      <c r="D106" s="86"/>
      <c r="E106" s="86"/>
      <c r="F106" s="86"/>
      <c r="G106" s="86"/>
      <c r="H106" s="6"/>
      <c r="I106" s="99" t="str">
        <f ca="1">IF(Table1[[#This Row],[Date of Birth]]="","",SUM(TODAY()-Table1[[#This Row],[Date of Birth]])/365)</f>
        <v/>
      </c>
      <c r="L106" s="86"/>
      <c r="M106" s="77"/>
      <c r="N106" s="86"/>
      <c r="O106" s="86"/>
      <c r="P106" s="91"/>
      <c r="Q106" s="86"/>
      <c r="R106" s="77"/>
      <c r="S106" s="77"/>
      <c r="T106" s="68"/>
      <c r="U106" s="68"/>
      <c r="V106" s="67"/>
      <c r="W106" s="67"/>
      <c r="X106" s="67"/>
      <c r="Y106" s="67"/>
      <c r="Z106" s="67"/>
      <c r="AA106" s="67"/>
      <c r="AB106" s="67"/>
      <c r="AC106" s="67"/>
      <c r="AD106" s="67"/>
      <c r="AE106" s="67"/>
      <c r="AF106" s="67"/>
      <c r="AG106" s="67"/>
      <c r="AH106" s="67"/>
      <c r="AI106" s="67"/>
      <c r="AJ106" s="67"/>
      <c r="AK106" s="67"/>
      <c r="AL106" s="67"/>
      <c r="AM106" s="67"/>
      <c r="AN106" s="77"/>
      <c r="AO106" s="76"/>
      <c r="AP106" s="77"/>
      <c r="AQ106" s="76"/>
      <c r="AR106" s="76"/>
      <c r="AS106" s="76"/>
      <c r="AT106" s="76"/>
      <c r="AU106" s="76"/>
      <c r="AV106" s="77"/>
      <c r="AW106" s="76"/>
      <c r="AX106" s="77"/>
      <c r="AY106" s="76"/>
      <c r="AZ106" s="76"/>
      <c r="BA106" s="76"/>
      <c r="BB106" s="76"/>
      <c r="BC106" s="76"/>
      <c r="BD106" s="77"/>
      <c r="BE106" s="76"/>
      <c r="BF106" s="77"/>
      <c r="BG106" s="76"/>
      <c r="BH106" s="76"/>
      <c r="BI106" s="76"/>
      <c r="BJ106" s="76"/>
      <c r="BK106" s="76"/>
      <c r="BL106" s="77"/>
      <c r="BM106" s="76"/>
      <c r="BN106" s="77"/>
      <c r="BO106" s="76"/>
      <c r="BP106" s="76"/>
      <c r="BQ106" s="76"/>
      <c r="BR106" s="76"/>
      <c r="BS106" s="76"/>
      <c r="BT106" s="77"/>
      <c r="BU106" s="76"/>
      <c r="BV106" s="77"/>
      <c r="BW106" s="76"/>
      <c r="BX106" s="76"/>
      <c r="BY106" s="76"/>
      <c r="BZ106" s="76"/>
      <c r="CA106" s="76"/>
      <c r="CB106" s="77"/>
      <c r="CC106" s="76"/>
      <c r="CD106" s="77"/>
      <c r="CE106" s="76"/>
      <c r="CF106" s="76"/>
      <c r="CG106" s="76"/>
      <c r="CH106" s="76"/>
      <c r="CI106" s="76"/>
      <c r="CJ106" s="77"/>
      <c r="CK106" s="76"/>
      <c r="CL106" s="77"/>
      <c r="CM106" s="76"/>
      <c r="CN106" s="76"/>
      <c r="CO106" s="76"/>
      <c r="CP106" s="76"/>
      <c r="CQ106" s="76"/>
      <c r="CR106" s="78" t="str">
        <f t="shared" si="31"/>
        <v/>
      </c>
      <c r="CS106" s="79" t="str">
        <f t="shared" si="32"/>
        <v/>
      </c>
      <c r="CT106" s="79" t="str">
        <f t="shared" si="33"/>
        <v/>
      </c>
      <c r="CU106" s="79" t="str">
        <f t="shared" si="34"/>
        <v/>
      </c>
      <c r="CV106" s="79" t="str">
        <f t="shared" si="35"/>
        <v/>
      </c>
      <c r="CW106" s="79" t="str">
        <f t="shared" si="36"/>
        <v/>
      </c>
      <c r="CX106" s="79" t="str">
        <f t="shared" si="37"/>
        <v/>
      </c>
      <c r="CY106" s="79" t="str">
        <f t="shared" si="38"/>
        <v/>
      </c>
      <c r="CZ106" s="79" t="str">
        <f t="shared" si="39"/>
        <v/>
      </c>
      <c r="DA106" s="79" t="str">
        <f t="shared" si="40"/>
        <v/>
      </c>
      <c r="DB106" s="79" t="str">
        <f t="shared" si="41"/>
        <v/>
      </c>
      <c r="DC106" s="79" t="str">
        <f t="shared" si="42"/>
        <v/>
      </c>
      <c r="DD106" s="79" t="str">
        <f t="shared" si="43"/>
        <v/>
      </c>
      <c r="DE106" s="79" t="str">
        <f t="shared" si="44"/>
        <v/>
      </c>
      <c r="DF106" s="79" t="str">
        <f t="shared" si="45"/>
        <v/>
      </c>
      <c r="DG106" s="79" t="str">
        <f t="shared" si="46"/>
        <v/>
      </c>
      <c r="DH106" s="76"/>
      <c r="DI106" s="78"/>
      <c r="DJ106" s="76"/>
      <c r="DK106" s="77"/>
      <c r="DL106" s="77"/>
      <c r="DM106" s="77"/>
      <c r="DN106" s="80"/>
      <c r="DO106" s="80"/>
      <c r="DP106" s="92" t="str">
        <f>IF(Table1[Start Date]="","",IF(Table1[Start Date]&gt;42185,"",IF(AND(Table1[Leaving Date]&gt;1,Table1[Leaving Date]&lt;42095),"",1)))</f>
        <v/>
      </c>
      <c r="DQ106" s="92" t="str">
        <f>IF(Table1[Start Date]="","",IF(Table1[Start Date]&gt;42277,"",IF(AND(Table1[Leaving Date]&gt;1,Table1[Leaving Date]&lt;42186),"",1)))</f>
        <v/>
      </c>
      <c r="DR106" s="92" t="str">
        <f>IF(Table1[Start Date]="","",IF(Table1[Start Date]&gt;42369,"",IF(AND(Table1[Leaving Date]&gt;1,Table1[Leaving Date]&lt;42278),"",1)))</f>
        <v/>
      </c>
      <c r="DS106" s="92" t="str">
        <f>IF(Table1[Start Date]="","",IF(Table1[Start Date]&gt;42460,"",IF(AND(Table1[Leaving Date]&gt;1,Table1[Leaving Date]&lt;42370),"",1)))</f>
        <v/>
      </c>
      <c r="DT106" s="92" t="str">
        <f>IF(Table1[Start Date]="","",IF(Table1[Start Date]&gt;42551,"",IF(AND(Table1[Leaving Date]&gt;1,Table1[Leaving Date]&lt;42461),"",1)))</f>
        <v/>
      </c>
      <c r="DU106" s="92" t="str">
        <f>IF(Table1[Start Date]="","",IF(Table1[Start Date]&gt;42643,"",IF(AND(Table1[Leaving Date]&gt;1,Table1[Leaving Date]&lt;42552),"",1)))</f>
        <v/>
      </c>
      <c r="DV106" s="92" t="str">
        <f>IF(Table1[Start Date]="","",IF(Table1[Start Date]&gt;42735,"",IF(AND(Table1[Leaving Date]&gt;1,Table1[Leaving Date]&lt;42644),"",1)))</f>
        <v/>
      </c>
      <c r="DW106" s="92" t="str">
        <f>IF(Table1[Start Date]="","",IF(Table1[Start Date]&gt;42825,"",IF(AND(Table1[Leaving Date]&gt;1,Table1[Leaving Date]&lt;42736),"",1)))</f>
        <v/>
      </c>
      <c r="DX106"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106" s="44" t="e">
        <f>VLOOKUP(Table1[Referral Source],Lists!$G$2:$H$20,2,FALSE)</f>
        <v>#N/A</v>
      </c>
      <c r="DZ106" s="93" t="e">
        <f>SUM(Table1[Data Referral Quarter]+Table1[Data Referral Source])</f>
        <v>#N/A</v>
      </c>
      <c r="EA106" s="44" t="b">
        <f>IF(Table1[Referral Decision]="Accepted",100,IF(Table1[Referral Decision]="Rejected by Provider",200,IF(Table1[Referral Decision]="Rejected by Applicant",300)))</f>
        <v>0</v>
      </c>
      <c r="EB106" s="44">
        <f>SUM(Table1[Data Referral Quarter]+Table1[Data Referral Decision])</f>
        <v>0</v>
      </c>
      <c r="EC106" s="44" t="b">
        <f>IF(Table1[Start Date]&gt;42735,8000,IF(Table1[Start Date]&gt;42643,7000,IF(Table1[Start Date]&gt;42551,6000,IF(Table1[Start Date]&gt;42460,5000,IF(Table1[Start Date]&gt;42369,4000,IF(Table1[Start Date]&gt;42277,3000,IF(Table1[Start Date]&gt;42185,2000,IF(Table1[Start Date]&gt;42094,1000))))))))</f>
        <v>0</v>
      </c>
      <c r="ED106" s="44" t="str">
        <f>IF(Table1[Start Date]="","",IF(Table1[Current Local Authority]="Swindon",1,"2"))</f>
        <v/>
      </c>
      <c r="EE106" s="44" t="e">
        <f>SUM(Table1[Data Start Date]+Table1[Data Local Authority])</f>
        <v>#VALUE!</v>
      </c>
      <c r="EF106" s="44">
        <f>IF(Table1[Registered with GP]="Yes",1,0)</f>
        <v>0</v>
      </c>
      <c r="EG106" s="44">
        <f>SUM(Table1[Data Start Date]+Table1[Data GP Start])</f>
        <v>0</v>
      </c>
      <c r="EH106" s="44" t="str">
        <f>IF(Table1[EET]="NEET",1,IF(Table1[EET]="Education",2,IF(Table1[EET]="Employment",2,IF(Table1[EET]="Training",2,IF(Table1[EET]="Retired",3,"")))))</f>
        <v/>
      </c>
      <c r="EI106" s="44" t="e">
        <f>Table1[Data Start Date]+Table1[Data EET Start]</f>
        <v>#VALUE!</v>
      </c>
      <c r="EJ106" s="44" t="b">
        <f>IF(Table1[Leaving Date]&gt;42735,8000,IF(Table1[Leaving Date]&gt;42643,7000,IF(Table1[Leaving Date]&gt;42551,6000,IF(Table1[Leaving Date]&gt;42460,5000,IF(Table1[Leaving Date]&gt;42369,4000,IF(Table1[Leaving Date]&gt;42277,3000,IF(Table1[Leaving Date]&gt;42185,2000,IF(Table1[Leaving Date]&gt;42094,1000))))))))</f>
        <v>0</v>
      </c>
      <c r="EK106" s="44" t="e">
        <f>VLOOKUP(Table1[Reason for Leaving],Lists!$T$2:$U$15,2,FALSE)</f>
        <v>#N/A</v>
      </c>
      <c r="EL106" s="44" t="e">
        <f>SUM(Table1[Data Leavers Date]+Table1[Data Move On])</f>
        <v>#N/A</v>
      </c>
      <c r="EM106" s="44" t="b">
        <f>IF(Table1[Registered with GP2]="Yes",1,IF(Table1[Registered with GP2]="No",0,IF(Table1[Registered with GP]="Yes",1,IF(Table1[Registered with GP]="No",0))))</f>
        <v>0</v>
      </c>
      <c r="EN106" s="44">
        <f>SUM(Table1[Data Leavers Date]+Table1[Data GP End])</f>
        <v>0</v>
      </c>
      <c r="EO106" s="44" t="str">
        <f>IF(Table1[EET2]="NEET",1,IF(Table1[EET2]="Employment",2,IF(Table1[EET2]="Education",2,IF(Table1[EET2]="Training",2,IF(Table1[EET2]="Retired",3,IF(Table1[EET]="NEET",1,IF(Table1[EET]="Employment",2,IF(Table1[EET]="Education",2,IF(Table1[EET]="Training",2,IF(Table1[EET]="Retired",3,""))))))))))</f>
        <v/>
      </c>
      <c r="EP106" s="44" t="e">
        <f>+Table1[[#This Row],[Data Leavers Date]]+Table1[[#This Row],[Data EET End]]</f>
        <v>#VALUE!</v>
      </c>
      <c r="EQ106" s="44">
        <f>IF(Table1[Exit Form Received]="Yes",1,0)</f>
        <v>0</v>
      </c>
      <c r="ER106" s="44">
        <f>+Table1[[#This Row],[Data Leavers Date]]+Table1[[#This Row],[Data Exit Forms]]</f>
        <v>0</v>
      </c>
      <c r="ES106" s="44" t="str">
        <f>IF(Table1[Data Leavers Date]=1000,SUM(Table1[Leaving Date]-Table1[Start Date]),"")</f>
        <v/>
      </c>
      <c r="ET106" s="44" t="str">
        <f>IF(Table1[Data Leavers Date]=2000,SUM(Table1[Leaving Date]-Table1[Start Date]),"")</f>
        <v/>
      </c>
      <c r="EU106" s="44" t="str">
        <f>IF(Table1[Data Leavers Date]=3000,SUM(Table1[Leaving Date]-Table1[Start Date]),"")</f>
        <v/>
      </c>
      <c r="EV106" s="44" t="str">
        <f>IF(Table1[Data Leavers Date]=4000,SUM(Table1[Leaving Date]-Table1[Start Date]),"")</f>
        <v/>
      </c>
      <c r="EW106" s="44" t="str">
        <f>IF(Table1[Data Leavers Date]=5000,SUM(Table1[Leaving Date]-Table1[Start Date]),"")</f>
        <v/>
      </c>
      <c r="EX106" s="44" t="str">
        <f>IF(Table1[Data Leavers Date]=6000,SUM(Table1[Leaving Date]-Table1[Start Date]),"")</f>
        <v/>
      </c>
      <c r="EY106" s="44" t="str">
        <f>IF(Table1[Data Leavers Date]=7000,SUM(Table1[Leaving Date]-Table1[Start Date]),"")</f>
        <v/>
      </c>
      <c r="EZ106" s="44" t="str">
        <f>IF(Table1[Data Leavers Date]=8000,SUM(Table1[Leaving Date]-Table1[Start Date]),"")</f>
        <v/>
      </c>
      <c r="FA106" s="44" t="str">
        <f>IF(Table1[Date of Initial Assessment]="","",IF(AND(Table1[Start Date]&gt;42094,Table1[Start Date]&lt;42461),Table1[Motivation and Taking Responsibility],""))</f>
        <v/>
      </c>
      <c r="FB106" s="44" t="str">
        <f>IF(Table1[Date of Initial Assessment]="","",IF(AND(Table1[Start Date]&gt;42094,Table1[Start Date]&lt;42461),Table1[Self-Care and Living Skills],""))</f>
        <v/>
      </c>
      <c r="FC106" s="44" t="str">
        <f>IF(Table1[Date of Initial Assessment]="","",IF(AND(Table1[Start Date]&gt;42094,Table1[Start Date]&lt;42461),Table1[Managing Money and Personal Administration],""))</f>
        <v/>
      </c>
      <c r="FD106" s="44" t="str">
        <f>IF(Table1[Date of Initial Assessment]="","",IF(AND(Table1[Start Date]&gt;42094,Table1[Start Date]&lt;42461),Table1[Social Networks and Relationships],""))</f>
        <v/>
      </c>
      <c r="FE106" s="44" t="str">
        <f>IF(Table1[Date of Initial Assessment]="","",IF(AND(Table1[Start Date]&gt;42094,Table1[Start Date]&lt;42461),Table1[Drug and Alcohol Misuse],""))</f>
        <v/>
      </c>
      <c r="FF106" s="44" t="str">
        <f>IF(Table1[Date of Initial Assessment]="","",IF(AND(Table1[Start Date]&gt;42094,Table1[Start Date]&lt;42461),Table1[Physical Health],""))</f>
        <v/>
      </c>
      <c r="FG106" s="44" t="str">
        <f>IF(Table1[Date of Initial Assessment]="","",IF(AND(Table1[Start Date]&gt;42094,Table1[Start Date]&lt;42461),Table1[Emotional and Mental Health],""))</f>
        <v/>
      </c>
      <c r="FH106" s="44" t="str">
        <f>IF(Table1[Date of Initial Assessment]="","",IF(AND(Table1[Start Date]&gt;42094,Table1[Start Date]&lt;42461),Table1[Meaningful Use of Time],""))</f>
        <v/>
      </c>
      <c r="FI106" s="44" t="str">
        <f>IF(Table1[Date of Initial Assessment]="","",IF(AND(Table1[Start Date]&gt;42094,Table1[Start Date]&lt;42461),Table1[Managing Tenancy and Accommodation],""))</f>
        <v/>
      </c>
      <c r="FJ106" s="44" t="str">
        <f>IF(Table1[Date of Initial Assessment]="","",IF(AND(Table1[Start Date]&gt;42094,Table1[Start Date]&lt;42461),Table1[Offending],""))</f>
        <v/>
      </c>
      <c r="FK106" s="44" t="str">
        <f>IF(Table1[Leaving Date]="","",IF(Table1[Date of Initial Assessment]="","",IF(AND(Table1[Leaving Date]&gt;42094,Table1[Leaving Date]&lt;42461),IF(Table1[Date of Last Assessment]="",Table1[Motivation and Taking Responsibility],Table1[Motivation and Taking Responsibility2]),"")))</f>
        <v/>
      </c>
      <c r="FL106" s="44" t="str">
        <f>IF(Table1[Leaving Date]="","",IF(Table1[Date of Initial Assessment]="","",IF(AND(Table1[Leaving Date]&gt;42094,Table1[Leaving Date]&lt;42461),IF(Table1[Date of Last Assessment]="",Table1[Self-Care and Living Skills],Table1[Self-Care and Living Skills2]),"")))</f>
        <v/>
      </c>
      <c r="FM106" s="44" t="str">
        <f>IF(Table1[Leaving Date]="","",IF(Table1[Date of Initial Assessment]="","",IF(AND(Table1[Leaving Date]&gt;42094,Table1[Leaving Date]&lt;42461),IF(Table1[Date of Last Assessment]="",Table1[Managing Money and Personal Administration],Table1[Managing Money and Personal Administration2]),"")))</f>
        <v/>
      </c>
      <c r="FN106" s="44" t="str">
        <f>IF(Table1[Leaving Date]="","",IF(Table1[Date of Initial Assessment]="","",IF(AND(Table1[Leaving Date]&gt;42094,Table1[Leaving Date]&lt;42461),IF(Table1[Date of Last Assessment]="",Table1[Social Networks and Relationships],Table1[Social Networks and Relationships2]),"")))</f>
        <v/>
      </c>
      <c r="FO106" s="44" t="str">
        <f>IF(Table1[Leaving Date]="","",IF(Table1[Date of Initial Assessment]="","",IF(AND(Table1[Leaving Date]&gt;42094,Table1[Leaving Date]&lt;42461),IF(Table1[Date of Last Assessment]="",Table1[Drug and Alcohol Misuse],Table1[Drug and Alcohol Misuse2]),"")))</f>
        <v/>
      </c>
      <c r="FP106" s="44" t="str">
        <f>IF(Table1[Leaving Date]="","",IF(Table1[Date of Initial Assessment]="","",IF(AND(Table1[Leaving Date]&gt;42094,Table1[Leaving Date]&lt;42461),IF(Table1[Date of Last Assessment]="",Table1[Physical Health],Table1[Physical Health2]),"")))</f>
        <v/>
      </c>
      <c r="FQ106" s="44" t="str">
        <f>IF(Table1[Leaving Date]="","",IF(Table1[Date of Initial Assessment]="","",IF(AND(Table1[Leaving Date]&gt;42094,Table1[Leaving Date]&lt;42461),IF(Table1[Date of Last Assessment]="",Table1[Emotional and Mental Health],Table1[Emotional and Mental Health2]),"")))</f>
        <v/>
      </c>
      <c r="FR106" s="44" t="str">
        <f>IF(Table1[Leaving Date]="","",IF(Table1[Date of Initial Assessment]="","",IF(AND(Table1[Leaving Date]&gt;42094,Table1[Leaving Date]&lt;42461),IF(Table1[Date of Last Assessment]="",Table1[Meaningful Use of Time],Table1[Meaningful Use of Time2]),"")))</f>
        <v/>
      </c>
      <c r="FS106" s="44" t="str">
        <f>IF(Table1[Leaving Date]="","",IF(Table1[Date of Initial Assessment]="","",IF(AND(Table1[Leaving Date]&gt;42094,Table1[Leaving Date]&lt;42461),IF(Table1[Date of Last Assessment]="",Table1[Managing Tenancy and Accommodation],Table1[Managing Tenancy and Accommodation2]),"")))</f>
        <v/>
      </c>
      <c r="FT106" s="44" t="str">
        <f>IF(Table1[Leaving Date]="","",IF(Table1[Date of Initial Assessment]="","",IF(AND(Table1[Leaving Date]&gt;42094,Table1[Leaving Date]&lt;42461),IF(Table1[Date of Last Assessment]="",Table1[Offending],Table1[Offending2]),"")))</f>
        <v/>
      </c>
      <c r="FU106" s="44" t="str">
        <f>IF(Table1[Date of Initial Assessment]="","",IF(AND(Table1[Start Date]&gt;42460,Table1[Start Date]&lt;42826),Table1[Motivation and Taking Responsibility],""))</f>
        <v/>
      </c>
      <c r="FV106" s="44" t="str">
        <f>IF(Table1[Date of Initial Assessment]="","",IF(AND(Table1[Start Date]&gt;42460,Table1[Start Date]&lt;42826),Table1[Self-Care and Living Skills],""))</f>
        <v/>
      </c>
      <c r="FW106" s="44" t="str">
        <f>IF(Table1[Date of Initial Assessment]="","",IF(AND(Table1[Start Date]&gt;42460,Table1[Start Date]&lt;42826),Table1[Managing Money and Personal Administration],""))</f>
        <v/>
      </c>
      <c r="FX106" s="44" t="str">
        <f>IF(Table1[Date of Initial Assessment]="","",IF(AND(Table1[Start Date]&gt;42460,Table1[Start Date]&lt;42826),Table1[Social Networks and Relationships],""))</f>
        <v/>
      </c>
      <c r="FY106" s="44" t="str">
        <f>IF(Table1[Date of Initial Assessment]="","",IF(AND(Table1[Start Date]&gt;42460,Table1[Start Date]&lt;42826),Table1[Drug and Alcohol Misuse],""))</f>
        <v/>
      </c>
      <c r="FZ106" s="44" t="str">
        <f>IF(Table1[Date of Initial Assessment]="","",IF(AND(Table1[Start Date]&gt;42460,Table1[Start Date]&lt;42826),Table1[Physical Health],""))</f>
        <v/>
      </c>
      <c r="GA106" s="44" t="str">
        <f>IF(Table1[Date of Initial Assessment]="","",IF(AND(Table1[Start Date]&gt;42460,Table1[Start Date]&lt;42826),Table1[Emotional and Mental Health],""))</f>
        <v/>
      </c>
      <c r="GB106" s="44" t="str">
        <f>IF(Table1[Date of Initial Assessment]="","",IF(AND(Table1[Start Date]&gt;42460,Table1[Start Date]&lt;42826),Table1[Meaningful Use of Time],""))</f>
        <v/>
      </c>
      <c r="GC106" s="44" t="str">
        <f>IF(Table1[Date of Initial Assessment]="","",IF(AND(Table1[Start Date]&gt;42460,Table1[Start Date]&lt;42826),Table1[Managing Tenancy and Accommodation],""))</f>
        <v/>
      </c>
      <c r="GD106" s="44" t="str">
        <f>IF(Table1[Date of Initial Assessment]="","",IF(AND(Table1[Start Date]&gt;42460,Table1[Start Date]&lt;42826),Table1[Offending],""))</f>
        <v/>
      </c>
      <c r="GE106" s="44" t="str">
        <f>IF(Table1[Leaving Date]="","",IF(AND(Table1[Leaving Date]&gt;42460,Table1[Leaving Date]&lt;42826),IF(Table1[Date of Last Assessment]="",Table1[Motivation and Taking Responsibility],Table1[Motivation and Taking Responsibility2]),""))</f>
        <v/>
      </c>
      <c r="GF106" s="44" t="str">
        <f>IF(Table1[Leaving Date]="","",IF(AND(Table1[Leaving Date]&gt;42460,Table1[Leaving Date]&lt;42826),IF(Table1[Date of Last Assessment]="",Table1[Self-Care and Living Skills],Table1[Self-Care and Living Skills2]),""))</f>
        <v/>
      </c>
      <c r="GG106" s="44" t="str">
        <f>IF(Table1[Leaving Date]="","",IF(AND(Table1[Leaving Date]&gt;42460,Table1[Leaving Date]&lt;42826),IF(Table1[Date of Last Assessment]="",Table1[Managing Money and Personal Administration],Table1[Managing Money and Personal Administration2]),""))</f>
        <v/>
      </c>
      <c r="GH106" s="44" t="str">
        <f>IF(Table1[Leaving Date]="","",IF(AND(Table1[Leaving Date]&gt;42460,Table1[Leaving Date]&lt;42826),IF(Table1[Date of Last Assessment]="",Table1[Social Networks and Relationships],Table1[Social Networks and Relationships2]),""))</f>
        <v/>
      </c>
      <c r="GI106" s="44" t="str">
        <f>IF(Table1[Leaving Date]="","",IF(AND(Table1[Leaving Date]&gt;42460,Table1[Leaving Date]&lt;42826),IF(Table1[Date of Last Assessment]="",Table1[Drug and Alcohol Misuse],Table1[Drug and Alcohol Misuse2]),""))</f>
        <v/>
      </c>
      <c r="GJ106" s="44" t="str">
        <f>IF(Table1[Leaving Date]="","",IF(AND(Table1[Leaving Date]&gt;42460,Table1[Leaving Date]&lt;42826),IF(Table1[Date of Last Assessment]="",Table1[Physical Health],Table1[Physical Health2]),""))</f>
        <v/>
      </c>
      <c r="GK106" s="44" t="str">
        <f>IF(Table1[Leaving Date]="","",IF(AND(Table1[Leaving Date]&gt;42460,Table1[Leaving Date]&lt;42826),IF(Table1[Date of Last Assessment]="",Table1[Emotional and Mental Health],Table1[Emotional and Mental Health2]),""))</f>
        <v/>
      </c>
      <c r="GL106" s="44" t="str">
        <f>IF(Table1[Leaving Date]="","",IF(AND(Table1[Leaving Date]&gt;42460,Table1[Leaving Date]&lt;42826),IF(Table1[Date of Last Assessment]="",Table1[Meaningful Use of Time],Table1[Meaningful Use of Time2]),""))</f>
        <v/>
      </c>
      <c r="GM106" s="44" t="str">
        <f>IF(Table1[Leaving Date]="","",IF(AND(Table1[Leaving Date]&gt;42460,Table1[Leaving Date]&lt;42826),IF(Table1[Date of Last Assessment]="",Table1[Managing Tenancy and Accommodation],Table1[Managing Tenancy and Accommodation2]),""))</f>
        <v/>
      </c>
      <c r="GN106" s="44" t="str">
        <f>IF(Table1[Leaving Date]="","",IF(AND(Table1[Leaving Date]&gt;42460,Table1[Leaving Date]&lt;42826),IF(Table1[Date of Last Assessment]="",Table1[Offending],Table1[Offending2]),""))</f>
        <v/>
      </c>
    </row>
    <row r="107" spans="2:196" ht="20.100000000000001" customHeight="1" x14ac:dyDescent="0.2">
      <c r="B107" s="86">
        <f>+'Service Data'!$C$5:$C$5</f>
        <v>0</v>
      </c>
      <c r="C107" s="86"/>
      <c r="D107" s="86"/>
      <c r="E107" s="86"/>
      <c r="F107" s="86"/>
      <c r="G107" s="86"/>
      <c r="H107" s="6"/>
      <c r="I107" s="99" t="str">
        <f ca="1">IF(Table1[[#This Row],[Date of Birth]]="","",SUM(TODAY()-Table1[[#This Row],[Date of Birth]])/365)</f>
        <v/>
      </c>
      <c r="L107" s="86"/>
      <c r="M107" s="77"/>
      <c r="N107" s="86"/>
      <c r="O107" s="86"/>
      <c r="P107" s="91"/>
      <c r="Q107" s="86"/>
      <c r="R107" s="77"/>
      <c r="S107" s="77"/>
      <c r="T107" s="68"/>
      <c r="U107" s="68"/>
      <c r="V107" s="67"/>
      <c r="W107" s="67"/>
      <c r="X107" s="67"/>
      <c r="Y107" s="67"/>
      <c r="Z107" s="67"/>
      <c r="AA107" s="67"/>
      <c r="AB107" s="67"/>
      <c r="AC107" s="67"/>
      <c r="AD107" s="67"/>
      <c r="AE107" s="67"/>
      <c r="AF107" s="67"/>
      <c r="AG107" s="67"/>
      <c r="AH107" s="67"/>
      <c r="AI107" s="67"/>
      <c r="AJ107" s="67"/>
      <c r="AK107" s="67"/>
      <c r="AL107" s="67"/>
      <c r="AM107" s="67"/>
      <c r="AN107" s="77"/>
      <c r="AO107" s="76"/>
      <c r="AP107" s="77"/>
      <c r="AQ107" s="76"/>
      <c r="AR107" s="76"/>
      <c r="AS107" s="76"/>
      <c r="AT107" s="76"/>
      <c r="AU107" s="76"/>
      <c r="AV107" s="77"/>
      <c r="AW107" s="76"/>
      <c r="AX107" s="77"/>
      <c r="AY107" s="76"/>
      <c r="AZ107" s="76"/>
      <c r="BA107" s="76"/>
      <c r="BB107" s="76"/>
      <c r="BC107" s="76"/>
      <c r="BD107" s="77"/>
      <c r="BE107" s="76"/>
      <c r="BF107" s="77"/>
      <c r="BG107" s="76"/>
      <c r="BH107" s="76"/>
      <c r="BI107" s="76"/>
      <c r="BJ107" s="76"/>
      <c r="BK107" s="76"/>
      <c r="BL107" s="77"/>
      <c r="BM107" s="76"/>
      <c r="BN107" s="77"/>
      <c r="BO107" s="76"/>
      <c r="BP107" s="76"/>
      <c r="BQ107" s="76"/>
      <c r="BR107" s="76"/>
      <c r="BS107" s="76"/>
      <c r="BT107" s="77"/>
      <c r="BU107" s="76"/>
      <c r="BV107" s="77"/>
      <c r="BW107" s="76"/>
      <c r="BX107" s="76"/>
      <c r="BY107" s="76"/>
      <c r="BZ107" s="76"/>
      <c r="CA107" s="76"/>
      <c r="CB107" s="77"/>
      <c r="CC107" s="76"/>
      <c r="CD107" s="77"/>
      <c r="CE107" s="76"/>
      <c r="CF107" s="76"/>
      <c r="CG107" s="76"/>
      <c r="CH107" s="76"/>
      <c r="CI107" s="76"/>
      <c r="CJ107" s="77"/>
      <c r="CK107" s="76"/>
      <c r="CL107" s="77"/>
      <c r="CM107" s="76"/>
      <c r="CN107" s="76"/>
      <c r="CO107" s="76"/>
      <c r="CP107" s="76"/>
      <c r="CQ107" s="76"/>
      <c r="CR107" s="78" t="str">
        <f t="shared" si="31"/>
        <v/>
      </c>
      <c r="CS107" s="79" t="str">
        <f t="shared" si="32"/>
        <v/>
      </c>
      <c r="CT107" s="79" t="str">
        <f t="shared" si="33"/>
        <v/>
      </c>
      <c r="CU107" s="79" t="str">
        <f t="shared" si="34"/>
        <v/>
      </c>
      <c r="CV107" s="79" t="str">
        <f t="shared" si="35"/>
        <v/>
      </c>
      <c r="CW107" s="79" t="str">
        <f t="shared" si="36"/>
        <v/>
      </c>
      <c r="CX107" s="79" t="str">
        <f t="shared" si="37"/>
        <v/>
      </c>
      <c r="CY107" s="79" t="str">
        <f t="shared" si="38"/>
        <v/>
      </c>
      <c r="CZ107" s="79" t="str">
        <f t="shared" si="39"/>
        <v/>
      </c>
      <c r="DA107" s="79" t="str">
        <f t="shared" si="40"/>
        <v/>
      </c>
      <c r="DB107" s="79" t="str">
        <f t="shared" si="41"/>
        <v/>
      </c>
      <c r="DC107" s="79" t="str">
        <f t="shared" si="42"/>
        <v/>
      </c>
      <c r="DD107" s="79" t="str">
        <f t="shared" si="43"/>
        <v/>
      </c>
      <c r="DE107" s="79" t="str">
        <f t="shared" si="44"/>
        <v/>
      </c>
      <c r="DF107" s="79" t="str">
        <f t="shared" si="45"/>
        <v/>
      </c>
      <c r="DG107" s="79" t="str">
        <f t="shared" si="46"/>
        <v/>
      </c>
      <c r="DH107" s="76"/>
      <c r="DI107" s="78"/>
      <c r="DJ107" s="76"/>
      <c r="DK107" s="77"/>
      <c r="DL107" s="77"/>
      <c r="DM107" s="77"/>
      <c r="DN107" s="80"/>
      <c r="DO107" s="80"/>
      <c r="DP107" s="92" t="str">
        <f>IF(Table1[Start Date]="","",IF(Table1[Start Date]&gt;42185,"",IF(AND(Table1[Leaving Date]&gt;1,Table1[Leaving Date]&lt;42095),"",1)))</f>
        <v/>
      </c>
      <c r="DQ107" s="92" t="str">
        <f>IF(Table1[Start Date]="","",IF(Table1[Start Date]&gt;42277,"",IF(AND(Table1[Leaving Date]&gt;1,Table1[Leaving Date]&lt;42186),"",1)))</f>
        <v/>
      </c>
      <c r="DR107" s="92" t="str">
        <f>IF(Table1[Start Date]="","",IF(Table1[Start Date]&gt;42369,"",IF(AND(Table1[Leaving Date]&gt;1,Table1[Leaving Date]&lt;42278),"",1)))</f>
        <v/>
      </c>
      <c r="DS107" s="92" t="str">
        <f>IF(Table1[Start Date]="","",IF(Table1[Start Date]&gt;42460,"",IF(AND(Table1[Leaving Date]&gt;1,Table1[Leaving Date]&lt;42370),"",1)))</f>
        <v/>
      </c>
      <c r="DT107" s="92" t="str">
        <f>IF(Table1[Start Date]="","",IF(Table1[Start Date]&gt;42551,"",IF(AND(Table1[Leaving Date]&gt;1,Table1[Leaving Date]&lt;42461),"",1)))</f>
        <v/>
      </c>
      <c r="DU107" s="92" t="str">
        <f>IF(Table1[Start Date]="","",IF(Table1[Start Date]&gt;42643,"",IF(AND(Table1[Leaving Date]&gt;1,Table1[Leaving Date]&lt;42552),"",1)))</f>
        <v/>
      </c>
      <c r="DV107" s="92" t="str">
        <f>IF(Table1[Start Date]="","",IF(Table1[Start Date]&gt;42735,"",IF(AND(Table1[Leaving Date]&gt;1,Table1[Leaving Date]&lt;42644),"",1)))</f>
        <v/>
      </c>
      <c r="DW107" s="92" t="str">
        <f>IF(Table1[Start Date]="","",IF(Table1[Start Date]&gt;42825,"",IF(AND(Table1[Leaving Date]&gt;1,Table1[Leaving Date]&lt;42736),"",1)))</f>
        <v/>
      </c>
      <c r="DX107"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107" s="44" t="e">
        <f>VLOOKUP(Table1[Referral Source],Lists!$G$2:$H$20,2,FALSE)</f>
        <v>#N/A</v>
      </c>
      <c r="DZ107" s="93" t="e">
        <f>SUM(Table1[Data Referral Quarter]+Table1[Data Referral Source])</f>
        <v>#N/A</v>
      </c>
      <c r="EA107" s="44" t="b">
        <f>IF(Table1[Referral Decision]="Accepted",100,IF(Table1[Referral Decision]="Rejected by Provider",200,IF(Table1[Referral Decision]="Rejected by Applicant",300)))</f>
        <v>0</v>
      </c>
      <c r="EB107" s="44">
        <f>SUM(Table1[Data Referral Quarter]+Table1[Data Referral Decision])</f>
        <v>0</v>
      </c>
      <c r="EC107" s="44" t="b">
        <f>IF(Table1[Start Date]&gt;42735,8000,IF(Table1[Start Date]&gt;42643,7000,IF(Table1[Start Date]&gt;42551,6000,IF(Table1[Start Date]&gt;42460,5000,IF(Table1[Start Date]&gt;42369,4000,IF(Table1[Start Date]&gt;42277,3000,IF(Table1[Start Date]&gt;42185,2000,IF(Table1[Start Date]&gt;42094,1000))))))))</f>
        <v>0</v>
      </c>
      <c r="ED107" s="44" t="str">
        <f>IF(Table1[Start Date]="","",IF(Table1[Current Local Authority]="Swindon",1,"2"))</f>
        <v/>
      </c>
      <c r="EE107" s="44" t="e">
        <f>SUM(Table1[Data Start Date]+Table1[Data Local Authority])</f>
        <v>#VALUE!</v>
      </c>
      <c r="EF107" s="44">
        <f>IF(Table1[Registered with GP]="Yes",1,0)</f>
        <v>0</v>
      </c>
      <c r="EG107" s="44">
        <f>SUM(Table1[Data Start Date]+Table1[Data GP Start])</f>
        <v>0</v>
      </c>
      <c r="EH107" s="44" t="str">
        <f>IF(Table1[EET]="NEET",1,IF(Table1[EET]="Education",2,IF(Table1[EET]="Employment",2,IF(Table1[EET]="Training",2,IF(Table1[EET]="Retired",3,"")))))</f>
        <v/>
      </c>
      <c r="EI107" s="44" t="e">
        <f>Table1[Data Start Date]+Table1[Data EET Start]</f>
        <v>#VALUE!</v>
      </c>
      <c r="EJ107" s="44" t="b">
        <f>IF(Table1[Leaving Date]&gt;42735,8000,IF(Table1[Leaving Date]&gt;42643,7000,IF(Table1[Leaving Date]&gt;42551,6000,IF(Table1[Leaving Date]&gt;42460,5000,IF(Table1[Leaving Date]&gt;42369,4000,IF(Table1[Leaving Date]&gt;42277,3000,IF(Table1[Leaving Date]&gt;42185,2000,IF(Table1[Leaving Date]&gt;42094,1000))))))))</f>
        <v>0</v>
      </c>
      <c r="EK107" s="44" t="e">
        <f>VLOOKUP(Table1[Reason for Leaving],Lists!$T$2:$U$15,2,FALSE)</f>
        <v>#N/A</v>
      </c>
      <c r="EL107" s="44" t="e">
        <f>SUM(Table1[Data Leavers Date]+Table1[Data Move On])</f>
        <v>#N/A</v>
      </c>
      <c r="EM107" s="44" t="b">
        <f>IF(Table1[Registered with GP2]="Yes",1,IF(Table1[Registered with GP2]="No",0,IF(Table1[Registered with GP]="Yes",1,IF(Table1[Registered with GP]="No",0))))</f>
        <v>0</v>
      </c>
      <c r="EN107" s="44">
        <f>SUM(Table1[Data Leavers Date]+Table1[Data GP End])</f>
        <v>0</v>
      </c>
      <c r="EO107" s="44" t="str">
        <f>IF(Table1[EET2]="NEET",1,IF(Table1[EET2]="Employment",2,IF(Table1[EET2]="Education",2,IF(Table1[EET2]="Training",2,IF(Table1[EET2]="Retired",3,IF(Table1[EET]="NEET",1,IF(Table1[EET]="Employment",2,IF(Table1[EET]="Education",2,IF(Table1[EET]="Training",2,IF(Table1[EET]="Retired",3,""))))))))))</f>
        <v/>
      </c>
      <c r="EP107" s="44" t="e">
        <f>+Table1[[#This Row],[Data Leavers Date]]+Table1[[#This Row],[Data EET End]]</f>
        <v>#VALUE!</v>
      </c>
      <c r="EQ107" s="44">
        <f>IF(Table1[Exit Form Received]="Yes",1,0)</f>
        <v>0</v>
      </c>
      <c r="ER107" s="44">
        <f>+Table1[[#This Row],[Data Leavers Date]]+Table1[[#This Row],[Data Exit Forms]]</f>
        <v>0</v>
      </c>
      <c r="ES107" s="44" t="str">
        <f>IF(Table1[Data Leavers Date]=1000,SUM(Table1[Leaving Date]-Table1[Start Date]),"")</f>
        <v/>
      </c>
      <c r="ET107" s="44" t="str">
        <f>IF(Table1[Data Leavers Date]=2000,SUM(Table1[Leaving Date]-Table1[Start Date]),"")</f>
        <v/>
      </c>
      <c r="EU107" s="44" t="str">
        <f>IF(Table1[Data Leavers Date]=3000,SUM(Table1[Leaving Date]-Table1[Start Date]),"")</f>
        <v/>
      </c>
      <c r="EV107" s="44" t="str">
        <f>IF(Table1[Data Leavers Date]=4000,SUM(Table1[Leaving Date]-Table1[Start Date]),"")</f>
        <v/>
      </c>
      <c r="EW107" s="44" t="str">
        <f>IF(Table1[Data Leavers Date]=5000,SUM(Table1[Leaving Date]-Table1[Start Date]),"")</f>
        <v/>
      </c>
      <c r="EX107" s="44" t="str">
        <f>IF(Table1[Data Leavers Date]=6000,SUM(Table1[Leaving Date]-Table1[Start Date]),"")</f>
        <v/>
      </c>
      <c r="EY107" s="44" t="str">
        <f>IF(Table1[Data Leavers Date]=7000,SUM(Table1[Leaving Date]-Table1[Start Date]),"")</f>
        <v/>
      </c>
      <c r="EZ107" s="44" t="str">
        <f>IF(Table1[Data Leavers Date]=8000,SUM(Table1[Leaving Date]-Table1[Start Date]),"")</f>
        <v/>
      </c>
      <c r="FA107" s="44" t="str">
        <f>IF(Table1[Date of Initial Assessment]="","",IF(AND(Table1[Start Date]&gt;42094,Table1[Start Date]&lt;42461),Table1[Motivation and Taking Responsibility],""))</f>
        <v/>
      </c>
      <c r="FB107" s="44" t="str">
        <f>IF(Table1[Date of Initial Assessment]="","",IF(AND(Table1[Start Date]&gt;42094,Table1[Start Date]&lt;42461),Table1[Self-Care and Living Skills],""))</f>
        <v/>
      </c>
      <c r="FC107" s="44" t="str">
        <f>IF(Table1[Date of Initial Assessment]="","",IF(AND(Table1[Start Date]&gt;42094,Table1[Start Date]&lt;42461),Table1[Managing Money and Personal Administration],""))</f>
        <v/>
      </c>
      <c r="FD107" s="44" t="str">
        <f>IF(Table1[Date of Initial Assessment]="","",IF(AND(Table1[Start Date]&gt;42094,Table1[Start Date]&lt;42461),Table1[Social Networks and Relationships],""))</f>
        <v/>
      </c>
      <c r="FE107" s="44" t="str">
        <f>IF(Table1[Date of Initial Assessment]="","",IF(AND(Table1[Start Date]&gt;42094,Table1[Start Date]&lt;42461),Table1[Drug and Alcohol Misuse],""))</f>
        <v/>
      </c>
      <c r="FF107" s="44" t="str">
        <f>IF(Table1[Date of Initial Assessment]="","",IF(AND(Table1[Start Date]&gt;42094,Table1[Start Date]&lt;42461),Table1[Physical Health],""))</f>
        <v/>
      </c>
      <c r="FG107" s="44" t="str">
        <f>IF(Table1[Date of Initial Assessment]="","",IF(AND(Table1[Start Date]&gt;42094,Table1[Start Date]&lt;42461),Table1[Emotional and Mental Health],""))</f>
        <v/>
      </c>
      <c r="FH107" s="44" t="str">
        <f>IF(Table1[Date of Initial Assessment]="","",IF(AND(Table1[Start Date]&gt;42094,Table1[Start Date]&lt;42461),Table1[Meaningful Use of Time],""))</f>
        <v/>
      </c>
      <c r="FI107" s="44" t="str">
        <f>IF(Table1[Date of Initial Assessment]="","",IF(AND(Table1[Start Date]&gt;42094,Table1[Start Date]&lt;42461),Table1[Managing Tenancy and Accommodation],""))</f>
        <v/>
      </c>
      <c r="FJ107" s="44" t="str">
        <f>IF(Table1[Date of Initial Assessment]="","",IF(AND(Table1[Start Date]&gt;42094,Table1[Start Date]&lt;42461),Table1[Offending],""))</f>
        <v/>
      </c>
      <c r="FK107" s="44" t="str">
        <f>IF(Table1[Leaving Date]="","",IF(Table1[Date of Initial Assessment]="","",IF(AND(Table1[Leaving Date]&gt;42094,Table1[Leaving Date]&lt;42461),IF(Table1[Date of Last Assessment]="",Table1[Motivation and Taking Responsibility],Table1[Motivation and Taking Responsibility2]),"")))</f>
        <v/>
      </c>
      <c r="FL107" s="44" t="str">
        <f>IF(Table1[Leaving Date]="","",IF(Table1[Date of Initial Assessment]="","",IF(AND(Table1[Leaving Date]&gt;42094,Table1[Leaving Date]&lt;42461),IF(Table1[Date of Last Assessment]="",Table1[Self-Care and Living Skills],Table1[Self-Care and Living Skills2]),"")))</f>
        <v/>
      </c>
      <c r="FM107" s="44" t="str">
        <f>IF(Table1[Leaving Date]="","",IF(Table1[Date of Initial Assessment]="","",IF(AND(Table1[Leaving Date]&gt;42094,Table1[Leaving Date]&lt;42461),IF(Table1[Date of Last Assessment]="",Table1[Managing Money and Personal Administration],Table1[Managing Money and Personal Administration2]),"")))</f>
        <v/>
      </c>
      <c r="FN107" s="44" t="str">
        <f>IF(Table1[Leaving Date]="","",IF(Table1[Date of Initial Assessment]="","",IF(AND(Table1[Leaving Date]&gt;42094,Table1[Leaving Date]&lt;42461),IF(Table1[Date of Last Assessment]="",Table1[Social Networks and Relationships],Table1[Social Networks and Relationships2]),"")))</f>
        <v/>
      </c>
      <c r="FO107" s="44" t="str">
        <f>IF(Table1[Leaving Date]="","",IF(Table1[Date of Initial Assessment]="","",IF(AND(Table1[Leaving Date]&gt;42094,Table1[Leaving Date]&lt;42461),IF(Table1[Date of Last Assessment]="",Table1[Drug and Alcohol Misuse],Table1[Drug and Alcohol Misuse2]),"")))</f>
        <v/>
      </c>
      <c r="FP107" s="44" t="str">
        <f>IF(Table1[Leaving Date]="","",IF(Table1[Date of Initial Assessment]="","",IF(AND(Table1[Leaving Date]&gt;42094,Table1[Leaving Date]&lt;42461),IF(Table1[Date of Last Assessment]="",Table1[Physical Health],Table1[Physical Health2]),"")))</f>
        <v/>
      </c>
      <c r="FQ107" s="44" t="str">
        <f>IF(Table1[Leaving Date]="","",IF(Table1[Date of Initial Assessment]="","",IF(AND(Table1[Leaving Date]&gt;42094,Table1[Leaving Date]&lt;42461),IF(Table1[Date of Last Assessment]="",Table1[Emotional and Mental Health],Table1[Emotional and Mental Health2]),"")))</f>
        <v/>
      </c>
      <c r="FR107" s="44" t="str">
        <f>IF(Table1[Leaving Date]="","",IF(Table1[Date of Initial Assessment]="","",IF(AND(Table1[Leaving Date]&gt;42094,Table1[Leaving Date]&lt;42461),IF(Table1[Date of Last Assessment]="",Table1[Meaningful Use of Time],Table1[Meaningful Use of Time2]),"")))</f>
        <v/>
      </c>
      <c r="FS107" s="44" t="str">
        <f>IF(Table1[Leaving Date]="","",IF(Table1[Date of Initial Assessment]="","",IF(AND(Table1[Leaving Date]&gt;42094,Table1[Leaving Date]&lt;42461),IF(Table1[Date of Last Assessment]="",Table1[Managing Tenancy and Accommodation],Table1[Managing Tenancy and Accommodation2]),"")))</f>
        <v/>
      </c>
      <c r="FT107" s="44" t="str">
        <f>IF(Table1[Leaving Date]="","",IF(Table1[Date of Initial Assessment]="","",IF(AND(Table1[Leaving Date]&gt;42094,Table1[Leaving Date]&lt;42461),IF(Table1[Date of Last Assessment]="",Table1[Offending],Table1[Offending2]),"")))</f>
        <v/>
      </c>
      <c r="FU107" s="44" t="str">
        <f>IF(Table1[Date of Initial Assessment]="","",IF(AND(Table1[Start Date]&gt;42460,Table1[Start Date]&lt;42826),Table1[Motivation and Taking Responsibility],""))</f>
        <v/>
      </c>
      <c r="FV107" s="44" t="str">
        <f>IF(Table1[Date of Initial Assessment]="","",IF(AND(Table1[Start Date]&gt;42460,Table1[Start Date]&lt;42826),Table1[Self-Care and Living Skills],""))</f>
        <v/>
      </c>
      <c r="FW107" s="44" t="str">
        <f>IF(Table1[Date of Initial Assessment]="","",IF(AND(Table1[Start Date]&gt;42460,Table1[Start Date]&lt;42826),Table1[Managing Money and Personal Administration],""))</f>
        <v/>
      </c>
      <c r="FX107" s="44" t="str">
        <f>IF(Table1[Date of Initial Assessment]="","",IF(AND(Table1[Start Date]&gt;42460,Table1[Start Date]&lt;42826),Table1[Social Networks and Relationships],""))</f>
        <v/>
      </c>
      <c r="FY107" s="44" t="str">
        <f>IF(Table1[Date of Initial Assessment]="","",IF(AND(Table1[Start Date]&gt;42460,Table1[Start Date]&lt;42826),Table1[Drug and Alcohol Misuse],""))</f>
        <v/>
      </c>
      <c r="FZ107" s="44" t="str">
        <f>IF(Table1[Date of Initial Assessment]="","",IF(AND(Table1[Start Date]&gt;42460,Table1[Start Date]&lt;42826),Table1[Physical Health],""))</f>
        <v/>
      </c>
      <c r="GA107" s="44" t="str">
        <f>IF(Table1[Date of Initial Assessment]="","",IF(AND(Table1[Start Date]&gt;42460,Table1[Start Date]&lt;42826),Table1[Emotional and Mental Health],""))</f>
        <v/>
      </c>
      <c r="GB107" s="44" t="str">
        <f>IF(Table1[Date of Initial Assessment]="","",IF(AND(Table1[Start Date]&gt;42460,Table1[Start Date]&lt;42826),Table1[Meaningful Use of Time],""))</f>
        <v/>
      </c>
      <c r="GC107" s="44" t="str">
        <f>IF(Table1[Date of Initial Assessment]="","",IF(AND(Table1[Start Date]&gt;42460,Table1[Start Date]&lt;42826),Table1[Managing Tenancy and Accommodation],""))</f>
        <v/>
      </c>
      <c r="GD107" s="44" t="str">
        <f>IF(Table1[Date of Initial Assessment]="","",IF(AND(Table1[Start Date]&gt;42460,Table1[Start Date]&lt;42826),Table1[Offending],""))</f>
        <v/>
      </c>
      <c r="GE107" s="44" t="str">
        <f>IF(Table1[Leaving Date]="","",IF(AND(Table1[Leaving Date]&gt;42460,Table1[Leaving Date]&lt;42826),IF(Table1[Date of Last Assessment]="",Table1[Motivation and Taking Responsibility],Table1[Motivation and Taking Responsibility2]),""))</f>
        <v/>
      </c>
      <c r="GF107" s="44" t="str">
        <f>IF(Table1[Leaving Date]="","",IF(AND(Table1[Leaving Date]&gt;42460,Table1[Leaving Date]&lt;42826),IF(Table1[Date of Last Assessment]="",Table1[Self-Care and Living Skills],Table1[Self-Care and Living Skills2]),""))</f>
        <v/>
      </c>
      <c r="GG107" s="44" t="str">
        <f>IF(Table1[Leaving Date]="","",IF(AND(Table1[Leaving Date]&gt;42460,Table1[Leaving Date]&lt;42826),IF(Table1[Date of Last Assessment]="",Table1[Managing Money and Personal Administration],Table1[Managing Money and Personal Administration2]),""))</f>
        <v/>
      </c>
      <c r="GH107" s="44" t="str">
        <f>IF(Table1[Leaving Date]="","",IF(AND(Table1[Leaving Date]&gt;42460,Table1[Leaving Date]&lt;42826),IF(Table1[Date of Last Assessment]="",Table1[Social Networks and Relationships],Table1[Social Networks and Relationships2]),""))</f>
        <v/>
      </c>
      <c r="GI107" s="44" t="str">
        <f>IF(Table1[Leaving Date]="","",IF(AND(Table1[Leaving Date]&gt;42460,Table1[Leaving Date]&lt;42826),IF(Table1[Date of Last Assessment]="",Table1[Drug and Alcohol Misuse],Table1[Drug and Alcohol Misuse2]),""))</f>
        <v/>
      </c>
      <c r="GJ107" s="44" t="str">
        <f>IF(Table1[Leaving Date]="","",IF(AND(Table1[Leaving Date]&gt;42460,Table1[Leaving Date]&lt;42826),IF(Table1[Date of Last Assessment]="",Table1[Physical Health],Table1[Physical Health2]),""))</f>
        <v/>
      </c>
      <c r="GK107" s="44" t="str">
        <f>IF(Table1[Leaving Date]="","",IF(AND(Table1[Leaving Date]&gt;42460,Table1[Leaving Date]&lt;42826),IF(Table1[Date of Last Assessment]="",Table1[Emotional and Mental Health],Table1[Emotional and Mental Health2]),""))</f>
        <v/>
      </c>
      <c r="GL107" s="44" t="str">
        <f>IF(Table1[Leaving Date]="","",IF(AND(Table1[Leaving Date]&gt;42460,Table1[Leaving Date]&lt;42826),IF(Table1[Date of Last Assessment]="",Table1[Meaningful Use of Time],Table1[Meaningful Use of Time2]),""))</f>
        <v/>
      </c>
      <c r="GM107" s="44" t="str">
        <f>IF(Table1[Leaving Date]="","",IF(AND(Table1[Leaving Date]&gt;42460,Table1[Leaving Date]&lt;42826),IF(Table1[Date of Last Assessment]="",Table1[Managing Tenancy and Accommodation],Table1[Managing Tenancy and Accommodation2]),""))</f>
        <v/>
      </c>
      <c r="GN107" s="44" t="str">
        <f>IF(Table1[Leaving Date]="","",IF(AND(Table1[Leaving Date]&gt;42460,Table1[Leaving Date]&lt;42826),IF(Table1[Date of Last Assessment]="",Table1[Offending],Table1[Offending2]),""))</f>
        <v/>
      </c>
    </row>
    <row r="108" spans="2:196" ht="20.100000000000001" customHeight="1" x14ac:dyDescent="0.2">
      <c r="B108" s="86">
        <f>+'Service Data'!$C$5:$C$5</f>
        <v>0</v>
      </c>
      <c r="C108" s="86"/>
      <c r="D108" s="86"/>
      <c r="E108" s="86"/>
      <c r="F108" s="86"/>
      <c r="G108" s="86"/>
      <c r="H108" s="6"/>
      <c r="I108" s="99" t="str">
        <f ca="1">IF(Table1[[#This Row],[Date of Birth]]="","",SUM(TODAY()-Table1[[#This Row],[Date of Birth]])/365)</f>
        <v/>
      </c>
      <c r="L108" s="86"/>
      <c r="M108" s="77"/>
      <c r="N108" s="86"/>
      <c r="O108" s="86"/>
      <c r="P108" s="91"/>
      <c r="Q108" s="86"/>
      <c r="R108" s="77"/>
      <c r="S108" s="77"/>
      <c r="T108" s="68"/>
      <c r="U108" s="68"/>
      <c r="V108" s="67"/>
      <c r="W108" s="67"/>
      <c r="X108" s="67"/>
      <c r="Y108" s="67"/>
      <c r="Z108" s="67"/>
      <c r="AA108" s="67"/>
      <c r="AB108" s="67"/>
      <c r="AC108" s="67"/>
      <c r="AD108" s="67"/>
      <c r="AE108" s="67"/>
      <c r="AF108" s="67"/>
      <c r="AG108" s="67"/>
      <c r="AH108" s="67"/>
      <c r="AI108" s="67"/>
      <c r="AJ108" s="67"/>
      <c r="AK108" s="67"/>
      <c r="AL108" s="67"/>
      <c r="AM108" s="67"/>
      <c r="AN108" s="77"/>
      <c r="AO108" s="76"/>
      <c r="AP108" s="77"/>
      <c r="AQ108" s="76"/>
      <c r="AR108" s="76"/>
      <c r="AS108" s="76"/>
      <c r="AT108" s="76"/>
      <c r="AU108" s="76"/>
      <c r="AV108" s="77"/>
      <c r="AW108" s="76"/>
      <c r="AX108" s="77"/>
      <c r="AY108" s="76"/>
      <c r="AZ108" s="76"/>
      <c r="BA108" s="76"/>
      <c r="BB108" s="76"/>
      <c r="BC108" s="76"/>
      <c r="BD108" s="77"/>
      <c r="BE108" s="76"/>
      <c r="BF108" s="77"/>
      <c r="BG108" s="76"/>
      <c r="BH108" s="76"/>
      <c r="BI108" s="76"/>
      <c r="BJ108" s="76"/>
      <c r="BK108" s="76"/>
      <c r="BL108" s="77"/>
      <c r="BM108" s="76"/>
      <c r="BN108" s="77"/>
      <c r="BO108" s="76"/>
      <c r="BP108" s="76"/>
      <c r="BQ108" s="76"/>
      <c r="BR108" s="76"/>
      <c r="BS108" s="76"/>
      <c r="BT108" s="77"/>
      <c r="BU108" s="76"/>
      <c r="BV108" s="77"/>
      <c r="BW108" s="76"/>
      <c r="BX108" s="76"/>
      <c r="BY108" s="76"/>
      <c r="BZ108" s="76"/>
      <c r="CA108" s="76"/>
      <c r="CB108" s="77"/>
      <c r="CC108" s="76"/>
      <c r="CD108" s="77"/>
      <c r="CE108" s="76"/>
      <c r="CF108" s="76"/>
      <c r="CG108" s="76"/>
      <c r="CH108" s="76"/>
      <c r="CI108" s="76"/>
      <c r="CJ108" s="77"/>
      <c r="CK108" s="76"/>
      <c r="CL108" s="77"/>
      <c r="CM108" s="76"/>
      <c r="CN108" s="76"/>
      <c r="CO108" s="76"/>
      <c r="CP108" s="76"/>
      <c r="CQ108" s="76"/>
      <c r="CR108" s="78" t="str">
        <f t="shared" si="31"/>
        <v/>
      </c>
      <c r="CS108" s="79" t="str">
        <f t="shared" si="32"/>
        <v/>
      </c>
      <c r="CT108" s="79" t="str">
        <f t="shared" si="33"/>
        <v/>
      </c>
      <c r="CU108" s="79" t="str">
        <f t="shared" si="34"/>
        <v/>
      </c>
      <c r="CV108" s="79" t="str">
        <f t="shared" si="35"/>
        <v/>
      </c>
      <c r="CW108" s="79" t="str">
        <f t="shared" si="36"/>
        <v/>
      </c>
      <c r="CX108" s="79" t="str">
        <f t="shared" si="37"/>
        <v/>
      </c>
      <c r="CY108" s="79" t="str">
        <f t="shared" si="38"/>
        <v/>
      </c>
      <c r="CZ108" s="79" t="str">
        <f t="shared" si="39"/>
        <v/>
      </c>
      <c r="DA108" s="79" t="str">
        <f t="shared" si="40"/>
        <v/>
      </c>
      <c r="DB108" s="79" t="str">
        <f t="shared" si="41"/>
        <v/>
      </c>
      <c r="DC108" s="79" t="str">
        <f t="shared" si="42"/>
        <v/>
      </c>
      <c r="DD108" s="79" t="str">
        <f t="shared" si="43"/>
        <v/>
      </c>
      <c r="DE108" s="79" t="str">
        <f t="shared" si="44"/>
        <v/>
      </c>
      <c r="DF108" s="79" t="str">
        <f t="shared" si="45"/>
        <v/>
      </c>
      <c r="DG108" s="79" t="str">
        <f t="shared" si="46"/>
        <v/>
      </c>
      <c r="DH108" s="76"/>
      <c r="DI108" s="78"/>
      <c r="DJ108" s="76"/>
      <c r="DK108" s="77"/>
      <c r="DL108" s="77"/>
      <c r="DM108" s="77"/>
      <c r="DN108" s="80"/>
      <c r="DO108" s="80"/>
      <c r="DP108" s="92" t="str">
        <f>IF(Table1[Start Date]="","",IF(Table1[Start Date]&gt;42185,"",IF(AND(Table1[Leaving Date]&gt;1,Table1[Leaving Date]&lt;42095),"",1)))</f>
        <v/>
      </c>
      <c r="DQ108" s="92" t="str">
        <f>IF(Table1[Start Date]="","",IF(Table1[Start Date]&gt;42277,"",IF(AND(Table1[Leaving Date]&gt;1,Table1[Leaving Date]&lt;42186),"",1)))</f>
        <v/>
      </c>
      <c r="DR108" s="92" t="str">
        <f>IF(Table1[Start Date]="","",IF(Table1[Start Date]&gt;42369,"",IF(AND(Table1[Leaving Date]&gt;1,Table1[Leaving Date]&lt;42278),"",1)))</f>
        <v/>
      </c>
      <c r="DS108" s="92" t="str">
        <f>IF(Table1[Start Date]="","",IF(Table1[Start Date]&gt;42460,"",IF(AND(Table1[Leaving Date]&gt;1,Table1[Leaving Date]&lt;42370),"",1)))</f>
        <v/>
      </c>
      <c r="DT108" s="92" t="str">
        <f>IF(Table1[Start Date]="","",IF(Table1[Start Date]&gt;42551,"",IF(AND(Table1[Leaving Date]&gt;1,Table1[Leaving Date]&lt;42461),"",1)))</f>
        <v/>
      </c>
      <c r="DU108" s="92" t="str">
        <f>IF(Table1[Start Date]="","",IF(Table1[Start Date]&gt;42643,"",IF(AND(Table1[Leaving Date]&gt;1,Table1[Leaving Date]&lt;42552),"",1)))</f>
        <v/>
      </c>
      <c r="DV108" s="92" t="str">
        <f>IF(Table1[Start Date]="","",IF(Table1[Start Date]&gt;42735,"",IF(AND(Table1[Leaving Date]&gt;1,Table1[Leaving Date]&lt;42644),"",1)))</f>
        <v/>
      </c>
      <c r="DW108" s="92" t="str">
        <f>IF(Table1[Start Date]="","",IF(Table1[Start Date]&gt;42825,"",IF(AND(Table1[Leaving Date]&gt;1,Table1[Leaving Date]&lt;42736),"",1)))</f>
        <v/>
      </c>
      <c r="DX108"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108" s="44" t="e">
        <f>VLOOKUP(Table1[Referral Source],Lists!$G$2:$H$20,2,FALSE)</f>
        <v>#N/A</v>
      </c>
      <c r="DZ108" s="93" t="e">
        <f>SUM(Table1[Data Referral Quarter]+Table1[Data Referral Source])</f>
        <v>#N/A</v>
      </c>
      <c r="EA108" s="44" t="b">
        <f>IF(Table1[Referral Decision]="Accepted",100,IF(Table1[Referral Decision]="Rejected by Provider",200,IF(Table1[Referral Decision]="Rejected by Applicant",300)))</f>
        <v>0</v>
      </c>
      <c r="EB108" s="44">
        <f>SUM(Table1[Data Referral Quarter]+Table1[Data Referral Decision])</f>
        <v>0</v>
      </c>
      <c r="EC108" s="44" t="b">
        <f>IF(Table1[Start Date]&gt;42735,8000,IF(Table1[Start Date]&gt;42643,7000,IF(Table1[Start Date]&gt;42551,6000,IF(Table1[Start Date]&gt;42460,5000,IF(Table1[Start Date]&gt;42369,4000,IF(Table1[Start Date]&gt;42277,3000,IF(Table1[Start Date]&gt;42185,2000,IF(Table1[Start Date]&gt;42094,1000))))))))</f>
        <v>0</v>
      </c>
      <c r="ED108" s="44" t="str">
        <f>IF(Table1[Start Date]="","",IF(Table1[Current Local Authority]="Swindon",1,"2"))</f>
        <v/>
      </c>
      <c r="EE108" s="44" t="e">
        <f>SUM(Table1[Data Start Date]+Table1[Data Local Authority])</f>
        <v>#VALUE!</v>
      </c>
      <c r="EF108" s="44">
        <f>IF(Table1[Registered with GP]="Yes",1,0)</f>
        <v>0</v>
      </c>
      <c r="EG108" s="44">
        <f>SUM(Table1[Data Start Date]+Table1[Data GP Start])</f>
        <v>0</v>
      </c>
      <c r="EH108" s="44" t="str">
        <f>IF(Table1[EET]="NEET",1,IF(Table1[EET]="Education",2,IF(Table1[EET]="Employment",2,IF(Table1[EET]="Training",2,IF(Table1[EET]="Retired",3,"")))))</f>
        <v/>
      </c>
      <c r="EI108" s="44" t="e">
        <f>Table1[Data Start Date]+Table1[Data EET Start]</f>
        <v>#VALUE!</v>
      </c>
      <c r="EJ108" s="44" t="b">
        <f>IF(Table1[Leaving Date]&gt;42735,8000,IF(Table1[Leaving Date]&gt;42643,7000,IF(Table1[Leaving Date]&gt;42551,6000,IF(Table1[Leaving Date]&gt;42460,5000,IF(Table1[Leaving Date]&gt;42369,4000,IF(Table1[Leaving Date]&gt;42277,3000,IF(Table1[Leaving Date]&gt;42185,2000,IF(Table1[Leaving Date]&gt;42094,1000))))))))</f>
        <v>0</v>
      </c>
      <c r="EK108" s="44" t="e">
        <f>VLOOKUP(Table1[Reason for Leaving],Lists!$T$2:$U$15,2,FALSE)</f>
        <v>#N/A</v>
      </c>
      <c r="EL108" s="44" t="e">
        <f>SUM(Table1[Data Leavers Date]+Table1[Data Move On])</f>
        <v>#N/A</v>
      </c>
      <c r="EM108" s="44" t="b">
        <f>IF(Table1[Registered with GP2]="Yes",1,IF(Table1[Registered with GP2]="No",0,IF(Table1[Registered with GP]="Yes",1,IF(Table1[Registered with GP]="No",0))))</f>
        <v>0</v>
      </c>
      <c r="EN108" s="44">
        <f>SUM(Table1[Data Leavers Date]+Table1[Data GP End])</f>
        <v>0</v>
      </c>
      <c r="EO108" s="44" t="str">
        <f>IF(Table1[EET2]="NEET",1,IF(Table1[EET2]="Employment",2,IF(Table1[EET2]="Education",2,IF(Table1[EET2]="Training",2,IF(Table1[EET2]="Retired",3,IF(Table1[EET]="NEET",1,IF(Table1[EET]="Employment",2,IF(Table1[EET]="Education",2,IF(Table1[EET]="Training",2,IF(Table1[EET]="Retired",3,""))))))))))</f>
        <v/>
      </c>
      <c r="EP108" s="44" t="e">
        <f>+Table1[[#This Row],[Data Leavers Date]]+Table1[[#This Row],[Data EET End]]</f>
        <v>#VALUE!</v>
      </c>
      <c r="EQ108" s="44">
        <f>IF(Table1[Exit Form Received]="Yes",1,0)</f>
        <v>0</v>
      </c>
      <c r="ER108" s="44">
        <f>+Table1[[#This Row],[Data Leavers Date]]+Table1[[#This Row],[Data Exit Forms]]</f>
        <v>0</v>
      </c>
      <c r="ES108" s="44" t="str">
        <f>IF(Table1[Data Leavers Date]=1000,SUM(Table1[Leaving Date]-Table1[Start Date]),"")</f>
        <v/>
      </c>
      <c r="ET108" s="44" t="str">
        <f>IF(Table1[Data Leavers Date]=2000,SUM(Table1[Leaving Date]-Table1[Start Date]),"")</f>
        <v/>
      </c>
      <c r="EU108" s="44" t="str">
        <f>IF(Table1[Data Leavers Date]=3000,SUM(Table1[Leaving Date]-Table1[Start Date]),"")</f>
        <v/>
      </c>
      <c r="EV108" s="44" t="str">
        <f>IF(Table1[Data Leavers Date]=4000,SUM(Table1[Leaving Date]-Table1[Start Date]),"")</f>
        <v/>
      </c>
      <c r="EW108" s="44" t="str">
        <f>IF(Table1[Data Leavers Date]=5000,SUM(Table1[Leaving Date]-Table1[Start Date]),"")</f>
        <v/>
      </c>
      <c r="EX108" s="44" t="str">
        <f>IF(Table1[Data Leavers Date]=6000,SUM(Table1[Leaving Date]-Table1[Start Date]),"")</f>
        <v/>
      </c>
      <c r="EY108" s="44" t="str">
        <f>IF(Table1[Data Leavers Date]=7000,SUM(Table1[Leaving Date]-Table1[Start Date]),"")</f>
        <v/>
      </c>
      <c r="EZ108" s="44" t="str">
        <f>IF(Table1[Data Leavers Date]=8000,SUM(Table1[Leaving Date]-Table1[Start Date]),"")</f>
        <v/>
      </c>
      <c r="FA108" s="44" t="str">
        <f>IF(Table1[Date of Initial Assessment]="","",IF(AND(Table1[Start Date]&gt;42094,Table1[Start Date]&lt;42461),Table1[Motivation and Taking Responsibility],""))</f>
        <v/>
      </c>
      <c r="FB108" s="44" t="str">
        <f>IF(Table1[Date of Initial Assessment]="","",IF(AND(Table1[Start Date]&gt;42094,Table1[Start Date]&lt;42461),Table1[Self-Care and Living Skills],""))</f>
        <v/>
      </c>
      <c r="FC108" s="44" t="str">
        <f>IF(Table1[Date of Initial Assessment]="","",IF(AND(Table1[Start Date]&gt;42094,Table1[Start Date]&lt;42461),Table1[Managing Money and Personal Administration],""))</f>
        <v/>
      </c>
      <c r="FD108" s="44" t="str">
        <f>IF(Table1[Date of Initial Assessment]="","",IF(AND(Table1[Start Date]&gt;42094,Table1[Start Date]&lt;42461),Table1[Social Networks and Relationships],""))</f>
        <v/>
      </c>
      <c r="FE108" s="44" t="str">
        <f>IF(Table1[Date of Initial Assessment]="","",IF(AND(Table1[Start Date]&gt;42094,Table1[Start Date]&lt;42461),Table1[Drug and Alcohol Misuse],""))</f>
        <v/>
      </c>
      <c r="FF108" s="44" t="str">
        <f>IF(Table1[Date of Initial Assessment]="","",IF(AND(Table1[Start Date]&gt;42094,Table1[Start Date]&lt;42461),Table1[Physical Health],""))</f>
        <v/>
      </c>
      <c r="FG108" s="44" t="str">
        <f>IF(Table1[Date of Initial Assessment]="","",IF(AND(Table1[Start Date]&gt;42094,Table1[Start Date]&lt;42461),Table1[Emotional and Mental Health],""))</f>
        <v/>
      </c>
      <c r="FH108" s="44" t="str">
        <f>IF(Table1[Date of Initial Assessment]="","",IF(AND(Table1[Start Date]&gt;42094,Table1[Start Date]&lt;42461),Table1[Meaningful Use of Time],""))</f>
        <v/>
      </c>
      <c r="FI108" s="44" t="str">
        <f>IF(Table1[Date of Initial Assessment]="","",IF(AND(Table1[Start Date]&gt;42094,Table1[Start Date]&lt;42461),Table1[Managing Tenancy and Accommodation],""))</f>
        <v/>
      </c>
      <c r="FJ108" s="44" t="str">
        <f>IF(Table1[Date of Initial Assessment]="","",IF(AND(Table1[Start Date]&gt;42094,Table1[Start Date]&lt;42461),Table1[Offending],""))</f>
        <v/>
      </c>
      <c r="FK108" s="44" t="str">
        <f>IF(Table1[Leaving Date]="","",IF(Table1[Date of Initial Assessment]="","",IF(AND(Table1[Leaving Date]&gt;42094,Table1[Leaving Date]&lt;42461),IF(Table1[Date of Last Assessment]="",Table1[Motivation and Taking Responsibility],Table1[Motivation and Taking Responsibility2]),"")))</f>
        <v/>
      </c>
      <c r="FL108" s="44" t="str">
        <f>IF(Table1[Leaving Date]="","",IF(Table1[Date of Initial Assessment]="","",IF(AND(Table1[Leaving Date]&gt;42094,Table1[Leaving Date]&lt;42461),IF(Table1[Date of Last Assessment]="",Table1[Self-Care and Living Skills],Table1[Self-Care and Living Skills2]),"")))</f>
        <v/>
      </c>
      <c r="FM108" s="44" t="str">
        <f>IF(Table1[Leaving Date]="","",IF(Table1[Date of Initial Assessment]="","",IF(AND(Table1[Leaving Date]&gt;42094,Table1[Leaving Date]&lt;42461),IF(Table1[Date of Last Assessment]="",Table1[Managing Money and Personal Administration],Table1[Managing Money and Personal Administration2]),"")))</f>
        <v/>
      </c>
      <c r="FN108" s="44" t="str">
        <f>IF(Table1[Leaving Date]="","",IF(Table1[Date of Initial Assessment]="","",IF(AND(Table1[Leaving Date]&gt;42094,Table1[Leaving Date]&lt;42461),IF(Table1[Date of Last Assessment]="",Table1[Social Networks and Relationships],Table1[Social Networks and Relationships2]),"")))</f>
        <v/>
      </c>
      <c r="FO108" s="44" t="str">
        <f>IF(Table1[Leaving Date]="","",IF(Table1[Date of Initial Assessment]="","",IF(AND(Table1[Leaving Date]&gt;42094,Table1[Leaving Date]&lt;42461),IF(Table1[Date of Last Assessment]="",Table1[Drug and Alcohol Misuse],Table1[Drug and Alcohol Misuse2]),"")))</f>
        <v/>
      </c>
      <c r="FP108" s="44" t="str">
        <f>IF(Table1[Leaving Date]="","",IF(Table1[Date of Initial Assessment]="","",IF(AND(Table1[Leaving Date]&gt;42094,Table1[Leaving Date]&lt;42461),IF(Table1[Date of Last Assessment]="",Table1[Physical Health],Table1[Physical Health2]),"")))</f>
        <v/>
      </c>
      <c r="FQ108" s="44" t="str">
        <f>IF(Table1[Leaving Date]="","",IF(Table1[Date of Initial Assessment]="","",IF(AND(Table1[Leaving Date]&gt;42094,Table1[Leaving Date]&lt;42461),IF(Table1[Date of Last Assessment]="",Table1[Emotional and Mental Health],Table1[Emotional and Mental Health2]),"")))</f>
        <v/>
      </c>
      <c r="FR108" s="44" t="str">
        <f>IF(Table1[Leaving Date]="","",IF(Table1[Date of Initial Assessment]="","",IF(AND(Table1[Leaving Date]&gt;42094,Table1[Leaving Date]&lt;42461),IF(Table1[Date of Last Assessment]="",Table1[Meaningful Use of Time],Table1[Meaningful Use of Time2]),"")))</f>
        <v/>
      </c>
      <c r="FS108" s="44" t="str">
        <f>IF(Table1[Leaving Date]="","",IF(Table1[Date of Initial Assessment]="","",IF(AND(Table1[Leaving Date]&gt;42094,Table1[Leaving Date]&lt;42461),IF(Table1[Date of Last Assessment]="",Table1[Managing Tenancy and Accommodation],Table1[Managing Tenancy and Accommodation2]),"")))</f>
        <v/>
      </c>
      <c r="FT108" s="44" t="str">
        <f>IF(Table1[Leaving Date]="","",IF(Table1[Date of Initial Assessment]="","",IF(AND(Table1[Leaving Date]&gt;42094,Table1[Leaving Date]&lt;42461),IF(Table1[Date of Last Assessment]="",Table1[Offending],Table1[Offending2]),"")))</f>
        <v/>
      </c>
      <c r="FU108" s="44" t="str">
        <f>IF(Table1[Date of Initial Assessment]="","",IF(AND(Table1[Start Date]&gt;42460,Table1[Start Date]&lt;42826),Table1[Motivation and Taking Responsibility],""))</f>
        <v/>
      </c>
      <c r="FV108" s="44" t="str">
        <f>IF(Table1[Date of Initial Assessment]="","",IF(AND(Table1[Start Date]&gt;42460,Table1[Start Date]&lt;42826),Table1[Self-Care and Living Skills],""))</f>
        <v/>
      </c>
      <c r="FW108" s="44" t="str">
        <f>IF(Table1[Date of Initial Assessment]="","",IF(AND(Table1[Start Date]&gt;42460,Table1[Start Date]&lt;42826),Table1[Managing Money and Personal Administration],""))</f>
        <v/>
      </c>
      <c r="FX108" s="44" t="str">
        <f>IF(Table1[Date of Initial Assessment]="","",IF(AND(Table1[Start Date]&gt;42460,Table1[Start Date]&lt;42826),Table1[Social Networks and Relationships],""))</f>
        <v/>
      </c>
      <c r="FY108" s="44" t="str">
        <f>IF(Table1[Date of Initial Assessment]="","",IF(AND(Table1[Start Date]&gt;42460,Table1[Start Date]&lt;42826),Table1[Drug and Alcohol Misuse],""))</f>
        <v/>
      </c>
      <c r="FZ108" s="44" t="str">
        <f>IF(Table1[Date of Initial Assessment]="","",IF(AND(Table1[Start Date]&gt;42460,Table1[Start Date]&lt;42826),Table1[Physical Health],""))</f>
        <v/>
      </c>
      <c r="GA108" s="44" t="str">
        <f>IF(Table1[Date of Initial Assessment]="","",IF(AND(Table1[Start Date]&gt;42460,Table1[Start Date]&lt;42826),Table1[Emotional and Mental Health],""))</f>
        <v/>
      </c>
      <c r="GB108" s="44" t="str">
        <f>IF(Table1[Date of Initial Assessment]="","",IF(AND(Table1[Start Date]&gt;42460,Table1[Start Date]&lt;42826),Table1[Meaningful Use of Time],""))</f>
        <v/>
      </c>
      <c r="GC108" s="44" t="str">
        <f>IF(Table1[Date of Initial Assessment]="","",IF(AND(Table1[Start Date]&gt;42460,Table1[Start Date]&lt;42826),Table1[Managing Tenancy and Accommodation],""))</f>
        <v/>
      </c>
      <c r="GD108" s="44" t="str">
        <f>IF(Table1[Date of Initial Assessment]="","",IF(AND(Table1[Start Date]&gt;42460,Table1[Start Date]&lt;42826),Table1[Offending],""))</f>
        <v/>
      </c>
      <c r="GE108" s="44" t="str">
        <f>IF(Table1[Leaving Date]="","",IF(AND(Table1[Leaving Date]&gt;42460,Table1[Leaving Date]&lt;42826),IF(Table1[Date of Last Assessment]="",Table1[Motivation and Taking Responsibility],Table1[Motivation and Taking Responsibility2]),""))</f>
        <v/>
      </c>
      <c r="GF108" s="44" t="str">
        <f>IF(Table1[Leaving Date]="","",IF(AND(Table1[Leaving Date]&gt;42460,Table1[Leaving Date]&lt;42826),IF(Table1[Date of Last Assessment]="",Table1[Self-Care and Living Skills],Table1[Self-Care and Living Skills2]),""))</f>
        <v/>
      </c>
      <c r="GG108" s="44" t="str">
        <f>IF(Table1[Leaving Date]="","",IF(AND(Table1[Leaving Date]&gt;42460,Table1[Leaving Date]&lt;42826),IF(Table1[Date of Last Assessment]="",Table1[Managing Money and Personal Administration],Table1[Managing Money and Personal Administration2]),""))</f>
        <v/>
      </c>
      <c r="GH108" s="44" t="str">
        <f>IF(Table1[Leaving Date]="","",IF(AND(Table1[Leaving Date]&gt;42460,Table1[Leaving Date]&lt;42826),IF(Table1[Date of Last Assessment]="",Table1[Social Networks and Relationships],Table1[Social Networks and Relationships2]),""))</f>
        <v/>
      </c>
      <c r="GI108" s="44" t="str">
        <f>IF(Table1[Leaving Date]="","",IF(AND(Table1[Leaving Date]&gt;42460,Table1[Leaving Date]&lt;42826),IF(Table1[Date of Last Assessment]="",Table1[Drug and Alcohol Misuse],Table1[Drug and Alcohol Misuse2]),""))</f>
        <v/>
      </c>
      <c r="GJ108" s="44" t="str">
        <f>IF(Table1[Leaving Date]="","",IF(AND(Table1[Leaving Date]&gt;42460,Table1[Leaving Date]&lt;42826),IF(Table1[Date of Last Assessment]="",Table1[Physical Health],Table1[Physical Health2]),""))</f>
        <v/>
      </c>
      <c r="GK108" s="44" t="str">
        <f>IF(Table1[Leaving Date]="","",IF(AND(Table1[Leaving Date]&gt;42460,Table1[Leaving Date]&lt;42826),IF(Table1[Date of Last Assessment]="",Table1[Emotional and Mental Health],Table1[Emotional and Mental Health2]),""))</f>
        <v/>
      </c>
      <c r="GL108" s="44" t="str">
        <f>IF(Table1[Leaving Date]="","",IF(AND(Table1[Leaving Date]&gt;42460,Table1[Leaving Date]&lt;42826),IF(Table1[Date of Last Assessment]="",Table1[Meaningful Use of Time],Table1[Meaningful Use of Time2]),""))</f>
        <v/>
      </c>
      <c r="GM108" s="44" t="str">
        <f>IF(Table1[Leaving Date]="","",IF(AND(Table1[Leaving Date]&gt;42460,Table1[Leaving Date]&lt;42826),IF(Table1[Date of Last Assessment]="",Table1[Managing Tenancy and Accommodation],Table1[Managing Tenancy and Accommodation2]),""))</f>
        <v/>
      </c>
      <c r="GN108" s="44" t="str">
        <f>IF(Table1[Leaving Date]="","",IF(AND(Table1[Leaving Date]&gt;42460,Table1[Leaving Date]&lt;42826),IF(Table1[Date of Last Assessment]="",Table1[Offending],Table1[Offending2]),""))</f>
        <v/>
      </c>
    </row>
    <row r="109" spans="2:196" ht="20.100000000000001" customHeight="1" x14ac:dyDescent="0.2">
      <c r="B109" s="86">
        <f>+'Service Data'!$C$5:$C$5</f>
        <v>0</v>
      </c>
      <c r="C109" s="86"/>
      <c r="D109" s="86"/>
      <c r="E109" s="86"/>
      <c r="F109" s="86"/>
      <c r="G109" s="86"/>
      <c r="H109" s="6"/>
      <c r="I109" s="99" t="str">
        <f ca="1">IF(Table1[[#This Row],[Date of Birth]]="","",SUM(TODAY()-Table1[[#This Row],[Date of Birth]])/365)</f>
        <v/>
      </c>
      <c r="L109" s="86"/>
      <c r="M109" s="77"/>
      <c r="N109" s="86"/>
      <c r="O109" s="86"/>
      <c r="P109" s="91"/>
      <c r="Q109" s="86"/>
      <c r="R109" s="77"/>
      <c r="S109" s="77"/>
      <c r="T109" s="68"/>
      <c r="U109" s="68"/>
      <c r="V109" s="67"/>
      <c r="W109" s="67"/>
      <c r="X109" s="67"/>
      <c r="Y109" s="67"/>
      <c r="Z109" s="67"/>
      <c r="AA109" s="67"/>
      <c r="AB109" s="67"/>
      <c r="AC109" s="67"/>
      <c r="AD109" s="67"/>
      <c r="AE109" s="67"/>
      <c r="AF109" s="67"/>
      <c r="AG109" s="67"/>
      <c r="AH109" s="67"/>
      <c r="AI109" s="67"/>
      <c r="AJ109" s="67"/>
      <c r="AK109" s="67"/>
      <c r="AL109" s="67"/>
      <c r="AM109" s="67"/>
      <c r="AN109" s="77"/>
      <c r="AO109" s="76"/>
      <c r="AP109" s="77"/>
      <c r="AQ109" s="76"/>
      <c r="AR109" s="76"/>
      <c r="AS109" s="76"/>
      <c r="AT109" s="76"/>
      <c r="AU109" s="76"/>
      <c r="AV109" s="77"/>
      <c r="AW109" s="76"/>
      <c r="AX109" s="77"/>
      <c r="AY109" s="76"/>
      <c r="AZ109" s="76"/>
      <c r="BA109" s="76"/>
      <c r="BB109" s="76"/>
      <c r="BC109" s="76"/>
      <c r="BD109" s="77"/>
      <c r="BE109" s="76"/>
      <c r="BF109" s="77"/>
      <c r="BG109" s="76"/>
      <c r="BH109" s="76"/>
      <c r="BI109" s="76"/>
      <c r="BJ109" s="76"/>
      <c r="BK109" s="76"/>
      <c r="BL109" s="77"/>
      <c r="BM109" s="76"/>
      <c r="BN109" s="77"/>
      <c r="BO109" s="76"/>
      <c r="BP109" s="76"/>
      <c r="BQ109" s="76"/>
      <c r="BR109" s="76"/>
      <c r="BS109" s="76"/>
      <c r="BT109" s="77"/>
      <c r="BU109" s="76"/>
      <c r="BV109" s="77"/>
      <c r="BW109" s="76"/>
      <c r="BX109" s="76"/>
      <c r="BY109" s="76"/>
      <c r="BZ109" s="76"/>
      <c r="CA109" s="76"/>
      <c r="CB109" s="77"/>
      <c r="CC109" s="76"/>
      <c r="CD109" s="77"/>
      <c r="CE109" s="76"/>
      <c r="CF109" s="76"/>
      <c r="CG109" s="76"/>
      <c r="CH109" s="76"/>
      <c r="CI109" s="76"/>
      <c r="CJ109" s="77"/>
      <c r="CK109" s="76"/>
      <c r="CL109" s="77"/>
      <c r="CM109" s="76"/>
      <c r="CN109" s="76"/>
      <c r="CO109" s="76"/>
      <c r="CP109" s="76"/>
      <c r="CQ109" s="76"/>
      <c r="CR109" s="78" t="str">
        <f t="shared" si="31"/>
        <v/>
      </c>
      <c r="CS109" s="79" t="str">
        <f t="shared" si="32"/>
        <v/>
      </c>
      <c r="CT109" s="79" t="str">
        <f t="shared" si="33"/>
        <v/>
      </c>
      <c r="CU109" s="79" t="str">
        <f t="shared" si="34"/>
        <v/>
      </c>
      <c r="CV109" s="79" t="str">
        <f t="shared" si="35"/>
        <v/>
      </c>
      <c r="CW109" s="79" t="str">
        <f t="shared" si="36"/>
        <v/>
      </c>
      <c r="CX109" s="79" t="str">
        <f t="shared" si="37"/>
        <v/>
      </c>
      <c r="CY109" s="79" t="str">
        <f t="shared" si="38"/>
        <v/>
      </c>
      <c r="CZ109" s="79" t="str">
        <f t="shared" si="39"/>
        <v/>
      </c>
      <c r="DA109" s="79" t="str">
        <f t="shared" si="40"/>
        <v/>
      </c>
      <c r="DB109" s="79" t="str">
        <f t="shared" si="41"/>
        <v/>
      </c>
      <c r="DC109" s="79" t="str">
        <f t="shared" si="42"/>
        <v/>
      </c>
      <c r="DD109" s="79" t="str">
        <f t="shared" si="43"/>
        <v/>
      </c>
      <c r="DE109" s="79" t="str">
        <f t="shared" si="44"/>
        <v/>
      </c>
      <c r="DF109" s="79" t="str">
        <f t="shared" si="45"/>
        <v/>
      </c>
      <c r="DG109" s="79" t="str">
        <f t="shared" si="46"/>
        <v/>
      </c>
      <c r="DH109" s="76"/>
      <c r="DI109" s="78"/>
      <c r="DJ109" s="76"/>
      <c r="DK109" s="77"/>
      <c r="DL109" s="77"/>
      <c r="DM109" s="77"/>
      <c r="DN109" s="80"/>
      <c r="DO109" s="80"/>
      <c r="DP109" s="92" t="str">
        <f>IF(Table1[Start Date]="","",IF(Table1[Start Date]&gt;42185,"",IF(AND(Table1[Leaving Date]&gt;1,Table1[Leaving Date]&lt;42095),"",1)))</f>
        <v/>
      </c>
      <c r="DQ109" s="92" t="str">
        <f>IF(Table1[Start Date]="","",IF(Table1[Start Date]&gt;42277,"",IF(AND(Table1[Leaving Date]&gt;1,Table1[Leaving Date]&lt;42186),"",1)))</f>
        <v/>
      </c>
      <c r="DR109" s="92" t="str">
        <f>IF(Table1[Start Date]="","",IF(Table1[Start Date]&gt;42369,"",IF(AND(Table1[Leaving Date]&gt;1,Table1[Leaving Date]&lt;42278),"",1)))</f>
        <v/>
      </c>
      <c r="DS109" s="92" t="str">
        <f>IF(Table1[Start Date]="","",IF(Table1[Start Date]&gt;42460,"",IF(AND(Table1[Leaving Date]&gt;1,Table1[Leaving Date]&lt;42370),"",1)))</f>
        <v/>
      </c>
      <c r="DT109" s="92" t="str">
        <f>IF(Table1[Start Date]="","",IF(Table1[Start Date]&gt;42551,"",IF(AND(Table1[Leaving Date]&gt;1,Table1[Leaving Date]&lt;42461),"",1)))</f>
        <v/>
      </c>
      <c r="DU109" s="92" t="str">
        <f>IF(Table1[Start Date]="","",IF(Table1[Start Date]&gt;42643,"",IF(AND(Table1[Leaving Date]&gt;1,Table1[Leaving Date]&lt;42552),"",1)))</f>
        <v/>
      </c>
      <c r="DV109" s="92" t="str">
        <f>IF(Table1[Start Date]="","",IF(Table1[Start Date]&gt;42735,"",IF(AND(Table1[Leaving Date]&gt;1,Table1[Leaving Date]&lt;42644),"",1)))</f>
        <v/>
      </c>
      <c r="DW109" s="92" t="str">
        <f>IF(Table1[Start Date]="","",IF(Table1[Start Date]&gt;42825,"",IF(AND(Table1[Leaving Date]&gt;1,Table1[Leaving Date]&lt;42736),"",1)))</f>
        <v/>
      </c>
      <c r="DX109"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109" s="44" t="e">
        <f>VLOOKUP(Table1[Referral Source],Lists!$G$2:$H$20,2,FALSE)</f>
        <v>#N/A</v>
      </c>
      <c r="DZ109" s="93" t="e">
        <f>SUM(Table1[Data Referral Quarter]+Table1[Data Referral Source])</f>
        <v>#N/A</v>
      </c>
      <c r="EA109" s="44" t="b">
        <f>IF(Table1[Referral Decision]="Accepted",100,IF(Table1[Referral Decision]="Rejected by Provider",200,IF(Table1[Referral Decision]="Rejected by Applicant",300)))</f>
        <v>0</v>
      </c>
      <c r="EB109" s="44">
        <f>SUM(Table1[Data Referral Quarter]+Table1[Data Referral Decision])</f>
        <v>0</v>
      </c>
      <c r="EC109" s="44" t="b">
        <f>IF(Table1[Start Date]&gt;42735,8000,IF(Table1[Start Date]&gt;42643,7000,IF(Table1[Start Date]&gt;42551,6000,IF(Table1[Start Date]&gt;42460,5000,IF(Table1[Start Date]&gt;42369,4000,IF(Table1[Start Date]&gt;42277,3000,IF(Table1[Start Date]&gt;42185,2000,IF(Table1[Start Date]&gt;42094,1000))))))))</f>
        <v>0</v>
      </c>
      <c r="ED109" s="44" t="str">
        <f>IF(Table1[Start Date]="","",IF(Table1[Current Local Authority]="Swindon",1,"2"))</f>
        <v/>
      </c>
      <c r="EE109" s="44" t="e">
        <f>SUM(Table1[Data Start Date]+Table1[Data Local Authority])</f>
        <v>#VALUE!</v>
      </c>
      <c r="EF109" s="44">
        <f>IF(Table1[Registered with GP]="Yes",1,0)</f>
        <v>0</v>
      </c>
      <c r="EG109" s="44">
        <f>SUM(Table1[Data Start Date]+Table1[Data GP Start])</f>
        <v>0</v>
      </c>
      <c r="EH109" s="44" t="str">
        <f>IF(Table1[EET]="NEET",1,IF(Table1[EET]="Education",2,IF(Table1[EET]="Employment",2,IF(Table1[EET]="Training",2,IF(Table1[EET]="Retired",3,"")))))</f>
        <v/>
      </c>
      <c r="EI109" s="44" t="e">
        <f>Table1[Data Start Date]+Table1[Data EET Start]</f>
        <v>#VALUE!</v>
      </c>
      <c r="EJ109" s="44" t="b">
        <f>IF(Table1[Leaving Date]&gt;42735,8000,IF(Table1[Leaving Date]&gt;42643,7000,IF(Table1[Leaving Date]&gt;42551,6000,IF(Table1[Leaving Date]&gt;42460,5000,IF(Table1[Leaving Date]&gt;42369,4000,IF(Table1[Leaving Date]&gt;42277,3000,IF(Table1[Leaving Date]&gt;42185,2000,IF(Table1[Leaving Date]&gt;42094,1000))))))))</f>
        <v>0</v>
      </c>
      <c r="EK109" s="44" t="e">
        <f>VLOOKUP(Table1[Reason for Leaving],Lists!$T$2:$U$15,2,FALSE)</f>
        <v>#N/A</v>
      </c>
      <c r="EL109" s="44" t="e">
        <f>SUM(Table1[Data Leavers Date]+Table1[Data Move On])</f>
        <v>#N/A</v>
      </c>
      <c r="EM109" s="44" t="b">
        <f>IF(Table1[Registered with GP2]="Yes",1,IF(Table1[Registered with GP2]="No",0,IF(Table1[Registered with GP]="Yes",1,IF(Table1[Registered with GP]="No",0))))</f>
        <v>0</v>
      </c>
      <c r="EN109" s="44">
        <f>SUM(Table1[Data Leavers Date]+Table1[Data GP End])</f>
        <v>0</v>
      </c>
      <c r="EO109" s="44" t="str">
        <f>IF(Table1[EET2]="NEET",1,IF(Table1[EET2]="Employment",2,IF(Table1[EET2]="Education",2,IF(Table1[EET2]="Training",2,IF(Table1[EET2]="Retired",3,IF(Table1[EET]="NEET",1,IF(Table1[EET]="Employment",2,IF(Table1[EET]="Education",2,IF(Table1[EET]="Training",2,IF(Table1[EET]="Retired",3,""))))))))))</f>
        <v/>
      </c>
      <c r="EP109" s="44" t="e">
        <f>+Table1[[#This Row],[Data Leavers Date]]+Table1[[#This Row],[Data EET End]]</f>
        <v>#VALUE!</v>
      </c>
      <c r="EQ109" s="44">
        <f>IF(Table1[Exit Form Received]="Yes",1,0)</f>
        <v>0</v>
      </c>
      <c r="ER109" s="44">
        <f>+Table1[[#This Row],[Data Leavers Date]]+Table1[[#This Row],[Data Exit Forms]]</f>
        <v>0</v>
      </c>
      <c r="ES109" s="44" t="str">
        <f>IF(Table1[Data Leavers Date]=1000,SUM(Table1[Leaving Date]-Table1[Start Date]),"")</f>
        <v/>
      </c>
      <c r="ET109" s="44" t="str">
        <f>IF(Table1[Data Leavers Date]=2000,SUM(Table1[Leaving Date]-Table1[Start Date]),"")</f>
        <v/>
      </c>
      <c r="EU109" s="44" t="str">
        <f>IF(Table1[Data Leavers Date]=3000,SUM(Table1[Leaving Date]-Table1[Start Date]),"")</f>
        <v/>
      </c>
      <c r="EV109" s="44" t="str">
        <f>IF(Table1[Data Leavers Date]=4000,SUM(Table1[Leaving Date]-Table1[Start Date]),"")</f>
        <v/>
      </c>
      <c r="EW109" s="44" t="str">
        <f>IF(Table1[Data Leavers Date]=5000,SUM(Table1[Leaving Date]-Table1[Start Date]),"")</f>
        <v/>
      </c>
      <c r="EX109" s="44" t="str">
        <f>IF(Table1[Data Leavers Date]=6000,SUM(Table1[Leaving Date]-Table1[Start Date]),"")</f>
        <v/>
      </c>
      <c r="EY109" s="44" t="str">
        <f>IF(Table1[Data Leavers Date]=7000,SUM(Table1[Leaving Date]-Table1[Start Date]),"")</f>
        <v/>
      </c>
      <c r="EZ109" s="44" t="str">
        <f>IF(Table1[Data Leavers Date]=8000,SUM(Table1[Leaving Date]-Table1[Start Date]),"")</f>
        <v/>
      </c>
      <c r="FA109" s="44" t="str">
        <f>IF(Table1[Date of Initial Assessment]="","",IF(AND(Table1[Start Date]&gt;42094,Table1[Start Date]&lt;42461),Table1[Motivation and Taking Responsibility],""))</f>
        <v/>
      </c>
      <c r="FB109" s="44" t="str">
        <f>IF(Table1[Date of Initial Assessment]="","",IF(AND(Table1[Start Date]&gt;42094,Table1[Start Date]&lt;42461),Table1[Self-Care and Living Skills],""))</f>
        <v/>
      </c>
      <c r="FC109" s="44" t="str">
        <f>IF(Table1[Date of Initial Assessment]="","",IF(AND(Table1[Start Date]&gt;42094,Table1[Start Date]&lt;42461),Table1[Managing Money and Personal Administration],""))</f>
        <v/>
      </c>
      <c r="FD109" s="44" t="str">
        <f>IF(Table1[Date of Initial Assessment]="","",IF(AND(Table1[Start Date]&gt;42094,Table1[Start Date]&lt;42461),Table1[Social Networks and Relationships],""))</f>
        <v/>
      </c>
      <c r="FE109" s="44" t="str">
        <f>IF(Table1[Date of Initial Assessment]="","",IF(AND(Table1[Start Date]&gt;42094,Table1[Start Date]&lt;42461),Table1[Drug and Alcohol Misuse],""))</f>
        <v/>
      </c>
      <c r="FF109" s="44" t="str">
        <f>IF(Table1[Date of Initial Assessment]="","",IF(AND(Table1[Start Date]&gt;42094,Table1[Start Date]&lt;42461),Table1[Physical Health],""))</f>
        <v/>
      </c>
      <c r="FG109" s="44" t="str">
        <f>IF(Table1[Date of Initial Assessment]="","",IF(AND(Table1[Start Date]&gt;42094,Table1[Start Date]&lt;42461),Table1[Emotional and Mental Health],""))</f>
        <v/>
      </c>
      <c r="FH109" s="44" t="str">
        <f>IF(Table1[Date of Initial Assessment]="","",IF(AND(Table1[Start Date]&gt;42094,Table1[Start Date]&lt;42461),Table1[Meaningful Use of Time],""))</f>
        <v/>
      </c>
      <c r="FI109" s="44" t="str">
        <f>IF(Table1[Date of Initial Assessment]="","",IF(AND(Table1[Start Date]&gt;42094,Table1[Start Date]&lt;42461),Table1[Managing Tenancy and Accommodation],""))</f>
        <v/>
      </c>
      <c r="FJ109" s="44" t="str">
        <f>IF(Table1[Date of Initial Assessment]="","",IF(AND(Table1[Start Date]&gt;42094,Table1[Start Date]&lt;42461),Table1[Offending],""))</f>
        <v/>
      </c>
      <c r="FK109" s="44" t="str">
        <f>IF(Table1[Leaving Date]="","",IF(Table1[Date of Initial Assessment]="","",IF(AND(Table1[Leaving Date]&gt;42094,Table1[Leaving Date]&lt;42461),IF(Table1[Date of Last Assessment]="",Table1[Motivation and Taking Responsibility],Table1[Motivation and Taking Responsibility2]),"")))</f>
        <v/>
      </c>
      <c r="FL109" s="44" t="str">
        <f>IF(Table1[Leaving Date]="","",IF(Table1[Date of Initial Assessment]="","",IF(AND(Table1[Leaving Date]&gt;42094,Table1[Leaving Date]&lt;42461),IF(Table1[Date of Last Assessment]="",Table1[Self-Care and Living Skills],Table1[Self-Care and Living Skills2]),"")))</f>
        <v/>
      </c>
      <c r="FM109" s="44" t="str">
        <f>IF(Table1[Leaving Date]="","",IF(Table1[Date of Initial Assessment]="","",IF(AND(Table1[Leaving Date]&gt;42094,Table1[Leaving Date]&lt;42461),IF(Table1[Date of Last Assessment]="",Table1[Managing Money and Personal Administration],Table1[Managing Money and Personal Administration2]),"")))</f>
        <v/>
      </c>
      <c r="FN109" s="44" t="str">
        <f>IF(Table1[Leaving Date]="","",IF(Table1[Date of Initial Assessment]="","",IF(AND(Table1[Leaving Date]&gt;42094,Table1[Leaving Date]&lt;42461),IF(Table1[Date of Last Assessment]="",Table1[Social Networks and Relationships],Table1[Social Networks and Relationships2]),"")))</f>
        <v/>
      </c>
      <c r="FO109" s="44" t="str">
        <f>IF(Table1[Leaving Date]="","",IF(Table1[Date of Initial Assessment]="","",IF(AND(Table1[Leaving Date]&gt;42094,Table1[Leaving Date]&lt;42461),IF(Table1[Date of Last Assessment]="",Table1[Drug and Alcohol Misuse],Table1[Drug and Alcohol Misuse2]),"")))</f>
        <v/>
      </c>
      <c r="FP109" s="44" t="str">
        <f>IF(Table1[Leaving Date]="","",IF(Table1[Date of Initial Assessment]="","",IF(AND(Table1[Leaving Date]&gt;42094,Table1[Leaving Date]&lt;42461),IF(Table1[Date of Last Assessment]="",Table1[Physical Health],Table1[Physical Health2]),"")))</f>
        <v/>
      </c>
      <c r="FQ109" s="44" t="str">
        <f>IF(Table1[Leaving Date]="","",IF(Table1[Date of Initial Assessment]="","",IF(AND(Table1[Leaving Date]&gt;42094,Table1[Leaving Date]&lt;42461),IF(Table1[Date of Last Assessment]="",Table1[Emotional and Mental Health],Table1[Emotional and Mental Health2]),"")))</f>
        <v/>
      </c>
      <c r="FR109" s="44" t="str">
        <f>IF(Table1[Leaving Date]="","",IF(Table1[Date of Initial Assessment]="","",IF(AND(Table1[Leaving Date]&gt;42094,Table1[Leaving Date]&lt;42461),IF(Table1[Date of Last Assessment]="",Table1[Meaningful Use of Time],Table1[Meaningful Use of Time2]),"")))</f>
        <v/>
      </c>
      <c r="FS109" s="44" t="str">
        <f>IF(Table1[Leaving Date]="","",IF(Table1[Date of Initial Assessment]="","",IF(AND(Table1[Leaving Date]&gt;42094,Table1[Leaving Date]&lt;42461),IF(Table1[Date of Last Assessment]="",Table1[Managing Tenancy and Accommodation],Table1[Managing Tenancy and Accommodation2]),"")))</f>
        <v/>
      </c>
      <c r="FT109" s="44" t="str">
        <f>IF(Table1[Leaving Date]="","",IF(Table1[Date of Initial Assessment]="","",IF(AND(Table1[Leaving Date]&gt;42094,Table1[Leaving Date]&lt;42461),IF(Table1[Date of Last Assessment]="",Table1[Offending],Table1[Offending2]),"")))</f>
        <v/>
      </c>
      <c r="FU109" s="44" t="str">
        <f>IF(Table1[Date of Initial Assessment]="","",IF(AND(Table1[Start Date]&gt;42460,Table1[Start Date]&lt;42826),Table1[Motivation and Taking Responsibility],""))</f>
        <v/>
      </c>
      <c r="FV109" s="44" t="str">
        <f>IF(Table1[Date of Initial Assessment]="","",IF(AND(Table1[Start Date]&gt;42460,Table1[Start Date]&lt;42826),Table1[Self-Care and Living Skills],""))</f>
        <v/>
      </c>
      <c r="FW109" s="44" t="str">
        <f>IF(Table1[Date of Initial Assessment]="","",IF(AND(Table1[Start Date]&gt;42460,Table1[Start Date]&lt;42826),Table1[Managing Money and Personal Administration],""))</f>
        <v/>
      </c>
      <c r="FX109" s="44" t="str">
        <f>IF(Table1[Date of Initial Assessment]="","",IF(AND(Table1[Start Date]&gt;42460,Table1[Start Date]&lt;42826),Table1[Social Networks and Relationships],""))</f>
        <v/>
      </c>
      <c r="FY109" s="44" t="str">
        <f>IF(Table1[Date of Initial Assessment]="","",IF(AND(Table1[Start Date]&gt;42460,Table1[Start Date]&lt;42826),Table1[Drug and Alcohol Misuse],""))</f>
        <v/>
      </c>
      <c r="FZ109" s="44" t="str">
        <f>IF(Table1[Date of Initial Assessment]="","",IF(AND(Table1[Start Date]&gt;42460,Table1[Start Date]&lt;42826),Table1[Physical Health],""))</f>
        <v/>
      </c>
      <c r="GA109" s="44" t="str">
        <f>IF(Table1[Date of Initial Assessment]="","",IF(AND(Table1[Start Date]&gt;42460,Table1[Start Date]&lt;42826),Table1[Emotional and Mental Health],""))</f>
        <v/>
      </c>
      <c r="GB109" s="44" t="str">
        <f>IF(Table1[Date of Initial Assessment]="","",IF(AND(Table1[Start Date]&gt;42460,Table1[Start Date]&lt;42826),Table1[Meaningful Use of Time],""))</f>
        <v/>
      </c>
      <c r="GC109" s="44" t="str">
        <f>IF(Table1[Date of Initial Assessment]="","",IF(AND(Table1[Start Date]&gt;42460,Table1[Start Date]&lt;42826),Table1[Managing Tenancy and Accommodation],""))</f>
        <v/>
      </c>
      <c r="GD109" s="44" t="str">
        <f>IF(Table1[Date of Initial Assessment]="","",IF(AND(Table1[Start Date]&gt;42460,Table1[Start Date]&lt;42826),Table1[Offending],""))</f>
        <v/>
      </c>
      <c r="GE109" s="44" t="str">
        <f>IF(Table1[Leaving Date]="","",IF(AND(Table1[Leaving Date]&gt;42460,Table1[Leaving Date]&lt;42826),IF(Table1[Date of Last Assessment]="",Table1[Motivation and Taking Responsibility],Table1[Motivation and Taking Responsibility2]),""))</f>
        <v/>
      </c>
      <c r="GF109" s="44" t="str">
        <f>IF(Table1[Leaving Date]="","",IF(AND(Table1[Leaving Date]&gt;42460,Table1[Leaving Date]&lt;42826),IF(Table1[Date of Last Assessment]="",Table1[Self-Care and Living Skills],Table1[Self-Care and Living Skills2]),""))</f>
        <v/>
      </c>
      <c r="GG109" s="44" t="str">
        <f>IF(Table1[Leaving Date]="","",IF(AND(Table1[Leaving Date]&gt;42460,Table1[Leaving Date]&lt;42826),IF(Table1[Date of Last Assessment]="",Table1[Managing Money and Personal Administration],Table1[Managing Money and Personal Administration2]),""))</f>
        <v/>
      </c>
      <c r="GH109" s="44" t="str">
        <f>IF(Table1[Leaving Date]="","",IF(AND(Table1[Leaving Date]&gt;42460,Table1[Leaving Date]&lt;42826),IF(Table1[Date of Last Assessment]="",Table1[Social Networks and Relationships],Table1[Social Networks and Relationships2]),""))</f>
        <v/>
      </c>
      <c r="GI109" s="44" t="str">
        <f>IF(Table1[Leaving Date]="","",IF(AND(Table1[Leaving Date]&gt;42460,Table1[Leaving Date]&lt;42826),IF(Table1[Date of Last Assessment]="",Table1[Drug and Alcohol Misuse],Table1[Drug and Alcohol Misuse2]),""))</f>
        <v/>
      </c>
      <c r="GJ109" s="44" t="str">
        <f>IF(Table1[Leaving Date]="","",IF(AND(Table1[Leaving Date]&gt;42460,Table1[Leaving Date]&lt;42826),IF(Table1[Date of Last Assessment]="",Table1[Physical Health],Table1[Physical Health2]),""))</f>
        <v/>
      </c>
      <c r="GK109" s="44" t="str">
        <f>IF(Table1[Leaving Date]="","",IF(AND(Table1[Leaving Date]&gt;42460,Table1[Leaving Date]&lt;42826),IF(Table1[Date of Last Assessment]="",Table1[Emotional and Mental Health],Table1[Emotional and Mental Health2]),""))</f>
        <v/>
      </c>
      <c r="GL109" s="44" t="str">
        <f>IF(Table1[Leaving Date]="","",IF(AND(Table1[Leaving Date]&gt;42460,Table1[Leaving Date]&lt;42826),IF(Table1[Date of Last Assessment]="",Table1[Meaningful Use of Time],Table1[Meaningful Use of Time2]),""))</f>
        <v/>
      </c>
      <c r="GM109" s="44" t="str">
        <f>IF(Table1[Leaving Date]="","",IF(AND(Table1[Leaving Date]&gt;42460,Table1[Leaving Date]&lt;42826),IF(Table1[Date of Last Assessment]="",Table1[Managing Tenancy and Accommodation],Table1[Managing Tenancy and Accommodation2]),""))</f>
        <v/>
      </c>
      <c r="GN109" s="44" t="str">
        <f>IF(Table1[Leaving Date]="","",IF(AND(Table1[Leaving Date]&gt;42460,Table1[Leaving Date]&lt;42826),IF(Table1[Date of Last Assessment]="",Table1[Offending],Table1[Offending2]),""))</f>
        <v/>
      </c>
    </row>
    <row r="110" spans="2:196" ht="20.100000000000001" customHeight="1" x14ac:dyDescent="0.2">
      <c r="B110" s="86">
        <f>+'Service Data'!$C$5:$C$5</f>
        <v>0</v>
      </c>
      <c r="C110" s="86"/>
      <c r="D110" s="86"/>
      <c r="E110" s="86"/>
      <c r="F110" s="86"/>
      <c r="G110" s="86"/>
      <c r="H110" s="6"/>
      <c r="I110" s="99" t="str">
        <f ca="1">IF(Table1[[#This Row],[Date of Birth]]="","",SUM(TODAY()-Table1[[#This Row],[Date of Birth]])/365)</f>
        <v/>
      </c>
      <c r="L110" s="86"/>
      <c r="M110" s="77"/>
      <c r="N110" s="86"/>
      <c r="O110" s="86"/>
      <c r="P110" s="91"/>
      <c r="Q110" s="86"/>
      <c r="R110" s="77"/>
      <c r="S110" s="77"/>
      <c r="T110" s="68"/>
      <c r="U110" s="68"/>
      <c r="V110" s="67"/>
      <c r="W110" s="67"/>
      <c r="X110" s="67"/>
      <c r="Y110" s="67"/>
      <c r="Z110" s="67"/>
      <c r="AA110" s="67"/>
      <c r="AB110" s="67"/>
      <c r="AC110" s="67"/>
      <c r="AD110" s="67"/>
      <c r="AE110" s="67"/>
      <c r="AF110" s="67"/>
      <c r="AG110" s="67"/>
      <c r="AH110" s="67"/>
      <c r="AI110" s="67"/>
      <c r="AJ110" s="67"/>
      <c r="AK110" s="67"/>
      <c r="AL110" s="67"/>
      <c r="AM110" s="67"/>
      <c r="AN110" s="77"/>
      <c r="AO110" s="76"/>
      <c r="AP110" s="77"/>
      <c r="AQ110" s="76"/>
      <c r="AR110" s="76"/>
      <c r="AS110" s="76"/>
      <c r="AT110" s="76"/>
      <c r="AU110" s="76"/>
      <c r="AV110" s="77"/>
      <c r="AW110" s="76"/>
      <c r="AX110" s="77"/>
      <c r="AY110" s="76"/>
      <c r="AZ110" s="76"/>
      <c r="BA110" s="76"/>
      <c r="BB110" s="76"/>
      <c r="BC110" s="76"/>
      <c r="BD110" s="77"/>
      <c r="BE110" s="76"/>
      <c r="BF110" s="77"/>
      <c r="BG110" s="76"/>
      <c r="BH110" s="76"/>
      <c r="BI110" s="76"/>
      <c r="BJ110" s="76"/>
      <c r="BK110" s="76"/>
      <c r="BL110" s="77"/>
      <c r="BM110" s="76"/>
      <c r="BN110" s="77"/>
      <c r="BO110" s="76"/>
      <c r="BP110" s="76"/>
      <c r="BQ110" s="76"/>
      <c r="BR110" s="76"/>
      <c r="BS110" s="76"/>
      <c r="BT110" s="77"/>
      <c r="BU110" s="76"/>
      <c r="BV110" s="77"/>
      <c r="BW110" s="76"/>
      <c r="BX110" s="76"/>
      <c r="BY110" s="76"/>
      <c r="BZ110" s="76"/>
      <c r="CA110" s="76"/>
      <c r="CB110" s="77"/>
      <c r="CC110" s="76"/>
      <c r="CD110" s="77"/>
      <c r="CE110" s="76"/>
      <c r="CF110" s="76"/>
      <c r="CG110" s="76"/>
      <c r="CH110" s="76"/>
      <c r="CI110" s="76"/>
      <c r="CJ110" s="77"/>
      <c r="CK110" s="76"/>
      <c r="CL110" s="77"/>
      <c r="CM110" s="76"/>
      <c r="CN110" s="76"/>
      <c r="CO110" s="76"/>
      <c r="CP110" s="76"/>
      <c r="CQ110" s="76"/>
      <c r="CR110" s="78" t="str">
        <f t="shared" si="31"/>
        <v/>
      </c>
      <c r="CS110" s="79" t="str">
        <f t="shared" si="32"/>
        <v/>
      </c>
      <c r="CT110" s="79" t="str">
        <f t="shared" si="33"/>
        <v/>
      </c>
      <c r="CU110" s="79" t="str">
        <f t="shared" si="34"/>
        <v/>
      </c>
      <c r="CV110" s="79" t="str">
        <f t="shared" si="35"/>
        <v/>
      </c>
      <c r="CW110" s="79" t="str">
        <f t="shared" si="36"/>
        <v/>
      </c>
      <c r="CX110" s="79" t="str">
        <f t="shared" si="37"/>
        <v/>
      </c>
      <c r="CY110" s="79" t="str">
        <f t="shared" si="38"/>
        <v/>
      </c>
      <c r="CZ110" s="79" t="str">
        <f t="shared" si="39"/>
        <v/>
      </c>
      <c r="DA110" s="79" t="str">
        <f t="shared" si="40"/>
        <v/>
      </c>
      <c r="DB110" s="79" t="str">
        <f t="shared" si="41"/>
        <v/>
      </c>
      <c r="DC110" s="79" t="str">
        <f t="shared" si="42"/>
        <v/>
      </c>
      <c r="DD110" s="79" t="str">
        <f t="shared" si="43"/>
        <v/>
      </c>
      <c r="DE110" s="79" t="str">
        <f t="shared" si="44"/>
        <v/>
      </c>
      <c r="DF110" s="79" t="str">
        <f t="shared" si="45"/>
        <v/>
      </c>
      <c r="DG110" s="79" t="str">
        <f t="shared" si="46"/>
        <v/>
      </c>
      <c r="DH110" s="76"/>
      <c r="DI110" s="78"/>
      <c r="DJ110" s="76"/>
      <c r="DK110" s="77"/>
      <c r="DL110" s="77"/>
      <c r="DM110" s="77"/>
      <c r="DN110" s="80"/>
      <c r="DO110" s="80"/>
      <c r="DP110" s="92" t="str">
        <f>IF(Table1[Start Date]="","",IF(Table1[Start Date]&gt;42185,"",IF(AND(Table1[Leaving Date]&gt;1,Table1[Leaving Date]&lt;42095),"",1)))</f>
        <v/>
      </c>
      <c r="DQ110" s="92" t="str">
        <f>IF(Table1[Start Date]="","",IF(Table1[Start Date]&gt;42277,"",IF(AND(Table1[Leaving Date]&gt;1,Table1[Leaving Date]&lt;42186),"",1)))</f>
        <v/>
      </c>
      <c r="DR110" s="92" t="str">
        <f>IF(Table1[Start Date]="","",IF(Table1[Start Date]&gt;42369,"",IF(AND(Table1[Leaving Date]&gt;1,Table1[Leaving Date]&lt;42278),"",1)))</f>
        <v/>
      </c>
      <c r="DS110" s="92" t="str">
        <f>IF(Table1[Start Date]="","",IF(Table1[Start Date]&gt;42460,"",IF(AND(Table1[Leaving Date]&gt;1,Table1[Leaving Date]&lt;42370),"",1)))</f>
        <v/>
      </c>
      <c r="DT110" s="92" t="str">
        <f>IF(Table1[Start Date]="","",IF(Table1[Start Date]&gt;42551,"",IF(AND(Table1[Leaving Date]&gt;1,Table1[Leaving Date]&lt;42461),"",1)))</f>
        <v/>
      </c>
      <c r="DU110" s="92" t="str">
        <f>IF(Table1[Start Date]="","",IF(Table1[Start Date]&gt;42643,"",IF(AND(Table1[Leaving Date]&gt;1,Table1[Leaving Date]&lt;42552),"",1)))</f>
        <v/>
      </c>
      <c r="DV110" s="92" t="str">
        <f>IF(Table1[Start Date]="","",IF(Table1[Start Date]&gt;42735,"",IF(AND(Table1[Leaving Date]&gt;1,Table1[Leaving Date]&lt;42644),"",1)))</f>
        <v/>
      </c>
      <c r="DW110" s="92" t="str">
        <f>IF(Table1[Start Date]="","",IF(Table1[Start Date]&gt;42825,"",IF(AND(Table1[Leaving Date]&gt;1,Table1[Leaving Date]&lt;42736),"",1)))</f>
        <v/>
      </c>
      <c r="DX110"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110" s="44" t="e">
        <f>VLOOKUP(Table1[Referral Source],Lists!$G$2:$H$20,2,FALSE)</f>
        <v>#N/A</v>
      </c>
      <c r="DZ110" s="93" t="e">
        <f>SUM(Table1[Data Referral Quarter]+Table1[Data Referral Source])</f>
        <v>#N/A</v>
      </c>
      <c r="EA110" s="44" t="b">
        <f>IF(Table1[Referral Decision]="Accepted",100,IF(Table1[Referral Decision]="Rejected by Provider",200,IF(Table1[Referral Decision]="Rejected by Applicant",300)))</f>
        <v>0</v>
      </c>
      <c r="EB110" s="44">
        <f>SUM(Table1[Data Referral Quarter]+Table1[Data Referral Decision])</f>
        <v>0</v>
      </c>
      <c r="EC110" s="44" t="b">
        <f>IF(Table1[Start Date]&gt;42735,8000,IF(Table1[Start Date]&gt;42643,7000,IF(Table1[Start Date]&gt;42551,6000,IF(Table1[Start Date]&gt;42460,5000,IF(Table1[Start Date]&gt;42369,4000,IF(Table1[Start Date]&gt;42277,3000,IF(Table1[Start Date]&gt;42185,2000,IF(Table1[Start Date]&gt;42094,1000))))))))</f>
        <v>0</v>
      </c>
      <c r="ED110" s="44" t="str">
        <f>IF(Table1[Start Date]="","",IF(Table1[Current Local Authority]="Swindon",1,"2"))</f>
        <v/>
      </c>
      <c r="EE110" s="44" t="e">
        <f>SUM(Table1[Data Start Date]+Table1[Data Local Authority])</f>
        <v>#VALUE!</v>
      </c>
      <c r="EF110" s="44">
        <f>IF(Table1[Registered with GP]="Yes",1,0)</f>
        <v>0</v>
      </c>
      <c r="EG110" s="44">
        <f>SUM(Table1[Data Start Date]+Table1[Data GP Start])</f>
        <v>0</v>
      </c>
      <c r="EH110" s="44" t="str">
        <f>IF(Table1[EET]="NEET",1,IF(Table1[EET]="Education",2,IF(Table1[EET]="Employment",2,IF(Table1[EET]="Training",2,IF(Table1[EET]="Retired",3,"")))))</f>
        <v/>
      </c>
      <c r="EI110" s="44" t="e">
        <f>Table1[Data Start Date]+Table1[Data EET Start]</f>
        <v>#VALUE!</v>
      </c>
      <c r="EJ110" s="44" t="b">
        <f>IF(Table1[Leaving Date]&gt;42735,8000,IF(Table1[Leaving Date]&gt;42643,7000,IF(Table1[Leaving Date]&gt;42551,6000,IF(Table1[Leaving Date]&gt;42460,5000,IF(Table1[Leaving Date]&gt;42369,4000,IF(Table1[Leaving Date]&gt;42277,3000,IF(Table1[Leaving Date]&gt;42185,2000,IF(Table1[Leaving Date]&gt;42094,1000))))))))</f>
        <v>0</v>
      </c>
      <c r="EK110" s="44" t="e">
        <f>VLOOKUP(Table1[Reason for Leaving],Lists!$T$2:$U$15,2,FALSE)</f>
        <v>#N/A</v>
      </c>
      <c r="EL110" s="44" t="e">
        <f>SUM(Table1[Data Leavers Date]+Table1[Data Move On])</f>
        <v>#N/A</v>
      </c>
      <c r="EM110" s="44" t="b">
        <f>IF(Table1[Registered with GP2]="Yes",1,IF(Table1[Registered with GP2]="No",0,IF(Table1[Registered with GP]="Yes",1,IF(Table1[Registered with GP]="No",0))))</f>
        <v>0</v>
      </c>
      <c r="EN110" s="44">
        <f>SUM(Table1[Data Leavers Date]+Table1[Data GP End])</f>
        <v>0</v>
      </c>
      <c r="EO110" s="44" t="str">
        <f>IF(Table1[EET2]="NEET",1,IF(Table1[EET2]="Employment",2,IF(Table1[EET2]="Education",2,IF(Table1[EET2]="Training",2,IF(Table1[EET2]="Retired",3,IF(Table1[EET]="NEET",1,IF(Table1[EET]="Employment",2,IF(Table1[EET]="Education",2,IF(Table1[EET]="Training",2,IF(Table1[EET]="Retired",3,""))))))))))</f>
        <v/>
      </c>
      <c r="EP110" s="44" t="e">
        <f>+Table1[[#This Row],[Data Leavers Date]]+Table1[[#This Row],[Data EET End]]</f>
        <v>#VALUE!</v>
      </c>
      <c r="EQ110" s="44">
        <f>IF(Table1[Exit Form Received]="Yes",1,0)</f>
        <v>0</v>
      </c>
      <c r="ER110" s="44">
        <f>+Table1[[#This Row],[Data Leavers Date]]+Table1[[#This Row],[Data Exit Forms]]</f>
        <v>0</v>
      </c>
      <c r="ES110" s="44" t="str">
        <f>IF(Table1[Data Leavers Date]=1000,SUM(Table1[Leaving Date]-Table1[Start Date]),"")</f>
        <v/>
      </c>
      <c r="ET110" s="44" t="str">
        <f>IF(Table1[Data Leavers Date]=2000,SUM(Table1[Leaving Date]-Table1[Start Date]),"")</f>
        <v/>
      </c>
      <c r="EU110" s="44" t="str">
        <f>IF(Table1[Data Leavers Date]=3000,SUM(Table1[Leaving Date]-Table1[Start Date]),"")</f>
        <v/>
      </c>
      <c r="EV110" s="44" t="str">
        <f>IF(Table1[Data Leavers Date]=4000,SUM(Table1[Leaving Date]-Table1[Start Date]),"")</f>
        <v/>
      </c>
      <c r="EW110" s="44" t="str">
        <f>IF(Table1[Data Leavers Date]=5000,SUM(Table1[Leaving Date]-Table1[Start Date]),"")</f>
        <v/>
      </c>
      <c r="EX110" s="44" t="str">
        <f>IF(Table1[Data Leavers Date]=6000,SUM(Table1[Leaving Date]-Table1[Start Date]),"")</f>
        <v/>
      </c>
      <c r="EY110" s="44" t="str">
        <f>IF(Table1[Data Leavers Date]=7000,SUM(Table1[Leaving Date]-Table1[Start Date]),"")</f>
        <v/>
      </c>
      <c r="EZ110" s="44" t="str">
        <f>IF(Table1[Data Leavers Date]=8000,SUM(Table1[Leaving Date]-Table1[Start Date]),"")</f>
        <v/>
      </c>
      <c r="FA110" s="44" t="str">
        <f>IF(Table1[Date of Initial Assessment]="","",IF(AND(Table1[Start Date]&gt;42094,Table1[Start Date]&lt;42461),Table1[Motivation and Taking Responsibility],""))</f>
        <v/>
      </c>
      <c r="FB110" s="44" t="str">
        <f>IF(Table1[Date of Initial Assessment]="","",IF(AND(Table1[Start Date]&gt;42094,Table1[Start Date]&lt;42461),Table1[Self-Care and Living Skills],""))</f>
        <v/>
      </c>
      <c r="FC110" s="44" t="str">
        <f>IF(Table1[Date of Initial Assessment]="","",IF(AND(Table1[Start Date]&gt;42094,Table1[Start Date]&lt;42461),Table1[Managing Money and Personal Administration],""))</f>
        <v/>
      </c>
      <c r="FD110" s="44" t="str">
        <f>IF(Table1[Date of Initial Assessment]="","",IF(AND(Table1[Start Date]&gt;42094,Table1[Start Date]&lt;42461),Table1[Social Networks and Relationships],""))</f>
        <v/>
      </c>
      <c r="FE110" s="44" t="str">
        <f>IF(Table1[Date of Initial Assessment]="","",IF(AND(Table1[Start Date]&gt;42094,Table1[Start Date]&lt;42461),Table1[Drug and Alcohol Misuse],""))</f>
        <v/>
      </c>
      <c r="FF110" s="44" t="str">
        <f>IF(Table1[Date of Initial Assessment]="","",IF(AND(Table1[Start Date]&gt;42094,Table1[Start Date]&lt;42461),Table1[Physical Health],""))</f>
        <v/>
      </c>
      <c r="FG110" s="44" t="str">
        <f>IF(Table1[Date of Initial Assessment]="","",IF(AND(Table1[Start Date]&gt;42094,Table1[Start Date]&lt;42461),Table1[Emotional and Mental Health],""))</f>
        <v/>
      </c>
      <c r="FH110" s="44" t="str">
        <f>IF(Table1[Date of Initial Assessment]="","",IF(AND(Table1[Start Date]&gt;42094,Table1[Start Date]&lt;42461),Table1[Meaningful Use of Time],""))</f>
        <v/>
      </c>
      <c r="FI110" s="44" t="str">
        <f>IF(Table1[Date of Initial Assessment]="","",IF(AND(Table1[Start Date]&gt;42094,Table1[Start Date]&lt;42461),Table1[Managing Tenancy and Accommodation],""))</f>
        <v/>
      </c>
      <c r="FJ110" s="44" t="str">
        <f>IF(Table1[Date of Initial Assessment]="","",IF(AND(Table1[Start Date]&gt;42094,Table1[Start Date]&lt;42461),Table1[Offending],""))</f>
        <v/>
      </c>
      <c r="FK110" s="44" t="str">
        <f>IF(Table1[Leaving Date]="","",IF(Table1[Date of Initial Assessment]="","",IF(AND(Table1[Leaving Date]&gt;42094,Table1[Leaving Date]&lt;42461),IF(Table1[Date of Last Assessment]="",Table1[Motivation and Taking Responsibility],Table1[Motivation and Taking Responsibility2]),"")))</f>
        <v/>
      </c>
      <c r="FL110" s="44" t="str">
        <f>IF(Table1[Leaving Date]="","",IF(Table1[Date of Initial Assessment]="","",IF(AND(Table1[Leaving Date]&gt;42094,Table1[Leaving Date]&lt;42461),IF(Table1[Date of Last Assessment]="",Table1[Self-Care and Living Skills],Table1[Self-Care and Living Skills2]),"")))</f>
        <v/>
      </c>
      <c r="FM110" s="44" t="str">
        <f>IF(Table1[Leaving Date]="","",IF(Table1[Date of Initial Assessment]="","",IF(AND(Table1[Leaving Date]&gt;42094,Table1[Leaving Date]&lt;42461),IF(Table1[Date of Last Assessment]="",Table1[Managing Money and Personal Administration],Table1[Managing Money and Personal Administration2]),"")))</f>
        <v/>
      </c>
      <c r="FN110" s="44" t="str">
        <f>IF(Table1[Leaving Date]="","",IF(Table1[Date of Initial Assessment]="","",IF(AND(Table1[Leaving Date]&gt;42094,Table1[Leaving Date]&lt;42461),IF(Table1[Date of Last Assessment]="",Table1[Social Networks and Relationships],Table1[Social Networks and Relationships2]),"")))</f>
        <v/>
      </c>
      <c r="FO110" s="44" t="str">
        <f>IF(Table1[Leaving Date]="","",IF(Table1[Date of Initial Assessment]="","",IF(AND(Table1[Leaving Date]&gt;42094,Table1[Leaving Date]&lt;42461),IF(Table1[Date of Last Assessment]="",Table1[Drug and Alcohol Misuse],Table1[Drug and Alcohol Misuse2]),"")))</f>
        <v/>
      </c>
      <c r="FP110" s="44" t="str">
        <f>IF(Table1[Leaving Date]="","",IF(Table1[Date of Initial Assessment]="","",IF(AND(Table1[Leaving Date]&gt;42094,Table1[Leaving Date]&lt;42461),IF(Table1[Date of Last Assessment]="",Table1[Physical Health],Table1[Physical Health2]),"")))</f>
        <v/>
      </c>
      <c r="FQ110" s="44" t="str">
        <f>IF(Table1[Leaving Date]="","",IF(Table1[Date of Initial Assessment]="","",IF(AND(Table1[Leaving Date]&gt;42094,Table1[Leaving Date]&lt;42461),IF(Table1[Date of Last Assessment]="",Table1[Emotional and Mental Health],Table1[Emotional and Mental Health2]),"")))</f>
        <v/>
      </c>
      <c r="FR110" s="44" t="str">
        <f>IF(Table1[Leaving Date]="","",IF(Table1[Date of Initial Assessment]="","",IF(AND(Table1[Leaving Date]&gt;42094,Table1[Leaving Date]&lt;42461),IF(Table1[Date of Last Assessment]="",Table1[Meaningful Use of Time],Table1[Meaningful Use of Time2]),"")))</f>
        <v/>
      </c>
      <c r="FS110" s="44" t="str">
        <f>IF(Table1[Leaving Date]="","",IF(Table1[Date of Initial Assessment]="","",IF(AND(Table1[Leaving Date]&gt;42094,Table1[Leaving Date]&lt;42461),IF(Table1[Date of Last Assessment]="",Table1[Managing Tenancy and Accommodation],Table1[Managing Tenancy and Accommodation2]),"")))</f>
        <v/>
      </c>
      <c r="FT110" s="44" t="str">
        <f>IF(Table1[Leaving Date]="","",IF(Table1[Date of Initial Assessment]="","",IF(AND(Table1[Leaving Date]&gt;42094,Table1[Leaving Date]&lt;42461),IF(Table1[Date of Last Assessment]="",Table1[Offending],Table1[Offending2]),"")))</f>
        <v/>
      </c>
      <c r="FU110" s="44" t="str">
        <f>IF(Table1[Date of Initial Assessment]="","",IF(AND(Table1[Start Date]&gt;42460,Table1[Start Date]&lt;42826),Table1[Motivation and Taking Responsibility],""))</f>
        <v/>
      </c>
      <c r="FV110" s="44" t="str">
        <f>IF(Table1[Date of Initial Assessment]="","",IF(AND(Table1[Start Date]&gt;42460,Table1[Start Date]&lt;42826),Table1[Self-Care and Living Skills],""))</f>
        <v/>
      </c>
      <c r="FW110" s="44" t="str">
        <f>IF(Table1[Date of Initial Assessment]="","",IF(AND(Table1[Start Date]&gt;42460,Table1[Start Date]&lt;42826),Table1[Managing Money and Personal Administration],""))</f>
        <v/>
      </c>
      <c r="FX110" s="44" t="str">
        <f>IF(Table1[Date of Initial Assessment]="","",IF(AND(Table1[Start Date]&gt;42460,Table1[Start Date]&lt;42826),Table1[Social Networks and Relationships],""))</f>
        <v/>
      </c>
      <c r="FY110" s="44" t="str">
        <f>IF(Table1[Date of Initial Assessment]="","",IF(AND(Table1[Start Date]&gt;42460,Table1[Start Date]&lt;42826),Table1[Drug and Alcohol Misuse],""))</f>
        <v/>
      </c>
      <c r="FZ110" s="44" t="str">
        <f>IF(Table1[Date of Initial Assessment]="","",IF(AND(Table1[Start Date]&gt;42460,Table1[Start Date]&lt;42826),Table1[Physical Health],""))</f>
        <v/>
      </c>
      <c r="GA110" s="44" t="str">
        <f>IF(Table1[Date of Initial Assessment]="","",IF(AND(Table1[Start Date]&gt;42460,Table1[Start Date]&lt;42826),Table1[Emotional and Mental Health],""))</f>
        <v/>
      </c>
      <c r="GB110" s="44" t="str">
        <f>IF(Table1[Date of Initial Assessment]="","",IF(AND(Table1[Start Date]&gt;42460,Table1[Start Date]&lt;42826),Table1[Meaningful Use of Time],""))</f>
        <v/>
      </c>
      <c r="GC110" s="44" t="str">
        <f>IF(Table1[Date of Initial Assessment]="","",IF(AND(Table1[Start Date]&gt;42460,Table1[Start Date]&lt;42826),Table1[Managing Tenancy and Accommodation],""))</f>
        <v/>
      </c>
      <c r="GD110" s="44" t="str">
        <f>IF(Table1[Date of Initial Assessment]="","",IF(AND(Table1[Start Date]&gt;42460,Table1[Start Date]&lt;42826),Table1[Offending],""))</f>
        <v/>
      </c>
      <c r="GE110" s="44" t="str">
        <f>IF(Table1[Leaving Date]="","",IF(AND(Table1[Leaving Date]&gt;42460,Table1[Leaving Date]&lt;42826),IF(Table1[Date of Last Assessment]="",Table1[Motivation and Taking Responsibility],Table1[Motivation and Taking Responsibility2]),""))</f>
        <v/>
      </c>
      <c r="GF110" s="44" t="str">
        <f>IF(Table1[Leaving Date]="","",IF(AND(Table1[Leaving Date]&gt;42460,Table1[Leaving Date]&lt;42826),IF(Table1[Date of Last Assessment]="",Table1[Self-Care and Living Skills],Table1[Self-Care and Living Skills2]),""))</f>
        <v/>
      </c>
      <c r="GG110" s="44" t="str">
        <f>IF(Table1[Leaving Date]="","",IF(AND(Table1[Leaving Date]&gt;42460,Table1[Leaving Date]&lt;42826),IF(Table1[Date of Last Assessment]="",Table1[Managing Money and Personal Administration],Table1[Managing Money and Personal Administration2]),""))</f>
        <v/>
      </c>
      <c r="GH110" s="44" t="str">
        <f>IF(Table1[Leaving Date]="","",IF(AND(Table1[Leaving Date]&gt;42460,Table1[Leaving Date]&lt;42826),IF(Table1[Date of Last Assessment]="",Table1[Social Networks and Relationships],Table1[Social Networks and Relationships2]),""))</f>
        <v/>
      </c>
      <c r="GI110" s="44" t="str">
        <f>IF(Table1[Leaving Date]="","",IF(AND(Table1[Leaving Date]&gt;42460,Table1[Leaving Date]&lt;42826),IF(Table1[Date of Last Assessment]="",Table1[Drug and Alcohol Misuse],Table1[Drug and Alcohol Misuse2]),""))</f>
        <v/>
      </c>
      <c r="GJ110" s="44" t="str">
        <f>IF(Table1[Leaving Date]="","",IF(AND(Table1[Leaving Date]&gt;42460,Table1[Leaving Date]&lt;42826),IF(Table1[Date of Last Assessment]="",Table1[Physical Health],Table1[Physical Health2]),""))</f>
        <v/>
      </c>
      <c r="GK110" s="44" t="str">
        <f>IF(Table1[Leaving Date]="","",IF(AND(Table1[Leaving Date]&gt;42460,Table1[Leaving Date]&lt;42826),IF(Table1[Date of Last Assessment]="",Table1[Emotional and Mental Health],Table1[Emotional and Mental Health2]),""))</f>
        <v/>
      </c>
      <c r="GL110" s="44" t="str">
        <f>IF(Table1[Leaving Date]="","",IF(AND(Table1[Leaving Date]&gt;42460,Table1[Leaving Date]&lt;42826),IF(Table1[Date of Last Assessment]="",Table1[Meaningful Use of Time],Table1[Meaningful Use of Time2]),""))</f>
        <v/>
      </c>
      <c r="GM110" s="44" t="str">
        <f>IF(Table1[Leaving Date]="","",IF(AND(Table1[Leaving Date]&gt;42460,Table1[Leaving Date]&lt;42826),IF(Table1[Date of Last Assessment]="",Table1[Managing Tenancy and Accommodation],Table1[Managing Tenancy and Accommodation2]),""))</f>
        <v/>
      </c>
      <c r="GN110" s="44" t="str">
        <f>IF(Table1[Leaving Date]="","",IF(AND(Table1[Leaving Date]&gt;42460,Table1[Leaving Date]&lt;42826),IF(Table1[Date of Last Assessment]="",Table1[Offending],Table1[Offending2]),""))</f>
        <v/>
      </c>
    </row>
    <row r="111" spans="2:196" ht="20.100000000000001" customHeight="1" x14ac:dyDescent="0.2">
      <c r="B111" s="86">
        <f>+'Service Data'!$C$5:$C$5</f>
        <v>0</v>
      </c>
      <c r="C111" s="86"/>
      <c r="D111" s="86"/>
      <c r="E111" s="86"/>
      <c r="F111" s="86"/>
      <c r="G111" s="86"/>
      <c r="H111" s="6"/>
      <c r="I111" s="99" t="str">
        <f ca="1">IF(Table1[[#This Row],[Date of Birth]]="","",SUM(TODAY()-Table1[[#This Row],[Date of Birth]])/365)</f>
        <v/>
      </c>
      <c r="L111" s="86"/>
      <c r="M111" s="77"/>
      <c r="N111" s="86"/>
      <c r="O111" s="86"/>
      <c r="P111" s="91"/>
      <c r="Q111" s="86"/>
      <c r="R111" s="77"/>
      <c r="S111" s="77"/>
      <c r="T111" s="68"/>
      <c r="U111" s="68"/>
      <c r="V111" s="67"/>
      <c r="W111" s="67"/>
      <c r="X111" s="67"/>
      <c r="Y111" s="67"/>
      <c r="Z111" s="67"/>
      <c r="AA111" s="67"/>
      <c r="AB111" s="67"/>
      <c r="AC111" s="67"/>
      <c r="AD111" s="67"/>
      <c r="AE111" s="67"/>
      <c r="AF111" s="67"/>
      <c r="AG111" s="67"/>
      <c r="AH111" s="67"/>
      <c r="AI111" s="67"/>
      <c r="AJ111" s="67"/>
      <c r="AK111" s="67"/>
      <c r="AL111" s="67"/>
      <c r="AM111" s="67"/>
      <c r="AN111" s="77"/>
      <c r="AO111" s="76"/>
      <c r="AP111" s="77"/>
      <c r="AQ111" s="76"/>
      <c r="AR111" s="76"/>
      <c r="AS111" s="76"/>
      <c r="AT111" s="76"/>
      <c r="AU111" s="76"/>
      <c r="AV111" s="77"/>
      <c r="AW111" s="76"/>
      <c r="AX111" s="77"/>
      <c r="AY111" s="76"/>
      <c r="AZ111" s="76"/>
      <c r="BA111" s="76"/>
      <c r="BB111" s="76"/>
      <c r="BC111" s="76"/>
      <c r="BD111" s="77"/>
      <c r="BE111" s="76"/>
      <c r="BF111" s="77"/>
      <c r="BG111" s="76"/>
      <c r="BH111" s="76"/>
      <c r="BI111" s="76"/>
      <c r="BJ111" s="76"/>
      <c r="BK111" s="76"/>
      <c r="BL111" s="77"/>
      <c r="BM111" s="76"/>
      <c r="BN111" s="77"/>
      <c r="BO111" s="76"/>
      <c r="BP111" s="76"/>
      <c r="BQ111" s="76"/>
      <c r="BR111" s="76"/>
      <c r="BS111" s="76"/>
      <c r="BT111" s="77"/>
      <c r="BU111" s="76"/>
      <c r="BV111" s="77"/>
      <c r="BW111" s="76"/>
      <c r="BX111" s="76"/>
      <c r="BY111" s="76"/>
      <c r="BZ111" s="76"/>
      <c r="CA111" s="76"/>
      <c r="CB111" s="77"/>
      <c r="CC111" s="76"/>
      <c r="CD111" s="77"/>
      <c r="CE111" s="76"/>
      <c r="CF111" s="76"/>
      <c r="CG111" s="76"/>
      <c r="CH111" s="76"/>
      <c r="CI111" s="76"/>
      <c r="CJ111" s="77"/>
      <c r="CK111" s="76"/>
      <c r="CL111" s="77"/>
      <c r="CM111" s="76"/>
      <c r="CN111" s="76"/>
      <c r="CO111" s="76"/>
      <c r="CP111" s="76"/>
      <c r="CQ111" s="76"/>
      <c r="CR111" s="78" t="str">
        <f t="shared" si="31"/>
        <v/>
      </c>
      <c r="CS111" s="79" t="str">
        <f t="shared" si="32"/>
        <v/>
      </c>
      <c r="CT111" s="79" t="str">
        <f t="shared" si="33"/>
        <v/>
      </c>
      <c r="CU111" s="79" t="str">
        <f t="shared" si="34"/>
        <v/>
      </c>
      <c r="CV111" s="79" t="str">
        <f t="shared" si="35"/>
        <v/>
      </c>
      <c r="CW111" s="79" t="str">
        <f t="shared" si="36"/>
        <v/>
      </c>
      <c r="CX111" s="79" t="str">
        <f t="shared" si="37"/>
        <v/>
      </c>
      <c r="CY111" s="79" t="str">
        <f t="shared" si="38"/>
        <v/>
      </c>
      <c r="CZ111" s="79" t="str">
        <f t="shared" si="39"/>
        <v/>
      </c>
      <c r="DA111" s="79" t="str">
        <f t="shared" si="40"/>
        <v/>
      </c>
      <c r="DB111" s="79" t="str">
        <f t="shared" si="41"/>
        <v/>
      </c>
      <c r="DC111" s="79" t="str">
        <f t="shared" si="42"/>
        <v/>
      </c>
      <c r="DD111" s="79" t="str">
        <f t="shared" si="43"/>
        <v/>
      </c>
      <c r="DE111" s="79" t="str">
        <f t="shared" si="44"/>
        <v/>
      </c>
      <c r="DF111" s="79" t="str">
        <f t="shared" si="45"/>
        <v/>
      </c>
      <c r="DG111" s="79" t="str">
        <f t="shared" si="46"/>
        <v/>
      </c>
      <c r="DH111" s="76"/>
      <c r="DI111" s="78"/>
      <c r="DJ111" s="76"/>
      <c r="DK111" s="77"/>
      <c r="DL111" s="77"/>
      <c r="DM111" s="77"/>
      <c r="DN111" s="80"/>
      <c r="DO111" s="80"/>
      <c r="DP111" s="92" t="str">
        <f>IF(Table1[Start Date]="","",IF(Table1[Start Date]&gt;42185,"",IF(AND(Table1[Leaving Date]&gt;1,Table1[Leaving Date]&lt;42095),"",1)))</f>
        <v/>
      </c>
      <c r="DQ111" s="92" t="str">
        <f>IF(Table1[Start Date]="","",IF(Table1[Start Date]&gt;42277,"",IF(AND(Table1[Leaving Date]&gt;1,Table1[Leaving Date]&lt;42186),"",1)))</f>
        <v/>
      </c>
      <c r="DR111" s="92" t="str">
        <f>IF(Table1[Start Date]="","",IF(Table1[Start Date]&gt;42369,"",IF(AND(Table1[Leaving Date]&gt;1,Table1[Leaving Date]&lt;42278),"",1)))</f>
        <v/>
      </c>
      <c r="DS111" s="92" t="str">
        <f>IF(Table1[Start Date]="","",IF(Table1[Start Date]&gt;42460,"",IF(AND(Table1[Leaving Date]&gt;1,Table1[Leaving Date]&lt;42370),"",1)))</f>
        <v/>
      </c>
      <c r="DT111" s="92" t="str">
        <f>IF(Table1[Start Date]="","",IF(Table1[Start Date]&gt;42551,"",IF(AND(Table1[Leaving Date]&gt;1,Table1[Leaving Date]&lt;42461),"",1)))</f>
        <v/>
      </c>
      <c r="DU111" s="92" t="str">
        <f>IF(Table1[Start Date]="","",IF(Table1[Start Date]&gt;42643,"",IF(AND(Table1[Leaving Date]&gt;1,Table1[Leaving Date]&lt;42552),"",1)))</f>
        <v/>
      </c>
      <c r="DV111" s="92" t="str">
        <f>IF(Table1[Start Date]="","",IF(Table1[Start Date]&gt;42735,"",IF(AND(Table1[Leaving Date]&gt;1,Table1[Leaving Date]&lt;42644),"",1)))</f>
        <v/>
      </c>
      <c r="DW111" s="92" t="str">
        <f>IF(Table1[Start Date]="","",IF(Table1[Start Date]&gt;42825,"",IF(AND(Table1[Leaving Date]&gt;1,Table1[Leaving Date]&lt;42736),"",1)))</f>
        <v/>
      </c>
      <c r="DX111"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111" s="44" t="e">
        <f>VLOOKUP(Table1[Referral Source],Lists!$G$2:$H$20,2,FALSE)</f>
        <v>#N/A</v>
      </c>
      <c r="DZ111" s="93" t="e">
        <f>SUM(Table1[Data Referral Quarter]+Table1[Data Referral Source])</f>
        <v>#N/A</v>
      </c>
      <c r="EA111" s="44" t="b">
        <f>IF(Table1[Referral Decision]="Accepted",100,IF(Table1[Referral Decision]="Rejected by Provider",200,IF(Table1[Referral Decision]="Rejected by Applicant",300)))</f>
        <v>0</v>
      </c>
      <c r="EB111" s="44">
        <f>SUM(Table1[Data Referral Quarter]+Table1[Data Referral Decision])</f>
        <v>0</v>
      </c>
      <c r="EC111" s="44" t="b">
        <f>IF(Table1[Start Date]&gt;42735,8000,IF(Table1[Start Date]&gt;42643,7000,IF(Table1[Start Date]&gt;42551,6000,IF(Table1[Start Date]&gt;42460,5000,IF(Table1[Start Date]&gt;42369,4000,IF(Table1[Start Date]&gt;42277,3000,IF(Table1[Start Date]&gt;42185,2000,IF(Table1[Start Date]&gt;42094,1000))))))))</f>
        <v>0</v>
      </c>
      <c r="ED111" s="44" t="str">
        <f>IF(Table1[Start Date]="","",IF(Table1[Current Local Authority]="Swindon",1,"2"))</f>
        <v/>
      </c>
      <c r="EE111" s="44" t="e">
        <f>SUM(Table1[Data Start Date]+Table1[Data Local Authority])</f>
        <v>#VALUE!</v>
      </c>
      <c r="EF111" s="44">
        <f>IF(Table1[Registered with GP]="Yes",1,0)</f>
        <v>0</v>
      </c>
      <c r="EG111" s="44">
        <f>SUM(Table1[Data Start Date]+Table1[Data GP Start])</f>
        <v>0</v>
      </c>
      <c r="EH111" s="44" t="str">
        <f>IF(Table1[EET]="NEET",1,IF(Table1[EET]="Education",2,IF(Table1[EET]="Employment",2,IF(Table1[EET]="Training",2,IF(Table1[EET]="Retired",3,"")))))</f>
        <v/>
      </c>
      <c r="EI111" s="44" t="e">
        <f>Table1[Data Start Date]+Table1[Data EET Start]</f>
        <v>#VALUE!</v>
      </c>
      <c r="EJ111" s="44" t="b">
        <f>IF(Table1[Leaving Date]&gt;42735,8000,IF(Table1[Leaving Date]&gt;42643,7000,IF(Table1[Leaving Date]&gt;42551,6000,IF(Table1[Leaving Date]&gt;42460,5000,IF(Table1[Leaving Date]&gt;42369,4000,IF(Table1[Leaving Date]&gt;42277,3000,IF(Table1[Leaving Date]&gt;42185,2000,IF(Table1[Leaving Date]&gt;42094,1000))))))))</f>
        <v>0</v>
      </c>
      <c r="EK111" s="44" t="e">
        <f>VLOOKUP(Table1[Reason for Leaving],Lists!$T$2:$U$15,2,FALSE)</f>
        <v>#N/A</v>
      </c>
      <c r="EL111" s="44" t="e">
        <f>SUM(Table1[Data Leavers Date]+Table1[Data Move On])</f>
        <v>#N/A</v>
      </c>
      <c r="EM111" s="44" t="b">
        <f>IF(Table1[Registered with GP2]="Yes",1,IF(Table1[Registered with GP2]="No",0,IF(Table1[Registered with GP]="Yes",1,IF(Table1[Registered with GP]="No",0))))</f>
        <v>0</v>
      </c>
      <c r="EN111" s="44">
        <f>SUM(Table1[Data Leavers Date]+Table1[Data GP End])</f>
        <v>0</v>
      </c>
      <c r="EO111" s="44" t="str">
        <f>IF(Table1[EET2]="NEET",1,IF(Table1[EET2]="Employment",2,IF(Table1[EET2]="Education",2,IF(Table1[EET2]="Training",2,IF(Table1[EET2]="Retired",3,IF(Table1[EET]="NEET",1,IF(Table1[EET]="Employment",2,IF(Table1[EET]="Education",2,IF(Table1[EET]="Training",2,IF(Table1[EET]="Retired",3,""))))))))))</f>
        <v/>
      </c>
      <c r="EP111" s="44" t="e">
        <f>+Table1[[#This Row],[Data Leavers Date]]+Table1[[#This Row],[Data EET End]]</f>
        <v>#VALUE!</v>
      </c>
      <c r="EQ111" s="44">
        <f>IF(Table1[Exit Form Received]="Yes",1,0)</f>
        <v>0</v>
      </c>
      <c r="ER111" s="44">
        <f>+Table1[[#This Row],[Data Leavers Date]]+Table1[[#This Row],[Data Exit Forms]]</f>
        <v>0</v>
      </c>
      <c r="ES111" s="44" t="str">
        <f>IF(Table1[Data Leavers Date]=1000,SUM(Table1[Leaving Date]-Table1[Start Date]),"")</f>
        <v/>
      </c>
      <c r="ET111" s="44" t="str">
        <f>IF(Table1[Data Leavers Date]=2000,SUM(Table1[Leaving Date]-Table1[Start Date]),"")</f>
        <v/>
      </c>
      <c r="EU111" s="44" t="str">
        <f>IF(Table1[Data Leavers Date]=3000,SUM(Table1[Leaving Date]-Table1[Start Date]),"")</f>
        <v/>
      </c>
      <c r="EV111" s="44" t="str">
        <f>IF(Table1[Data Leavers Date]=4000,SUM(Table1[Leaving Date]-Table1[Start Date]),"")</f>
        <v/>
      </c>
      <c r="EW111" s="44" t="str">
        <f>IF(Table1[Data Leavers Date]=5000,SUM(Table1[Leaving Date]-Table1[Start Date]),"")</f>
        <v/>
      </c>
      <c r="EX111" s="44" t="str">
        <f>IF(Table1[Data Leavers Date]=6000,SUM(Table1[Leaving Date]-Table1[Start Date]),"")</f>
        <v/>
      </c>
      <c r="EY111" s="44" t="str">
        <f>IF(Table1[Data Leavers Date]=7000,SUM(Table1[Leaving Date]-Table1[Start Date]),"")</f>
        <v/>
      </c>
      <c r="EZ111" s="44" t="str">
        <f>IF(Table1[Data Leavers Date]=8000,SUM(Table1[Leaving Date]-Table1[Start Date]),"")</f>
        <v/>
      </c>
      <c r="FA111" s="44" t="str">
        <f>IF(Table1[Date of Initial Assessment]="","",IF(AND(Table1[Start Date]&gt;42094,Table1[Start Date]&lt;42461),Table1[Motivation and Taking Responsibility],""))</f>
        <v/>
      </c>
      <c r="FB111" s="44" t="str">
        <f>IF(Table1[Date of Initial Assessment]="","",IF(AND(Table1[Start Date]&gt;42094,Table1[Start Date]&lt;42461),Table1[Self-Care and Living Skills],""))</f>
        <v/>
      </c>
      <c r="FC111" s="44" t="str">
        <f>IF(Table1[Date of Initial Assessment]="","",IF(AND(Table1[Start Date]&gt;42094,Table1[Start Date]&lt;42461),Table1[Managing Money and Personal Administration],""))</f>
        <v/>
      </c>
      <c r="FD111" s="44" t="str">
        <f>IF(Table1[Date of Initial Assessment]="","",IF(AND(Table1[Start Date]&gt;42094,Table1[Start Date]&lt;42461),Table1[Social Networks and Relationships],""))</f>
        <v/>
      </c>
      <c r="FE111" s="44" t="str">
        <f>IF(Table1[Date of Initial Assessment]="","",IF(AND(Table1[Start Date]&gt;42094,Table1[Start Date]&lt;42461),Table1[Drug and Alcohol Misuse],""))</f>
        <v/>
      </c>
      <c r="FF111" s="44" t="str">
        <f>IF(Table1[Date of Initial Assessment]="","",IF(AND(Table1[Start Date]&gt;42094,Table1[Start Date]&lt;42461),Table1[Physical Health],""))</f>
        <v/>
      </c>
      <c r="FG111" s="44" t="str">
        <f>IF(Table1[Date of Initial Assessment]="","",IF(AND(Table1[Start Date]&gt;42094,Table1[Start Date]&lt;42461),Table1[Emotional and Mental Health],""))</f>
        <v/>
      </c>
      <c r="FH111" s="44" t="str">
        <f>IF(Table1[Date of Initial Assessment]="","",IF(AND(Table1[Start Date]&gt;42094,Table1[Start Date]&lt;42461),Table1[Meaningful Use of Time],""))</f>
        <v/>
      </c>
      <c r="FI111" s="44" t="str">
        <f>IF(Table1[Date of Initial Assessment]="","",IF(AND(Table1[Start Date]&gt;42094,Table1[Start Date]&lt;42461),Table1[Managing Tenancy and Accommodation],""))</f>
        <v/>
      </c>
      <c r="FJ111" s="44" t="str">
        <f>IF(Table1[Date of Initial Assessment]="","",IF(AND(Table1[Start Date]&gt;42094,Table1[Start Date]&lt;42461),Table1[Offending],""))</f>
        <v/>
      </c>
      <c r="FK111" s="44" t="str">
        <f>IF(Table1[Leaving Date]="","",IF(Table1[Date of Initial Assessment]="","",IF(AND(Table1[Leaving Date]&gt;42094,Table1[Leaving Date]&lt;42461),IF(Table1[Date of Last Assessment]="",Table1[Motivation and Taking Responsibility],Table1[Motivation and Taking Responsibility2]),"")))</f>
        <v/>
      </c>
      <c r="FL111" s="44" t="str">
        <f>IF(Table1[Leaving Date]="","",IF(Table1[Date of Initial Assessment]="","",IF(AND(Table1[Leaving Date]&gt;42094,Table1[Leaving Date]&lt;42461),IF(Table1[Date of Last Assessment]="",Table1[Self-Care and Living Skills],Table1[Self-Care and Living Skills2]),"")))</f>
        <v/>
      </c>
      <c r="FM111" s="44" t="str">
        <f>IF(Table1[Leaving Date]="","",IF(Table1[Date of Initial Assessment]="","",IF(AND(Table1[Leaving Date]&gt;42094,Table1[Leaving Date]&lt;42461),IF(Table1[Date of Last Assessment]="",Table1[Managing Money and Personal Administration],Table1[Managing Money and Personal Administration2]),"")))</f>
        <v/>
      </c>
      <c r="FN111" s="44" t="str">
        <f>IF(Table1[Leaving Date]="","",IF(Table1[Date of Initial Assessment]="","",IF(AND(Table1[Leaving Date]&gt;42094,Table1[Leaving Date]&lt;42461),IF(Table1[Date of Last Assessment]="",Table1[Social Networks and Relationships],Table1[Social Networks and Relationships2]),"")))</f>
        <v/>
      </c>
      <c r="FO111" s="44" t="str">
        <f>IF(Table1[Leaving Date]="","",IF(Table1[Date of Initial Assessment]="","",IF(AND(Table1[Leaving Date]&gt;42094,Table1[Leaving Date]&lt;42461),IF(Table1[Date of Last Assessment]="",Table1[Drug and Alcohol Misuse],Table1[Drug and Alcohol Misuse2]),"")))</f>
        <v/>
      </c>
      <c r="FP111" s="44" t="str">
        <f>IF(Table1[Leaving Date]="","",IF(Table1[Date of Initial Assessment]="","",IF(AND(Table1[Leaving Date]&gt;42094,Table1[Leaving Date]&lt;42461),IF(Table1[Date of Last Assessment]="",Table1[Physical Health],Table1[Physical Health2]),"")))</f>
        <v/>
      </c>
      <c r="FQ111" s="44" t="str">
        <f>IF(Table1[Leaving Date]="","",IF(Table1[Date of Initial Assessment]="","",IF(AND(Table1[Leaving Date]&gt;42094,Table1[Leaving Date]&lt;42461),IF(Table1[Date of Last Assessment]="",Table1[Emotional and Mental Health],Table1[Emotional and Mental Health2]),"")))</f>
        <v/>
      </c>
      <c r="FR111" s="44" t="str">
        <f>IF(Table1[Leaving Date]="","",IF(Table1[Date of Initial Assessment]="","",IF(AND(Table1[Leaving Date]&gt;42094,Table1[Leaving Date]&lt;42461),IF(Table1[Date of Last Assessment]="",Table1[Meaningful Use of Time],Table1[Meaningful Use of Time2]),"")))</f>
        <v/>
      </c>
      <c r="FS111" s="44" t="str">
        <f>IF(Table1[Leaving Date]="","",IF(Table1[Date of Initial Assessment]="","",IF(AND(Table1[Leaving Date]&gt;42094,Table1[Leaving Date]&lt;42461),IF(Table1[Date of Last Assessment]="",Table1[Managing Tenancy and Accommodation],Table1[Managing Tenancy and Accommodation2]),"")))</f>
        <v/>
      </c>
      <c r="FT111" s="44" t="str">
        <f>IF(Table1[Leaving Date]="","",IF(Table1[Date of Initial Assessment]="","",IF(AND(Table1[Leaving Date]&gt;42094,Table1[Leaving Date]&lt;42461),IF(Table1[Date of Last Assessment]="",Table1[Offending],Table1[Offending2]),"")))</f>
        <v/>
      </c>
      <c r="FU111" s="44" t="str">
        <f>IF(Table1[Date of Initial Assessment]="","",IF(AND(Table1[Start Date]&gt;42460,Table1[Start Date]&lt;42826),Table1[Motivation and Taking Responsibility],""))</f>
        <v/>
      </c>
      <c r="FV111" s="44" t="str">
        <f>IF(Table1[Date of Initial Assessment]="","",IF(AND(Table1[Start Date]&gt;42460,Table1[Start Date]&lt;42826),Table1[Self-Care and Living Skills],""))</f>
        <v/>
      </c>
      <c r="FW111" s="44" t="str">
        <f>IF(Table1[Date of Initial Assessment]="","",IF(AND(Table1[Start Date]&gt;42460,Table1[Start Date]&lt;42826),Table1[Managing Money and Personal Administration],""))</f>
        <v/>
      </c>
      <c r="FX111" s="44" t="str">
        <f>IF(Table1[Date of Initial Assessment]="","",IF(AND(Table1[Start Date]&gt;42460,Table1[Start Date]&lt;42826),Table1[Social Networks and Relationships],""))</f>
        <v/>
      </c>
      <c r="FY111" s="44" t="str">
        <f>IF(Table1[Date of Initial Assessment]="","",IF(AND(Table1[Start Date]&gt;42460,Table1[Start Date]&lt;42826),Table1[Drug and Alcohol Misuse],""))</f>
        <v/>
      </c>
      <c r="FZ111" s="44" t="str">
        <f>IF(Table1[Date of Initial Assessment]="","",IF(AND(Table1[Start Date]&gt;42460,Table1[Start Date]&lt;42826),Table1[Physical Health],""))</f>
        <v/>
      </c>
      <c r="GA111" s="44" t="str">
        <f>IF(Table1[Date of Initial Assessment]="","",IF(AND(Table1[Start Date]&gt;42460,Table1[Start Date]&lt;42826),Table1[Emotional and Mental Health],""))</f>
        <v/>
      </c>
      <c r="GB111" s="44" t="str">
        <f>IF(Table1[Date of Initial Assessment]="","",IF(AND(Table1[Start Date]&gt;42460,Table1[Start Date]&lt;42826),Table1[Meaningful Use of Time],""))</f>
        <v/>
      </c>
      <c r="GC111" s="44" t="str">
        <f>IF(Table1[Date of Initial Assessment]="","",IF(AND(Table1[Start Date]&gt;42460,Table1[Start Date]&lt;42826),Table1[Managing Tenancy and Accommodation],""))</f>
        <v/>
      </c>
      <c r="GD111" s="44" t="str">
        <f>IF(Table1[Date of Initial Assessment]="","",IF(AND(Table1[Start Date]&gt;42460,Table1[Start Date]&lt;42826),Table1[Offending],""))</f>
        <v/>
      </c>
      <c r="GE111" s="44" t="str">
        <f>IF(Table1[Leaving Date]="","",IF(AND(Table1[Leaving Date]&gt;42460,Table1[Leaving Date]&lt;42826),IF(Table1[Date of Last Assessment]="",Table1[Motivation and Taking Responsibility],Table1[Motivation and Taking Responsibility2]),""))</f>
        <v/>
      </c>
      <c r="GF111" s="44" t="str">
        <f>IF(Table1[Leaving Date]="","",IF(AND(Table1[Leaving Date]&gt;42460,Table1[Leaving Date]&lt;42826),IF(Table1[Date of Last Assessment]="",Table1[Self-Care and Living Skills],Table1[Self-Care and Living Skills2]),""))</f>
        <v/>
      </c>
      <c r="GG111" s="44" t="str">
        <f>IF(Table1[Leaving Date]="","",IF(AND(Table1[Leaving Date]&gt;42460,Table1[Leaving Date]&lt;42826),IF(Table1[Date of Last Assessment]="",Table1[Managing Money and Personal Administration],Table1[Managing Money and Personal Administration2]),""))</f>
        <v/>
      </c>
      <c r="GH111" s="44" t="str">
        <f>IF(Table1[Leaving Date]="","",IF(AND(Table1[Leaving Date]&gt;42460,Table1[Leaving Date]&lt;42826),IF(Table1[Date of Last Assessment]="",Table1[Social Networks and Relationships],Table1[Social Networks and Relationships2]),""))</f>
        <v/>
      </c>
      <c r="GI111" s="44" t="str">
        <f>IF(Table1[Leaving Date]="","",IF(AND(Table1[Leaving Date]&gt;42460,Table1[Leaving Date]&lt;42826),IF(Table1[Date of Last Assessment]="",Table1[Drug and Alcohol Misuse],Table1[Drug and Alcohol Misuse2]),""))</f>
        <v/>
      </c>
      <c r="GJ111" s="44" t="str">
        <f>IF(Table1[Leaving Date]="","",IF(AND(Table1[Leaving Date]&gt;42460,Table1[Leaving Date]&lt;42826),IF(Table1[Date of Last Assessment]="",Table1[Physical Health],Table1[Physical Health2]),""))</f>
        <v/>
      </c>
      <c r="GK111" s="44" t="str">
        <f>IF(Table1[Leaving Date]="","",IF(AND(Table1[Leaving Date]&gt;42460,Table1[Leaving Date]&lt;42826),IF(Table1[Date of Last Assessment]="",Table1[Emotional and Mental Health],Table1[Emotional and Mental Health2]),""))</f>
        <v/>
      </c>
      <c r="GL111" s="44" t="str">
        <f>IF(Table1[Leaving Date]="","",IF(AND(Table1[Leaving Date]&gt;42460,Table1[Leaving Date]&lt;42826),IF(Table1[Date of Last Assessment]="",Table1[Meaningful Use of Time],Table1[Meaningful Use of Time2]),""))</f>
        <v/>
      </c>
      <c r="GM111" s="44" t="str">
        <f>IF(Table1[Leaving Date]="","",IF(AND(Table1[Leaving Date]&gt;42460,Table1[Leaving Date]&lt;42826),IF(Table1[Date of Last Assessment]="",Table1[Managing Tenancy and Accommodation],Table1[Managing Tenancy and Accommodation2]),""))</f>
        <v/>
      </c>
      <c r="GN111" s="44" t="str">
        <f>IF(Table1[Leaving Date]="","",IF(AND(Table1[Leaving Date]&gt;42460,Table1[Leaving Date]&lt;42826),IF(Table1[Date of Last Assessment]="",Table1[Offending],Table1[Offending2]),""))</f>
        <v/>
      </c>
    </row>
    <row r="112" spans="2:196" ht="20.100000000000001" customHeight="1" x14ac:dyDescent="0.2">
      <c r="B112" s="86">
        <f>+'Service Data'!$C$5:$C$5</f>
        <v>0</v>
      </c>
      <c r="C112" s="86"/>
      <c r="D112" s="86"/>
      <c r="E112" s="86"/>
      <c r="F112" s="86"/>
      <c r="G112" s="86"/>
      <c r="H112" s="6"/>
      <c r="I112" s="99" t="str">
        <f ca="1">IF(Table1[[#This Row],[Date of Birth]]="","",SUM(TODAY()-Table1[[#This Row],[Date of Birth]])/365)</f>
        <v/>
      </c>
      <c r="L112" s="86"/>
      <c r="M112" s="77"/>
      <c r="N112" s="86"/>
      <c r="O112" s="86"/>
      <c r="P112" s="91"/>
      <c r="Q112" s="86"/>
      <c r="R112" s="77"/>
      <c r="S112" s="77"/>
      <c r="T112" s="68"/>
      <c r="U112" s="68"/>
      <c r="V112" s="67"/>
      <c r="W112" s="67"/>
      <c r="X112" s="67"/>
      <c r="Y112" s="67"/>
      <c r="Z112" s="67"/>
      <c r="AA112" s="67"/>
      <c r="AB112" s="67"/>
      <c r="AC112" s="67"/>
      <c r="AD112" s="67"/>
      <c r="AE112" s="67"/>
      <c r="AF112" s="67"/>
      <c r="AG112" s="67"/>
      <c r="AH112" s="67"/>
      <c r="AI112" s="67"/>
      <c r="AJ112" s="67"/>
      <c r="AK112" s="67"/>
      <c r="AL112" s="67"/>
      <c r="AM112" s="67"/>
      <c r="AN112" s="77"/>
      <c r="AO112" s="76"/>
      <c r="AP112" s="77"/>
      <c r="AQ112" s="76"/>
      <c r="AR112" s="76"/>
      <c r="AS112" s="76"/>
      <c r="AT112" s="76"/>
      <c r="AU112" s="76"/>
      <c r="AV112" s="77"/>
      <c r="AW112" s="76"/>
      <c r="AX112" s="77"/>
      <c r="AY112" s="76"/>
      <c r="AZ112" s="76"/>
      <c r="BA112" s="76"/>
      <c r="BB112" s="76"/>
      <c r="BC112" s="76"/>
      <c r="BD112" s="77"/>
      <c r="BE112" s="76"/>
      <c r="BF112" s="77"/>
      <c r="BG112" s="76"/>
      <c r="BH112" s="76"/>
      <c r="BI112" s="76"/>
      <c r="BJ112" s="76"/>
      <c r="BK112" s="76"/>
      <c r="BL112" s="77"/>
      <c r="BM112" s="76"/>
      <c r="BN112" s="77"/>
      <c r="BO112" s="76"/>
      <c r="BP112" s="76"/>
      <c r="BQ112" s="76"/>
      <c r="BR112" s="76"/>
      <c r="BS112" s="76"/>
      <c r="BT112" s="77"/>
      <c r="BU112" s="76"/>
      <c r="BV112" s="77"/>
      <c r="BW112" s="76"/>
      <c r="BX112" s="76"/>
      <c r="BY112" s="76"/>
      <c r="BZ112" s="76"/>
      <c r="CA112" s="76"/>
      <c r="CB112" s="77"/>
      <c r="CC112" s="76"/>
      <c r="CD112" s="77"/>
      <c r="CE112" s="76"/>
      <c r="CF112" s="76"/>
      <c r="CG112" s="76"/>
      <c r="CH112" s="76"/>
      <c r="CI112" s="76"/>
      <c r="CJ112" s="77"/>
      <c r="CK112" s="76"/>
      <c r="CL112" s="77"/>
      <c r="CM112" s="76"/>
      <c r="CN112" s="76"/>
      <c r="CO112" s="76"/>
      <c r="CP112" s="76"/>
      <c r="CQ112" s="76"/>
      <c r="CR112" s="78" t="str">
        <f t="shared" si="31"/>
        <v/>
      </c>
      <c r="CS112" s="79" t="str">
        <f t="shared" si="32"/>
        <v/>
      </c>
      <c r="CT112" s="79" t="str">
        <f t="shared" si="33"/>
        <v/>
      </c>
      <c r="CU112" s="79" t="str">
        <f t="shared" si="34"/>
        <v/>
      </c>
      <c r="CV112" s="79" t="str">
        <f t="shared" si="35"/>
        <v/>
      </c>
      <c r="CW112" s="79" t="str">
        <f t="shared" si="36"/>
        <v/>
      </c>
      <c r="CX112" s="79" t="str">
        <f t="shared" si="37"/>
        <v/>
      </c>
      <c r="CY112" s="79" t="str">
        <f t="shared" si="38"/>
        <v/>
      </c>
      <c r="CZ112" s="79" t="str">
        <f t="shared" si="39"/>
        <v/>
      </c>
      <c r="DA112" s="79" t="str">
        <f t="shared" si="40"/>
        <v/>
      </c>
      <c r="DB112" s="79" t="str">
        <f t="shared" si="41"/>
        <v/>
      </c>
      <c r="DC112" s="79" t="str">
        <f t="shared" si="42"/>
        <v/>
      </c>
      <c r="DD112" s="79" t="str">
        <f t="shared" si="43"/>
        <v/>
      </c>
      <c r="DE112" s="79" t="str">
        <f t="shared" si="44"/>
        <v/>
      </c>
      <c r="DF112" s="79" t="str">
        <f t="shared" si="45"/>
        <v/>
      </c>
      <c r="DG112" s="79" t="str">
        <f t="shared" si="46"/>
        <v/>
      </c>
      <c r="DH112" s="76"/>
      <c r="DI112" s="78"/>
      <c r="DJ112" s="76"/>
      <c r="DK112" s="77"/>
      <c r="DL112" s="77"/>
      <c r="DM112" s="77"/>
      <c r="DN112" s="80"/>
      <c r="DO112" s="80"/>
      <c r="DP112" s="92" t="str">
        <f>IF(Table1[Start Date]="","",IF(Table1[Start Date]&gt;42185,"",IF(AND(Table1[Leaving Date]&gt;1,Table1[Leaving Date]&lt;42095),"",1)))</f>
        <v/>
      </c>
      <c r="DQ112" s="92" t="str">
        <f>IF(Table1[Start Date]="","",IF(Table1[Start Date]&gt;42277,"",IF(AND(Table1[Leaving Date]&gt;1,Table1[Leaving Date]&lt;42186),"",1)))</f>
        <v/>
      </c>
      <c r="DR112" s="92" t="str">
        <f>IF(Table1[Start Date]="","",IF(Table1[Start Date]&gt;42369,"",IF(AND(Table1[Leaving Date]&gt;1,Table1[Leaving Date]&lt;42278),"",1)))</f>
        <v/>
      </c>
      <c r="DS112" s="92" t="str">
        <f>IF(Table1[Start Date]="","",IF(Table1[Start Date]&gt;42460,"",IF(AND(Table1[Leaving Date]&gt;1,Table1[Leaving Date]&lt;42370),"",1)))</f>
        <v/>
      </c>
      <c r="DT112" s="92" t="str">
        <f>IF(Table1[Start Date]="","",IF(Table1[Start Date]&gt;42551,"",IF(AND(Table1[Leaving Date]&gt;1,Table1[Leaving Date]&lt;42461),"",1)))</f>
        <v/>
      </c>
      <c r="DU112" s="92" t="str">
        <f>IF(Table1[Start Date]="","",IF(Table1[Start Date]&gt;42643,"",IF(AND(Table1[Leaving Date]&gt;1,Table1[Leaving Date]&lt;42552),"",1)))</f>
        <v/>
      </c>
      <c r="DV112" s="92" t="str">
        <f>IF(Table1[Start Date]="","",IF(Table1[Start Date]&gt;42735,"",IF(AND(Table1[Leaving Date]&gt;1,Table1[Leaving Date]&lt;42644),"",1)))</f>
        <v/>
      </c>
      <c r="DW112" s="92" t="str">
        <f>IF(Table1[Start Date]="","",IF(Table1[Start Date]&gt;42825,"",IF(AND(Table1[Leaving Date]&gt;1,Table1[Leaving Date]&lt;42736),"",1)))</f>
        <v/>
      </c>
      <c r="DX112"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112" s="44" t="e">
        <f>VLOOKUP(Table1[Referral Source],Lists!$G$2:$H$20,2,FALSE)</f>
        <v>#N/A</v>
      </c>
      <c r="DZ112" s="93" t="e">
        <f>SUM(Table1[Data Referral Quarter]+Table1[Data Referral Source])</f>
        <v>#N/A</v>
      </c>
      <c r="EA112" s="44" t="b">
        <f>IF(Table1[Referral Decision]="Accepted",100,IF(Table1[Referral Decision]="Rejected by Provider",200,IF(Table1[Referral Decision]="Rejected by Applicant",300)))</f>
        <v>0</v>
      </c>
      <c r="EB112" s="44">
        <f>SUM(Table1[Data Referral Quarter]+Table1[Data Referral Decision])</f>
        <v>0</v>
      </c>
      <c r="EC112" s="44" t="b">
        <f>IF(Table1[Start Date]&gt;42735,8000,IF(Table1[Start Date]&gt;42643,7000,IF(Table1[Start Date]&gt;42551,6000,IF(Table1[Start Date]&gt;42460,5000,IF(Table1[Start Date]&gt;42369,4000,IF(Table1[Start Date]&gt;42277,3000,IF(Table1[Start Date]&gt;42185,2000,IF(Table1[Start Date]&gt;42094,1000))))))))</f>
        <v>0</v>
      </c>
      <c r="ED112" s="44" t="str">
        <f>IF(Table1[Start Date]="","",IF(Table1[Current Local Authority]="Swindon",1,"2"))</f>
        <v/>
      </c>
      <c r="EE112" s="44" t="e">
        <f>SUM(Table1[Data Start Date]+Table1[Data Local Authority])</f>
        <v>#VALUE!</v>
      </c>
      <c r="EF112" s="44">
        <f>IF(Table1[Registered with GP]="Yes",1,0)</f>
        <v>0</v>
      </c>
      <c r="EG112" s="44">
        <f>SUM(Table1[Data Start Date]+Table1[Data GP Start])</f>
        <v>0</v>
      </c>
      <c r="EH112" s="44" t="str">
        <f>IF(Table1[EET]="NEET",1,IF(Table1[EET]="Education",2,IF(Table1[EET]="Employment",2,IF(Table1[EET]="Training",2,IF(Table1[EET]="Retired",3,"")))))</f>
        <v/>
      </c>
      <c r="EI112" s="44" t="e">
        <f>Table1[Data Start Date]+Table1[Data EET Start]</f>
        <v>#VALUE!</v>
      </c>
      <c r="EJ112" s="44" t="b">
        <f>IF(Table1[Leaving Date]&gt;42735,8000,IF(Table1[Leaving Date]&gt;42643,7000,IF(Table1[Leaving Date]&gt;42551,6000,IF(Table1[Leaving Date]&gt;42460,5000,IF(Table1[Leaving Date]&gt;42369,4000,IF(Table1[Leaving Date]&gt;42277,3000,IF(Table1[Leaving Date]&gt;42185,2000,IF(Table1[Leaving Date]&gt;42094,1000))))))))</f>
        <v>0</v>
      </c>
      <c r="EK112" s="44" t="e">
        <f>VLOOKUP(Table1[Reason for Leaving],Lists!$T$2:$U$15,2,FALSE)</f>
        <v>#N/A</v>
      </c>
      <c r="EL112" s="44" t="e">
        <f>SUM(Table1[Data Leavers Date]+Table1[Data Move On])</f>
        <v>#N/A</v>
      </c>
      <c r="EM112" s="44" t="b">
        <f>IF(Table1[Registered with GP2]="Yes",1,IF(Table1[Registered with GP2]="No",0,IF(Table1[Registered with GP]="Yes",1,IF(Table1[Registered with GP]="No",0))))</f>
        <v>0</v>
      </c>
      <c r="EN112" s="44">
        <f>SUM(Table1[Data Leavers Date]+Table1[Data GP End])</f>
        <v>0</v>
      </c>
      <c r="EO112" s="44" t="str">
        <f>IF(Table1[EET2]="NEET",1,IF(Table1[EET2]="Employment",2,IF(Table1[EET2]="Education",2,IF(Table1[EET2]="Training",2,IF(Table1[EET2]="Retired",3,IF(Table1[EET]="NEET",1,IF(Table1[EET]="Employment",2,IF(Table1[EET]="Education",2,IF(Table1[EET]="Training",2,IF(Table1[EET]="Retired",3,""))))))))))</f>
        <v/>
      </c>
      <c r="EP112" s="44" t="e">
        <f>+Table1[[#This Row],[Data Leavers Date]]+Table1[[#This Row],[Data EET End]]</f>
        <v>#VALUE!</v>
      </c>
      <c r="EQ112" s="44">
        <f>IF(Table1[Exit Form Received]="Yes",1,0)</f>
        <v>0</v>
      </c>
      <c r="ER112" s="44">
        <f>+Table1[[#This Row],[Data Leavers Date]]+Table1[[#This Row],[Data Exit Forms]]</f>
        <v>0</v>
      </c>
      <c r="ES112" s="44" t="str">
        <f>IF(Table1[Data Leavers Date]=1000,SUM(Table1[Leaving Date]-Table1[Start Date]),"")</f>
        <v/>
      </c>
      <c r="ET112" s="44" t="str">
        <f>IF(Table1[Data Leavers Date]=2000,SUM(Table1[Leaving Date]-Table1[Start Date]),"")</f>
        <v/>
      </c>
      <c r="EU112" s="44" t="str">
        <f>IF(Table1[Data Leavers Date]=3000,SUM(Table1[Leaving Date]-Table1[Start Date]),"")</f>
        <v/>
      </c>
      <c r="EV112" s="44" t="str">
        <f>IF(Table1[Data Leavers Date]=4000,SUM(Table1[Leaving Date]-Table1[Start Date]),"")</f>
        <v/>
      </c>
      <c r="EW112" s="44" t="str">
        <f>IF(Table1[Data Leavers Date]=5000,SUM(Table1[Leaving Date]-Table1[Start Date]),"")</f>
        <v/>
      </c>
      <c r="EX112" s="44" t="str">
        <f>IF(Table1[Data Leavers Date]=6000,SUM(Table1[Leaving Date]-Table1[Start Date]),"")</f>
        <v/>
      </c>
      <c r="EY112" s="44" t="str">
        <f>IF(Table1[Data Leavers Date]=7000,SUM(Table1[Leaving Date]-Table1[Start Date]),"")</f>
        <v/>
      </c>
      <c r="EZ112" s="44" t="str">
        <f>IF(Table1[Data Leavers Date]=8000,SUM(Table1[Leaving Date]-Table1[Start Date]),"")</f>
        <v/>
      </c>
      <c r="FA112" s="44" t="str">
        <f>IF(Table1[Date of Initial Assessment]="","",IF(AND(Table1[Start Date]&gt;42094,Table1[Start Date]&lt;42461),Table1[Motivation and Taking Responsibility],""))</f>
        <v/>
      </c>
      <c r="FB112" s="44" t="str">
        <f>IF(Table1[Date of Initial Assessment]="","",IF(AND(Table1[Start Date]&gt;42094,Table1[Start Date]&lt;42461),Table1[Self-Care and Living Skills],""))</f>
        <v/>
      </c>
      <c r="FC112" s="44" t="str">
        <f>IF(Table1[Date of Initial Assessment]="","",IF(AND(Table1[Start Date]&gt;42094,Table1[Start Date]&lt;42461),Table1[Managing Money and Personal Administration],""))</f>
        <v/>
      </c>
      <c r="FD112" s="44" t="str">
        <f>IF(Table1[Date of Initial Assessment]="","",IF(AND(Table1[Start Date]&gt;42094,Table1[Start Date]&lt;42461),Table1[Social Networks and Relationships],""))</f>
        <v/>
      </c>
      <c r="FE112" s="44" t="str">
        <f>IF(Table1[Date of Initial Assessment]="","",IF(AND(Table1[Start Date]&gt;42094,Table1[Start Date]&lt;42461),Table1[Drug and Alcohol Misuse],""))</f>
        <v/>
      </c>
      <c r="FF112" s="44" t="str">
        <f>IF(Table1[Date of Initial Assessment]="","",IF(AND(Table1[Start Date]&gt;42094,Table1[Start Date]&lt;42461),Table1[Physical Health],""))</f>
        <v/>
      </c>
      <c r="FG112" s="44" t="str">
        <f>IF(Table1[Date of Initial Assessment]="","",IF(AND(Table1[Start Date]&gt;42094,Table1[Start Date]&lt;42461),Table1[Emotional and Mental Health],""))</f>
        <v/>
      </c>
      <c r="FH112" s="44" t="str">
        <f>IF(Table1[Date of Initial Assessment]="","",IF(AND(Table1[Start Date]&gt;42094,Table1[Start Date]&lt;42461),Table1[Meaningful Use of Time],""))</f>
        <v/>
      </c>
      <c r="FI112" s="44" t="str">
        <f>IF(Table1[Date of Initial Assessment]="","",IF(AND(Table1[Start Date]&gt;42094,Table1[Start Date]&lt;42461),Table1[Managing Tenancy and Accommodation],""))</f>
        <v/>
      </c>
      <c r="FJ112" s="44" t="str">
        <f>IF(Table1[Date of Initial Assessment]="","",IF(AND(Table1[Start Date]&gt;42094,Table1[Start Date]&lt;42461),Table1[Offending],""))</f>
        <v/>
      </c>
      <c r="FK112" s="44" t="str">
        <f>IF(Table1[Leaving Date]="","",IF(Table1[Date of Initial Assessment]="","",IF(AND(Table1[Leaving Date]&gt;42094,Table1[Leaving Date]&lt;42461),IF(Table1[Date of Last Assessment]="",Table1[Motivation and Taking Responsibility],Table1[Motivation and Taking Responsibility2]),"")))</f>
        <v/>
      </c>
      <c r="FL112" s="44" t="str">
        <f>IF(Table1[Leaving Date]="","",IF(Table1[Date of Initial Assessment]="","",IF(AND(Table1[Leaving Date]&gt;42094,Table1[Leaving Date]&lt;42461),IF(Table1[Date of Last Assessment]="",Table1[Self-Care and Living Skills],Table1[Self-Care and Living Skills2]),"")))</f>
        <v/>
      </c>
      <c r="FM112" s="44" t="str">
        <f>IF(Table1[Leaving Date]="","",IF(Table1[Date of Initial Assessment]="","",IF(AND(Table1[Leaving Date]&gt;42094,Table1[Leaving Date]&lt;42461),IF(Table1[Date of Last Assessment]="",Table1[Managing Money and Personal Administration],Table1[Managing Money and Personal Administration2]),"")))</f>
        <v/>
      </c>
      <c r="FN112" s="44" t="str">
        <f>IF(Table1[Leaving Date]="","",IF(Table1[Date of Initial Assessment]="","",IF(AND(Table1[Leaving Date]&gt;42094,Table1[Leaving Date]&lt;42461),IF(Table1[Date of Last Assessment]="",Table1[Social Networks and Relationships],Table1[Social Networks and Relationships2]),"")))</f>
        <v/>
      </c>
      <c r="FO112" s="44" t="str">
        <f>IF(Table1[Leaving Date]="","",IF(Table1[Date of Initial Assessment]="","",IF(AND(Table1[Leaving Date]&gt;42094,Table1[Leaving Date]&lt;42461),IF(Table1[Date of Last Assessment]="",Table1[Drug and Alcohol Misuse],Table1[Drug and Alcohol Misuse2]),"")))</f>
        <v/>
      </c>
      <c r="FP112" s="44" t="str">
        <f>IF(Table1[Leaving Date]="","",IF(Table1[Date of Initial Assessment]="","",IF(AND(Table1[Leaving Date]&gt;42094,Table1[Leaving Date]&lt;42461),IF(Table1[Date of Last Assessment]="",Table1[Physical Health],Table1[Physical Health2]),"")))</f>
        <v/>
      </c>
      <c r="FQ112" s="44" t="str">
        <f>IF(Table1[Leaving Date]="","",IF(Table1[Date of Initial Assessment]="","",IF(AND(Table1[Leaving Date]&gt;42094,Table1[Leaving Date]&lt;42461),IF(Table1[Date of Last Assessment]="",Table1[Emotional and Mental Health],Table1[Emotional and Mental Health2]),"")))</f>
        <v/>
      </c>
      <c r="FR112" s="44" t="str">
        <f>IF(Table1[Leaving Date]="","",IF(Table1[Date of Initial Assessment]="","",IF(AND(Table1[Leaving Date]&gt;42094,Table1[Leaving Date]&lt;42461),IF(Table1[Date of Last Assessment]="",Table1[Meaningful Use of Time],Table1[Meaningful Use of Time2]),"")))</f>
        <v/>
      </c>
      <c r="FS112" s="44" t="str">
        <f>IF(Table1[Leaving Date]="","",IF(Table1[Date of Initial Assessment]="","",IF(AND(Table1[Leaving Date]&gt;42094,Table1[Leaving Date]&lt;42461),IF(Table1[Date of Last Assessment]="",Table1[Managing Tenancy and Accommodation],Table1[Managing Tenancy and Accommodation2]),"")))</f>
        <v/>
      </c>
      <c r="FT112" s="44" t="str">
        <f>IF(Table1[Leaving Date]="","",IF(Table1[Date of Initial Assessment]="","",IF(AND(Table1[Leaving Date]&gt;42094,Table1[Leaving Date]&lt;42461),IF(Table1[Date of Last Assessment]="",Table1[Offending],Table1[Offending2]),"")))</f>
        <v/>
      </c>
      <c r="FU112" s="44" t="str">
        <f>IF(Table1[Date of Initial Assessment]="","",IF(AND(Table1[Start Date]&gt;42460,Table1[Start Date]&lt;42826),Table1[Motivation and Taking Responsibility],""))</f>
        <v/>
      </c>
      <c r="FV112" s="44" t="str">
        <f>IF(Table1[Date of Initial Assessment]="","",IF(AND(Table1[Start Date]&gt;42460,Table1[Start Date]&lt;42826),Table1[Self-Care and Living Skills],""))</f>
        <v/>
      </c>
      <c r="FW112" s="44" t="str">
        <f>IF(Table1[Date of Initial Assessment]="","",IF(AND(Table1[Start Date]&gt;42460,Table1[Start Date]&lt;42826),Table1[Managing Money and Personal Administration],""))</f>
        <v/>
      </c>
      <c r="FX112" s="44" t="str">
        <f>IF(Table1[Date of Initial Assessment]="","",IF(AND(Table1[Start Date]&gt;42460,Table1[Start Date]&lt;42826),Table1[Social Networks and Relationships],""))</f>
        <v/>
      </c>
      <c r="FY112" s="44" t="str">
        <f>IF(Table1[Date of Initial Assessment]="","",IF(AND(Table1[Start Date]&gt;42460,Table1[Start Date]&lt;42826),Table1[Drug and Alcohol Misuse],""))</f>
        <v/>
      </c>
      <c r="FZ112" s="44" t="str">
        <f>IF(Table1[Date of Initial Assessment]="","",IF(AND(Table1[Start Date]&gt;42460,Table1[Start Date]&lt;42826),Table1[Physical Health],""))</f>
        <v/>
      </c>
      <c r="GA112" s="44" t="str">
        <f>IF(Table1[Date of Initial Assessment]="","",IF(AND(Table1[Start Date]&gt;42460,Table1[Start Date]&lt;42826),Table1[Emotional and Mental Health],""))</f>
        <v/>
      </c>
      <c r="GB112" s="44" t="str">
        <f>IF(Table1[Date of Initial Assessment]="","",IF(AND(Table1[Start Date]&gt;42460,Table1[Start Date]&lt;42826),Table1[Meaningful Use of Time],""))</f>
        <v/>
      </c>
      <c r="GC112" s="44" t="str">
        <f>IF(Table1[Date of Initial Assessment]="","",IF(AND(Table1[Start Date]&gt;42460,Table1[Start Date]&lt;42826),Table1[Managing Tenancy and Accommodation],""))</f>
        <v/>
      </c>
      <c r="GD112" s="44" t="str">
        <f>IF(Table1[Date of Initial Assessment]="","",IF(AND(Table1[Start Date]&gt;42460,Table1[Start Date]&lt;42826),Table1[Offending],""))</f>
        <v/>
      </c>
      <c r="GE112" s="44" t="str">
        <f>IF(Table1[Leaving Date]="","",IF(AND(Table1[Leaving Date]&gt;42460,Table1[Leaving Date]&lt;42826),IF(Table1[Date of Last Assessment]="",Table1[Motivation and Taking Responsibility],Table1[Motivation and Taking Responsibility2]),""))</f>
        <v/>
      </c>
      <c r="GF112" s="44" t="str">
        <f>IF(Table1[Leaving Date]="","",IF(AND(Table1[Leaving Date]&gt;42460,Table1[Leaving Date]&lt;42826),IF(Table1[Date of Last Assessment]="",Table1[Self-Care and Living Skills],Table1[Self-Care and Living Skills2]),""))</f>
        <v/>
      </c>
      <c r="GG112" s="44" t="str">
        <f>IF(Table1[Leaving Date]="","",IF(AND(Table1[Leaving Date]&gt;42460,Table1[Leaving Date]&lt;42826),IF(Table1[Date of Last Assessment]="",Table1[Managing Money and Personal Administration],Table1[Managing Money and Personal Administration2]),""))</f>
        <v/>
      </c>
      <c r="GH112" s="44" t="str">
        <f>IF(Table1[Leaving Date]="","",IF(AND(Table1[Leaving Date]&gt;42460,Table1[Leaving Date]&lt;42826),IF(Table1[Date of Last Assessment]="",Table1[Social Networks and Relationships],Table1[Social Networks and Relationships2]),""))</f>
        <v/>
      </c>
      <c r="GI112" s="44" t="str">
        <f>IF(Table1[Leaving Date]="","",IF(AND(Table1[Leaving Date]&gt;42460,Table1[Leaving Date]&lt;42826),IF(Table1[Date of Last Assessment]="",Table1[Drug and Alcohol Misuse],Table1[Drug and Alcohol Misuse2]),""))</f>
        <v/>
      </c>
      <c r="GJ112" s="44" t="str">
        <f>IF(Table1[Leaving Date]="","",IF(AND(Table1[Leaving Date]&gt;42460,Table1[Leaving Date]&lt;42826),IF(Table1[Date of Last Assessment]="",Table1[Physical Health],Table1[Physical Health2]),""))</f>
        <v/>
      </c>
      <c r="GK112" s="44" t="str">
        <f>IF(Table1[Leaving Date]="","",IF(AND(Table1[Leaving Date]&gt;42460,Table1[Leaving Date]&lt;42826),IF(Table1[Date of Last Assessment]="",Table1[Emotional and Mental Health],Table1[Emotional and Mental Health2]),""))</f>
        <v/>
      </c>
      <c r="GL112" s="44" t="str">
        <f>IF(Table1[Leaving Date]="","",IF(AND(Table1[Leaving Date]&gt;42460,Table1[Leaving Date]&lt;42826),IF(Table1[Date of Last Assessment]="",Table1[Meaningful Use of Time],Table1[Meaningful Use of Time2]),""))</f>
        <v/>
      </c>
      <c r="GM112" s="44" t="str">
        <f>IF(Table1[Leaving Date]="","",IF(AND(Table1[Leaving Date]&gt;42460,Table1[Leaving Date]&lt;42826),IF(Table1[Date of Last Assessment]="",Table1[Managing Tenancy and Accommodation],Table1[Managing Tenancy and Accommodation2]),""))</f>
        <v/>
      </c>
      <c r="GN112" s="44" t="str">
        <f>IF(Table1[Leaving Date]="","",IF(AND(Table1[Leaving Date]&gt;42460,Table1[Leaving Date]&lt;42826),IF(Table1[Date of Last Assessment]="",Table1[Offending],Table1[Offending2]),""))</f>
        <v/>
      </c>
    </row>
    <row r="113" spans="2:196" ht="20.100000000000001" customHeight="1" x14ac:dyDescent="0.2">
      <c r="B113" s="86">
        <f>+'Service Data'!$C$5:$C$5</f>
        <v>0</v>
      </c>
      <c r="C113" s="86"/>
      <c r="D113" s="86"/>
      <c r="E113" s="86"/>
      <c r="F113" s="86"/>
      <c r="G113" s="86"/>
      <c r="H113" s="6"/>
      <c r="I113" s="99" t="str">
        <f ca="1">IF(Table1[[#This Row],[Date of Birth]]="","",SUM(TODAY()-Table1[[#This Row],[Date of Birth]])/365)</f>
        <v/>
      </c>
      <c r="L113" s="86"/>
      <c r="M113" s="77"/>
      <c r="N113" s="86"/>
      <c r="O113" s="86"/>
      <c r="P113" s="91"/>
      <c r="Q113" s="86"/>
      <c r="R113" s="77"/>
      <c r="S113" s="77"/>
      <c r="T113" s="68"/>
      <c r="U113" s="68"/>
      <c r="V113" s="67"/>
      <c r="W113" s="67"/>
      <c r="X113" s="67"/>
      <c r="Y113" s="67"/>
      <c r="Z113" s="67"/>
      <c r="AA113" s="67"/>
      <c r="AB113" s="67"/>
      <c r="AC113" s="67"/>
      <c r="AD113" s="67"/>
      <c r="AE113" s="67"/>
      <c r="AF113" s="67"/>
      <c r="AG113" s="67"/>
      <c r="AH113" s="67"/>
      <c r="AI113" s="67"/>
      <c r="AJ113" s="67"/>
      <c r="AK113" s="67"/>
      <c r="AL113" s="67"/>
      <c r="AM113" s="67"/>
      <c r="AN113" s="77"/>
      <c r="AO113" s="76"/>
      <c r="AP113" s="77"/>
      <c r="AQ113" s="76"/>
      <c r="AR113" s="76"/>
      <c r="AS113" s="76"/>
      <c r="AT113" s="76"/>
      <c r="AU113" s="76"/>
      <c r="AV113" s="77"/>
      <c r="AW113" s="76"/>
      <c r="AX113" s="77"/>
      <c r="AY113" s="76"/>
      <c r="AZ113" s="76"/>
      <c r="BA113" s="76"/>
      <c r="BB113" s="76"/>
      <c r="BC113" s="76"/>
      <c r="BD113" s="77"/>
      <c r="BE113" s="76"/>
      <c r="BF113" s="77"/>
      <c r="BG113" s="76"/>
      <c r="BH113" s="76"/>
      <c r="BI113" s="76"/>
      <c r="BJ113" s="76"/>
      <c r="BK113" s="76"/>
      <c r="BL113" s="77"/>
      <c r="BM113" s="76"/>
      <c r="BN113" s="77"/>
      <c r="BO113" s="76"/>
      <c r="BP113" s="76"/>
      <c r="BQ113" s="76"/>
      <c r="BR113" s="76"/>
      <c r="BS113" s="76"/>
      <c r="BT113" s="77"/>
      <c r="BU113" s="76"/>
      <c r="BV113" s="77"/>
      <c r="BW113" s="76"/>
      <c r="BX113" s="76"/>
      <c r="BY113" s="76"/>
      <c r="BZ113" s="76"/>
      <c r="CA113" s="76"/>
      <c r="CB113" s="77"/>
      <c r="CC113" s="76"/>
      <c r="CD113" s="77"/>
      <c r="CE113" s="76"/>
      <c r="CF113" s="76"/>
      <c r="CG113" s="76"/>
      <c r="CH113" s="76"/>
      <c r="CI113" s="76"/>
      <c r="CJ113" s="77"/>
      <c r="CK113" s="76"/>
      <c r="CL113" s="77"/>
      <c r="CM113" s="76"/>
      <c r="CN113" s="76"/>
      <c r="CO113" s="76"/>
      <c r="CP113" s="76"/>
      <c r="CQ113" s="76"/>
      <c r="CR113" s="78" t="str">
        <f t="shared" si="31"/>
        <v/>
      </c>
      <c r="CS113" s="79" t="str">
        <f t="shared" si="32"/>
        <v/>
      </c>
      <c r="CT113" s="79" t="str">
        <f t="shared" si="33"/>
        <v/>
      </c>
      <c r="CU113" s="79" t="str">
        <f t="shared" si="34"/>
        <v/>
      </c>
      <c r="CV113" s="79" t="str">
        <f t="shared" si="35"/>
        <v/>
      </c>
      <c r="CW113" s="79" t="str">
        <f t="shared" si="36"/>
        <v/>
      </c>
      <c r="CX113" s="79" t="str">
        <f t="shared" si="37"/>
        <v/>
      </c>
      <c r="CY113" s="79" t="str">
        <f t="shared" si="38"/>
        <v/>
      </c>
      <c r="CZ113" s="79" t="str">
        <f t="shared" si="39"/>
        <v/>
      </c>
      <c r="DA113" s="79" t="str">
        <f t="shared" si="40"/>
        <v/>
      </c>
      <c r="DB113" s="79" t="str">
        <f t="shared" si="41"/>
        <v/>
      </c>
      <c r="DC113" s="79" t="str">
        <f t="shared" si="42"/>
        <v/>
      </c>
      <c r="DD113" s="79" t="str">
        <f t="shared" si="43"/>
        <v/>
      </c>
      <c r="DE113" s="79" t="str">
        <f t="shared" si="44"/>
        <v/>
      </c>
      <c r="DF113" s="79" t="str">
        <f t="shared" si="45"/>
        <v/>
      </c>
      <c r="DG113" s="79" t="str">
        <f t="shared" si="46"/>
        <v/>
      </c>
      <c r="DH113" s="76"/>
      <c r="DI113" s="78"/>
      <c r="DJ113" s="76"/>
      <c r="DK113" s="77"/>
      <c r="DL113" s="77"/>
      <c r="DM113" s="77"/>
      <c r="DN113" s="80"/>
      <c r="DO113" s="80"/>
      <c r="DP113" s="92" t="str">
        <f>IF(Table1[Start Date]="","",IF(Table1[Start Date]&gt;42185,"",IF(AND(Table1[Leaving Date]&gt;1,Table1[Leaving Date]&lt;42095),"",1)))</f>
        <v/>
      </c>
      <c r="DQ113" s="92" t="str">
        <f>IF(Table1[Start Date]="","",IF(Table1[Start Date]&gt;42277,"",IF(AND(Table1[Leaving Date]&gt;1,Table1[Leaving Date]&lt;42186),"",1)))</f>
        <v/>
      </c>
      <c r="DR113" s="92" t="str">
        <f>IF(Table1[Start Date]="","",IF(Table1[Start Date]&gt;42369,"",IF(AND(Table1[Leaving Date]&gt;1,Table1[Leaving Date]&lt;42278),"",1)))</f>
        <v/>
      </c>
      <c r="DS113" s="92" t="str">
        <f>IF(Table1[Start Date]="","",IF(Table1[Start Date]&gt;42460,"",IF(AND(Table1[Leaving Date]&gt;1,Table1[Leaving Date]&lt;42370),"",1)))</f>
        <v/>
      </c>
      <c r="DT113" s="92" t="str">
        <f>IF(Table1[Start Date]="","",IF(Table1[Start Date]&gt;42551,"",IF(AND(Table1[Leaving Date]&gt;1,Table1[Leaving Date]&lt;42461),"",1)))</f>
        <v/>
      </c>
      <c r="DU113" s="92" t="str">
        <f>IF(Table1[Start Date]="","",IF(Table1[Start Date]&gt;42643,"",IF(AND(Table1[Leaving Date]&gt;1,Table1[Leaving Date]&lt;42552),"",1)))</f>
        <v/>
      </c>
      <c r="DV113" s="92" t="str">
        <f>IF(Table1[Start Date]="","",IF(Table1[Start Date]&gt;42735,"",IF(AND(Table1[Leaving Date]&gt;1,Table1[Leaving Date]&lt;42644),"",1)))</f>
        <v/>
      </c>
      <c r="DW113" s="92" t="str">
        <f>IF(Table1[Start Date]="","",IF(Table1[Start Date]&gt;42825,"",IF(AND(Table1[Leaving Date]&gt;1,Table1[Leaving Date]&lt;42736),"",1)))</f>
        <v/>
      </c>
      <c r="DX113"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113" s="44" t="e">
        <f>VLOOKUP(Table1[Referral Source],Lists!$G$2:$H$20,2,FALSE)</f>
        <v>#N/A</v>
      </c>
      <c r="DZ113" s="93" t="e">
        <f>SUM(Table1[Data Referral Quarter]+Table1[Data Referral Source])</f>
        <v>#N/A</v>
      </c>
      <c r="EA113" s="44" t="b">
        <f>IF(Table1[Referral Decision]="Accepted",100,IF(Table1[Referral Decision]="Rejected by Provider",200,IF(Table1[Referral Decision]="Rejected by Applicant",300)))</f>
        <v>0</v>
      </c>
      <c r="EB113" s="44">
        <f>SUM(Table1[Data Referral Quarter]+Table1[Data Referral Decision])</f>
        <v>0</v>
      </c>
      <c r="EC113" s="44" t="b">
        <f>IF(Table1[Start Date]&gt;42735,8000,IF(Table1[Start Date]&gt;42643,7000,IF(Table1[Start Date]&gt;42551,6000,IF(Table1[Start Date]&gt;42460,5000,IF(Table1[Start Date]&gt;42369,4000,IF(Table1[Start Date]&gt;42277,3000,IF(Table1[Start Date]&gt;42185,2000,IF(Table1[Start Date]&gt;42094,1000))))))))</f>
        <v>0</v>
      </c>
      <c r="ED113" s="44" t="str">
        <f>IF(Table1[Start Date]="","",IF(Table1[Current Local Authority]="Swindon",1,"2"))</f>
        <v/>
      </c>
      <c r="EE113" s="44" t="e">
        <f>SUM(Table1[Data Start Date]+Table1[Data Local Authority])</f>
        <v>#VALUE!</v>
      </c>
      <c r="EF113" s="44">
        <f>IF(Table1[Registered with GP]="Yes",1,0)</f>
        <v>0</v>
      </c>
      <c r="EG113" s="44">
        <f>SUM(Table1[Data Start Date]+Table1[Data GP Start])</f>
        <v>0</v>
      </c>
      <c r="EH113" s="44" t="str">
        <f>IF(Table1[EET]="NEET",1,IF(Table1[EET]="Education",2,IF(Table1[EET]="Employment",2,IF(Table1[EET]="Training",2,IF(Table1[EET]="Retired",3,"")))))</f>
        <v/>
      </c>
      <c r="EI113" s="44" t="e">
        <f>Table1[Data Start Date]+Table1[Data EET Start]</f>
        <v>#VALUE!</v>
      </c>
      <c r="EJ113" s="44" t="b">
        <f>IF(Table1[Leaving Date]&gt;42735,8000,IF(Table1[Leaving Date]&gt;42643,7000,IF(Table1[Leaving Date]&gt;42551,6000,IF(Table1[Leaving Date]&gt;42460,5000,IF(Table1[Leaving Date]&gt;42369,4000,IF(Table1[Leaving Date]&gt;42277,3000,IF(Table1[Leaving Date]&gt;42185,2000,IF(Table1[Leaving Date]&gt;42094,1000))))))))</f>
        <v>0</v>
      </c>
      <c r="EK113" s="44" t="e">
        <f>VLOOKUP(Table1[Reason for Leaving],Lists!$T$2:$U$15,2,FALSE)</f>
        <v>#N/A</v>
      </c>
      <c r="EL113" s="44" t="e">
        <f>SUM(Table1[Data Leavers Date]+Table1[Data Move On])</f>
        <v>#N/A</v>
      </c>
      <c r="EM113" s="44" t="b">
        <f>IF(Table1[Registered with GP2]="Yes",1,IF(Table1[Registered with GP2]="No",0,IF(Table1[Registered with GP]="Yes",1,IF(Table1[Registered with GP]="No",0))))</f>
        <v>0</v>
      </c>
      <c r="EN113" s="44">
        <f>SUM(Table1[Data Leavers Date]+Table1[Data GP End])</f>
        <v>0</v>
      </c>
      <c r="EO113" s="44" t="str">
        <f>IF(Table1[EET2]="NEET",1,IF(Table1[EET2]="Employment",2,IF(Table1[EET2]="Education",2,IF(Table1[EET2]="Training",2,IF(Table1[EET2]="Retired",3,IF(Table1[EET]="NEET",1,IF(Table1[EET]="Employment",2,IF(Table1[EET]="Education",2,IF(Table1[EET]="Training",2,IF(Table1[EET]="Retired",3,""))))))))))</f>
        <v/>
      </c>
      <c r="EP113" s="44" t="e">
        <f>+Table1[[#This Row],[Data Leavers Date]]+Table1[[#This Row],[Data EET End]]</f>
        <v>#VALUE!</v>
      </c>
      <c r="EQ113" s="44">
        <f>IF(Table1[Exit Form Received]="Yes",1,0)</f>
        <v>0</v>
      </c>
      <c r="ER113" s="44">
        <f>+Table1[[#This Row],[Data Leavers Date]]+Table1[[#This Row],[Data Exit Forms]]</f>
        <v>0</v>
      </c>
      <c r="ES113" s="44" t="str">
        <f>IF(Table1[Data Leavers Date]=1000,SUM(Table1[Leaving Date]-Table1[Start Date]),"")</f>
        <v/>
      </c>
      <c r="ET113" s="44" t="str">
        <f>IF(Table1[Data Leavers Date]=2000,SUM(Table1[Leaving Date]-Table1[Start Date]),"")</f>
        <v/>
      </c>
      <c r="EU113" s="44" t="str">
        <f>IF(Table1[Data Leavers Date]=3000,SUM(Table1[Leaving Date]-Table1[Start Date]),"")</f>
        <v/>
      </c>
      <c r="EV113" s="44" t="str">
        <f>IF(Table1[Data Leavers Date]=4000,SUM(Table1[Leaving Date]-Table1[Start Date]),"")</f>
        <v/>
      </c>
      <c r="EW113" s="44" t="str">
        <f>IF(Table1[Data Leavers Date]=5000,SUM(Table1[Leaving Date]-Table1[Start Date]),"")</f>
        <v/>
      </c>
      <c r="EX113" s="44" t="str">
        <f>IF(Table1[Data Leavers Date]=6000,SUM(Table1[Leaving Date]-Table1[Start Date]),"")</f>
        <v/>
      </c>
      <c r="EY113" s="44" t="str">
        <f>IF(Table1[Data Leavers Date]=7000,SUM(Table1[Leaving Date]-Table1[Start Date]),"")</f>
        <v/>
      </c>
      <c r="EZ113" s="44" t="str">
        <f>IF(Table1[Data Leavers Date]=8000,SUM(Table1[Leaving Date]-Table1[Start Date]),"")</f>
        <v/>
      </c>
      <c r="FA113" s="44" t="str">
        <f>IF(Table1[Date of Initial Assessment]="","",IF(AND(Table1[Start Date]&gt;42094,Table1[Start Date]&lt;42461),Table1[Motivation and Taking Responsibility],""))</f>
        <v/>
      </c>
      <c r="FB113" s="44" t="str">
        <f>IF(Table1[Date of Initial Assessment]="","",IF(AND(Table1[Start Date]&gt;42094,Table1[Start Date]&lt;42461),Table1[Self-Care and Living Skills],""))</f>
        <v/>
      </c>
      <c r="FC113" s="44" t="str">
        <f>IF(Table1[Date of Initial Assessment]="","",IF(AND(Table1[Start Date]&gt;42094,Table1[Start Date]&lt;42461),Table1[Managing Money and Personal Administration],""))</f>
        <v/>
      </c>
      <c r="FD113" s="44" t="str">
        <f>IF(Table1[Date of Initial Assessment]="","",IF(AND(Table1[Start Date]&gt;42094,Table1[Start Date]&lt;42461),Table1[Social Networks and Relationships],""))</f>
        <v/>
      </c>
      <c r="FE113" s="44" t="str">
        <f>IF(Table1[Date of Initial Assessment]="","",IF(AND(Table1[Start Date]&gt;42094,Table1[Start Date]&lt;42461),Table1[Drug and Alcohol Misuse],""))</f>
        <v/>
      </c>
      <c r="FF113" s="44" t="str">
        <f>IF(Table1[Date of Initial Assessment]="","",IF(AND(Table1[Start Date]&gt;42094,Table1[Start Date]&lt;42461),Table1[Physical Health],""))</f>
        <v/>
      </c>
      <c r="FG113" s="44" t="str">
        <f>IF(Table1[Date of Initial Assessment]="","",IF(AND(Table1[Start Date]&gt;42094,Table1[Start Date]&lt;42461),Table1[Emotional and Mental Health],""))</f>
        <v/>
      </c>
      <c r="FH113" s="44" t="str">
        <f>IF(Table1[Date of Initial Assessment]="","",IF(AND(Table1[Start Date]&gt;42094,Table1[Start Date]&lt;42461),Table1[Meaningful Use of Time],""))</f>
        <v/>
      </c>
      <c r="FI113" s="44" t="str">
        <f>IF(Table1[Date of Initial Assessment]="","",IF(AND(Table1[Start Date]&gt;42094,Table1[Start Date]&lt;42461),Table1[Managing Tenancy and Accommodation],""))</f>
        <v/>
      </c>
      <c r="FJ113" s="44" t="str">
        <f>IF(Table1[Date of Initial Assessment]="","",IF(AND(Table1[Start Date]&gt;42094,Table1[Start Date]&lt;42461),Table1[Offending],""))</f>
        <v/>
      </c>
      <c r="FK113" s="44" t="str">
        <f>IF(Table1[Leaving Date]="","",IF(Table1[Date of Initial Assessment]="","",IF(AND(Table1[Leaving Date]&gt;42094,Table1[Leaving Date]&lt;42461),IF(Table1[Date of Last Assessment]="",Table1[Motivation and Taking Responsibility],Table1[Motivation and Taking Responsibility2]),"")))</f>
        <v/>
      </c>
      <c r="FL113" s="44" t="str">
        <f>IF(Table1[Leaving Date]="","",IF(Table1[Date of Initial Assessment]="","",IF(AND(Table1[Leaving Date]&gt;42094,Table1[Leaving Date]&lt;42461),IF(Table1[Date of Last Assessment]="",Table1[Self-Care and Living Skills],Table1[Self-Care and Living Skills2]),"")))</f>
        <v/>
      </c>
      <c r="FM113" s="44" t="str">
        <f>IF(Table1[Leaving Date]="","",IF(Table1[Date of Initial Assessment]="","",IF(AND(Table1[Leaving Date]&gt;42094,Table1[Leaving Date]&lt;42461),IF(Table1[Date of Last Assessment]="",Table1[Managing Money and Personal Administration],Table1[Managing Money and Personal Administration2]),"")))</f>
        <v/>
      </c>
      <c r="FN113" s="44" t="str">
        <f>IF(Table1[Leaving Date]="","",IF(Table1[Date of Initial Assessment]="","",IF(AND(Table1[Leaving Date]&gt;42094,Table1[Leaving Date]&lt;42461),IF(Table1[Date of Last Assessment]="",Table1[Social Networks and Relationships],Table1[Social Networks and Relationships2]),"")))</f>
        <v/>
      </c>
      <c r="FO113" s="44" t="str">
        <f>IF(Table1[Leaving Date]="","",IF(Table1[Date of Initial Assessment]="","",IF(AND(Table1[Leaving Date]&gt;42094,Table1[Leaving Date]&lt;42461),IF(Table1[Date of Last Assessment]="",Table1[Drug and Alcohol Misuse],Table1[Drug and Alcohol Misuse2]),"")))</f>
        <v/>
      </c>
      <c r="FP113" s="44" t="str">
        <f>IF(Table1[Leaving Date]="","",IF(Table1[Date of Initial Assessment]="","",IF(AND(Table1[Leaving Date]&gt;42094,Table1[Leaving Date]&lt;42461),IF(Table1[Date of Last Assessment]="",Table1[Physical Health],Table1[Physical Health2]),"")))</f>
        <v/>
      </c>
      <c r="FQ113" s="44" t="str">
        <f>IF(Table1[Leaving Date]="","",IF(Table1[Date of Initial Assessment]="","",IF(AND(Table1[Leaving Date]&gt;42094,Table1[Leaving Date]&lt;42461),IF(Table1[Date of Last Assessment]="",Table1[Emotional and Mental Health],Table1[Emotional and Mental Health2]),"")))</f>
        <v/>
      </c>
      <c r="FR113" s="44" t="str">
        <f>IF(Table1[Leaving Date]="","",IF(Table1[Date of Initial Assessment]="","",IF(AND(Table1[Leaving Date]&gt;42094,Table1[Leaving Date]&lt;42461),IF(Table1[Date of Last Assessment]="",Table1[Meaningful Use of Time],Table1[Meaningful Use of Time2]),"")))</f>
        <v/>
      </c>
      <c r="FS113" s="44" t="str">
        <f>IF(Table1[Leaving Date]="","",IF(Table1[Date of Initial Assessment]="","",IF(AND(Table1[Leaving Date]&gt;42094,Table1[Leaving Date]&lt;42461),IF(Table1[Date of Last Assessment]="",Table1[Managing Tenancy and Accommodation],Table1[Managing Tenancy and Accommodation2]),"")))</f>
        <v/>
      </c>
      <c r="FT113" s="44" t="str">
        <f>IF(Table1[Leaving Date]="","",IF(Table1[Date of Initial Assessment]="","",IF(AND(Table1[Leaving Date]&gt;42094,Table1[Leaving Date]&lt;42461),IF(Table1[Date of Last Assessment]="",Table1[Offending],Table1[Offending2]),"")))</f>
        <v/>
      </c>
      <c r="FU113" s="44" t="str">
        <f>IF(Table1[Date of Initial Assessment]="","",IF(AND(Table1[Start Date]&gt;42460,Table1[Start Date]&lt;42826),Table1[Motivation and Taking Responsibility],""))</f>
        <v/>
      </c>
      <c r="FV113" s="44" t="str">
        <f>IF(Table1[Date of Initial Assessment]="","",IF(AND(Table1[Start Date]&gt;42460,Table1[Start Date]&lt;42826),Table1[Self-Care and Living Skills],""))</f>
        <v/>
      </c>
      <c r="FW113" s="44" t="str">
        <f>IF(Table1[Date of Initial Assessment]="","",IF(AND(Table1[Start Date]&gt;42460,Table1[Start Date]&lt;42826),Table1[Managing Money and Personal Administration],""))</f>
        <v/>
      </c>
      <c r="FX113" s="44" t="str">
        <f>IF(Table1[Date of Initial Assessment]="","",IF(AND(Table1[Start Date]&gt;42460,Table1[Start Date]&lt;42826),Table1[Social Networks and Relationships],""))</f>
        <v/>
      </c>
      <c r="FY113" s="44" t="str">
        <f>IF(Table1[Date of Initial Assessment]="","",IF(AND(Table1[Start Date]&gt;42460,Table1[Start Date]&lt;42826),Table1[Drug and Alcohol Misuse],""))</f>
        <v/>
      </c>
      <c r="FZ113" s="44" t="str">
        <f>IF(Table1[Date of Initial Assessment]="","",IF(AND(Table1[Start Date]&gt;42460,Table1[Start Date]&lt;42826),Table1[Physical Health],""))</f>
        <v/>
      </c>
      <c r="GA113" s="44" t="str">
        <f>IF(Table1[Date of Initial Assessment]="","",IF(AND(Table1[Start Date]&gt;42460,Table1[Start Date]&lt;42826),Table1[Emotional and Mental Health],""))</f>
        <v/>
      </c>
      <c r="GB113" s="44" t="str">
        <f>IF(Table1[Date of Initial Assessment]="","",IF(AND(Table1[Start Date]&gt;42460,Table1[Start Date]&lt;42826),Table1[Meaningful Use of Time],""))</f>
        <v/>
      </c>
      <c r="GC113" s="44" t="str">
        <f>IF(Table1[Date of Initial Assessment]="","",IF(AND(Table1[Start Date]&gt;42460,Table1[Start Date]&lt;42826),Table1[Managing Tenancy and Accommodation],""))</f>
        <v/>
      </c>
      <c r="GD113" s="44" t="str">
        <f>IF(Table1[Date of Initial Assessment]="","",IF(AND(Table1[Start Date]&gt;42460,Table1[Start Date]&lt;42826),Table1[Offending],""))</f>
        <v/>
      </c>
      <c r="GE113" s="44" t="str">
        <f>IF(Table1[Leaving Date]="","",IF(AND(Table1[Leaving Date]&gt;42460,Table1[Leaving Date]&lt;42826),IF(Table1[Date of Last Assessment]="",Table1[Motivation and Taking Responsibility],Table1[Motivation and Taking Responsibility2]),""))</f>
        <v/>
      </c>
      <c r="GF113" s="44" t="str">
        <f>IF(Table1[Leaving Date]="","",IF(AND(Table1[Leaving Date]&gt;42460,Table1[Leaving Date]&lt;42826),IF(Table1[Date of Last Assessment]="",Table1[Self-Care and Living Skills],Table1[Self-Care and Living Skills2]),""))</f>
        <v/>
      </c>
      <c r="GG113" s="44" t="str">
        <f>IF(Table1[Leaving Date]="","",IF(AND(Table1[Leaving Date]&gt;42460,Table1[Leaving Date]&lt;42826),IF(Table1[Date of Last Assessment]="",Table1[Managing Money and Personal Administration],Table1[Managing Money and Personal Administration2]),""))</f>
        <v/>
      </c>
      <c r="GH113" s="44" t="str">
        <f>IF(Table1[Leaving Date]="","",IF(AND(Table1[Leaving Date]&gt;42460,Table1[Leaving Date]&lt;42826),IF(Table1[Date of Last Assessment]="",Table1[Social Networks and Relationships],Table1[Social Networks and Relationships2]),""))</f>
        <v/>
      </c>
      <c r="GI113" s="44" t="str">
        <f>IF(Table1[Leaving Date]="","",IF(AND(Table1[Leaving Date]&gt;42460,Table1[Leaving Date]&lt;42826),IF(Table1[Date of Last Assessment]="",Table1[Drug and Alcohol Misuse],Table1[Drug and Alcohol Misuse2]),""))</f>
        <v/>
      </c>
      <c r="GJ113" s="44" t="str">
        <f>IF(Table1[Leaving Date]="","",IF(AND(Table1[Leaving Date]&gt;42460,Table1[Leaving Date]&lt;42826),IF(Table1[Date of Last Assessment]="",Table1[Physical Health],Table1[Physical Health2]),""))</f>
        <v/>
      </c>
      <c r="GK113" s="44" t="str">
        <f>IF(Table1[Leaving Date]="","",IF(AND(Table1[Leaving Date]&gt;42460,Table1[Leaving Date]&lt;42826),IF(Table1[Date of Last Assessment]="",Table1[Emotional and Mental Health],Table1[Emotional and Mental Health2]),""))</f>
        <v/>
      </c>
      <c r="GL113" s="44" t="str">
        <f>IF(Table1[Leaving Date]="","",IF(AND(Table1[Leaving Date]&gt;42460,Table1[Leaving Date]&lt;42826),IF(Table1[Date of Last Assessment]="",Table1[Meaningful Use of Time],Table1[Meaningful Use of Time2]),""))</f>
        <v/>
      </c>
      <c r="GM113" s="44" t="str">
        <f>IF(Table1[Leaving Date]="","",IF(AND(Table1[Leaving Date]&gt;42460,Table1[Leaving Date]&lt;42826),IF(Table1[Date of Last Assessment]="",Table1[Managing Tenancy and Accommodation],Table1[Managing Tenancy and Accommodation2]),""))</f>
        <v/>
      </c>
      <c r="GN113" s="44" t="str">
        <f>IF(Table1[Leaving Date]="","",IF(AND(Table1[Leaving Date]&gt;42460,Table1[Leaving Date]&lt;42826),IF(Table1[Date of Last Assessment]="",Table1[Offending],Table1[Offending2]),""))</f>
        <v/>
      </c>
    </row>
    <row r="114" spans="2:196" ht="20.100000000000001" customHeight="1" x14ac:dyDescent="0.2">
      <c r="B114" s="86">
        <f>+'Service Data'!$C$5:$C$5</f>
        <v>0</v>
      </c>
      <c r="C114" s="86"/>
      <c r="D114" s="86"/>
      <c r="E114" s="86"/>
      <c r="F114" s="86"/>
      <c r="G114" s="86"/>
      <c r="H114" s="6"/>
      <c r="I114" s="99" t="str">
        <f ca="1">IF(Table1[[#This Row],[Date of Birth]]="","",SUM(TODAY()-Table1[[#This Row],[Date of Birth]])/365)</f>
        <v/>
      </c>
      <c r="L114" s="86"/>
      <c r="M114" s="77"/>
      <c r="N114" s="86"/>
      <c r="O114" s="86"/>
      <c r="P114" s="91"/>
      <c r="Q114" s="86"/>
      <c r="R114" s="77"/>
      <c r="S114" s="77"/>
      <c r="T114" s="68"/>
      <c r="U114" s="68"/>
      <c r="V114" s="67"/>
      <c r="W114" s="67"/>
      <c r="X114" s="67"/>
      <c r="Y114" s="67"/>
      <c r="Z114" s="67"/>
      <c r="AA114" s="67"/>
      <c r="AB114" s="67"/>
      <c r="AC114" s="67"/>
      <c r="AD114" s="67"/>
      <c r="AE114" s="67"/>
      <c r="AF114" s="67"/>
      <c r="AG114" s="67"/>
      <c r="AH114" s="67"/>
      <c r="AI114" s="67"/>
      <c r="AJ114" s="67"/>
      <c r="AK114" s="67"/>
      <c r="AL114" s="67"/>
      <c r="AM114" s="67"/>
      <c r="AN114" s="77"/>
      <c r="AO114" s="76"/>
      <c r="AP114" s="77"/>
      <c r="AQ114" s="76"/>
      <c r="AR114" s="76"/>
      <c r="AS114" s="76"/>
      <c r="AT114" s="76"/>
      <c r="AU114" s="76"/>
      <c r="AV114" s="77"/>
      <c r="AW114" s="76"/>
      <c r="AX114" s="77"/>
      <c r="AY114" s="76"/>
      <c r="AZ114" s="76"/>
      <c r="BA114" s="76"/>
      <c r="BB114" s="76"/>
      <c r="BC114" s="76"/>
      <c r="BD114" s="77"/>
      <c r="BE114" s="76"/>
      <c r="BF114" s="77"/>
      <c r="BG114" s="76"/>
      <c r="BH114" s="76"/>
      <c r="BI114" s="76"/>
      <c r="BJ114" s="76"/>
      <c r="BK114" s="76"/>
      <c r="BL114" s="77"/>
      <c r="BM114" s="76"/>
      <c r="BN114" s="77"/>
      <c r="BO114" s="76"/>
      <c r="BP114" s="76"/>
      <c r="BQ114" s="76"/>
      <c r="BR114" s="76"/>
      <c r="BS114" s="76"/>
      <c r="BT114" s="77"/>
      <c r="BU114" s="76"/>
      <c r="BV114" s="77"/>
      <c r="BW114" s="76"/>
      <c r="BX114" s="76"/>
      <c r="BY114" s="76"/>
      <c r="BZ114" s="76"/>
      <c r="CA114" s="76"/>
      <c r="CB114" s="77"/>
      <c r="CC114" s="76"/>
      <c r="CD114" s="77"/>
      <c r="CE114" s="76"/>
      <c r="CF114" s="76"/>
      <c r="CG114" s="76"/>
      <c r="CH114" s="76"/>
      <c r="CI114" s="76"/>
      <c r="CJ114" s="77"/>
      <c r="CK114" s="76"/>
      <c r="CL114" s="77"/>
      <c r="CM114" s="76"/>
      <c r="CN114" s="76"/>
      <c r="CO114" s="76"/>
      <c r="CP114" s="76"/>
      <c r="CQ114" s="76"/>
      <c r="CR114" s="78" t="str">
        <f t="shared" si="31"/>
        <v/>
      </c>
      <c r="CS114" s="79" t="str">
        <f t="shared" si="32"/>
        <v/>
      </c>
      <c r="CT114" s="79" t="str">
        <f t="shared" si="33"/>
        <v/>
      </c>
      <c r="CU114" s="79" t="str">
        <f t="shared" si="34"/>
        <v/>
      </c>
      <c r="CV114" s="79" t="str">
        <f t="shared" si="35"/>
        <v/>
      </c>
      <c r="CW114" s="79" t="str">
        <f t="shared" si="36"/>
        <v/>
      </c>
      <c r="CX114" s="79" t="str">
        <f t="shared" si="37"/>
        <v/>
      </c>
      <c r="CY114" s="79" t="str">
        <f t="shared" si="38"/>
        <v/>
      </c>
      <c r="CZ114" s="79" t="str">
        <f t="shared" si="39"/>
        <v/>
      </c>
      <c r="DA114" s="79" t="str">
        <f t="shared" si="40"/>
        <v/>
      </c>
      <c r="DB114" s="79" t="str">
        <f t="shared" si="41"/>
        <v/>
      </c>
      <c r="DC114" s="79" t="str">
        <f t="shared" si="42"/>
        <v/>
      </c>
      <c r="DD114" s="79" t="str">
        <f t="shared" si="43"/>
        <v/>
      </c>
      <c r="DE114" s="79" t="str">
        <f t="shared" si="44"/>
        <v/>
      </c>
      <c r="DF114" s="79" t="str">
        <f t="shared" si="45"/>
        <v/>
      </c>
      <c r="DG114" s="79" t="str">
        <f t="shared" si="46"/>
        <v/>
      </c>
      <c r="DH114" s="76"/>
      <c r="DI114" s="78"/>
      <c r="DJ114" s="76"/>
      <c r="DK114" s="77"/>
      <c r="DL114" s="77"/>
      <c r="DM114" s="77"/>
      <c r="DN114" s="80"/>
      <c r="DO114" s="80"/>
      <c r="DP114" s="92" t="str">
        <f>IF(Table1[Start Date]="","",IF(Table1[Start Date]&gt;42185,"",IF(AND(Table1[Leaving Date]&gt;1,Table1[Leaving Date]&lt;42095),"",1)))</f>
        <v/>
      </c>
      <c r="DQ114" s="92" t="str">
        <f>IF(Table1[Start Date]="","",IF(Table1[Start Date]&gt;42277,"",IF(AND(Table1[Leaving Date]&gt;1,Table1[Leaving Date]&lt;42186),"",1)))</f>
        <v/>
      </c>
      <c r="DR114" s="92" t="str">
        <f>IF(Table1[Start Date]="","",IF(Table1[Start Date]&gt;42369,"",IF(AND(Table1[Leaving Date]&gt;1,Table1[Leaving Date]&lt;42278),"",1)))</f>
        <v/>
      </c>
      <c r="DS114" s="92" t="str">
        <f>IF(Table1[Start Date]="","",IF(Table1[Start Date]&gt;42460,"",IF(AND(Table1[Leaving Date]&gt;1,Table1[Leaving Date]&lt;42370),"",1)))</f>
        <v/>
      </c>
      <c r="DT114" s="92" t="str">
        <f>IF(Table1[Start Date]="","",IF(Table1[Start Date]&gt;42551,"",IF(AND(Table1[Leaving Date]&gt;1,Table1[Leaving Date]&lt;42461),"",1)))</f>
        <v/>
      </c>
      <c r="DU114" s="92" t="str">
        <f>IF(Table1[Start Date]="","",IF(Table1[Start Date]&gt;42643,"",IF(AND(Table1[Leaving Date]&gt;1,Table1[Leaving Date]&lt;42552),"",1)))</f>
        <v/>
      </c>
      <c r="DV114" s="92" t="str">
        <f>IF(Table1[Start Date]="","",IF(Table1[Start Date]&gt;42735,"",IF(AND(Table1[Leaving Date]&gt;1,Table1[Leaving Date]&lt;42644),"",1)))</f>
        <v/>
      </c>
      <c r="DW114" s="92" t="str">
        <f>IF(Table1[Start Date]="","",IF(Table1[Start Date]&gt;42825,"",IF(AND(Table1[Leaving Date]&gt;1,Table1[Leaving Date]&lt;42736),"",1)))</f>
        <v/>
      </c>
      <c r="DX114"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114" s="44" t="e">
        <f>VLOOKUP(Table1[Referral Source],Lists!$G$2:$H$20,2,FALSE)</f>
        <v>#N/A</v>
      </c>
      <c r="DZ114" s="93" t="e">
        <f>SUM(Table1[Data Referral Quarter]+Table1[Data Referral Source])</f>
        <v>#N/A</v>
      </c>
      <c r="EA114" s="44" t="b">
        <f>IF(Table1[Referral Decision]="Accepted",100,IF(Table1[Referral Decision]="Rejected by Provider",200,IF(Table1[Referral Decision]="Rejected by Applicant",300)))</f>
        <v>0</v>
      </c>
      <c r="EB114" s="44">
        <f>SUM(Table1[Data Referral Quarter]+Table1[Data Referral Decision])</f>
        <v>0</v>
      </c>
      <c r="EC114" s="44" t="b">
        <f>IF(Table1[Start Date]&gt;42735,8000,IF(Table1[Start Date]&gt;42643,7000,IF(Table1[Start Date]&gt;42551,6000,IF(Table1[Start Date]&gt;42460,5000,IF(Table1[Start Date]&gt;42369,4000,IF(Table1[Start Date]&gt;42277,3000,IF(Table1[Start Date]&gt;42185,2000,IF(Table1[Start Date]&gt;42094,1000))))))))</f>
        <v>0</v>
      </c>
      <c r="ED114" s="44" t="str">
        <f>IF(Table1[Start Date]="","",IF(Table1[Current Local Authority]="Swindon",1,"2"))</f>
        <v/>
      </c>
      <c r="EE114" s="44" t="e">
        <f>SUM(Table1[Data Start Date]+Table1[Data Local Authority])</f>
        <v>#VALUE!</v>
      </c>
      <c r="EF114" s="44">
        <f>IF(Table1[Registered with GP]="Yes",1,0)</f>
        <v>0</v>
      </c>
      <c r="EG114" s="44">
        <f>SUM(Table1[Data Start Date]+Table1[Data GP Start])</f>
        <v>0</v>
      </c>
      <c r="EH114" s="44" t="str">
        <f>IF(Table1[EET]="NEET",1,IF(Table1[EET]="Education",2,IF(Table1[EET]="Employment",2,IF(Table1[EET]="Training",2,IF(Table1[EET]="Retired",3,"")))))</f>
        <v/>
      </c>
      <c r="EI114" s="44" t="e">
        <f>Table1[Data Start Date]+Table1[Data EET Start]</f>
        <v>#VALUE!</v>
      </c>
      <c r="EJ114" s="44" t="b">
        <f>IF(Table1[Leaving Date]&gt;42735,8000,IF(Table1[Leaving Date]&gt;42643,7000,IF(Table1[Leaving Date]&gt;42551,6000,IF(Table1[Leaving Date]&gt;42460,5000,IF(Table1[Leaving Date]&gt;42369,4000,IF(Table1[Leaving Date]&gt;42277,3000,IF(Table1[Leaving Date]&gt;42185,2000,IF(Table1[Leaving Date]&gt;42094,1000))))))))</f>
        <v>0</v>
      </c>
      <c r="EK114" s="44" t="e">
        <f>VLOOKUP(Table1[Reason for Leaving],Lists!$T$2:$U$15,2,FALSE)</f>
        <v>#N/A</v>
      </c>
      <c r="EL114" s="44" t="e">
        <f>SUM(Table1[Data Leavers Date]+Table1[Data Move On])</f>
        <v>#N/A</v>
      </c>
      <c r="EM114" s="44" t="b">
        <f>IF(Table1[Registered with GP2]="Yes",1,IF(Table1[Registered with GP2]="No",0,IF(Table1[Registered with GP]="Yes",1,IF(Table1[Registered with GP]="No",0))))</f>
        <v>0</v>
      </c>
      <c r="EN114" s="44">
        <f>SUM(Table1[Data Leavers Date]+Table1[Data GP End])</f>
        <v>0</v>
      </c>
      <c r="EO114" s="44" t="str">
        <f>IF(Table1[EET2]="NEET",1,IF(Table1[EET2]="Employment",2,IF(Table1[EET2]="Education",2,IF(Table1[EET2]="Training",2,IF(Table1[EET2]="Retired",3,IF(Table1[EET]="NEET",1,IF(Table1[EET]="Employment",2,IF(Table1[EET]="Education",2,IF(Table1[EET]="Training",2,IF(Table1[EET]="Retired",3,""))))))))))</f>
        <v/>
      </c>
      <c r="EP114" s="44" t="e">
        <f>+Table1[[#This Row],[Data Leavers Date]]+Table1[[#This Row],[Data EET End]]</f>
        <v>#VALUE!</v>
      </c>
      <c r="EQ114" s="44">
        <f>IF(Table1[Exit Form Received]="Yes",1,0)</f>
        <v>0</v>
      </c>
      <c r="ER114" s="44">
        <f>+Table1[[#This Row],[Data Leavers Date]]+Table1[[#This Row],[Data Exit Forms]]</f>
        <v>0</v>
      </c>
      <c r="ES114" s="44" t="str">
        <f>IF(Table1[Data Leavers Date]=1000,SUM(Table1[Leaving Date]-Table1[Start Date]),"")</f>
        <v/>
      </c>
      <c r="ET114" s="44" t="str">
        <f>IF(Table1[Data Leavers Date]=2000,SUM(Table1[Leaving Date]-Table1[Start Date]),"")</f>
        <v/>
      </c>
      <c r="EU114" s="44" t="str">
        <f>IF(Table1[Data Leavers Date]=3000,SUM(Table1[Leaving Date]-Table1[Start Date]),"")</f>
        <v/>
      </c>
      <c r="EV114" s="44" t="str">
        <f>IF(Table1[Data Leavers Date]=4000,SUM(Table1[Leaving Date]-Table1[Start Date]),"")</f>
        <v/>
      </c>
      <c r="EW114" s="44" t="str">
        <f>IF(Table1[Data Leavers Date]=5000,SUM(Table1[Leaving Date]-Table1[Start Date]),"")</f>
        <v/>
      </c>
      <c r="EX114" s="44" t="str">
        <f>IF(Table1[Data Leavers Date]=6000,SUM(Table1[Leaving Date]-Table1[Start Date]),"")</f>
        <v/>
      </c>
      <c r="EY114" s="44" t="str">
        <f>IF(Table1[Data Leavers Date]=7000,SUM(Table1[Leaving Date]-Table1[Start Date]),"")</f>
        <v/>
      </c>
      <c r="EZ114" s="44" t="str">
        <f>IF(Table1[Data Leavers Date]=8000,SUM(Table1[Leaving Date]-Table1[Start Date]),"")</f>
        <v/>
      </c>
      <c r="FA114" s="44" t="str">
        <f>IF(Table1[Date of Initial Assessment]="","",IF(AND(Table1[Start Date]&gt;42094,Table1[Start Date]&lt;42461),Table1[Motivation and Taking Responsibility],""))</f>
        <v/>
      </c>
      <c r="FB114" s="44" t="str">
        <f>IF(Table1[Date of Initial Assessment]="","",IF(AND(Table1[Start Date]&gt;42094,Table1[Start Date]&lt;42461),Table1[Self-Care and Living Skills],""))</f>
        <v/>
      </c>
      <c r="FC114" s="44" t="str">
        <f>IF(Table1[Date of Initial Assessment]="","",IF(AND(Table1[Start Date]&gt;42094,Table1[Start Date]&lt;42461),Table1[Managing Money and Personal Administration],""))</f>
        <v/>
      </c>
      <c r="FD114" s="44" t="str">
        <f>IF(Table1[Date of Initial Assessment]="","",IF(AND(Table1[Start Date]&gt;42094,Table1[Start Date]&lt;42461),Table1[Social Networks and Relationships],""))</f>
        <v/>
      </c>
      <c r="FE114" s="44" t="str">
        <f>IF(Table1[Date of Initial Assessment]="","",IF(AND(Table1[Start Date]&gt;42094,Table1[Start Date]&lt;42461),Table1[Drug and Alcohol Misuse],""))</f>
        <v/>
      </c>
      <c r="FF114" s="44" t="str">
        <f>IF(Table1[Date of Initial Assessment]="","",IF(AND(Table1[Start Date]&gt;42094,Table1[Start Date]&lt;42461),Table1[Physical Health],""))</f>
        <v/>
      </c>
      <c r="FG114" s="44" t="str">
        <f>IF(Table1[Date of Initial Assessment]="","",IF(AND(Table1[Start Date]&gt;42094,Table1[Start Date]&lt;42461),Table1[Emotional and Mental Health],""))</f>
        <v/>
      </c>
      <c r="FH114" s="44" t="str">
        <f>IF(Table1[Date of Initial Assessment]="","",IF(AND(Table1[Start Date]&gt;42094,Table1[Start Date]&lt;42461),Table1[Meaningful Use of Time],""))</f>
        <v/>
      </c>
      <c r="FI114" s="44" t="str">
        <f>IF(Table1[Date of Initial Assessment]="","",IF(AND(Table1[Start Date]&gt;42094,Table1[Start Date]&lt;42461),Table1[Managing Tenancy and Accommodation],""))</f>
        <v/>
      </c>
      <c r="FJ114" s="44" t="str">
        <f>IF(Table1[Date of Initial Assessment]="","",IF(AND(Table1[Start Date]&gt;42094,Table1[Start Date]&lt;42461),Table1[Offending],""))</f>
        <v/>
      </c>
      <c r="FK114" s="44" t="str">
        <f>IF(Table1[Leaving Date]="","",IF(Table1[Date of Initial Assessment]="","",IF(AND(Table1[Leaving Date]&gt;42094,Table1[Leaving Date]&lt;42461),IF(Table1[Date of Last Assessment]="",Table1[Motivation and Taking Responsibility],Table1[Motivation and Taking Responsibility2]),"")))</f>
        <v/>
      </c>
      <c r="FL114" s="44" t="str">
        <f>IF(Table1[Leaving Date]="","",IF(Table1[Date of Initial Assessment]="","",IF(AND(Table1[Leaving Date]&gt;42094,Table1[Leaving Date]&lt;42461),IF(Table1[Date of Last Assessment]="",Table1[Self-Care and Living Skills],Table1[Self-Care and Living Skills2]),"")))</f>
        <v/>
      </c>
      <c r="FM114" s="44" t="str">
        <f>IF(Table1[Leaving Date]="","",IF(Table1[Date of Initial Assessment]="","",IF(AND(Table1[Leaving Date]&gt;42094,Table1[Leaving Date]&lt;42461),IF(Table1[Date of Last Assessment]="",Table1[Managing Money and Personal Administration],Table1[Managing Money and Personal Administration2]),"")))</f>
        <v/>
      </c>
      <c r="FN114" s="44" t="str">
        <f>IF(Table1[Leaving Date]="","",IF(Table1[Date of Initial Assessment]="","",IF(AND(Table1[Leaving Date]&gt;42094,Table1[Leaving Date]&lt;42461),IF(Table1[Date of Last Assessment]="",Table1[Social Networks and Relationships],Table1[Social Networks and Relationships2]),"")))</f>
        <v/>
      </c>
      <c r="FO114" s="44" t="str">
        <f>IF(Table1[Leaving Date]="","",IF(Table1[Date of Initial Assessment]="","",IF(AND(Table1[Leaving Date]&gt;42094,Table1[Leaving Date]&lt;42461),IF(Table1[Date of Last Assessment]="",Table1[Drug and Alcohol Misuse],Table1[Drug and Alcohol Misuse2]),"")))</f>
        <v/>
      </c>
      <c r="FP114" s="44" t="str">
        <f>IF(Table1[Leaving Date]="","",IF(Table1[Date of Initial Assessment]="","",IF(AND(Table1[Leaving Date]&gt;42094,Table1[Leaving Date]&lt;42461),IF(Table1[Date of Last Assessment]="",Table1[Physical Health],Table1[Physical Health2]),"")))</f>
        <v/>
      </c>
      <c r="FQ114" s="44" t="str">
        <f>IF(Table1[Leaving Date]="","",IF(Table1[Date of Initial Assessment]="","",IF(AND(Table1[Leaving Date]&gt;42094,Table1[Leaving Date]&lt;42461),IF(Table1[Date of Last Assessment]="",Table1[Emotional and Mental Health],Table1[Emotional and Mental Health2]),"")))</f>
        <v/>
      </c>
      <c r="FR114" s="44" t="str">
        <f>IF(Table1[Leaving Date]="","",IF(Table1[Date of Initial Assessment]="","",IF(AND(Table1[Leaving Date]&gt;42094,Table1[Leaving Date]&lt;42461),IF(Table1[Date of Last Assessment]="",Table1[Meaningful Use of Time],Table1[Meaningful Use of Time2]),"")))</f>
        <v/>
      </c>
      <c r="FS114" s="44" t="str">
        <f>IF(Table1[Leaving Date]="","",IF(Table1[Date of Initial Assessment]="","",IF(AND(Table1[Leaving Date]&gt;42094,Table1[Leaving Date]&lt;42461),IF(Table1[Date of Last Assessment]="",Table1[Managing Tenancy and Accommodation],Table1[Managing Tenancy and Accommodation2]),"")))</f>
        <v/>
      </c>
      <c r="FT114" s="44" t="str">
        <f>IF(Table1[Leaving Date]="","",IF(Table1[Date of Initial Assessment]="","",IF(AND(Table1[Leaving Date]&gt;42094,Table1[Leaving Date]&lt;42461),IF(Table1[Date of Last Assessment]="",Table1[Offending],Table1[Offending2]),"")))</f>
        <v/>
      </c>
      <c r="FU114" s="44" t="str">
        <f>IF(Table1[Date of Initial Assessment]="","",IF(AND(Table1[Start Date]&gt;42460,Table1[Start Date]&lt;42826),Table1[Motivation and Taking Responsibility],""))</f>
        <v/>
      </c>
      <c r="FV114" s="44" t="str">
        <f>IF(Table1[Date of Initial Assessment]="","",IF(AND(Table1[Start Date]&gt;42460,Table1[Start Date]&lt;42826),Table1[Self-Care and Living Skills],""))</f>
        <v/>
      </c>
      <c r="FW114" s="44" t="str">
        <f>IF(Table1[Date of Initial Assessment]="","",IF(AND(Table1[Start Date]&gt;42460,Table1[Start Date]&lt;42826),Table1[Managing Money and Personal Administration],""))</f>
        <v/>
      </c>
      <c r="FX114" s="44" t="str">
        <f>IF(Table1[Date of Initial Assessment]="","",IF(AND(Table1[Start Date]&gt;42460,Table1[Start Date]&lt;42826),Table1[Social Networks and Relationships],""))</f>
        <v/>
      </c>
      <c r="FY114" s="44" t="str">
        <f>IF(Table1[Date of Initial Assessment]="","",IF(AND(Table1[Start Date]&gt;42460,Table1[Start Date]&lt;42826),Table1[Drug and Alcohol Misuse],""))</f>
        <v/>
      </c>
      <c r="FZ114" s="44" t="str">
        <f>IF(Table1[Date of Initial Assessment]="","",IF(AND(Table1[Start Date]&gt;42460,Table1[Start Date]&lt;42826),Table1[Physical Health],""))</f>
        <v/>
      </c>
      <c r="GA114" s="44" t="str">
        <f>IF(Table1[Date of Initial Assessment]="","",IF(AND(Table1[Start Date]&gt;42460,Table1[Start Date]&lt;42826),Table1[Emotional and Mental Health],""))</f>
        <v/>
      </c>
      <c r="GB114" s="44" t="str">
        <f>IF(Table1[Date of Initial Assessment]="","",IF(AND(Table1[Start Date]&gt;42460,Table1[Start Date]&lt;42826),Table1[Meaningful Use of Time],""))</f>
        <v/>
      </c>
      <c r="GC114" s="44" t="str">
        <f>IF(Table1[Date of Initial Assessment]="","",IF(AND(Table1[Start Date]&gt;42460,Table1[Start Date]&lt;42826),Table1[Managing Tenancy and Accommodation],""))</f>
        <v/>
      </c>
      <c r="GD114" s="44" t="str">
        <f>IF(Table1[Date of Initial Assessment]="","",IF(AND(Table1[Start Date]&gt;42460,Table1[Start Date]&lt;42826),Table1[Offending],""))</f>
        <v/>
      </c>
      <c r="GE114" s="44" t="str">
        <f>IF(Table1[Leaving Date]="","",IF(AND(Table1[Leaving Date]&gt;42460,Table1[Leaving Date]&lt;42826),IF(Table1[Date of Last Assessment]="",Table1[Motivation and Taking Responsibility],Table1[Motivation and Taking Responsibility2]),""))</f>
        <v/>
      </c>
      <c r="GF114" s="44" t="str">
        <f>IF(Table1[Leaving Date]="","",IF(AND(Table1[Leaving Date]&gt;42460,Table1[Leaving Date]&lt;42826),IF(Table1[Date of Last Assessment]="",Table1[Self-Care and Living Skills],Table1[Self-Care and Living Skills2]),""))</f>
        <v/>
      </c>
      <c r="GG114" s="44" t="str">
        <f>IF(Table1[Leaving Date]="","",IF(AND(Table1[Leaving Date]&gt;42460,Table1[Leaving Date]&lt;42826),IF(Table1[Date of Last Assessment]="",Table1[Managing Money and Personal Administration],Table1[Managing Money and Personal Administration2]),""))</f>
        <v/>
      </c>
      <c r="GH114" s="44" t="str">
        <f>IF(Table1[Leaving Date]="","",IF(AND(Table1[Leaving Date]&gt;42460,Table1[Leaving Date]&lt;42826),IF(Table1[Date of Last Assessment]="",Table1[Social Networks and Relationships],Table1[Social Networks and Relationships2]),""))</f>
        <v/>
      </c>
      <c r="GI114" s="44" t="str">
        <f>IF(Table1[Leaving Date]="","",IF(AND(Table1[Leaving Date]&gt;42460,Table1[Leaving Date]&lt;42826),IF(Table1[Date of Last Assessment]="",Table1[Drug and Alcohol Misuse],Table1[Drug and Alcohol Misuse2]),""))</f>
        <v/>
      </c>
      <c r="GJ114" s="44" t="str">
        <f>IF(Table1[Leaving Date]="","",IF(AND(Table1[Leaving Date]&gt;42460,Table1[Leaving Date]&lt;42826),IF(Table1[Date of Last Assessment]="",Table1[Physical Health],Table1[Physical Health2]),""))</f>
        <v/>
      </c>
      <c r="GK114" s="44" t="str">
        <f>IF(Table1[Leaving Date]="","",IF(AND(Table1[Leaving Date]&gt;42460,Table1[Leaving Date]&lt;42826),IF(Table1[Date of Last Assessment]="",Table1[Emotional and Mental Health],Table1[Emotional and Mental Health2]),""))</f>
        <v/>
      </c>
      <c r="GL114" s="44" t="str">
        <f>IF(Table1[Leaving Date]="","",IF(AND(Table1[Leaving Date]&gt;42460,Table1[Leaving Date]&lt;42826),IF(Table1[Date of Last Assessment]="",Table1[Meaningful Use of Time],Table1[Meaningful Use of Time2]),""))</f>
        <v/>
      </c>
      <c r="GM114" s="44" t="str">
        <f>IF(Table1[Leaving Date]="","",IF(AND(Table1[Leaving Date]&gt;42460,Table1[Leaving Date]&lt;42826),IF(Table1[Date of Last Assessment]="",Table1[Managing Tenancy and Accommodation],Table1[Managing Tenancy and Accommodation2]),""))</f>
        <v/>
      </c>
      <c r="GN114" s="44" t="str">
        <f>IF(Table1[Leaving Date]="","",IF(AND(Table1[Leaving Date]&gt;42460,Table1[Leaving Date]&lt;42826),IF(Table1[Date of Last Assessment]="",Table1[Offending],Table1[Offending2]),""))</f>
        <v/>
      </c>
    </row>
    <row r="115" spans="2:196" ht="20.100000000000001" customHeight="1" x14ac:dyDescent="0.2">
      <c r="B115" s="86">
        <f>+'Service Data'!$C$5:$C$5</f>
        <v>0</v>
      </c>
      <c r="C115" s="86"/>
      <c r="D115" s="86"/>
      <c r="E115" s="86"/>
      <c r="F115" s="86"/>
      <c r="G115" s="86"/>
      <c r="H115" s="6"/>
      <c r="I115" s="99" t="str">
        <f ca="1">IF(Table1[[#This Row],[Date of Birth]]="","",SUM(TODAY()-Table1[[#This Row],[Date of Birth]])/365)</f>
        <v/>
      </c>
      <c r="L115" s="86"/>
      <c r="M115" s="77"/>
      <c r="N115" s="86"/>
      <c r="O115" s="86"/>
      <c r="P115" s="91"/>
      <c r="Q115" s="86"/>
      <c r="R115" s="77"/>
      <c r="S115" s="77"/>
      <c r="T115" s="68"/>
      <c r="U115" s="68"/>
      <c r="V115" s="67"/>
      <c r="W115" s="67"/>
      <c r="X115" s="67"/>
      <c r="Y115" s="67"/>
      <c r="Z115" s="67"/>
      <c r="AA115" s="67"/>
      <c r="AB115" s="67"/>
      <c r="AC115" s="67"/>
      <c r="AD115" s="67"/>
      <c r="AE115" s="67"/>
      <c r="AF115" s="67"/>
      <c r="AG115" s="67"/>
      <c r="AH115" s="67"/>
      <c r="AI115" s="67"/>
      <c r="AJ115" s="67"/>
      <c r="AK115" s="67"/>
      <c r="AL115" s="67"/>
      <c r="AM115" s="67"/>
      <c r="AN115" s="77"/>
      <c r="AO115" s="76"/>
      <c r="AP115" s="77"/>
      <c r="AQ115" s="76"/>
      <c r="AR115" s="76"/>
      <c r="AS115" s="76"/>
      <c r="AT115" s="76"/>
      <c r="AU115" s="76"/>
      <c r="AV115" s="77"/>
      <c r="AW115" s="76"/>
      <c r="AX115" s="77"/>
      <c r="AY115" s="76"/>
      <c r="AZ115" s="76"/>
      <c r="BA115" s="76"/>
      <c r="BB115" s="76"/>
      <c r="BC115" s="76"/>
      <c r="BD115" s="77"/>
      <c r="BE115" s="76"/>
      <c r="BF115" s="77"/>
      <c r="BG115" s="76"/>
      <c r="BH115" s="76"/>
      <c r="BI115" s="76"/>
      <c r="BJ115" s="76"/>
      <c r="BK115" s="76"/>
      <c r="BL115" s="77"/>
      <c r="BM115" s="76"/>
      <c r="BN115" s="77"/>
      <c r="BO115" s="76"/>
      <c r="BP115" s="76"/>
      <c r="BQ115" s="76"/>
      <c r="BR115" s="76"/>
      <c r="BS115" s="76"/>
      <c r="BT115" s="77"/>
      <c r="BU115" s="76"/>
      <c r="BV115" s="77"/>
      <c r="BW115" s="76"/>
      <c r="BX115" s="76"/>
      <c r="BY115" s="76"/>
      <c r="BZ115" s="76"/>
      <c r="CA115" s="76"/>
      <c r="CB115" s="77"/>
      <c r="CC115" s="76"/>
      <c r="CD115" s="77"/>
      <c r="CE115" s="76"/>
      <c r="CF115" s="76"/>
      <c r="CG115" s="76"/>
      <c r="CH115" s="76"/>
      <c r="CI115" s="76"/>
      <c r="CJ115" s="77"/>
      <c r="CK115" s="76"/>
      <c r="CL115" s="77"/>
      <c r="CM115" s="76"/>
      <c r="CN115" s="76"/>
      <c r="CO115" s="76"/>
      <c r="CP115" s="76"/>
      <c r="CQ115" s="76"/>
      <c r="CR115" s="78" t="str">
        <f t="shared" si="31"/>
        <v/>
      </c>
      <c r="CS115" s="79" t="str">
        <f t="shared" si="32"/>
        <v/>
      </c>
      <c r="CT115" s="79" t="str">
        <f t="shared" si="33"/>
        <v/>
      </c>
      <c r="CU115" s="79" t="str">
        <f t="shared" si="34"/>
        <v/>
      </c>
      <c r="CV115" s="79" t="str">
        <f t="shared" si="35"/>
        <v/>
      </c>
      <c r="CW115" s="79" t="str">
        <f t="shared" si="36"/>
        <v/>
      </c>
      <c r="CX115" s="79" t="str">
        <f t="shared" si="37"/>
        <v/>
      </c>
      <c r="CY115" s="79" t="str">
        <f t="shared" si="38"/>
        <v/>
      </c>
      <c r="CZ115" s="79" t="str">
        <f t="shared" si="39"/>
        <v/>
      </c>
      <c r="DA115" s="79" t="str">
        <f t="shared" si="40"/>
        <v/>
      </c>
      <c r="DB115" s="79" t="str">
        <f t="shared" si="41"/>
        <v/>
      </c>
      <c r="DC115" s="79" t="str">
        <f t="shared" si="42"/>
        <v/>
      </c>
      <c r="DD115" s="79" t="str">
        <f t="shared" si="43"/>
        <v/>
      </c>
      <c r="DE115" s="79" t="str">
        <f t="shared" si="44"/>
        <v/>
      </c>
      <c r="DF115" s="79" t="str">
        <f t="shared" si="45"/>
        <v/>
      </c>
      <c r="DG115" s="79" t="str">
        <f t="shared" si="46"/>
        <v/>
      </c>
      <c r="DH115" s="76"/>
      <c r="DI115" s="78"/>
      <c r="DJ115" s="76"/>
      <c r="DK115" s="77"/>
      <c r="DL115" s="77"/>
      <c r="DM115" s="77"/>
      <c r="DN115" s="80"/>
      <c r="DO115" s="80"/>
      <c r="DP115" s="92" t="str">
        <f>IF(Table1[Start Date]="","",IF(Table1[Start Date]&gt;42185,"",IF(AND(Table1[Leaving Date]&gt;1,Table1[Leaving Date]&lt;42095),"",1)))</f>
        <v/>
      </c>
      <c r="DQ115" s="92" t="str">
        <f>IF(Table1[Start Date]="","",IF(Table1[Start Date]&gt;42277,"",IF(AND(Table1[Leaving Date]&gt;1,Table1[Leaving Date]&lt;42186),"",1)))</f>
        <v/>
      </c>
      <c r="DR115" s="92" t="str">
        <f>IF(Table1[Start Date]="","",IF(Table1[Start Date]&gt;42369,"",IF(AND(Table1[Leaving Date]&gt;1,Table1[Leaving Date]&lt;42278),"",1)))</f>
        <v/>
      </c>
      <c r="DS115" s="92" t="str">
        <f>IF(Table1[Start Date]="","",IF(Table1[Start Date]&gt;42460,"",IF(AND(Table1[Leaving Date]&gt;1,Table1[Leaving Date]&lt;42370),"",1)))</f>
        <v/>
      </c>
      <c r="DT115" s="92" t="str">
        <f>IF(Table1[Start Date]="","",IF(Table1[Start Date]&gt;42551,"",IF(AND(Table1[Leaving Date]&gt;1,Table1[Leaving Date]&lt;42461),"",1)))</f>
        <v/>
      </c>
      <c r="DU115" s="92" t="str">
        <f>IF(Table1[Start Date]="","",IF(Table1[Start Date]&gt;42643,"",IF(AND(Table1[Leaving Date]&gt;1,Table1[Leaving Date]&lt;42552),"",1)))</f>
        <v/>
      </c>
      <c r="DV115" s="92" t="str">
        <f>IF(Table1[Start Date]="","",IF(Table1[Start Date]&gt;42735,"",IF(AND(Table1[Leaving Date]&gt;1,Table1[Leaving Date]&lt;42644),"",1)))</f>
        <v/>
      </c>
      <c r="DW115" s="92" t="str">
        <f>IF(Table1[Start Date]="","",IF(Table1[Start Date]&gt;42825,"",IF(AND(Table1[Leaving Date]&gt;1,Table1[Leaving Date]&lt;42736),"",1)))</f>
        <v/>
      </c>
      <c r="DX115"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115" s="44" t="e">
        <f>VLOOKUP(Table1[Referral Source],Lists!$G$2:$H$20,2,FALSE)</f>
        <v>#N/A</v>
      </c>
      <c r="DZ115" s="93" t="e">
        <f>SUM(Table1[Data Referral Quarter]+Table1[Data Referral Source])</f>
        <v>#N/A</v>
      </c>
      <c r="EA115" s="44" t="b">
        <f>IF(Table1[Referral Decision]="Accepted",100,IF(Table1[Referral Decision]="Rejected by Provider",200,IF(Table1[Referral Decision]="Rejected by Applicant",300)))</f>
        <v>0</v>
      </c>
      <c r="EB115" s="44">
        <f>SUM(Table1[Data Referral Quarter]+Table1[Data Referral Decision])</f>
        <v>0</v>
      </c>
      <c r="EC115" s="44" t="b">
        <f>IF(Table1[Start Date]&gt;42735,8000,IF(Table1[Start Date]&gt;42643,7000,IF(Table1[Start Date]&gt;42551,6000,IF(Table1[Start Date]&gt;42460,5000,IF(Table1[Start Date]&gt;42369,4000,IF(Table1[Start Date]&gt;42277,3000,IF(Table1[Start Date]&gt;42185,2000,IF(Table1[Start Date]&gt;42094,1000))))))))</f>
        <v>0</v>
      </c>
      <c r="ED115" s="44" t="str">
        <f>IF(Table1[Start Date]="","",IF(Table1[Current Local Authority]="Swindon",1,"2"))</f>
        <v/>
      </c>
      <c r="EE115" s="44" t="e">
        <f>SUM(Table1[Data Start Date]+Table1[Data Local Authority])</f>
        <v>#VALUE!</v>
      </c>
      <c r="EF115" s="44">
        <f>IF(Table1[Registered with GP]="Yes",1,0)</f>
        <v>0</v>
      </c>
      <c r="EG115" s="44">
        <f>SUM(Table1[Data Start Date]+Table1[Data GP Start])</f>
        <v>0</v>
      </c>
      <c r="EH115" s="44" t="str">
        <f>IF(Table1[EET]="NEET",1,IF(Table1[EET]="Education",2,IF(Table1[EET]="Employment",2,IF(Table1[EET]="Training",2,IF(Table1[EET]="Retired",3,"")))))</f>
        <v/>
      </c>
      <c r="EI115" s="44" t="e">
        <f>Table1[Data Start Date]+Table1[Data EET Start]</f>
        <v>#VALUE!</v>
      </c>
      <c r="EJ115" s="44" t="b">
        <f>IF(Table1[Leaving Date]&gt;42735,8000,IF(Table1[Leaving Date]&gt;42643,7000,IF(Table1[Leaving Date]&gt;42551,6000,IF(Table1[Leaving Date]&gt;42460,5000,IF(Table1[Leaving Date]&gt;42369,4000,IF(Table1[Leaving Date]&gt;42277,3000,IF(Table1[Leaving Date]&gt;42185,2000,IF(Table1[Leaving Date]&gt;42094,1000))))))))</f>
        <v>0</v>
      </c>
      <c r="EK115" s="44" t="e">
        <f>VLOOKUP(Table1[Reason for Leaving],Lists!$T$2:$U$15,2,FALSE)</f>
        <v>#N/A</v>
      </c>
      <c r="EL115" s="44" t="e">
        <f>SUM(Table1[Data Leavers Date]+Table1[Data Move On])</f>
        <v>#N/A</v>
      </c>
      <c r="EM115" s="44" t="b">
        <f>IF(Table1[Registered with GP2]="Yes",1,IF(Table1[Registered with GP2]="No",0,IF(Table1[Registered with GP]="Yes",1,IF(Table1[Registered with GP]="No",0))))</f>
        <v>0</v>
      </c>
      <c r="EN115" s="44">
        <f>SUM(Table1[Data Leavers Date]+Table1[Data GP End])</f>
        <v>0</v>
      </c>
      <c r="EO115" s="44" t="str">
        <f>IF(Table1[EET2]="NEET",1,IF(Table1[EET2]="Employment",2,IF(Table1[EET2]="Education",2,IF(Table1[EET2]="Training",2,IF(Table1[EET2]="Retired",3,IF(Table1[EET]="NEET",1,IF(Table1[EET]="Employment",2,IF(Table1[EET]="Education",2,IF(Table1[EET]="Training",2,IF(Table1[EET]="Retired",3,""))))))))))</f>
        <v/>
      </c>
      <c r="EP115" s="44" t="e">
        <f>+Table1[[#This Row],[Data Leavers Date]]+Table1[[#This Row],[Data EET End]]</f>
        <v>#VALUE!</v>
      </c>
      <c r="EQ115" s="44">
        <f>IF(Table1[Exit Form Received]="Yes",1,0)</f>
        <v>0</v>
      </c>
      <c r="ER115" s="44">
        <f>+Table1[[#This Row],[Data Leavers Date]]+Table1[[#This Row],[Data Exit Forms]]</f>
        <v>0</v>
      </c>
      <c r="ES115" s="44" t="str">
        <f>IF(Table1[Data Leavers Date]=1000,SUM(Table1[Leaving Date]-Table1[Start Date]),"")</f>
        <v/>
      </c>
      <c r="ET115" s="44" t="str">
        <f>IF(Table1[Data Leavers Date]=2000,SUM(Table1[Leaving Date]-Table1[Start Date]),"")</f>
        <v/>
      </c>
      <c r="EU115" s="44" t="str">
        <f>IF(Table1[Data Leavers Date]=3000,SUM(Table1[Leaving Date]-Table1[Start Date]),"")</f>
        <v/>
      </c>
      <c r="EV115" s="44" t="str">
        <f>IF(Table1[Data Leavers Date]=4000,SUM(Table1[Leaving Date]-Table1[Start Date]),"")</f>
        <v/>
      </c>
      <c r="EW115" s="44" t="str">
        <f>IF(Table1[Data Leavers Date]=5000,SUM(Table1[Leaving Date]-Table1[Start Date]),"")</f>
        <v/>
      </c>
      <c r="EX115" s="44" t="str">
        <f>IF(Table1[Data Leavers Date]=6000,SUM(Table1[Leaving Date]-Table1[Start Date]),"")</f>
        <v/>
      </c>
      <c r="EY115" s="44" t="str">
        <f>IF(Table1[Data Leavers Date]=7000,SUM(Table1[Leaving Date]-Table1[Start Date]),"")</f>
        <v/>
      </c>
      <c r="EZ115" s="44" t="str">
        <f>IF(Table1[Data Leavers Date]=8000,SUM(Table1[Leaving Date]-Table1[Start Date]),"")</f>
        <v/>
      </c>
      <c r="FA115" s="44" t="str">
        <f>IF(Table1[Date of Initial Assessment]="","",IF(AND(Table1[Start Date]&gt;42094,Table1[Start Date]&lt;42461),Table1[Motivation and Taking Responsibility],""))</f>
        <v/>
      </c>
      <c r="FB115" s="44" t="str">
        <f>IF(Table1[Date of Initial Assessment]="","",IF(AND(Table1[Start Date]&gt;42094,Table1[Start Date]&lt;42461),Table1[Self-Care and Living Skills],""))</f>
        <v/>
      </c>
      <c r="FC115" s="44" t="str">
        <f>IF(Table1[Date of Initial Assessment]="","",IF(AND(Table1[Start Date]&gt;42094,Table1[Start Date]&lt;42461),Table1[Managing Money and Personal Administration],""))</f>
        <v/>
      </c>
      <c r="FD115" s="44" t="str">
        <f>IF(Table1[Date of Initial Assessment]="","",IF(AND(Table1[Start Date]&gt;42094,Table1[Start Date]&lt;42461),Table1[Social Networks and Relationships],""))</f>
        <v/>
      </c>
      <c r="FE115" s="44" t="str">
        <f>IF(Table1[Date of Initial Assessment]="","",IF(AND(Table1[Start Date]&gt;42094,Table1[Start Date]&lt;42461),Table1[Drug and Alcohol Misuse],""))</f>
        <v/>
      </c>
      <c r="FF115" s="44" t="str">
        <f>IF(Table1[Date of Initial Assessment]="","",IF(AND(Table1[Start Date]&gt;42094,Table1[Start Date]&lt;42461),Table1[Physical Health],""))</f>
        <v/>
      </c>
      <c r="FG115" s="44" t="str">
        <f>IF(Table1[Date of Initial Assessment]="","",IF(AND(Table1[Start Date]&gt;42094,Table1[Start Date]&lt;42461),Table1[Emotional and Mental Health],""))</f>
        <v/>
      </c>
      <c r="FH115" s="44" t="str">
        <f>IF(Table1[Date of Initial Assessment]="","",IF(AND(Table1[Start Date]&gt;42094,Table1[Start Date]&lt;42461),Table1[Meaningful Use of Time],""))</f>
        <v/>
      </c>
      <c r="FI115" s="44" t="str">
        <f>IF(Table1[Date of Initial Assessment]="","",IF(AND(Table1[Start Date]&gt;42094,Table1[Start Date]&lt;42461),Table1[Managing Tenancy and Accommodation],""))</f>
        <v/>
      </c>
      <c r="FJ115" s="44" t="str">
        <f>IF(Table1[Date of Initial Assessment]="","",IF(AND(Table1[Start Date]&gt;42094,Table1[Start Date]&lt;42461),Table1[Offending],""))</f>
        <v/>
      </c>
      <c r="FK115" s="44" t="str">
        <f>IF(Table1[Leaving Date]="","",IF(Table1[Date of Initial Assessment]="","",IF(AND(Table1[Leaving Date]&gt;42094,Table1[Leaving Date]&lt;42461),IF(Table1[Date of Last Assessment]="",Table1[Motivation and Taking Responsibility],Table1[Motivation and Taking Responsibility2]),"")))</f>
        <v/>
      </c>
      <c r="FL115" s="44" t="str">
        <f>IF(Table1[Leaving Date]="","",IF(Table1[Date of Initial Assessment]="","",IF(AND(Table1[Leaving Date]&gt;42094,Table1[Leaving Date]&lt;42461),IF(Table1[Date of Last Assessment]="",Table1[Self-Care and Living Skills],Table1[Self-Care and Living Skills2]),"")))</f>
        <v/>
      </c>
      <c r="FM115" s="44" t="str">
        <f>IF(Table1[Leaving Date]="","",IF(Table1[Date of Initial Assessment]="","",IF(AND(Table1[Leaving Date]&gt;42094,Table1[Leaving Date]&lt;42461),IF(Table1[Date of Last Assessment]="",Table1[Managing Money and Personal Administration],Table1[Managing Money and Personal Administration2]),"")))</f>
        <v/>
      </c>
      <c r="FN115" s="44" t="str">
        <f>IF(Table1[Leaving Date]="","",IF(Table1[Date of Initial Assessment]="","",IF(AND(Table1[Leaving Date]&gt;42094,Table1[Leaving Date]&lt;42461),IF(Table1[Date of Last Assessment]="",Table1[Social Networks and Relationships],Table1[Social Networks and Relationships2]),"")))</f>
        <v/>
      </c>
      <c r="FO115" s="44" t="str">
        <f>IF(Table1[Leaving Date]="","",IF(Table1[Date of Initial Assessment]="","",IF(AND(Table1[Leaving Date]&gt;42094,Table1[Leaving Date]&lt;42461),IF(Table1[Date of Last Assessment]="",Table1[Drug and Alcohol Misuse],Table1[Drug and Alcohol Misuse2]),"")))</f>
        <v/>
      </c>
      <c r="FP115" s="44" t="str">
        <f>IF(Table1[Leaving Date]="","",IF(Table1[Date of Initial Assessment]="","",IF(AND(Table1[Leaving Date]&gt;42094,Table1[Leaving Date]&lt;42461),IF(Table1[Date of Last Assessment]="",Table1[Physical Health],Table1[Physical Health2]),"")))</f>
        <v/>
      </c>
      <c r="FQ115" s="44" t="str">
        <f>IF(Table1[Leaving Date]="","",IF(Table1[Date of Initial Assessment]="","",IF(AND(Table1[Leaving Date]&gt;42094,Table1[Leaving Date]&lt;42461),IF(Table1[Date of Last Assessment]="",Table1[Emotional and Mental Health],Table1[Emotional and Mental Health2]),"")))</f>
        <v/>
      </c>
      <c r="FR115" s="44" t="str">
        <f>IF(Table1[Leaving Date]="","",IF(Table1[Date of Initial Assessment]="","",IF(AND(Table1[Leaving Date]&gt;42094,Table1[Leaving Date]&lt;42461),IF(Table1[Date of Last Assessment]="",Table1[Meaningful Use of Time],Table1[Meaningful Use of Time2]),"")))</f>
        <v/>
      </c>
      <c r="FS115" s="44" t="str">
        <f>IF(Table1[Leaving Date]="","",IF(Table1[Date of Initial Assessment]="","",IF(AND(Table1[Leaving Date]&gt;42094,Table1[Leaving Date]&lt;42461),IF(Table1[Date of Last Assessment]="",Table1[Managing Tenancy and Accommodation],Table1[Managing Tenancy and Accommodation2]),"")))</f>
        <v/>
      </c>
      <c r="FT115" s="44" t="str">
        <f>IF(Table1[Leaving Date]="","",IF(Table1[Date of Initial Assessment]="","",IF(AND(Table1[Leaving Date]&gt;42094,Table1[Leaving Date]&lt;42461),IF(Table1[Date of Last Assessment]="",Table1[Offending],Table1[Offending2]),"")))</f>
        <v/>
      </c>
      <c r="FU115" s="44" t="str">
        <f>IF(Table1[Date of Initial Assessment]="","",IF(AND(Table1[Start Date]&gt;42460,Table1[Start Date]&lt;42826),Table1[Motivation and Taking Responsibility],""))</f>
        <v/>
      </c>
      <c r="FV115" s="44" t="str">
        <f>IF(Table1[Date of Initial Assessment]="","",IF(AND(Table1[Start Date]&gt;42460,Table1[Start Date]&lt;42826),Table1[Self-Care and Living Skills],""))</f>
        <v/>
      </c>
      <c r="FW115" s="44" t="str">
        <f>IF(Table1[Date of Initial Assessment]="","",IF(AND(Table1[Start Date]&gt;42460,Table1[Start Date]&lt;42826),Table1[Managing Money and Personal Administration],""))</f>
        <v/>
      </c>
      <c r="FX115" s="44" t="str">
        <f>IF(Table1[Date of Initial Assessment]="","",IF(AND(Table1[Start Date]&gt;42460,Table1[Start Date]&lt;42826),Table1[Social Networks and Relationships],""))</f>
        <v/>
      </c>
      <c r="FY115" s="44" t="str">
        <f>IF(Table1[Date of Initial Assessment]="","",IF(AND(Table1[Start Date]&gt;42460,Table1[Start Date]&lt;42826),Table1[Drug and Alcohol Misuse],""))</f>
        <v/>
      </c>
      <c r="FZ115" s="44" t="str">
        <f>IF(Table1[Date of Initial Assessment]="","",IF(AND(Table1[Start Date]&gt;42460,Table1[Start Date]&lt;42826),Table1[Physical Health],""))</f>
        <v/>
      </c>
      <c r="GA115" s="44" t="str">
        <f>IF(Table1[Date of Initial Assessment]="","",IF(AND(Table1[Start Date]&gt;42460,Table1[Start Date]&lt;42826),Table1[Emotional and Mental Health],""))</f>
        <v/>
      </c>
      <c r="GB115" s="44" t="str">
        <f>IF(Table1[Date of Initial Assessment]="","",IF(AND(Table1[Start Date]&gt;42460,Table1[Start Date]&lt;42826),Table1[Meaningful Use of Time],""))</f>
        <v/>
      </c>
      <c r="GC115" s="44" t="str">
        <f>IF(Table1[Date of Initial Assessment]="","",IF(AND(Table1[Start Date]&gt;42460,Table1[Start Date]&lt;42826),Table1[Managing Tenancy and Accommodation],""))</f>
        <v/>
      </c>
      <c r="GD115" s="44" t="str">
        <f>IF(Table1[Date of Initial Assessment]="","",IF(AND(Table1[Start Date]&gt;42460,Table1[Start Date]&lt;42826),Table1[Offending],""))</f>
        <v/>
      </c>
      <c r="GE115" s="44" t="str">
        <f>IF(Table1[Leaving Date]="","",IF(AND(Table1[Leaving Date]&gt;42460,Table1[Leaving Date]&lt;42826),IF(Table1[Date of Last Assessment]="",Table1[Motivation and Taking Responsibility],Table1[Motivation and Taking Responsibility2]),""))</f>
        <v/>
      </c>
      <c r="GF115" s="44" t="str">
        <f>IF(Table1[Leaving Date]="","",IF(AND(Table1[Leaving Date]&gt;42460,Table1[Leaving Date]&lt;42826),IF(Table1[Date of Last Assessment]="",Table1[Self-Care and Living Skills],Table1[Self-Care and Living Skills2]),""))</f>
        <v/>
      </c>
      <c r="GG115" s="44" t="str">
        <f>IF(Table1[Leaving Date]="","",IF(AND(Table1[Leaving Date]&gt;42460,Table1[Leaving Date]&lt;42826),IF(Table1[Date of Last Assessment]="",Table1[Managing Money and Personal Administration],Table1[Managing Money and Personal Administration2]),""))</f>
        <v/>
      </c>
      <c r="GH115" s="44" t="str">
        <f>IF(Table1[Leaving Date]="","",IF(AND(Table1[Leaving Date]&gt;42460,Table1[Leaving Date]&lt;42826),IF(Table1[Date of Last Assessment]="",Table1[Social Networks and Relationships],Table1[Social Networks and Relationships2]),""))</f>
        <v/>
      </c>
      <c r="GI115" s="44" t="str">
        <f>IF(Table1[Leaving Date]="","",IF(AND(Table1[Leaving Date]&gt;42460,Table1[Leaving Date]&lt;42826),IF(Table1[Date of Last Assessment]="",Table1[Drug and Alcohol Misuse],Table1[Drug and Alcohol Misuse2]),""))</f>
        <v/>
      </c>
      <c r="GJ115" s="44" t="str">
        <f>IF(Table1[Leaving Date]="","",IF(AND(Table1[Leaving Date]&gt;42460,Table1[Leaving Date]&lt;42826),IF(Table1[Date of Last Assessment]="",Table1[Physical Health],Table1[Physical Health2]),""))</f>
        <v/>
      </c>
      <c r="GK115" s="44" t="str">
        <f>IF(Table1[Leaving Date]="","",IF(AND(Table1[Leaving Date]&gt;42460,Table1[Leaving Date]&lt;42826),IF(Table1[Date of Last Assessment]="",Table1[Emotional and Mental Health],Table1[Emotional and Mental Health2]),""))</f>
        <v/>
      </c>
      <c r="GL115" s="44" t="str">
        <f>IF(Table1[Leaving Date]="","",IF(AND(Table1[Leaving Date]&gt;42460,Table1[Leaving Date]&lt;42826),IF(Table1[Date of Last Assessment]="",Table1[Meaningful Use of Time],Table1[Meaningful Use of Time2]),""))</f>
        <v/>
      </c>
      <c r="GM115" s="44" t="str">
        <f>IF(Table1[Leaving Date]="","",IF(AND(Table1[Leaving Date]&gt;42460,Table1[Leaving Date]&lt;42826),IF(Table1[Date of Last Assessment]="",Table1[Managing Tenancy and Accommodation],Table1[Managing Tenancy and Accommodation2]),""))</f>
        <v/>
      </c>
      <c r="GN115" s="44" t="str">
        <f>IF(Table1[Leaving Date]="","",IF(AND(Table1[Leaving Date]&gt;42460,Table1[Leaving Date]&lt;42826),IF(Table1[Date of Last Assessment]="",Table1[Offending],Table1[Offending2]),""))</f>
        <v/>
      </c>
    </row>
    <row r="116" spans="2:196" ht="20.100000000000001" customHeight="1" x14ac:dyDescent="0.2">
      <c r="B116" s="86">
        <f>+'Service Data'!$C$5:$C$5</f>
        <v>0</v>
      </c>
      <c r="C116" s="86"/>
      <c r="D116" s="86"/>
      <c r="E116" s="86"/>
      <c r="F116" s="86"/>
      <c r="G116" s="86"/>
      <c r="H116" s="6"/>
      <c r="I116" s="99" t="str">
        <f ca="1">IF(Table1[[#This Row],[Date of Birth]]="","",SUM(TODAY()-Table1[[#This Row],[Date of Birth]])/365)</f>
        <v/>
      </c>
      <c r="L116" s="86"/>
      <c r="M116" s="77"/>
      <c r="N116" s="86"/>
      <c r="O116" s="86"/>
      <c r="P116" s="91"/>
      <c r="Q116" s="86"/>
      <c r="R116" s="77"/>
      <c r="S116" s="77"/>
      <c r="T116" s="68"/>
      <c r="U116" s="68"/>
      <c r="V116" s="67"/>
      <c r="W116" s="67"/>
      <c r="X116" s="67"/>
      <c r="Y116" s="67"/>
      <c r="Z116" s="67"/>
      <c r="AA116" s="67"/>
      <c r="AB116" s="67"/>
      <c r="AC116" s="67"/>
      <c r="AD116" s="67"/>
      <c r="AE116" s="67"/>
      <c r="AF116" s="67"/>
      <c r="AG116" s="67"/>
      <c r="AH116" s="67"/>
      <c r="AI116" s="67"/>
      <c r="AJ116" s="67"/>
      <c r="AK116" s="67"/>
      <c r="AL116" s="67"/>
      <c r="AM116" s="67"/>
      <c r="AN116" s="77"/>
      <c r="AO116" s="76"/>
      <c r="AP116" s="77"/>
      <c r="AQ116" s="76"/>
      <c r="AR116" s="76"/>
      <c r="AS116" s="76"/>
      <c r="AT116" s="76"/>
      <c r="AU116" s="76"/>
      <c r="AV116" s="77"/>
      <c r="AW116" s="76"/>
      <c r="AX116" s="77"/>
      <c r="AY116" s="76"/>
      <c r="AZ116" s="76"/>
      <c r="BA116" s="76"/>
      <c r="BB116" s="76"/>
      <c r="BC116" s="76"/>
      <c r="BD116" s="77"/>
      <c r="BE116" s="76"/>
      <c r="BF116" s="77"/>
      <c r="BG116" s="76"/>
      <c r="BH116" s="76"/>
      <c r="BI116" s="76"/>
      <c r="BJ116" s="76"/>
      <c r="BK116" s="76"/>
      <c r="BL116" s="77"/>
      <c r="BM116" s="76"/>
      <c r="BN116" s="77"/>
      <c r="BO116" s="76"/>
      <c r="BP116" s="76"/>
      <c r="BQ116" s="76"/>
      <c r="BR116" s="76"/>
      <c r="BS116" s="76"/>
      <c r="BT116" s="77"/>
      <c r="BU116" s="76"/>
      <c r="BV116" s="77"/>
      <c r="BW116" s="76"/>
      <c r="BX116" s="76"/>
      <c r="BY116" s="76"/>
      <c r="BZ116" s="76"/>
      <c r="CA116" s="76"/>
      <c r="CB116" s="77"/>
      <c r="CC116" s="76"/>
      <c r="CD116" s="77"/>
      <c r="CE116" s="76"/>
      <c r="CF116" s="76"/>
      <c r="CG116" s="76"/>
      <c r="CH116" s="76"/>
      <c r="CI116" s="76"/>
      <c r="CJ116" s="77"/>
      <c r="CK116" s="76"/>
      <c r="CL116" s="77"/>
      <c r="CM116" s="76"/>
      <c r="CN116" s="76"/>
      <c r="CO116" s="76"/>
      <c r="CP116" s="76"/>
      <c r="CQ116" s="76"/>
      <c r="CR116" s="78" t="str">
        <f t="shared" si="31"/>
        <v/>
      </c>
      <c r="CS116" s="79" t="str">
        <f t="shared" si="32"/>
        <v/>
      </c>
      <c r="CT116" s="79" t="str">
        <f t="shared" si="33"/>
        <v/>
      </c>
      <c r="CU116" s="79" t="str">
        <f t="shared" si="34"/>
        <v/>
      </c>
      <c r="CV116" s="79" t="str">
        <f t="shared" si="35"/>
        <v/>
      </c>
      <c r="CW116" s="79" t="str">
        <f t="shared" si="36"/>
        <v/>
      </c>
      <c r="CX116" s="79" t="str">
        <f t="shared" si="37"/>
        <v/>
      </c>
      <c r="CY116" s="79" t="str">
        <f t="shared" si="38"/>
        <v/>
      </c>
      <c r="CZ116" s="79" t="str">
        <f t="shared" si="39"/>
        <v/>
      </c>
      <c r="DA116" s="79" t="str">
        <f t="shared" si="40"/>
        <v/>
      </c>
      <c r="DB116" s="79" t="str">
        <f t="shared" si="41"/>
        <v/>
      </c>
      <c r="DC116" s="79" t="str">
        <f t="shared" si="42"/>
        <v/>
      </c>
      <c r="DD116" s="79" t="str">
        <f t="shared" si="43"/>
        <v/>
      </c>
      <c r="DE116" s="79" t="str">
        <f t="shared" si="44"/>
        <v/>
      </c>
      <c r="DF116" s="79" t="str">
        <f t="shared" si="45"/>
        <v/>
      </c>
      <c r="DG116" s="79" t="str">
        <f t="shared" si="46"/>
        <v/>
      </c>
      <c r="DH116" s="76"/>
      <c r="DI116" s="78"/>
      <c r="DJ116" s="76"/>
      <c r="DK116" s="77"/>
      <c r="DL116" s="77"/>
      <c r="DM116" s="77"/>
      <c r="DN116" s="80"/>
      <c r="DO116" s="80"/>
      <c r="DP116" s="92" t="str">
        <f>IF(Table1[Start Date]="","",IF(Table1[Start Date]&gt;42185,"",IF(AND(Table1[Leaving Date]&gt;1,Table1[Leaving Date]&lt;42095),"",1)))</f>
        <v/>
      </c>
      <c r="DQ116" s="92" t="str">
        <f>IF(Table1[Start Date]="","",IF(Table1[Start Date]&gt;42277,"",IF(AND(Table1[Leaving Date]&gt;1,Table1[Leaving Date]&lt;42186),"",1)))</f>
        <v/>
      </c>
      <c r="DR116" s="92" t="str">
        <f>IF(Table1[Start Date]="","",IF(Table1[Start Date]&gt;42369,"",IF(AND(Table1[Leaving Date]&gt;1,Table1[Leaving Date]&lt;42278),"",1)))</f>
        <v/>
      </c>
      <c r="DS116" s="92" t="str">
        <f>IF(Table1[Start Date]="","",IF(Table1[Start Date]&gt;42460,"",IF(AND(Table1[Leaving Date]&gt;1,Table1[Leaving Date]&lt;42370),"",1)))</f>
        <v/>
      </c>
      <c r="DT116" s="92" t="str">
        <f>IF(Table1[Start Date]="","",IF(Table1[Start Date]&gt;42551,"",IF(AND(Table1[Leaving Date]&gt;1,Table1[Leaving Date]&lt;42461),"",1)))</f>
        <v/>
      </c>
      <c r="DU116" s="92" t="str">
        <f>IF(Table1[Start Date]="","",IF(Table1[Start Date]&gt;42643,"",IF(AND(Table1[Leaving Date]&gt;1,Table1[Leaving Date]&lt;42552),"",1)))</f>
        <v/>
      </c>
      <c r="DV116" s="92" t="str">
        <f>IF(Table1[Start Date]="","",IF(Table1[Start Date]&gt;42735,"",IF(AND(Table1[Leaving Date]&gt;1,Table1[Leaving Date]&lt;42644),"",1)))</f>
        <v/>
      </c>
      <c r="DW116" s="92" t="str">
        <f>IF(Table1[Start Date]="","",IF(Table1[Start Date]&gt;42825,"",IF(AND(Table1[Leaving Date]&gt;1,Table1[Leaving Date]&lt;42736),"",1)))</f>
        <v/>
      </c>
      <c r="DX116"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116" s="44" t="e">
        <f>VLOOKUP(Table1[Referral Source],Lists!$G$2:$H$20,2,FALSE)</f>
        <v>#N/A</v>
      </c>
      <c r="DZ116" s="93" t="e">
        <f>SUM(Table1[Data Referral Quarter]+Table1[Data Referral Source])</f>
        <v>#N/A</v>
      </c>
      <c r="EA116" s="44" t="b">
        <f>IF(Table1[Referral Decision]="Accepted",100,IF(Table1[Referral Decision]="Rejected by Provider",200,IF(Table1[Referral Decision]="Rejected by Applicant",300)))</f>
        <v>0</v>
      </c>
      <c r="EB116" s="44">
        <f>SUM(Table1[Data Referral Quarter]+Table1[Data Referral Decision])</f>
        <v>0</v>
      </c>
      <c r="EC116" s="44" t="b">
        <f>IF(Table1[Start Date]&gt;42735,8000,IF(Table1[Start Date]&gt;42643,7000,IF(Table1[Start Date]&gt;42551,6000,IF(Table1[Start Date]&gt;42460,5000,IF(Table1[Start Date]&gt;42369,4000,IF(Table1[Start Date]&gt;42277,3000,IF(Table1[Start Date]&gt;42185,2000,IF(Table1[Start Date]&gt;42094,1000))))))))</f>
        <v>0</v>
      </c>
      <c r="ED116" s="44" t="str">
        <f>IF(Table1[Start Date]="","",IF(Table1[Current Local Authority]="Swindon",1,"2"))</f>
        <v/>
      </c>
      <c r="EE116" s="44" t="e">
        <f>SUM(Table1[Data Start Date]+Table1[Data Local Authority])</f>
        <v>#VALUE!</v>
      </c>
      <c r="EF116" s="44">
        <f>IF(Table1[Registered with GP]="Yes",1,0)</f>
        <v>0</v>
      </c>
      <c r="EG116" s="44">
        <f>SUM(Table1[Data Start Date]+Table1[Data GP Start])</f>
        <v>0</v>
      </c>
      <c r="EH116" s="44" t="str">
        <f>IF(Table1[EET]="NEET",1,IF(Table1[EET]="Education",2,IF(Table1[EET]="Employment",2,IF(Table1[EET]="Training",2,IF(Table1[EET]="Retired",3,"")))))</f>
        <v/>
      </c>
      <c r="EI116" s="44" t="e">
        <f>Table1[Data Start Date]+Table1[Data EET Start]</f>
        <v>#VALUE!</v>
      </c>
      <c r="EJ116" s="44" t="b">
        <f>IF(Table1[Leaving Date]&gt;42735,8000,IF(Table1[Leaving Date]&gt;42643,7000,IF(Table1[Leaving Date]&gt;42551,6000,IF(Table1[Leaving Date]&gt;42460,5000,IF(Table1[Leaving Date]&gt;42369,4000,IF(Table1[Leaving Date]&gt;42277,3000,IF(Table1[Leaving Date]&gt;42185,2000,IF(Table1[Leaving Date]&gt;42094,1000))))))))</f>
        <v>0</v>
      </c>
      <c r="EK116" s="44" t="e">
        <f>VLOOKUP(Table1[Reason for Leaving],Lists!$T$2:$U$15,2,FALSE)</f>
        <v>#N/A</v>
      </c>
      <c r="EL116" s="44" t="e">
        <f>SUM(Table1[Data Leavers Date]+Table1[Data Move On])</f>
        <v>#N/A</v>
      </c>
      <c r="EM116" s="44" t="b">
        <f>IF(Table1[Registered with GP2]="Yes",1,IF(Table1[Registered with GP2]="No",0,IF(Table1[Registered with GP]="Yes",1,IF(Table1[Registered with GP]="No",0))))</f>
        <v>0</v>
      </c>
      <c r="EN116" s="44">
        <f>SUM(Table1[Data Leavers Date]+Table1[Data GP End])</f>
        <v>0</v>
      </c>
      <c r="EO116" s="44" t="str">
        <f>IF(Table1[EET2]="NEET",1,IF(Table1[EET2]="Employment",2,IF(Table1[EET2]="Education",2,IF(Table1[EET2]="Training",2,IF(Table1[EET2]="Retired",3,IF(Table1[EET]="NEET",1,IF(Table1[EET]="Employment",2,IF(Table1[EET]="Education",2,IF(Table1[EET]="Training",2,IF(Table1[EET]="Retired",3,""))))))))))</f>
        <v/>
      </c>
      <c r="EP116" s="44" t="e">
        <f>+Table1[[#This Row],[Data Leavers Date]]+Table1[[#This Row],[Data EET End]]</f>
        <v>#VALUE!</v>
      </c>
      <c r="EQ116" s="44">
        <f>IF(Table1[Exit Form Received]="Yes",1,0)</f>
        <v>0</v>
      </c>
      <c r="ER116" s="44">
        <f>+Table1[[#This Row],[Data Leavers Date]]+Table1[[#This Row],[Data Exit Forms]]</f>
        <v>0</v>
      </c>
      <c r="ES116" s="44" t="str">
        <f>IF(Table1[Data Leavers Date]=1000,SUM(Table1[Leaving Date]-Table1[Start Date]),"")</f>
        <v/>
      </c>
      <c r="ET116" s="44" t="str">
        <f>IF(Table1[Data Leavers Date]=2000,SUM(Table1[Leaving Date]-Table1[Start Date]),"")</f>
        <v/>
      </c>
      <c r="EU116" s="44" t="str">
        <f>IF(Table1[Data Leavers Date]=3000,SUM(Table1[Leaving Date]-Table1[Start Date]),"")</f>
        <v/>
      </c>
      <c r="EV116" s="44" t="str">
        <f>IF(Table1[Data Leavers Date]=4000,SUM(Table1[Leaving Date]-Table1[Start Date]),"")</f>
        <v/>
      </c>
      <c r="EW116" s="44" t="str">
        <f>IF(Table1[Data Leavers Date]=5000,SUM(Table1[Leaving Date]-Table1[Start Date]),"")</f>
        <v/>
      </c>
      <c r="EX116" s="44" t="str">
        <f>IF(Table1[Data Leavers Date]=6000,SUM(Table1[Leaving Date]-Table1[Start Date]),"")</f>
        <v/>
      </c>
      <c r="EY116" s="44" t="str">
        <f>IF(Table1[Data Leavers Date]=7000,SUM(Table1[Leaving Date]-Table1[Start Date]),"")</f>
        <v/>
      </c>
      <c r="EZ116" s="44" t="str">
        <f>IF(Table1[Data Leavers Date]=8000,SUM(Table1[Leaving Date]-Table1[Start Date]),"")</f>
        <v/>
      </c>
      <c r="FA116" s="44" t="str">
        <f>IF(Table1[Date of Initial Assessment]="","",IF(AND(Table1[Start Date]&gt;42094,Table1[Start Date]&lt;42461),Table1[Motivation and Taking Responsibility],""))</f>
        <v/>
      </c>
      <c r="FB116" s="44" t="str">
        <f>IF(Table1[Date of Initial Assessment]="","",IF(AND(Table1[Start Date]&gt;42094,Table1[Start Date]&lt;42461),Table1[Self-Care and Living Skills],""))</f>
        <v/>
      </c>
      <c r="FC116" s="44" t="str">
        <f>IF(Table1[Date of Initial Assessment]="","",IF(AND(Table1[Start Date]&gt;42094,Table1[Start Date]&lt;42461),Table1[Managing Money and Personal Administration],""))</f>
        <v/>
      </c>
      <c r="FD116" s="44" t="str">
        <f>IF(Table1[Date of Initial Assessment]="","",IF(AND(Table1[Start Date]&gt;42094,Table1[Start Date]&lt;42461),Table1[Social Networks and Relationships],""))</f>
        <v/>
      </c>
      <c r="FE116" s="44" t="str">
        <f>IF(Table1[Date of Initial Assessment]="","",IF(AND(Table1[Start Date]&gt;42094,Table1[Start Date]&lt;42461),Table1[Drug and Alcohol Misuse],""))</f>
        <v/>
      </c>
      <c r="FF116" s="44" t="str">
        <f>IF(Table1[Date of Initial Assessment]="","",IF(AND(Table1[Start Date]&gt;42094,Table1[Start Date]&lt;42461),Table1[Physical Health],""))</f>
        <v/>
      </c>
      <c r="FG116" s="44" t="str">
        <f>IF(Table1[Date of Initial Assessment]="","",IF(AND(Table1[Start Date]&gt;42094,Table1[Start Date]&lt;42461),Table1[Emotional and Mental Health],""))</f>
        <v/>
      </c>
      <c r="FH116" s="44" t="str">
        <f>IF(Table1[Date of Initial Assessment]="","",IF(AND(Table1[Start Date]&gt;42094,Table1[Start Date]&lt;42461),Table1[Meaningful Use of Time],""))</f>
        <v/>
      </c>
      <c r="FI116" s="44" t="str">
        <f>IF(Table1[Date of Initial Assessment]="","",IF(AND(Table1[Start Date]&gt;42094,Table1[Start Date]&lt;42461),Table1[Managing Tenancy and Accommodation],""))</f>
        <v/>
      </c>
      <c r="FJ116" s="44" t="str">
        <f>IF(Table1[Date of Initial Assessment]="","",IF(AND(Table1[Start Date]&gt;42094,Table1[Start Date]&lt;42461),Table1[Offending],""))</f>
        <v/>
      </c>
      <c r="FK116" s="44" t="str">
        <f>IF(Table1[Leaving Date]="","",IF(Table1[Date of Initial Assessment]="","",IF(AND(Table1[Leaving Date]&gt;42094,Table1[Leaving Date]&lt;42461),IF(Table1[Date of Last Assessment]="",Table1[Motivation and Taking Responsibility],Table1[Motivation and Taking Responsibility2]),"")))</f>
        <v/>
      </c>
      <c r="FL116" s="44" t="str">
        <f>IF(Table1[Leaving Date]="","",IF(Table1[Date of Initial Assessment]="","",IF(AND(Table1[Leaving Date]&gt;42094,Table1[Leaving Date]&lt;42461),IF(Table1[Date of Last Assessment]="",Table1[Self-Care and Living Skills],Table1[Self-Care and Living Skills2]),"")))</f>
        <v/>
      </c>
      <c r="FM116" s="44" t="str">
        <f>IF(Table1[Leaving Date]="","",IF(Table1[Date of Initial Assessment]="","",IF(AND(Table1[Leaving Date]&gt;42094,Table1[Leaving Date]&lt;42461),IF(Table1[Date of Last Assessment]="",Table1[Managing Money and Personal Administration],Table1[Managing Money and Personal Administration2]),"")))</f>
        <v/>
      </c>
      <c r="FN116" s="44" t="str">
        <f>IF(Table1[Leaving Date]="","",IF(Table1[Date of Initial Assessment]="","",IF(AND(Table1[Leaving Date]&gt;42094,Table1[Leaving Date]&lt;42461),IF(Table1[Date of Last Assessment]="",Table1[Social Networks and Relationships],Table1[Social Networks and Relationships2]),"")))</f>
        <v/>
      </c>
      <c r="FO116" s="44" t="str">
        <f>IF(Table1[Leaving Date]="","",IF(Table1[Date of Initial Assessment]="","",IF(AND(Table1[Leaving Date]&gt;42094,Table1[Leaving Date]&lt;42461),IF(Table1[Date of Last Assessment]="",Table1[Drug and Alcohol Misuse],Table1[Drug and Alcohol Misuse2]),"")))</f>
        <v/>
      </c>
      <c r="FP116" s="44" t="str">
        <f>IF(Table1[Leaving Date]="","",IF(Table1[Date of Initial Assessment]="","",IF(AND(Table1[Leaving Date]&gt;42094,Table1[Leaving Date]&lt;42461),IF(Table1[Date of Last Assessment]="",Table1[Physical Health],Table1[Physical Health2]),"")))</f>
        <v/>
      </c>
      <c r="FQ116" s="44" t="str">
        <f>IF(Table1[Leaving Date]="","",IF(Table1[Date of Initial Assessment]="","",IF(AND(Table1[Leaving Date]&gt;42094,Table1[Leaving Date]&lt;42461),IF(Table1[Date of Last Assessment]="",Table1[Emotional and Mental Health],Table1[Emotional and Mental Health2]),"")))</f>
        <v/>
      </c>
      <c r="FR116" s="44" t="str">
        <f>IF(Table1[Leaving Date]="","",IF(Table1[Date of Initial Assessment]="","",IF(AND(Table1[Leaving Date]&gt;42094,Table1[Leaving Date]&lt;42461),IF(Table1[Date of Last Assessment]="",Table1[Meaningful Use of Time],Table1[Meaningful Use of Time2]),"")))</f>
        <v/>
      </c>
      <c r="FS116" s="44" t="str">
        <f>IF(Table1[Leaving Date]="","",IF(Table1[Date of Initial Assessment]="","",IF(AND(Table1[Leaving Date]&gt;42094,Table1[Leaving Date]&lt;42461),IF(Table1[Date of Last Assessment]="",Table1[Managing Tenancy and Accommodation],Table1[Managing Tenancy and Accommodation2]),"")))</f>
        <v/>
      </c>
      <c r="FT116" s="44" t="str">
        <f>IF(Table1[Leaving Date]="","",IF(Table1[Date of Initial Assessment]="","",IF(AND(Table1[Leaving Date]&gt;42094,Table1[Leaving Date]&lt;42461),IF(Table1[Date of Last Assessment]="",Table1[Offending],Table1[Offending2]),"")))</f>
        <v/>
      </c>
      <c r="FU116" s="44" t="str">
        <f>IF(Table1[Date of Initial Assessment]="","",IF(AND(Table1[Start Date]&gt;42460,Table1[Start Date]&lt;42826),Table1[Motivation and Taking Responsibility],""))</f>
        <v/>
      </c>
      <c r="FV116" s="44" t="str">
        <f>IF(Table1[Date of Initial Assessment]="","",IF(AND(Table1[Start Date]&gt;42460,Table1[Start Date]&lt;42826),Table1[Self-Care and Living Skills],""))</f>
        <v/>
      </c>
      <c r="FW116" s="44" t="str">
        <f>IF(Table1[Date of Initial Assessment]="","",IF(AND(Table1[Start Date]&gt;42460,Table1[Start Date]&lt;42826),Table1[Managing Money and Personal Administration],""))</f>
        <v/>
      </c>
      <c r="FX116" s="44" t="str">
        <f>IF(Table1[Date of Initial Assessment]="","",IF(AND(Table1[Start Date]&gt;42460,Table1[Start Date]&lt;42826),Table1[Social Networks and Relationships],""))</f>
        <v/>
      </c>
      <c r="FY116" s="44" t="str">
        <f>IF(Table1[Date of Initial Assessment]="","",IF(AND(Table1[Start Date]&gt;42460,Table1[Start Date]&lt;42826),Table1[Drug and Alcohol Misuse],""))</f>
        <v/>
      </c>
      <c r="FZ116" s="44" t="str">
        <f>IF(Table1[Date of Initial Assessment]="","",IF(AND(Table1[Start Date]&gt;42460,Table1[Start Date]&lt;42826),Table1[Physical Health],""))</f>
        <v/>
      </c>
      <c r="GA116" s="44" t="str">
        <f>IF(Table1[Date of Initial Assessment]="","",IF(AND(Table1[Start Date]&gt;42460,Table1[Start Date]&lt;42826),Table1[Emotional and Mental Health],""))</f>
        <v/>
      </c>
      <c r="GB116" s="44" t="str">
        <f>IF(Table1[Date of Initial Assessment]="","",IF(AND(Table1[Start Date]&gt;42460,Table1[Start Date]&lt;42826),Table1[Meaningful Use of Time],""))</f>
        <v/>
      </c>
      <c r="GC116" s="44" t="str">
        <f>IF(Table1[Date of Initial Assessment]="","",IF(AND(Table1[Start Date]&gt;42460,Table1[Start Date]&lt;42826),Table1[Managing Tenancy and Accommodation],""))</f>
        <v/>
      </c>
      <c r="GD116" s="44" t="str">
        <f>IF(Table1[Date of Initial Assessment]="","",IF(AND(Table1[Start Date]&gt;42460,Table1[Start Date]&lt;42826),Table1[Offending],""))</f>
        <v/>
      </c>
      <c r="GE116" s="44" t="str">
        <f>IF(Table1[Leaving Date]="","",IF(AND(Table1[Leaving Date]&gt;42460,Table1[Leaving Date]&lt;42826),IF(Table1[Date of Last Assessment]="",Table1[Motivation and Taking Responsibility],Table1[Motivation and Taking Responsibility2]),""))</f>
        <v/>
      </c>
      <c r="GF116" s="44" t="str">
        <f>IF(Table1[Leaving Date]="","",IF(AND(Table1[Leaving Date]&gt;42460,Table1[Leaving Date]&lt;42826),IF(Table1[Date of Last Assessment]="",Table1[Self-Care and Living Skills],Table1[Self-Care and Living Skills2]),""))</f>
        <v/>
      </c>
      <c r="GG116" s="44" t="str">
        <f>IF(Table1[Leaving Date]="","",IF(AND(Table1[Leaving Date]&gt;42460,Table1[Leaving Date]&lt;42826),IF(Table1[Date of Last Assessment]="",Table1[Managing Money and Personal Administration],Table1[Managing Money and Personal Administration2]),""))</f>
        <v/>
      </c>
      <c r="GH116" s="44" t="str">
        <f>IF(Table1[Leaving Date]="","",IF(AND(Table1[Leaving Date]&gt;42460,Table1[Leaving Date]&lt;42826),IF(Table1[Date of Last Assessment]="",Table1[Social Networks and Relationships],Table1[Social Networks and Relationships2]),""))</f>
        <v/>
      </c>
      <c r="GI116" s="44" t="str">
        <f>IF(Table1[Leaving Date]="","",IF(AND(Table1[Leaving Date]&gt;42460,Table1[Leaving Date]&lt;42826),IF(Table1[Date of Last Assessment]="",Table1[Drug and Alcohol Misuse],Table1[Drug and Alcohol Misuse2]),""))</f>
        <v/>
      </c>
      <c r="GJ116" s="44" t="str">
        <f>IF(Table1[Leaving Date]="","",IF(AND(Table1[Leaving Date]&gt;42460,Table1[Leaving Date]&lt;42826),IF(Table1[Date of Last Assessment]="",Table1[Physical Health],Table1[Physical Health2]),""))</f>
        <v/>
      </c>
      <c r="GK116" s="44" t="str">
        <f>IF(Table1[Leaving Date]="","",IF(AND(Table1[Leaving Date]&gt;42460,Table1[Leaving Date]&lt;42826),IF(Table1[Date of Last Assessment]="",Table1[Emotional and Mental Health],Table1[Emotional and Mental Health2]),""))</f>
        <v/>
      </c>
      <c r="GL116" s="44" t="str">
        <f>IF(Table1[Leaving Date]="","",IF(AND(Table1[Leaving Date]&gt;42460,Table1[Leaving Date]&lt;42826),IF(Table1[Date of Last Assessment]="",Table1[Meaningful Use of Time],Table1[Meaningful Use of Time2]),""))</f>
        <v/>
      </c>
      <c r="GM116" s="44" t="str">
        <f>IF(Table1[Leaving Date]="","",IF(AND(Table1[Leaving Date]&gt;42460,Table1[Leaving Date]&lt;42826),IF(Table1[Date of Last Assessment]="",Table1[Managing Tenancy and Accommodation],Table1[Managing Tenancy and Accommodation2]),""))</f>
        <v/>
      </c>
      <c r="GN116" s="44" t="str">
        <f>IF(Table1[Leaving Date]="","",IF(AND(Table1[Leaving Date]&gt;42460,Table1[Leaving Date]&lt;42826),IF(Table1[Date of Last Assessment]="",Table1[Offending],Table1[Offending2]),""))</f>
        <v/>
      </c>
    </row>
    <row r="117" spans="2:196" ht="20.100000000000001" customHeight="1" x14ac:dyDescent="0.2">
      <c r="B117" s="86">
        <f>+'Service Data'!$C$5:$C$5</f>
        <v>0</v>
      </c>
      <c r="C117" s="86"/>
      <c r="D117" s="86"/>
      <c r="E117" s="86"/>
      <c r="F117" s="86"/>
      <c r="G117" s="86"/>
      <c r="H117" s="6"/>
      <c r="I117" s="99" t="str">
        <f ca="1">IF(Table1[[#This Row],[Date of Birth]]="","",SUM(TODAY()-Table1[[#This Row],[Date of Birth]])/365)</f>
        <v/>
      </c>
      <c r="L117" s="86"/>
      <c r="M117" s="77"/>
      <c r="N117" s="86"/>
      <c r="O117" s="86"/>
      <c r="P117" s="91"/>
      <c r="Q117" s="86"/>
      <c r="R117" s="77"/>
      <c r="S117" s="77"/>
      <c r="T117" s="68"/>
      <c r="U117" s="68"/>
      <c r="V117" s="67"/>
      <c r="W117" s="67"/>
      <c r="X117" s="67"/>
      <c r="Y117" s="67"/>
      <c r="Z117" s="67"/>
      <c r="AA117" s="67"/>
      <c r="AB117" s="67"/>
      <c r="AC117" s="67"/>
      <c r="AD117" s="67"/>
      <c r="AE117" s="67"/>
      <c r="AF117" s="67"/>
      <c r="AG117" s="67"/>
      <c r="AH117" s="67"/>
      <c r="AI117" s="67"/>
      <c r="AJ117" s="67"/>
      <c r="AK117" s="67"/>
      <c r="AL117" s="67"/>
      <c r="AM117" s="67"/>
      <c r="AN117" s="77"/>
      <c r="AO117" s="76"/>
      <c r="AP117" s="77"/>
      <c r="AQ117" s="76"/>
      <c r="AR117" s="76"/>
      <c r="AS117" s="76"/>
      <c r="AT117" s="76"/>
      <c r="AU117" s="76"/>
      <c r="AV117" s="77"/>
      <c r="AW117" s="76"/>
      <c r="AX117" s="77"/>
      <c r="AY117" s="76"/>
      <c r="AZ117" s="76"/>
      <c r="BA117" s="76"/>
      <c r="BB117" s="76"/>
      <c r="BC117" s="76"/>
      <c r="BD117" s="77"/>
      <c r="BE117" s="76"/>
      <c r="BF117" s="77"/>
      <c r="BG117" s="76"/>
      <c r="BH117" s="76"/>
      <c r="BI117" s="76"/>
      <c r="BJ117" s="76"/>
      <c r="BK117" s="76"/>
      <c r="BL117" s="77"/>
      <c r="BM117" s="76"/>
      <c r="BN117" s="77"/>
      <c r="BO117" s="76"/>
      <c r="BP117" s="76"/>
      <c r="BQ117" s="76"/>
      <c r="BR117" s="76"/>
      <c r="BS117" s="76"/>
      <c r="BT117" s="77"/>
      <c r="BU117" s="76"/>
      <c r="BV117" s="77"/>
      <c r="BW117" s="76"/>
      <c r="BX117" s="76"/>
      <c r="BY117" s="76"/>
      <c r="BZ117" s="76"/>
      <c r="CA117" s="76"/>
      <c r="CB117" s="77"/>
      <c r="CC117" s="76"/>
      <c r="CD117" s="77"/>
      <c r="CE117" s="76"/>
      <c r="CF117" s="76"/>
      <c r="CG117" s="76"/>
      <c r="CH117" s="76"/>
      <c r="CI117" s="76"/>
      <c r="CJ117" s="77"/>
      <c r="CK117" s="76"/>
      <c r="CL117" s="77"/>
      <c r="CM117" s="76"/>
      <c r="CN117" s="76"/>
      <c r="CO117" s="76"/>
      <c r="CP117" s="76"/>
      <c r="CQ117" s="76"/>
      <c r="CR117" s="78" t="str">
        <f t="shared" si="31"/>
        <v/>
      </c>
      <c r="CS117" s="79" t="str">
        <f t="shared" si="32"/>
        <v/>
      </c>
      <c r="CT117" s="79" t="str">
        <f t="shared" si="33"/>
        <v/>
      </c>
      <c r="CU117" s="79" t="str">
        <f t="shared" si="34"/>
        <v/>
      </c>
      <c r="CV117" s="79" t="str">
        <f t="shared" si="35"/>
        <v/>
      </c>
      <c r="CW117" s="79" t="str">
        <f t="shared" si="36"/>
        <v/>
      </c>
      <c r="CX117" s="79" t="str">
        <f t="shared" si="37"/>
        <v/>
      </c>
      <c r="CY117" s="79" t="str">
        <f t="shared" si="38"/>
        <v/>
      </c>
      <c r="CZ117" s="79" t="str">
        <f t="shared" si="39"/>
        <v/>
      </c>
      <c r="DA117" s="79" t="str">
        <f t="shared" si="40"/>
        <v/>
      </c>
      <c r="DB117" s="79" t="str">
        <f t="shared" si="41"/>
        <v/>
      </c>
      <c r="DC117" s="79" t="str">
        <f t="shared" si="42"/>
        <v/>
      </c>
      <c r="DD117" s="79" t="str">
        <f t="shared" si="43"/>
        <v/>
      </c>
      <c r="DE117" s="79" t="str">
        <f t="shared" si="44"/>
        <v/>
      </c>
      <c r="DF117" s="79" t="str">
        <f t="shared" si="45"/>
        <v/>
      </c>
      <c r="DG117" s="79" t="str">
        <f t="shared" si="46"/>
        <v/>
      </c>
      <c r="DH117" s="76"/>
      <c r="DI117" s="78"/>
      <c r="DJ117" s="76"/>
      <c r="DK117" s="77"/>
      <c r="DL117" s="77"/>
      <c r="DM117" s="77"/>
      <c r="DN117" s="80"/>
      <c r="DO117" s="80"/>
      <c r="DP117" s="92" t="str">
        <f>IF(Table1[Start Date]="","",IF(Table1[Start Date]&gt;42185,"",IF(AND(Table1[Leaving Date]&gt;1,Table1[Leaving Date]&lt;42095),"",1)))</f>
        <v/>
      </c>
      <c r="DQ117" s="92" t="str">
        <f>IF(Table1[Start Date]="","",IF(Table1[Start Date]&gt;42277,"",IF(AND(Table1[Leaving Date]&gt;1,Table1[Leaving Date]&lt;42186),"",1)))</f>
        <v/>
      </c>
      <c r="DR117" s="92" t="str">
        <f>IF(Table1[Start Date]="","",IF(Table1[Start Date]&gt;42369,"",IF(AND(Table1[Leaving Date]&gt;1,Table1[Leaving Date]&lt;42278),"",1)))</f>
        <v/>
      </c>
      <c r="DS117" s="92" t="str">
        <f>IF(Table1[Start Date]="","",IF(Table1[Start Date]&gt;42460,"",IF(AND(Table1[Leaving Date]&gt;1,Table1[Leaving Date]&lt;42370),"",1)))</f>
        <v/>
      </c>
      <c r="DT117" s="92" t="str">
        <f>IF(Table1[Start Date]="","",IF(Table1[Start Date]&gt;42551,"",IF(AND(Table1[Leaving Date]&gt;1,Table1[Leaving Date]&lt;42461),"",1)))</f>
        <v/>
      </c>
      <c r="DU117" s="92" t="str">
        <f>IF(Table1[Start Date]="","",IF(Table1[Start Date]&gt;42643,"",IF(AND(Table1[Leaving Date]&gt;1,Table1[Leaving Date]&lt;42552),"",1)))</f>
        <v/>
      </c>
      <c r="DV117" s="92" t="str">
        <f>IF(Table1[Start Date]="","",IF(Table1[Start Date]&gt;42735,"",IF(AND(Table1[Leaving Date]&gt;1,Table1[Leaving Date]&lt;42644),"",1)))</f>
        <v/>
      </c>
      <c r="DW117" s="92" t="str">
        <f>IF(Table1[Start Date]="","",IF(Table1[Start Date]&gt;42825,"",IF(AND(Table1[Leaving Date]&gt;1,Table1[Leaving Date]&lt;42736),"",1)))</f>
        <v/>
      </c>
      <c r="DX117"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117" s="44" t="e">
        <f>VLOOKUP(Table1[Referral Source],Lists!$G$2:$H$20,2,FALSE)</f>
        <v>#N/A</v>
      </c>
      <c r="DZ117" s="93" t="e">
        <f>SUM(Table1[Data Referral Quarter]+Table1[Data Referral Source])</f>
        <v>#N/A</v>
      </c>
      <c r="EA117" s="44" t="b">
        <f>IF(Table1[Referral Decision]="Accepted",100,IF(Table1[Referral Decision]="Rejected by Provider",200,IF(Table1[Referral Decision]="Rejected by Applicant",300)))</f>
        <v>0</v>
      </c>
      <c r="EB117" s="44">
        <f>SUM(Table1[Data Referral Quarter]+Table1[Data Referral Decision])</f>
        <v>0</v>
      </c>
      <c r="EC117" s="44" t="b">
        <f>IF(Table1[Start Date]&gt;42735,8000,IF(Table1[Start Date]&gt;42643,7000,IF(Table1[Start Date]&gt;42551,6000,IF(Table1[Start Date]&gt;42460,5000,IF(Table1[Start Date]&gt;42369,4000,IF(Table1[Start Date]&gt;42277,3000,IF(Table1[Start Date]&gt;42185,2000,IF(Table1[Start Date]&gt;42094,1000))))))))</f>
        <v>0</v>
      </c>
      <c r="ED117" s="44" t="str">
        <f>IF(Table1[Start Date]="","",IF(Table1[Current Local Authority]="Swindon",1,"2"))</f>
        <v/>
      </c>
      <c r="EE117" s="44" t="e">
        <f>SUM(Table1[Data Start Date]+Table1[Data Local Authority])</f>
        <v>#VALUE!</v>
      </c>
      <c r="EF117" s="44">
        <f>IF(Table1[Registered with GP]="Yes",1,0)</f>
        <v>0</v>
      </c>
      <c r="EG117" s="44">
        <f>SUM(Table1[Data Start Date]+Table1[Data GP Start])</f>
        <v>0</v>
      </c>
      <c r="EH117" s="44" t="str">
        <f>IF(Table1[EET]="NEET",1,IF(Table1[EET]="Education",2,IF(Table1[EET]="Employment",2,IF(Table1[EET]="Training",2,IF(Table1[EET]="Retired",3,"")))))</f>
        <v/>
      </c>
      <c r="EI117" s="44" t="e">
        <f>Table1[Data Start Date]+Table1[Data EET Start]</f>
        <v>#VALUE!</v>
      </c>
      <c r="EJ117" s="44" t="b">
        <f>IF(Table1[Leaving Date]&gt;42735,8000,IF(Table1[Leaving Date]&gt;42643,7000,IF(Table1[Leaving Date]&gt;42551,6000,IF(Table1[Leaving Date]&gt;42460,5000,IF(Table1[Leaving Date]&gt;42369,4000,IF(Table1[Leaving Date]&gt;42277,3000,IF(Table1[Leaving Date]&gt;42185,2000,IF(Table1[Leaving Date]&gt;42094,1000))))))))</f>
        <v>0</v>
      </c>
      <c r="EK117" s="44" t="e">
        <f>VLOOKUP(Table1[Reason for Leaving],Lists!$T$2:$U$15,2,FALSE)</f>
        <v>#N/A</v>
      </c>
      <c r="EL117" s="44" t="e">
        <f>SUM(Table1[Data Leavers Date]+Table1[Data Move On])</f>
        <v>#N/A</v>
      </c>
      <c r="EM117" s="44" t="b">
        <f>IF(Table1[Registered with GP2]="Yes",1,IF(Table1[Registered with GP2]="No",0,IF(Table1[Registered with GP]="Yes",1,IF(Table1[Registered with GP]="No",0))))</f>
        <v>0</v>
      </c>
      <c r="EN117" s="44">
        <f>SUM(Table1[Data Leavers Date]+Table1[Data GP End])</f>
        <v>0</v>
      </c>
      <c r="EO117" s="44" t="str">
        <f>IF(Table1[EET2]="NEET",1,IF(Table1[EET2]="Employment",2,IF(Table1[EET2]="Education",2,IF(Table1[EET2]="Training",2,IF(Table1[EET2]="Retired",3,IF(Table1[EET]="NEET",1,IF(Table1[EET]="Employment",2,IF(Table1[EET]="Education",2,IF(Table1[EET]="Training",2,IF(Table1[EET]="Retired",3,""))))))))))</f>
        <v/>
      </c>
      <c r="EP117" s="44" t="e">
        <f>+Table1[[#This Row],[Data Leavers Date]]+Table1[[#This Row],[Data EET End]]</f>
        <v>#VALUE!</v>
      </c>
      <c r="EQ117" s="44">
        <f>IF(Table1[Exit Form Received]="Yes",1,0)</f>
        <v>0</v>
      </c>
      <c r="ER117" s="44">
        <f>+Table1[[#This Row],[Data Leavers Date]]+Table1[[#This Row],[Data Exit Forms]]</f>
        <v>0</v>
      </c>
      <c r="ES117" s="44" t="str">
        <f>IF(Table1[Data Leavers Date]=1000,SUM(Table1[Leaving Date]-Table1[Start Date]),"")</f>
        <v/>
      </c>
      <c r="ET117" s="44" t="str">
        <f>IF(Table1[Data Leavers Date]=2000,SUM(Table1[Leaving Date]-Table1[Start Date]),"")</f>
        <v/>
      </c>
      <c r="EU117" s="44" t="str">
        <f>IF(Table1[Data Leavers Date]=3000,SUM(Table1[Leaving Date]-Table1[Start Date]),"")</f>
        <v/>
      </c>
      <c r="EV117" s="44" t="str">
        <f>IF(Table1[Data Leavers Date]=4000,SUM(Table1[Leaving Date]-Table1[Start Date]),"")</f>
        <v/>
      </c>
      <c r="EW117" s="44" t="str">
        <f>IF(Table1[Data Leavers Date]=5000,SUM(Table1[Leaving Date]-Table1[Start Date]),"")</f>
        <v/>
      </c>
      <c r="EX117" s="44" t="str">
        <f>IF(Table1[Data Leavers Date]=6000,SUM(Table1[Leaving Date]-Table1[Start Date]),"")</f>
        <v/>
      </c>
      <c r="EY117" s="44" t="str">
        <f>IF(Table1[Data Leavers Date]=7000,SUM(Table1[Leaving Date]-Table1[Start Date]),"")</f>
        <v/>
      </c>
      <c r="EZ117" s="44" t="str">
        <f>IF(Table1[Data Leavers Date]=8000,SUM(Table1[Leaving Date]-Table1[Start Date]),"")</f>
        <v/>
      </c>
      <c r="FA117" s="44" t="str">
        <f>IF(Table1[Date of Initial Assessment]="","",IF(AND(Table1[Start Date]&gt;42094,Table1[Start Date]&lt;42461),Table1[Motivation and Taking Responsibility],""))</f>
        <v/>
      </c>
      <c r="FB117" s="44" t="str">
        <f>IF(Table1[Date of Initial Assessment]="","",IF(AND(Table1[Start Date]&gt;42094,Table1[Start Date]&lt;42461),Table1[Self-Care and Living Skills],""))</f>
        <v/>
      </c>
      <c r="FC117" s="44" t="str">
        <f>IF(Table1[Date of Initial Assessment]="","",IF(AND(Table1[Start Date]&gt;42094,Table1[Start Date]&lt;42461),Table1[Managing Money and Personal Administration],""))</f>
        <v/>
      </c>
      <c r="FD117" s="44" t="str">
        <f>IF(Table1[Date of Initial Assessment]="","",IF(AND(Table1[Start Date]&gt;42094,Table1[Start Date]&lt;42461),Table1[Social Networks and Relationships],""))</f>
        <v/>
      </c>
      <c r="FE117" s="44" t="str">
        <f>IF(Table1[Date of Initial Assessment]="","",IF(AND(Table1[Start Date]&gt;42094,Table1[Start Date]&lt;42461),Table1[Drug and Alcohol Misuse],""))</f>
        <v/>
      </c>
      <c r="FF117" s="44" t="str">
        <f>IF(Table1[Date of Initial Assessment]="","",IF(AND(Table1[Start Date]&gt;42094,Table1[Start Date]&lt;42461),Table1[Physical Health],""))</f>
        <v/>
      </c>
      <c r="FG117" s="44" t="str">
        <f>IF(Table1[Date of Initial Assessment]="","",IF(AND(Table1[Start Date]&gt;42094,Table1[Start Date]&lt;42461),Table1[Emotional and Mental Health],""))</f>
        <v/>
      </c>
      <c r="FH117" s="44" t="str">
        <f>IF(Table1[Date of Initial Assessment]="","",IF(AND(Table1[Start Date]&gt;42094,Table1[Start Date]&lt;42461),Table1[Meaningful Use of Time],""))</f>
        <v/>
      </c>
      <c r="FI117" s="44" t="str">
        <f>IF(Table1[Date of Initial Assessment]="","",IF(AND(Table1[Start Date]&gt;42094,Table1[Start Date]&lt;42461),Table1[Managing Tenancy and Accommodation],""))</f>
        <v/>
      </c>
      <c r="FJ117" s="44" t="str">
        <f>IF(Table1[Date of Initial Assessment]="","",IF(AND(Table1[Start Date]&gt;42094,Table1[Start Date]&lt;42461),Table1[Offending],""))</f>
        <v/>
      </c>
      <c r="FK117" s="44" t="str">
        <f>IF(Table1[Leaving Date]="","",IF(Table1[Date of Initial Assessment]="","",IF(AND(Table1[Leaving Date]&gt;42094,Table1[Leaving Date]&lt;42461),IF(Table1[Date of Last Assessment]="",Table1[Motivation and Taking Responsibility],Table1[Motivation and Taking Responsibility2]),"")))</f>
        <v/>
      </c>
      <c r="FL117" s="44" t="str">
        <f>IF(Table1[Leaving Date]="","",IF(Table1[Date of Initial Assessment]="","",IF(AND(Table1[Leaving Date]&gt;42094,Table1[Leaving Date]&lt;42461),IF(Table1[Date of Last Assessment]="",Table1[Self-Care and Living Skills],Table1[Self-Care and Living Skills2]),"")))</f>
        <v/>
      </c>
      <c r="FM117" s="44" t="str">
        <f>IF(Table1[Leaving Date]="","",IF(Table1[Date of Initial Assessment]="","",IF(AND(Table1[Leaving Date]&gt;42094,Table1[Leaving Date]&lt;42461),IF(Table1[Date of Last Assessment]="",Table1[Managing Money and Personal Administration],Table1[Managing Money and Personal Administration2]),"")))</f>
        <v/>
      </c>
      <c r="FN117" s="44" t="str">
        <f>IF(Table1[Leaving Date]="","",IF(Table1[Date of Initial Assessment]="","",IF(AND(Table1[Leaving Date]&gt;42094,Table1[Leaving Date]&lt;42461),IF(Table1[Date of Last Assessment]="",Table1[Social Networks and Relationships],Table1[Social Networks and Relationships2]),"")))</f>
        <v/>
      </c>
      <c r="FO117" s="44" t="str">
        <f>IF(Table1[Leaving Date]="","",IF(Table1[Date of Initial Assessment]="","",IF(AND(Table1[Leaving Date]&gt;42094,Table1[Leaving Date]&lt;42461),IF(Table1[Date of Last Assessment]="",Table1[Drug and Alcohol Misuse],Table1[Drug and Alcohol Misuse2]),"")))</f>
        <v/>
      </c>
      <c r="FP117" s="44" t="str">
        <f>IF(Table1[Leaving Date]="","",IF(Table1[Date of Initial Assessment]="","",IF(AND(Table1[Leaving Date]&gt;42094,Table1[Leaving Date]&lt;42461),IF(Table1[Date of Last Assessment]="",Table1[Physical Health],Table1[Physical Health2]),"")))</f>
        <v/>
      </c>
      <c r="FQ117" s="44" t="str">
        <f>IF(Table1[Leaving Date]="","",IF(Table1[Date of Initial Assessment]="","",IF(AND(Table1[Leaving Date]&gt;42094,Table1[Leaving Date]&lt;42461),IF(Table1[Date of Last Assessment]="",Table1[Emotional and Mental Health],Table1[Emotional and Mental Health2]),"")))</f>
        <v/>
      </c>
      <c r="FR117" s="44" t="str">
        <f>IF(Table1[Leaving Date]="","",IF(Table1[Date of Initial Assessment]="","",IF(AND(Table1[Leaving Date]&gt;42094,Table1[Leaving Date]&lt;42461),IF(Table1[Date of Last Assessment]="",Table1[Meaningful Use of Time],Table1[Meaningful Use of Time2]),"")))</f>
        <v/>
      </c>
      <c r="FS117" s="44" t="str">
        <f>IF(Table1[Leaving Date]="","",IF(Table1[Date of Initial Assessment]="","",IF(AND(Table1[Leaving Date]&gt;42094,Table1[Leaving Date]&lt;42461),IF(Table1[Date of Last Assessment]="",Table1[Managing Tenancy and Accommodation],Table1[Managing Tenancy and Accommodation2]),"")))</f>
        <v/>
      </c>
      <c r="FT117" s="44" t="str">
        <f>IF(Table1[Leaving Date]="","",IF(Table1[Date of Initial Assessment]="","",IF(AND(Table1[Leaving Date]&gt;42094,Table1[Leaving Date]&lt;42461),IF(Table1[Date of Last Assessment]="",Table1[Offending],Table1[Offending2]),"")))</f>
        <v/>
      </c>
      <c r="FU117" s="44" t="str">
        <f>IF(Table1[Date of Initial Assessment]="","",IF(AND(Table1[Start Date]&gt;42460,Table1[Start Date]&lt;42826),Table1[Motivation and Taking Responsibility],""))</f>
        <v/>
      </c>
      <c r="FV117" s="44" t="str">
        <f>IF(Table1[Date of Initial Assessment]="","",IF(AND(Table1[Start Date]&gt;42460,Table1[Start Date]&lt;42826),Table1[Self-Care and Living Skills],""))</f>
        <v/>
      </c>
      <c r="FW117" s="44" t="str">
        <f>IF(Table1[Date of Initial Assessment]="","",IF(AND(Table1[Start Date]&gt;42460,Table1[Start Date]&lt;42826),Table1[Managing Money and Personal Administration],""))</f>
        <v/>
      </c>
      <c r="FX117" s="44" t="str">
        <f>IF(Table1[Date of Initial Assessment]="","",IF(AND(Table1[Start Date]&gt;42460,Table1[Start Date]&lt;42826),Table1[Social Networks and Relationships],""))</f>
        <v/>
      </c>
      <c r="FY117" s="44" t="str">
        <f>IF(Table1[Date of Initial Assessment]="","",IF(AND(Table1[Start Date]&gt;42460,Table1[Start Date]&lt;42826),Table1[Drug and Alcohol Misuse],""))</f>
        <v/>
      </c>
      <c r="FZ117" s="44" t="str">
        <f>IF(Table1[Date of Initial Assessment]="","",IF(AND(Table1[Start Date]&gt;42460,Table1[Start Date]&lt;42826),Table1[Physical Health],""))</f>
        <v/>
      </c>
      <c r="GA117" s="44" t="str">
        <f>IF(Table1[Date of Initial Assessment]="","",IF(AND(Table1[Start Date]&gt;42460,Table1[Start Date]&lt;42826),Table1[Emotional and Mental Health],""))</f>
        <v/>
      </c>
      <c r="GB117" s="44" t="str">
        <f>IF(Table1[Date of Initial Assessment]="","",IF(AND(Table1[Start Date]&gt;42460,Table1[Start Date]&lt;42826),Table1[Meaningful Use of Time],""))</f>
        <v/>
      </c>
      <c r="GC117" s="44" t="str">
        <f>IF(Table1[Date of Initial Assessment]="","",IF(AND(Table1[Start Date]&gt;42460,Table1[Start Date]&lt;42826),Table1[Managing Tenancy and Accommodation],""))</f>
        <v/>
      </c>
      <c r="GD117" s="44" t="str">
        <f>IF(Table1[Date of Initial Assessment]="","",IF(AND(Table1[Start Date]&gt;42460,Table1[Start Date]&lt;42826),Table1[Offending],""))</f>
        <v/>
      </c>
      <c r="GE117" s="44" t="str">
        <f>IF(Table1[Leaving Date]="","",IF(AND(Table1[Leaving Date]&gt;42460,Table1[Leaving Date]&lt;42826),IF(Table1[Date of Last Assessment]="",Table1[Motivation and Taking Responsibility],Table1[Motivation and Taking Responsibility2]),""))</f>
        <v/>
      </c>
      <c r="GF117" s="44" t="str">
        <f>IF(Table1[Leaving Date]="","",IF(AND(Table1[Leaving Date]&gt;42460,Table1[Leaving Date]&lt;42826),IF(Table1[Date of Last Assessment]="",Table1[Self-Care and Living Skills],Table1[Self-Care and Living Skills2]),""))</f>
        <v/>
      </c>
      <c r="GG117" s="44" t="str">
        <f>IF(Table1[Leaving Date]="","",IF(AND(Table1[Leaving Date]&gt;42460,Table1[Leaving Date]&lt;42826),IF(Table1[Date of Last Assessment]="",Table1[Managing Money and Personal Administration],Table1[Managing Money and Personal Administration2]),""))</f>
        <v/>
      </c>
      <c r="GH117" s="44" t="str">
        <f>IF(Table1[Leaving Date]="","",IF(AND(Table1[Leaving Date]&gt;42460,Table1[Leaving Date]&lt;42826),IF(Table1[Date of Last Assessment]="",Table1[Social Networks and Relationships],Table1[Social Networks and Relationships2]),""))</f>
        <v/>
      </c>
      <c r="GI117" s="44" t="str">
        <f>IF(Table1[Leaving Date]="","",IF(AND(Table1[Leaving Date]&gt;42460,Table1[Leaving Date]&lt;42826),IF(Table1[Date of Last Assessment]="",Table1[Drug and Alcohol Misuse],Table1[Drug and Alcohol Misuse2]),""))</f>
        <v/>
      </c>
      <c r="GJ117" s="44" t="str">
        <f>IF(Table1[Leaving Date]="","",IF(AND(Table1[Leaving Date]&gt;42460,Table1[Leaving Date]&lt;42826),IF(Table1[Date of Last Assessment]="",Table1[Physical Health],Table1[Physical Health2]),""))</f>
        <v/>
      </c>
      <c r="GK117" s="44" t="str">
        <f>IF(Table1[Leaving Date]="","",IF(AND(Table1[Leaving Date]&gt;42460,Table1[Leaving Date]&lt;42826),IF(Table1[Date of Last Assessment]="",Table1[Emotional and Mental Health],Table1[Emotional and Mental Health2]),""))</f>
        <v/>
      </c>
      <c r="GL117" s="44" t="str">
        <f>IF(Table1[Leaving Date]="","",IF(AND(Table1[Leaving Date]&gt;42460,Table1[Leaving Date]&lt;42826),IF(Table1[Date of Last Assessment]="",Table1[Meaningful Use of Time],Table1[Meaningful Use of Time2]),""))</f>
        <v/>
      </c>
      <c r="GM117" s="44" t="str">
        <f>IF(Table1[Leaving Date]="","",IF(AND(Table1[Leaving Date]&gt;42460,Table1[Leaving Date]&lt;42826),IF(Table1[Date of Last Assessment]="",Table1[Managing Tenancy and Accommodation],Table1[Managing Tenancy and Accommodation2]),""))</f>
        <v/>
      </c>
      <c r="GN117" s="44" t="str">
        <f>IF(Table1[Leaving Date]="","",IF(AND(Table1[Leaving Date]&gt;42460,Table1[Leaving Date]&lt;42826),IF(Table1[Date of Last Assessment]="",Table1[Offending],Table1[Offending2]),""))</f>
        <v/>
      </c>
    </row>
    <row r="118" spans="2:196" ht="20.100000000000001" customHeight="1" x14ac:dyDescent="0.2">
      <c r="B118" s="86">
        <f>+'Service Data'!$C$5:$C$5</f>
        <v>0</v>
      </c>
      <c r="C118" s="86"/>
      <c r="D118" s="86"/>
      <c r="E118" s="86"/>
      <c r="F118" s="86"/>
      <c r="G118" s="86"/>
      <c r="H118" s="6"/>
      <c r="I118" s="99" t="str">
        <f ca="1">IF(Table1[[#This Row],[Date of Birth]]="","",SUM(TODAY()-Table1[[#This Row],[Date of Birth]])/365)</f>
        <v/>
      </c>
      <c r="L118" s="86"/>
      <c r="M118" s="77"/>
      <c r="N118" s="86"/>
      <c r="O118" s="86"/>
      <c r="P118" s="91"/>
      <c r="Q118" s="86"/>
      <c r="R118" s="77"/>
      <c r="S118" s="77"/>
      <c r="T118" s="68"/>
      <c r="U118" s="68"/>
      <c r="V118" s="67"/>
      <c r="W118" s="67"/>
      <c r="X118" s="67"/>
      <c r="Y118" s="67"/>
      <c r="Z118" s="67"/>
      <c r="AA118" s="67"/>
      <c r="AB118" s="67"/>
      <c r="AC118" s="67"/>
      <c r="AD118" s="67"/>
      <c r="AE118" s="67"/>
      <c r="AF118" s="67"/>
      <c r="AG118" s="67"/>
      <c r="AH118" s="67"/>
      <c r="AI118" s="67"/>
      <c r="AJ118" s="67"/>
      <c r="AK118" s="67"/>
      <c r="AL118" s="67"/>
      <c r="AM118" s="67"/>
      <c r="AN118" s="77"/>
      <c r="AO118" s="76"/>
      <c r="AP118" s="77"/>
      <c r="AQ118" s="76"/>
      <c r="AR118" s="76"/>
      <c r="AS118" s="76"/>
      <c r="AT118" s="76"/>
      <c r="AU118" s="76"/>
      <c r="AV118" s="77"/>
      <c r="AW118" s="76"/>
      <c r="AX118" s="77"/>
      <c r="AY118" s="76"/>
      <c r="AZ118" s="76"/>
      <c r="BA118" s="76"/>
      <c r="BB118" s="76"/>
      <c r="BC118" s="76"/>
      <c r="BD118" s="77"/>
      <c r="BE118" s="76"/>
      <c r="BF118" s="77"/>
      <c r="BG118" s="76"/>
      <c r="BH118" s="76"/>
      <c r="BI118" s="76"/>
      <c r="BJ118" s="76"/>
      <c r="BK118" s="76"/>
      <c r="BL118" s="77"/>
      <c r="BM118" s="76"/>
      <c r="BN118" s="77"/>
      <c r="BO118" s="76"/>
      <c r="BP118" s="76"/>
      <c r="BQ118" s="76"/>
      <c r="BR118" s="76"/>
      <c r="BS118" s="76"/>
      <c r="BT118" s="77"/>
      <c r="BU118" s="76"/>
      <c r="BV118" s="77"/>
      <c r="BW118" s="76"/>
      <c r="BX118" s="76"/>
      <c r="BY118" s="76"/>
      <c r="BZ118" s="76"/>
      <c r="CA118" s="76"/>
      <c r="CB118" s="77"/>
      <c r="CC118" s="76"/>
      <c r="CD118" s="77"/>
      <c r="CE118" s="76"/>
      <c r="CF118" s="76"/>
      <c r="CG118" s="76"/>
      <c r="CH118" s="76"/>
      <c r="CI118" s="76"/>
      <c r="CJ118" s="77"/>
      <c r="CK118" s="76"/>
      <c r="CL118" s="77"/>
      <c r="CM118" s="76"/>
      <c r="CN118" s="76"/>
      <c r="CO118" s="76"/>
      <c r="CP118" s="76"/>
      <c r="CQ118" s="76"/>
      <c r="CR118" s="78" t="str">
        <f t="shared" si="31"/>
        <v/>
      </c>
      <c r="CS118" s="79" t="str">
        <f t="shared" si="32"/>
        <v/>
      </c>
      <c r="CT118" s="79" t="str">
        <f t="shared" si="33"/>
        <v/>
      </c>
      <c r="CU118" s="79" t="str">
        <f t="shared" si="34"/>
        <v/>
      </c>
      <c r="CV118" s="79" t="str">
        <f t="shared" si="35"/>
        <v/>
      </c>
      <c r="CW118" s="79" t="str">
        <f t="shared" si="36"/>
        <v/>
      </c>
      <c r="CX118" s="79" t="str">
        <f t="shared" si="37"/>
        <v/>
      </c>
      <c r="CY118" s="79" t="str">
        <f t="shared" si="38"/>
        <v/>
      </c>
      <c r="CZ118" s="79" t="str">
        <f t="shared" si="39"/>
        <v/>
      </c>
      <c r="DA118" s="79" t="str">
        <f t="shared" si="40"/>
        <v/>
      </c>
      <c r="DB118" s="79" t="str">
        <f t="shared" si="41"/>
        <v/>
      </c>
      <c r="DC118" s="79" t="str">
        <f t="shared" si="42"/>
        <v/>
      </c>
      <c r="DD118" s="79" t="str">
        <f t="shared" si="43"/>
        <v/>
      </c>
      <c r="DE118" s="79" t="str">
        <f t="shared" si="44"/>
        <v/>
      </c>
      <c r="DF118" s="79" t="str">
        <f t="shared" si="45"/>
        <v/>
      </c>
      <c r="DG118" s="79" t="str">
        <f t="shared" si="46"/>
        <v/>
      </c>
      <c r="DH118" s="76"/>
      <c r="DI118" s="78"/>
      <c r="DJ118" s="76"/>
      <c r="DK118" s="77"/>
      <c r="DL118" s="77"/>
      <c r="DM118" s="77"/>
      <c r="DN118" s="80"/>
      <c r="DO118" s="80"/>
      <c r="DP118" s="92" t="str">
        <f>IF(Table1[Start Date]="","",IF(Table1[Start Date]&gt;42185,"",IF(AND(Table1[Leaving Date]&gt;1,Table1[Leaving Date]&lt;42095),"",1)))</f>
        <v/>
      </c>
      <c r="DQ118" s="92" t="str">
        <f>IF(Table1[Start Date]="","",IF(Table1[Start Date]&gt;42277,"",IF(AND(Table1[Leaving Date]&gt;1,Table1[Leaving Date]&lt;42186),"",1)))</f>
        <v/>
      </c>
      <c r="DR118" s="92" t="str">
        <f>IF(Table1[Start Date]="","",IF(Table1[Start Date]&gt;42369,"",IF(AND(Table1[Leaving Date]&gt;1,Table1[Leaving Date]&lt;42278),"",1)))</f>
        <v/>
      </c>
      <c r="DS118" s="92" t="str">
        <f>IF(Table1[Start Date]="","",IF(Table1[Start Date]&gt;42460,"",IF(AND(Table1[Leaving Date]&gt;1,Table1[Leaving Date]&lt;42370),"",1)))</f>
        <v/>
      </c>
      <c r="DT118" s="92" t="str">
        <f>IF(Table1[Start Date]="","",IF(Table1[Start Date]&gt;42551,"",IF(AND(Table1[Leaving Date]&gt;1,Table1[Leaving Date]&lt;42461),"",1)))</f>
        <v/>
      </c>
      <c r="DU118" s="92" t="str">
        <f>IF(Table1[Start Date]="","",IF(Table1[Start Date]&gt;42643,"",IF(AND(Table1[Leaving Date]&gt;1,Table1[Leaving Date]&lt;42552),"",1)))</f>
        <v/>
      </c>
      <c r="DV118" s="92" t="str">
        <f>IF(Table1[Start Date]="","",IF(Table1[Start Date]&gt;42735,"",IF(AND(Table1[Leaving Date]&gt;1,Table1[Leaving Date]&lt;42644),"",1)))</f>
        <v/>
      </c>
      <c r="DW118" s="92" t="str">
        <f>IF(Table1[Start Date]="","",IF(Table1[Start Date]&gt;42825,"",IF(AND(Table1[Leaving Date]&gt;1,Table1[Leaving Date]&lt;42736),"",1)))</f>
        <v/>
      </c>
      <c r="DX118"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118" s="44" t="e">
        <f>VLOOKUP(Table1[Referral Source],Lists!$G$2:$H$20,2,FALSE)</f>
        <v>#N/A</v>
      </c>
      <c r="DZ118" s="93" t="e">
        <f>SUM(Table1[Data Referral Quarter]+Table1[Data Referral Source])</f>
        <v>#N/A</v>
      </c>
      <c r="EA118" s="44" t="b">
        <f>IF(Table1[Referral Decision]="Accepted",100,IF(Table1[Referral Decision]="Rejected by Provider",200,IF(Table1[Referral Decision]="Rejected by Applicant",300)))</f>
        <v>0</v>
      </c>
      <c r="EB118" s="44">
        <f>SUM(Table1[Data Referral Quarter]+Table1[Data Referral Decision])</f>
        <v>0</v>
      </c>
      <c r="EC118" s="44" t="b">
        <f>IF(Table1[Start Date]&gt;42735,8000,IF(Table1[Start Date]&gt;42643,7000,IF(Table1[Start Date]&gt;42551,6000,IF(Table1[Start Date]&gt;42460,5000,IF(Table1[Start Date]&gt;42369,4000,IF(Table1[Start Date]&gt;42277,3000,IF(Table1[Start Date]&gt;42185,2000,IF(Table1[Start Date]&gt;42094,1000))))))))</f>
        <v>0</v>
      </c>
      <c r="ED118" s="44" t="str">
        <f>IF(Table1[Start Date]="","",IF(Table1[Current Local Authority]="Swindon",1,"2"))</f>
        <v/>
      </c>
      <c r="EE118" s="44" t="e">
        <f>SUM(Table1[Data Start Date]+Table1[Data Local Authority])</f>
        <v>#VALUE!</v>
      </c>
      <c r="EF118" s="44">
        <f>IF(Table1[Registered with GP]="Yes",1,0)</f>
        <v>0</v>
      </c>
      <c r="EG118" s="44">
        <f>SUM(Table1[Data Start Date]+Table1[Data GP Start])</f>
        <v>0</v>
      </c>
      <c r="EH118" s="44" t="str">
        <f>IF(Table1[EET]="NEET",1,IF(Table1[EET]="Education",2,IF(Table1[EET]="Employment",2,IF(Table1[EET]="Training",2,IF(Table1[EET]="Retired",3,"")))))</f>
        <v/>
      </c>
      <c r="EI118" s="44" t="e">
        <f>Table1[Data Start Date]+Table1[Data EET Start]</f>
        <v>#VALUE!</v>
      </c>
      <c r="EJ118" s="44" t="b">
        <f>IF(Table1[Leaving Date]&gt;42735,8000,IF(Table1[Leaving Date]&gt;42643,7000,IF(Table1[Leaving Date]&gt;42551,6000,IF(Table1[Leaving Date]&gt;42460,5000,IF(Table1[Leaving Date]&gt;42369,4000,IF(Table1[Leaving Date]&gt;42277,3000,IF(Table1[Leaving Date]&gt;42185,2000,IF(Table1[Leaving Date]&gt;42094,1000))))))))</f>
        <v>0</v>
      </c>
      <c r="EK118" s="44" t="e">
        <f>VLOOKUP(Table1[Reason for Leaving],Lists!$T$2:$U$15,2,FALSE)</f>
        <v>#N/A</v>
      </c>
      <c r="EL118" s="44" t="e">
        <f>SUM(Table1[Data Leavers Date]+Table1[Data Move On])</f>
        <v>#N/A</v>
      </c>
      <c r="EM118" s="44" t="b">
        <f>IF(Table1[Registered with GP2]="Yes",1,IF(Table1[Registered with GP2]="No",0,IF(Table1[Registered with GP]="Yes",1,IF(Table1[Registered with GP]="No",0))))</f>
        <v>0</v>
      </c>
      <c r="EN118" s="44">
        <f>SUM(Table1[Data Leavers Date]+Table1[Data GP End])</f>
        <v>0</v>
      </c>
      <c r="EO118" s="44" t="str">
        <f>IF(Table1[EET2]="NEET",1,IF(Table1[EET2]="Employment",2,IF(Table1[EET2]="Education",2,IF(Table1[EET2]="Training",2,IF(Table1[EET2]="Retired",3,IF(Table1[EET]="NEET",1,IF(Table1[EET]="Employment",2,IF(Table1[EET]="Education",2,IF(Table1[EET]="Training",2,IF(Table1[EET]="Retired",3,""))))))))))</f>
        <v/>
      </c>
      <c r="EP118" s="44" t="e">
        <f>+Table1[[#This Row],[Data Leavers Date]]+Table1[[#This Row],[Data EET End]]</f>
        <v>#VALUE!</v>
      </c>
      <c r="EQ118" s="44">
        <f>IF(Table1[Exit Form Received]="Yes",1,0)</f>
        <v>0</v>
      </c>
      <c r="ER118" s="44">
        <f>+Table1[[#This Row],[Data Leavers Date]]+Table1[[#This Row],[Data Exit Forms]]</f>
        <v>0</v>
      </c>
      <c r="ES118" s="44" t="str">
        <f>IF(Table1[Data Leavers Date]=1000,SUM(Table1[Leaving Date]-Table1[Start Date]),"")</f>
        <v/>
      </c>
      <c r="ET118" s="44" t="str">
        <f>IF(Table1[Data Leavers Date]=2000,SUM(Table1[Leaving Date]-Table1[Start Date]),"")</f>
        <v/>
      </c>
      <c r="EU118" s="44" t="str">
        <f>IF(Table1[Data Leavers Date]=3000,SUM(Table1[Leaving Date]-Table1[Start Date]),"")</f>
        <v/>
      </c>
      <c r="EV118" s="44" t="str">
        <f>IF(Table1[Data Leavers Date]=4000,SUM(Table1[Leaving Date]-Table1[Start Date]),"")</f>
        <v/>
      </c>
      <c r="EW118" s="44" t="str">
        <f>IF(Table1[Data Leavers Date]=5000,SUM(Table1[Leaving Date]-Table1[Start Date]),"")</f>
        <v/>
      </c>
      <c r="EX118" s="44" t="str">
        <f>IF(Table1[Data Leavers Date]=6000,SUM(Table1[Leaving Date]-Table1[Start Date]),"")</f>
        <v/>
      </c>
      <c r="EY118" s="44" t="str">
        <f>IF(Table1[Data Leavers Date]=7000,SUM(Table1[Leaving Date]-Table1[Start Date]),"")</f>
        <v/>
      </c>
      <c r="EZ118" s="44" t="str">
        <f>IF(Table1[Data Leavers Date]=8000,SUM(Table1[Leaving Date]-Table1[Start Date]),"")</f>
        <v/>
      </c>
      <c r="FA118" s="44" t="str">
        <f>IF(Table1[Date of Initial Assessment]="","",IF(AND(Table1[Start Date]&gt;42094,Table1[Start Date]&lt;42461),Table1[Motivation and Taking Responsibility],""))</f>
        <v/>
      </c>
      <c r="FB118" s="44" t="str">
        <f>IF(Table1[Date of Initial Assessment]="","",IF(AND(Table1[Start Date]&gt;42094,Table1[Start Date]&lt;42461),Table1[Self-Care and Living Skills],""))</f>
        <v/>
      </c>
      <c r="FC118" s="44" t="str">
        <f>IF(Table1[Date of Initial Assessment]="","",IF(AND(Table1[Start Date]&gt;42094,Table1[Start Date]&lt;42461),Table1[Managing Money and Personal Administration],""))</f>
        <v/>
      </c>
      <c r="FD118" s="44" t="str">
        <f>IF(Table1[Date of Initial Assessment]="","",IF(AND(Table1[Start Date]&gt;42094,Table1[Start Date]&lt;42461),Table1[Social Networks and Relationships],""))</f>
        <v/>
      </c>
      <c r="FE118" s="44" t="str">
        <f>IF(Table1[Date of Initial Assessment]="","",IF(AND(Table1[Start Date]&gt;42094,Table1[Start Date]&lt;42461),Table1[Drug and Alcohol Misuse],""))</f>
        <v/>
      </c>
      <c r="FF118" s="44" t="str">
        <f>IF(Table1[Date of Initial Assessment]="","",IF(AND(Table1[Start Date]&gt;42094,Table1[Start Date]&lt;42461),Table1[Physical Health],""))</f>
        <v/>
      </c>
      <c r="FG118" s="44" t="str">
        <f>IF(Table1[Date of Initial Assessment]="","",IF(AND(Table1[Start Date]&gt;42094,Table1[Start Date]&lt;42461),Table1[Emotional and Mental Health],""))</f>
        <v/>
      </c>
      <c r="FH118" s="44" t="str">
        <f>IF(Table1[Date of Initial Assessment]="","",IF(AND(Table1[Start Date]&gt;42094,Table1[Start Date]&lt;42461),Table1[Meaningful Use of Time],""))</f>
        <v/>
      </c>
      <c r="FI118" s="44" t="str">
        <f>IF(Table1[Date of Initial Assessment]="","",IF(AND(Table1[Start Date]&gt;42094,Table1[Start Date]&lt;42461),Table1[Managing Tenancy and Accommodation],""))</f>
        <v/>
      </c>
      <c r="FJ118" s="44" t="str">
        <f>IF(Table1[Date of Initial Assessment]="","",IF(AND(Table1[Start Date]&gt;42094,Table1[Start Date]&lt;42461),Table1[Offending],""))</f>
        <v/>
      </c>
      <c r="FK118" s="44" t="str">
        <f>IF(Table1[Leaving Date]="","",IF(Table1[Date of Initial Assessment]="","",IF(AND(Table1[Leaving Date]&gt;42094,Table1[Leaving Date]&lt;42461),IF(Table1[Date of Last Assessment]="",Table1[Motivation and Taking Responsibility],Table1[Motivation and Taking Responsibility2]),"")))</f>
        <v/>
      </c>
      <c r="FL118" s="44" t="str">
        <f>IF(Table1[Leaving Date]="","",IF(Table1[Date of Initial Assessment]="","",IF(AND(Table1[Leaving Date]&gt;42094,Table1[Leaving Date]&lt;42461),IF(Table1[Date of Last Assessment]="",Table1[Self-Care and Living Skills],Table1[Self-Care and Living Skills2]),"")))</f>
        <v/>
      </c>
      <c r="FM118" s="44" t="str">
        <f>IF(Table1[Leaving Date]="","",IF(Table1[Date of Initial Assessment]="","",IF(AND(Table1[Leaving Date]&gt;42094,Table1[Leaving Date]&lt;42461),IF(Table1[Date of Last Assessment]="",Table1[Managing Money and Personal Administration],Table1[Managing Money and Personal Administration2]),"")))</f>
        <v/>
      </c>
      <c r="FN118" s="44" t="str">
        <f>IF(Table1[Leaving Date]="","",IF(Table1[Date of Initial Assessment]="","",IF(AND(Table1[Leaving Date]&gt;42094,Table1[Leaving Date]&lt;42461),IF(Table1[Date of Last Assessment]="",Table1[Social Networks and Relationships],Table1[Social Networks and Relationships2]),"")))</f>
        <v/>
      </c>
      <c r="FO118" s="44" t="str">
        <f>IF(Table1[Leaving Date]="","",IF(Table1[Date of Initial Assessment]="","",IF(AND(Table1[Leaving Date]&gt;42094,Table1[Leaving Date]&lt;42461),IF(Table1[Date of Last Assessment]="",Table1[Drug and Alcohol Misuse],Table1[Drug and Alcohol Misuse2]),"")))</f>
        <v/>
      </c>
      <c r="FP118" s="44" t="str">
        <f>IF(Table1[Leaving Date]="","",IF(Table1[Date of Initial Assessment]="","",IF(AND(Table1[Leaving Date]&gt;42094,Table1[Leaving Date]&lt;42461),IF(Table1[Date of Last Assessment]="",Table1[Physical Health],Table1[Physical Health2]),"")))</f>
        <v/>
      </c>
      <c r="FQ118" s="44" t="str">
        <f>IF(Table1[Leaving Date]="","",IF(Table1[Date of Initial Assessment]="","",IF(AND(Table1[Leaving Date]&gt;42094,Table1[Leaving Date]&lt;42461),IF(Table1[Date of Last Assessment]="",Table1[Emotional and Mental Health],Table1[Emotional and Mental Health2]),"")))</f>
        <v/>
      </c>
      <c r="FR118" s="44" t="str">
        <f>IF(Table1[Leaving Date]="","",IF(Table1[Date of Initial Assessment]="","",IF(AND(Table1[Leaving Date]&gt;42094,Table1[Leaving Date]&lt;42461),IF(Table1[Date of Last Assessment]="",Table1[Meaningful Use of Time],Table1[Meaningful Use of Time2]),"")))</f>
        <v/>
      </c>
      <c r="FS118" s="44" t="str">
        <f>IF(Table1[Leaving Date]="","",IF(Table1[Date of Initial Assessment]="","",IF(AND(Table1[Leaving Date]&gt;42094,Table1[Leaving Date]&lt;42461),IF(Table1[Date of Last Assessment]="",Table1[Managing Tenancy and Accommodation],Table1[Managing Tenancy and Accommodation2]),"")))</f>
        <v/>
      </c>
      <c r="FT118" s="44" t="str">
        <f>IF(Table1[Leaving Date]="","",IF(Table1[Date of Initial Assessment]="","",IF(AND(Table1[Leaving Date]&gt;42094,Table1[Leaving Date]&lt;42461),IF(Table1[Date of Last Assessment]="",Table1[Offending],Table1[Offending2]),"")))</f>
        <v/>
      </c>
      <c r="FU118" s="44" t="str">
        <f>IF(Table1[Date of Initial Assessment]="","",IF(AND(Table1[Start Date]&gt;42460,Table1[Start Date]&lt;42826),Table1[Motivation and Taking Responsibility],""))</f>
        <v/>
      </c>
      <c r="FV118" s="44" t="str">
        <f>IF(Table1[Date of Initial Assessment]="","",IF(AND(Table1[Start Date]&gt;42460,Table1[Start Date]&lt;42826),Table1[Self-Care and Living Skills],""))</f>
        <v/>
      </c>
      <c r="FW118" s="44" t="str">
        <f>IF(Table1[Date of Initial Assessment]="","",IF(AND(Table1[Start Date]&gt;42460,Table1[Start Date]&lt;42826),Table1[Managing Money and Personal Administration],""))</f>
        <v/>
      </c>
      <c r="FX118" s="44" t="str">
        <f>IF(Table1[Date of Initial Assessment]="","",IF(AND(Table1[Start Date]&gt;42460,Table1[Start Date]&lt;42826),Table1[Social Networks and Relationships],""))</f>
        <v/>
      </c>
      <c r="FY118" s="44" t="str">
        <f>IF(Table1[Date of Initial Assessment]="","",IF(AND(Table1[Start Date]&gt;42460,Table1[Start Date]&lt;42826),Table1[Drug and Alcohol Misuse],""))</f>
        <v/>
      </c>
      <c r="FZ118" s="44" t="str">
        <f>IF(Table1[Date of Initial Assessment]="","",IF(AND(Table1[Start Date]&gt;42460,Table1[Start Date]&lt;42826),Table1[Physical Health],""))</f>
        <v/>
      </c>
      <c r="GA118" s="44" t="str">
        <f>IF(Table1[Date of Initial Assessment]="","",IF(AND(Table1[Start Date]&gt;42460,Table1[Start Date]&lt;42826),Table1[Emotional and Mental Health],""))</f>
        <v/>
      </c>
      <c r="GB118" s="44" t="str">
        <f>IF(Table1[Date of Initial Assessment]="","",IF(AND(Table1[Start Date]&gt;42460,Table1[Start Date]&lt;42826),Table1[Meaningful Use of Time],""))</f>
        <v/>
      </c>
      <c r="GC118" s="44" t="str">
        <f>IF(Table1[Date of Initial Assessment]="","",IF(AND(Table1[Start Date]&gt;42460,Table1[Start Date]&lt;42826),Table1[Managing Tenancy and Accommodation],""))</f>
        <v/>
      </c>
      <c r="GD118" s="44" t="str">
        <f>IF(Table1[Date of Initial Assessment]="","",IF(AND(Table1[Start Date]&gt;42460,Table1[Start Date]&lt;42826),Table1[Offending],""))</f>
        <v/>
      </c>
      <c r="GE118" s="44" t="str">
        <f>IF(Table1[Leaving Date]="","",IF(AND(Table1[Leaving Date]&gt;42460,Table1[Leaving Date]&lt;42826),IF(Table1[Date of Last Assessment]="",Table1[Motivation and Taking Responsibility],Table1[Motivation and Taking Responsibility2]),""))</f>
        <v/>
      </c>
      <c r="GF118" s="44" t="str">
        <f>IF(Table1[Leaving Date]="","",IF(AND(Table1[Leaving Date]&gt;42460,Table1[Leaving Date]&lt;42826),IF(Table1[Date of Last Assessment]="",Table1[Self-Care and Living Skills],Table1[Self-Care and Living Skills2]),""))</f>
        <v/>
      </c>
      <c r="GG118" s="44" t="str">
        <f>IF(Table1[Leaving Date]="","",IF(AND(Table1[Leaving Date]&gt;42460,Table1[Leaving Date]&lt;42826),IF(Table1[Date of Last Assessment]="",Table1[Managing Money and Personal Administration],Table1[Managing Money and Personal Administration2]),""))</f>
        <v/>
      </c>
      <c r="GH118" s="44" t="str">
        <f>IF(Table1[Leaving Date]="","",IF(AND(Table1[Leaving Date]&gt;42460,Table1[Leaving Date]&lt;42826),IF(Table1[Date of Last Assessment]="",Table1[Social Networks and Relationships],Table1[Social Networks and Relationships2]),""))</f>
        <v/>
      </c>
      <c r="GI118" s="44" t="str">
        <f>IF(Table1[Leaving Date]="","",IF(AND(Table1[Leaving Date]&gt;42460,Table1[Leaving Date]&lt;42826),IF(Table1[Date of Last Assessment]="",Table1[Drug and Alcohol Misuse],Table1[Drug and Alcohol Misuse2]),""))</f>
        <v/>
      </c>
      <c r="GJ118" s="44" t="str">
        <f>IF(Table1[Leaving Date]="","",IF(AND(Table1[Leaving Date]&gt;42460,Table1[Leaving Date]&lt;42826),IF(Table1[Date of Last Assessment]="",Table1[Physical Health],Table1[Physical Health2]),""))</f>
        <v/>
      </c>
      <c r="GK118" s="44" t="str">
        <f>IF(Table1[Leaving Date]="","",IF(AND(Table1[Leaving Date]&gt;42460,Table1[Leaving Date]&lt;42826),IF(Table1[Date of Last Assessment]="",Table1[Emotional and Mental Health],Table1[Emotional and Mental Health2]),""))</f>
        <v/>
      </c>
      <c r="GL118" s="44" t="str">
        <f>IF(Table1[Leaving Date]="","",IF(AND(Table1[Leaving Date]&gt;42460,Table1[Leaving Date]&lt;42826),IF(Table1[Date of Last Assessment]="",Table1[Meaningful Use of Time],Table1[Meaningful Use of Time2]),""))</f>
        <v/>
      </c>
      <c r="GM118" s="44" t="str">
        <f>IF(Table1[Leaving Date]="","",IF(AND(Table1[Leaving Date]&gt;42460,Table1[Leaving Date]&lt;42826),IF(Table1[Date of Last Assessment]="",Table1[Managing Tenancy and Accommodation],Table1[Managing Tenancy and Accommodation2]),""))</f>
        <v/>
      </c>
      <c r="GN118" s="44" t="str">
        <f>IF(Table1[Leaving Date]="","",IF(AND(Table1[Leaving Date]&gt;42460,Table1[Leaving Date]&lt;42826),IF(Table1[Date of Last Assessment]="",Table1[Offending],Table1[Offending2]),""))</f>
        <v/>
      </c>
    </row>
    <row r="119" spans="2:196" ht="20.100000000000001" customHeight="1" x14ac:dyDescent="0.2">
      <c r="B119" s="86">
        <f>+'Service Data'!$C$5:$C$5</f>
        <v>0</v>
      </c>
      <c r="C119" s="86"/>
      <c r="D119" s="86"/>
      <c r="E119" s="86"/>
      <c r="F119" s="86"/>
      <c r="G119" s="86"/>
      <c r="H119" s="6"/>
      <c r="I119" s="99" t="str">
        <f ca="1">IF(Table1[[#This Row],[Date of Birth]]="","",SUM(TODAY()-Table1[[#This Row],[Date of Birth]])/365)</f>
        <v/>
      </c>
      <c r="L119" s="86"/>
      <c r="M119" s="77"/>
      <c r="N119" s="86"/>
      <c r="O119" s="86"/>
      <c r="P119" s="91"/>
      <c r="Q119" s="86"/>
      <c r="R119" s="77"/>
      <c r="S119" s="77"/>
      <c r="T119" s="68"/>
      <c r="U119" s="68"/>
      <c r="V119" s="67"/>
      <c r="W119" s="67"/>
      <c r="X119" s="67"/>
      <c r="Y119" s="67"/>
      <c r="Z119" s="67"/>
      <c r="AA119" s="67"/>
      <c r="AB119" s="67"/>
      <c r="AC119" s="67"/>
      <c r="AD119" s="67"/>
      <c r="AE119" s="67"/>
      <c r="AF119" s="67"/>
      <c r="AG119" s="67"/>
      <c r="AH119" s="67"/>
      <c r="AI119" s="67"/>
      <c r="AJ119" s="67"/>
      <c r="AK119" s="67"/>
      <c r="AL119" s="67"/>
      <c r="AM119" s="67"/>
      <c r="AN119" s="77"/>
      <c r="AO119" s="76"/>
      <c r="AP119" s="77"/>
      <c r="AQ119" s="76"/>
      <c r="AR119" s="76"/>
      <c r="AS119" s="76"/>
      <c r="AT119" s="76"/>
      <c r="AU119" s="76"/>
      <c r="AV119" s="77"/>
      <c r="AW119" s="76"/>
      <c r="AX119" s="77"/>
      <c r="AY119" s="76"/>
      <c r="AZ119" s="76"/>
      <c r="BA119" s="76"/>
      <c r="BB119" s="76"/>
      <c r="BC119" s="76"/>
      <c r="BD119" s="77"/>
      <c r="BE119" s="76"/>
      <c r="BF119" s="77"/>
      <c r="BG119" s="76"/>
      <c r="BH119" s="76"/>
      <c r="BI119" s="76"/>
      <c r="BJ119" s="76"/>
      <c r="BK119" s="76"/>
      <c r="BL119" s="77"/>
      <c r="BM119" s="76"/>
      <c r="BN119" s="77"/>
      <c r="BO119" s="76"/>
      <c r="BP119" s="76"/>
      <c r="BQ119" s="76"/>
      <c r="BR119" s="76"/>
      <c r="BS119" s="76"/>
      <c r="BT119" s="77"/>
      <c r="BU119" s="76"/>
      <c r="BV119" s="77"/>
      <c r="BW119" s="76"/>
      <c r="BX119" s="76"/>
      <c r="BY119" s="76"/>
      <c r="BZ119" s="76"/>
      <c r="CA119" s="76"/>
      <c r="CB119" s="77"/>
      <c r="CC119" s="76"/>
      <c r="CD119" s="77"/>
      <c r="CE119" s="76"/>
      <c r="CF119" s="76"/>
      <c r="CG119" s="76"/>
      <c r="CH119" s="76"/>
      <c r="CI119" s="76"/>
      <c r="CJ119" s="77"/>
      <c r="CK119" s="76"/>
      <c r="CL119" s="77"/>
      <c r="CM119" s="76"/>
      <c r="CN119" s="76"/>
      <c r="CO119" s="76"/>
      <c r="CP119" s="76"/>
      <c r="CQ119" s="76"/>
      <c r="CR119" s="78" t="str">
        <f t="shared" si="31"/>
        <v/>
      </c>
      <c r="CS119" s="79" t="str">
        <f t="shared" si="32"/>
        <v/>
      </c>
      <c r="CT119" s="79" t="str">
        <f t="shared" si="33"/>
        <v/>
      </c>
      <c r="CU119" s="79" t="str">
        <f t="shared" si="34"/>
        <v/>
      </c>
      <c r="CV119" s="79" t="str">
        <f t="shared" si="35"/>
        <v/>
      </c>
      <c r="CW119" s="79" t="str">
        <f t="shared" si="36"/>
        <v/>
      </c>
      <c r="CX119" s="79" t="str">
        <f t="shared" si="37"/>
        <v/>
      </c>
      <c r="CY119" s="79" t="str">
        <f t="shared" si="38"/>
        <v/>
      </c>
      <c r="CZ119" s="79" t="str">
        <f t="shared" si="39"/>
        <v/>
      </c>
      <c r="DA119" s="79" t="str">
        <f t="shared" si="40"/>
        <v/>
      </c>
      <c r="DB119" s="79" t="str">
        <f t="shared" si="41"/>
        <v/>
      </c>
      <c r="DC119" s="79" t="str">
        <f t="shared" si="42"/>
        <v/>
      </c>
      <c r="DD119" s="79" t="str">
        <f t="shared" si="43"/>
        <v/>
      </c>
      <c r="DE119" s="79" t="str">
        <f t="shared" si="44"/>
        <v/>
      </c>
      <c r="DF119" s="79" t="str">
        <f t="shared" si="45"/>
        <v/>
      </c>
      <c r="DG119" s="79" t="str">
        <f t="shared" si="46"/>
        <v/>
      </c>
      <c r="DH119" s="76"/>
      <c r="DI119" s="78"/>
      <c r="DJ119" s="76"/>
      <c r="DK119" s="77"/>
      <c r="DL119" s="77"/>
      <c r="DM119" s="77"/>
      <c r="DN119" s="80"/>
      <c r="DO119" s="80"/>
      <c r="DP119" s="92" t="str">
        <f>IF(Table1[Start Date]="","",IF(Table1[Start Date]&gt;42185,"",IF(AND(Table1[Leaving Date]&gt;1,Table1[Leaving Date]&lt;42095),"",1)))</f>
        <v/>
      </c>
      <c r="DQ119" s="92" t="str">
        <f>IF(Table1[Start Date]="","",IF(Table1[Start Date]&gt;42277,"",IF(AND(Table1[Leaving Date]&gt;1,Table1[Leaving Date]&lt;42186),"",1)))</f>
        <v/>
      </c>
      <c r="DR119" s="92" t="str">
        <f>IF(Table1[Start Date]="","",IF(Table1[Start Date]&gt;42369,"",IF(AND(Table1[Leaving Date]&gt;1,Table1[Leaving Date]&lt;42278),"",1)))</f>
        <v/>
      </c>
      <c r="DS119" s="92" t="str">
        <f>IF(Table1[Start Date]="","",IF(Table1[Start Date]&gt;42460,"",IF(AND(Table1[Leaving Date]&gt;1,Table1[Leaving Date]&lt;42370),"",1)))</f>
        <v/>
      </c>
      <c r="DT119" s="92" t="str">
        <f>IF(Table1[Start Date]="","",IF(Table1[Start Date]&gt;42551,"",IF(AND(Table1[Leaving Date]&gt;1,Table1[Leaving Date]&lt;42461),"",1)))</f>
        <v/>
      </c>
      <c r="DU119" s="92" t="str">
        <f>IF(Table1[Start Date]="","",IF(Table1[Start Date]&gt;42643,"",IF(AND(Table1[Leaving Date]&gt;1,Table1[Leaving Date]&lt;42552),"",1)))</f>
        <v/>
      </c>
      <c r="DV119" s="92" t="str">
        <f>IF(Table1[Start Date]="","",IF(Table1[Start Date]&gt;42735,"",IF(AND(Table1[Leaving Date]&gt;1,Table1[Leaving Date]&lt;42644),"",1)))</f>
        <v/>
      </c>
      <c r="DW119" s="92" t="str">
        <f>IF(Table1[Start Date]="","",IF(Table1[Start Date]&gt;42825,"",IF(AND(Table1[Leaving Date]&gt;1,Table1[Leaving Date]&lt;42736),"",1)))</f>
        <v/>
      </c>
      <c r="DX119"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119" s="44" t="e">
        <f>VLOOKUP(Table1[Referral Source],Lists!$G$2:$H$20,2,FALSE)</f>
        <v>#N/A</v>
      </c>
      <c r="DZ119" s="93" t="e">
        <f>SUM(Table1[Data Referral Quarter]+Table1[Data Referral Source])</f>
        <v>#N/A</v>
      </c>
      <c r="EA119" s="44" t="b">
        <f>IF(Table1[Referral Decision]="Accepted",100,IF(Table1[Referral Decision]="Rejected by Provider",200,IF(Table1[Referral Decision]="Rejected by Applicant",300)))</f>
        <v>0</v>
      </c>
      <c r="EB119" s="44">
        <f>SUM(Table1[Data Referral Quarter]+Table1[Data Referral Decision])</f>
        <v>0</v>
      </c>
      <c r="EC119" s="44" t="b">
        <f>IF(Table1[Start Date]&gt;42735,8000,IF(Table1[Start Date]&gt;42643,7000,IF(Table1[Start Date]&gt;42551,6000,IF(Table1[Start Date]&gt;42460,5000,IF(Table1[Start Date]&gt;42369,4000,IF(Table1[Start Date]&gt;42277,3000,IF(Table1[Start Date]&gt;42185,2000,IF(Table1[Start Date]&gt;42094,1000))))))))</f>
        <v>0</v>
      </c>
      <c r="ED119" s="44" t="str">
        <f>IF(Table1[Start Date]="","",IF(Table1[Current Local Authority]="Swindon",1,"2"))</f>
        <v/>
      </c>
      <c r="EE119" s="44" t="e">
        <f>SUM(Table1[Data Start Date]+Table1[Data Local Authority])</f>
        <v>#VALUE!</v>
      </c>
      <c r="EF119" s="44">
        <f>IF(Table1[Registered with GP]="Yes",1,0)</f>
        <v>0</v>
      </c>
      <c r="EG119" s="44">
        <f>SUM(Table1[Data Start Date]+Table1[Data GP Start])</f>
        <v>0</v>
      </c>
      <c r="EH119" s="44" t="str">
        <f>IF(Table1[EET]="NEET",1,IF(Table1[EET]="Education",2,IF(Table1[EET]="Employment",2,IF(Table1[EET]="Training",2,IF(Table1[EET]="Retired",3,"")))))</f>
        <v/>
      </c>
      <c r="EI119" s="44" t="e">
        <f>Table1[Data Start Date]+Table1[Data EET Start]</f>
        <v>#VALUE!</v>
      </c>
      <c r="EJ119" s="44" t="b">
        <f>IF(Table1[Leaving Date]&gt;42735,8000,IF(Table1[Leaving Date]&gt;42643,7000,IF(Table1[Leaving Date]&gt;42551,6000,IF(Table1[Leaving Date]&gt;42460,5000,IF(Table1[Leaving Date]&gt;42369,4000,IF(Table1[Leaving Date]&gt;42277,3000,IF(Table1[Leaving Date]&gt;42185,2000,IF(Table1[Leaving Date]&gt;42094,1000))))))))</f>
        <v>0</v>
      </c>
      <c r="EK119" s="44" t="e">
        <f>VLOOKUP(Table1[Reason for Leaving],Lists!$T$2:$U$15,2,FALSE)</f>
        <v>#N/A</v>
      </c>
      <c r="EL119" s="44" t="e">
        <f>SUM(Table1[Data Leavers Date]+Table1[Data Move On])</f>
        <v>#N/A</v>
      </c>
      <c r="EM119" s="44" t="b">
        <f>IF(Table1[Registered with GP2]="Yes",1,IF(Table1[Registered with GP2]="No",0,IF(Table1[Registered with GP]="Yes",1,IF(Table1[Registered with GP]="No",0))))</f>
        <v>0</v>
      </c>
      <c r="EN119" s="44">
        <f>SUM(Table1[Data Leavers Date]+Table1[Data GP End])</f>
        <v>0</v>
      </c>
      <c r="EO119" s="44" t="str">
        <f>IF(Table1[EET2]="NEET",1,IF(Table1[EET2]="Employment",2,IF(Table1[EET2]="Education",2,IF(Table1[EET2]="Training",2,IF(Table1[EET2]="Retired",3,IF(Table1[EET]="NEET",1,IF(Table1[EET]="Employment",2,IF(Table1[EET]="Education",2,IF(Table1[EET]="Training",2,IF(Table1[EET]="Retired",3,""))))))))))</f>
        <v/>
      </c>
      <c r="EP119" s="44" t="e">
        <f>+Table1[[#This Row],[Data Leavers Date]]+Table1[[#This Row],[Data EET End]]</f>
        <v>#VALUE!</v>
      </c>
      <c r="EQ119" s="44">
        <f>IF(Table1[Exit Form Received]="Yes",1,0)</f>
        <v>0</v>
      </c>
      <c r="ER119" s="44">
        <f>+Table1[[#This Row],[Data Leavers Date]]+Table1[[#This Row],[Data Exit Forms]]</f>
        <v>0</v>
      </c>
      <c r="ES119" s="44" t="str">
        <f>IF(Table1[Data Leavers Date]=1000,SUM(Table1[Leaving Date]-Table1[Start Date]),"")</f>
        <v/>
      </c>
      <c r="ET119" s="44" t="str">
        <f>IF(Table1[Data Leavers Date]=2000,SUM(Table1[Leaving Date]-Table1[Start Date]),"")</f>
        <v/>
      </c>
      <c r="EU119" s="44" t="str">
        <f>IF(Table1[Data Leavers Date]=3000,SUM(Table1[Leaving Date]-Table1[Start Date]),"")</f>
        <v/>
      </c>
      <c r="EV119" s="44" t="str">
        <f>IF(Table1[Data Leavers Date]=4000,SUM(Table1[Leaving Date]-Table1[Start Date]),"")</f>
        <v/>
      </c>
      <c r="EW119" s="44" t="str">
        <f>IF(Table1[Data Leavers Date]=5000,SUM(Table1[Leaving Date]-Table1[Start Date]),"")</f>
        <v/>
      </c>
      <c r="EX119" s="44" t="str">
        <f>IF(Table1[Data Leavers Date]=6000,SUM(Table1[Leaving Date]-Table1[Start Date]),"")</f>
        <v/>
      </c>
      <c r="EY119" s="44" t="str">
        <f>IF(Table1[Data Leavers Date]=7000,SUM(Table1[Leaving Date]-Table1[Start Date]),"")</f>
        <v/>
      </c>
      <c r="EZ119" s="44" t="str">
        <f>IF(Table1[Data Leavers Date]=8000,SUM(Table1[Leaving Date]-Table1[Start Date]),"")</f>
        <v/>
      </c>
      <c r="FA119" s="44" t="str">
        <f>IF(Table1[Date of Initial Assessment]="","",IF(AND(Table1[Start Date]&gt;42094,Table1[Start Date]&lt;42461),Table1[Motivation and Taking Responsibility],""))</f>
        <v/>
      </c>
      <c r="FB119" s="44" t="str">
        <f>IF(Table1[Date of Initial Assessment]="","",IF(AND(Table1[Start Date]&gt;42094,Table1[Start Date]&lt;42461),Table1[Self-Care and Living Skills],""))</f>
        <v/>
      </c>
      <c r="FC119" s="44" t="str">
        <f>IF(Table1[Date of Initial Assessment]="","",IF(AND(Table1[Start Date]&gt;42094,Table1[Start Date]&lt;42461),Table1[Managing Money and Personal Administration],""))</f>
        <v/>
      </c>
      <c r="FD119" s="44" t="str">
        <f>IF(Table1[Date of Initial Assessment]="","",IF(AND(Table1[Start Date]&gt;42094,Table1[Start Date]&lt;42461),Table1[Social Networks and Relationships],""))</f>
        <v/>
      </c>
      <c r="FE119" s="44" t="str">
        <f>IF(Table1[Date of Initial Assessment]="","",IF(AND(Table1[Start Date]&gt;42094,Table1[Start Date]&lt;42461),Table1[Drug and Alcohol Misuse],""))</f>
        <v/>
      </c>
      <c r="FF119" s="44" t="str">
        <f>IF(Table1[Date of Initial Assessment]="","",IF(AND(Table1[Start Date]&gt;42094,Table1[Start Date]&lt;42461),Table1[Physical Health],""))</f>
        <v/>
      </c>
      <c r="FG119" s="44" t="str">
        <f>IF(Table1[Date of Initial Assessment]="","",IF(AND(Table1[Start Date]&gt;42094,Table1[Start Date]&lt;42461),Table1[Emotional and Mental Health],""))</f>
        <v/>
      </c>
      <c r="FH119" s="44" t="str">
        <f>IF(Table1[Date of Initial Assessment]="","",IF(AND(Table1[Start Date]&gt;42094,Table1[Start Date]&lt;42461),Table1[Meaningful Use of Time],""))</f>
        <v/>
      </c>
      <c r="FI119" s="44" t="str">
        <f>IF(Table1[Date of Initial Assessment]="","",IF(AND(Table1[Start Date]&gt;42094,Table1[Start Date]&lt;42461),Table1[Managing Tenancy and Accommodation],""))</f>
        <v/>
      </c>
      <c r="FJ119" s="44" t="str">
        <f>IF(Table1[Date of Initial Assessment]="","",IF(AND(Table1[Start Date]&gt;42094,Table1[Start Date]&lt;42461),Table1[Offending],""))</f>
        <v/>
      </c>
      <c r="FK119" s="44" t="str">
        <f>IF(Table1[Leaving Date]="","",IF(Table1[Date of Initial Assessment]="","",IF(AND(Table1[Leaving Date]&gt;42094,Table1[Leaving Date]&lt;42461),IF(Table1[Date of Last Assessment]="",Table1[Motivation and Taking Responsibility],Table1[Motivation and Taking Responsibility2]),"")))</f>
        <v/>
      </c>
      <c r="FL119" s="44" t="str">
        <f>IF(Table1[Leaving Date]="","",IF(Table1[Date of Initial Assessment]="","",IF(AND(Table1[Leaving Date]&gt;42094,Table1[Leaving Date]&lt;42461),IF(Table1[Date of Last Assessment]="",Table1[Self-Care and Living Skills],Table1[Self-Care and Living Skills2]),"")))</f>
        <v/>
      </c>
      <c r="FM119" s="44" t="str">
        <f>IF(Table1[Leaving Date]="","",IF(Table1[Date of Initial Assessment]="","",IF(AND(Table1[Leaving Date]&gt;42094,Table1[Leaving Date]&lt;42461),IF(Table1[Date of Last Assessment]="",Table1[Managing Money and Personal Administration],Table1[Managing Money and Personal Administration2]),"")))</f>
        <v/>
      </c>
      <c r="FN119" s="44" t="str">
        <f>IF(Table1[Leaving Date]="","",IF(Table1[Date of Initial Assessment]="","",IF(AND(Table1[Leaving Date]&gt;42094,Table1[Leaving Date]&lt;42461),IF(Table1[Date of Last Assessment]="",Table1[Social Networks and Relationships],Table1[Social Networks and Relationships2]),"")))</f>
        <v/>
      </c>
      <c r="FO119" s="44" t="str">
        <f>IF(Table1[Leaving Date]="","",IF(Table1[Date of Initial Assessment]="","",IF(AND(Table1[Leaving Date]&gt;42094,Table1[Leaving Date]&lt;42461),IF(Table1[Date of Last Assessment]="",Table1[Drug and Alcohol Misuse],Table1[Drug and Alcohol Misuse2]),"")))</f>
        <v/>
      </c>
      <c r="FP119" s="44" t="str">
        <f>IF(Table1[Leaving Date]="","",IF(Table1[Date of Initial Assessment]="","",IF(AND(Table1[Leaving Date]&gt;42094,Table1[Leaving Date]&lt;42461),IF(Table1[Date of Last Assessment]="",Table1[Physical Health],Table1[Physical Health2]),"")))</f>
        <v/>
      </c>
      <c r="FQ119" s="44" t="str">
        <f>IF(Table1[Leaving Date]="","",IF(Table1[Date of Initial Assessment]="","",IF(AND(Table1[Leaving Date]&gt;42094,Table1[Leaving Date]&lt;42461),IF(Table1[Date of Last Assessment]="",Table1[Emotional and Mental Health],Table1[Emotional and Mental Health2]),"")))</f>
        <v/>
      </c>
      <c r="FR119" s="44" t="str">
        <f>IF(Table1[Leaving Date]="","",IF(Table1[Date of Initial Assessment]="","",IF(AND(Table1[Leaving Date]&gt;42094,Table1[Leaving Date]&lt;42461),IF(Table1[Date of Last Assessment]="",Table1[Meaningful Use of Time],Table1[Meaningful Use of Time2]),"")))</f>
        <v/>
      </c>
      <c r="FS119" s="44" t="str">
        <f>IF(Table1[Leaving Date]="","",IF(Table1[Date of Initial Assessment]="","",IF(AND(Table1[Leaving Date]&gt;42094,Table1[Leaving Date]&lt;42461),IF(Table1[Date of Last Assessment]="",Table1[Managing Tenancy and Accommodation],Table1[Managing Tenancy and Accommodation2]),"")))</f>
        <v/>
      </c>
      <c r="FT119" s="44" t="str">
        <f>IF(Table1[Leaving Date]="","",IF(Table1[Date of Initial Assessment]="","",IF(AND(Table1[Leaving Date]&gt;42094,Table1[Leaving Date]&lt;42461),IF(Table1[Date of Last Assessment]="",Table1[Offending],Table1[Offending2]),"")))</f>
        <v/>
      </c>
      <c r="FU119" s="44" t="str">
        <f>IF(Table1[Date of Initial Assessment]="","",IF(AND(Table1[Start Date]&gt;42460,Table1[Start Date]&lt;42826),Table1[Motivation and Taking Responsibility],""))</f>
        <v/>
      </c>
      <c r="FV119" s="44" t="str">
        <f>IF(Table1[Date of Initial Assessment]="","",IF(AND(Table1[Start Date]&gt;42460,Table1[Start Date]&lt;42826),Table1[Self-Care and Living Skills],""))</f>
        <v/>
      </c>
      <c r="FW119" s="44" t="str">
        <f>IF(Table1[Date of Initial Assessment]="","",IF(AND(Table1[Start Date]&gt;42460,Table1[Start Date]&lt;42826),Table1[Managing Money and Personal Administration],""))</f>
        <v/>
      </c>
      <c r="FX119" s="44" t="str">
        <f>IF(Table1[Date of Initial Assessment]="","",IF(AND(Table1[Start Date]&gt;42460,Table1[Start Date]&lt;42826),Table1[Social Networks and Relationships],""))</f>
        <v/>
      </c>
      <c r="FY119" s="44" t="str">
        <f>IF(Table1[Date of Initial Assessment]="","",IF(AND(Table1[Start Date]&gt;42460,Table1[Start Date]&lt;42826),Table1[Drug and Alcohol Misuse],""))</f>
        <v/>
      </c>
      <c r="FZ119" s="44" t="str">
        <f>IF(Table1[Date of Initial Assessment]="","",IF(AND(Table1[Start Date]&gt;42460,Table1[Start Date]&lt;42826),Table1[Physical Health],""))</f>
        <v/>
      </c>
      <c r="GA119" s="44" t="str">
        <f>IF(Table1[Date of Initial Assessment]="","",IF(AND(Table1[Start Date]&gt;42460,Table1[Start Date]&lt;42826),Table1[Emotional and Mental Health],""))</f>
        <v/>
      </c>
      <c r="GB119" s="44" t="str">
        <f>IF(Table1[Date of Initial Assessment]="","",IF(AND(Table1[Start Date]&gt;42460,Table1[Start Date]&lt;42826),Table1[Meaningful Use of Time],""))</f>
        <v/>
      </c>
      <c r="GC119" s="44" t="str">
        <f>IF(Table1[Date of Initial Assessment]="","",IF(AND(Table1[Start Date]&gt;42460,Table1[Start Date]&lt;42826),Table1[Managing Tenancy and Accommodation],""))</f>
        <v/>
      </c>
      <c r="GD119" s="44" t="str">
        <f>IF(Table1[Date of Initial Assessment]="","",IF(AND(Table1[Start Date]&gt;42460,Table1[Start Date]&lt;42826),Table1[Offending],""))</f>
        <v/>
      </c>
      <c r="GE119" s="44" t="str">
        <f>IF(Table1[Leaving Date]="","",IF(AND(Table1[Leaving Date]&gt;42460,Table1[Leaving Date]&lt;42826),IF(Table1[Date of Last Assessment]="",Table1[Motivation and Taking Responsibility],Table1[Motivation and Taking Responsibility2]),""))</f>
        <v/>
      </c>
      <c r="GF119" s="44" t="str">
        <f>IF(Table1[Leaving Date]="","",IF(AND(Table1[Leaving Date]&gt;42460,Table1[Leaving Date]&lt;42826),IF(Table1[Date of Last Assessment]="",Table1[Self-Care and Living Skills],Table1[Self-Care and Living Skills2]),""))</f>
        <v/>
      </c>
      <c r="GG119" s="44" t="str">
        <f>IF(Table1[Leaving Date]="","",IF(AND(Table1[Leaving Date]&gt;42460,Table1[Leaving Date]&lt;42826),IF(Table1[Date of Last Assessment]="",Table1[Managing Money and Personal Administration],Table1[Managing Money and Personal Administration2]),""))</f>
        <v/>
      </c>
      <c r="GH119" s="44" t="str">
        <f>IF(Table1[Leaving Date]="","",IF(AND(Table1[Leaving Date]&gt;42460,Table1[Leaving Date]&lt;42826),IF(Table1[Date of Last Assessment]="",Table1[Social Networks and Relationships],Table1[Social Networks and Relationships2]),""))</f>
        <v/>
      </c>
      <c r="GI119" s="44" t="str">
        <f>IF(Table1[Leaving Date]="","",IF(AND(Table1[Leaving Date]&gt;42460,Table1[Leaving Date]&lt;42826),IF(Table1[Date of Last Assessment]="",Table1[Drug and Alcohol Misuse],Table1[Drug and Alcohol Misuse2]),""))</f>
        <v/>
      </c>
      <c r="GJ119" s="44" t="str">
        <f>IF(Table1[Leaving Date]="","",IF(AND(Table1[Leaving Date]&gt;42460,Table1[Leaving Date]&lt;42826),IF(Table1[Date of Last Assessment]="",Table1[Physical Health],Table1[Physical Health2]),""))</f>
        <v/>
      </c>
      <c r="GK119" s="44" t="str">
        <f>IF(Table1[Leaving Date]="","",IF(AND(Table1[Leaving Date]&gt;42460,Table1[Leaving Date]&lt;42826),IF(Table1[Date of Last Assessment]="",Table1[Emotional and Mental Health],Table1[Emotional and Mental Health2]),""))</f>
        <v/>
      </c>
      <c r="GL119" s="44" t="str">
        <f>IF(Table1[Leaving Date]="","",IF(AND(Table1[Leaving Date]&gt;42460,Table1[Leaving Date]&lt;42826),IF(Table1[Date of Last Assessment]="",Table1[Meaningful Use of Time],Table1[Meaningful Use of Time2]),""))</f>
        <v/>
      </c>
      <c r="GM119" s="44" t="str">
        <f>IF(Table1[Leaving Date]="","",IF(AND(Table1[Leaving Date]&gt;42460,Table1[Leaving Date]&lt;42826),IF(Table1[Date of Last Assessment]="",Table1[Managing Tenancy and Accommodation],Table1[Managing Tenancy and Accommodation2]),""))</f>
        <v/>
      </c>
      <c r="GN119" s="44" t="str">
        <f>IF(Table1[Leaving Date]="","",IF(AND(Table1[Leaving Date]&gt;42460,Table1[Leaving Date]&lt;42826),IF(Table1[Date of Last Assessment]="",Table1[Offending],Table1[Offending2]),""))</f>
        <v/>
      </c>
    </row>
    <row r="120" spans="2:196" ht="20.100000000000001" customHeight="1" x14ac:dyDescent="0.2">
      <c r="B120" s="86">
        <f>+'Service Data'!$C$5:$C$5</f>
        <v>0</v>
      </c>
      <c r="C120" s="86"/>
      <c r="D120" s="86"/>
      <c r="E120" s="86"/>
      <c r="F120" s="86"/>
      <c r="G120" s="86"/>
      <c r="H120" s="6"/>
      <c r="I120" s="99" t="str">
        <f ca="1">IF(Table1[[#This Row],[Date of Birth]]="","",SUM(TODAY()-Table1[[#This Row],[Date of Birth]])/365)</f>
        <v/>
      </c>
      <c r="L120" s="86"/>
      <c r="M120" s="77"/>
      <c r="N120" s="86"/>
      <c r="O120" s="86"/>
      <c r="P120" s="91"/>
      <c r="Q120" s="86"/>
      <c r="R120" s="77"/>
      <c r="S120" s="77"/>
      <c r="T120" s="68"/>
      <c r="U120" s="68"/>
      <c r="V120" s="67"/>
      <c r="W120" s="67"/>
      <c r="X120" s="67"/>
      <c r="Y120" s="67"/>
      <c r="Z120" s="67"/>
      <c r="AA120" s="67"/>
      <c r="AB120" s="67"/>
      <c r="AC120" s="67"/>
      <c r="AD120" s="67"/>
      <c r="AE120" s="67"/>
      <c r="AF120" s="67"/>
      <c r="AG120" s="67"/>
      <c r="AH120" s="67"/>
      <c r="AI120" s="67"/>
      <c r="AJ120" s="67"/>
      <c r="AK120" s="67"/>
      <c r="AL120" s="67"/>
      <c r="AM120" s="67"/>
      <c r="AN120" s="77"/>
      <c r="AO120" s="76"/>
      <c r="AP120" s="77"/>
      <c r="AQ120" s="76"/>
      <c r="AR120" s="76"/>
      <c r="AS120" s="76"/>
      <c r="AT120" s="76"/>
      <c r="AU120" s="76"/>
      <c r="AV120" s="77"/>
      <c r="AW120" s="76"/>
      <c r="AX120" s="77"/>
      <c r="AY120" s="76"/>
      <c r="AZ120" s="76"/>
      <c r="BA120" s="76"/>
      <c r="BB120" s="76"/>
      <c r="BC120" s="76"/>
      <c r="BD120" s="77"/>
      <c r="BE120" s="76"/>
      <c r="BF120" s="77"/>
      <c r="BG120" s="76"/>
      <c r="BH120" s="76"/>
      <c r="BI120" s="76"/>
      <c r="BJ120" s="76"/>
      <c r="BK120" s="76"/>
      <c r="BL120" s="77"/>
      <c r="BM120" s="76"/>
      <c r="BN120" s="77"/>
      <c r="BO120" s="76"/>
      <c r="BP120" s="76"/>
      <c r="BQ120" s="76"/>
      <c r="BR120" s="76"/>
      <c r="BS120" s="76"/>
      <c r="BT120" s="77"/>
      <c r="BU120" s="76"/>
      <c r="BV120" s="77"/>
      <c r="BW120" s="76"/>
      <c r="BX120" s="76"/>
      <c r="BY120" s="76"/>
      <c r="BZ120" s="76"/>
      <c r="CA120" s="76"/>
      <c r="CB120" s="77"/>
      <c r="CC120" s="76"/>
      <c r="CD120" s="77"/>
      <c r="CE120" s="76"/>
      <c r="CF120" s="76"/>
      <c r="CG120" s="76"/>
      <c r="CH120" s="76"/>
      <c r="CI120" s="76"/>
      <c r="CJ120" s="77"/>
      <c r="CK120" s="76"/>
      <c r="CL120" s="77"/>
      <c r="CM120" s="76"/>
      <c r="CN120" s="76"/>
      <c r="CO120" s="76"/>
      <c r="CP120" s="76"/>
      <c r="CQ120" s="76"/>
      <c r="CR120" s="78" t="str">
        <f t="shared" si="31"/>
        <v/>
      </c>
      <c r="CS120" s="79" t="str">
        <f t="shared" si="32"/>
        <v/>
      </c>
      <c r="CT120" s="79" t="str">
        <f t="shared" si="33"/>
        <v/>
      </c>
      <c r="CU120" s="79" t="str">
        <f t="shared" si="34"/>
        <v/>
      </c>
      <c r="CV120" s="79" t="str">
        <f t="shared" si="35"/>
        <v/>
      </c>
      <c r="CW120" s="79" t="str">
        <f t="shared" si="36"/>
        <v/>
      </c>
      <c r="CX120" s="79" t="str">
        <f t="shared" si="37"/>
        <v/>
      </c>
      <c r="CY120" s="79" t="str">
        <f t="shared" si="38"/>
        <v/>
      </c>
      <c r="CZ120" s="79" t="str">
        <f t="shared" si="39"/>
        <v/>
      </c>
      <c r="DA120" s="79" t="str">
        <f t="shared" si="40"/>
        <v/>
      </c>
      <c r="DB120" s="79" t="str">
        <f t="shared" si="41"/>
        <v/>
      </c>
      <c r="DC120" s="79" t="str">
        <f t="shared" si="42"/>
        <v/>
      </c>
      <c r="DD120" s="79" t="str">
        <f t="shared" si="43"/>
        <v/>
      </c>
      <c r="DE120" s="79" t="str">
        <f t="shared" si="44"/>
        <v/>
      </c>
      <c r="DF120" s="79" t="str">
        <f t="shared" si="45"/>
        <v/>
      </c>
      <c r="DG120" s="79" t="str">
        <f t="shared" si="46"/>
        <v/>
      </c>
      <c r="DH120" s="76"/>
      <c r="DI120" s="78"/>
      <c r="DJ120" s="76"/>
      <c r="DK120" s="77"/>
      <c r="DL120" s="77"/>
      <c r="DM120" s="77"/>
      <c r="DN120" s="80"/>
      <c r="DO120" s="80"/>
      <c r="DP120" s="92" t="str">
        <f>IF(Table1[Start Date]="","",IF(Table1[Start Date]&gt;42185,"",IF(AND(Table1[Leaving Date]&gt;1,Table1[Leaving Date]&lt;42095),"",1)))</f>
        <v/>
      </c>
      <c r="DQ120" s="92" t="str">
        <f>IF(Table1[Start Date]="","",IF(Table1[Start Date]&gt;42277,"",IF(AND(Table1[Leaving Date]&gt;1,Table1[Leaving Date]&lt;42186),"",1)))</f>
        <v/>
      </c>
      <c r="DR120" s="92" t="str">
        <f>IF(Table1[Start Date]="","",IF(Table1[Start Date]&gt;42369,"",IF(AND(Table1[Leaving Date]&gt;1,Table1[Leaving Date]&lt;42278),"",1)))</f>
        <v/>
      </c>
      <c r="DS120" s="92" t="str">
        <f>IF(Table1[Start Date]="","",IF(Table1[Start Date]&gt;42460,"",IF(AND(Table1[Leaving Date]&gt;1,Table1[Leaving Date]&lt;42370),"",1)))</f>
        <v/>
      </c>
      <c r="DT120" s="92" t="str">
        <f>IF(Table1[Start Date]="","",IF(Table1[Start Date]&gt;42551,"",IF(AND(Table1[Leaving Date]&gt;1,Table1[Leaving Date]&lt;42461),"",1)))</f>
        <v/>
      </c>
      <c r="DU120" s="92" t="str">
        <f>IF(Table1[Start Date]="","",IF(Table1[Start Date]&gt;42643,"",IF(AND(Table1[Leaving Date]&gt;1,Table1[Leaving Date]&lt;42552),"",1)))</f>
        <v/>
      </c>
      <c r="DV120" s="92" t="str">
        <f>IF(Table1[Start Date]="","",IF(Table1[Start Date]&gt;42735,"",IF(AND(Table1[Leaving Date]&gt;1,Table1[Leaving Date]&lt;42644),"",1)))</f>
        <v/>
      </c>
      <c r="DW120" s="92" t="str">
        <f>IF(Table1[Start Date]="","",IF(Table1[Start Date]&gt;42825,"",IF(AND(Table1[Leaving Date]&gt;1,Table1[Leaving Date]&lt;42736),"",1)))</f>
        <v/>
      </c>
      <c r="DX120"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120" s="44" t="e">
        <f>VLOOKUP(Table1[Referral Source],Lists!$G$2:$H$20,2,FALSE)</f>
        <v>#N/A</v>
      </c>
      <c r="DZ120" s="93" t="e">
        <f>SUM(Table1[Data Referral Quarter]+Table1[Data Referral Source])</f>
        <v>#N/A</v>
      </c>
      <c r="EA120" s="44" t="b">
        <f>IF(Table1[Referral Decision]="Accepted",100,IF(Table1[Referral Decision]="Rejected by Provider",200,IF(Table1[Referral Decision]="Rejected by Applicant",300)))</f>
        <v>0</v>
      </c>
      <c r="EB120" s="44">
        <f>SUM(Table1[Data Referral Quarter]+Table1[Data Referral Decision])</f>
        <v>0</v>
      </c>
      <c r="EC120" s="44" t="b">
        <f>IF(Table1[Start Date]&gt;42735,8000,IF(Table1[Start Date]&gt;42643,7000,IF(Table1[Start Date]&gt;42551,6000,IF(Table1[Start Date]&gt;42460,5000,IF(Table1[Start Date]&gt;42369,4000,IF(Table1[Start Date]&gt;42277,3000,IF(Table1[Start Date]&gt;42185,2000,IF(Table1[Start Date]&gt;42094,1000))))))))</f>
        <v>0</v>
      </c>
      <c r="ED120" s="44" t="str">
        <f>IF(Table1[Start Date]="","",IF(Table1[Current Local Authority]="Swindon",1,"2"))</f>
        <v/>
      </c>
      <c r="EE120" s="44" t="e">
        <f>SUM(Table1[Data Start Date]+Table1[Data Local Authority])</f>
        <v>#VALUE!</v>
      </c>
      <c r="EF120" s="44">
        <f>IF(Table1[Registered with GP]="Yes",1,0)</f>
        <v>0</v>
      </c>
      <c r="EG120" s="44">
        <f>SUM(Table1[Data Start Date]+Table1[Data GP Start])</f>
        <v>0</v>
      </c>
      <c r="EH120" s="44" t="str">
        <f>IF(Table1[EET]="NEET",1,IF(Table1[EET]="Education",2,IF(Table1[EET]="Employment",2,IF(Table1[EET]="Training",2,IF(Table1[EET]="Retired",3,"")))))</f>
        <v/>
      </c>
      <c r="EI120" s="44" t="e">
        <f>Table1[Data Start Date]+Table1[Data EET Start]</f>
        <v>#VALUE!</v>
      </c>
      <c r="EJ120" s="44" t="b">
        <f>IF(Table1[Leaving Date]&gt;42735,8000,IF(Table1[Leaving Date]&gt;42643,7000,IF(Table1[Leaving Date]&gt;42551,6000,IF(Table1[Leaving Date]&gt;42460,5000,IF(Table1[Leaving Date]&gt;42369,4000,IF(Table1[Leaving Date]&gt;42277,3000,IF(Table1[Leaving Date]&gt;42185,2000,IF(Table1[Leaving Date]&gt;42094,1000))))))))</f>
        <v>0</v>
      </c>
      <c r="EK120" s="44" t="e">
        <f>VLOOKUP(Table1[Reason for Leaving],Lists!$T$2:$U$15,2,FALSE)</f>
        <v>#N/A</v>
      </c>
      <c r="EL120" s="44" t="e">
        <f>SUM(Table1[Data Leavers Date]+Table1[Data Move On])</f>
        <v>#N/A</v>
      </c>
      <c r="EM120" s="44" t="b">
        <f>IF(Table1[Registered with GP2]="Yes",1,IF(Table1[Registered with GP2]="No",0,IF(Table1[Registered with GP]="Yes",1,IF(Table1[Registered with GP]="No",0))))</f>
        <v>0</v>
      </c>
      <c r="EN120" s="44">
        <f>SUM(Table1[Data Leavers Date]+Table1[Data GP End])</f>
        <v>0</v>
      </c>
      <c r="EO120" s="44" t="str">
        <f>IF(Table1[EET2]="NEET",1,IF(Table1[EET2]="Employment",2,IF(Table1[EET2]="Education",2,IF(Table1[EET2]="Training",2,IF(Table1[EET2]="Retired",3,IF(Table1[EET]="NEET",1,IF(Table1[EET]="Employment",2,IF(Table1[EET]="Education",2,IF(Table1[EET]="Training",2,IF(Table1[EET]="Retired",3,""))))))))))</f>
        <v/>
      </c>
      <c r="EP120" s="44" t="e">
        <f>+Table1[[#This Row],[Data Leavers Date]]+Table1[[#This Row],[Data EET End]]</f>
        <v>#VALUE!</v>
      </c>
      <c r="EQ120" s="44">
        <f>IF(Table1[Exit Form Received]="Yes",1,0)</f>
        <v>0</v>
      </c>
      <c r="ER120" s="44">
        <f>+Table1[[#This Row],[Data Leavers Date]]+Table1[[#This Row],[Data Exit Forms]]</f>
        <v>0</v>
      </c>
      <c r="ES120" s="44" t="str">
        <f>IF(Table1[Data Leavers Date]=1000,SUM(Table1[Leaving Date]-Table1[Start Date]),"")</f>
        <v/>
      </c>
      <c r="ET120" s="44" t="str">
        <f>IF(Table1[Data Leavers Date]=2000,SUM(Table1[Leaving Date]-Table1[Start Date]),"")</f>
        <v/>
      </c>
      <c r="EU120" s="44" t="str">
        <f>IF(Table1[Data Leavers Date]=3000,SUM(Table1[Leaving Date]-Table1[Start Date]),"")</f>
        <v/>
      </c>
      <c r="EV120" s="44" t="str">
        <f>IF(Table1[Data Leavers Date]=4000,SUM(Table1[Leaving Date]-Table1[Start Date]),"")</f>
        <v/>
      </c>
      <c r="EW120" s="44" t="str">
        <f>IF(Table1[Data Leavers Date]=5000,SUM(Table1[Leaving Date]-Table1[Start Date]),"")</f>
        <v/>
      </c>
      <c r="EX120" s="44" t="str">
        <f>IF(Table1[Data Leavers Date]=6000,SUM(Table1[Leaving Date]-Table1[Start Date]),"")</f>
        <v/>
      </c>
      <c r="EY120" s="44" t="str">
        <f>IF(Table1[Data Leavers Date]=7000,SUM(Table1[Leaving Date]-Table1[Start Date]),"")</f>
        <v/>
      </c>
      <c r="EZ120" s="44" t="str">
        <f>IF(Table1[Data Leavers Date]=8000,SUM(Table1[Leaving Date]-Table1[Start Date]),"")</f>
        <v/>
      </c>
      <c r="FA120" s="44" t="str">
        <f>IF(Table1[Date of Initial Assessment]="","",IF(AND(Table1[Start Date]&gt;42094,Table1[Start Date]&lt;42461),Table1[Motivation and Taking Responsibility],""))</f>
        <v/>
      </c>
      <c r="FB120" s="44" t="str">
        <f>IF(Table1[Date of Initial Assessment]="","",IF(AND(Table1[Start Date]&gt;42094,Table1[Start Date]&lt;42461),Table1[Self-Care and Living Skills],""))</f>
        <v/>
      </c>
      <c r="FC120" s="44" t="str">
        <f>IF(Table1[Date of Initial Assessment]="","",IF(AND(Table1[Start Date]&gt;42094,Table1[Start Date]&lt;42461),Table1[Managing Money and Personal Administration],""))</f>
        <v/>
      </c>
      <c r="FD120" s="44" t="str">
        <f>IF(Table1[Date of Initial Assessment]="","",IF(AND(Table1[Start Date]&gt;42094,Table1[Start Date]&lt;42461),Table1[Social Networks and Relationships],""))</f>
        <v/>
      </c>
      <c r="FE120" s="44" t="str">
        <f>IF(Table1[Date of Initial Assessment]="","",IF(AND(Table1[Start Date]&gt;42094,Table1[Start Date]&lt;42461),Table1[Drug and Alcohol Misuse],""))</f>
        <v/>
      </c>
      <c r="FF120" s="44" t="str">
        <f>IF(Table1[Date of Initial Assessment]="","",IF(AND(Table1[Start Date]&gt;42094,Table1[Start Date]&lt;42461),Table1[Physical Health],""))</f>
        <v/>
      </c>
      <c r="FG120" s="44" t="str">
        <f>IF(Table1[Date of Initial Assessment]="","",IF(AND(Table1[Start Date]&gt;42094,Table1[Start Date]&lt;42461),Table1[Emotional and Mental Health],""))</f>
        <v/>
      </c>
      <c r="FH120" s="44" t="str">
        <f>IF(Table1[Date of Initial Assessment]="","",IF(AND(Table1[Start Date]&gt;42094,Table1[Start Date]&lt;42461),Table1[Meaningful Use of Time],""))</f>
        <v/>
      </c>
      <c r="FI120" s="44" t="str">
        <f>IF(Table1[Date of Initial Assessment]="","",IF(AND(Table1[Start Date]&gt;42094,Table1[Start Date]&lt;42461),Table1[Managing Tenancy and Accommodation],""))</f>
        <v/>
      </c>
      <c r="FJ120" s="44" t="str">
        <f>IF(Table1[Date of Initial Assessment]="","",IF(AND(Table1[Start Date]&gt;42094,Table1[Start Date]&lt;42461),Table1[Offending],""))</f>
        <v/>
      </c>
      <c r="FK120" s="44" t="str">
        <f>IF(Table1[Leaving Date]="","",IF(Table1[Date of Initial Assessment]="","",IF(AND(Table1[Leaving Date]&gt;42094,Table1[Leaving Date]&lt;42461),IF(Table1[Date of Last Assessment]="",Table1[Motivation and Taking Responsibility],Table1[Motivation and Taking Responsibility2]),"")))</f>
        <v/>
      </c>
      <c r="FL120" s="44" t="str">
        <f>IF(Table1[Leaving Date]="","",IF(Table1[Date of Initial Assessment]="","",IF(AND(Table1[Leaving Date]&gt;42094,Table1[Leaving Date]&lt;42461),IF(Table1[Date of Last Assessment]="",Table1[Self-Care and Living Skills],Table1[Self-Care and Living Skills2]),"")))</f>
        <v/>
      </c>
      <c r="FM120" s="44" t="str">
        <f>IF(Table1[Leaving Date]="","",IF(Table1[Date of Initial Assessment]="","",IF(AND(Table1[Leaving Date]&gt;42094,Table1[Leaving Date]&lt;42461),IF(Table1[Date of Last Assessment]="",Table1[Managing Money and Personal Administration],Table1[Managing Money and Personal Administration2]),"")))</f>
        <v/>
      </c>
      <c r="FN120" s="44" t="str">
        <f>IF(Table1[Leaving Date]="","",IF(Table1[Date of Initial Assessment]="","",IF(AND(Table1[Leaving Date]&gt;42094,Table1[Leaving Date]&lt;42461),IF(Table1[Date of Last Assessment]="",Table1[Social Networks and Relationships],Table1[Social Networks and Relationships2]),"")))</f>
        <v/>
      </c>
      <c r="FO120" s="44" t="str">
        <f>IF(Table1[Leaving Date]="","",IF(Table1[Date of Initial Assessment]="","",IF(AND(Table1[Leaving Date]&gt;42094,Table1[Leaving Date]&lt;42461),IF(Table1[Date of Last Assessment]="",Table1[Drug and Alcohol Misuse],Table1[Drug and Alcohol Misuse2]),"")))</f>
        <v/>
      </c>
      <c r="FP120" s="44" t="str">
        <f>IF(Table1[Leaving Date]="","",IF(Table1[Date of Initial Assessment]="","",IF(AND(Table1[Leaving Date]&gt;42094,Table1[Leaving Date]&lt;42461),IF(Table1[Date of Last Assessment]="",Table1[Physical Health],Table1[Physical Health2]),"")))</f>
        <v/>
      </c>
      <c r="FQ120" s="44" t="str">
        <f>IF(Table1[Leaving Date]="","",IF(Table1[Date of Initial Assessment]="","",IF(AND(Table1[Leaving Date]&gt;42094,Table1[Leaving Date]&lt;42461),IF(Table1[Date of Last Assessment]="",Table1[Emotional and Mental Health],Table1[Emotional and Mental Health2]),"")))</f>
        <v/>
      </c>
      <c r="FR120" s="44" t="str">
        <f>IF(Table1[Leaving Date]="","",IF(Table1[Date of Initial Assessment]="","",IF(AND(Table1[Leaving Date]&gt;42094,Table1[Leaving Date]&lt;42461),IF(Table1[Date of Last Assessment]="",Table1[Meaningful Use of Time],Table1[Meaningful Use of Time2]),"")))</f>
        <v/>
      </c>
      <c r="FS120" s="44" t="str">
        <f>IF(Table1[Leaving Date]="","",IF(Table1[Date of Initial Assessment]="","",IF(AND(Table1[Leaving Date]&gt;42094,Table1[Leaving Date]&lt;42461),IF(Table1[Date of Last Assessment]="",Table1[Managing Tenancy and Accommodation],Table1[Managing Tenancy and Accommodation2]),"")))</f>
        <v/>
      </c>
      <c r="FT120" s="44" t="str">
        <f>IF(Table1[Leaving Date]="","",IF(Table1[Date of Initial Assessment]="","",IF(AND(Table1[Leaving Date]&gt;42094,Table1[Leaving Date]&lt;42461),IF(Table1[Date of Last Assessment]="",Table1[Offending],Table1[Offending2]),"")))</f>
        <v/>
      </c>
      <c r="FU120" s="44" t="str">
        <f>IF(Table1[Date of Initial Assessment]="","",IF(AND(Table1[Start Date]&gt;42460,Table1[Start Date]&lt;42826),Table1[Motivation and Taking Responsibility],""))</f>
        <v/>
      </c>
      <c r="FV120" s="44" t="str">
        <f>IF(Table1[Date of Initial Assessment]="","",IF(AND(Table1[Start Date]&gt;42460,Table1[Start Date]&lt;42826),Table1[Self-Care and Living Skills],""))</f>
        <v/>
      </c>
      <c r="FW120" s="44" t="str">
        <f>IF(Table1[Date of Initial Assessment]="","",IF(AND(Table1[Start Date]&gt;42460,Table1[Start Date]&lt;42826),Table1[Managing Money and Personal Administration],""))</f>
        <v/>
      </c>
      <c r="FX120" s="44" t="str">
        <f>IF(Table1[Date of Initial Assessment]="","",IF(AND(Table1[Start Date]&gt;42460,Table1[Start Date]&lt;42826),Table1[Social Networks and Relationships],""))</f>
        <v/>
      </c>
      <c r="FY120" s="44" t="str">
        <f>IF(Table1[Date of Initial Assessment]="","",IF(AND(Table1[Start Date]&gt;42460,Table1[Start Date]&lt;42826),Table1[Drug and Alcohol Misuse],""))</f>
        <v/>
      </c>
      <c r="FZ120" s="44" t="str">
        <f>IF(Table1[Date of Initial Assessment]="","",IF(AND(Table1[Start Date]&gt;42460,Table1[Start Date]&lt;42826),Table1[Physical Health],""))</f>
        <v/>
      </c>
      <c r="GA120" s="44" t="str">
        <f>IF(Table1[Date of Initial Assessment]="","",IF(AND(Table1[Start Date]&gt;42460,Table1[Start Date]&lt;42826),Table1[Emotional and Mental Health],""))</f>
        <v/>
      </c>
      <c r="GB120" s="44" t="str">
        <f>IF(Table1[Date of Initial Assessment]="","",IF(AND(Table1[Start Date]&gt;42460,Table1[Start Date]&lt;42826),Table1[Meaningful Use of Time],""))</f>
        <v/>
      </c>
      <c r="GC120" s="44" t="str">
        <f>IF(Table1[Date of Initial Assessment]="","",IF(AND(Table1[Start Date]&gt;42460,Table1[Start Date]&lt;42826),Table1[Managing Tenancy and Accommodation],""))</f>
        <v/>
      </c>
      <c r="GD120" s="44" t="str">
        <f>IF(Table1[Date of Initial Assessment]="","",IF(AND(Table1[Start Date]&gt;42460,Table1[Start Date]&lt;42826),Table1[Offending],""))</f>
        <v/>
      </c>
      <c r="GE120" s="44" t="str">
        <f>IF(Table1[Leaving Date]="","",IF(AND(Table1[Leaving Date]&gt;42460,Table1[Leaving Date]&lt;42826),IF(Table1[Date of Last Assessment]="",Table1[Motivation and Taking Responsibility],Table1[Motivation and Taking Responsibility2]),""))</f>
        <v/>
      </c>
      <c r="GF120" s="44" t="str">
        <f>IF(Table1[Leaving Date]="","",IF(AND(Table1[Leaving Date]&gt;42460,Table1[Leaving Date]&lt;42826),IF(Table1[Date of Last Assessment]="",Table1[Self-Care and Living Skills],Table1[Self-Care and Living Skills2]),""))</f>
        <v/>
      </c>
      <c r="GG120" s="44" t="str">
        <f>IF(Table1[Leaving Date]="","",IF(AND(Table1[Leaving Date]&gt;42460,Table1[Leaving Date]&lt;42826),IF(Table1[Date of Last Assessment]="",Table1[Managing Money and Personal Administration],Table1[Managing Money and Personal Administration2]),""))</f>
        <v/>
      </c>
      <c r="GH120" s="44" t="str">
        <f>IF(Table1[Leaving Date]="","",IF(AND(Table1[Leaving Date]&gt;42460,Table1[Leaving Date]&lt;42826),IF(Table1[Date of Last Assessment]="",Table1[Social Networks and Relationships],Table1[Social Networks and Relationships2]),""))</f>
        <v/>
      </c>
      <c r="GI120" s="44" t="str">
        <f>IF(Table1[Leaving Date]="","",IF(AND(Table1[Leaving Date]&gt;42460,Table1[Leaving Date]&lt;42826),IF(Table1[Date of Last Assessment]="",Table1[Drug and Alcohol Misuse],Table1[Drug and Alcohol Misuse2]),""))</f>
        <v/>
      </c>
      <c r="GJ120" s="44" t="str">
        <f>IF(Table1[Leaving Date]="","",IF(AND(Table1[Leaving Date]&gt;42460,Table1[Leaving Date]&lt;42826),IF(Table1[Date of Last Assessment]="",Table1[Physical Health],Table1[Physical Health2]),""))</f>
        <v/>
      </c>
      <c r="GK120" s="44" t="str">
        <f>IF(Table1[Leaving Date]="","",IF(AND(Table1[Leaving Date]&gt;42460,Table1[Leaving Date]&lt;42826),IF(Table1[Date of Last Assessment]="",Table1[Emotional and Mental Health],Table1[Emotional and Mental Health2]),""))</f>
        <v/>
      </c>
      <c r="GL120" s="44" t="str">
        <f>IF(Table1[Leaving Date]="","",IF(AND(Table1[Leaving Date]&gt;42460,Table1[Leaving Date]&lt;42826),IF(Table1[Date of Last Assessment]="",Table1[Meaningful Use of Time],Table1[Meaningful Use of Time2]),""))</f>
        <v/>
      </c>
      <c r="GM120" s="44" t="str">
        <f>IF(Table1[Leaving Date]="","",IF(AND(Table1[Leaving Date]&gt;42460,Table1[Leaving Date]&lt;42826),IF(Table1[Date of Last Assessment]="",Table1[Managing Tenancy and Accommodation],Table1[Managing Tenancy and Accommodation2]),""))</f>
        <v/>
      </c>
      <c r="GN120" s="44" t="str">
        <f>IF(Table1[Leaving Date]="","",IF(AND(Table1[Leaving Date]&gt;42460,Table1[Leaving Date]&lt;42826),IF(Table1[Date of Last Assessment]="",Table1[Offending],Table1[Offending2]),""))</f>
        <v/>
      </c>
    </row>
    <row r="121" spans="2:196" ht="20.100000000000001" customHeight="1" x14ac:dyDescent="0.2">
      <c r="B121" s="86">
        <f>+'Service Data'!$C$5:$C$5</f>
        <v>0</v>
      </c>
      <c r="C121" s="86"/>
      <c r="D121" s="86"/>
      <c r="E121" s="86"/>
      <c r="F121" s="86"/>
      <c r="G121" s="86"/>
      <c r="H121" s="6"/>
      <c r="I121" s="99" t="str">
        <f ca="1">IF(Table1[[#This Row],[Date of Birth]]="","",SUM(TODAY()-Table1[[#This Row],[Date of Birth]])/365)</f>
        <v/>
      </c>
      <c r="L121" s="86"/>
      <c r="M121" s="77"/>
      <c r="N121" s="86"/>
      <c r="O121" s="86"/>
      <c r="P121" s="91"/>
      <c r="Q121" s="86"/>
      <c r="R121" s="77"/>
      <c r="S121" s="77"/>
      <c r="T121" s="68"/>
      <c r="U121" s="68"/>
      <c r="V121" s="67"/>
      <c r="W121" s="67"/>
      <c r="X121" s="67"/>
      <c r="Y121" s="67"/>
      <c r="Z121" s="67"/>
      <c r="AA121" s="67"/>
      <c r="AB121" s="67"/>
      <c r="AC121" s="67"/>
      <c r="AD121" s="67"/>
      <c r="AE121" s="67"/>
      <c r="AF121" s="67"/>
      <c r="AG121" s="67"/>
      <c r="AH121" s="67"/>
      <c r="AI121" s="67"/>
      <c r="AJ121" s="67"/>
      <c r="AK121" s="67"/>
      <c r="AL121" s="67"/>
      <c r="AM121" s="67"/>
      <c r="AN121" s="77"/>
      <c r="AO121" s="76"/>
      <c r="AP121" s="77"/>
      <c r="AQ121" s="76"/>
      <c r="AR121" s="76"/>
      <c r="AS121" s="76"/>
      <c r="AT121" s="76"/>
      <c r="AU121" s="76"/>
      <c r="AV121" s="77"/>
      <c r="AW121" s="76"/>
      <c r="AX121" s="77"/>
      <c r="AY121" s="76"/>
      <c r="AZ121" s="76"/>
      <c r="BA121" s="76"/>
      <c r="BB121" s="76"/>
      <c r="BC121" s="76"/>
      <c r="BD121" s="77"/>
      <c r="BE121" s="76"/>
      <c r="BF121" s="77"/>
      <c r="BG121" s="76"/>
      <c r="BH121" s="76"/>
      <c r="BI121" s="76"/>
      <c r="BJ121" s="76"/>
      <c r="BK121" s="76"/>
      <c r="BL121" s="77"/>
      <c r="BM121" s="76"/>
      <c r="BN121" s="77"/>
      <c r="BO121" s="76"/>
      <c r="BP121" s="76"/>
      <c r="BQ121" s="76"/>
      <c r="BR121" s="76"/>
      <c r="BS121" s="76"/>
      <c r="BT121" s="77"/>
      <c r="BU121" s="76"/>
      <c r="BV121" s="77"/>
      <c r="BW121" s="76"/>
      <c r="BX121" s="76"/>
      <c r="BY121" s="76"/>
      <c r="BZ121" s="76"/>
      <c r="CA121" s="76"/>
      <c r="CB121" s="77"/>
      <c r="CC121" s="76"/>
      <c r="CD121" s="77"/>
      <c r="CE121" s="76"/>
      <c r="CF121" s="76"/>
      <c r="CG121" s="76"/>
      <c r="CH121" s="76"/>
      <c r="CI121" s="76"/>
      <c r="CJ121" s="77"/>
      <c r="CK121" s="76"/>
      <c r="CL121" s="77"/>
      <c r="CM121" s="76"/>
      <c r="CN121" s="76"/>
      <c r="CO121" s="76"/>
      <c r="CP121" s="76"/>
      <c r="CQ121" s="76"/>
      <c r="CR121" s="78" t="str">
        <f t="shared" si="31"/>
        <v/>
      </c>
      <c r="CS121" s="79" t="str">
        <f t="shared" si="32"/>
        <v/>
      </c>
      <c r="CT121" s="79" t="str">
        <f t="shared" si="33"/>
        <v/>
      </c>
      <c r="CU121" s="79" t="str">
        <f t="shared" si="34"/>
        <v/>
      </c>
      <c r="CV121" s="79" t="str">
        <f t="shared" si="35"/>
        <v/>
      </c>
      <c r="CW121" s="79" t="str">
        <f t="shared" si="36"/>
        <v/>
      </c>
      <c r="CX121" s="79" t="str">
        <f t="shared" si="37"/>
        <v/>
      </c>
      <c r="CY121" s="79" t="str">
        <f t="shared" si="38"/>
        <v/>
      </c>
      <c r="CZ121" s="79" t="str">
        <f t="shared" si="39"/>
        <v/>
      </c>
      <c r="DA121" s="79" t="str">
        <f t="shared" si="40"/>
        <v/>
      </c>
      <c r="DB121" s="79" t="str">
        <f t="shared" si="41"/>
        <v/>
      </c>
      <c r="DC121" s="79" t="str">
        <f t="shared" si="42"/>
        <v/>
      </c>
      <c r="DD121" s="79" t="str">
        <f t="shared" si="43"/>
        <v/>
      </c>
      <c r="DE121" s="79" t="str">
        <f t="shared" si="44"/>
        <v/>
      </c>
      <c r="DF121" s="79" t="str">
        <f t="shared" si="45"/>
        <v/>
      </c>
      <c r="DG121" s="79" t="str">
        <f t="shared" si="46"/>
        <v/>
      </c>
      <c r="DH121" s="76"/>
      <c r="DI121" s="78"/>
      <c r="DJ121" s="76"/>
      <c r="DK121" s="77"/>
      <c r="DL121" s="77"/>
      <c r="DM121" s="77"/>
      <c r="DN121" s="80"/>
      <c r="DO121" s="80"/>
      <c r="DP121" s="92" t="str">
        <f>IF(Table1[Start Date]="","",IF(Table1[Start Date]&gt;42185,"",IF(AND(Table1[Leaving Date]&gt;1,Table1[Leaving Date]&lt;42095),"",1)))</f>
        <v/>
      </c>
      <c r="DQ121" s="92" t="str">
        <f>IF(Table1[Start Date]="","",IF(Table1[Start Date]&gt;42277,"",IF(AND(Table1[Leaving Date]&gt;1,Table1[Leaving Date]&lt;42186),"",1)))</f>
        <v/>
      </c>
      <c r="DR121" s="92" t="str">
        <f>IF(Table1[Start Date]="","",IF(Table1[Start Date]&gt;42369,"",IF(AND(Table1[Leaving Date]&gt;1,Table1[Leaving Date]&lt;42278),"",1)))</f>
        <v/>
      </c>
      <c r="DS121" s="92" t="str">
        <f>IF(Table1[Start Date]="","",IF(Table1[Start Date]&gt;42460,"",IF(AND(Table1[Leaving Date]&gt;1,Table1[Leaving Date]&lt;42370),"",1)))</f>
        <v/>
      </c>
      <c r="DT121" s="92" t="str">
        <f>IF(Table1[Start Date]="","",IF(Table1[Start Date]&gt;42551,"",IF(AND(Table1[Leaving Date]&gt;1,Table1[Leaving Date]&lt;42461),"",1)))</f>
        <v/>
      </c>
      <c r="DU121" s="92" t="str">
        <f>IF(Table1[Start Date]="","",IF(Table1[Start Date]&gt;42643,"",IF(AND(Table1[Leaving Date]&gt;1,Table1[Leaving Date]&lt;42552),"",1)))</f>
        <v/>
      </c>
      <c r="DV121" s="92" t="str">
        <f>IF(Table1[Start Date]="","",IF(Table1[Start Date]&gt;42735,"",IF(AND(Table1[Leaving Date]&gt;1,Table1[Leaving Date]&lt;42644),"",1)))</f>
        <v/>
      </c>
      <c r="DW121" s="92" t="str">
        <f>IF(Table1[Start Date]="","",IF(Table1[Start Date]&gt;42825,"",IF(AND(Table1[Leaving Date]&gt;1,Table1[Leaving Date]&lt;42736),"",1)))</f>
        <v/>
      </c>
      <c r="DX121"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121" s="44" t="e">
        <f>VLOOKUP(Table1[Referral Source],Lists!$G$2:$H$20,2,FALSE)</f>
        <v>#N/A</v>
      </c>
      <c r="DZ121" s="93" t="e">
        <f>SUM(Table1[Data Referral Quarter]+Table1[Data Referral Source])</f>
        <v>#N/A</v>
      </c>
      <c r="EA121" s="44" t="b">
        <f>IF(Table1[Referral Decision]="Accepted",100,IF(Table1[Referral Decision]="Rejected by Provider",200,IF(Table1[Referral Decision]="Rejected by Applicant",300)))</f>
        <v>0</v>
      </c>
      <c r="EB121" s="44">
        <f>SUM(Table1[Data Referral Quarter]+Table1[Data Referral Decision])</f>
        <v>0</v>
      </c>
      <c r="EC121" s="44" t="b">
        <f>IF(Table1[Start Date]&gt;42735,8000,IF(Table1[Start Date]&gt;42643,7000,IF(Table1[Start Date]&gt;42551,6000,IF(Table1[Start Date]&gt;42460,5000,IF(Table1[Start Date]&gt;42369,4000,IF(Table1[Start Date]&gt;42277,3000,IF(Table1[Start Date]&gt;42185,2000,IF(Table1[Start Date]&gt;42094,1000))))))))</f>
        <v>0</v>
      </c>
      <c r="ED121" s="44" t="str">
        <f>IF(Table1[Start Date]="","",IF(Table1[Current Local Authority]="Swindon",1,"2"))</f>
        <v/>
      </c>
      <c r="EE121" s="44" t="e">
        <f>SUM(Table1[Data Start Date]+Table1[Data Local Authority])</f>
        <v>#VALUE!</v>
      </c>
      <c r="EF121" s="44">
        <f>IF(Table1[Registered with GP]="Yes",1,0)</f>
        <v>0</v>
      </c>
      <c r="EG121" s="44">
        <f>SUM(Table1[Data Start Date]+Table1[Data GP Start])</f>
        <v>0</v>
      </c>
      <c r="EH121" s="44" t="str">
        <f>IF(Table1[EET]="NEET",1,IF(Table1[EET]="Education",2,IF(Table1[EET]="Employment",2,IF(Table1[EET]="Training",2,IF(Table1[EET]="Retired",3,"")))))</f>
        <v/>
      </c>
      <c r="EI121" s="44" t="e">
        <f>Table1[Data Start Date]+Table1[Data EET Start]</f>
        <v>#VALUE!</v>
      </c>
      <c r="EJ121" s="44" t="b">
        <f>IF(Table1[Leaving Date]&gt;42735,8000,IF(Table1[Leaving Date]&gt;42643,7000,IF(Table1[Leaving Date]&gt;42551,6000,IF(Table1[Leaving Date]&gt;42460,5000,IF(Table1[Leaving Date]&gt;42369,4000,IF(Table1[Leaving Date]&gt;42277,3000,IF(Table1[Leaving Date]&gt;42185,2000,IF(Table1[Leaving Date]&gt;42094,1000))))))))</f>
        <v>0</v>
      </c>
      <c r="EK121" s="44" t="e">
        <f>VLOOKUP(Table1[Reason for Leaving],Lists!$T$2:$U$15,2,FALSE)</f>
        <v>#N/A</v>
      </c>
      <c r="EL121" s="44" t="e">
        <f>SUM(Table1[Data Leavers Date]+Table1[Data Move On])</f>
        <v>#N/A</v>
      </c>
      <c r="EM121" s="44" t="b">
        <f>IF(Table1[Registered with GP2]="Yes",1,IF(Table1[Registered with GP2]="No",0,IF(Table1[Registered with GP]="Yes",1,IF(Table1[Registered with GP]="No",0))))</f>
        <v>0</v>
      </c>
      <c r="EN121" s="44">
        <f>SUM(Table1[Data Leavers Date]+Table1[Data GP End])</f>
        <v>0</v>
      </c>
      <c r="EO121" s="44" t="str">
        <f>IF(Table1[EET2]="NEET",1,IF(Table1[EET2]="Employment",2,IF(Table1[EET2]="Education",2,IF(Table1[EET2]="Training",2,IF(Table1[EET2]="Retired",3,IF(Table1[EET]="NEET",1,IF(Table1[EET]="Employment",2,IF(Table1[EET]="Education",2,IF(Table1[EET]="Training",2,IF(Table1[EET]="Retired",3,""))))))))))</f>
        <v/>
      </c>
      <c r="EP121" s="44" t="e">
        <f>+Table1[[#This Row],[Data Leavers Date]]+Table1[[#This Row],[Data EET End]]</f>
        <v>#VALUE!</v>
      </c>
      <c r="EQ121" s="44">
        <f>IF(Table1[Exit Form Received]="Yes",1,0)</f>
        <v>0</v>
      </c>
      <c r="ER121" s="44">
        <f>+Table1[[#This Row],[Data Leavers Date]]+Table1[[#This Row],[Data Exit Forms]]</f>
        <v>0</v>
      </c>
      <c r="ES121" s="44" t="str">
        <f>IF(Table1[Data Leavers Date]=1000,SUM(Table1[Leaving Date]-Table1[Start Date]),"")</f>
        <v/>
      </c>
      <c r="ET121" s="44" t="str">
        <f>IF(Table1[Data Leavers Date]=2000,SUM(Table1[Leaving Date]-Table1[Start Date]),"")</f>
        <v/>
      </c>
      <c r="EU121" s="44" t="str">
        <f>IF(Table1[Data Leavers Date]=3000,SUM(Table1[Leaving Date]-Table1[Start Date]),"")</f>
        <v/>
      </c>
      <c r="EV121" s="44" t="str">
        <f>IF(Table1[Data Leavers Date]=4000,SUM(Table1[Leaving Date]-Table1[Start Date]),"")</f>
        <v/>
      </c>
      <c r="EW121" s="44" t="str">
        <f>IF(Table1[Data Leavers Date]=5000,SUM(Table1[Leaving Date]-Table1[Start Date]),"")</f>
        <v/>
      </c>
      <c r="EX121" s="44" t="str">
        <f>IF(Table1[Data Leavers Date]=6000,SUM(Table1[Leaving Date]-Table1[Start Date]),"")</f>
        <v/>
      </c>
      <c r="EY121" s="44" t="str">
        <f>IF(Table1[Data Leavers Date]=7000,SUM(Table1[Leaving Date]-Table1[Start Date]),"")</f>
        <v/>
      </c>
      <c r="EZ121" s="44" t="str">
        <f>IF(Table1[Data Leavers Date]=8000,SUM(Table1[Leaving Date]-Table1[Start Date]),"")</f>
        <v/>
      </c>
      <c r="FA121" s="44" t="str">
        <f>IF(Table1[Date of Initial Assessment]="","",IF(AND(Table1[Start Date]&gt;42094,Table1[Start Date]&lt;42461),Table1[Motivation and Taking Responsibility],""))</f>
        <v/>
      </c>
      <c r="FB121" s="44" t="str">
        <f>IF(Table1[Date of Initial Assessment]="","",IF(AND(Table1[Start Date]&gt;42094,Table1[Start Date]&lt;42461),Table1[Self-Care and Living Skills],""))</f>
        <v/>
      </c>
      <c r="FC121" s="44" t="str">
        <f>IF(Table1[Date of Initial Assessment]="","",IF(AND(Table1[Start Date]&gt;42094,Table1[Start Date]&lt;42461),Table1[Managing Money and Personal Administration],""))</f>
        <v/>
      </c>
      <c r="FD121" s="44" t="str">
        <f>IF(Table1[Date of Initial Assessment]="","",IF(AND(Table1[Start Date]&gt;42094,Table1[Start Date]&lt;42461),Table1[Social Networks and Relationships],""))</f>
        <v/>
      </c>
      <c r="FE121" s="44" t="str">
        <f>IF(Table1[Date of Initial Assessment]="","",IF(AND(Table1[Start Date]&gt;42094,Table1[Start Date]&lt;42461),Table1[Drug and Alcohol Misuse],""))</f>
        <v/>
      </c>
      <c r="FF121" s="44" t="str">
        <f>IF(Table1[Date of Initial Assessment]="","",IF(AND(Table1[Start Date]&gt;42094,Table1[Start Date]&lt;42461),Table1[Physical Health],""))</f>
        <v/>
      </c>
      <c r="FG121" s="44" t="str">
        <f>IF(Table1[Date of Initial Assessment]="","",IF(AND(Table1[Start Date]&gt;42094,Table1[Start Date]&lt;42461),Table1[Emotional and Mental Health],""))</f>
        <v/>
      </c>
      <c r="FH121" s="44" t="str">
        <f>IF(Table1[Date of Initial Assessment]="","",IF(AND(Table1[Start Date]&gt;42094,Table1[Start Date]&lt;42461),Table1[Meaningful Use of Time],""))</f>
        <v/>
      </c>
      <c r="FI121" s="44" t="str">
        <f>IF(Table1[Date of Initial Assessment]="","",IF(AND(Table1[Start Date]&gt;42094,Table1[Start Date]&lt;42461),Table1[Managing Tenancy and Accommodation],""))</f>
        <v/>
      </c>
      <c r="FJ121" s="44" t="str">
        <f>IF(Table1[Date of Initial Assessment]="","",IF(AND(Table1[Start Date]&gt;42094,Table1[Start Date]&lt;42461),Table1[Offending],""))</f>
        <v/>
      </c>
      <c r="FK121" s="44" t="str">
        <f>IF(Table1[Leaving Date]="","",IF(Table1[Date of Initial Assessment]="","",IF(AND(Table1[Leaving Date]&gt;42094,Table1[Leaving Date]&lt;42461),IF(Table1[Date of Last Assessment]="",Table1[Motivation and Taking Responsibility],Table1[Motivation and Taking Responsibility2]),"")))</f>
        <v/>
      </c>
      <c r="FL121" s="44" t="str">
        <f>IF(Table1[Leaving Date]="","",IF(Table1[Date of Initial Assessment]="","",IF(AND(Table1[Leaving Date]&gt;42094,Table1[Leaving Date]&lt;42461),IF(Table1[Date of Last Assessment]="",Table1[Self-Care and Living Skills],Table1[Self-Care and Living Skills2]),"")))</f>
        <v/>
      </c>
      <c r="FM121" s="44" t="str">
        <f>IF(Table1[Leaving Date]="","",IF(Table1[Date of Initial Assessment]="","",IF(AND(Table1[Leaving Date]&gt;42094,Table1[Leaving Date]&lt;42461),IF(Table1[Date of Last Assessment]="",Table1[Managing Money and Personal Administration],Table1[Managing Money and Personal Administration2]),"")))</f>
        <v/>
      </c>
      <c r="FN121" s="44" t="str">
        <f>IF(Table1[Leaving Date]="","",IF(Table1[Date of Initial Assessment]="","",IF(AND(Table1[Leaving Date]&gt;42094,Table1[Leaving Date]&lt;42461),IF(Table1[Date of Last Assessment]="",Table1[Social Networks and Relationships],Table1[Social Networks and Relationships2]),"")))</f>
        <v/>
      </c>
      <c r="FO121" s="44" t="str">
        <f>IF(Table1[Leaving Date]="","",IF(Table1[Date of Initial Assessment]="","",IF(AND(Table1[Leaving Date]&gt;42094,Table1[Leaving Date]&lt;42461),IF(Table1[Date of Last Assessment]="",Table1[Drug and Alcohol Misuse],Table1[Drug and Alcohol Misuse2]),"")))</f>
        <v/>
      </c>
      <c r="FP121" s="44" t="str">
        <f>IF(Table1[Leaving Date]="","",IF(Table1[Date of Initial Assessment]="","",IF(AND(Table1[Leaving Date]&gt;42094,Table1[Leaving Date]&lt;42461),IF(Table1[Date of Last Assessment]="",Table1[Physical Health],Table1[Physical Health2]),"")))</f>
        <v/>
      </c>
      <c r="FQ121" s="44" t="str">
        <f>IF(Table1[Leaving Date]="","",IF(Table1[Date of Initial Assessment]="","",IF(AND(Table1[Leaving Date]&gt;42094,Table1[Leaving Date]&lt;42461),IF(Table1[Date of Last Assessment]="",Table1[Emotional and Mental Health],Table1[Emotional and Mental Health2]),"")))</f>
        <v/>
      </c>
      <c r="FR121" s="44" t="str">
        <f>IF(Table1[Leaving Date]="","",IF(Table1[Date of Initial Assessment]="","",IF(AND(Table1[Leaving Date]&gt;42094,Table1[Leaving Date]&lt;42461),IF(Table1[Date of Last Assessment]="",Table1[Meaningful Use of Time],Table1[Meaningful Use of Time2]),"")))</f>
        <v/>
      </c>
      <c r="FS121" s="44" t="str">
        <f>IF(Table1[Leaving Date]="","",IF(Table1[Date of Initial Assessment]="","",IF(AND(Table1[Leaving Date]&gt;42094,Table1[Leaving Date]&lt;42461),IF(Table1[Date of Last Assessment]="",Table1[Managing Tenancy and Accommodation],Table1[Managing Tenancy and Accommodation2]),"")))</f>
        <v/>
      </c>
      <c r="FT121" s="44" t="str">
        <f>IF(Table1[Leaving Date]="","",IF(Table1[Date of Initial Assessment]="","",IF(AND(Table1[Leaving Date]&gt;42094,Table1[Leaving Date]&lt;42461),IF(Table1[Date of Last Assessment]="",Table1[Offending],Table1[Offending2]),"")))</f>
        <v/>
      </c>
      <c r="FU121" s="44" t="str">
        <f>IF(Table1[Date of Initial Assessment]="","",IF(AND(Table1[Start Date]&gt;42460,Table1[Start Date]&lt;42826),Table1[Motivation and Taking Responsibility],""))</f>
        <v/>
      </c>
      <c r="FV121" s="44" t="str">
        <f>IF(Table1[Date of Initial Assessment]="","",IF(AND(Table1[Start Date]&gt;42460,Table1[Start Date]&lt;42826),Table1[Self-Care and Living Skills],""))</f>
        <v/>
      </c>
      <c r="FW121" s="44" t="str">
        <f>IF(Table1[Date of Initial Assessment]="","",IF(AND(Table1[Start Date]&gt;42460,Table1[Start Date]&lt;42826),Table1[Managing Money and Personal Administration],""))</f>
        <v/>
      </c>
      <c r="FX121" s="44" t="str">
        <f>IF(Table1[Date of Initial Assessment]="","",IF(AND(Table1[Start Date]&gt;42460,Table1[Start Date]&lt;42826),Table1[Social Networks and Relationships],""))</f>
        <v/>
      </c>
      <c r="FY121" s="44" t="str">
        <f>IF(Table1[Date of Initial Assessment]="","",IF(AND(Table1[Start Date]&gt;42460,Table1[Start Date]&lt;42826),Table1[Drug and Alcohol Misuse],""))</f>
        <v/>
      </c>
      <c r="FZ121" s="44" t="str">
        <f>IF(Table1[Date of Initial Assessment]="","",IF(AND(Table1[Start Date]&gt;42460,Table1[Start Date]&lt;42826),Table1[Physical Health],""))</f>
        <v/>
      </c>
      <c r="GA121" s="44" t="str">
        <f>IF(Table1[Date of Initial Assessment]="","",IF(AND(Table1[Start Date]&gt;42460,Table1[Start Date]&lt;42826),Table1[Emotional and Mental Health],""))</f>
        <v/>
      </c>
      <c r="GB121" s="44" t="str">
        <f>IF(Table1[Date of Initial Assessment]="","",IF(AND(Table1[Start Date]&gt;42460,Table1[Start Date]&lt;42826),Table1[Meaningful Use of Time],""))</f>
        <v/>
      </c>
      <c r="GC121" s="44" t="str">
        <f>IF(Table1[Date of Initial Assessment]="","",IF(AND(Table1[Start Date]&gt;42460,Table1[Start Date]&lt;42826),Table1[Managing Tenancy and Accommodation],""))</f>
        <v/>
      </c>
      <c r="GD121" s="44" t="str">
        <f>IF(Table1[Date of Initial Assessment]="","",IF(AND(Table1[Start Date]&gt;42460,Table1[Start Date]&lt;42826),Table1[Offending],""))</f>
        <v/>
      </c>
      <c r="GE121" s="44" t="str">
        <f>IF(Table1[Leaving Date]="","",IF(AND(Table1[Leaving Date]&gt;42460,Table1[Leaving Date]&lt;42826),IF(Table1[Date of Last Assessment]="",Table1[Motivation and Taking Responsibility],Table1[Motivation and Taking Responsibility2]),""))</f>
        <v/>
      </c>
      <c r="GF121" s="44" t="str">
        <f>IF(Table1[Leaving Date]="","",IF(AND(Table1[Leaving Date]&gt;42460,Table1[Leaving Date]&lt;42826),IF(Table1[Date of Last Assessment]="",Table1[Self-Care and Living Skills],Table1[Self-Care and Living Skills2]),""))</f>
        <v/>
      </c>
      <c r="GG121" s="44" t="str">
        <f>IF(Table1[Leaving Date]="","",IF(AND(Table1[Leaving Date]&gt;42460,Table1[Leaving Date]&lt;42826),IF(Table1[Date of Last Assessment]="",Table1[Managing Money and Personal Administration],Table1[Managing Money and Personal Administration2]),""))</f>
        <v/>
      </c>
      <c r="GH121" s="44" t="str">
        <f>IF(Table1[Leaving Date]="","",IF(AND(Table1[Leaving Date]&gt;42460,Table1[Leaving Date]&lt;42826),IF(Table1[Date of Last Assessment]="",Table1[Social Networks and Relationships],Table1[Social Networks and Relationships2]),""))</f>
        <v/>
      </c>
      <c r="GI121" s="44" t="str">
        <f>IF(Table1[Leaving Date]="","",IF(AND(Table1[Leaving Date]&gt;42460,Table1[Leaving Date]&lt;42826),IF(Table1[Date of Last Assessment]="",Table1[Drug and Alcohol Misuse],Table1[Drug and Alcohol Misuse2]),""))</f>
        <v/>
      </c>
      <c r="GJ121" s="44" t="str">
        <f>IF(Table1[Leaving Date]="","",IF(AND(Table1[Leaving Date]&gt;42460,Table1[Leaving Date]&lt;42826),IF(Table1[Date of Last Assessment]="",Table1[Physical Health],Table1[Physical Health2]),""))</f>
        <v/>
      </c>
      <c r="GK121" s="44" t="str">
        <f>IF(Table1[Leaving Date]="","",IF(AND(Table1[Leaving Date]&gt;42460,Table1[Leaving Date]&lt;42826),IF(Table1[Date of Last Assessment]="",Table1[Emotional and Mental Health],Table1[Emotional and Mental Health2]),""))</f>
        <v/>
      </c>
      <c r="GL121" s="44" t="str">
        <f>IF(Table1[Leaving Date]="","",IF(AND(Table1[Leaving Date]&gt;42460,Table1[Leaving Date]&lt;42826),IF(Table1[Date of Last Assessment]="",Table1[Meaningful Use of Time],Table1[Meaningful Use of Time2]),""))</f>
        <v/>
      </c>
      <c r="GM121" s="44" t="str">
        <f>IF(Table1[Leaving Date]="","",IF(AND(Table1[Leaving Date]&gt;42460,Table1[Leaving Date]&lt;42826),IF(Table1[Date of Last Assessment]="",Table1[Managing Tenancy and Accommodation],Table1[Managing Tenancy and Accommodation2]),""))</f>
        <v/>
      </c>
      <c r="GN121" s="44" t="str">
        <f>IF(Table1[Leaving Date]="","",IF(AND(Table1[Leaving Date]&gt;42460,Table1[Leaving Date]&lt;42826),IF(Table1[Date of Last Assessment]="",Table1[Offending],Table1[Offending2]),""))</f>
        <v/>
      </c>
    </row>
    <row r="122" spans="2:196" ht="20.100000000000001" customHeight="1" x14ac:dyDescent="0.2">
      <c r="B122" s="86">
        <f>+'Service Data'!$C$5:$C$5</f>
        <v>0</v>
      </c>
      <c r="C122" s="86"/>
      <c r="D122" s="86"/>
      <c r="E122" s="86"/>
      <c r="F122" s="86"/>
      <c r="G122" s="86"/>
      <c r="H122" s="6"/>
      <c r="I122" s="99" t="str">
        <f ca="1">IF(Table1[[#This Row],[Date of Birth]]="","",SUM(TODAY()-Table1[[#This Row],[Date of Birth]])/365)</f>
        <v/>
      </c>
      <c r="L122" s="86"/>
      <c r="M122" s="77"/>
      <c r="N122" s="86"/>
      <c r="O122" s="86"/>
      <c r="P122" s="91"/>
      <c r="Q122" s="86"/>
      <c r="R122" s="77"/>
      <c r="S122" s="77"/>
      <c r="T122" s="68"/>
      <c r="U122" s="68"/>
      <c r="V122" s="67"/>
      <c r="W122" s="67"/>
      <c r="X122" s="67"/>
      <c r="Y122" s="67"/>
      <c r="Z122" s="67"/>
      <c r="AA122" s="67"/>
      <c r="AB122" s="67"/>
      <c r="AC122" s="67"/>
      <c r="AD122" s="67"/>
      <c r="AE122" s="67"/>
      <c r="AF122" s="67"/>
      <c r="AG122" s="67"/>
      <c r="AH122" s="67"/>
      <c r="AI122" s="67"/>
      <c r="AJ122" s="67"/>
      <c r="AK122" s="67"/>
      <c r="AL122" s="67"/>
      <c r="AM122" s="67"/>
      <c r="AN122" s="77"/>
      <c r="AO122" s="76"/>
      <c r="AP122" s="77"/>
      <c r="AQ122" s="76"/>
      <c r="AR122" s="76"/>
      <c r="AS122" s="76"/>
      <c r="AT122" s="76"/>
      <c r="AU122" s="76"/>
      <c r="AV122" s="77"/>
      <c r="AW122" s="76"/>
      <c r="AX122" s="77"/>
      <c r="AY122" s="76"/>
      <c r="AZ122" s="76"/>
      <c r="BA122" s="76"/>
      <c r="BB122" s="76"/>
      <c r="BC122" s="76"/>
      <c r="BD122" s="77"/>
      <c r="BE122" s="76"/>
      <c r="BF122" s="77"/>
      <c r="BG122" s="76"/>
      <c r="BH122" s="76"/>
      <c r="BI122" s="76"/>
      <c r="BJ122" s="76"/>
      <c r="BK122" s="76"/>
      <c r="BL122" s="77"/>
      <c r="BM122" s="76"/>
      <c r="BN122" s="77"/>
      <c r="BO122" s="76"/>
      <c r="BP122" s="76"/>
      <c r="BQ122" s="76"/>
      <c r="BR122" s="76"/>
      <c r="BS122" s="76"/>
      <c r="BT122" s="77"/>
      <c r="BU122" s="76"/>
      <c r="BV122" s="77"/>
      <c r="BW122" s="76"/>
      <c r="BX122" s="76"/>
      <c r="BY122" s="76"/>
      <c r="BZ122" s="76"/>
      <c r="CA122" s="76"/>
      <c r="CB122" s="77"/>
      <c r="CC122" s="76"/>
      <c r="CD122" s="77"/>
      <c r="CE122" s="76"/>
      <c r="CF122" s="76"/>
      <c r="CG122" s="76"/>
      <c r="CH122" s="76"/>
      <c r="CI122" s="76"/>
      <c r="CJ122" s="77"/>
      <c r="CK122" s="76"/>
      <c r="CL122" s="77"/>
      <c r="CM122" s="76"/>
      <c r="CN122" s="76"/>
      <c r="CO122" s="76"/>
      <c r="CP122" s="76"/>
      <c r="CQ122" s="76"/>
      <c r="CR122" s="78" t="str">
        <f t="shared" si="31"/>
        <v/>
      </c>
      <c r="CS122" s="79" t="str">
        <f t="shared" si="32"/>
        <v/>
      </c>
      <c r="CT122" s="79" t="str">
        <f t="shared" si="33"/>
        <v/>
      </c>
      <c r="CU122" s="79" t="str">
        <f t="shared" si="34"/>
        <v/>
      </c>
      <c r="CV122" s="79" t="str">
        <f t="shared" si="35"/>
        <v/>
      </c>
      <c r="CW122" s="79" t="str">
        <f t="shared" si="36"/>
        <v/>
      </c>
      <c r="CX122" s="79" t="str">
        <f t="shared" si="37"/>
        <v/>
      </c>
      <c r="CY122" s="79" t="str">
        <f t="shared" si="38"/>
        <v/>
      </c>
      <c r="CZ122" s="79" t="str">
        <f t="shared" si="39"/>
        <v/>
      </c>
      <c r="DA122" s="79" t="str">
        <f t="shared" si="40"/>
        <v/>
      </c>
      <c r="DB122" s="79" t="str">
        <f t="shared" si="41"/>
        <v/>
      </c>
      <c r="DC122" s="79" t="str">
        <f t="shared" si="42"/>
        <v/>
      </c>
      <c r="DD122" s="79" t="str">
        <f t="shared" si="43"/>
        <v/>
      </c>
      <c r="DE122" s="79" t="str">
        <f t="shared" si="44"/>
        <v/>
      </c>
      <c r="DF122" s="79" t="str">
        <f t="shared" si="45"/>
        <v/>
      </c>
      <c r="DG122" s="79" t="str">
        <f t="shared" si="46"/>
        <v/>
      </c>
      <c r="DH122" s="76"/>
      <c r="DI122" s="78"/>
      <c r="DJ122" s="76"/>
      <c r="DK122" s="77"/>
      <c r="DL122" s="77"/>
      <c r="DM122" s="77"/>
      <c r="DN122" s="80"/>
      <c r="DO122" s="80"/>
      <c r="DP122" s="92" t="str">
        <f>IF(Table1[Start Date]="","",IF(Table1[Start Date]&gt;42185,"",IF(AND(Table1[Leaving Date]&gt;1,Table1[Leaving Date]&lt;42095),"",1)))</f>
        <v/>
      </c>
      <c r="DQ122" s="92" t="str">
        <f>IF(Table1[Start Date]="","",IF(Table1[Start Date]&gt;42277,"",IF(AND(Table1[Leaving Date]&gt;1,Table1[Leaving Date]&lt;42186),"",1)))</f>
        <v/>
      </c>
      <c r="DR122" s="92" t="str">
        <f>IF(Table1[Start Date]="","",IF(Table1[Start Date]&gt;42369,"",IF(AND(Table1[Leaving Date]&gt;1,Table1[Leaving Date]&lt;42278),"",1)))</f>
        <v/>
      </c>
      <c r="DS122" s="92" t="str">
        <f>IF(Table1[Start Date]="","",IF(Table1[Start Date]&gt;42460,"",IF(AND(Table1[Leaving Date]&gt;1,Table1[Leaving Date]&lt;42370),"",1)))</f>
        <v/>
      </c>
      <c r="DT122" s="92" t="str">
        <f>IF(Table1[Start Date]="","",IF(Table1[Start Date]&gt;42551,"",IF(AND(Table1[Leaving Date]&gt;1,Table1[Leaving Date]&lt;42461),"",1)))</f>
        <v/>
      </c>
      <c r="DU122" s="92" t="str">
        <f>IF(Table1[Start Date]="","",IF(Table1[Start Date]&gt;42643,"",IF(AND(Table1[Leaving Date]&gt;1,Table1[Leaving Date]&lt;42552),"",1)))</f>
        <v/>
      </c>
      <c r="DV122" s="92" t="str">
        <f>IF(Table1[Start Date]="","",IF(Table1[Start Date]&gt;42735,"",IF(AND(Table1[Leaving Date]&gt;1,Table1[Leaving Date]&lt;42644),"",1)))</f>
        <v/>
      </c>
      <c r="DW122" s="92" t="str">
        <f>IF(Table1[Start Date]="","",IF(Table1[Start Date]&gt;42825,"",IF(AND(Table1[Leaving Date]&gt;1,Table1[Leaving Date]&lt;42736),"",1)))</f>
        <v/>
      </c>
      <c r="DX122"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122" s="44" t="e">
        <f>VLOOKUP(Table1[Referral Source],Lists!$G$2:$H$20,2,FALSE)</f>
        <v>#N/A</v>
      </c>
      <c r="DZ122" s="93" t="e">
        <f>SUM(Table1[Data Referral Quarter]+Table1[Data Referral Source])</f>
        <v>#N/A</v>
      </c>
      <c r="EA122" s="44" t="b">
        <f>IF(Table1[Referral Decision]="Accepted",100,IF(Table1[Referral Decision]="Rejected by Provider",200,IF(Table1[Referral Decision]="Rejected by Applicant",300)))</f>
        <v>0</v>
      </c>
      <c r="EB122" s="44">
        <f>SUM(Table1[Data Referral Quarter]+Table1[Data Referral Decision])</f>
        <v>0</v>
      </c>
      <c r="EC122" s="44" t="b">
        <f>IF(Table1[Start Date]&gt;42735,8000,IF(Table1[Start Date]&gt;42643,7000,IF(Table1[Start Date]&gt;42551,6000,IF(Table1[Start Date]&gt;42460,5000,IF(Table1[Start Date]&gt;42369,4000,IF(Table1[Start Date]&gt;42277,3000,IF(Table1[Start Date]&gt;42185,2000,IF(Table1[Start Date]&gt;42094,1000))))))))</f>
        <v>0</v>
      </c>
      <c r="ED122" s="44" t="str">
        <f>IF(Table1[Start Date]="","",IF(Table1[Current Local Authority]="Swindon",1,"2"))</f>
        <v/>
      </c>
      <c r="EE122" s="44" t="e">
        <f>SUM(Table1[Data Start Date]+Table1[Data Local Authority])</f>
        <v>#VALUE!</v>
      </c>
      <c r="EF122" s="44">
        <f>IF(Table1[Registered with GP]="Yes",1,0)</f>
        <v>0</v>
      </c>
      <c r="EG122" s="44">
        <f>SUM(Table1[Data Start Date]+Table1[Data GP Start])</f>
        <v>0</v>
      </c>
      <c r="EH122" s="44" t="str">
        <f>IF(Table1[EET]="NEET",1,IF(Table1[EET]="Education",2,IF(Table1[EET]="Employment",2,IF(Table1[EET]="Training",2,IF(Table1[EET]="Retired",3,"")))))</f>
        <v/>
      </c>
      <c r="EI122" s="44" t="e">
        <f>Table1[Data Start Date]+Table1[Data EET Start]</f>
        <v>#VALUE!</v>
      </c>
      <c r="EJ122" s="44" t="b">
        <f>IF(Table1[Leaving Date]&gt;42735,8000,IF(Table1[Leaving Date]&gt;42643,7000,IF(Table1[Leaving Date]&gt;42551,6000,IF(Table1[Leaving Date]&gt;42460,5000,IF(Table1[Leaving Date]&gt;42369,4000,IF(Table1[Leaving Date]&gt;42277,3000,IF(Table1[Leaving Date]&gt;42185,2000,IF(Table1[Leaving Date]&gt;42094,1000))))))))</f>
        <v>0</v>
      </c>
      <c r="EK122" s="44" t="e">
        <f>VLOOKUP(Table1[Reason for Leaving],Lists!$T$2:$U$15,2,FALSE)</f>
        <v>#N/A</v>
      </c>
      <c r="EL122" s="44" t="e">
        <f>SUM(Table1[Data Leavers Date]+Table1[Data Move On])</f>
        <v>#N/A</v>
      </c>
      <c r="EM122" s="44" t="b">
        <f>IF(Table1[Registered with GP2]="Yes",1,IF(Table1[Registered with GP2]="No",0,IF(Table1[Registered with GP]="Yes",1,IF(Table1[Registered with GP]="No",0))))</f>
        <v>0</v>
      </c>
      <c r="EN122" s="44">
        <f>SUM(Table1[Data Leavers Date]+Table1[Data GP End])</f>
        <v>0</v>
      </c>
      <c r="EO122" s="44" t="str">
        <f>IF(Table1[EET2]="NEET",1,IF(Table1[EET2]="Employment",2,IF(Table1[EET2]="Education",2,IF(Table1[EET2]="Training",2,IF(Table1[EET2]="Retired",3,IF(Table1[EET]="NEET",1,IF(Table1[EET]="Employment",2,IF(Table1[EET]="Education",2,IF(Table1[EET]="Training",2,IF(Table1[EET]="Retired",3,""))))))))))</f>
        <v/>
      </c>
      <c r="EP122" s="44" t="e">
        <f>+Table1[[#This Row],[Data Leavers Date]]+Table1[[#This Row],[Data EET End]]</f>
        <v>#VALUE!</v>
      </c>
      <c r="EQ122" s="44">
        <f>IF(Table1[Exit Form Received]="Yes",1,0)</f>
        <v>0</v>
      </c>
      <c r="ER122" s="44">
        <f>+Table1[[#This Row],[Data Leavers Date]]+Table1[[#This Row],[Data Exit Forms]]</f>
        <v>0</v>
      </c>
      <c r="ES122" s="44" t="str">
        <f>IF(Table1[Data Leavers Date]=1000,SUM(Table1[Leaving Date]-Table1[Start Date]),"")</f>
        <v/>
      </c>
      <c r="ET122" s="44" t="str">
        <f>IF(Table1[Data Leavers Date]=2000,SUM(Table1[Leaving Date]-Table1[Start Date]),"")</f>
        <v/>
      </c>
      <c r="EU122" s="44" t="str">
        <f>IF(Table1[Data Leavers Date]=3000,SUM(Table1[Leaving Date]-Table1[Start Date]),"")</f>
        <v/>
      </c>
      <c r="EV122" s="44" t="str">
        <f>IF(Table1[Data Leavers Date]=4000,SUM(Table1[Leaving Date]-Table1[Start Date]),"")</f>
        <v/>
      </c>
      <c r="EW122" s="44" t="str">
        <f>IF(Table1[Data Leavers Date]=5000,SUM(Table1[Leaving Date]-Table1[Start Date]),"")</f>
        <v/>
      </c>
      <c r="EX122" s="44" t="str">
        <f>IF(Table1[Data Leavers Date]=6000,SUM(Table1[Leaving Date]-Table1[Start Date]),"")</f>
        <v/>
      </c>
      <c r="EY122" s="44" t="str">
        <f>IF(Table1[Data Leavers Date]=7000,SUM(Table1[Leaving Date]-Table1[Start Date]),"")</f>
        <v/>
      </c>
      <c r="EZ122" s="44" t="str">
        <f>IF(Table1[Data Leavers Date]=8000,SUM(Table1[Leaving Date]-Table1[Start Date]),"")</f>
        <v/>
      </c>
      <c r="FA122" s="44" t="str">
        <f>IF(Table1[Date of Initial Assessment]="","",IF(AND(Table1[Start Date]&gt;42094,Table1[Start Date]&lt;42461),Table1[Motivation and Taking Responsibility],""))</f>
        <v/>
      </c>
      <c r="FB122" s="44" t="str">
        <f>IF(Table1[Date of Initial Assessment]="","",IF(AND(Table1[Start Date]&gt;42094,Table1[Start Date]&lt;42461),Table1[Self-Care and Living Skills],""))</f>
        <v/>
      </c>
      <c r="FC122" s="44" t="str">
        <f>IF(Table1[Date of Initial Assessment]="","",IF(AND(Table1[Start Date]&gt;42094,Table1[Start Date]&lt;42461),Table1[Managing Money and Personal Administration],""))</f>
        <v/>
      </c>
      <c r="FD122" s="44" t="str">
        <f>IF(Table1[Date of Initial Assessment]="","",IF(AND(Table1[Start Date]&gt;42094,Table1[Start Date]&lt;42461),Table1[Social Networks and Relationships],""))</f>
        <v/>
      </c>
      <c r="FE122" s="44" t="str">
        <f>IF(Table1[Date of Initial Assessment]="","",IF(AND(Table1[Start Date]&gt;42094,Table1[Start Date]&lt;42461),Table1[Drug and Alcohol Misuse],""))</f>
        <v/>
      </c>
      <c r="FF122" s="44" t="str">
        <f>IF(Table1[Date of Initial Assessment]="","",IF(AND(Table1[Start Date]&gt;42094,Table1[Start Date]&lt;42461),Table1[Physical Health],""))</f>
        <v/>
      </c>
      <c r="FG122" s="44" t="str">
        <f>IF(Table1[Date of Initial Assessment]="","",IF(AND(Table1[Start Date]&gt;42094,Table1[Start Date]&lt;42461),Table1[Emotional and Mental Health],""))</f>
        <v/>
      </c>
      <c r="FH122" s="44" t="str">
        <f>IF(Table1[Date of Initial Assessment]="","",IF(AND(Table1[Start Date]&gt;42094,Table1[Start Date]&lt;42461),Table1[Meaningful Use of Time],""))</f>
        <v/>
      </c>
      <c r="FI122" s="44" t="str">
        <f>IF(Table1[Date of Initial Assessment]="","",IF(AND(Table1[Start Date]&gt;42094,Table1[Start Date]&lt;42461),Table1[Managing Tenancy and Accommodation],""))</f>
        <v/>
      </c>
      <c r="FJ122" s="44" t="str">
        <f>IF(Table1[Date of Initial Assessment]="","",IF(AND(Table1[Start Date]&gt;42094,Table1[Start Date]&lt;42461),Table1[Offending],""))</f>
        <v/>
      </c>
      <c r="FK122" s="44" t="str">
        <f>IF(Table1[Leaving Date]="","",IF(Table1[Date of Initial Assessment]="","",IF(AND(Table1[Leaving Date]&gt;42094,Table1[Leaving Date]&lt;42461),IF(Table1[Date of Last Assessment]="",Table1[Motivation and Taking Responsibility],Table1[Motivation and Taking Responsibility2]),"")))</f>
        <v/>
      </c>
      <c r="FL122" s="44" t="str">
        <f>IF(Table1[Leaving Date]="","",IF(Table1[Date of Initial Assessment]="","",IF(AND(Table1[Leaving Date]&gt;42094,Table1[Leaving Date]&lt;42461),IF(Table1[Date of Last Assessment]="",Table1[Self-Care and Living Skills],Table1[Self-Care and Living Skills2]),"")))</f>
        <v/>
      </c>
      <c r="FM122" s="44" t="str">
        <f>IF(Table1[Leaving Date]="","",IF(Table1[Date of Initial Assessment]="","",IF(AND(Table1[Leaving Date]&gt;42094,Table1[Leaving Date]&lt;42461),IF(Table1[Date of Last Assessment]="",Table1[Managing Money and Personal Administration],Table1[Managing Money and Personal Administration2]),"")))</f>
        <v/>
      </c>
      <c r="FN122" s="44" t="str">
        <f>IF(Table1[Leaving Date]="","",IF(Table1[Date of Initial Assessment]="","",IF(AND(Table1[Leaving Date]&gt;42094,Table1[Leaving Date]&lt;42461),IF(Table1[Date of Last Assessment]="",Table1[Social Networks and Relationships],Table1[Social Networks and Relationships2]),"")))</f>
        <v/>
      </c>
      <c r="FO122" s="44" t="str">
        <f>IF(Table1[Leaving Date]="","",IF(Table1[Date of Initial Assessment]="","",IF(AND(Table1[Leaving Date]&gt;42094,Table1[Leaving Date]&lt;42461),IF(Table1[Date of Last Assessment]="",Table1[Drug and Alcohol Misuse],Table1[Drug and Alcohol Misuse2]),"")))</f>
        <v/>
      </c>
      <c r="FP122" s="44" t="str">
        <f>IF(Table1[Leaving Date]="","",IF(Table1[Date of Initial Assessment]="","",IF(AND(Table1[Leaving Date]&gt;42094,Table1[Leaving Date]&lt;42461),IF(Table1[Date of Last Assessment]="",Table1[Physical Health],Table1[Physical Health2]),"")))</f>
        <v/>
      </c>
      <c r="FQ122" s="44" t="str">
        <f>IF(Table1[Leaving Date]="","",IF(Table1[Date of Initial Assessment]="","",IF(AND(Table1[Leaving Date]&gt;42094,Table1[Leaving Date]&lt;42461),IF(Table1[Date of Last Assessment]="",Table1[Emotional and Mental Health],Table1[Emotional and Mental Health2]),"")))</f>
        <v/>
      </c>
      <c r="FR122" s="44" t="str">
        <f>IF(Table1[Leaving Date]="","",IF(Table1[Date of Initial Assessment]="","",IF(AND(Table1[Leaving Date]&gt;42094,Table1[Leaving Date]&lt;42461),IF(Table1[Date of Last Assessment]="",Table1[Meaningful Use of Time],Table1[Meaningful Use of Time2]),"")))</f>
        <v/>
      </c>
      <c r="FS122" s="44" t="str">
        <f>IF(Table1[Leaving Date]="","",IF(Table1[Date of Initial Assessment]="","",IF(AND(Table1[Leaving Date]&gt;42094,Table1[Leaving Date]&lt;42461),IF(Table1[Date of Last Assessment]="",Table1[Managing Tenancy and Accommodation],Table1[Managing Tenancy and Accommodation2]),"")))</f>
        <v/>
      </c>
      <c r="FT122" s="44" t="str">
        <f>IF(Table1[Leaving Date]="","",IF(Table1[Date of Initial Assessment]="","",IF(AND(Table1[Leaving Date]&gt;42094,Table1[Leaving Date]&lt;42461),IF(Table1[Date of Last Assessment]="",Table1[Offending],Table1[Offending2]),"")))</f>
        <v/>
      </c>
      <c r="FU122" s="44" t="str">
        <f>IF(Table1[Date of Initial Assessment]="","",IF(AND(Table1[Start Date]&gt;42460,Table1[Start Date]&lt;42826),Table1[Motivation and Taking Responsibility],""))</f>
        <v/>
      </c>
      <c r="FV122" s="44" t="str">
        <f>IF(Table1[Date of Initial Assessment]="","",IF(AND(Table1[Start Date]&gt;42460,Table1[Start Date]&lt;42826),Table1[Self-Care and Living Skills],""))</f>
        <v/>
      </c>
      <c r="FW122" s="44" t="str">
        <f>IF(Table1[Date of Initial Assessment]="","",IF(AND(Table1[Start Date]&gt;42460,Table1[Start Date]&lt;42826),Table1[Managing Money and Personal Administration],""))</f>
        <v/>
      </c>
      <c r="FX122" s="44" t="str">
        <f>IF(Table1[Date of Initial Assessment]="","",IF(AND(Table1[Start Date]&gt;42460,Table1[Start Date]&lt;42826),Table1[Social Networks and Relationships],""))</f>
        <v/>
      </c>
      <c r="FY122" s="44" t="str">
        <f>IF(Table1[Date of Initial Assessment]="","",IF(AND(Table1[Start Date]&gt;42460,Table1[Start Date]&lt;42826),Table1[Drug and Alcohol Misuse],""))</f>
        <v/>
      </c>
      <c r="FZ122" s="44" t="str">
        <f>IF(Table1[Date of Initial Assessment]="","",IF(AND(Table1[Start Date]&gt;42460,Table1[Start Date]&lt;42826),Table1[Physical Health],""))</f>
        <v/>
      </c>
      <c r="GA122" s="44" t="str">
        <f>IF(Table1[Date of Initial Assessment]="","",IF(AND(Table1[Start Date]&gt;42460,Table1[Start Date]&lt;42826),Table1[Emotional and Mental Health],""))</f>
        <v/>
      </c>
      <c r="GB122" s="44" t="str">
        <f>IF(Table1[Date of Initial Assessment]="","",IF(AND(Table1[Start Date]&gt;42460,Table1[Start Date]&lt;42826),Table1[Meaningful Use of Time],""))</f>
        <v/>
      </c>
      <c r="GC122" s="44" t="str">
        <f>IF(Table1[Date of Initial Assessment]="","",IF(AND(Table1[Start Date]&gt;42460,Table1[Start Date]&lt;42826),Table1[Managing Tenancy and Accommodation],""))</f>
        <v/>
      </c>
      <c r="GD122" s="44" t="str">
        <f>IF(Table1[Date of Initial Assessment]="","",IF(AND(Table1[Start Date]&gt;42460,Table1[Start Date]&lt;42826),Table1[Offending],""))</f>
        <v/>
      </c>
      <c r="GE122" s="44" t="str">
        <f>IF(Table1[Leaving Date]="","",IF(AND(Table1[Leaving Date]&gt;42460,Table1[Leaving Date]&lt;42826),IF(Table1[Date of Last Assessment]="",Table1[Motivation and Taking Responsibility],Table1[Motivation and Taking Responsibility2]),""))</f>
        <v/>
      </c>
      <c r="GF122" s="44" t="str">
        <f>IF(Table1[Leaving Date]="","",IF(AND(Table1[Leaving Date]&gt;42460,Table1[Leaving Date]&lt;42826),IF(Table1[Date of Last Assessment]="",Table1[Self-Care and Living Skills],Table1[Self-Care and Living Skills2]),""))</f>
        <v/>
      </c>
      <c r="GG122" s="44" t="str">
        <f>IF(Table1[Leaving Date]="","",IF(AND(Table1[Leaving Date]&gt;42460,Table1[Leaving Date]&lt;42826),IF(Table1[Date of Last Assessment]="",Table1[Managing Money and Personal Administration],Table1[Managing Money and Personal Administration2]),""))</f>
        <v/>
      </c>
      <c r="GH122" s="44" t="str">
        <f>IF(Table1[Leaving Date]="","",IF(AND(Table1[Leaving Date]&gt;42460,Table1[Leaving Date]&lt;42826),IF(Table1[Date of Last Assessment]="",Table1[Social Networks and Relationships],Table1[Social Networks and Relationships2]),""))</f>
        <v/>
      </c>
      <c r="GI122" s="44" t="str">
        <f>IF(Table1[Leaving Date]="","",IF(AND(Table1[Leaving Date]&gt;42460,Table1[Leaving Date]&lt;42826),IF(Table1[Date of Last Assessment]="",Table1[Drug and Alcohol Misuse],Table1[Drug and Alcohol Misuse2]),""))</f>
        <v/>
      </c>
      <c r="GJ122" s="44" t="str">
        <f>IF(Table1[Leaving Date]="","",IF(AND(Table1[Leaving Date]&gt;42460,Table1[Leaving Date]&lt;42826),IF(Table1[Date of Last Assessment]="",Table1[Physical Health],Table1[Physical Health2]),""))</f>
        <v/>
      </c>
      <c r="GK122" s="44" t="str">
        <f>IF(Table1[Leaving Date]="","",IF(AND(Table1[Leaving Date]&gt;42460,Table1[Leaving Date]&lt;42826),IF(Table1[Date of Last Assessment]="",Table1[Emotional and Mental Health],Table1[Emotional and Mental Health2]),""))</f>
        <v/>
      </c>
      <c r="GL122" s="44" t="str">
        <f>IF(Table1[Leaving Date]="","",IF(AND(Table1[Leaving Date]&gt;42460,Table1[Leaving Date]&lt;42826),IF(Table1[Date of Last Assessment]="",Table1[Meaningful Use of Time],Table1[Meaningful Use of Time2]),""))</f>
        <v/>
      </c>
      <c r="GM122" s="44" t="str">
        <f>IF(Table1[Leaving Date]="","",IF(AND(Table1[Leaving Date]&gt;42460,Table1[Leaving Date]&lt;42826),IF(Table1[Date of Last Assessment]="",Table1[Managing Tenancy and Accommodation],Table1[Managing Tenancy and Accommodation2]),""))</f>
        <v/>
      </c>
      <c r="GN122" s="44" t="str">
        <f>IF(Table1[Leaving Date]="","",IF(AND(Table1[Leaving Date]&gt;42460,Table1[Leaving Date]&lt;42826),IF(Table1[Date of Last Assessment]="",Table1[Offending],Table1[Offending2]),""))</f>
        <v/>
      </c>
    </row>
    <row r="123" spans="2:196" ht="20.100000000000001" customHeight="1" x14ac:dyDescent="0.2">
      <c r="B123" s="86">
        <f>+'Service Data'!$C$5:$C$5</f>
        <v>0</v>
      </c>
      <c r="C123" s="86"/>
      <c r="D123" s="86"/>
      <c r="E123" s="86"/>
      <c r="F123" s="86"/>
      <c r="G123" s="86"/>
      <c r="H123" s="6"/>
      <c r="I123" s="99" t="str">
        <f ca="1">IF(Table1[[#This Row],[Date of Birth]]="","",SUM(TODAY()-Table1[[#This Row],[Date of Birth]])/365)</f>
        <v/>
      </c>
      <c r="L123" s="86"/>
      <c r="M123" s="77"/>
      <c r="N123" s="86"/>
      <c r="O123" s="86"/>
      <c r="P123" s="91"/>
      <c r="Q123" s="86"/>
      <c r="R123" s="77"/>
      <c r="S123" s="77"/>
      <c r="T123" s="68"/>
      <c r="U123" s="68"/>
      <c r="V123" s="67"/>
      <c r="W123" s="67"/>
      <c r="X123" s="67"/>
      <c r="Y123" s="67"/>
      <c r="Z123" s="67"/>
      <c r="AA123" s="67"/>
      <c r="AB123" s="67"/>
      <c r="AC123" s="67"/>
      <c r="AD123" s="67"/>
      <c r="AE123" s="67"/>
      <c r="AF123" s="67"/>
      <c r="AG123" s="67"/>
      <c r="AH123" s="67"/>
      <c r="AI123" s="67"/>
      <c r="AJ123" s="67"/>
      <c r="AK123" s="67"/>
      <c r="AL123" s="67"/>
      <c r="AM123" s="67"/>
      <c r="AN123" s="77"/>
      <c r="AO123" s="76"/>
      <c r="AP123" s="77"/>
      <c r="AQ123" s="76"/>
      <c r="AR123" s="76"/>
      <c r="AS123" s="76"/>
      <c r="AT123" s="76"/>
      <c r="AU123" s="76"/>
      <c r="AV123" s="77"/>
      <c r="AW123" s="76"/>
      <c r="AX123" s="77"/>
      <c r="AY123" s="76"/>
      <c r="AZ123" s="76"/>
      <c r="BA123" s="76"/>
      <c r="BB123" s="76"/>
      <c r="BC123" s="76"/>
      <c r="BD123" s="77"/>
      <c r="BE123" s="76"/>
      <c r="BF123" s="77"/>
      <c r="BG123" s="76"/>
      <c r="BH123" s="76"/>
      <c r="BI123" s="76"/>
      <c r="BJ123" s="76"/>
      <c r="BK123" s="76"/>
      <c r="BL123" s="77"/>
      <c r="BM123" s="76"/>
      <c r="BN123" s="77"/>
      <c r="BO123" s="76"/>
      <c r="BP123" s="76"/>
      <c r="BQ123" s="76"/>
      <c r="BR123" s="76"/>
      <c r="BS123" s="76"/>
      <c r="BT123" s="77"/>
      <c r="BU123" s="76"/>
      <c r="BV123" s="77"/>
      <c r="BW123" s="76"/>
      <c r="BX123" s="76"/>
      <c r="BY123" s="76"/>
      <c r="BZ123" s="76"/>
      <c r="CA123" s="76"/>
      <c r="CB123" s="77"/>
      <c r="CC123" s="76"/>
      <c r="CD123" s="77"/>
      <c r="CE123" s="76"/>
      <c r="CF123" s="76"/>
      <c r="CG123" s="76"/>
      <c r="CH123" s="76"/>
      <c r="CI123" s="76"/>
      <c r="CJ123" s="77"/>
      <c r="CK123" s="76"/>
      <c r="CL123" s="77"/>
      <c r="CM123" s="76"/>
      <c r="CN123" s="76"/>
      <c r="CO123" s="76"/>
      <c r="CP123" s="76"/>
      <c r="CQ123" s="76"/>
      <c r="CR123" s="78" t="str">
        <f t="shared" si="31"/>
        <v/>
      </c>
      <c r="CS123" s="79" t="str">
        <f t="shared" si="32"/>
        <v/>
      </c>
      <c r="CT123" s="79" t="str">
        <f t="shared" si="33"/>
        <v/>
      </c>
      <c r="CU123" s="79" t="str">
        <f t="shared" si="34"/>
        <v/>
      </c>
      <c r="CV123" s="79" t="str">
        <f t="shared" si="35"/>
        <v/>
      </c>
      <c r="CW123" s="79" t="str">
        <f t="shared" si="36"/>
        <v/>
      </c>
      <c r="CX123" s="79" t="str">
        <f t="shared" si="37"/>
        <v/>
      </c>
      <c r="CY123" s="79" t="str">
        <f t="shared" si="38"/>
        <v/>
      </c>
      <c r="CZ123" s="79" t="str">
        <f t="shared" si="39"/>
        <v/>
      </c>
      <c r="DA123" s="79" t="str">
        <f t="shared" si="40"/>
        <v/>
      </c>
      <c r="DB123" s="79" t="str">
        <f t="shared" si="41"/>
        <v/>
      </c>
      <c r="DC123" s="79" t="str">
        <f t="shared" si="42"/>
        <v/>
      </c>
      <c r="DD123" s="79" t="str">
        <f t="shared" si="43"/>
        <v/>
      </c>
      <c r="DE123" s="79" t="str">
        <f t="shared" si="44"/>
        <v/>
      </c>
      <c r="DF123" s="79" t="str">
        <f t="shared" si="45"/>
        <v/>
      </c>
      <c r="DG123" s="79" t="str">
        <f t="shared" si="46"/>
        <v/>
      </c>
      <c r="DH123" s="76"/>
      <c r="DI123" s="78"/>
      <c r="DJ123" s="76"/>
      <c r="DK123" s="77"/>
      <c r="DL123" s="77"/>
      <c r="DM123" s="77"/>
      <c r="DN123" s="80"/>
      <c r="DO123" s="80"/>
      <c r="DP123" s="92" t="str">
        <f>IF(Table1[Start Date]="","",IF(Table1[Start Date]&gt;42185,"",IF(AND(Table1[Leaving Date]&gt;1,Table1[Leaving Date]&lt;42095),"",1)))</f>
        <v/>
      </c>
      <c r="DQ123" s="92" t="str">
        <f>IF(Table1[Start Date]="","",IF(Table1[Start Date]&gt;42277,"",IF(AND(Table1[Leaving Date]&gt;1,Table1[Leaving Date]&lt;42186),"",1)))</f>
        <v/>
      </c>
      <c r="DR123" s="92" t="str">
        <f>IF(Table1[Start Date]="","",IF(Table1[Start Date]&gt;42369,"",IF(AND(Table1[Leaving Date]&gt;1,Table1[Leaving Date]&lt;42278),"",1)))</f>
        <v/>
      </c>
      <c r="DS123" s="92" t="str">
        <f>IF(Table1[Start Date]="","",IF(Table1[Start Date]&gt;42460,"",IF(AND(Table1[Leaving Date]&gt;1,Table1[Leaving Date]&lt;42370),"",1)))</f>
        <v/>
      </c>
      <c r="DT123" s="92" t="str">
        <f>IF(Table1[Start Date]="","",IF(Table1[Start Date]&gt;42551,"",IF(AND(Table1[Leaving Date]&gt;1,Table1[Leaving Date]&lt;42461),"",1)))</f>
        <v/>
      </c>
      <c r="DU123" s="92" t="str">
        <f>IF(Table1[Start Date]="","",IF(Table1[Start Date]&gt;42643,"",IF(AND(Table1[Leaving Date]&gt;1,Table1[Leaving Date]&lt;42552),"",1)))</f>
        <v/>
      </c>
      <c r="DV123" s="92" t="str">
        <f>IF(Table1[Start Date]="","",IF(Table1[Start Date]&gt;42735,"",IF(AND(Table1[Leaving Date]&gt;1,Table1[Leaving Date]&lt;42644),"",1)))</f>
        <v/>
      </c>
      <c r="DW123" s="92" t="str">
        <f>IF(Table1[Start Date]="","",IF(Table1[Start Date]&gt;42825,"",IF(AND(Table1[Leaving Date]&gt;1,Table1[Leaving Date]&lt;42736),"",1)))</f>
        <v/>
      </c>
      <c r="DX123"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123" s="44" t="e">
        <f>VLOOKUP(Table1[Referral Source],Lists!$G$2:$H$20,2,FALSE)</f>
        <v>#N/A</v>
      </c>
      <c r="DZ123" s="93" t="e">
        <f>SUM(Table1[Data Referral Quarter]+Table1[Data Referral Source])</f>
        <v>#N/A</v>
      </c>
      <c r="EA123" s="44" t="b">
        <f>IF(Table1[Referral Decision]="Accepted",100,IF(Table1[Referral Decision]="Rejected by Provider",200,IF(Table1[Referral Decision]="Rejected by Applicant",300)))</f>
        <v>0</v>
      </c>
      <c r="EB123" s="44">
        <f>SUM(Table1[Data Referral Quarter]+Table1[Data Referral Decision])</f>
        <v>0</v>
      </c>
      <c r="EC123" s="44" t="b">
        <f>IF(Table1[Start Date]&gt;42735,8000,IF(Table1[Start Date]&gt;42643,7000,IF(Table1[Start Date]&gt;42551,6000,IF(Table1[Start Date]&gt;42460,5000,IF(Table1[Start Date]&gt;42369,4000,IF(Table1[Start Date]&gt;42277,3000,IF(Table1[Start Date]&gt;42185,2000,IF(Table1[Start Date]&gt;42094,1000))))))))</f>
        <v>0</v>
      </c>
      <c r="ED123" s="44" t="str">
        <f>IF(Table1[Start Date]="","",IF(Table1[Current Local Authority]="Swindon",1,"2"))</f>
        <v/>
      </c>
      <c r="EE123" s="44" t="e">
        <f>SUM(Table1[Data Start Date]+Table1[Data Local Authority])</f>
        <v>#VALUE!</v>
      </c>
      <c r="EF123" s="44">
        <f>IF(Table1[Registered with GP]="Yes",1,0)</f>
        <v>0</v>
      </c>
      <c r="EG123" s="44">
        <f>SUM(Table1[Data Start Date]+Table1[Data GP Start])</f>
        <v>0</v>
      </c>
      <c r="EH123" s="44" t="str">
        <f>IF(Table1[EET]="NEET",1,IF(Table1[EET]="Education",2,IF(Table1[EET]="Employment",2,IF(Table1[EET]="Training",2,IF(Table1[EET]="Retired",3,"")))))</f>
        <v/>
      </c>
      <c r="EI123" s="44" t="e">
        <f>Table1[Data Start Date]+Table1[Data EET Start]</f>
        <v>#VALUE!</v>
      </c>
      <c r="EJ123" s="44" t="b">
        <f>IF(Table1[Leaving Date]&gt;42735,8000,IF(Table1[Leaving Date]&gt;42643,7000,IF(Table1[Leaving Date]&gt;42551,6000,IF(Table1[Leaving Date]&gt;42460,5000,IF(Table1[Leaving Date]&gt;42369,4000,IF(Table1[Leaving Date]&gt;42277,3000,IF(Table1[Leaving Date]&gt;42185,2000,IF(Table1[Leaving Date]&gt;42094,1000))))))))</f>
        <v>0</v>
      </c>
      <c r="EK123" s="44" t="e">
        <f>VLOOKUP(Table1[Reason for Leaving],Lists!$T$2:$U$15,2,FALSE)</f>
        <v>#N/A</v>
      </c>
      <c r="EL123" s="44" t="e">
        <f>SUM(Table1[Data Leavers Date]+Table1[Data Move On])</f>
        <v>#N/A</v>
      </c>
      <c r="EM123" s="44" t="b">
        <f>IF(Table1[Registered with GP2]="Yes",1,IF(Table1[Registered with GP2]="No",0,IF(Table1[Registered with GP]="Yes",1,IF(Table1[Registered with GP]="No",0))))</f>
        <v>0</v>
      </c>
      <c r="EN123" s="44">
        <f>SUM(Table1[Data Leavers Date]+Table1[Data GP End])</f>
        <v>0</v>
      </c>
      <c r="EO123" s="44" t="str">
        <f>IF(Table1[EET2]="NEET",1,IF(Table1[EET2]="Employment",2,IF(Table1[EET2]="Education",2,IF(Table1[EET2]="Training",2,IF(Table1[EET2]="Retired",3,IF(Table1[EET]="NEET",1,IF(Table1[EET]="Employment",2,IF(Table1[EET]="Education",2,IF(Table1[EET]="Training",2,IF(Table1[EET]="Retired",3,""))))))))))</f>
        <v/>
      </c>
      <c r="EP123" s="44" t="e">
        <f>+Table1[[#This Row],[Data Leavers Date]]+Table1[[#This Row],[Data EET End]]</f>
        <v>#VALUE!</v>
      </c>
      <c r="EQ123" s="44">
        <f>IF(Table1[Exit Form Received]="Yes",1,0)</f>
        <v>0</v>
      </c>
      <c r="ER123" s="44">
        <f>+Table1[[#This Row],[Data Leavers Date]]+Table1[[#This Row],[Data Exit Forms]]</f>
        <v>0</v>
      </c>
      <c r="ES123" s="44" t="str">
        <f>IF(Table1[Data Leavers Date]=1000,SUM(Table1[Leaving Date]-Table1[Start Date]),"")</f>
        <v/>
      </c>
      <c r="ET123" s="44" t="str">
        <f>IF(Table1[Data Leavers Date]=2000,SUM(Table1[Leaving Date]-Table1[Start Date]),"")</f>
        <v/>
      </c>
      <c r="EU123" s="44" t="str">
        <f>IF(Table1[Data Leavers Date]=3000,SUM(Table1[Leaving Date]-Table1[Start Date]),"")</f>
        <v/>
      </c>
      <c r="EV123" s="44" t="str">
        <f>IF(Table1[Data Leavers Date]=4000,SUM(Table1[Leaving Date]-Table1[Start Date]),"")</f>
        <v/>
      </c>
      <c r="EW123" s="44" t="str">
        <f>IF(Table1[Data Leavers Date]=5000,SUM(Table1[Leaving Date]-Table1[Start Date]),"")</f>
        <v/>
      </c>
      <c r="EX123" s="44" t="str">
        <f>IF(Table1[Data Leavers Date]=6000,SUM(Table1[Leaving Date]-Table1[Start Date]),"")</f>
        <v/>
      </c>
      <c r="EY123" s="44" t="str">
        <f>IF(Table1[Data Leavers Date]=7000,SUM(Table1[Leaving Date]-Table1[Start Date]),"")</f>
        <v/>
      </c>
      <c r="EZ123" s="44" t="str">
        <f>IF(Table1[Data Leavers Date]=8000,SUM(Table1[Leaving Date]-Table1[Start Date]),"")</f>
        <v/>
      </c>
      <c r="FA123" s="44" t="str">
        <f>IF(Table1[Date of Initial Assessment]="","",IF(AND(Table1[Start Date]&gt;42094,Table1[Start Date]&lt;42461),Table1[Motivation and Taking Responsibility],""))</f>
        <v/>
      </c>
      <c r="FB123" s="44" t="str">
        <f>IF(Table1[Date of Initial Assessment]="","",IF(AND(Table1[Start Date]&gt;42094,Table1[Start Date]&lt;42461),Table1[Self-Care and Living Skills],""))</f>
        <v/>
      </c>
      <c r="FC123" s="44" t="str">
        <f>IF(Table1[Date of Initial Assessment]="","",IF(AND(Table1[Start Date]&gt;42094,Table1[Start Date]&lt;42461),Table1[Managing Money and Personal Administration],""))</f>
        <v/>
      </c>
      <c r="FD123" s="44" t="str">
        <f>IF(Table1[Date of Initial Assessment]="","",IF(AND(Table1[Start Date]&gt;42094,Table1[Start Date]&lt;42461),Table1[Social Networks and Relationships],""))</f>
        <v/>
      </c>
      <c r="FE123" s="44" t="str">
        <f>IF(Table1[Date of Initial Assessment]="","",IF(AND(Table1[Start Date]&gt;42094,Table1[Start Date]&lt;42461),Table1[Drug and Alcohol Misuse],""))</f>
        <v/>
      </c>
      <c r="FF123" s="44" t="str">
        <f>IF(Table1[Date of Initial Assessment]="","",IF(AND(Table1[Start Date]&gt;42094,Table1[Start Date]&lt;42461),Table1[Physical Health],""))</f>
        <v/>
      </c>
      <c r="FG123" s="44" t="str">
        <f>IF(Table1[Date of Initial Assessment]="","",IF(AND(Table1[Start Date]&gt;42094,Table1[Start Date]&lt;42461),Table1[Emotional and Mental Health],""))</f>
        <v/>
      </c>
      <c r="FH123" s="44" t="str">
        <f>IF(Table1[Date of Initial Assessment]="","",IF(AND(Table1[Start Date]&gt;42094,Table1[Start Date]&lt;42461),Table1[Meaningful Use of Time],""))</f>
        <v/>
      </c>
      <c r="FI123" s="44" t="str">
        <f>IF(Table1[Date of Initial Assessment]="","",IF(AND(Table1[Start Date]&gt;42094,Table1[Start Date]&lt;42461),Table1[Managing Tenancy and Accommodation],""))</f>
        <v/>
      </c>
      <c r="FJ123" s="44" t="str">
        <f>IF(Table1[Date of Initial Assessment]="","",IF(AND(Table1[Start Date]&gt;42094,Table1[Start Date]&lt;42461),Table1[Offending],""))</f>
        <v/>
      </c>
      <c r="FK123" s="44" t="str">
        <f>IF(Table1[Leaving Date]="","",IF(Table1[Date of Initial Assessment]="","",IF(AND(Table1[Leaving Date]&gt;42094,Table1[Leaving Date]&lt;42461),IF(Table1[Date of Last Assessment]="",Table1[Motivation and Taking Responsibility],Table1[Motivation and Taking Responsibility2]),"")))</f>
        <v/>
      </c>
      <c r="FL123" s="44" t="str">
        <f>IF(Table1[Leaving Date]="","",IF(Table1[Date of Initial Assessment]="","",IF(AND(Table1[Leaving Date]&gt;42094,Table1[Leaving Date]&lt;42461),IF(Table1[Date of Last Assessment]="",Table1[Self-Care and Living Skills],Table1[Self-Care and Living Skills2]),"")))</f>
        <v/>
      </c>
      <c r="FM123" s="44" t="str">
        <f>IF(Table1[Leaving Date]="","",IF(Table1[Date of Initial Assessment]="","",IF(AND(Table1[Leaving Date]&gt;42094,Table1[Leaving Date]&lt;42461),IF(Table1[Date of Last Assessment]="",Table1[Managing Money and Personal Administration],Table1[Managing Money and Personal Administration2]),"")))</f>
        <v/>
      </c>
      <c r="FN123" s="44" t="str">
        <f>IF(Table1[Leaving Date]="","",IF(Table1[Date of Initial Assessment]="","",IF(AND(Table1[Leaving Date]&gt;42094,Table1[Leaving Date]&lt;42461),IF(Table1[Date of Last Assessment]="",Table1[Social Networks and Relationships],Table1[Social Networks and Relationships2]),"")))</f>
        <v/>
      </c>
      <c r="FO123" s="44" t="str">
        <f>IF(Table1[Leaving Date]="","",IF(Table1[Date of Initial Assessment]="","",IF(AND(Table1[Leaving Date]&gt;42094,Table1[Leaving Date]&lt;42461),IF(Table1[Date of Last Assessment]="",Table1[Drug and Alcohol Misuse],Table1[Drug and Alcohol Misuse2]),"")))</f>
        <v/>
      </c>
      <c r="FP123" s="44" t="str">
        <f>IF(Table1[Leaving Date]="","",IF(Table1[Date of Initial Assessment]="","",IF(AND(Table1[Leaving Date]&gt;42094,Table1[Leaving Date]&lt;42461),IF(Table1[Date of Last Assessment]="",Table1[Physical Health],Table1[Physical Health2]),"")))</f>
        <v/>
      </c>
      <c r="FQ123" s="44" t="str">
        <f>IF(Table1[Leaving Date]="","",IF(Table1[Date of Initial Assessment]="","",IF(AND(Table1[Leaving Date]&gt;42094,Table1[Leaving Date]&lt;42461),IF(Table1[Date of Last Assessment]="",Table1[Emotional and Mental Health],Table1[Emotional and Mental Health2]),"")))</f>
        <v/>
      </c>
      <c r="FR123" s="44" t="str">
        <f>IF(Table1[Leaving Date]="","",IF(Table1[Date of Initial Assessment]="","",IF(AND(Table1[Leaving Date]&gt;42094,Table1[Leaving Date]&lt;42461),IF(Table1[Date of Last Assessment]="",Table1[Meaningful Use of Time],Table1[Meaningful Use of Time2]),"")))</f>
        <v/>
      </c>
      <c r="FS123" s="44" t="str">
        <f>IF(Table1[Leaving Date]="","",IF(Table1[Date of Initial Assessment]="","",IF(AND(Table1[Leaving Date]&gt;42094,Table1[Leaving Date]&lt;42461),IF(Table1[Date of Last Assessment]="",Table1[Managing Tenancy and Accommodation],Table1[Managing Tenancy and Accommodation2]),"")))</f>
        <v/>
      </c>
      <c r="FT123" s="44" t="str">
        <f>IF(Table1[Leaving Date]="","",IF(Table1[Date of Initial Assessment]="","",IF(AND(Table1[Leaving Date]&gt;42094,Table1[Leaving Date]&lt;42461),IF(Table1[Date of Last Assessment]="",Table1[Offending],Table1[Offending2]),"")))</f>
        <v/>
      </c>
      <c r="FU123" s="44" t="str">
        <f>IF(Table1[Date of Initial Assessment]="","",IF(AND(Table1[Start Date]&gt;42460,Table1[Start Date]&lt;42826),Table1[Motivation and Taking Responsibility],""))</f>
        <v/>
      </c>
      <c r="FV123" s="44" t="str">
        <f>IF(Table1[Date of Initial Assessment]="","",IF(AND(Table1[Start Date]&gt;42460,Table1[Start Date]&lt;42826),Table1[Self-Care and Living Skills],""))</f>
        <v/>
      </c>
      <c r="FW123" s="44" t="str">
        <f>IF(Table1[Date of Initial Assessment]="","",IF(AND(Table1[Start Date]&gt;42460,Table1[Start Date]&lt;42826),Table1[Managing Money and Personal Administration],""))</f>
        <v/>
      </c>
      <c r="FX123" s="44" t="str">
        <f>IF(Table1[Date of Initial Assessment]="","",IF(AND(Table1[Start Date]&gt;42460,Table1[Start Date]&lt;42826),Table1[Social Networks and Relationships],""))</f>
        <v/>
      </c>
      <c r="FY123" s="44" t="str">
        <f>IF(Table1[Date of Initial Assessment]="","",IF(AND(Table1[Start Date]&gt;42460,Table1[Start Date]&lt;42826),Table1[Drug and Alcohol Misuse],""))</f>
        <v/>
      </c>
      <c r="FZ123" s="44" t="str">
        <f>IF(Table1[Date of Initial Assessment]="","",IF(AND(Table1[Start Date]&gt;42460,Table1[Start Date]&lt;42826),Table1[Physical Health],""))</f>
        <v/>
      </c>
      <c r="GA123" s="44" t="str">
        <f>IF(Table1[Date of Initial Assessment]="","",IF(AND(Table1[Start Date]&gt;42460,Table1[Start Date]&lt;42826),Table1[Emotional and Mental Health],""))</f>
        <v/>
      </c>
      <c r="GB123" s="44" t="str">
        <f>IF(Table1[Date of Initial Assessment]="","",IF(AND(Table1[Start Date]&gt;42460,Table1[Start Date]&lt;42826),Table1[Meaningful Use of Time],""))</f>
        <v/>
      </c>
      <c r="GC123" s="44" t="str">
        <f>IF(Table1[Date of Initial Assessment]="","",IF(AND(Table1[Start Date]&gt;42460,Table1[Start Date]&lt;42826),Table1[Managing Tenancy and Accommodation],""))</f>
        <v/>
      </c>
      <c r="GD123" s="44" t="str">
        <f>IF(Table1[Date of Initial Assessment]="","",IF(AND(Table1[Start Date]&gt;42460,Table1[Start Date]&lt;42826),Table1[Offending],""))</f>
        <v/>
      </c>
      <c r="GE123" s="44" t="str">
        <f>IF(Table1[Leaving Date]="","",IF(AND(Table1[Leaving Date]&gt;42460,Table1[Leaving Date]&lt;42826),IF(Table1[Date of Last Assessment]="",Table1[Motivation and Taking Responsibility],Table1[Motivation and Taking Responsibility2]),""))</f>
        <v/>
      </c>
      <c r="GF123" s="44" t="str">
        <f>IF(Table1[Leaving Date]="","",IF(AND(Table1[Leaving Date]&gt;42460,Table1[Leaving Date]&lt;42826),IF(Table1[Date of Last Assessment]="",Table1[Self-Care and Living Skills],Table1[Self-Care and Living Skills2]),""))</f>
        <v/>
      </c>
      <c r="GG123" s="44" t="str">
        <f>IF(Table1[Leaving Date]="","",IF(AND(Table1[Leaving Date]&gt;42460,Table1[Leaving Date]&lt;42826),IF(Table1[Date of Last Assessment]="",Table1[Managing Money and Personal Administration],Table1[Managing Money and Personal Administration2]),""))</f>
        <v/>
      </c>
      <c r="GH123" s="44" t="str">
        <f>IF(Table1[Leaving Date]="","",IF(AND(Table1[Leaving Date]&gt;42460,Table1[Leaving Date]&lt;42826),IF(Table1[Date of Last Assessment]="",Table1[Social Networks and Relationships],Table1[Social Networks and Relationships2]),""))</f>
        <v/>
      </c>
      <c r="GI123" s="44" t="str">
        <f>IF(Table1[Leaving Date]="","",IF(AND(Table1[Leaving Date]&gt;42460,Table1[Leaving Date]&lt;42826),IF(Table1[Date of Last Assessment]="",Table1[Drug and Alcohol Misuse],Table1[Drug and Alcohol Misuse2]),""))</f>
        <v/>
      </c>
      <c r="GJ123" s="44" t="str">
        <f>IF(Table1[Leaving Date]="","",IF(AND(Table1[Leaving Date]&gt;42460,Table1[Leaving Date]&lt;42826),IF(Table1[Date of Last Assessment]="",Table1[Physical Health],Table1[Physical Health2]),""))</f>
        <v/>
      </c>
      <c r="GK123" s="44" t="str">
        <f>IF(Table1[Leaving Date]="","",IF(AND(Table1[Leaving Date]&gt;42460,Table1[Leaving Date]&lt;42826),IF(Table1[Date of Last Assessment]="",Table1[Emotional and Mental Health],Table1[Emotional and Mental Health2]),""))</f>
        <v/>
      </c>
      <c r="GL123" s="44" t="str">
        <f>IF(Table1[Leaving Date]="","",IF(AND(Table1[Leaving Date]&gt;42460,Table1[Leaving Date]&lt;42826),IF(Table1[Date of Last Assessment]="",Table1[Meaningful Use of Time],Table1[Meaningful Use of Time2]),""))</f>
        <v/>
      </c>
      <c r="GM123" s="44" t="str">
        <f>IF(Table1[Leaving Date]="","",IF(AND(Table1[Leaving Date]&gt;42460,Table1[Leaving Date]&lt;42826),IF(Table1[Date of Last Assessment]="",Table1[Managing Tenancy and Accommodation],Table1[Managing Tenancy and Accommodation2]),""))</f>
        <v/>
      </c>
      <c r="GN123" s="44" t="str">
        <f>IF(Table1[Leaving Date]="","",IF(AND(Table1[Leaving Date]&gt;42460,Table1[Leaving Date]&lt;42826),IF(Table1[Date of Last Assessment]="",Table1[Offending],Table1[Offending2]),""))</f>
        <v/>
      </c>
    </row>
    <row r="124" spans="2:196" ht="20.100000000000001" customHeight="1" x14ac:dyDescent="0.2">
      <c r="B124" s="86">
        <f>+'Service Data'!$C$5:$C$5</f>
        <v>0</v>
      </c>
      <c r="C124" s="86"/>
      <c r="D124" s="86"/>
      <c r="E124" s="86"/>
      <c r="F124" s="86"/>
      <c r="G124" s="86"/>
      <c r="H124" s="6"/>
      <c r="I124" s="99" t="str">
        <f ca="1">IF(Table1[[#This Row],[Date of Birth]]="","",SUM(TODAY()-Table1[[#This Row],[Date of Birth]])/365)</f>
        <v/>
      </c>
      <c r="L124" s="86"/>
      <c r="M124" s="77"/>
      <c r="N124" s="86"/>
      <c r="O124" s="86"/>
      <c r="P124" s="91"/>
      <c r="Q124" s="86"/>
      <c r="R124" s="77"/>
      <c r="S124" s="77"/>
      <c r="T124" s="68"/>
      <c r="U124" s="68"/>
      <c r="V124" s="67"/>
      <c r="W124" s="67"/>
      <c r="X124" s="67"/>
      <c r="Y124" s="67"/>
      <c r="Z124" s="67"/>
      <c r="AA124" s="67"/>
      <c r="AB124" s="67"/>
      <c r="AC124" s="67"/>
      <c r="AD124" s="67"/>
      <c r="AE124" s="67"/>
      <c r="AF124" s="67"/>
      <c r="AG124" s="67"/>
      <c r="AH124" s="67"/>
      <c r="AI124" s="67"/>
      <c r="AJ124" s="67"/>
      <c r="AK124" s="67"/>
      <c r="AL124" s="67"/>
      <c r="AM124" s="67"/>
      <c r="AN124" s="77"/>
      <c r="AO124" s="76"/>
      <c r="AP124" s="77"/>
      <c r="AQ124" s="76"/>
      <c r="AR124" s="76"/>
      <c r="AS124" s="76"/>
      <c r="AT124" s="76"/>
      <c r="AU124" s="76"/>
      <c r="AV124" s="77"/>
      <c r="AW124" s="76"/>
      <c r="AX124" s="77"/>
      <c r="AY124" s="76"/>
      <c r="AZ124" s="76"/>
      <c r="BA124" s="76"/>
      <c r="BB124" s="76"/>
      <c r="BC124" s="76"/>
      <c r="BD124" s="77"/>
      <c r="BE124" s="76"/>
      <c r="BF124" s="77"/>
      <c r="BG124" s="76"/>
      <c r="BH124" s="76"/>
      <c r="BI124" s="76"/>
      <c r="BJ124" s="76"/>
      <c r="BK124" s="76"/>
      <c r="BL124" s="77"/>
      <c r="BM124" s="76"/>
      <c r="BN124" s="77"/>
      <c r="BO124" s="76"/>
      <c r="BP124" s="76"/>
      <c r="BQ124" s="76"/>
      <c r="BR124" s="76"/>
      <c r="BS124" s="76"/>
      <c r="BT124" s="77"/>
      <c r="BU124" s="76"/>
      <c r="BV124" s="77"/>
      <c r="BW124" s="76"/>
      <c r="BX124" s="76"/>
      <c r="BY124" s="76"/>
      <c r="BZ124" s="76"/>
      <c r="CA124" s="76"/>
      <c r="CB124" s="77"/>
      <c r="CC124" s="76"/>
      <c r="CD124" s="77"/>
      <c r="CE124" s="76"/>
      <c r="CF124" s="76"/>
      <c r="CG124" s="76"/>
      <c r="CH124" s="76"/>
      <c r="CI124" s="76"/>
      <c r="CJ124" s="77"/>
      <c r="CK124" s="76"/>
      <c r="CL124" s="77"/>
      <c r="CM124" s="76"/>
      <c r="CN124" s="76"/>
      <c r="CO124" s="76"/>
      <c r="CP124" s="76"/>
      <c r="CQ124" s="76"/>
      <c r="CR124" s="78" t="str">
        <f t="shared" si="31"/>
        <v/>
      </c>
      <c r="CS124" s="79" t="str">
        <f t="shared" si="32"/>
        <v/>
      </c>
      <c r="CT124" s="79" t="str">
        <f t="shared" si="33"/>
        <v/>
      </c>
      <c r="CU124" s="79" t="str">
        <f t="shared" si="34"/>
        <v/>
      </c>
      <c r="CV124" s="79" t="str">
        <f t="shared" si="35"/>
        <v/>
      </c>
      <c r="CW124" s="79" t="str">
        <f t="shared" si="36"/>
        <v/>
      </c>
      <c r="CX124" s="79" t="str">
        <f t="shared" si="37"/>
        <v/>
      </c>
      <c r="CY124" s="79" t="str">
        <f t="shared" si="38"/>
        <v/>
      </c>
      <c r="CZ124" s="79" t="str">
        <f t="shared" si="39"/>
        <v/>
      </c>
      <c r="DA124" s="79" t="str">
        <f t="shared" si="40"/>
        <v/>
      </c>
      <c r="DB124" s="79" t="str">
        <f t="shared" si="41"/>
        <v/>
      </c>
      <c r="DC124" s="79" t="str">
        <f t="shared" si="42"/>
        <v/>
      </c>
      <c r="DD124" s="79" t="str">
        <f t="shared" si="43"/>
        <v/>
      </c>
      <c r="DE124" s="79" t="str">
        <f t="shared" si="44"/>
        <v/>
      </c>
      <c r="DF124" s="79" t="str">
        <f t="shared" si="45"/>
        <v/>
      </c>
      <c r="DG124" s="79" t="str">
        <f t="shared" si="46"/>
        <v/>
      </c>
      <c r="DH124" s="76"/>
      <c r="DI124" s="78"/>
      <c r="DJ124" s="76"/>
      <c r="DK124" s="77"/>
      <c r="DL124" s="77"/>
      <c r="DM124" s="77"/>
      <c r="DN124" s="80"/>
      <c r="DO124" s="80"/>
      <c r="DP124" s="92" t="str">
        <f>IF(Table1[Start Date]="","",IF(Table1[Start Date]&gt;42185,"",IF(AND(Table1[Leaving Date]&gt;1,Table1[Leaving Date]&lt;42095),"",1)))</f>
        <v/>
      </c>
      <c r="DQ124" s="92" t="str">
        <f>IF(Table1[Start Date]="","",IF(Table1[Start Date]&gt;42277,"",IF(AND(Table1[Leaving Date]&gt;1,Table1[Leaving Date]&lt;42186),"",1)))</f>
        <v/>
      </c>
      <c r="DR124" s="92" t="str">
        <f>IF(Table1[Start Date]="","",IF(Table1[Start Date]&gt;42369,"",IF(AND(Table1[Leaving Date]&gt;1,Table1[Leaving Date]&lt;42278),"",1)))</f>
        <v/>
      </c>
      <c r="DS124" s="92" t="str">
        <f>IF(Table1[Start Date]="","",IF(Table1[Start Date]&gt;42460,"",IF(AND(Table1[Leaving Date]&gt;1,Table1[Leaving Date]&lt;42370),"",1)))</f>
        <v/>
      </c>
      <c r="DT124" s="92" t="str">
        <f>IF(Table1[Start Date]="","",IF(Table1[Start Date]&gt;42551,"",IF(AND(Table1[Leaving Date]&gt;1,Table1[Leaving Date]&lt;42461),"",1)))</f>
        <v/>
      </c>
      <c r="DU124" s="92" t="str">
        <f>IF(Table1[Start Date]="","",IF(Table1[Start Date]&gt;42643,"",IF(AND(Table1[Leaving Date]&gt;1,Table1[Leaving Date]&lt;42552),"",1)))</f>
        <v/>
      </c>
      <c r="DV124" s="92" t="str">
        <f>IF(Table1[Start Date]="","",IF(Table1[Start Date]&gt;42735,"",IF(AND(Table1[Leaving Date]&gt;1,Table1[Leaving Date]&lt;42644),"",1)))</f>
        <v/>
      </c>
      <c r="DW124" s="92" t="str">
        <f>IF(Table1[Start Date]="","",IF(Table1[Start Date]&gt;42825,"",IF(AND(Table1[Leaving Date]&gt;1,Table1[Leaving Date]&lt;42736),"",1)))</f>
        <v/>
      </c>
      <c r="DX124"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124" s="44" t="e">
        <f>VLOOKUP(Table1[Referral Source],Lists!$G$2:$H$20,2,FALSE)</f>
        <v>#N/A</v>
      </c>
      <c r="DZ124" s="93" t="e">
        <f>SUM(Table1[Data Referral Quarter]+Table1[Data Referral Source])</f>
        <v>#N/A</v>
      </c>
      <c r="EA124" s="44" t="b">
        <f>IF(Table1[Referral Decision]="Accepted",100,IF(Table1[Referral Decision]="Rejected by Provider",200,IF(Table1[Referral Decision]="Rejected by Applicant",300)))</f>
        <v>0</v>
      </c>
      <c r="EB124" s="44">
        <f>SUM(Table1[Data Referral Quarter]+Table1[Data Referral Decision])</f>
        <v>0</v>
      </c>
      <c r="EC124" s="44" t="b">
        <f>IF(Table1[Start Date]&gt;42735,8000,IF(Table1[Start Date]&gt;42643,7000,IF(Table1[Start Date]&gt;42551,6000,IF(Table1[Start Date]&gt;42460,5000,IF(Table1[Start Date]&gt;42369,4000,IF(Table1[Start Date]&gt;42277,3000,IF(Table1[Start Date]&gt;42185,2000,IF(Table1[Start Date]&gt;42094,1000))))))))</f>
        <v>0</v>
      </c>
      <c r="ED124" s="44" t="str">
        <f>IF(Table1[Start Date]="","",IF(Table1[Current Local Authority]="Swindon",1,"2"))</f>
        <v/>
      </c>
      <c r="EE124" s="44" t="e">
        <f>SUM(Table1[Data Start Date]+Table1[Data Local Authority])</f>
        <v>#VALUE!</v>
      </c>
      <c r="EF124" s="44">
        <f>IF(Table1[Registered with GP]="Yes",1,0)</f>
        <v>0</v>
      </c>
      <c r="EG124" s="44">
        <f>SUM(Table1[Data Start Date]+Table1[Data GP Start])</f>
        <v>0</v>
      </c>
      <c r="EH124" s="44" t="str">
        <f>IF(Table1[EET]="NEET",1,IF(Table1[EET]="Education",2,IF(Table1[EET]="Employment",2,IF(Table1[EET]="Training",2,IF(Table1[EET]="Retired",3,"")))))</f>
        <v/>
      </c>
      <c r="EI124" s="44" t="e">
        <f>Table1[Data Start Date]+Table1[Data EET Start]</f>
        <v>#VALUE!</v>
      </c>
      <c r="EJ124" s="44" t="b">
        <f>IF(Table1[Leaving Date]&gt;42735,8000,IF(Table1[Leaving Date]&gt;42643,7000,IF(Table1[Leaving Date]&gt;42551,6000,IF(Table1[Leaving Date]&gt;42460,5000,IF(Table1[Leaving Date]&gt;42369,4000,IF(Table1[Leaving Date]&gt;42277,3000,IF(Table1[Leaving Date]&gt;42185,2000,IF(Table1[Leaving Date]&gt;42094,1000))))))))</f>
        <v>0</v>
      </c>
      <c r="EK124" s="44" t="e">
        <f>VLOOKUP(Table1[Reason for Leaving],Lists!$T$2:$U$15,2,FALSE)</f>
        <v>#N/A</v>
      </c>
      <c r="EL124" s="44" t="e">
        <f>SUM(Table1[Data Leavers Date]+Table1[Data Move On])</f>
        <v>#N/A</v>
      </c>
      <c r="EM124" s="44" t="b">
        <f>IF(Table1[Registered with GP2]="Yes",1,IF(Table1[Registered with GP2]="No",0,IF(Table1[Registered with GP]="Yes",1,IF(Table1[Registered with GP]="No",0))))</f>
        <v>0</v>
      </c>
      <c r="EN124" s="44">
        <f>SUM(Table1[Data Leavers Date]+Table1[Data GP End])</f>
        <v>0</v>
      </c>
      <c r="EO124" s="44" t="str">
        <f>IF(Table1[EET2]="NEET",1,IF(Table1[EET2]="Employment",2,IF(Table1[EET2]="Education",2,IF(Table1[EET2]="Training",2,IF(Table1[EET2]="Retired",3,IF(Table1[EET]="NEET",1,IF(Table1[EET]="Employment",2,IF(Table1[EET]="Education",2,IF(Table1[EET]="Training",2,IF(Table1[EET]="Retired",3,""))))))))))</f>
        <v/>
      </c>
      <c r="EP124" s="44" t="e">
        <f>+Table1[[#This Row],[Data Leavers Date]]+Table1[[#This Row],[Data EET End]]</f>
        <v>#VALUE!</v>
      </c>
      <c r="EQ124" s="44">
        <f>IF(Table1[Exit Form Received]="Yes",1,0)</f>
        <v>0</v>
      </c>
      <c r="ER124" s="44">
        <f>+Table1[[#This Row],[Data Leavers Date]]+Table1[[#This Row],[Data Exit Forms]]</f>
        <v>0</v>
      </c>
      <c r="ES124" s="44" t="str">
        <f>IF(Table1[Data Leavers Date]=1000,SUM(Table1[Leaving Date]-Table1[Start Date]),"")</f>
        <v/>
      </c>
      <c r="ET124" s="44" t="str">
        <f>IF(Table1[Data Leavers Date]=2000,SUM(Table1[Leaving Date]-Table1[Start Date]),"")</f>
        <v/>
      </c>
      <c r="EU124" s="44" t="str">
        <f>IF(Table1[Data Leavers Date]=3000,SUM(Table1[Leaving Date]-Table1[Start Date]),"")</f>
        <v/>
      </c>
      <c r="EV124" s="44" t="str">
        <f>IF(Table1[Data Leavers Date]=4000,SUM(Table1[Leaving Date]-Table1[Start Date]),"")</f>
        <v/>
      </c>
      <c r="EW124" s="44" t="str">
        <f>IF(Table1[Data Leavers Date]=5000,SUM(Table1[Leaving Date]-Table1[Start Date]),"")</f>
        <v/>
      </c>
      <c r="EX124" s="44" t="str">
        <f>IF(Table1[Data Leavers Date]=6000,SUM(Table1[Leaving Date]-Table1[Start Date]),"")</f>
        <v/>
      </c>
      <c r="EY124" s="44" t="str">
        <f>IF(Table1[Data Leavers Date]=7000,SUM(Table1[Leaving Date]-Table1[Start Date]),"")</f>
        <v/>
      </c>
      <c r="EZ124" s="44" t="str">
        <f>IF(Table1[Data Leavers Date]=8000,SUM(Table1[Leaving Date]-Table1[Start Date]),"")</f>
        <v/>
      </c>
      <c r="FA124" s="44" t="str">
        <f>IF(Table1[Date of Initial Assessment]="","",IF(AND(Table1[Start Date]&gt;42094,Table1[Start Date]&lt;42461),Table1[Motivation and Taking Responsibility],""))</f>
        <v/>
      </c>
      <c r="FB124" s="44" t="str">
        <f>IF(Table1[Date of Initial Assessment]="","",IF(AND(Table1[Start Date]&gt;42094,Table1[Start Date]&lt;42461),Table1[Self-Care and Living Skills],""))</f>
        <v/>
      </c>
      <c r="FC124" s="44" t="str">
        <f>IF(Table1[Date of Initial Assessment]="","",IF(AND(Table1[Start Date]&gt;42094,Table1[Start Date]&lt;42461),Table1[Managing Money and Personal Administration],""))</f>
        <v/>
      </c>
      <c r="FD124" s="44" t="str">
        <f>IF(Table1[Date of Initial Assessment]="","",IF(AND(Table1[Start Date]&gt;42094,Table1[Start Date]&lt;42461),Table1[Social Networks and Relationships],""))</f>
        <v/>
      </c>
      <c r="FE124" s="44" t="str">
        <f>IF(Table1[Date of Initial Assessment]="","",IF(AND(Table1[Start Date]&gt;42094,Table1[Start Date]&lt;42461),Table1[Drug and Alcohol Misuse],""))</f>
        <v/>
      </c>
      <c r="FF124" s="44" t="str">
        <f>IF(Table1[Date of Initial Assessment]="","",IF(AND(Table1[Start Date]&gt;42094,Table1[Start Date]&lt;42461),Table1[Physical Health],""))</f>
        <v/>
      </c>
      <c r="FG124" s="44" t="str">
        <f>IF(Table1[Date of Initial Assessment]="","",IF(AND(Table1[Start Date]&gt;42094,Table1[Start Date]&lt;42461),Table1[Emotional and Mental Health],""))</f>
        <v/>
      </c>
      <c r="FH124" s="44" t="str">
        <f>IF(Table1[Date of Initial Assessment]="","",IF(AND(Table1[Start Date]&gt;42094,Table1[Start Date]&lt;42461),Table1[Meaningful Use of Time],""))</f>
        <v/>
      </c>
      <c r="FI124" s="44" t="str">
        <f>IF(Table1[Date of Initial Assessment]="","",IF(AND(Table1[Start Date]&gt;42094,Table1[Start Date]&lt;42461),Table1[Managing Tenancy and Accommodation],""))</f>
        <v/>
      </c>
      <c r="FJ124" s="44" t="str">
        <f>IF(Table1[Date of Initial Assessment]="","",IF(AND(Table1[Start Date]&gt;42094,Table1[Start Date]&lt;42461),Table1[Offending],""))</f>
        <v/>
      </c>
      <c r="FK124" s="44" t="str">
        <f>IF(Table1[Leaving Date]="","",IF(Table1[Date of Initial Assessment]="","",IF(AND(Table1[Leaving Date]&gt;42094,Table1[Leaving Date]&lt;42461),IF(Table1[Date of Last Assessment]="",Table1[Motivation and Taking Responsibility],Table1[Motivation and Taking Responsibility2]),"")))</f>
        <v/>
      </c>
      <c r="FL124" s="44" t="str">
        <f>IF(Table1[Leaving Date]="","",IF(Table1[Date of Initial Assessment]="","",IF(AND(Table1[Leaving Date]&gt;42094,Table1[Leaving Date]&lt;42461),IF(Table1[Date of Last Assessment]="",Table1[Self-Care and Living Skills],Table1[Self-Care and Living Skills2]),"")))</f>
        <v/>
      </c>
      <c r="FM124" s="44" t="str">
        <f>IF(Table1[Leaving Date]="","",IF(Table1[Date of Initial Assessment]="","",IF(AND(Table1[Leaving Date]&gt;42094,Table1[Leaving Date]&lt;42461),IF(Table1[Date of Last Assessment]="",Table1[Managing Money and Personal Administration],Table1[Managing Money and Personal Administration2]),"")))</f>
        <v/>
      </c>
      <c r="FN124" s="44" t="str">
        <f>IF(Table1[Leaving Date]="","",IF(Table1[Date of Initial Assessment]="","",IF(AND(Table1[Leaving Date]&gt;42094,Table1[Leaving Date]&lt;42461),IF(Table1[Date of Last Assessment]="",Table1[Social Networks and Relationships],Table1[Social Networks and Relationships2]),"")))</f>
        <v/>
      </c>
      <c r="FO124" s="44" t="str">
        <f>IF(Table1[Leaving Date]="","",IF(Table1[Date of Initial Assessment]="","",IF(AND(Table1[Leaving Date]&gt;42094,Table1[Leaving Date]&lt;42461),IF(Table1[Date of Last Assessment]="",Table1[Drug and Alcohol Misuse],Table1[Drug and Alcohol Misuse2]),"")))</f>
        <v/>
      </c>
      <c r="FP124" s="44" t="str">
        <f>IF(Table1[Leaving Date]="","",IF(Table1[Date of Initial Assessment]="","",IF(AND(Table1[Leaving Date]&gt;42094,Table1[Leaving Date]&lt;42461),IF(Table1[Date of Last Assessment]="",Table1[Physical Health],Table1[Physical Health2]),"")))</f>
        <v/>
      </c>
      <c r="FQ124" s="44" t="str">
        <f>IF(Table1[Leaving Date]="","",IF(Table1[Date of Initial Assessment]="","",IF(AND(Table1[Leaving Date]&gt;42094,Table1[Leaving Date]&lt;42461),IF(Table1[Date of Last Assessment]="",Table1[Emotional and Mental Health],Table1[Emotional and Mental Health2]),"")))</f>
        <v/>
      </c>
      <c r="FR124" s="44" t="str">
        <f>IF(Table1[Leaving Date]="","",IF(Table1[Date of Initial Assessment]="","",IF(AND(Table1[Leaving Date]&gt;42094,Table1[Leaving Date]&lt;42461),IF(Table1[Date of Last Assessment]="",Table1[Meaningful Use of Time],Table1[Meaningful Use of Time2]),"")))</f>
        <v/>
      </c>
      <c r="FS124" s="44" t="str">
        <f>IF(Table1[Leaving Date]="","",IF(Table1[Date of Initial Assessment]="","",IF(AND(Table1[Leaving Date]&gt;42094,Table1[Leaving Date]&lt;42461),IF(Table1[Date of Last Assessment]="",Table1[Managing Tenancy and Accommodation],Table1[Managing Tenancy and Accommodation2]),"")))</f>
        <v/>
      </c>
      <c r="FT124" s="44" t="str">
        <f>IF(Table1[Leaving Date]="","",IF(Table1[Date of Initial Assessment]="","",IF(AND(Table1[Leaving Date]&gt;42094,Table1[Leaving Date]&lt;42461),IF(Table1[Date of Last Assessment]="",Table1[Offending],Table1[Offending2]),"")))</f>
        <v/>
      </c>
      <c r="FU124" s="44" t="str">
        <f>IF(Table1[Date of Initial Assessment]="","",IF(AND(Table1[Start Date]&gt;42460,Table1[Start Date]&lt;42826),Table1[Motivation and Taking Responsibility],""))</f>
        <v/>
      </c>
      <c r="FV124" s="44" t="str">
        <f>IF(Table1[Date of Initial Assessment]="","",IF(AND(Table1[Start Date]&gt;42460,Table1[Start Date]&lt;42826),Table1[Self-Care and Living Skills],""))</f>
        <v/>
      </c>
      <c r="FW124" s="44" t="str">
        <f>IF(Table1[Date of Initial Assessment]="","",IF(AND(Table1[Start Date]&gt;42460,Table1[Start Date]&lt;42826),Table1[Managing Money and Personal Administration],""))</f>
        <v/>
      </c>
      <c r="FX124" s="44" t="str">
        <f>IF(Table1[Date of Initial Assessment]="","",IF(AND(Table1[Start Date]&gt;42460,Table1[Start Date]&lt;42826),Table1[Social Networks and Relationships],""))</f>
        <v/>
      </c>
      <c r="FY124" s="44" t="str">
        <f>IF(Table1[Date of Initial Assessment]="","",IF(AND(Table1[Start Date]&gt;42460,Table1[Start Date]&lt;42826),Table1[Drug and Alcohol Misuse],""))</f>
        <v/>
      </c>
      <c r="FZ124" s="44" t="str">
        <f>IF(Table1[Date of Initial Assessment]="","",IF(AND(Table1[Start Date]&gt;42460,Table1[Start Date]&lt;42826),Table1[Physical Health],""))</f>
        <v/>
      </c>
      <c r="GA124" s="44" t="str">
        <f>IF(Table1[Date of Initial Assessment]="","",IF(AND(Table1[Start Date]&gt;42460,Table1[Start Date]&lt;42826),Table1[Emotional and Mental Health],""))</f>
        <v/>
      </c>
      <c r="GB124" s="44" t="str">
        <f>IF(Table1[Date of Initial Assessment]="","",IF(AND(Table1[Start Date]&gt;42460,Table1[Start Date]&lt;42826),Table1[Meaningful Use of Time],""))</f>
        <v/>
      </c>
      <c r="GC124" s="44" t="str">
        <f>IF(Table1[Date of Initial Assessment]="","",IF(AND(Table1[Start Date]&gt;42460,Table1[Start Date]&lt;42826),Table1[Managing Tenancy and Accommodation],""))</f>
        <v/>
      </c>
      <c r="GD124" s="44" t="str">
        <f>IF(Table1[Date of Initial Assessment]="","",IF(AND(Table1[Start Date]&gt;42460,Table1[Start Date]&lt;42826),Table1[Offending],""))</f>
        <v/>
      </c>
      <c r="GE124" s="44" t="str">
        <f>IF(Table1[Leaving Date]="","",IF(AND(Table1[Leaving Date]&gt;42460,Table1[Leaving Date]&lt;42826),IF(Table1[Date of Last Assessment]="",Table1[Motivation and Taking Responsibility],Table1[Motivation and Taking Responsibility2]),""))</f>
        <v/>
      </c>
      <c r="GF124" s="44" t="str">
        <f>IF(Table1[Leaving Date]="","",IF(AND(Table1[Leaving Date]&gt;42460,Table1[Leaving Date]&lt;42826),IF(Table1[Date of Last Assessment]="",Table1[Self-Care and Living Skills],Table1[Self-Care and Living Skills2]),""))</f>
        <v/>
      </c>
      <c r="GG124" s="44" t="str">
        <f>IF(Table1[Leaving Date]="","",IF(AND(Table1[Leaving Date]&gt;42460,Table1[Leaving Date]&lt;42826),IF(Table1[Date of Last Assessment]="",Table1[Managing Money and Personal Administration],Table1[Managing Money and Personal Administration2]),""))</f>
        <v/>
      </c>
      <c r="GH124" s="44" t="str">
        <f>IF(Table1[Leaving Date]="","",IF(AND(Table1[Leaving Date]&gt;42460,Table1[Leaving Date]&lt;42826),IF(Table1[Date of Last Assessment]="",Table1[Social Networks and Relationships],Table1[Social Networks and Relationships2]),""))</f>
        <v/>
      </c>
      <c r="GI124" s="44" t="str">
        <f>IF(Table1[Leaving Date]="","",IF(AND(Table1[Leaving Date]&gt;42460,Table1[Leaving Date]&lt;42826),IF(Table1[Date of Last Assessment]="",Table1[Drug and Alcohol Misuse],Table1[Drug and Alcohol Misuse2]),""))</f>
        <v/>
      </c>
      <c r="GJ124" s="44" t="str">
        <f>IF(Table1[Leaving Date]="","",IF(AND(Table1[Leaving Date]&gt;42460,Table1[Leaving Date]&lt;42826),IF(Table1[Date of Last Assessment]="",Table1[Physical Health],Table1[Physical Health2]),""))</f>
        <v/>
      </c>
      <c r="GK124" s="44" t="str">
        <f>IF(Table1[Leaving Date]="","",IF(AND(Table1[Leaving Date]&gt;42460,Table1[Leaving Date]&lt;42826),IF(Table1[Date of Last Assessment]="",Table1[Emotional and Mental Health],Table1[Emotional and Mental Health2]),""))</f>
        <v/>
      </c>
      <c r="GL124" s="44" t="str">
        <f>IF(Table1[Leaving Date]="","",IF(AND(Table1[Leaving Date]&gt;42460,Table1[Leaving Date]&lt;42826),IF(Table1[Date of Last Assessment]="",Table1[Meaningful Use of Time],Table1[Meaningful Use of Time2]),""))</f>
        <v/>
      </c>
      <c r="GM124" s="44" t="str">
        <f>IF(Table1[Leaving Date]="","",IF(AND(Table1[Leaving Date]&gt;42460,Table1[Leaving Date]&lt;42826),IF(Table1[Date of Last Assessment]="",Table1[Managing Tenancy and Accommodation],Table1[Managing Tenancy and Accommodation2]),""))</f>
        <v/>
      </c>
      <c r="GN124" s="44" t="str">
        <f>IF(Table1[Leaving Date]="","",IF(AND(Table1[Leaving Date]&gt;42460,Table1[Leaving Date]&lt;42826),IF(Table1[Date of Last Assessment]="",Table1[Offending],Table1[Offending2]),""))</f>
        <v/>
      </c>
    </row>
    <row r="125" spans="2:196" ht="20.100000000000001" customHeight="1" x14ac:dyDescent="0.2">
      <c r="B125" s="86">
        <f>+'Service Data'!$C$5:$C$5</f>
        <v>0</v>
      </c>
      <c r="C125" s="86"/>
      <c r="D125" s="86"/>
      <c r="E125" s="86"/>
      <c r="F125" s="86"/>
      <c r="G125" s="86"/>
      <c r="H125" s="6"/>
      <c r="I125" s="99" t="str">
        <f ca="1">IF(Table1[[#This Row],[Date of Birth]]="","",SUM(TODAY()-Table1[[#This Row],[Date of Birth]])/365)</f>
        <v/>
      </c>
      <c r="L125" s="86"/>
      <c r="M125" s="77"/>
      <c r="N125" s="86"/>
      <c r="O125" s="86"/>
      <c r="P125" s="91"/>
      <c r="Q125" s="86"/>
      <c r="R125" s="77"/>
      <c r="S125" s="77"/>
      <c r="T125" s="68"/>
      <c r="U125" s="68"/>
      <c r="V125" s="67"/>
      <c r="W125" s="67"/>
      <c r="X125" s="67"/>
      <c r="Y125" s="67"/>
      <c r="Z125" s="67"/>
      <c r="AA125" s="67"/>
      <c r="AB125" s="67"/>
      <c r="AC125" s="67"/>
      <c r="AD125" s="67"/>
      <c r="AE125" s="67"/>
      <c r="AF125" s="67"/>
      <c r="AG125" s="67"/>
      <c r="AH125" s="67"/>
      <c r="AI125" s="67"/>
      <c r="AJ125" s="67"/>
      <c r="AK125" s="67"/>
      <c r="AL125" s="67"/>
      <c r="AM125" s="67"/>
      <c r="AN125" s="77"/>
      <c r="AO125" s="76"/>
      <c r="AP125" s="77"/>
      <c r="AQ125" s="76"/>
      <c r="AR125" s="76"/>
      <c r="AS125" s="76"/>
      <c r="AT125" s="76"/>
      <c r="AU125" s="76"/>
      <c r="AV125" s="77"/>
      <c r="AW125" s="76"/>
      <c r="AX125" s="77"/>
      <c r="AY125" s="76"/>
      <c r="AZ125" s="76"/>
      <c r="BA125" s="76"/>
      <c r="BB125" s="76"/>
      <c r="BC125" s="76"/>
      <c r="BD125" s="77"/>
      <c r="BE125" s="76"/>
      <c r="BF125" s="77"/>
      <c r="BG125" s="76"/>
      <c r="BH125" s="76"/>
      <c r="BI125" s="76"/>
      <c r="BJ125" s="76"/>
      <c r="BK125" s="76"/>
      <c r="BL125" s="77"/>
      <c r="BM125" s="76"/>
      <c r="BN125" s="77"/>
      <c r="BO125" s="76"/>
      <c r="BP125" s="76"/>
      <c r="BQ125" s="76"/>
      <c r="BR125" s="76"/>
      <c r="BS125" s="76"/>
      <c r="BT125" s="77"/>
      <c r="BU125" s="76"/>
      <c r="BV125" s="77"/>
      <c r="BW125" s="76"/>
      <c r="BX125" s="76"/>
      <c r="BY125" s="76"/>
      <c r="BZ125" s="76"/>
      <c r="CA125" s="76"/>
      <c r="CB125" s="77"/>
      <c r="CC125" s="76"/>
      <c r="CD125" s="77"/>
      <c r="CE125" s="76"/>
      <c r="CF125" s="76"/>
      <c r="CG125" s="76"/>
      <c r="CH125" s="76"/>
      <c r="CI125" s="76"/>
      <c r="CJ125" s="77"/>
      <c r="CK125" s="76"/>
      <c r="CL125" s="77"/>
      <c r="CM125" s="76"/>
      <c r="CN125" s="76"/>
      <c r="CO125" s="76"/>
      <c r="CP125" s="76"/>
      <c r="CQ125" s="76"/>
      <c r="CR125" s="78" t="str">
        <f t="shared" si="31"/>
        <v/>
      </c>
      <c r="CS125" s="79" t="str">
        <f t="shared" si="32"/>
        <v/>
      </c>
      <c r="CT125" s="79" t="str">
        <f t="shared" si="33"/>
        <v/>
      </c>
      <c r="CU125" s="79" t="str">
        <f t="shared" si="34"/>
        <v/>
      </c>
      <c r="CV125" s="79" t="str">
        <f t="shared" si="35"/>
        <v/>
      </c>
      <c r="CW125" s="79" t="str">
        <f t="shared" si="36"/>
        <v/>
      </c>
      <c r="CX125" s="79" t="str">
        <f t="shared" si="37"/>
        <v/>
      </c>
      <c r="CY125" s="79" t="str">
        <f t="shared" si="38"/>
        <v/>
      </c>
      <c r="CZ125" s="79" t="str">
        <f t="shared" si="39"/>
        <v/>
      </c>
      <c r="DA125" s="79" t="str">
        <f t="shared" si="40"/>
        <v/>
      </c>
      <c r="DB125" s="79" t="str">
        <f t="shared" si="41"/>
        <v/>
      </c>
      <c r="DC125" s="79" t="str">
        <f t="shared" si="42"/>
        <v/>
      </c>
      <c r="DD125" s="79" t="str">
        <f t="shared" si="43"/>
        <v/>
      </c>
      <c r="DE125" s="79" t="str">
        <f t="shared" si="44"/>
        <v/>
      </c>
      <c r="DF125" s="79" t="str">
        <f t="shared" si="45"/>
        <v/>
      </c>
      <c r="DG125" s="79" t="str">
        <f t="shared" si="46"/>
        <v/>
      </c>
      <c r="DH125" s="76"/>
      <c r="DI125" s="78"/>
      <c r="DJ125" s="76"/>
      <c r="DK125" s="77"/>
      <c r="DL125" s="77"/>
      <c r="DM125" s="77"/>
      <c r="DN125" s="80"/>
      <c r="DO125" s="80"/>
      <c r="DP125" s="92" t="str">
        <f>IF(Table1[Start Date]="","",IF(Table1[Start Date]&gt;42185,"",IF(AND(Table1[Leaving Date]&gt;1,Table1[Leaving Date]&lt;42095),"",1)))</f>
        <v/>
      </c>
      <c r="DQ125" s="92" t="str">
        <f>IF(Table1[Start Date]="","",IF(Table1[Start Date]&gt;42277,"",IF(AND(Table1[Leaving Date]&gt;1,Table1[Leaving Date]&lt;42186),"",1)))</f>
        <v/>
      </c>
      <c r="DR125" s="92" t="str">
        <f>IF(Table1[Start Date]="","",IF(Table1[Start Date]&gt;42369,"",IF(AND(Table1[Leaving Date]&gt;1,Table1[Leaving Date]&lt;42278),"",1)))</f>
        <v/>
      </c>
      <c r="DS125" s="92" t="str">
        <f>IF(Table1[Start Date]="","",IF(Table1[Start Date]&gt;42460,"",IF(AND(Table1[Leaving Date]&gt;1,Table1[Leaving Date]&lt;42370),"",1)))</f>
        <v/>
      </c>
      <c r="DT125" s="92" t="str">
        <f>IF(Table1[Start Date]="","",IF(Table1[Start Date]&gt;42551,"",IF(AND(Table1[Leaving Date]&gt;1,Table1[Leaving Date]&lt;42461),"",1)))</f>
        <v/>
      </c>
      <c r="DU125" s="92" t="str">
        <f>IF(Table1[Start Date]="","",IF(Table1[Start Date]&gt;42643,"",IF(AND(Table1[Leaving Date]&gt;1,Table1[Leaving Date]&lt;42552),"",1)))</f>
        <v/>
      </c>
      <c r="DV125" s="92" t="str">
        <f>IF(Table1[Start Date]="","",IF(Table1[Start Date]&gt;42735,"",IF(AND(Table1[Leaving Date]&gt;1,Table1[Leaving Date]&lt;42644),"",1)))</f>
        <v/>
      </c>
      <c r="DW125" s="92" t="str">
        <f>IF(Table1[Start Date]="","",IF(Table1[Start Date]&gt;42825,"",IF(AND(Table1[Leaving Date]&gt;1,Table1[Leaving Date]&lt;42736),"",1)))</f>
        <v/>
      </c>
      <c r="DX125"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125" s="44" t="e">
        <f>VLOOKUP(Table1[Referral Source],Lists!$G$2:$H$20,2,FALSE)</f>
        <v>#N/A</v>
      </c>
      <c r="DZ125" s="93" t="e">
        <f>SUM(Table1[Data Referral Quarter]+Table1[Data Referral Source])</f>
        <v>#N/A</v>
      </c>
      <c r="EA125" s="44" t="b">
        <f>IF(Table1[Referral Decision]="Accepted",100,IF(Table1[Referral Decision]="Rejected by Provider",200,IF(Table1[Referral Decision]="Rejected by Applicant",300)))</f>
        <v>0</v>
      </c>
      <c r="EB125" s="44">
        <f>SUM(Table1[Data Referral Quarter]+Table1[Data Referral Decision])</f>
        <v>0</v>
      </c>
      <c r="EC125" s="44" t="b">
        <f>IF(Table1[Start Date]&gt;42735,8000,IF(Table1[Start Date]&gt;42643,7000,IF(Table1[Start Date]&gt;42551,6000,IF(Table1[Start Date]&gt;42460,5000,IF(Table1[Start Date]&gt;42369,4000,IF(Table1[Start Date]&gt;42277,3000,IF(Table1[Start Date]&gt;42185,2000,IF(Table1[Start Date]&gt;42094,1000))))))))</f>
        <v>0</v>
      </c>
      <c r="ED125" s="44" t="str">
        <f>IF(Table1[Start Date]="","",IF(Table1[Current Local Authority]="Swindon",1,"2"))</f>
        <v/>
      </c>
      <c r="EE125" s="44" t="e">
        <f>SUM(Table1[Data Start Date]+Table1[Data Local Authority])</f>
        <v>#VALUE!</v>
      </c>
      <c r="EF125" s="44">
        <f>IF(Table1[Registered with GP]="Yes",1,0)</f>
        <v>0</v>
      </c>
      <c r="EG125" s="44">
        <f>SUM(Table1[Data Start Date]+Table1[Data GP Start])</f>
        <v>0</v>
      </c>
      <c r="EH125" s="44" t="str">
        <f>IF(Table1[EET]="NEET",1,IF(Table1[EET]="Education",2,IF(Table1[EET]="Employment",2,IF(Table1[EET]="Training",2,IF(Table1[EET]="Retired",3,"")))))</f>
        <v/>
      </c>
      <c r="EI125" s="44" t="e">
        <f>Table1[Data Start Date]+Table1[Data EET Start]</f>
        <v>#VALUE!</v>
      </c>
      <c r="EJ125" s="44" t="b">
        <f>IF(Table1[Leaving Date]&gt;42735,8000,IF(Table1[Leaving Date]&gt;42643,7000,IF(Table1[Leaving Date]&gt;42551,6000,IF(Table1[Leaving Date]&gt;42460,5000,IF(Table1[Leaving Date]&gt;42369,4000,IF(Table1[Leaving Date]&gt;42277,3000,IF(Table1[Leaving Date]&gt;42185,2000,IF(Table1[Leaving Date]&gt;42094,1000))))))))</f>
        <v>0</v>
      </c>
      <c r="EK125" s="44" t="e">
        <f>VLOOKUP(Table1[Reason for Leaving],Lists!$T$2:$U$15,2,FALSE)</f>
        <v>#N/A</v>
      </c>
      <c r="EL125" s="44" t="e">
        <f>SUM(Table1[Data Leavers Date]+Table1[Data Move On])</f>
        <v>#N/A</v>
      </c>
      <c r="EM125" s="44" t="b">
        <f>IF(Table1[Registered with GP2]="Yes",1,IF(Table1[Registered with GP2]="No",0,IF(Table1[Registered with GP]="Yes",1,IF(Table1[Registered with GP]="No",0))))</f>
        <v>0</v>
      </c>
      <c r="EN125" s="44">
        <f>SUM(Table1[Data Leavers Date]+Table1[Data GP End])</f>
        <v>0</v>
      </c>
      <c r="EO125" s="44" t="str">
        <f>IF(Table1[EET2]="NEET",1,IF(Table1[EET2]="Employment",2,IF(Table1[EET2]="Education",2,IF(Table1[EET2]="Training",2,IF(Table1[EET2]="Retired",3,IF(Table1[EET]="NEET",1,IF(Table1[EET]="Employment",2,IF(Table1[EET]="Education",2,IF(Table1[EET]="Training",2,IF(Table1[EET]="Retired",3,""))))))))))</f>
        <v/>
      </c>
      <c r="EP125" s="44" t="e">
        <f>+Table1[[#This Row],[Data Leavers Date]]+Table1[[#This Row],[Data EET End]]</f>
        <v>#VALUE!</v>
      </c>
      <c r="EQ125" s="44">
        <f>IF(Table1[Exit Form Received]="Yes",1,0)</f>
        <v>0</v>
      </c>
      <c r="ER125" s="44">
        <f>+Table1[[#This Row],[Data Leavers Date]]+Table1[[#This Row],[Data Exit Forms]]</f>
        <v>0</v>
      </c>
      <c r="ES125" s="44" t="str">
        <f>IF(Table1[Data Leavers Date]=1000,SUM(Table1[Leaving Date]-Table1[Start Date]),"")</f>
        <v/>
      </c>
      <c r="ET125" s="44" t="str">
        <f>IF(Table1[Data Leavers Date]=2000,SUM(Table1[Leaving Date]-Table1[Start Date]),"")</f>
        <v/>
      </c>
      <c r="EU125" s="44" t="str">
        <f>IF(Table1[Data Leavers Date]=3000,SUM(Table1[Leaving Date]-Table1[Start Date]),"")</f>
        <v/>
      </c>
      <c r="EV125" s="44" t="str">
        <f>IF(Table1[Data Leavers Date]=4000,SUM(Table1[Leaving Date]-Table1[Start Date]),"")</f>
        <v/>
      </c>
      <c r="EW125" s="44" t="str">
        <f>IF(Table1[Data Leavers Date]=5000,SUM(Table1[Leaving Date]-Table1[Start Date]),"")</f>
        <v/>
      </c>
      <c r="EX125" s="44" t="str">
        <f>IF(Table1[Data Leavers Date]=6000,SUM(Table1[Leaving Date]-Table1[Start Date]),"")</f>
        <v/>
      </c>
      <c r="EY125" s="44" t="str">
        <f>IF(Table1[Data Leavers Date]=7000,SUM(Table1[Leaving Date]-Table1[Start Date]),"")</f>
        <v/>
      </c>
      <c r="EZ125" s="44" t="str">
        <f>IF(Table1[Data Leavers Date]=8000,SUM(Table1[Leaving Date]-Table1[Start Date]),"")</f>
        <v/>
      </c>
      <c r="FA125" s="44" t="str">
        <f>IF(Table1[Date of Initial Assessment]="","",IF(AND(Table1[Start Date]&gt;42094,Table1[Start Date]&lt;42461),Table1[Motivation and Taking Responsibility],""))</f>
        <v/>
      </c>
      <c r="FB125" s="44" t="str">
        <f>IF(Table1[Date of Initial Assessment]="","",IF(AND(Table1[Start Date]&gt;42094,Table1[Start Date]&lt;42461),Table1[Self-Care and Living Skills],""))</f>
        <v/>
      </c>
      <c r="FC125" s="44" t="str">
        <f>IF(Table1[Date of Initial Assessment]="","",IF(AND(Table1[Start Date]&gt;42094,Table1[Start Date]&lt;42461),Table1[Managing Money and Personal Administration],""))</f>
        <v/>
      </c>
      <c r="FD125" s="44" t="str">
        <f>IF(Table1[Date of Initial Assessment]="","",IF(AND(Table1[Start Date]&gt;42094,Table1[Start Date]&lt;42461),Table1[Social Networks and Relationships],""))</f>
        <v/>
      </c>
      <c r="FE125" s="44" t="str">
        <f>IF(Table1[Date of Initial Assessment]="","",IF(AND(Table1[Start Date]&gt;42094,Table1[Start Date]&lt;42461),Table1[Drug and Alcohol Misuse],""))</f>
        <v/>
      </c>
      <c r="FF125" s="44" t="str">
        <f>IF(Table1[Date of Initial Assessment]="","",IF(AND(Table1[Start Date]&gt;42094,Table1[Start Date]&lt;42461),Table1[Physical Health],""))</f>
        <v/>
      </c>
      <c r="FG125" s="44" t="str">
        <f>IF(Table1[Date of Initial Assessment]="","",IF(AND(Table1[Start Date]&gt;42094,Table1[Start Date]&lt;42461),Table1[Emotional and Mental Health],""))</f>
        <v/>
      </c>
      <c r="FH125" s="44" t="str">
        <f>IF(Table1[Date of Initial Assessment]="","",IF(AND(Table1[Start Date]&gt;42094,Table1[Start Date]&lt;42461),Table1[Meaningful Use of Time],""))</f>
        <v/>
      </c>
      <c r="FI125" s="44" t="str">
        <f>IF(Table1[Date of Initial Assessment]="","",IF(AND(Table1[Start Date]&gt;42094,Table1[Start Date]&lt;42461),Table1[Managing Tenancy and Accommodation],""))</f>
        <v/>
      </c>
      <c r="FJ125" s="44" t="str">
        <f>IF(Table1[Date of Initial Assessment]="","",IF(AND(Table1[Start Date]&gt;42094,Table1[Start Date]&lt;42461),Table1[Offending],""))</f>
        <v/>
      </c>
      <c r="FK125" s="44" t="str">
        <f>IF(Table1[Leaving Date]="","",IF(Table1[Date of Initial Assessment]="","",IF(AND(Table1[Leaving Date]&gt;42094,Table1[Leaving Date]&lt;42461),IF(Table1[Date of Last Assessment]="",Table1[Motivation and Taking Responsibility],Table1[Motivation and Taking Responsibility2]),"")))</f>
        <v/>
      </c>
      <c r="FL125" s="44" t="str">
        <f>IF(Table1[Leaving Date]="","",IF(Table1[Date of Initial Assessment]="","",IF(AND(Table1[Leaving Date]&gt;42094,Table1[Leaving Date]&lt;42461),IF(Table1[Date of Last Assessment]="",Table1[Self-Care and Living Skills],Table1[Self-Care and Living Skills2]),"")))</f>
        <v/>
      </c>
      <c r="FM125" s="44" t="str">
        <f>IF(Table1[Leaving Date]="","",IF(Table1[Date of Initial Assessment]="","",IF(AND(Table1[Leaving Date]&gt;42094,Table1[Leaving Date]&lt;42461),IF(Table1[Date of Last Assessment]="",Table1[Managing Money and Personal Administration],Table1[Managing Money and Personal Administration2]),"")))</f>
        <v/>
      </c>
      <c r="FN125" s="44" t="str">
        <f>IF(Table1[Leaving Date]="","",IF(Table1[Date of Initial Assessment]="","",IF(AND(Table1[Leaving Date]&gt;42094,Table1[Leaving Date]&lt;42461),IF(Table1[Date of Last Assessment]="",Table1[Social Networks and Relationships],Table1[Social Networks and Relationships2]),"")))</f>
        <v/>
      </c>
      <c r="FO125" s="44" t="str">
        <f>IF(Table1[Leaving Date]="","",IF(Table1[Date of Initial Assessment]="","",IF(AND(Table1[Leaving Date]&gt;42094,Table1[Leaving Date]&lt;42461),IF(Table1[Date of Last Assessment]="",Table1[Drug and Alcohol Misuse],Table1[Drug and Alcohol Misuse2]),"")))</f>
        <v/>
      </c>
      <c r="FP125" s="44" t="str">
        <f>IF(Table1[Leaving Date]="","",IF(Table1[Date of Initial Assessment]="","",IF(AND(Table1[Leaving Date]&gt;42094,Table1[Leaving Date]&lt;42461),IF(Table1[Date of Last Assessment]="",Table1[Physical Health],Table1[Physical Health2]),"")))</f>
        <v/>
      </c>
      <c r="FQ125" s="44" t="str">
        <f>IF(Table1[Leaving Date]="","",IF(Table1[Date of Initial Assessment]="","",IF(AND(Table1[Leaving Date]&gt;42094,Table1[Leaving Date]&lt;42461),IF(Table1[Date of Last Assessment]="",Table1[Emotional and Mental Health],Table1[Emotional and Mental Health2]),"")))</f>
        <v/>
      </c>
      <c r="FR125" s="44" t="str">
        <f>IF(Table1[Leaving Date]="","",IF(Table1[Date of Initial Assessment]="","",IF(AND(Table1[Leaving Date]&gt;42094,Table1[Leaving Date]&lt;42461),IF(Table1[Date of Last Assessment]="",Table1[Meaningful Use of Time],Table1[Meaningful Use of Time2]),"")))</f>
        <v/>
      </c>
      <c r="FS125" s="44" t="str">
        <f>IF(Table1[Leaving Date]="","",IF(Table1[Date of Initial Assessment]="","",IF(AND(Table1[Leaving Date]&gt;42094,Table1[Leaving Date]&lt;42461),IF(Table1[Date of Last Assessment]="",Table1[Managing Tenancy and Accommodation],Table1[Managing Tenancy and Accommodation2]),"")))</f>
        <v/>
      </c>
      <c r="FT125" s="44" t="str">
        <f>IF(Table1[Leaving Date]="","",IF(Table1[Date of Initial Assessment]="","",IF(AND(Table1[Leaving Date]&gt;42094,Table1[Leaving Date]&lt;42461),IF(Table1[Date of Last Assessment]="",Table1[Offending],Table1[Offending2]),"")))</f>
        <v/>
      </c>
      <c r="FU125" s="44" t="str">
        <f>IF(Table1[Date of Initial Assessment]="","",IF(AND(Table1[Start Date]&gt;42460,Table1[Start Date]&lt;42826),Table1[Motivation and Taking Responsibility],""))</f>
        <v/>
      </c>
      <c r="FV125" s="44" t="str">
        <f>IF(Table1[Date of Initial Assessment]="","",IF(AND(Table1[Start Date]&gt;42460,Table1[Start Date]&lt;42826),Table1[Self-Care and Living Skills],""))</f>
        <v/>
      </c>
      <c r="FW125" s="44" t="str">
        <f>IF(Table1[Date of Initial Assessment]="","",IF(AND(Table1[Start Date]&gt;42460,Table1[Start Date]&lt;42826),Table1[Managing Money and Personal Administration],""))</f>
        <v/>
      </c>
      <c r="FX125" s="44" t="str">
        <f>IF(Table1[Date of Initial Assessment]="","",IF(AND(Table1[Start Date]&gt;42460,Table1[Start Date]&lt;42826),Table1[Social Networks and Relationships],""))</f>
        <v/>
      </c>
      <c r="FY125" s="44" t="str">
        <f>IF(Table1[Date of Initial Assessment]="","",IF(AND(Table1[Start Date]&gt;42460,Table1[Start Date]&lt;42826),Table1[Drug and Alcohol Misuse],""))</f>
        <v/>
      </c>
      <c r="FZ125" s="44" t="str">
        <f>IF(Table1[Date of Initial Assessment]="","",IF(AND(Table1[Start Date]&gt;42460,Table1[Start Date]&lt;42826),Table1[Physical Health],""))</f>
        <v/>
      </c>
      <c r="GA125" s="44" t="str">
        <f>IF(Table1[Date of Initial Assessment]="","",IF(AND(Table1[Start Date]&gt;42460,Table1[Start Date]&lt;42826),Table1[Emotional and Mental Health],""))</f>
        <v/>
      </c>
      <c r="GB125" s="44" t="str">
        <f>IF(Table1[Date of Initial Assessment]="","",IF(AND(Table1[Start Date]&gt;42460,Table1[Start Date]&lt;42826),Table1[Meaningful Use of Time],""))</f>
        <v/>
      </c>
      <c r="GC125" s="44" t="str">
        <f>IF(Table1[Date of Initial Assessment]="","",IF(AND(Table1[Start Date]&gt;42460,Table1[Start Date]&lt;42826),Table1[Managing Tenancy and Accommodation],""))</f>
        <v/>
      </c>
      <c r="GD125" s="44" t="str">
        <f>IF(Table1[Date of Initial Assessment]="","",IF(AND(Table1[Start Date]&gt;42460,Table1[Start Date]&lt;42826),Table1[Offending],""))</f>
        <v/>
      </c>
      <c r="GE125" s="44" t="str">
        <f>IF(Table1[Leaving Date]="","",IF(AND(Table1[Leaving Date]&gt;42460,Table1[Leaving Date]&lt;42826),IF(Table1[Date of Last Assessment]="",Table1[Motivation and Taking Responsibility],Table1[Motivation and Taking Responsibility2]),""))</f>
        <v/>
      </c>
      <c r="GF125" s="44" t="str">
        <f>IF(Table1[Leaving Date]="","",IF(AND(Table1[Leaving Date]&gt;42460,Table1[Leaving Date]&lt;42826),IF(Table1[Date of Last Assessment]="",Table1[Self-Care and Living Skills],Table1[Self-Care and Living Skills2]),""))</f>
        <v/>
      </c>
      <c r="GG125" s="44" t="str">
        <f>IF(Table1[Leaving Date]="","",IF(AND(Table1[Leaving Date]&gt;42460,Table1[Leaving Date]&lt;42826),IF(Table1[Date of Last Assessment]="",Table1[Managing Money and Personal Administration],Table1[Managing Money and Personal Administration2]),""))</f>
        <v/>
      </c>
      <c r="GH125" s="44" t="str">
        <f>IF(Table1[Leaving Date]="","",IF(AND(Table1[Leaving Date]&gt;42460,Table1[Leaving Date]&lt;42826),IF(Table1[Date of Last Assessment]="",Table1[Social Networks and Relationships],Table1[Social Networks and Relationships2]),""))</f>
        <v/>
      </c>
      <c r="GI125" s="44" t="str">
        <f>IF(Table1[Leaving Date]="","",IF(AND(Table1[Leaving Date]&gt;42460,Table1[Leaving Date]&lt;42826),IF(Table1[Date of Last Assessment]="",Table1[Drug and Alcohol Misuse],Table1[Drug and Alcohol Misuse2]),""))</f>
        <v/>
      </c>
      <c r="GJ125" s="44" t="str">
        <f>IF(Table1[Leaving Date]="","",IF(AND(Table1[Leaving Date]&gt;42460,Table1[Leaving Date]&lt;42826),IF(Table1[Date of Last Assessment]="",Table1[Physical Health],Table1[Physical Health2]),""))</f>
        <v/>
      </c>
      <c r="GK125" s="44" t="str">
        <f>IF(Table1[Leaving Date]="","",IF(AND(Table1[Leaving Date]&gt;42460,Table1[Leaving Date]&lt;42826),IF(Table1[Date of Last Assessment]="",Table1[Emotional and Mental Health],Table1[Emotional and Mental Health2]),""))</f>
        <v/>
      </c>
      <c r="GL125" s="44" t="str">
        <f>IF(Table1[Leaving Date]="","",IF(AND(Table1[Leaving Date]&gt;42460,Table1[Leaving Date]&lt;42826),IF(Table1[Date of Last Assessment]="",Table1[Meaningful Use of Time],Table1[Meaningful Use of Time2]),""))</f>
        <v/>
      </c>
      <c r="GM125" s="44" t="str">
        <f>IF(Table1[Leaving Date]="","",IF(AND(Table1[Leaving Date]&gt;42460,Table1[Leaving Date]&lt;42826),IF(Table1[Date of Last Assessment]="",Table1[Managing Tenancy and Accommodation],Table1[Managing Tenancy and Accommodation2]),""))</f>
        <v/>
      </c>
      <c r="GN125" s="44" t="str">
        <f>IF(Table1[Leaving Date]="","",IF(AND(Table1[Leaving Date]&gt;42460,Table1[Leaving Date]&lt;42826),IF(Table1[Date of Last Assessment]="",Table1[Offending],Table1[Offending2]),""))</f>
        <v/>
      </c>
    </row>
    <row r="126" spans="2:196" ht="20.100000000000001" customHeight="1" x14ac:dyDescent="0.2">
      <c r="B126" s="86">
        <f>+'Service Data'!$C$5:$C$5</f>
        <v>0</v>
      </c>
      <c r="C126" s="86"/>
      <c r="D126" s="86"/>
      <c r="E126" s="86"/>
      <c r="F126" s="86"/>
      <c r="G126" s="86"/>
      <c r="H126" s="6"/>
      <c r="I126" s="99" t="str">
        <f ca="1">IF(Table1[[#This Row],[Date of Birth]]="","",SUM(TODAY()-Table1[[#This Row],[Date of Birth]])/365)</f>
        <v/>
      </c>
      <c r="L126" s="86"/>
      <c r="M126" s="77"/>
      <c r="N126" s="86"/>
      <c r="O126" s="86"/>
      <c r="P126" s="91"/>
      <c r="Q126" s="86"/>
      <c r="R126" s="77"/>
      <c r="S126" s="77"/>
      <c r="T126" s="68"/>
      <c r="U126" s="68"/>
      <c r="V126" s="67"/>
      <c r="W126" s="67"/>
      <c r="X126" s="67"/>
      <c r="Y126" s="67"/>
      <c r="Z126" s="67"/>
      <c r="AA126" s="67"/>
      <c r="AB126" s="67"/>
      <c r="AC126" s="67"/>
      <c r="AD126" s="67"/>
      <c r="AE126" s="67"/>
      <c r="AF126" s="67"/>
      <c r="AG126" s="67"/>
      <c r="AH126" s="67"/>
      <c r="AI126" s="67"/>
      <c r="AJ126" s="67"/>
      <c r="AK126" s="67"/>
      <c r="AL126" s="67"/>
      <c r="AM126" s="67"/>
      <c r="AN126" s="77"/>
      <c r="AO126" s="76"/>
      <c r="AP126" s="77"/>
      <c r="AQ126" s="76"/>
      <c r="AR126" s="76"/>
      <c r="AS126" s="76"/>
      <c r="AT126" s="76"/>
      <c r="AU126" s="76"/>
      <c r="AV126" s="77"/>
      <c r="AW126" s="76"/>
      <c r="AX126" s="77"/>
      <c r="AY126" s="76"/>
      <c r="AZ126" s="76"/>
      <c r="BA126" s="76"/>
      <c r="BB126" s="76"/>
      <c r="BC126" s="76"/>
      <c r="BD126" s="77"/>
      <c r="BE126" s="76"/>
      <c r="BF126" s="77"/>
      <c r="BG126" s="76"/>
      <c r="BH126" s="76"/>
      <c r="BI126" s="76"/>
      <c r="BJ126" s="76"/>
      <c r="BK126" s="76"/>
      <c r="BL126" s="77"/>
      <c r="BM126" s="76"/>
      <c r="BN126" s="77"/>
      <c r="BO126" s="76"/>
      <c r="BP126" s="76"/>
      <c r="BQ126" s="76"/>
      <c r="BR126" s="76"/>
      <c r="BS126" s="76"/>
      <c r="BT126" s="77"/>
      <c r="BU126" s="76"/>
      <c r="BV126" s="77"/>
      <c r="BW126" s="76"/>
      <c r="BX126" s="76"/>
      <c r="BY126" s="76"/>
      <c r="BZ126" s="76"/>
      <c r="CA126" s="76"/>
      <c r="CB126" s="77"/>
      <c r="CC126" s="76"/>
      <c r="CD126" s="77"/>
      <c r="CE126" s="76"/>
      <c r="CF126" s="76"/>
      <c r="CG126" s="76"/>
      <c r="CH126" s="76"/>
      <c r="CI126" s="76"/>
      <c r="CJ126" s="77"/>
      <c r="CK126" s="76"/>
      <c r="CL126" s="77"/>
      <c r="CM126" s="76"/>
      <c r="CN126" s="76"/>
      <c r="CO126" s="76"/>
      <c r="CP126" s="76"/>
      <c r="CQ126" s="76"/>
      <c r="CR126" s="78" t="str">
        <f t="shared" si="31"/>
        <v/>
      </c>
      <c r="CS126" s="79" t="str">
        <f t="shared" si="32"/>
        <v/>
      </c>
      <c r="CT126" s="79" t="str">
        <f t="shared" si="33"/>
        <v/>
      </c>
      <c r="CU126" s="79" t="str">
        <f t="shared" si="34"/>
        <v/>
      </c>
      <c r="CV126" s="79" t="str">
        <f t="shared" si="35"/>
        <v/>
      </c>
      <c r="CW126" s="79" t="str">
        <f t="shared" si="36"/>
        <v/>
      </c>
      <c r="CX126" s="79" t="str">
        <f t="shared" si="37"/>
        <v/>
      </c>
      <c r="CY126" s="79" t="str">
        <f t="shared" si="38"/>
        <v/>
      </c>
      <c r="CZ126" s="79" t="str">
        <f t="shared" si="39"/>
        <v/>
      </c>
      <c r="DA126" s="79" t="str">
        <f t="shared" si="40"/>
        <v/>
      </c>
      <c r="DB126" s="79" t="str">
        <f t="shared" si="41"/>
        <v/>
      </c>
      <c r="DC126" s="79" t="str">
        <f t="shared" si="42"/>
        <v/>
      </c>
      <c r="DD126" s="79" t="str">
        <f t="shared" si="43"/>
        <v/>
      </c>
      <c r="DE126" s="79" t="str">
        <f t="shared" si="44"/>
        <v/>
      </c>
      <c r="DF126" s="79" t="str">
        <f t="shared" si="45"/>
        <v/>
      </c>
      <c r="DG126" s="79" t="str">
        <f t="shared" si="46"/>
        <v/>
      </c>
      <c r="DH126" s="76"/>
      <c r="DI126" s="78"/>
      <c r="DJ126" s="76"/>
      <c r="DK126" s="77"/>
      <c r="DL126" s="77"/>
      <c r="DM126" s="77"/>
      <c r="DN126" s="80"/>
      <c r="DO126" s="80"/>
      <c r="DP126" s="92" t="str">
        <f>IF(Table1[Start Date]="","",IF(Table1[Start Date]&gt;42185,"",IF(AND(Table1[Leaving Date]&gt;1,Table1[Leaving Date]&lt;42095),"",1)))</f>
        <v/>
      </c>
      <c r="DQ126" s="92" t="str">
        <f>IF(Table1[Start Date]="","",IF(Table1[Start Date]&gt;42277,"",IF(AND(Table1[Leaving Date]&gt;1,Table1[Leaving Date]&lt;42186),"",1)))</f>
        <v/>
      </c>
      <c r="DR126" s="92" t="str">
        <f>IF(Table1[Start Date]="","",IF(Table1[Start Date]&gt;42369,"",IF(AND(Table1[Leaving Date]&gt;1,Table1[Leaving Date]&lt;42278),"",1)))</f>
        <v/>
      </c>
      <c r="DS126" s="92" t="str">
        <f>IF(Table1[Start Date]="","",IF(Table1[Start Date]&gt;42460,"",IF(AND(Table1[Leaving Date]&gt;1,Table1[Leaving Date]&lt;42370),"",1)))</f>
        <v/>
      </c>
      <c r="DT126" s="92" t="str">
        <f>IF(Table1[Start Date]="","",IF(Table1[Start Date]&gt;42551,"",IF(AND(Table1[Leaving Date]&gt;1,Table1[Leaving Date]&lt;42461),"",1)))</f>
        <v/>
      </c>
      <c r="DU126" s="92" t="str">
        <f>IF(Table1[Start Date]="","",IF(Table1[Start Date]&gt;42643,"",IF(AND(Table1[Leaving Date]&gt;1,Table1[Leaving Date]&lt;42552),"",1)))</f>
        <v/>
      </c>
      <c r="DV126" s="92" t="str">
        <f>IF(Table1[Start Date]="","",IF(Table1[Start Date]&gt;42735,"",IF(AND(Table1[Leaving Date]&gt;1,Table1[Leaving Date]&lt;42644),"",1)))</f>
        <v/>
      </c>
      <c r="DW126" s="92" t="str">
        <f>IF(Table1[Start Date]="","",IF(Table1[Start Date]&gt;42825,"",IF(AND(Table1[Leaving Date]&gt;1,Table1[Leaving Date]&lt;42736),"",1)))</f>
        <v/>
      </c>
      <c r="DX126"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126" s="44" t="e">
        <f>VLOOKUP(Table1[Referral Source],Lists!$G$2:$H$20,2,FALSE)</f>
        <v>#N/A</v>
      </c>
      <c r="DZ126" s="93" t="e">
        <f>SUM(Table1[Data Referral Quarter]+Table1[Data Referral Source])</f>
        <v>#N/A</v>
      </c>
      <c r="EA126" s="44" t="b">
        <f>IF(Table1[Referral Decision]="Accepted",100,IF(Table1[Referral Decision]="Rejected by Provider",200,IF(Table1[Referral Decision]="Rejected by Applicant",300)))</f>
        <v>0</v>
      </c>
      <c r="EB126" s="44">
        <f>SUM(Table1[Data Referral Quarter]+Table1[Data Referral Decision])</f>
        <v>0</v>
      </c>
      <c r="EC126" s="44" t="b">
        <f>IF(Table1[Start Date]&gt;42735,8000,IF(Table1[Start Date]&gt;42643,7000,IF(Table1[Start Date]&gt;42551,6000,IF(Table1[Start Date]&gt;42460,5000,IF(Table1[Start Date]&gt;42369,4000,IF(Table1[Start Date]&gt;42277,3000,IF(Table1[Start Date]&gt;42185,2000,IF(Table1[Start Date]&gt;42094,1000))))))))</f>
        <v>0</v>
      </c>
      <c r="ED126" s="44" t="str">
        <f>IF(Table1[Start Date]="","",IF(Table1[Current Local Authority]="Swindon",1,"2"))</f>
        <v/>
      </c>
      <c r="EE126" s="44" t="e">
        <f>SUM(Table1[Data Start Date]+Table1[Data Local Authority])</f>
        <v>#VALUE!</v>
      </c>
      <c r="EF126" s="44">
        <f>IF(Table1[Registered with GP]="Yes",1,0)</f>
        <v>0</v>
      </c>
      <c r="EG126" s="44">
        <f>SUM(Table1[Data Start Date]+Table1[Data GP Start])</f>
        <v>0</v>
      </c>
      <c r="EH126" s="44" t="str">
        <f>IF(Table1[EET]="NEET",1,IF(Table1[EET]="Education",2,IF(Table1[EET]="Employment",2,IF(Table1[EET]="Training",2,IF(Table1[EET]="Retired",3,"")))))</f>
        <v/>
      </c>
      <c r="EI126" s="44" t="e">
        <f>Table1[Data Start Date]+Table1[Data EET Start]</f>
        <v>#VALUE!</v>
      </c>
      <c r="EJ126" s="44" t="b">
        <f>IF(Table1[Leaving Date]&gt;42735,8000,IF(Table1[Leaving Date]&gt;42643,7000,IF(Table1[Leaving Date]&gt;42551,6000,IF(Table1[Leaving Date]&gt;42460,5000,IF(Table1[Leaving Date]&gt;42369,4000,IF(Table1[Leaving Date]&gt;42277,3000,IF(Table1[Leaving Date]&gt;42185,2000,IF(Table1[Leaving Date]&gt;42094,1000))))))))</f>
        <v>0</v>
      </c>
      <c r="EK126" s="44" t="e">
        <f>VLOOKUP(Table1[Reason for Leaving],Lists!$T$2:$U$15,2,FALSE)</f>
        <v>#N/A</v>
      </c>
      <c r="EL126" s="44" t="e">
        <f>SUM(Table1[Data Leavers Date]+Table1[Data Move On])</f>
        <v>#N/A</v>
      </c>
      <c r="EM126" s="44" t="b">
        <f>IF(Table1[Registered with GP2]="Yes",1,IF(Table1[Registered with GP2]="No",0,IF(Table1[Registered with GP]="Yes",1,IF(Table1[Registered with GP]="No",0))))</f>
        <v>0</v>
      </c>
      <c r="EN126" s="44">
        <f>SUM(Table1[Data Leavers Date]+Table1[Data GP End])</f>
        <v>0</v>
      </c>
      <c r="EO126" s="44" t="str">
        <f>IF(Table1[EET2]="NEET",1,IF(Table1[EET2]="Employment",2,IF(Table1[EET2]="Education",2,IF(Table1[EET2]="Training",2,IF(Table1[EET2]="Retired",3,IF(Table1[EET]="NEET",1,IF(Table1[EET]="Employment",2,IF(Table1[EET]="Education",2,IF(Table1[EET]="Training",2,IF(Table1[EET]="Retired",3,""))))))))))</f>
        <v/>
      </c>
      <c r="EP126" s="44" t="e">
        <f>+Table1[[#This Row],[Data Leavers Date]]+Table1[[#This Row],[Data EET End]]</f>
        <v>#VALUE!</v>
      </c>
      <c r="EQ126" s="44">
        <f>IF(Table1[Exit Form Received]="Yes",1,0)</f>
        <v>0</v>
      </c>
      <c r="ER126" s="44">
        <f>+Table1[[#This Row],[Data Leavers Date]]+Table1[[#This Row],[Data Exit Forms]]</f>
        <v>0</v>
      </c>
      <c r="ES126" s="44" t="str">
        <f>IF(Table1[Data Leavers Date]=1000,SUM(Table1[Leaving Date]-Table1[Start Date]),"")</f>
        <v/>
      </c>
      <c r="ET126" s="44" t="str">
        <f>IF(Table1[Data Leavers Date]=2000,SUM(Table1[Leaving Date]-Table1[Start Date]),"")</f>
        <v/>
      </c>
      <c r="EU126" s="44" t="str">
        <f>IF(Table1[Data Leavers Date]=3000,SUM(Table1[Leaving Date]-Table1[Start Date]),"")</f>
        <v/>
      </c>
      <c r="EV126" s="44" t="str">
        <f>IF(Table1[Data Leavers Date]=4000,SUM(Table1[Leaving Date]-Table1[Start Date]),"")</f>
        <v/>
      </c>
      <c r="EW126" s="44" t="str">
        <f>IF(Table1[Data Leavers Date]=5000,SUM(Table1[Leaving Date]-Table1[Start Date]),"")</f>
        <v/>
      </c>
      <c r="EX126" s="44" t="str">
        <f>IF(Table1[Data Leavers Date]=6000,SUM(Table1[Leaving Date]-Table1[Start Date]),"")</f>
        <v/>
      </c>
      <c r="EY126" s="44" t="str">
        <f>IF(Table1[Data Leavers Date]=7000,SUM(Table1[Leaving Date]-Table1[Start Date]),"")</f>
        <v/>
      </c>
      <c r="EZ126" s="44" t="str">
        <f>IF(Table1[Data Leavers Date]=8000,SUM(Table1[Leaving Date]-Table1[Start Date]),"")</f>
        <v/>
      </c>
      <c r="FA126" s="44" t="str">
        <f>IF(Table1[Date of Initial Assessment]="","",IF(AND(Table1[Start Date]&gt;42094,Table1[Start Date]&lt;42461),Table1[Motivation and Taking Responsibility],""))</f>
        <v/>
      </c>
      <c r="FB126" s="44" t="str">
        <f>IF(Table1[Date of Initial Assessment]="","",IF(AND(Table1[Start Date]&gt;42094,Table1[Start Date]&lt;42461),Table1[Self-Care and Living Skills],""))</f>
        <v/>
      </c>
      <c r="FC126" s="44" t="str">
        <f>IF(Table1[Date of Initial Assessment]="","",IF(AND(Table1[Start Date]&gt;42094,Table1[Start Date]&lt;42461),Table1[Managing Money and Personal Administration],""))</f>
        <v/>
      </c>
      <c r="FD126" s="44" t="str">
        <f>IF(Table1[Date of Initial Assessment]="","",IF(AND(Table1[Start Date]&gt;42094,Table1[Start Date]&lt;42461),Table1[Social Networks and Relationships],""))</f>
        <v/>
      </c>
      <c r="FE126" s="44" t="str">
        <f>IF(Table1[Date of Initial Assessment]="","",IF(AND(Table1[Start Date]&gt;42094,Table1[Start Date]&lt;42461),Table1[Drug and Alcohol Misuse],""))</f>
        <v/>
      </c>
      <c r="FF126" s="44" t="str">
        <f>IF(Table1[Date of Initial Assessment]="","",IF(AND(Table1[Start Date]&gt;42094,Table1[Start Date]&lt;42461),Table1[Physical Health],""))</f>
        <v/>
      </c>
      <c r="FG126" s="44" t="str">
        <f>IF(Table1[Date of Initial Assessment]="","",IF(AND(Table1[Start Date]&gt;42094,Table1[Start Date]&lt;42461),Table1[Emotional and Mental Health],""))</f>
        <v/>
      </c>
      <c r="FH126" s="44" t="str">
        <f>IF(Table1[Date of Initial Assessment]="","",IF(AND(Table1[Start Date]&gt;42094,Table1[Start Date]&lt;42461),Table1[Meaningful Use of Time],""))</f>
        <v/>
      </c>
      <c r="FI126" s="44" t="str">
        <f>IF(Table1[Date of Initial Assessment]="","",IF(AND(Table1[Start Date]&gt;42094,Table1[Start Date]&lt;42461),Table1[Managing Tenancy and Accommodation],""))</f>
        <v/>
      </c>
      <c r="FJ126" s="44" t="str">
        <f>IF(Table1[Date of Initial Assessment]="","",IF(AND(Table1[Start Date]&gt;42094,Table1[Start Date]&lt;42461),Table1[Offending],""))</f>
        <v/>
      </c>
      <c r="FK126" s="44" t="str">
        <f>IF(Table1[Leaving Date]="","",IF(Table1[Date of Initial Assessment]="","",IF(AND(Table1[Leaving Date]&gt;42094,Table1[Leaving Date]&lt;42461),IF(Table1[Date of Last Assessment]="",Table1[Motivation and Taking Responsibility],Table1[Motivation and Taking Responsibility2]),"")))</f>
        <v/>
      </c>
      <c r="FL126" s="44" t="str">
        <f>IF(Table1[Leaving Date]="","",IF(Table1[Date of Initial Assessment]="","",IF(AND(Table1[Leaving Date]&gt;42094,Table1[Leaving Date]&lt;42461),IF(Table1[Date of Last Assessment]="",Table1[Self-Care and Living Skills],Table1[Self-Care and Living Skills2]),"")))</f>
        <v/>
      </c>
      <c r="FM126" s="44" t="str">
        <f>IF(Table1[Leaving Date]="","",IF(Table1[Date of Initial Assessment]="","",IF(AND(Table1[Leaving Date]&gt;42094,Table1[Leaving Date]&lt;42461),IF(Table1[Date of Last Assessment]="",Table1[Managing Money and Personal Administration],Table1[Managing Money and Personal Administration2]),"")))</f>
        <v/>
      </c>
      <c r="FN126" s="44" t="str">
        <f>IF(Table1[Leaving Date]="","",IF(Table1[Date of Initial Assessment]="","",IF(AND(Table1[Leaving Date]&gt;42094,Table1[Leaving Date]&lt;42461),IF(Table1[Date of Last Assessment]="",Table1[Social Networks and Relationships],Table1[Social Networks and Relationships2]),"")))</f>
        <v/>
      </c>
      <c r="FO126" s="44" t="str">
        <f>IF(Table1[Leaving Date]="","",IF(Table1[Date of Initial Assessment]="","",IF(AND(Table1[Leaving Date]&gt;42094,Table1[Leaving Date]&lt;42461),IF(Table1[Date of Last Assessment]="",Table1[Drug and Alcohol Misuse],Table1[Drug and Alcohol Misuse2]),"")))</f>
        <v/>
      </c>
      <c r="FP126" s="44" t="str">
        <f>IF(Table1[Leaving Date]="","",IF(Table1[Date of Initial Assessment]="","",IF(AND(Table1[Leaving Date]&gt;42094,Table1[Leaving Date]&lt;42461),IF(Table1[Date of Last Assessment]="",Table1[Physical Health],Table1[Physical Health2]),"")))</f>
        <v/>
      </c>
      <c r="FQ126" s="44" t="str">
        <f>IF(Table1[Leaving Date]="","",IF(Table1[Date of Initial Assessment]="","",IF(AND(Table1[Leaving Date]&gt;42094,Table1[Leaving Date]&lt;42461),IF(Table1[Date of Last Assessment]="",Table1[Emotional and Mental Health],Table1[Emotional and Mental Health2]),"")))</f>
        <v/>
      </c>
      <c r="FR126" s="44" t="str">
        <f>IF(Table1[Leaving Date]="","",IF(Table1[Date of Initial Assessment]="","",IF(AND(Table1[Leaving Date]&gt;42094,Table1[Leaving Date]&lt;42461),IF(Table1[Date of Last Assessment]="",Table1[Meaningful Use of Time],Table1[Meaningful Use of Time2]),"")))</f>
        <v/>
      </c>
      <c r="FS126" s="44" t="str">
        <f>IF(Table1[Leaving Date]="","",IF(Table1[Date of Initial Assessment]="","",IF(AND(Table1[Leaving Date]&gt;42094,Table1[Leaving Date]&lt;42461),IF(Table1[Date of Last Assessment]="",Table1[Managing Tenancy and Accommodation],Table1[Managing Tenancy and Accommodation2]),"")))</f>
        <v/>
      </c>
      <c r="FT126" s="44" t="str">
        <f>IF(Table1[Leaving Date]="","",IF(Table1[Date of Initial Assessment]="","",IF(AND(Table1[Leaving Date]&gt;42094,Table1[Leaving Date]&lt;42461),IF(Table1[Date of Last Assessment]="",Table1[Offending],Table1[Offending2]),"")))</f>
        <v/>
      </c>
      <c r="FU126" s="44" t="str">
        <f>IF(Table1[Date of Initial Assessment]="","",IF(AND(Table1[Start Date]&gt;42460,Table1[Start Date]&lt;42826),Table1[Motivation and Taking Responsibility],""))</f>
        <v/>
      </c>
      <c r="FV126" s="44" t="str">
        <f>IF(Table1[Date of Initial Assessment]="","",IF(AND(Table1[Start Date]&gt;42460,Table1[Start Date]&lt;42826),Table1[Self-Care and Living Skills],""))</f>
        <v/>
      </c>
      <c r="FW126" s="44" t="str">
        <f>IF(Table1[Date of Initial Assessment]="","",IF(AND(Table1[Start Date]&gt;42460,Table1[Start Date]&lt;42826),Table1[Managing Money and Personal Administration],""))</f>
        <v/>
      </c>
      <c r="FX126" s="44" t="str">
        <f>IF(Table1[Date of Initial Assessment]="","",IF(AND(Table1[Start Date]&gt;42460,Table1[Start Date]&lt;42826),Table1[Social Networks and Relationships],""))</f>
        <v/>
      </c>
      <c r="FY126" s="44" t="str">
        <f>IF(Table1[Date of Initial Assessment]="","",IF(AND(Table1[Start Date]&gt;42460,Table1[Start Date]&lt;42826),Table1[Drug and Alcohol Misuse],""))</f>
        <v/>
      </c>
      <c r="FZ126" s="44" t="str">
        <f>IF(Table1[Date of Initial Assessment]="","",IF(AND(Table1[Start Date]&gt;42460,Table1[Start Date]&lt;42826),Table1[Physical Health],""))</f>
        <v/>
      </c>
      <c r="GA126" s="44" t="str">
        <f>IF(Table1[Date of Initial Assessment]="","",IF(AND(Table1[Start Date]&gt;42460,Table1[Start Date]&lt;42826),Table1[Emotional and Mental Health],""))</f>
        <v/>
      </c>
      <c r="GB126" s="44" t="str">
        <f>IF(Table1[Date of Initial Assessment]="","",IF(AND(Table1[Start Date]&gt;42460,Table1[Start Date]&lt;42826),Table1[Meaningful Use of Time],""))</f>
        <v/>
      </c>
      <c r="GC126" s="44" t="str">
        <f>IF(Table1[Date of Initial Assessment]="","",IF(AND(Table1[Start Date]&gt;42460,Table1[Start Date]&lt;42826),Table1[Managing Tenancy and Accommodation],""))</f>
        <v/>
      </c>
      <c r="GD126" s="44" t="str">
        <f>IF(Table1[Date of Initial Assessment]="","",IF(AND(Table1[Start Date]&gt;42460,Table1[Start Date]&lt;42826),Table1[Offending],""))</f>
        <v/>
      </c>
      <c r="GE126" s="44" t="str">
        <f>IF(Table1[Leaving Date]="","",IF(AND(Table1[Leaving Date]&gt;42460,Table1[Leaving Date]&lt;42826),IF(Table1[Date of Last Assessment]="",Table1[Motivation and Taking Responsibility],Table1[Motivation and Taking Responsibility2]),""))</f>
        <v/>
      </c>
      <c r="GF126" s="44" t="str">
        <f>IF(Table1[Leaving Date]="","",IF(AND(Table1[Leaving Date]&gt;42460,Table1[Leaving Date]&lt;42826),IF(Table1[Date of Last Assessment]="",Table1[Self-Care and Living Skills],Table1[Self-Care and Living Skills2]),""))</f>
        <v/>
      </c>
      <c r="GG126" s="44" t="str">
        <f>IF(Table1[Leaving Date]="","",IF(AND(Table1[Leaving Date]&gt;42460,Table1[Leaving Date]&lt;42826),IF(Table1[Date of Last Assessment]="",Table1[Managing Money and Personal Administration],Table1[Managing Money and Personal Administration2]),""))</f>
        <v/>
      </c>
      <c r="GH126" s="44" t="str">
        <f>IF(Table1[Leaving Date]="","",IF(AND(Table1[Leaving Date]&gt;42460,Table1[Leaving Date]&lt;42826),IF(Table1[Date of Last Assessment]="",Table1[Social Networks and Relationships],Table1[Social Networks and Relationships2]),""))</f>
        <v/>
      </c>
      <c r="GI126" s="44" t="str">
        <f>IF(Table1[Leaving Date]="","",IF(AND(Table1[Leaving Date]&gt;42460,Table1[Leaving Date]&lt;42826),IF(Table1[Date of Last Assessment]="",Table1[Drug and Alcohol Misuse],Table1[Drug and Alcohol Misuse2]),""))</f>
        <v/>
      </c>
      <c r="GJ126" s="44" t="str">
        <f>IF(Table1[Leaving Date]="","",IF(AND(Table1[Leaving Date]&gt;42460,Table1[Leaving Date]&lt;42826),IF(Table1[Date of Last Assessment]="",Table1[Physical Health],Table1[Physical Health2]),""))</f>
        <v/>
      </c>
      <c r="GK126" s="44" t="str">
        <f>IF(Table1[Leaving Date]="","",IF(AND(Table1[Leaving Date]&gt;42460,Table1[Leaving Date]&lt;42826),IF(Table1[Date of Last Assessment]="",Table1[Emotional and Mental Health],Table1[Emotional and Mental Health2]),""))</f>
        <v/>
      </c>
      <c r="GL126" s="44" t="str">
        <f>IF(Table1[Leaving Date]="","",IF(AND(Table1[Leaving Date]&gt;42460,Table1[Leaving Date]&lt;42826),IF(Table1[Date of Last Assessment]="",Table1[Meaningful Use of Time],Table1[Meaningful Use of Time2]),""))</f>
        <v/>
      </c>
      <c r="GM126" s="44" t="str">
        <f>IF(Table1[Leaving Date]="","",IF(AND(Table1[Leaving Date]&gt;42460,Table1[Leaving Date]&lt;42826),IF(Table1[Date of Last Assessment]="",Table1[Managing Tenancy and Accommodation],Table1[Managing Tenancy and Accommodation2]),""))</f>
        <v/>
      </c>
      <c r="GN126" s="44" t="str">
        <f>IF(Table1[Leaving Date]="","",IF(AND(Table1[Leaving Date]&gt;42460,Table1[Leaving Date]&lt;42826),IF(Table1[Date of Last Assessment]="",Table1[Offending],Table1[Offending2]),""))</f>
        <v/>
      </c>
    </row>
    <row r="127" spans="2:196" ht="20.100000000000001" customHeight="1" x14ac:dyDescent="0.2">
      <c r="B127" s="86">
        <f>+'Service Data'!$C$5:$C$5</f>
        <v>0</v>
      </c>
      <c r="C127" s="86"/>
      <c r="D127" s="86"/>
      <c r="E127" s="86"/>
      <c r="F127" s="86"/>
      <c r="G127" s="86"/>
      <c r="H127" s="6"/>
      <c r="I127" s="99" t="str">
        <f ca="1">IF(Table1[[#This Row],[Date of Birth]]="","",SUM(TODAY()-Table1[[#This Row],[Date of Birth]])/365)</f>
        <v/>
      </c>
      <c r="L127" s="86"/>
      <c r="M127" s="77"/>
      <c r="N127" s="86"/>
      <c r="O127" s="86"/>
      <c r="P127" s="91"/>
      <c r="Q127" s="86"/>
      <c r="R127" s="77"/>
      <c r="S127" s="77"/>
      <c r="T127" s="68"/>
      <c r="U127" s="68"/>
      <c r="V127" s="67"/>
      <c r="W127" s="67"/>
      <c r="X127" s="67"/>
      <c r="Y127" s="67"/>
      <c r="Z127" s="67"/>
      <c r="AA127" s="67"/>
      <c r="AB127" s="67"/>
      <c r="AC127" s="67"/>
      <c r="AD127" s="67"/>
      <c r="AE127" s="67"/>
      <c r="AF127" s="67"/>
      <c r="AG127" s="67"/>
      <c r="AH127" s="67"/>
      <c r="AI127" s="67"/>
      <c r="AJ127" s="67"/>
      <c r="AK127" s="67"/>
      <c r="AL127" s="67"/>
      <c r="AM127" s="67"/>
      <c r="AN127" s="77"/>
      <c r="AO127" s="76"/>
      <c r="AP127" s="77"/>
      <c r="AQ127" s="76"/>
      <c r="AR127" s="76"/>
      <c r="AS127" s="76"/>
      <c r="AT127" s="76"/>
      <c r="AU127" s="76"/>
      <c r="AV127" s="77"/>
      <c r="AW127" s="76"/>
      <c r="AX127" s="77"/>
      <c r="AY127" s="76"/>
      <c r="AZ127" s="76"/>
      <c r="BA127" s="76"/>
      <c r="BB127" s="76"/>
      <c r="BC127" s="76"/>
      <c r="BD127" s="77"/>
      <c r="BE127" s="76"/>
      <c r="BF127" s="77"/>
      <c r="BG127" s="76"/>
      <c r="BH127" s="76"/>
      <c r="BI127" s="76"/>
      <c r="BJ127" s="76"/>
      <c r="BK127" s="76"/>
      <c r="BL127" s="77"/>
      <c r="BM127" s="76"/>
      <c r="BN127" s="77"/>
      <c r="BO127" s="76"/>
      <c r="BP127" s="76"/>
      <c r="BQ127" s="76"/>
      <c r="BR127" s="76"/>
      <c r="BS127" s="76"/>
      <c r="BT127" s="77"/>
      <c r="BU127" s="76"/>
      <c r="BV127" s="77"/>
      <c r="BW127" s="76"/>
      <c r="BX127" s="76"/>
      <c r="BY127" s="76"/>
      <c r="BZ127" s="76"/>
      <c r="CA127" s="76"/>
      <c r="CB127" s="77"/>
      <c r="CC127" s="76"/>
      <c r="CD127" s="77"/>
      <c r="CE127" s="76"/>
      <c r="CF127" s="76"/>
      <c r="CG127" s="76"/>
      <c r="CH127" s="76"/>
      <c r="CI127" s="76"/>
      <c r="CJ127" s="77"/>
      <c r="CK127" s="76"/>
      <c r="CL127" s="77"/>
      <c r="CM127" s="76"/>
      <c r="CN127" s="76"/>
      <c r="CO127" s="76"/>
      <c r="CP127" s="76"/>
      <c r="CQ127" s="76"/>
      <c r="CR127" s="78" t="str">
        <f t="shared" si="31"/>
        <v/>
      </c>
      <c r="CS127" s="79" t="str">
        <f t="shared" si="32"/>
        <v/>
      </c>
      <c r="CT127" s="79" t="str">
        <f t="shared" si="33"/>
        <v/>
      </c>
      <c r="CU127" s="79" t="str">
        <f t="shared" si="34"/>
        <v/>
      </c>
      <c r="CV127" s="79" t="str">
        <f t="shared" si="35"/>
        <v/>
      </c>
      <c r="CW127" s="79" t="str">
        <f t="shared" si="36"/>
        <v/>
      </c>
      <c r="CX127" s="79" t="str">
        <f t="shared" si="37"/>
        <v/>
      </c>
      <c r="CY127" s="79" t="str">
        <f t="shared" si="38"/>
        <v/>
      </c>
      <c r="CZ127" s="79" t="str">
        <f t="shared" si="39"/>
        <v/>
      </c>
      <c r="DA127" s="79" t="str">
        <f t="shared" si="40"/>
        <v/>
      </c>
      <c r="DB127" s="79" t="str">
        <f t="shared" si="41"/>
        <v/>
      </c>
      <c r="DC127" s="79" t="str">
        <f t="shared" si="42"/>
        <v/>
      </c>
      <c r="DD127" s="79" t="str">
        <f t="shared" si="43"/>
        <v/>
      </c>
      <c r="DE127" s="79" t="str">
        <f t="shared" si="44"/>
        <v/>
      </c>
      <c r="DF127" s="79" t="str">
        <f t="shared" si="45"/>
        <v/>
      </c>
      <c r="DG127" s="79" t="str">
        <f t="shared" si="46"/>
        <v/>
      </c>
      <c r="DH127" s="76"/>
      <c r="DI127" s="78"/>
      <c r="DJ127" s="76"/>
      <c r="DK127" s="77"/>
      <c r="DL127" s="77"/>
      <c r="DM127" s="77"/>
      <c r="DN127" s="80"/>
      <c r="DO127" s="80"/>
      <c r="DP127" s="92" t="str">
        <f>IF(Table1[Start Date]="","",IF(Table1[Start Date]&gt;42185,"",IF(AND(Table1[Leaving Date]&gt;1,Table1[Leaving Date]&lt;42095),"",1)))</f>
        <v/>
      </c>
      <c r="DQ127" s="92" t="str">
        <f>IF(Table1[Start Date]="","",IF(Table1[Start Date]&gt;42277,"",IF(AND(Table1[Leaving Date]&gt;1,Table1[Leaving Date]&lt;42186),"",1)))</f>
        <v/>
      </c>
      <c r="DR127" s="92" t="str">
        <f>IF(Table1[Start Date]="","",IF(Table1[Start Date]&gt;42369,"",IF(AND(Table1[Leaving Date]&gt;1,Table1[Leaving Date]&lt;42278),"",1)))</f>
        <v/>
      </c>
      <c r="DS127" s="92" t="str">
        <f>IF(Table1[Start Date]="","",IF(Table1[Start Date]&gt;42460,"",IF(AND(Table1[Leaving Date]&gt;1,Table1[Leaving Date]&lt;42370),"",1)))</f>
        <v/>
      </c>
      <c r="DT127" s="92" t="str">
        <f>IF(Table1[Start Date]="","",IF(Table1[Start Date]&gt;42551,"",IF(AND(Table1[Leaving Date]&gt;1,Table1[Leaving Date]&lt;42461),"",1)))</f>
        <v/>
      </c>
      <c r="DU127" s="92" t="str">
        <f>IF(Table1[Start Date]="","",IF(Table1[Start Date]&gt;42643,"",IF(AND(Table1[Leaving Date]&gt;1,Table1[Leaving Date]&lt;42552),"",1)))</f>
        <v/>
      </c>
      <c r="DV127" s="92" t="str">
        <f>IF(Table1[Start Date]="","",IF(Table1[Start Date]&gt;42735,"",IF(AND(Table1[Leaving Date]&gt;1,Table1[Leaving Date]&lt;42644),"",1)))</f>
        <v/>
      </c>
      <c r="DW127" s="92" t="str">
        <f>IF(Table1[Start Date]="","",IF(Table1[Start Date]&gt;42825,"",IF(AND(Table1[Leaving Date]&gt;1,Table1[Leaving Date]&lt;42736),"",1)))</f>
        <v/>
      </c>
      <c r="DX127"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127" s="44" t="e">
        <f>VLOOKUP(Table1[Referral Source],Lists!$G$2:$H$20,2,FALSE)</f>
        <v>#N/A</v>
      </c>
      <c r="DZ127" s="93" t="e">
        <f>SUM(Table1[Data Referral Quarter]+Table1[Data Referral Source])</f>
        <v>#N/A</v>
      </c>
      <c r="EA127" s="44" t="b">
        <f>IF(Table1[Referral Decision]="Accepted",100,IF(Table1[Referral Decision]="Rejected by Provider",200,IF(Table1[Referral Decision]="Rejected by Applicant",300)))</f>
        <v>0</v>
      </c>
      <c r="EB127" s="44">
        <f>SUM(Table1[Data Referral Quarter]+Table1[Data Referral Decision])</f>
        <v>0</v>
      </c>
      <c r="EC127" s="44" t="b">
        <f>IF(Table1[Start Date]&gt;42735,8000,IF(Table1[Start Date]&gt;42643,7000,IF(Table1[Start Date]&gt;42551,6000,IF(Table1[Start Date]&gt;42460,5000,IF(Table1[Start Date]&gt;42369,4000,IF(Table1[Start Date]&gt;42277,3000,IF(Table1[Start Date]&gt;42185,2000,IF(Table1[Start Date]&gt;42094,1000))))))))</f>
        <v>0</v>
      </c>
      <c r="ED127" s="44" t="str">
        <f>IF(Table1[Start Date]="","",IF(Table1[Current Local Authority]="Swindon",1,"2"))</f>
        <v/>
      </c>
      <c r="EE127" s="44" t="e">
        <f>SUM(Table1[Data Start Date]+Table1[Data Local Authority])</f>
        <v>#VALUE!</v>
      </c>
      <c r="EF127" s="44">
        <f>IF(Table1[Registered with GP]="Yes",1,0)</f>
        <v>0</v>
      </c>
      <c r="EG127" s="44">
        <f>SUM(Table1[Data Start Date]+Table1[Data GP Start])</f>
        <v>0</v>
      </c>
      <c r="EH127" s="44" t="str">
        <f>IF(Table1[EET]="NEET",1,IF(Table1[EET]="Education",2,IF(Table1[EET]="Employment",2,IF(Table1[EET]="Training",2,IF(Table1[EET]="Retired",3,"")))))</f>
        <v/>
      </c>
      <c r="EI127" s="44" t="e">
        <f>Table1[Data Start Date]+Table1[Data EET Start]</f>
        <v>#VALUE!</v>
      </c>
      <c r="EJ127" s="44" t="b">
        <f>IF(Table1[Leaving Date]&gt;42735,8000,IF(Table1[Leaving Date]&gt;42643,7000,IF(Table1[Leaving Date]&gt;42551,6000,IF(Table1[Leaving Date]&gt;42460,5000,IF(Table1[Leaving Date]&gt;42369,4000,IF(Table1[Leaving Date]&gt;42277,3000,IF(Table1[Leaving Date]&gt;42185,2000,IF(Table1[Leaving Date]&gt;42094,1000))))))))</f>
        <v>0</v>
      </c>
      <c r="EK127" s="44" t="e">
        <f>VLOOKUP(Table1[Reason for Leaving],Lists!$T$2:$U$15,2,FALSE)</f>
        <v>#N/A</v>
      </c>
      <c r="EL127" s="44" t="e">
        <f>SUM(Table1[Data Leavers Date]+Table1[Data Move On])</f>
        <v>#N/A</v>
      </c>
      <c r="EM127" s="44" t="b">
        <f>IF(Table1[Registered with GP2]="Yes",1,IF(Table1[Registered with GP2]="No",0,IF(Table1[Registered with GP]="Yes",1,IF(Table1[Registered with GP]="No",0))))</f>
        <v>0</v>
      </c>
      <c r="EN127" s="44">
        <f>SUM(Table1[Data Leavers Date]+Table1[Data GP End])</f>
        <v>0</v>
      </c>
      <c r="EO127" s="44" t="str">
        <f>IF(Table1[EET2]="NEET",1,IF(Table1[EET2]="Employment",2,IF(Table1[EET2]="Education",2,IF(Table1[EET2]="Training",2,IF(Table1[EET2]="Retired",3,IF(Table1[EET]="NEET",1,IF(Table1[EET]="Employment",2,IF(Table1[EET]="Education",2,IF(Table1[EET]="Training",2,IF(Table1[EET]="Retired",3,""))))))))))</f>
        <v/>
      </c>
      <c r="EP127" s="44" t="e">
        <f>+Table1[[#This Row],[Data Leavers Date]]+Table1[[#This Row],[Data EET End]]</f>
        <v>#VALUE!</v>
      </c>
      <c r="EQ127" s="44">
        <f>IF(Table1[Exit Form Received]="Yes",1,0)</f>
        <v>0</v>
      </c>
      <c r="ER127" s="44">
        <f>+Table1[[#This Row],[Data Leavers Date]]+Table1[[#This Row],[Data Exit Forms]]</f>
        <v>0</v>
      </c>
      <c r="ES127" s="44" t="str">
        <f>IF(Table1[Data Leavers Date]=1000,SUM(Table1[Leaving Date]-Table1[Start Date]),"")</f>
        <v/>
      </c>
      <c r="ET127" s="44" t="str">
        <f>IF(Table1[Data Leavers Date]=2000,SUM(Table1[Leaving Date]-Table1[Start Date]),"")</f>
        <v/>
      </c>
      <c r="EU127" s="44" t="str">
        <f>IF(Table1[Data Leavers Date]=3000,SUM(Table1[Leaving Date]-Table1[Start Date]),"")</f>
        <v/>
      </c>
      <c r="EV127" s="44" t="str">
        <f>IF(Table1[Data Leavers Date]=4000,SUM(Table1[Leaving Date]-Table1[Start Date]),"")</f>
        <v/>
      </c>
      <c r="EW127" s="44" t="str">
        <f>IF(Table1[Data Leavers Date]=5000,SUM(Table1[Leaving Date]-Table1[Start Date]),"")</f>
        <v/>
      </c>
      <c r="EX127" s="44" t="str">
        <f>IF(Table1[Data Leavers Date]=6000,SUM(Table1[Leaving Date]-Table1[Start Date]),"")</f>
        <v/>
      </c>
      <c r="EY127" s="44" t="str">
        <f>IF(Table1[Data Leavers Date]=7000,SUM(Table1[Leaving Date]-Table1[Start Date]),"")</f>
        <v/>
      </c>
      <c r="EZ127" s="44" t="str">
        <f>IF(Table1[Data Leavers Date]=8000,SUM(Table1[Leaving Date]-Table1[Start Date]),"")</f>
        <v/>
      </c>
      <c r="FA127" s="44" t="str">
        <f>IF(Table1[Date of Initial Assessment]="","",IF(AND(Table1[Start Date]&gt;42094,Table1[Start Date]&lt;42461),Table1[Motivation and Taking Responsibility],""))</f>
        <v/>
      </c>
      <c r="FB127" s="44" t="str">
        <f>IF(Table1[Date of Initial Assessment]="","",IF(AND(Table1[Start Date]&gt;42094,Table1[Start Date]&lt;42461),Table1[Self-Care and Living Skills],""))</f>
        <v/>
      </c>
      <c r="FC127" s="44" t="str">
        <f>IF(Table1[Date of Initial Assessment]="","",IF(AND(Table1[Start Date]&gt;42094,Table1[Start Date]&lt;42461),Table1[Managing Money and Personal Administration],""))</f>
        <v/>
      </c>
      <c r="FD127" s="44" t="str">
        <f>IF(Table1[Date of Initial Assessment]="","",IF(AND(Table1[Start Date]&gt;42094,Table1[Start Date]&lt;42461),Table1[Social Networks and Relationships],""))</f>
        <v/>
      </c>
      <c r="FE127" s="44" t="str">
        <f>IF(Table1[Date of Initial Assessment]="","",IF(AND(Table1[Start Date]&gt;42094,Table1[Start Date]&lt;42461),Table1[Drug and Alcohol Misuse],""))</f>
        <v/>
      </c>
      <c r="FF127" s="44" t="str">
        <f>IF(Table1[Date of Initial Assessment]="","",IF(AND(Table1[Start Date]&gt;42094,Table1[Start Date]&lt;42461),Table1[Physical Health],""))</f>
        <v/>
      </c>
      <c r="FG127" s="44" t="str">
        <f>IF(Table1[Date of Initial Assessment]="","",IF(AND(Table1[Start Date]&gt;42094,Table1[Start Date]&lt;42461),Table1[Emotional and Mental Health],""))</f>
        <v/>
      </c>
      <c r="FH127" s="44" t="str">
        <f>IF(Table1[Date of Initial Assessment]="","",IF(AND(Table1[Start Date]&gt;42094,Table1[Start Date]&lt;42461),Table1[Meaningful Use of Time],""))</f>
        <v/>
      </c>
      <c r="FI127" s="44" t="str">
        <f>IF(Table1[Date of Initial Assessment]="","",IF(AND(Table1[Start Date]&gt;42094,Table1[Start Date]&lt;42461),Table1[Managing Tenancy and Accommodation],""))</f>
        <v/>
      </c>
      <c r="FJ127" s="44" t="str">
        <f>IF(Table1[Date of Initial Assessment]="","",IF(AND(Table1[Start Date]&gt;42094,Table1[Start Date]&lt;42461),Table1[Offending],""))</f>
        <v/>
      </c>
      <c r="FK127" s="44" t="str">
        <f>IF(Table1[Leaving Date]="","",IF(Table1[Date of Initial Assessment]="","",IF(AND(Table1[Leaving Date]&gt;42094,Table1[Leaving Date]&lt;42461),IF(Table1[Date of Last Assessment]="",Table1[Motivation and Taking Responsibility],Table1[Motivation and Taking Responsibility2]),"")))</f>
        <v/>
      </c>
      <c r="FL127" s="44" t="str">
        <f>IF(Table1[Leaving Date]="","",IF(Table1[Date of Initial Assessment]="","",IF(AND(Table1[Leaving Date]&gt;42094,Table1[Leaving Date]&lt;42461),IF(Table1[Date of Last Assessment]="",Table1[Self-Care and Living Skills],Table1[Self-Care and Living Skills2]),"")))</f>
        <v/>
      </c>
      <c r="FM127" s="44" t="str">
        <f>IF(Table1[Leaving Date]="","",IF(Table1[Date of Initial Assessment]="","",IF(AND(Table1[Leaving Date]&gt;42094,Table1[Leaving Date]&lt;42461),IF(Table1[Date of Last Assessment]="",Table1[Managing Money and Personal Administration],Table1[Managing Money and Personal Administration2]),"")))</f>
        <v/>
      </c>
      <c r="FN127" s="44" t="str">
        <f>IF(Table1[Leaving Date]="","",IF(Table1[Date of Initial Assessment]="","",IF(AND(Table1[Leaving Date]&gt;42094,Table1[Leaving Date]&lt;42461),IF(Table1[Date of Last Assessment]="",Table1[Social Networks and Relationships],Table1[Social Networks and Relationships2]),"")))</f>
        <v/>
      </c>
      <c r="FO127" s="44" t="str">
        <f>IF(Table1[Leaving Date]="","",IF(Table1[Date of Initial Assessment]="","",IF(AND(Table1[Leaving Date]&gt;42094,Table1[Leaving Date]&lt;42461),IF(Table1[Date of Last Assessment]="",Table1[Drug and Alcohol Misuse],Table1[Drug and Alcohol Misuse2]),"")))</f>
        <v/>
      </c>
      <c r="FP127" s="44" t="str">
        <f>IF(Table1[Leaving Date]="","",IF(Table1[Date of Initial Assessment]="","",IF(AND(Table1[Leaving Date]&gt;42094,Table1[Leaving Date]&lt;42461),IF(Table1[Date of Last Assessment]="",Table1[Physical Health],Table1[Physical Health2]),"")))</f>
        <v/>
      </c>
      <c r="FQ127" s="44" t="str">
        <f>IF(Table1[Leaving Date]="","",IF(Table1[Date of Initial Assessment]="","",IF(AND(Table1[Leaving Date]&gt;42094,Table1[Leaving Date]&lt;42461),IF(Table1[Date of Last Assessment]="",Table1[Emotional and Mental Health],Table1[Emotional and Mental Health2]),"")))</f>
        <v/>
      </c>
      <c r="FR127" s="44" t="str">
        <f>IF(Table1[Leaving Date]="","",IF(Table1[Date of Initial Assessment]="","",IF(AND(Table1[Leaving Date]&gt;42094,Table1[Leaving Date]&lt;42461),IF(Table1[Date of Last Assessment]="",Table1[Meaningful Use of Time],Table1[Meaningful Use of Time2]),"")))</f>
        <v/>
      </c>
      <c r="FS127" s="44" t="str">
        <f>IF(Table1[Leaving Date]="","",IF(Table1[Date of Initial Assessment]="","",IF(AND(Table1[Leaving Date]&gt;42094,Table1[Leaving Date]&lt;42461),IF(Table1[Date of Last Assessment]="",Table1[Managing Tenancy and Accommodation],Table1[Managing Tenancy and Accommodation2]),"")))</f>
        <v/>
      </c>
      <c r="FT127" s="44" t="str">
        <f>IF(Table1[Leaving Date]="","",IF(Table1[Date of Initial Assessment]="","",IF(AND(Table1[Leaving Date]&gt;42094,Table1[Leaving Date]&lt;42461),IF(Table1[Date of Last Assessment]="",Table1[Offending],Table1[Offending2]),"")))</f>
        <v/>
      </c>
      <c r="FU127" s="44" t="str">
        <f>IF(Table1[Date of Initial Assessment]="","",IF(AND(Table1[Start Date]&gt;42460,Table1[Start Date]&lt;42826),Table1[Motivation and Taking Responsibility],""))</f>
        <v/>
      </c>
      <c r="FV127" s="44" t="str">
        <f>IF(Table1[Date of Initial Assessment]="","",IF(AND(Table1[Start Date]&gt;42460,Table1[Start Date]&lt;42826),Table1[Self-Care and Living Skills],""))</f>
        <v/>
      </c>
      <c r="FW127" s="44" t="str">
        <f>IF(Table1[Date of Initial Assessment]="","",IF(AND(Table1[Start Date]&gt;42460,Table1[Start Date]&lt;42826),Table1[Managing Money and Personal Administration],""))</f>
        <v/>
      </c>
      <c r="FX127" s="44" t="str">
        <f>IF(Table1[Date of Initial Assessment]="","",IF(AND(Table1[Start Date]&gt;42460,Table1[Start Date]&lt;42826),Table1[Social Networks and Relationships],""))</f>
        <v/>
      </c>
      <c r="FY127" s="44" t="str">
        <f>IF(Table1[Date of Initial Assessment]="","",IF(AND(Table1[Start Date]&gt;42460,Table1[Start Date]&lt;42826),Table1[Drug and Alcohol Misuse],""))</f>
        <v/>
      </c>
      <c r="FZ127" s="44" t="str">
        <f>IF(Table1[Date of Initial Assessment]="","",IF(AND(Table1[Start Date]&gt;42460,Table1[Start Date]&lt;42826),Table1[Physical Health],""))</f>
        <v/>
      </c>
      <c r="GA127" s="44" t="str">
        <f>IF(Table1[Date of Initial Assessment]="","",IF(AND(Table1[Start Date]&gt;42460,Table1[Start Date]&lt;42826),Table1[Emotional and Mental Health],""))</f>
        <v/>
      </c>
      <c r="GB127" s="44" t="str">
        <f>IF(Table1[Date of Initial Assessment]="","",IF(AND(Table1[Start Date]&gt;42460,Table1[Start Date]&lt;42826),Table1[Meaningful Use of Time],""))</f>
        <v/>
      </c>
      <c r="GC127" s="44" t="str">
        <f>IF(Table1[Date of Initial Assessment]="","",IF(AND(Table1[Start Date]&gt;42460,Table1[Start Date]&lt;42826),Table1[Managing Tenancy and Accommodation],""))</f>
        <v/>
      </c>
      <c r="GD127" s="44" t="str">
        <f>IF(Table1[Date of Initial Assessment]="","",IF(AND(Table1[Start Date]&gt;42460,Table1[Start Date]&lt;42826),Table1[Offending],""))</f>
        <v/>
      </c>
      <c r="GE127" s="44" t="str">
        <f>IF(Table1[Leaving Date]="","",IF(AND(Table1[Leaving Date]&gt;42460,Table1[Leaving Date]&lt;42826),IF(Table1[Date of Last Assessment]="",Table1[Motivation and Taking Responsibility],Table1[Motivation and Taking Responsibility2]),""))</f>
        <v/>
      </c>
      <c r="GF127" s="44" t="str">
        <f>IF(Table1[Leaving Date]="","",IF(AND(Table1[Leaving Date]&gt;42460,Table1[Leaving Date]&lt;42826),IF(Table1[Date of Last Assessment]="",Table1[Self-Care and Living Skills],Table1[Self-Care and Living Skills2]),""))</f>
        <v/>
      </c>
      <c r="GG127" s="44" t="str">
        <f>IF(Table1[Leaving Date]="","",IF(AND(Table1[Leaving Date]&gt;42460,Table1[Leaving Date]&lt;42826),IF(Table1[Date of Last Assessment]="",Table1[Managing Money and Personal Administration],Table1[Managing Money and Personal Administration2]),""))</f>
        <v/>
      </c>
      <c r="GH127" s="44" t="str">
        <f>IF(Table1[Leaving Date]="","",IF(AND(Table1[Leaving Date]&gt;42460,Table1[Leaving Date]&lt;42826),IF(Table1[Date of Last Assessment]="",Table1[Social Networks and Relationships],Table1[Social Networks and Relationships2]),""))</f>
        <v/>
      </c>
      <c r="GI127" s="44" t="str">
        <f>IF(Table1[Leaving Date]="","",IF(AND(Table1[Leaving Date]&gt;42460,Table1[Leaving Date]&lt;42826),IF(Table1[Date of Last Assessment]="",Table1[Drug and Alcohol Misuse],Table1[Drug and Alcohol Misuse2]),""))</f>
        <v/>
      </c>
      <c r="GJ127" s="44" t="str">
        <f>IF(Table1[Leaving Date]="","",IF(AND(Table1[Leaving Date]&gt;42460,Table1[Leaving Date]&lt;42826),IF(Table1[Date of Last Assessment]="",Table1[Physical Health],Table1[Physical Health2]),""))</f>
        <v/>
      </c>
      <c r="GK127" s="44" t="str">
        <f>IF(Table1[Leaving Date]="","",IF(AND(Table1[Leaving Date]&gt;42460,Table1[Leaving Date]&lt;42826),IF(Table1[Date of Last Assessment]="",Table1[Emotional and Mental Health],Table1[Emotional and Mental Health2]),""))</f>
        <v/>
      </c>
      <c r="GL127" s="44" t="str">
        <f>IF(Table1[Leaving Date]="","",IF(AND(Table1[Leaving Date]&gt;42460,Table1[Leaving Date]&lt;42826),IF(Table1[Date of Last Assessment]="",Table1[Meaningful Use of Time],Table1[Meaningful Use of Time2]),""))</f>
        <v/>
      </c>
      <c r="GM127" s="44" t="str">
        <f>IF(Table1[Leaving Date]="","",IF(AND(Table1[Leaving Date]&gt;42460,Table1[Leaving Date]&lt;42826),IF(Table1[Date of Last Assessment]="",Table1[Managing Tenancy and Accommodation],Table1[Managing Tenancy and Accommodation2]),""))</f>
        <v/>
      </c>
      <c r="GN127" s="44" t="str">
        <f>IF(Table1[Leaving Date]="","",IF(AND(Table1[Leaving Date]&gt;42460,Table1[Leaving Date]&lt;42826),IF(Table1[Date of Last Assessment]="",Table1[Offending],Table1[Offending2]),""))</f>
        <v/>
      </c>
    </row>
    <row r="128" spans="2:196" ht="20.100000000000001" customHeight="1" x14ac:dyDescent="0.2">
      <c r="B128" s="86">
        <f>+'Service Data'!$C$5:$C$5</f>
        <v>0</v>
      </c>
      <c r="C128" s="86"/>
      <c r="D128" s="86"/>
      <c r="E128" s="86"/>
      <c r="F128" s="86"/>
      <c r="G128" s="86"/>
      <c r="H128" s="6"/>
      <c r="I128" s="99" t="str">
        <f ca="1">IF(Table1[[#This Row],[Date of Birth]]="","",SUM(TODAY()-Table1[[#This Row],[Date of Birth]])/365)</f>
        <v/>
      </c>
      <c r="L128" s="86"/>
      <c r="M128" s="77"/>
      <c r="N128" s="86"/>
      <c r="O128" s="86"/>
      <c r="P128" s="91"/>
      <c r="Q128" s="86"/>
      <c r="R128" s="77"/>
      <c r="S128" s="77"/>
      <c r="T128" s="68"/>
      <c r="U128" s="68"/>
      <c r="V128" s="67"/>
      <c r="W128" s="67"/>
      <c r="X128" s="67"/>
      <c r="Y128" s="67"/>
      <c r="Z128" s="67"/>
      <c r="AA128" s="67"/>
      <c r="AB128" s="67"/>
      <c r="AC128" s="67"/>
      <c r="AD128" s="67"/>
      <c r="AE128" s="67"/>
      <c r="AF128" s="67"/>
      <c r="AG128" s="67"/>
      <c r="AH128" s="67"/>
      <c r="AI128" s="67"/>
      <c r="AJ128" s="67"/>
      <c r="AK128" s="67"/>
      <c r="AL128" s="67"/>
      <c r="AM128" s="67"/>
      <c r="AN128" s="77"/>
      <c r="AO128" s="76"/>
      <c r="AP128" s="77"/>
      <c r="AQ128" s="76"/>
      <c r="AR128" s="76"/>
      <c r="AS128" s="76"/>
      <c r="AT128" s="76"/>
      <c r="AU128" s="76"/>
      <c r="AV128" s="77"/>
      <c r="AW128" s="76"/>
      <c r="AX128" s="77"/>
      <c r="AY128" s="76"/>
      <c r="AZ128" s="76"/>
      <c r="BA128" s="76"/>
      <c r="BB128" s="76"/>
      <c r="BC128" s="76"/>
      <c r="BD128" s="77"/>
      <c r="BE128" s="76"/>
      <c r="BF128" s="77"/>
      <c r="BG128" s="76"/>
      <c r="BH128" s="76"/>
      <c r="BI128" s="76"/>
      <c r="BJ128" s="76"/>
      <c r="BK128" s="76"/>
      <c r="BL128" s="77"/>
      <c r="BM128" s="76"/>
      <c r="BN128" s="77"/>
      <c r="BO128" s="76"/>
      <c r="BP128" s="76"/>
      <c r="BQ128" s="76"/>
      <c r="BR128" s="76"/>
      <c r="BS128" s="76"/>
      <c r="BT128" s="77"/>
      <c r="BU128" s="76"/>
      <c r="BV128" s="77"/>
      <c r="BW128" s="76"/>
      <c r="BX128" s="76"/>
      <c r="BY128" s="76"/>
      <c r="BZ128" s="76"/>
      <c r="CA128" s="76"/>
      <c r="CB128" s="77"/>
      <c r="CC128" s="76"/>
      <c r="CD128" s="77"/>
      <c r="CE128" s="76"/>
      <c r="CF128" s="76"/>
      <c r="CG128" s="76"/>
      <c r="CH128" s="76"/>
      <c r="CI128" s="76"/>
      <c r="CJ128" s="77"/>
      <c r="CK128" s="76"/>
      <c r="CL128" s="77"/>
      <c r="CM128" s="76"/>
      <c r="CN128" s="76"/>
      <c r="CO128" s="76"/>
      <c r="CP128" s="76"/>
      <c r="CQ128" s="76"/>
      <c r="CR128" s="78" t="str">
        <f t="shared" si="31"/>
        <v/>
      </c>
      <c r="CS128" s="79" t="str">
        <f t="shared" si="32"/>
        <v/>
      </c>
      <c r="CT128" s="79" t="str">
        <f t="shared" si="33"/>
        <v/>
      </c>
      <c r="CU128" s="79" t="str">
        <f t="shared" si="34"/>
        <v/>
      </c>
      <c r="CV128" s="79" t="str">
        <f t="shared" si="35"/>
        <v/>
      </c>
      <c r="CW128" s="79" t="str">
        <f t="shared" si="36"/>
        <v/>
      </c>
      <c r="CX128" s="79" t="str">
        <f t="shared" si="37"/>
        <v/>
      </c>
      <c r="CY128" s="79" t="str">
        <f t="shared" si="38"/>
        <v/>
      </c>
      <c r="CZ128" s="79" t="str">
        <f t="shared" si="39"/>
        <v/>
      </c>
      <c r="DA128" s="79" t="str">
        <f t="shared" si="40"/>
        <v/>
      </c>
      <c r="DB128" s="79" t="str">
        <f t="shared" si="41"/>
        <v/>
      </c>
      <c r="DC128" s="79" t="str">
        <f t="shared" si="42"/>
        <v/>
      </c>
      <c r="DD128" s="79" t="str">
        <f t="shared" si="43"/>
        <v/>
      </c>
      <c r="DE128" s="79" t="str">
        <f t="shared" si="44"/>
        <v/>
      </c>
      <c r="DF128" s="79" t="str">
        <f t="shared" si="45"/>
        <v/>
      </c>
      <c r="DG128" s="79" t="str">
        <f t="shared" si="46"/>
        <v/>
      </c>
      <c r="DH128" s="76"/>
      <c r="DI128" s="78"/>
      <c r="DJ128" s="76"/>
      <c r="DK128" s="77"/>
      <c r="DL128" s="77"/>
      <c r="DM128" s="77"/>
      <c r="DN128" s="80"/>
      <c r="DO128" s="80"/>
      <c r="DP128" s="92" t="str">
        <f>IF(Table1[Start Date]="","",IF(Table1[Start Date]&gt;42185,"",IF(AND(Table1[Leaving Date]&gt;1,Table1[Leaving Date]&lt;42095),"",1)))</f>
        <v/>
      </c>
      <c r="DQ128" s="92" t="str">
        <f>IF(Table1[Start Date]="","",IF(Table1[Start Date]&gt;42277,"",IF(AND(Table1[Leaving Date]&gt;1,Table1[Leaving Date]&lt;42186),"",1)))</f>
        <v/>
      </c>
      <c r="DR128" s="92" t="str">
        <f>IF(Table1[Start Date]="","",IF(Table1[Start Date]&gt;42369,"",IF(AND(Table1[Leaving Date]&gt;1,Table1[Leaving Date]&lt;42278),"",1)))</f>
        <v/>
      </c>
      <c r="DS128" s="92" t="str">
        <f>IF(Table1[Start Date]="","",IF(Table1[Start Date]&gt;42460,"",IF(AND(Table1[Leaving Date]&gt;1,Table1[Leaving Date]&lt;42370),"",1)))</f>
        <v/>
      </c>
      <c r="DT128" s="92" t="str">
        <f>IF(Table1[Start Date]="","",IF(Table1[Start Date]&gt;42551,"",IF(AND(Table1[Leaving Date]&gt;1,Table1[Leaving Date]&lt;42461),"",1)))</f>
        <v/>
      </c>
      <c r="DU128" s="92" t="str">
        <f>IF(Table1[Start Date]="","",IF(Table1[Start Date]&gt;42643,"",IF(AND(Table1[Leaving Date]&gt;1,Table1[Leaving Date]&lt;42552),"",1)))</f>
        <v/>
      </c>
      <c r="DV128" s="92" t="str">
        <f>IF(Table1[Start Date]="","",IF(Table1[Start Date]&gt;42735,"",IF(AND(Table1[Leaving Date]&gt;1,Table1[Leaving Date]&lt;42644),"",1)))</f>
        <v/>
      </c>
      <c r="DW128" s="92" t="str">
        <f>IF(Table1[Start Date]="","",IF(Table1[Start Date]&gt;42825,"",IF(AND(Table1[Leaving Date]&gt;1,Table1[Leaving Date]&lt;42736),"",1)))</f>
        <v/>
      </c>
      <c r="DX128"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128" s="44" t="e">
        <f>VLOOKUP(Table1[Referral Source],Lists!$G$2:$H$20,2,FALSE)</f>
        <v>#N/A</v>
      </c>
      <c r="DZ128" s="93" t="e">
        <f>SUM(Table1[Data Referral Quarter]+Table1[Data Referral Source])</f>
        <v>#N/A</v>
      </c>
      <c r="EA128" s="44" t="b">
        <f>IF(Table1[Referral Decision]="Accepted",100,IF(Table1[Referral Decision]="Rejected by Provider",200,IF(Table1[Referral Decision]="Rejected by Applicant",300)))</f>
        <v>0</v>
      </c>
      <c r="EB128" s="44">
        <f>SUM(Table1[Data Referral Quarter]+Table1[Data Referral Decision])</f>
        <v>0</v>
      </c>
      <c r="EC128" s="44" t="b">
        <f>IF(Table1[Start Date]&gt;42735,8000,IF(Table1[Start Date]&gt;42643,7000,IF(Table1[Start Date]&gt;42551,6000,IF(Table1[Start Date]&gt;42460,5000,IF(Table1[Start Date]&gt;42369,4000,IF(Table1[Start Date]&gt;42277,3000,IF(Table1[Start Date]&gt;42185,2000,IF(Table1[Start Date]&gt;42094,1000))))))))</f>
        <v>0</v>
      </c>
      <c r="ED128" s="44" t="str">
        <f>IF(Table1[Start Date]="","",IF(Table1[Current Local Authority]="Swindon",1,"2"))</f>
        <v/>
      </c>
      <c r="EE128" s="44" t="e">
        <f>SUM(Table1[Data Start Date]+Table1[Data Local Authority])</f>
        <v>#VALUE!</v>
      </c>
      <c r="EF128" s="44">
        <f>IF(Table1[Registered with GP]="Yes",1,0)</f>
        <v>0</v>
      </c>
      <c r="EG128" s="44">
        <f>SUM(Table1[Data Start Date]+Table1[Data GP Start])</f>
        <v>0</v>
      </c>
      <c r="EH128" s="44" t="str">
        <f>IF(Table1[EET]="NEET",1,IF(Table1[EET]="Education",2,IF(Table1[EET]="Employment",2,IF(Table1[EET]="Training",2,IF(Table1[EET]="Retired",3,"")))))</f>
        <v/>
      </c>
      <c r="EI128" s="44" t="e">
        <f>Table1[Data Start Date]+Table1[Data EET Start]</f>
        <v>#VALUE!</v>
      </c>
      <c r="EJ128" s="44" t="b">
        <f>IF(Table1[Leaving Date]&gt;42735,8000,IF(Table1[Leaving Date]&gt;42643,7000,IF(Table1[Leaving Date]&gt;42551,6000,IF(Table1[Leaving Date]&gt;42460,5000,IF(Table1[Leaving Date]&gt;42369,4000,IF(Table1[Leaving Date]&gt;42277,3000,IF(Table1[Leaving Date]&gt;42185,2000,IF(Table1[Leaving Date]&gt;42094,1000))))))))</f>
        <v>0</v>
      </c>
      <c r="EK128" s="44" t="e">
        <f>VLOOKUP(Table1[Reason for Leaving],Lists!$T$2:$U$15,2,FALSE)</f>
        <v>#N/A</v>
      </c>
      <c r="EL128" s="44" t="e">
        <f>SUM(Table1[Data Leavers Date]+Table1[Data Move On])</f>
        <v>#N/A</v>
      </c>
      <c r="EM128" s="44" t="b">
        <f>IF(Table1[Registered with GP2]="Yes",1,IF(Table1[Registered with GP2]="No",0,IF(Table1[Registered with GP]="Yes",1,IF(Table1[Registered with GP]="No",0))))</f>
        <v>0</v>
      </c>
      <c r="EN128" s="44">
        <f>SUM(Table1[Data Leavers Date]+Table1[Data GP End])</f>
        <v>0</v>
      </c>
      <c r="EO128" s="44" t="str">
        <f>IF(Table1[EET2]="NEET",1,IF(Table1[EET2]="Employment",2,IF(Table1[EET2]="Education",2,IF(Table1[EET2]="Training",2,IF(Table1[EET2]="Retired",3,IF(Table1[EET]="NEET",1,IF(Table1[EET]="Employment",2,IF(Table1[EET]="Education",2,IF(Table1[EET]="Training",2,IF(Table1[EET]="Retired",3,""))))))))))</f>
        <v/>
      </c>
      <c r="EP128" s="44" t="e">
        <f>+Table1[[#This Row],[Data Leavers Date]]+Table1[[#This Row],[Data EET End]]</f>
        <v>#VALUE!</v>
      </c>
      <c r="EQ128" s="44">
        <f>IF(Table1[Exit Form Received]="Yes",1,0)</f>
        <v>0</v>
      </c>
      <c r="ER128" s="44">
        <f>+Table1[[#This Row],[Data Leavers Date]]+Table1[[#This Row],[Data Exit Forms]]</f>
        <v>0</v>
      </c>
      <c r="ES128" s="44" t="str">
        <f>IF(Table1[Data Leavers Date]=1000,SUM(Table1[Leaving Date]-Table1[Start Date]),"")</f>
        <v/>
      </c>
      <c r="ET128" s="44" t="str">
        <f>IF(Table1[Data Leavers Date]=2000,SUM(Table1[Leaving Date]-Table1[Start Date]),"")</f>
        <v/>
      </c>
      <c r="EU128" s="44" t="str">
        <f>IF(Table1[Data Leavers Date]=3000,SUM(Table1[Leaving Date]-Table1[Start Date]),"")</f>
        <v/>
      </c>
      <c r="EV128" s="44" t="str">
        <f>IF(Table1[Data Leavers Date]=4000,SUM(Table1[Leaving Date]-Table1[Start Date]),"")</f>
        <v/>
      </c>
      <c r="EW128" s="44" t="str">
        <f>IF(Table1[Data Leavers Date]=5000,SUM(Table1[Leaving Date]-Table1[Start Date]),"")</f>
        <v/>
      </c>
      <c r="EX128" s="44" t="str">
        <f>IF(Table1[Data Leavers Date]=6000,SUM(Table1[Leaving Date]-Table1[Start Date]),"")</f>
        <v/>
      </c>
      <c r="EY128" s="44" t="str">
        <f>IF(Table1[Data Leavers Date]=7000,SUM(Table1[Leaving Date]-Table1[Start Date]),"")</f>
        <v/>
      </c>
      <c r="EZ128" s="44" t="str">
        <f>IF(Table1[Data Leavers Date]=8000,SUM(Table1[Leaving Date]-Table1[Start Date]),"")</f>
        <v/>
      </c>
      <c r="FA128" s="44" t="str">
        <f>IF(Table1[Date of Initial Assessment]="","",IF(AND(Table1[Start Date]&gt;42094,Table1[Start Date]&lt;42461),Table1[Motivation and Taking Responsibility],""))</f>
        <v/>
      </c>
      <c r="FB128" s="44" t="str">
        <f>IF(Table1[Date of Initial Assessment]="","",IF(AND(Table1[Start Date]&gt;42094,Table1[Start Date]&lt;42461),Table1[Self-Care and Living Skills],""))</f>
        <v/>
      </c>
      <c r="FC128" s="44" t="str">
        <f>IF(Table1[Date of Initial Assessment]="","",IF(AND(Table1[Start Date]&gt;42094,Table1[Start Date]&lt;42461),Table1[Managing Money and Personal Administration],""))</f>
        <v/>
      </c>
      <c r="FD128" s="44" t="str">
        <f>IF(Table1[Date of Initial Assessment]="","",IF(AND(Table1[Start Date]&gt;42094,Table1[Start Date]&lt;42461),Table1[Social Networks and Relationships],""))</f>
        <v/>
      </c>
      <c r="FE128" s="44" t="str">
        <f>IF(Table1[Date of Initial Assessment]="","",IF(AND(Table1[Start Date]&gt;42094,Table1[Start Date]&lt;42461),Table1[Drug and Alcohol Misuse],""))</f>
        <v/>
      </c>
      <c r="FF128" s="44" t="str">
        <f>IF(Table1[Date of Initial Assessment]="","",IF(AND(Table1[Start Date]&gt;42094,Table1[Start Date]&lt;42461),Table1[Physical Health],""))</f>
        <v/>
      </c>
      <c r="FG128" s="44" t="str">
        <f>IF(Table1[Date of Initial Assessment]="","",IF(AND(Table1[Start Date]&gt;42094,Table1[Start Date]&lt;42461),Table1[Emotional and Mental Health],""))</f>
        <v/>
      </c>
      <c r="FH128" s="44" t="str">
        <f>IF(Table1[Date of Initial Assessment]="","",IF(AND(Table1[Start Date]&gt;42094,Table1[Start Date]&lt;42461),Table1[Meaningful Use of Time],""))</f>
        <v/>
      </c>
      <c r="FI128" s="44" t="str">
        <f>IF(Table1[Date of Initial Assessment]="","",IF(AND(Table1[Start Date]&gt;42094,Table1[Start Date]&lt;42461),Table1[Managing Tenancy and Accommodation],""))</f>
        <v/>
      </c>
      <c r="FJ128" s="44" t="str">
        <f>IF(Table1[Date of Initial Assessment]="","",IF(AND(Table1[Start Date]&gt;42094,Table1[Start Date]&lt;42461),Table1[Offending],""))</f>
        <v/>
      </c>
      <c r="FK128" s="44" t="str">
        <f>IF(Table1[Leaving Date]="","",IF(Table1[Date of Initial Assessment]="","",IF(AND(Table1[Leaving Date]&gt;42094,Table1[Leaving Date]&lt;42461),IF(Table1[Date of Last Assessment]="",Table1[Motivation and Taking Responsibility],Table1[Motivation and Taking Responsibility2]),"")))</f>
        <v/>
      </c>
      <c r="FL128" s="44" t="str">
        <f>IF(Table1[Leaving Date]="","",IF(Table1[Date of Initial Assessment]="","",IF(AND(Table1[Leaving Date]&gt;42094,Table1[Leaving Date]&lt;42461),IF(Table1[Date of Last Assessment]="",Table1[Self-Care and Living Skills],Table1[Self-Care and Living Skills2]),"")))</f>
        <v/>
      </c>
      <c r="FM128" s="44" t="str">
        <f>IF(Table1[Leaving Date]="","",IF(Table1[Date of Initial Assessment]="","",IF(AND(Table1[Leaving Date]&gt;42094,Table1[Leaving Date]&lt;42461),IF(Table1[Date of Last Assessment]="",Table1[Managing Money and Personal Administration],Table1[Managing Money and Personal Administration2]),"")))</f>
        <v/>
      </c>
      <c r="FN128" s="44" t="str">
        <f>IF(Table1[Leaving Date]="","",IF(Table1[Date of Initial Assessment]="","",IF(AND(Table1[Leaving Date]&gt;42094,Table1[Leaving Date]&lt;42461),IF(Table1[Date of Last Assessment]="",Table1[Social Networks and Relationships],Table1[Social Networks and Relationships2]),"")))</f>
        <v/>
      </c>
      <c r="FO128" s="44" t="str">
        <f>IF(Table1[Leaving Date]="","",IF(Table1[Date of Initial Assessment]="","",IF(AND(Table1[Leaving Date]&gt;42094,Table1[Leaving Date]&lt;42461),IF(Table1[Date of Last Assessment]="",Table1[Drug and Alcohol Misuse],Table1[Drug and Alcohol Misuse2]),"")))</f>
        <v/>
      </c>
      <c r="FP128" s="44" t="str">
        <f>IF(Table1[Leaving Date]="","",IF(Table1[Date of Initial Assessment]="","",IF(AND(Table1[Leaving Date]&gt;42094,Table1[Leaving Date]&lt;42461),IF(Table1[Date of Last Assessment]="",Table1[Physical Health],Table1[Physical Health2]),"")))</f>
        <v/>
      </c>
      <c r="FQ128" s="44" t="str">
        <f>IF(Table1[Leaving Date]="","",IF(Table1[Date of Initial Assessment]="","",IF(AND(Table1[Leaving Date]&gt;42094,Table1[Leaving Date]&lt;42461),IF(Table1[Date of Last Assessment]="",Table1[Emotional and Mental Health],Table1[Emotional and Mental Health2]),"")))</f>
        <v/>
      </c>
      <c r="FR128" s="44" t="str">
        <f>IF(Table1[Leaving Date]="","",IF(Table1[Date of Initial Assessment]="","",IF(AND(Table1[Leaving Date]&gt;42094,Table1[Leaving Date]&lt;42461),IF(Table1[Date of Last Assessment]="",Table1[Meaningful Use of Time],Table1[Meaningful Use of Time2]),"")))</f>
        <v/>
      </c>
      <c r="FS128" s="44" t="str">
        <f>IF(Table1[Leaving Date]="","",IF(Table1[Date of Initial Assessment]="","",IF(AND(Table1[Leaving Date]&gt;42094,Table1[Leaving Date]&lt;42461),IF(Table1[Date of Last Assessment]="",Table1[Managing Tenancy and Accommodation],Table1[Managing Tenancy and Accommodation2]),"")))</f>
        <v/>
      </c>
      <c r="FT128" s="44" t="str">
        <f>IF(Table1[Leaving Date]="","",IF(Table1[Date of Initial Assessment]="","",IF(AND(Table1[Leaving Date]&gt;42094,Table1[Leaving Date]&lt;42461),IF(Table1[Date of Last Assessment]="",Table1[Offending],Table1[Offending2]),"")))</f>
        <v/>
      </c>
      <c r="FU128" s="44" t="str">
        <f>IF(Table1[Date of Initial Assessment]="","",IF(AND(Table1[Start Date]&gt;42460,Table1[Start Date]&lt;42826),Table1[Motivation and Taking Responsibility],""))</f>
        <v/>
      </c>
      <c r="FV128" s="44" t="str">
        <f>IF(Table1[Date of Initial Assessment]="","",IF(AND(Table1[Start Date]&gt;42460,Table1[Start Date]&lt;42826),Table1[Self-Care and Living Skills],""))</f>
        <v/>
      </c>
      <c r="FW128" s="44" t="str">
        <f>IF(Table1[Date of Initial Assessment]="","",IF(AND(Table1[Start Date]&gt;42460,Table1[Start Date]&lt;42826),Table1[Managing Money and Personal Administration],""))</f>
        <v/>
      </c>
      <c r="FX128" s="44" t="str">
        <f>IF(Table1[Date of Initial Assessment]="","",IF(AND(Table1[Start Date]&gt;42460,Table1[Start Date]&lt;42826),Table1[Social Networks and Relationships],""))</f>
        <v/>
      </c>
      <c r="FY128" s="44" t="str">
        <f>IF(Table1[Date of Initial Assessment]="","",IF(AND(Table1[Start Date]&gt;42460,Table1[Start Date]&lt;42826),Table1[Drug and Alcohol Misuse],""))</f>
        <v/>
      </c>
      <c r="FZ128" s="44" t="str">
        <f>IF(Table1[Date of Initial Assessment]="","",IF(AND(Table1[Start Date]&gt;42460,Table1[Start Date]&lt;42826),Table1[Physical Health],""))</f>
        <v/>
      </c>
      <c r="GA128" s="44" t="str">
        <f>IF(Table1[Date of Initial Assessment]="","",IF(AND(Table1[Start Date]&gt;42460,Table1[Start Date]&lt;42826),Table1[Emotional and Mental Health],""))</f>
        <v/>
      </c>
      <c r="GB128" s="44" t="str">
        <f>IF(Table1[Date of Initial Assessment]="","",IF(AND(Table1[Start Date]&gt;42460,Table1[Start Date]&lt;42826),Table1[Meaningful Use of Time],""))</f>
        <v/>
      </c>
      <c r="GC128" s="44" t="str">
        <f>IF(Table1[Date of Initial Assessment]="","",IF(AND(Table1[Start Date]&gt;42460,Table1[Start Date]&lt;42826),Table1[Managing Tenancy and Accommodation],""))</f>
        <v/>
      </c>
      <c r="GD128" s="44" t="str">
        <f>IF(Table1[Date of Initial Assessment]="","",IF(AND(Table1[Start Date]&gt;42460,Table1[Start Date]&lt;42826),Table1[Offending],""))</f>
        <v/>
      </c>
      <c r="GE128" s="44" t="str">
        <f>IF(Table1[Leaving Date]="","",IF(AND(Table1[Leaving Date]&gt;42460,Table1[Leaving Date]&lt;42826),IF(Table1[Date of Last Assessment]="",Table1[Motivation and Taking Responsibility],Table1[Motivation and Taking Responsibility2]),""))</f>
        <v/>
      </c>
      <c r="GF128" s="44" t="str">
        <f>IF(Table1[Leaving Date]="","",IF(AND(Table1[Leaving Date]&gt;42460,Table1[Leaving Date]&lt;42826),IF(Table1[Date of Last Assessment]="",Table1[Self-Care and Living Skills],Table1[Self-Care and Living Skills2]),""))</f>
        <v/>
      </c>
      <c r="GG128" s="44" t="str">
        <f>IF(Table1[Leaving Date]="","",IF(AND(Table1[Leaving Date]&gt;42460,Table1[Leaving Date]&lt;42826),IF(Table1[Date of Last Assessment]="",Table1[Managing Money and Personal Administration],Table1[Managing Money and Personal Administration2]),""))</f>
        <v/>
      </c>
      <c r="GH128" s="44" t="str">
        <f>IF(Table1[Leaving Date]="","",IF(AND(Table1[Leaving Date]&gt;42460,Table1[Leaving Date]&lt;42826),IF(Table1[Date of Last Assessment]="",Table1[Social Networks and Relationships],Table1[Social Networks and Relationships2]),""))</f>
        <v/>
      </c>
      <c r="GI128" s="44" t="str">
        <f>IF(Table1[Leaving Date]="","",IF(AND(Table1[Leaving Date]&gt;42460,Table1[Leaving Date]&lt;42826),IF(Table1[Date of Last Assessment]="",Table1[Drug and Alcohol Misuse],Table1[Drug and Alcohol Misuse2]),""))</f>
        <v/>
      </c>
      <c r="GJ128" s="44" t="str">
        <f>IF(Table1[Leaving Date]="","",IF(AND(Table1[Leaving Date]&gt;42460,Table1[Leaving Date]&lt;42826),IF(Table1[Date of Last Assessment]="",Table1[Physical Health],Table1[Physical Health2]),""))</f>
        <v/>
      </c>
      <c r="GK128" s="44" t="str">
        <f>IF(Table1[Leaving Date]="","",IF(AND(Table1[Leaving Date]&gt;42460,Table1[Leaving Date]&lt;42826),IF(Table1[Date of Last Assessment]="",Table1[Emotional and Mental Health],Table1[Emotional and Mental Health2]),""))</f>
        <v/>
      </c>
      <c r="GL128" s="44" t="str">
        <f>IF(Table1[Leaving Date]="","",IF(AND(Table1[Leaving Date]&gt;42460,Table1[Leaving Date]&lt;42826),IF(Table1[Date of Last Assessment]="",Table1[Meaningful Use of Time],Table1[Meaningful Use of Time2]),""))</f>
        <v/>
      </c>
      <c r="GM128" s="44" t="str">
        <f>IF(Table1[Leaving Date]="","",IF(AND(Table1[Leaving Date]&gt;42460,Table1[Leaving Date]&lt;42826),IF(Table1[Date of Last Assessment]="",Table1[Managing Tenancy and Accommodation],Table1[Managing Tenancy and Accommodation2]),""))</f>
        <v/>
      </c>
      <c r="GN128" s="44" t="str">
        <f>IF(Table1[Leaving Date]="","",IF(AND(Table1[Leaving Date]&gt;42460,Table1[Leaving Date]&lt;42826),IF(Table1[Date of Last Assessment]="",Table1[Offending],Table1[Offending2]),""))</f>
        <v/>
      </c>
    </row>
    <row r="129" spans="2:196" ht="20.100000000000001" customHeight="1" x14ac:dyDescent="0.2">
      <c r="B129" s="86">
        <f>+'Service Data'!$C$5:$C$5</f>
        <v>0</v>
      </c>
      <c r="C129" s="86"/>
      <c r="D129" s="86"/>
      <c r="E129" s="86"/>
      <c r="F129" s="86"/>
      <c r="G129" s="86"/>
      <c r="H129" s="6"/>
      <c r="I129" s="99" t="str">
        <f ca="1">IF(Table1[[#This Row],[Date of Birth]]="","",SUM(TODAY()-Table1[[#This Row],[Date of Birth]])/365)</f>
        <v/>
      </c>
      <c r="L129" s="86"/>
      <c r="M129" s="77"/>
      <c r="N129" s="86"/>
      <c r="O129" s="86"/>
      <c r="P129" s="91"/>
      <c r="Q129" s="86"/>
      <c r="R129" s="77"/>
      <c r="S129" s="77"/>
      <c r="T129" s="68"/>
      <c r="U129" s="68"/>
      <c r="V129" s="67"/>
      <c r="W129" s="67"/>
      <c r="X129" s="67"/>
      <c r="Y129" s="67"/>
      <c r="Z129" s="67"/>
      <c r="AA129" s="67"/>
      <c r="AB129" s="67"/>
      <c r="AC129" s="67"/>
      <c r="AD129" s="67"/>
      <c r="AE129" s="67"/>
      <c r="AF129" s="67"/>
      <c r="AG129" s="67"/>
      <c r="AH129" s="67"/>
      <c r="AI129" s="67"/>
      <c r="AJ129" s="67"/>
      <c r="AK129" s="67"/>
      <c r="AL129" s="67"/>
      <c r="AM129" s="67"/>
      <c r="AN129" s="77"/>
      <c r="AO129" s="76"/>
      <c r="AP129" s="77"/>
      <c r="AQ129" s="76"/>
      <c r="AR129" s="76"/>
      <c r="AS129" s="76"/>
      <c r="AT129" s="76"/>
      <c r="AU129" s="76"/>
      <c r="AV129" s="77"/>
      <c r="AW129" s="76"/>
      <c r="AX129" s="77"/>
      <c r="AY129" s="76"/>
      <c r="AZ129" s="76"/>
      <c r="BA129" s="76"/>
      <c r="BB129" s="76"/>
      <c r="BC129" s="76"/>
      <c r="BD129" s="77"/>
      <c r="BE129" s="76"/>
      <c r="BF129" s="77"/>
      <c r="BG129" s="76"/>
      <c r="BH129" s="76"/>
      <c r="BI129" s="76"/>
      <c r="BJ129" s="76"/>
      <c r="BK129" s="76"/>
      <c r="BL129" s="77"/>
      <c r="BM129" s="76"/>
      <c r="BN129" s="77"/>
      <c r="BO129" s="76"/>
      <c r="BP129" s="76"/>
      <c r="BQ129" s="76"/>
      <c r="BR129" s="76"/>
      <c r="BS129" s="76"/>
      <c r="BT129" s="77"/>
      <c r="BU129" s="76"/>
      <c r="BV129" s="77"/>
      <c r="BW129" s="76"/>
      <c r="BX129" s="76"/>
      <c r="BY129" s="76"/>
      <c r="BZ129" s="76"/>
      <c r="CA129" s="76"/>
      <c r="CB129" s="77"/>
      <c r="CC129" s="76"/>
      <c r="CD129" s="77"/>
      <c r="CE129" s="76"/>
      <c r="CF129" s="76"/>
      <c r="CG129" s="76"/>
      <c r="CH129" s="76"/>
      <c r="CI129" s="76"/>
      <c r="CJ129" s="77"/>
      <c r="CK129" s="76"/>
      <c r="CL129" s="77"/>
      <c r="CM129" s="76"/>
      <c r="CN129" s="76"/>
      <c r="CO129" s="76"/>
      <c r="CP129" s="76"/>
      <c r="CQ129" s="76"/>
      <c r="CR129" s="78" t="str">
        <f t="shared" si="31"/>
        <v/>
      </c>
      <c r="CS129" s="79" t="str">
        <f t="shared" si="32"/>
        <v/>
      </c>
      <c r="CT129" s="79" t="str">
        <f t="shared" si="33"/>
        <v/>
      </c>
      <c r="CU129" s="79" t="str">
        <f t="shared" si="34"/>
        <v/>
      </c>
      <c r="CV129" s="79" t="str">
        <f t="shared" si="35"/>
        <v/>
      </c>
      <c r="CW129" s="79" t="str">
        <f t="shared" si="36"/>
        <v/>
      </c>
      <c r="CX129" s="79" t="str">
        <f t="shared" si="37"/>
        <v/>
      </c>
      <c r="CY129" s="79" t="str">
        <f t="shared" si="38"/>
        <v/>
      </c>
      <c r="CZ129" s="79" t="str">
        <f t="shared" si="39"/>
        <v/>
      </c>
      <c r="DA129" s="79" t="str">
        <f t="shared" si="40"/>
        <v/>
      </c>
      <c r="DB129" s="79" t="str">
        <f t="shared" si="41"/>
        <v/>
      </c>
      <c r="DC129" s="79" t="str">
        <f t="shared" si="42"/>
        <v/>
      </c>
      <c r="DD129" s="79" t="str">
        <f t="shared" si="43"/>
        <v/>
      </c>
      <c r="DE129" s="79" t="str">
        <f t="shared" si="44"/>
        <v/>
      </c>
      <c r="DF129" s="79" t="str">
        <f t="shared" si="45"/>
        <v/>
      </c>
      <c r="DG129" s="79" t="str">
        <f t="shared" si="46"/>
        <v/>
      </c>
      <c r="DH129" s="76"/>
      <c r="DI129" s="78"/>
      <c r="DJ129" s="76"/>
      <c r="DK129" s="77"/>
      <c r="DL129" s="77"/>
      <c r="DM129" s="77"/>
      <c r="DN129" s="80"/>
      <c r="DO129" s="80"/>
      <c r="DP129" s="92" t="str">
        <f>IF(Table1[Start Date]="","",IF(Table1[Start Date]&gt;42185,"",IF(AND(Table1[Leaving Date]&gt;1,Table1[Leaving Date]&lt;42095),"",1)))</f>
        <v/>
      </c>
      <c r="DQ129" s="92" t="str">
        <f>IF(Table1[Start Date]="","",IF(Table1[Start Date]&gt;42277,"",IF(AND(Table1[Leaving Date]&gt;1,Table1[Leaving Date]&lt;42186),"",1)))</f>
        <v/>
      </c>
      <c r="DR129" s="92" t="str">
        <f>IF(Table1[Start Date]="","",IF(Table1[Start Date]&gt;42369,"",IF(AND(Table1[Leaving Date]&gt;1,Table1[Leaving Date]&lt;42278),"",1)))</f>
        <v/>
      </c>
      <c r="DS129" s="92" t="str">
        <f>IF(Table1[Start Date]="","",IF(Table1[Start Date]&gt;42460,"",IF(AND(Table1[Leaving Date]&gt;1,Table1[Leaving Date]&lt;42370),"",1)))</f>
        <v/>
      </c>
      <c r="DT129" s="92" t="str">
        <f>IF(Table1[Start Date]="","",IF(Table1[Start Date]&gt;42551,"",IF(AND(Table1[Leaving Date]&gt;1,Table1[Leaving Date]&lt;42461),"",1)))</f>
        <v/>
      </c>
      <c r="DU129" s="92" t="str">
        <f>IF(Table1[Start Date]="","",IF(Table1[Start Date]&gt;42643,"",IF(AND(Table1[Leaving Date]&gt;1,Table1[Leaving Date]&lt;42552),"",1)))</f>
        <v/>
      </c>
      <c r="DV129" s="92" t="str">
        <f>IF(Table1[Start Date]="","",IF(Table1[Start Date]&gt;42735,"",IF(AND(Table1[Leaving Date]&gt;1,Table1[Leaving Date]&lt;42644),"",1)))</f>
        <v/>
      </c>
      <c r="DW129" s="92" t="str">
        <f>IF(Table1[Start Date]="","",IF(Table1[Start Date]&gt;42825,"",IF(AND(Table1[Leaving Date]&gt;1,Table1[Leaving Date]&lt;42736),"",1)))</f>
        <v/>
      </c>
      <c r="DX129"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129" s="44" t="e">
        <f>VLOOKUP(Table1[Referral Source],Lists!$G$2:$H$20,2,FALSE)</f>
        <v>#N/A</v>
      </c>
      <c r="DZ129" s="93" t="e">
        <f>SUM(Table1[Data Referral Quarter]+Table1[Data Referral Source])</f>
        <v>#N/A</v>
      </c>
      <c r="EA129" s="44" t="b">
        <f>IF(Table1[Referral Decision]="Accepted",100,IF(Table1[Referral Decision]="Rejected by Provider",200,IF(Table1[Referral Decision]="Rejected by Applicant",300)))</f>
        <v>0</v>
      </c>
      <c r="EB129" s="44">
        <f>SUM(Table1[Data Referral Quarter]+Table1[Data Referral Decision])</f>
        <v>0</v>
      </c>
      <c r="EC129" s="44" t="b">
        <f>IF(Table1[Start Date]&gt;42735,8000,IF(Table1[Start Date]&gt;42643,7000,IF(Table1[Start Date]&gt;42551,6000,IF(Table1[Start Date]&gt;42460,5000,IF(Table1[Start Date]&gt;42369,4000,IF(Table1[Start Date]&gt;42277,3000,IF(Table1[Start Date]&gt;42185,2000,IF(Table1[Start Date]&gt;42094,1000))))))))</f>
        <v>0</v>
      </c>
      <c r="ED129" s="44" t="str">
        <f>IF(Table1[Start Date]="","",IF(Table1[Current Local Authority]="Swindon",1,"2"))</f>
        <v/>
      </c>
      <c r="EE129" s="44" t="e">
        <f>SUM(Table1[Data Start Date]+Table1[Data Local Authority])</f>
        <v>#VALUE!</v>
      </c>
      <c r="EF129" s="44">
        <f>IF(Table1[Registered with GP]="Yes",1,0)</f>
        <v>0</v>
      </c>
      <c r="EG129" s="44">
        <f>SUM(Table1[Data Start Date]+Table1[Data GP Start])</f>
        <v>0</v>
      </c>
      <c r="EH129" s="44" t="str">
        <f>IF(Table1[EET]="NEET",1,IF(Table1[EET]="Education",2,IF(Table1[EET]="Employment",2,IF(Table1[EET]="Training",2,IF(Table1[EET]="Retired",3,"")))))</f>
        <v/>
      </c>
      <c r="EI129" s="44" t="e">
        <f>Table1[Data Start Date]+Table1[Data EET Start]</f>
        <v>#VALUE!</v>
      </c>
      <c r="EJ129" s="44" t="b">
        <f>IF(Table1[Leaving Date]&gt;42735,8000,IF(Table1[Leaving Date]&gt;42643,7000,IF(Table1[Leaving Date]&gt;42551,6000,IF(Table1[Leaving Date]&gt;42460,5000,IF(Table1[Leaving Date]&gt;42369,4000,IF(Table1[Leaving Date]&gt;42277,3000,IF(Table1[Leaving Date]&gt;42185,2000,IF(Table1[Leaving Date]&gt;42094,1000))))))))</f>
        <v>0</v>
      </c>
      <c r="EK129" s="44" t="e">
        <f>VLOOKUP(Table1[Reason for Leaving],Lists!$T$2:$U$15,2,FALSE)</f>
        <v>#N/A</v>
      </c>
      <c r="EL129" s="44" t="e">
        <f>SUM(Table1[Data Leavers Date]+Table1[Data Move On])</f>
        <v>#N/A</v>
      </c>
      <c r="EM129" s="44" t="b">
        <f>IF(Table1[Registered with GP2]="Yes",1,IF(Table1[Registered with GP2]="No",0,IF(Table1[Registered with GP]="Yes",1,IF(Table1[Registered with GP]="No",0))))</f>
        <v>0</v>
      </c>
      <c r="EN129" s="44">
        <f>SUM(Table1[Data Leavers Date]+Table1[Data GP End])</f>
        <v>0</v>
      </c>
      <c r="EO129" s="44" t="str">
        <f>IF(Table1[EET2]="NEET",1,IF(Table1[EET2]="Employment",2,IF(Table1[EET2]="Education",2,IF(Table1[EET2]="Training",2,IF(Table1[EET2]="Retired",3,IF(Table1[EET]="NEET",1,IF(Table1[EET]="Employment",2,IF(Table1[EET]="Education",2,IF(Table1[EET]="Training",2,IF(Table1[EET]="Retired",3,""))))))))))</f>
        <v/>
      </c>
      <c r="EP129" s="44" t="e">
        <f>+Table1[[#This Row],[Data Leavers Date]]+Table1[[#This Row],[Data EET End]]</f>
        <v>#VALUE!</v>
      </c>
      <c r="EQ129" s="44">
        <f>IF(Table1[Exit Form Received]="Yes",1,0)</f>
        <v>0</v>
      </c>
      <c r="ER129" s="44">
        <f>+Table1[[#This Row],[Data Leavers Date]]+Table1[[#This Row],[Data Exit Forms]]</f>
        <v>0</v>
      </c>
      <c r="ES129" s="44" t="str">
        <f>IF(Table1[Data Leavers Date]=1000,SUM(Table1[Leaving Date]-Table1[Start Date]),"")</f>
        <v/>
      </c>
      <c r="ET129" s="44" t="str">
        <f>IF(Table1[Data Leavers Date]=2000,SUM(Table1[Leaving Date]-Table1[Start Date]),"")</f>
        <v/>
      </c>
      <c r="EU129" s="44" t="str">
        <f>IF(Table1[Data Leavers Date]=3000,SUM(Table1[Leaving Date]-Table1[Start Date]),"")</f>
        <v/>
      </c>
      <c r="EV129" s="44" t="str">
        <f>IF(Table1[Data Leavers Date]=4000,SUM(Table1[Leaving Date]-Table1[Start Date]),"")</f>
        <v/>
      </c>
      <c r="EW129" s="44" t="str">
        <f>IF(Table1[Data Leavers Date]=5000,SUM(Table1[Leaving Date]-Table1[Start Date]),"")</f>
        <v/>
      </c>
      <c r="EX129" s="44" t="str">
        <f>IF(Table1[Data Leavers Date]=6000,SUM(Table1[Leaving Date]-Table1[Start Date]),"")</f>
        <v/>
      </c>
      <c r="EY129" s="44" t="str">
        <f>IF(Table1[Data Leavers Date]=7000,SUM(Table1[Leaving Date]-Table1[Start Date]),"")</f>
        <v/>
      </c>
      <c r="EZ129" s="44" t="str">
        <f>IF(Table1[Data Leavers Date]=8000,SUM(Table1[Leaving Date]-Table1[Start Date]),"")</f>
        <v/>
      </c>
      <c r="FA129" s="44" t="str">
        <f>IF(Table1[Date of Initial Assessment]="","",IF(AND(Table1[Start Date]&gt;42094,Table1[Start Date]&lt;42461),Table1[Motivation and Taking Responsibility],""))</f>
        <v/>
      </c>
      <c r="FB129" s="44" t="str">
        <f>IF(Table1[Date of Initial Assessment]="","",IF(AND(Table1[Start Date]&gt;42094,Table1[Start Date]&lt;42461),Table1[Self-Care and Living Skills],""))</f>
        <v/>
      </c>
      <c r="FC129" s="44" t="str">
        <f>IF(Table1[Date of Initial Assessment]="","",IF(AND(Table1[Start Date]&gt;42094,Table1[Start Date]&lt;42461),Table1[Managing Money and Personal Administration],""))</f>
        <v/>
      </c>
      <c r="FD129" s="44" t="str">
        <f>IF(Table1[Date of Initial Assessment]="","",IF(AND(Table1[Start Date]&gt;42094,Table1[Start Date]&lt;42461),Table1[Social Networks and Relationships],""))</f>
        <v/>
      </c>
      <c r="FE129" s="44" t="str">
        <f>IF(Table1[Date of Initial Assessment]="","",IF(AND(Table1[Start Date]&gt;42094,Table1[Start Date]&lt;42461),Table1[Drug and Alcohol Misuse],""))</f>
        <v/>
      </c>
      <c r="FF129" s="44" t="str">
        <f>IF(Table1[Date of Initial Assessment]="","",IF(AND(Table1[Start Date]&gt;42094,Table1[Start Date]&lt;42461),Table1[Physical Health],""))</f>
        <v/>
      </c>
      <c r="FG129" s="44" t="str">
        <f>IF(Table1[Date of Initial Assessment]="","",IF(AND(Table1[Start Date]&gt;42094,Table1[Start Date]&lt;42461),Table1[Emotional and Mental Health],""))</f>
        <v/>
      </c>
      <c r="FH129" s="44" t="str">
        <f>IF(Table1[Date of Initial Assessment]="","",IF(AND(Table1[Start Date]&gt;42094,Table1[Start Date]&lt;42461),Table1[Meaningful Use of Time],""))</f>
        <v/>
      </c>
      <c r="FI129" s="44" t="str">
        <f>IF(Table1[Date of Initial Assessment]="","",IF(AND(Table1[Start Date]&gt;42094,Table1[Start Date]&lt;42461),Table1[Managing Tenancy and Accommodation],""))</f>
        <v/>
      </c>
      <c r="FJ129" s="44" t="str">
        <f>IF(Table1[Date of Initial Assessment]="","",IF(AND(Table1[Start Date]&gt;42094,Table1[Start Date]&lt;42461),Table1[Offending],""))</f>
        <v/>
      </c>
      <c r="FK129" s="44" t="str">
        <f>IF(Table1[Leaving Date]="","",IF(Table1[Date of Initial Assessment]="","",IF(AND(Table1[Leaving Date]&gt;42094,Table1[Leaving Date]&lt;42461),IF(Table1[Date of Last Assessment]="",Table1[Motivation and Taking Responsibility],Table1[Motivation and Taking Responsibility2]),"")))</f>
        <v/>
      </c>
      <c r="FL129" s="44" t="str">
        <f>IF(Table1[Leaving Date]="","",IF(Table1[Date of Initial Assessment]="","",IF(AND(Table1[Leaving Date]&gt;42094,Table1[Leaving Date]&lt;42461),IF(Table1[Date of Last Assessment]="",Table1[Self-Care and Living Skills],Table1[Self-Care and Living Skills2]),"")))</f>
        <v/>
      </c>
      <c r="FM129" s="44" t="str">
        <f>IF(Table1[Leaving Date]="","",IF(Table1[Date of Initial Assessment]="","",IF(AND(Table1[Leaving Date]&gt;42094,Table1[Leaving Date]&lt;42461),IF(Table1[Date of Last Assessment]="",Table1[Managing Money and Personal Administration],Table1[Managing Money and Personal Administration2]),"")))</f>
        <v/>
      </c>
      <c r="FN129" s="44" t="str">
        <f>IF(Table1[Leaving Date]="","",IF(Table1[Date of Initial Assessment]="","",IF(AND(Table1[Leaving Date]&gt;42094,Table1[Leaving Date]&lt;42461),IF(Table1[Date of Last Assessment]="",Table1[Social Networks and Relationships],Table1[Social Networks and Relationships2]),"")))</f>
        <v/>
      </c>
      <c r="FO129" s="44" t="str">
        <f>IF(Table1[Leaving Date]="","",IF(Table1[Date of Initial Assessment]="","",IF(AND(Table1[Leaving Date]&gt;42094,Table1[Leaving Date]&lt;42461),IF(Table1[Date of Last Assessment]="",Table1[Drug and Alcohol Misuse],Table1[Drug and Alcohol Misuse2]),"")))</f>
        <v/>
      </c>
      <c r="FP129" s="44" t="str">
        <f>IF(Table1[Leaving Date]="","",IF(Table1[Date of Initial Assessment]="","",IF(AND(Table1[Leaving Date]&gt;42094,Table1[Leaving Date]&lt;42461),IF(Table1[Date of Last Assessment]="",Table1[Physical Health],Table1[Physical Health2]),"")))</f>
        <v/>
      </c>
      <c r="FQ129" s="44" t="str">
        <f>IF(Table1[Leaving Date]="","",IF(Table1[Date of Initial Assessment]="","",IF(AND(Table1[Leaving Date]&gt;42094,Table1[Leaving Date]&lt;42461),IF(Table1[Date of Last Assessment]="",Table1[Emotional and Mental Health],Table1[Emotional and Mental Health2]),"")))</f>
        <v/>
      </c>
      <c r="FR129" s="44" t="str">
        <f>IF(Table1[Leaving Date]="","",IF(Table1[Date of Initial Assessment]="","",IF(AND(Table1[Leaving Date]&gt;42094,Table1[Leaving Date]&lt;42461),IF(Table1[Date of Last Assessment]="",Table1[Meaningful Use of Time],Table1[Meaningful Use of Time2]),"")))</f>
        <v/>
      </c>
      <c r="FS129" s="44" t="str">
        <f>IF(Table1[Leaving Date]="","",IF(Table1[Date of Initial Assessment]="","",IF(AND(Table1[Leaving Date]&gt;42094,Table1[Leaving Date]&lt;42461),IF(Table1[Date of Last Assessment]="",Table1[Managing Tenancy and Accommodation],Table1[Managing Tenancy and Accommodation2]),"")))</f>
        <v/>
      </c>
      <c r="FT129" s="44" t="str">
        <f>IF(Table1[Leaving Date]="","",IF(Table1[Date of Initial Assessment]="","",IF(AND(Table1[Leaving Date]&gt;42094,Table1[Leaving Date]&lt;42461),IF(Table1[Date of Last Assessment]="",Table1[Offending],Table1[Offending2]),"")))</f>
        <v/>
      </c>
      <c r="FU129" s="44" t="str">
        <f>IF(Table1[Date of Initial Assessment]="","",IF(AND(Table1[Start Date]&gt;42460,Table1[Start Date]&lt;42826),Table1[Motivation and Taking Responsibility],""))</f>
        <v/>
      </c>
      <c r="FV129" s="44" t="str">
        <f>IF(Table1[Date of Initial Assessment]="","",IF(AND(Table1[Start Date]&gt;42460,Table1[Start Date]&lt;42826),Table1[Self-Care and Living Skills],""))</f>
        <v/>
      </c>
      <c r="FW129" s="44" t="str">
        <f>IF(Table1[Date of Initial Assessment]="","",IF(AND(Table1[Start Date]&gt;42460,Table1[Start Date]&lt;42826),Table1[Managing Money and Personal Administration],""))</f>
        <v/>
      </c>
      <c r="FX129" s="44" t="str">
        <f>IF(Table1[Date of Initial Assessment]="","",IF(AND(Table1[Start Date]&gt;42460,Table1[Start Date]&lt;42826),Table1[Social Networks and Relationships],""))</f>
        <v/>
      </c>
      <c r="FY129" s="44" t="str">
        <f>IF(Table1[Date of Initial Assessment]="","",IF(AND(Table1[Start Date]&gt;42460,Table1[Start Date]&lt;42826),Table1[Drug and Alcohol Misuse],""))</f>
        <v/>
      </c>
      <c r="FZ129" s="44" t="str">
        <f>IF(Table1[Date of Initial Assessment]="","",IF(AND(Table1[Start Date]&gt;42460,Table1[Start Date]&lt;42826),Table1[Physical Health],""))</f>
        <v/>
      </c>
      <c r="GA129" s="44" t="str">
        <f>IF(Table1[Date of Initial Assessment]="","",IF(AND(Table1[Start Date]&gt;42460,Table1[Start Date]&lt;42826),Table1[Emotional and Mental Health],""))</f>
        <v/>
      </c>
      <c r="GB129" s="44" t="str">
        <f>IF(Table1[Date of Initial Assessment]="","",IF(AND(Table1[Start Date]&gt;42460,Table1[Start Date]&lt;42826),Table1[Meaningful Use of Time],""))</f>
        <v/>
      </c>
      <c r="GC129" s="44" t="str">
        <f>IF(Table1[Date of Initial Assessment]="","",IF(AND(Table1[Start Date]&gt;42460,Table1[Start Date]&lt;42826),Table1[Managing Tenancy and Accommodation],""))</f>
        <v/>
      </c>
      <c r="GD129" s="44" t="str">
        <f>IF(Table1[Date of Initial Assessment]="","",IF(AND(Table1[Start Date]&gt;42460,Table1[Start Date]&lt;42826),Table1[Offending],""))</f>
        <v/>
      </c>
      <c r="GE129" s="44" t="str">
        <f>IF(Table1[Leaving Date]="","",IF(AND(Table1[Leaving Date]&gt;42460,Table1[Leaving Date]&lt;42826),IF(Table1[Date of Last Assessment]="",Table1[Motivation and Taking Responsibility],Table1[Motivation and Taking Responsibility2]),""))</f>
        <v/>
      </c>
      <c r="GF129" s="44" t="str">
        <f>IF(Table1[Leaving Date]="","",IF(AND(Table1[Leaving Date]&gt;42460,Table1[Leaving Date]&lt;42826),IF(Table1[Date of Last Assessment]="",Table1[Self-Care and Living Skills],Table1[Self-Care and Living Skills2]),""))</f>
        <v/>
      </c>
      <c r="GG129" s="44" t="str">
        <f>IF(Table1[Leaving Date]="","",IF(AND(Table1[Leaving Date]&gt;42460,Table1[Leaving Date]&lt;42826),IF(Table1[Date of Last Assessment]="",Table1[Managing Money and Personal Administration],Table1[Managing Money and Personal Administration2]),""))</f>
        <v/>
      </c>
      <c r="GH129" s="44" t="str">
        <f>IF(Table1[Leaving Date]="","",IF(AND(Table1[Leaving Date]&gt;42460,Table1[Leaving Date]&lt;42826),IF(Table1[Date of Last Assessment]="",Table1[Social Networks and Relationships],Table1[Social Networks and Relationships2]),""))</f>
        <v/>
      </c>
      <c r="GI129" s="44" t="str">
        <f>IF(Table1[Leaving Date]="","",IF(AND(Table1[Leaving Date]&gt;42460,Table1[Leaving Date]&lt;42826),IF(Table1[Date of Last Assessment]="",Table1[Drug and Alcohol Misuse],Table1[Drug and Alcohol Misuse2]),""))</f>
        <v/>
      </c>
      <c r="GJ129" s="44" t="str">
        <f>IF(Table1[Leaving Date]="","",IF(AND(Table1[Leaving Date]&gt;42460,Table1[Leaving Date]&lt;42826),IF(Table1[Date of Last Assessment]="",Table1[Physical Health],Table1[Physical Health2]),""))</f>
        <v/>
      </c>
      <c r="GK129" s="44" t="str">
        <f>IF(Table1[Leaving Date]="","",IF(AND(Table1[Leaving Date]&gt;42460,Table1[Leaving Date]&lt;42826),IF(Table1[Date of Last Assessment]="",Table1[Emotional and Mental Health],Table1[Emotional and Mental Health2]),""))</f>
        <v/>
      </c>
      <c r="GL129" s="44" t="str">
        <f>IF(Table1[Leaving Date]="","",IF(AND(Table1[Leaving Date]&gt;42460,Table1[Leaving Date]&lt;42826),IF(Table1[Date of Last Assessment]="",Table1[Meaningful Use of Time],Table1[Meaningful Use of Time2]),""))</f>
        <v/>
      </c>
      <c r="GM129" s="44" t="str">
        <f>IF(Table1[Leaving Date]="","",IF(AND(Table1[Leaving Date]&gt;42460,Table1[Leaving Date]&lt;42826),IF(Table1[Date of Last Assessment]="",Table1[Managing Tenancy and Accommodation],Table1[Managing Tenancy and Accommodation2]),""))</f>
        <v/>
      </c>
      <c r="GN129" s="44" t="str">
        <f>IF(Table1[Leaving Date]="","",IF(AND(Table1[Leaving Date]&gt;42460,Table1[Leaving Date]&lt;42826),IF(Table1[Date of Last Assessment]="",Table1[Offending],Table1[Offending2]),""))</f>
        <v/>
      </c>
    </row>
    <row r="130" spans="2:196" ht="20.100000000000001" customHeight="1" x14ac:dyDescent="0.2">
      <c r="B130" s="86">
        <f>+'Service Data'!$C$5:$C$5</f>
        <v>0</v>
      </c>
      <c r="C130" s="86"/>
      <c r="D130" s="86"/>
      <c r="E130" s="86"/>
      <c r="F130" s="86"/>
      <c r="G130" s="86"/>
      <c r="H130" s="6"/>
      <c r="I130" s="99" t="str">
        <f ca="1">IF(Table1[[#This Row],[Date of Birth]]="","",SUM(TODAY()-Table1[[#This Row],[Date of Birth]])/365)</f>
        <v/>
      </c>
      <c r="L130" s="86"/>
      <c r="M130" s="77"/>
      <c r="N130" s="86"/>
      <c r="O130" s="86"/>
      <c r="P130" s="91"/>
      <c r="Q130" s="86"/>
      <c r="R130" s="77"/>
      <c r="S130" s="77"/>
      <c r="T130" s="68"/>
      <c r="U130" s="68"/>
      <c r="V130" s="67"/>
      <c r="W130" s="67"/>
      <c r="X130" s="67"/>
      <c r="Y130" s="67"/>
      <c r="Z130" s="67"/>
      <c r="AA130" s="67"/>
      <c r="AB130" s="67"/>
      <c r="AC130" s="67"/>
      <c r="AD130" s="67"/>
      <c r="AE130" s="67"/>
      <c r="AF130" s="67"/>
      <c r="AG130" s="67"/>
      <c r="AH130" s="67"/>
      <c r="AI130" s="67"/>
      <c r="AJ130" s="67"/>
      <c r="AK130" s="67"/>
      <c r="AL130" s="67"/>
      <c r="AM130" s="67"/>
      <c r="AN130" s="77"/>
      <c r="AO130" s="76"/>
      <c r="AP130" s="77"/>
      <c r="AQ130" s="76"/>
      <c r="AR130" s="76"/>
      <c r="AS130" s="76"/>
      <c r="AT130" s="76"/>
      <c r="AU130" s="76"/>
      <c r="AV130" s="77"/>
      <c r="AW130" s="76"/>
      <c r="AX130" s="77"/>
      <c r="AY130" s="76"/>
      <c r="AZ130" s="76"/>
      <c r="BA130" s="76"/>
      <c r="BB130" s="76"/>
      <c r="BC130" s="76"/>
      <c r="BD130" s="77"/>
      <c r="BE130" s="76"/>
      <c r="BF130" s="77"/>
      <c r="BG130" s="76"/>
      <c r="BH130" s="76"/>
      <c r="BI130" s="76"/>
      <c r="BJ130" s="76"/>
      <c r="BK130" s="76"/>
      <c r="BL130" s="77"/>
      <c r="BM130" s="76"/>
      <c r="BN130" s="77"/>
      <c r="BO130" s="76"/>
      <c r="BP130" s="76"/>
      <c r="BQ130" s="76"/>
      <c r="BR130" s="76"/>
      <c r="BS130" s="76"/>
      <c r="BT130" s="77"/>
      <c r="BU130" s="76"/>
      <c r="BV130" s="77"/>
      <c r="BW130" s="76"/>
      <c r="BX130" s="76"/>
      <c r="BY130" s="76"/>
      <c r="BZ130" s="76"/>
      <c r="CA130" s="76"/>
      <c r="CB130" s="77"/>
      <c r="CC130" s="76"/>
      <c r="CD130" s="77"/>
      <c r="CE130" s="76"/>
      <c r="CF130" s="76"/>
      <c r="CG130" s="76"/>
      <c r="CH130" s="76"/>
      <c r="CI130" s="76"/>
      <c r="CJ130" s="77"/>
      <c r="CK130" s="76"/>
      <c r="CL130" s="77"/>
      <c r="CM130" s="76"/>
      <c r="CN130" s="76"/>
      <c r="CO130" s="76"/>
      <c r="CP130" s="76"/>
      <c r="CQ130" s="76"/>
      <c r="CR130" s="78" t="str">
        <f t="shared" si="31"/>
        <v/>
      </c>
      <c r="CS130" s="79" t="str">
        <f t="shared" si="32"/>
        <v/>
      </c>
      <c r="CT130" s="79" t="str">
        <f t="shared" si="33"/>
        <v/>
      </c>
      <c r="CU130" s="79" t="str">
        <f t="shared" si="34"/>
        <v/>
      </c>
      <c r="CV130" s="79" t="str">
        <f t="shared" si="35"/>
        <v/>
      </c>
      <c r="CW130" s="79" t="str">
        <f t="shared" si="36"/>
        <v/>
      </c>
      <c r="CX130" s="79" t="str">
        <f t="shared" si="37"/>
        <v/>
      </c>
      <c r="CY130" s="79" t="str">
        <f t="shared" si="38"/>
        <v/>
      </c>
      <c r="CZ130" s="79" t="str">
        <f t="shared" si="39"/>
        <v/>
      </c>
      <c r="DA130" s="79" t="str">
        <f t="shared" si="40"/>
        <v/>
      </c>
      <c r="DB130" s="79" t="str">
        <f t="shared" si="41"/>
        <v/>
      </c>
      <c r="DC130" s="79" t="str">
        <f t="shared" si="42"/>
        <v/>
      </c>
      <c r="DD130" s="79" t="str">
        <f t="shared" si="43"/>
        <v/>
      </c>
      <c r="DE130" s="79" t="str">
        <f t="shared" si="44"/>
        <v/>
      </c>
      <c r="DF130" s="79" t="str">
        <f t="shared" si="45"/>
        <v/>
      </c>
      <c r="DG130" s="79" t="str">
        <f t="shared" si="46"/>
        <v/>
      </c>
      <c r="DH130" s="76"/>
      <c r="DI130" s="78"/>
      <c r="DJ130" s="76"/>
      <c r="DK130" s="77"/>
      <c r="DL130" s="77"/>
      <c r="DM130" s="77"/>
      <c r="DN130" s="80"/>
      <c r="DO130" s="80"/>
      <c r="DP130" s="92" t="str">
        <f>IF(Table1[Start Date]="","",IF(Table1[Start Date]&gt;42185,"",IF(AND(Table1[Leaving Date]&gt;1,Table1[Leaving Date]&lt;42095),"",1)))</f>
        <v/>
      </c>
      <c r="DQ130" s="92" t="str">
        <f>IF(Table1[Start Date]="","",IF(Table1[Start Date]&gt;42277,"",IF(AND(Table1[Leaving Date]&gt;1,Table1[Leaving Date]&lt;42186),"",1)))</f>
        <v/>
      </c>
      <c r="DR130" s="92" t="str">
        <f>IF(Table1[Start Date]="","",IF(Table1[Start Date]&gt;42369,"",IF(AND(Table1[Leaving Date]&gt;1,Table1[Leaving Date]&lt;42278),"",1)))</f>
        <v/>
      </c>
      <c r="DS130" s="92" t="str">
        <f>IF(Table1[Start Date]="","",IF(Table1[Start Date]&gt;42460,"",IF(AND(Table1[Leaving Date]&gt;1,Table1[Leaving Date]&lt;42370),"",1)))</f>
        <v/>
      </c>
      <c r="DT130" s="92" t="str">
        <f>IF(Table1[Start Date]="","",IF(Table1[Start Date]&gt;42551,"",IF(AND(Table1[Leaving Date]&gt;1,Table1[Leaving Date]&lt;42461),"",1)))</f>
        <v/>
      </c>
      <c r="DU130" s="92" t="str">
        <f>IF(Table1[Start Date]="","",IF(Table1[Start Date]&gt;42643,"",IF(AND(Table1[Leaving Date]&gt;1,Table1[Leaving Date]&lt;42552),"",1)))</f>
        <v/>
      </c>
      <c r="DV130" s="92" t="str">
        <f>IF(Table1[Start Date]="","",IF(Table1[Start Date]&gt;42735,"",IF(AND(Table1[Leaving Date]&gt;1,Table1[Leaving Date]&lt;42644),"",1)))</f>
        <v/>
      </c>
      <c r="DW130" s="92" t="str">
        <f>IF(Table1[Start Date]="","",IF(Table1[Start Date]&gt;42825,"",IF(AND(Table1[Leaving Date]&gt;1,Table1[Leaving Date]&lt;42736),"",1)))</f>
        <v/>
      </c>
      <c r="DX130"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130" s="44" t="e">
        <f>VLOOKUP(Table1[Referral Source],Lists!$G$2:$H$20,2,FALSE)</f>
        <v>#N/A</v>
      </c>
      <c r="DZ130" s="93" t="e">
        <f>SUM(Table1[Data Referral Quarter]+Table1[Data Referral Source])</f>
        <v>#N/A</v>
      </c>
      <c r="EA130" s="44" t="b">
        <f>IF(Table1[Referral Decision]="Accepted",100,IF(Table1[Referral Decision]="Rejected by Provider",200,IF(Table1[Referral Decision]="Rejected by Applicant",300)))</f>
        <v>0</v>
      </c>
      <c r="EB130" s="44">
        <f>SUM(Table1[Data Referral Quarter]+Table1[Data Referral Decision])</f>
        <v>0</v>
      </c>
      <c r="EC130" s="44" t="b">
        <f>IF(Table1[Start Date]&gt;42735,8000,IF(Table1[Start Date]&gt;42643,7000,IF(Table1[Start Date]&gt;42551,6000,IF(Table1[Start Date]&gt;42460,5000,IF(Table1[Start Date]&gt;42369,4000,IF(Table1[Start Date]&gt;42277,3000,IF(Table1[Start Date]&gt;42185,2000,IF(Table1[Start Date]&gt;42094,1000))))))))</f>
        <v>0</v>
      </c>
      <c r="ED130" s="44" t="str">
        <f>IF(Table1[Start Date]="","",IF(Table1[Current Local Authority]="Swindon",1,"2"))</f>
        <v/>
      </c>
      <c r="EE130" s="44" t="e">
        <f>SUM(Table1[Data Start Date]+Table1[Data Local Authority])</f>
        <v>#VALUE!</v>
      </c>
      <c r="EF130" s="44">
        <f>IF(Table1[Registered with GP]="Yes",1,0)</f>
        <v>0</v>
      </c>
      <c r="EG130" s="44">
        <f>SUM(Table1[Data Start Date]+Table1[Data GP Start])</f>
        <v>0</v>
      </c>
      <c r="EH130" s="44" t="str">
        <f>IF(Table1[EET]="NEET",1,IF(Table1[EET]="Education",2,IF(Table1[EET]="Employment",2,IF(Table1[EET]="Training",2,IF(Table1[EET]="Retired",3,"")))))</f>
        <v/>
      </c>
      <c r="EI130" s="44" t="e">
        <f>Table1[Data Start Date]+Table1[Data EET Start]</f>
        <v>#VALUE!</v>
      </c>
      <c r="EJ130" s="44" t="b">
        <f>IF(Table1[Leaving Date]&gt;42735,8000,IF(Table1[Leaving Date]&gt;42643,7000,IF(Table1[Leaving Date]&gt;42551,6000,IF(Table1[Leaving Date]&gt;42460,5000,IF(Table1[Leaving Date]&gt;42369,4000,IF(Table1[Leaving Date]&gt;42277,3000,IF(Table1[Leaving Date]&gt;42185,2000,IF(Table1[Leaving Date]&gt;42094,1000))))))))</f>
        <v>0</v>
      </c>
      <c r="EK130" s="44" t="e">
        <f>VLOOKUP(Table1[Reason for Leaving],Lists!$T$2:$U$15,2,FALSE)</f>
        <v>#N/A</v>
      </c>
      <c r="EL130" s="44" t="e">
        <f>SUM(Table1[Data Leavers Date]+Table1[Data Move On])</f>
        <v>#N/A</v>
      </c>
      <c r="EM130" s="44" t="b">
        <f>IF(Table1[Registered with GP2]="Yes",1,IF(Table1[Registered with GP2]="No",0,IF(Table1[Registered with GP]="Yes",1,IF(Table1[Registered with GP]="No",0))))</f>
        <v>0</v>
      </c>
      <c r="EN130" s="44">
        <f>SUM(Table1[Data Leavers Date]+Table1[Data GP End])</f>
        <v>0</v>
      </c>
      <c r="EO130" s="44" t="str">
        <f>IF(Table1[EET2]="NEET",1,IF(Table1[EET2]="Employment",2,IF(Table1[EET2]="Education",2,IF(Table1[EET2]="Training",2,IF(Table1[EET2]="Retired",3,IF(Table1[EET]="NEET",1,IF(Table1[EET]="Employment",2,IF(Table1[EET]="Education",2,IF(Table1[EET]="Training",2,IF(Table1[EET]="Retired",3,""))))))))))</f>
        <v/>
      </c>
      <c r="EP130" s="44" t="e">
        <f>+Table1[[#This Row],[Data Leavers Date]]+Table1[[#This Row],[Data EET End]]</f>
        <v>#VALUE!</v>
      </c>
      <c r="EQ130" s="44">
        <f>IF(Table1[Exit Form Received]="Yes",1,0)</f>
        <v>0</v>
      </c>
      <c r="ER130" s="44">
        <f>+Table1[[#This Row],[Data Leavers Date]]+Table1[[#This Row],[Data Exit Forms]]</f>
        <v>0</v>
      </c>
      <c r="ES130" s="44" t="str">
        <f>IF(Table1[Data Leavers Date]=1000,SUM(Table1[Leaving Date]-Table1[Start Date]),"")</f>
        <v/>
      </c>
      <c r="ET130" s="44" t="str">
        <f>IF(Table1[Data Leavers Date]=2000,SUM(Table1[Leaving Date]-Table1[Start Date]),"")</f>
        <v/>
      </c>
      <c r="EU130" s="44" t="str">
        <f>IF(Table1[Data Leavers Date]=3000,SUM(Table1[Leaving Date]-Table1[Start Date]),"")</f>
        <v/>
      </c>
      <c r="EV130" s="44" t="str">
        <f>IF(Table1[Data Leavers Date]=4000,SUM(Table1[Leaving Date]-Table1[Start Date]),"")</f>
        <v/>
      </c>
      <c r="EW130" s="44" t="str">
        <f>IF(Table1[Data Leavers Date]=5000,SUM(Table1[Leaving Date]-Table1[Start Date]),"")</f>
        <v/>
      </c>
      <c r="EX130" s="44" t="str">
        <f>IF(Table1[Data Leavers Date]=6000,SUM(Table1[Leaving Date]-Table1[Start Date]),"")</f>
        <v/>
      </c>
      <c r="EY130" s="44" t="str">
        <f>IF(Table1[Data Leavers Date]=7000,SUM(Table1[Leaving Date]-Table1[Start Date]),"")</f>
        <v/>
      </c>
      <c r="EZ130" s="44" t="str">
        <f>IF(Table1[Data Leavers Date]=8000,SUM(Table1[Leaving Date]-Table1[Start Date]),"")</f>
        <v/>
      </c>
      <c r="FA130" s="44" t="str">
        <f>IF(Table1[Date of Initial Assessment]="","",IF(AND(Table1[Start Date]&gt;42094,Table1[Start Date]&lt;42461),Table1[Motivation and Taking Responsibility],""))</f>
        <v/>
      </c>
      <c r="FB130" s="44" t="str">
        <f>IF(Table1[Date of Initial Assessment]="","",IF(AND(Table1[Start Date]&gt;42094,Table1[Start Date]&lt;42461),Table1[Self-Care and Living Skills],""))</f>
        <v/>
      </c>
      <c r="FC130" s="44" t="str">
        <f>IF(Table1[Date of Initial Assessment]="","",IF(AND(Table1[Start Date]&gt;42094,Table1[Start Date]&lt;42461),Table1[Managing Money and Personal Administration],""))</f>
        <v/>
      </c>
      <c r="FD130" s="44" t="str">
        <f>IF(Table1[Date of Initial Assessment]="","",IF(AND(Table1[Start Date]&gt;42094,Table1[Start Date]&lt;42461),Table1[Social Networks and Relationships],""))</f>
        <v/>
      </c>
      <c r="FE130" s="44" t="str">
        <f>IF(Table1[Date of Initial Assessment]="","",IF(AND(Table1[Start Date]&gt;42094,Table1[Start Date]&lt;42461),Table1[Drug and Alcohol Misuse],""))</f>
        <v/>
      </c>
      <c r="FF130" s="44" t="str">
        <f>IF(Table1[Date of Initial Assessment]="","",IF(AND(Table1[Start Date]&gt;42094,Table1[Start Date]&lt;42461),Table1[Physical Health],""))</f>
        <v/>
      </c>
      <c r="FG130" s="44" t="str">
        <f>IF(Table1[Date of Initial Assessment]="","",IF(AND(Table1[Start Date]&gt;42094,Table1[Start Date]&lt;42461),Table1[Emotional and Mental Health],""))</f>
        <v/>
      </c>
      <c r="FH130" s="44" t="str">
        <f>IF(Table1[Date of Initial Assessment]="","",IF(AND(Table1[Start Date]&gt;42094,Table1[Start Date]&lt;42461),Table1[Meaningful Use of Time],""))</f>
        <v/>
      </c>
      <c r="FI130" s="44" t="str">
        <f>IF(Table1[Date of Initial Assessment]="","",IF(AND(Table1[Start Date]&gt;42094,Table1[Start Date]&lt;42461),Table1[Managing Tenancy and Accommodation],""))</f>
        <v/>
      </c>
      <c r="FJ130" s="44" t="str">
        <f>IF(Table1[Date of Initial Assessment]="","",IF(AND(Table1[Start Date]&gt;42094,Table1[Start Date]&lt;42461),Table1[Offending],""))</f>
        <v/>
      </c>
      <c r="FK130" s="44" t="str">
        <f>IF(Table1[Leaving Date]="","",IF(Table1[Date of Initial Assessment]="","",IF(AND(Table1[Leaving Date]&gt;42094,Table1[Leaving Date]&lt;42461),IF(Table1[Date of Last Assessment]="",Table1[Motivation and Taking Responsibility],Table1[Motivation and Taking Responsibility2]),"")))</f>
        <v/>
      </c>
      <c r="FL130" s="44" t="str">
        <f>IF(Table1[Leaving Date]="","",IF(Table1[Date of Initial Assessment]="","",IF(AND(Table1[Leaving Date]&gt;42094,Table1[Leaving Date]&lt;42461),IF(Table1[Date of Last Assessment]="",Table1[Self-Care and Living Skills],Table1[Self-Care and Living Skills2]),"")))</f>
        <v/>
      </c>
      <c r="FM130" s="44" t="str">
        <f>IF(Table1[Leaving Date]="","",IF(Table1[Date of Initial Assessment]="","",IF(AND(Table1[Leaving Date]&gt;42094,Table1[Leaving Date]&lt;42461),IF(Table1[Date of Last Assessment]="",Table1[Managing Money and Personal Administration],Table1[Managing Money and Personal Administration2]),"")))</f>
        <v/>
      </c>
      <c r="FN130" s="44" t="str">
        <f>IF(Table1[Leaving Date]="","",IF(Table1[Date of Initial Assessment]="","",IF(AND(Table1[Leaving Date]&gt;42094,Table1[Leaving Date]&lt;42461),IF(Table1[Date of Last Assessment]="",Table1[Social Networks and Relationships],Table1[Social Networks and Relationships2]),"")))</f>
        <v/>
      </c>
      <c r="FO130" s="44" t="str">
        <f>IF(Table1[Leaving Date]="","",IF(Table1[Date of Initial Assessment]="","",IF(AND(Table1[Leaving Date]&gt;42094,Table1[Leaving Date]&lt;42461),IF(Table1[Date of Last Assessment]="",Table1[Drug and Alcohol Misuse],Table1[Drug and Alcohol Misuse2]),"")))</f>
        <v/>
      </c>
      <c r="FP130" s="44" t="str">
        <f>IF(Table1[Leaving Date]="","",IF(Table1[Date of Initial Assessment]="","",IF(AND(Table1[Leaving Date]&gt;42094,Table1[Leaving Date]&lt;42461),IF(Table1[Date of Last Assessment]="",Table1[Physical Health],Table1[Physical Health2]),"")))</f>
        <v/>
      </c>
      <c r="FQ130" s="44" t="str">
        <f>IF(Table1[Leaving Date]="","",IF(Table1[Date of Initial Assessment]="","",IF(AND(Table1[Leaving Date]&gt;42094,Table1[Leaving Date]&lt;42461),IF(Table1[Date of Last Assessment]="",Table1[Emotional and Mental Health],Table1[Emotional and Mental Health2]),"")))</f>
        <v/>
      </c>
      <c r="FR130" s="44" t="str">
        <f>IF(Table1[Leaving Date]="","",IF(Table1[Date of Initial Assessment]="","",IF(AND(Table1[Leaving Date]&gt;42094,Table1[Leaving Date]&lt;42461),IF(Table1[Date of Last Assessment]="",Table1[Meaningful Use of Time],Table1[Meaningful Use of Time2]),"")))</f>
        <v/>
      </c>
      <c r="FS130" s="44" t="str">
        <f>IF(Table1[Leaving Date]="","",IF(Table1[Date of Initial Assessment]="","",IF(AND(Table1[Leaving Date]&gt;42094,Table1[Leaving Date]&lt;42461),IF(Table1[Date of Last Assessment]="",Table1[Managing Tenancy and Accommodation],Table1[Managing Tenancy and Accommodation2]),"")))</f>
        <v/>
      </c>
      <c r="FT130" s="44" t="str">
        <f>IF(Table1[Leaving Date]="","",IF(Table1[Date of Initial Assessment]="","",IF(AND(Table1[Leaving Date]&gt;42094,Table1[Leaving Date]&lt;42461),IF(Table1[Date of Last Assessment]="",Table1[Offending],Table1[Offending2]),"")))</f>
        <v/>
      </c>
      <c r="FU130" s="44" t="str">
        <f>IF(Table1[Date of Initial Assessment]="","",IF(AND(Table1[Start Date]&gt;42460,Table1[Start Date]&lt;42826),Table1[Motivation and Taking Responsibility],""))</f>
        <v/>
      </c>
      <c r="FV130" s="44" t="str">
        <f>IF(Table1[Date of Initial Assessment]="","",IF(AND(Table1[Start Date]&gt;42460,Table1[Start Date]&lt;42826),Table1[Self-Care and Living Skills],""))</f>
        <v/>
      </c>
      <c r="FW130" s="44" t="str">
        <f>IF(Table1[Date of Initial Assessment]="","",IF(AND(Table1[Start Date]&gt;42460,Table1[Start Date]&lt;42826),Table1[Managing Money and Personal Administration],""))</f>
        <v/>
      </c>
      <c r="FX130" s="44" t="str">
        <f>IF(Table1[Date of Initial Assessment]="","",IF(AND(Table1[Start Date]&gt;42460,Table1[Start Date]&lt;42826),Table1[Social Networks and Relationships],""))</f>
        <v/>
      </c>
      <c r="FY130" s="44" t="str">
        <f>IF(Table1[Date of Initial Assessment]="","",IF(AND(Table1[Start Date]&gt;42460,Table1[Start Date]&lt;42826),Table1[Drug and Alcohol Misuse],""))</f>
        <v/>
      </c>
      <c r="FZ130" s="44" t="str">
        <f>IF(Table1[Date of Initial Assessment]="","",IF(AND(Table1[Start Date]&gt;42460,Table1[Start Date]&lt;42826),Table1[Physical Health],""))</f>
        <v/>
      </c>
      <c r="GA130" s="44" t="str">
        <f>IF(Table1[Date of Initial Assessment]="","",IF(AND(Table1[Start Date]&gt;42460,Table1[Start Date]&lt;42826),Table1[Emotional and Mental Health],""))</f>
        <v/>
      </c>
      <c r="GB130" s="44" t="str">
        <f>IF(Table1[Date of Initial Assessment]="","",IF(AND(Table1[Start Date]&gt;42460,Table1[Start Date]&lt;42826),Table1[Meaningful Use of Time],""))</f>
        <v/>
      </c>
      <c r="GC130" s="44" t="str">
        <f>IF(Table1[Date of Initial Assessment]="","",IF(AND(Table1[Start Date]&gt;42460,Table1[Start Date]&lt;42826),Table1[Managing Tenancy and Accommodation],""))</f>
        <v/>
      </c>
      <c r="GD130" s="44" t="str">
        <f>IF(Table1[Date of Initial Assessment]="","",IF(AND(Table1[Start Date]&gt;42460,Table1[Start Date]&lt;42826),Table1[Offending],""))</f>
        <v/>
      </c>
      <c r="GE130" s="44" t="str">
        <f>IF(Table1[Leaving Date]="","",IF(AND(Table1[Leaving Date]&gt;42460,Table1[Leaving Date]&lt;42826),IF(Table1[Date of Last Assessment]="",Table1[Motivation and Taking Responsibility],Table1[Motivation and Taking Responsibility2]),""))</f>
        <v/>
      </c>
      <c r="GF130" s="44" t="str">
        <f>IF(Table1[Leaving Date]="","",IF(AND(Table1[Leaving Date]&gt;42460,Table1[Leaving Date]&lt;42826),IF(Table1[Date of Last Assessment]="",Table1[Self-Care and Living Skills],Table1[Self-Care and Living Skills2]),""))</f>
        <v/>
      </c>
      <c r="GG130" s="44" t="str">
        <f>IF(Table1[Leaving Date]="","",IF(AND(Table1[Leaving Date]&gt;42460,Table1[Leaving Date]&lt;42826),IF(Table1[Date of Last Assessment]="",Table1[Managing Money and Personal Administration],Table1[Managing Money and Personal Administration2]),""))</f>
        <v/>
      </c>
      <c r="GH130" s="44" t="str">
        <f>IF(Table1[Leaving Date]="","",IF(AND(Table1[Leaving Date]&gt;42460,Table1[Leaving Date]&lt;42826),IF(Table1[Date of Last Assessment]="",Table1[Social Networks and Relationships],Table1[Social Networks and Relationships2]),""))</f>
        <v/>
      </c>
      <c r="GI130" s="44" t="str">
        <f>IF(Table1[Leaving Date]="","",IF(AND(Table1[Leaving Date]&gt;42460,Table1[Leaving Date]&lt;42826),IF(Table1[Date of Last Assessment]="",Table1[Drug and Alcohol Misuse],Table1[Drug and Alcohol Misuse2]),""))</f>
        <v/>
      </c>
      <c r="GJ130" s="44" t="str">
        <f>IF(Table1[Leaving Date]="","",IF(AND(Table1[Leaving Date]&gt;42460,Table1[Leaving Date]&lt;42826),IF(Table1[Date of Last Assessment]="",Table1[Physical Health],Table1[Physical Health2]),""))</f>
        <v/>
      </c>
      <c r="GK130" s="44" t="str">
        <f>IF(Table1[Leaving Date]="","",IF(AND(Table1[Leaving Date]&gt;42460,Table1[Leaving Date]&lt;42826),IF(Table1[Date of Last Assessment]="",Table1[Emotional and Mental Health],Table1[Emotional and Mental Health2]),""))</f>
        <v/>
      </c>
      <c r="GL130" s="44" t="str">
        <f>IF(Table1[Leaving Date]="","",IF(AND(Table1[Leaving Date]&gt;42460,Table1[Leaving Date]&lt;42826),IF(Table1[Date of Last Assessment]="",Table1[Meaningful Use of Time],Table1[Meaningful Use of Time2]),""))</f>
        <v/>
      </c>
      <c r="GM130" s="44" t="str">
        <f>IF(Table1[Leaving Date]="","",IF(AND(Table1[Leaving Date]&gt;42460,Table1[Leaving Date]&lt;42826),IF(Table1[Date of Last Assessment]="",Table1[Managing Tenancy and Accommodation],Table1[Managing Tenancy and Accommodation2]),""))</f>
        <v/>
      </c>
      <c r="GN130" s="44" t="str">
        <f>IF(Table1[Leaving Date]="","",IF(AND(Table1[Leaving Date]&gt;42460,Table1[Leaving Date]&lt;42826),IF(Table1[Date of Last Assessment]="",Table1[Offending],Table1[Offending2]),""))</f>
        <v/>
      </c>
    </row>
    <row r="131" spans="2:196" ht="20.100000000000001" customHeight="1" x14ac:dyDescent="0.2">
      <c r="B131" s="86">
        <f>+'Service Data'!$C$5:$C$5</f>
        <v>0</v>
      </c>
      <c r="C131" s="86"/>
      <c r="D131" s="86"/>
      <c r="E131" s="86"/>
      <c r="F131" s="86"/>
      <c r="G131" s="86"/>
      <c r="H131" s="6"/>
      <c r="I131" s="99" t="str">
        <f ca="1">IF(Table1[[#This Row],[Date of Birth]]="","",SUM(TODAY()-Table1[[#This Row],[Date of Birth]])/365)</f>
        <v/>
      </c>
      <c r="L131" s="86"/>
      <c r="M131" s="77"/>
      <c r="N131" s="86"/>
      <c r="O131" s="86"/>
      <c r="P131" s="91"/>
      <c r="Q131" s="86"/>
      <c r="R131" s="77"/>
      <c r="S131" s="77"/>
      <c r="T131" s="68"/>
      <c r="U131" s="68"/>
      <c r="V131" s="67"/>
      <c r="W131" s="67"/>
      <c r="X131" s="67"/>
      <c r="Y131" s="67"/>
      <c r="Z131" s="67"/>
      <c r="AA131" s="67"/>
      <c r="AB131" s="67"/>
      <c r="AC131" s="67"/>
      <c r="AD131" s="67"/>
      <c r="AE131" s="67"/>
      <c r="AF131" s="67"/>
      <c r="AG131" s="67"/>
      <c r="AH131" s="67"/>
      <c r="AI131" s="67"/>
      <c r="AJ131" s="67"/>
      <c r="AK131" s="67"/>
      <c r="AL131" s="67"/>
      <c r="AM131" s="67"/>
      <c r="AN131" s="77"/>
      <c r="AO131" s="76"/>
      <c r="AP131" s="77"/>
      <c r="AQ131" s="76"/>
      <c r="AR131" s="76"/>
      <c r="AS131" s="76"/>
      <c r="AT131" s="76"/>
      <c r="AU131" s="76"/>
      <c r="AV131" s="77"/>
      <c r="AW131" s="76"/>
      <c r="AX131" s="77"/>
      <c r="AY131" s="76"/>
      <c r="AZ131" s="76"/>
      <c r="BA131" s="76"/>
      <c r="BB131" s="76"/>
      <c r="BC131" s="76"/>
      <c r="BD131" s="77"/>
      <c r="BE131" s="76"/>
      <c r="BF131" s="77"/>
      <c r="BG131" s="76"/>
      <c r="BH131" s="76"/>
      <c r="BI131" s="76"/>
      <c r="BJ131" s="76"/>
      <c r="BK131" s="76"/>
      <c r="BL131" s="77"/>
      <c r="BM131" s="76"/>
      <c r="BN131" s="77"/>
      <c r="BO131" s="76"/>
      <c r="BP131" s="76"/>
      <c r="BQ131" s="76"/>
      <c r="BR131" s="76"/>
      <c r="BS131" s="76"/>
      <c r="BT131" s="77"/>
      <c r="BU131" s="76"/>
      <c r="BV131" s="77"/>
      <c r="BW131" s="76"/>
      <c r="BX131" s="76"/>
      <c r="BY131" s="76"/>
      <c r="BZ131" s="76"/>
      <c r="CA131" s="76"/>
      <c r="CB131" s="77"/>
      <c r="CC131" s="76"/>
      <c r="CD131" s="77"/>
      <c r="CE131" s="76"/>
      <c r="CF131" s="76"/>
      <c r="CG131" s="76"/>
      <c r="CH131" s="76"/>
      <c r="CI131" s="76"/>
      <c r="CJ131" s="77"/>
      <c r="CK131" s="76"/>
      <c r="CL131" s="77"/>
      <c r="CM131" s="76"/>
      <c r="CN131" s="76"/>
      <c r="CO131" s="76"/>
      <c r="CP131" s="76"/>
      <c r="CQ131" s="76"/>
      <c r="CR131" s="78" t="str">
        <f t="shared" si="31"/>
        <v/>
      </c>
      <c r="CS131" s="79" t="str">
        <f t="shared" si="32"/>
        <v/>
      </c>
      <c r="CT131" s="79" t="str">
        <f t="shared" si="33"/>
        <v/>
      </c>
      <c r="CU131" s="79" t="str">
        <f t="shared" si="34"/>
        <v/>
      </c>
      <c r="CV131" s="79" t="str">
        <f t="shared" si="35"/>
        <v/>
      </c>
      <c r="CW131" s="79" t="str">
        <f t="shared" si="36"/>
        <v/>
      </c>
      <c r="CX131" s="79" t="str">
        <f t="shared" si="37"/>
        <v/>
      </c>
      <c r="CY131" s="79" t="str">
        <f t="shared" si="38"/>
        <v/>
      </c>
      <c r="CZ131" s="79" t="str">
        <f t="shared" si="39"/>
        <v/>
      </c>
      <c r="DA131" s="79" t="str">
        <f t="shared" si="40"/>
        <v/>
      </c>
      <c r="DB131" s="79" t="str">
        <f t="shared" si="41"/>
        <v/>
      </c>
      <c r="DC131" s="79" t="str">
        <f t="shared" si="42"/>
        <v/>
      </c>
      <c r="DD131" s="79" t="str">
        <f t="shared" si="43"/>
        <v/>
      </c>
      <c r="DE131" s="79" t="str">
        <f t="shared" si="44"/>
        <v/>
      </c>
      <c r="DF131" s="79" t="str">
        <f t="shared" si="45"/>
        <v/>
      </c>
      <c r="DG131" s="79" t="str">
        <f t="shared" si="46"/>
        <v/>
      </c>
      <c r="DH131" s="76"/>
      <c r="DI131" s="78"/>
      <c r="DJ131" s="76"/>
      <c r="DK131" s="77"/>
      <c r="DL131" s="77"/>
      <c r="DM131" s="77"/>
      <c r="DN131" s="80"/>
      <c r="DO131" s="80"/>
      <c r="DP131" s="92" t="str">
        <f>IF(Table1[Start Date]="","",IF(Table1[Start Date]&gt;42185,"",IF(AND(Table1[Leaving Date]&gt;1,Table1[Leaving Date]&lt;42095),"",1)))</f>
        <v/>
      </c>
      <c r="DQ131" s="92" t="str">
        <f>IF(Table1[Start Date]="","",IF(Table1[Start Date]&gt;42277,"",IF(AND(Table1[Leaving Date]&gt;1,Table1[Leaving Date]&lt;42186),"",1)))</f>
        <v/>
      </c>
      <c r="DR131" s="92" t="str">
        <f>IF(Table1[Start Date]="","",IF(Table1[Start Date]&gt;42369,"",IF(AND(Table1[Leaving Date]&gt;1,Table1[Leaving Date]&lt;42278),"",1)))</f>
        <v/>
      </c>
      <c r="DS131" s="92" t="str">
        <f>IF(Table1[Start Date]="","",IF(Table1[Start Date]&gt;42460,"",IF(AND(Table1[Leaving Date]&gt;1,Table1[Leaving Date]&lt;42370),"",1)))</f>
        <v/>
      </c>
      <c r="DT131" s="92" t="str">
        <f>IF(Table1[Start Date]="","",IF(Table1[Start Date]&gt;42551,"",IF(AND(Table1[Leaving Date]&gt;1,Table1[Leaving Date]&lt;42461),"",1)))</f>
        <v/>
      </c>
      <c r="DU131" s="92" t="str">
        <f>IF(Table1[Start Date]="","",IF(Table1[Start Date]&gt;42643,"",IF(AND(Table1[Leaving Date]&gt;1,Table1[Leaving Date]&lt;42552),"",1)))</f>
        <v/>
      </c>
      <c r="DV131" s="92" t="str">
        <f>IF(Table1[Start Date]="","",IF(Table1[Start Date]&gt;42735,"",IF(AND(Table1[Leaving Date]&gt;1,Table1[Leaving Date]&lt;42644),"",1)))</f>
        <v/>
      </c>
      <c r="DW131" s="92" t="str">
        <f>IF(Table1[Start Date]="","",IF(Table1[Start Date]&gt;42825,"",IF(AND(Table1[Leaving Date]&gt;1,Table1[Leaving Date]&lt;42736),"",1)))</f>
        <v/>
      </c>
      <c r="DX131"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131" s="44" t="e">
        <f>VLOOKUP(Table1[Referral Source],Lists!$G$2:$H$20,2,FALSE)</f>
        <v>#N/A</v>
      </c>
      <c r="DZ131" s="93" t="e">
        <f>SUM(Table1[Data Referral Quarter]+Table1[Data Referral Source])</f>
        <v>#N/A</v>
      </c>
      <c r="EA131" s="44" t="b">
        <f>IF(Table1[Referral Decision]="Accepted",100,IF(Table1[Referral Decision]="Rejected by Provider",200,IF(Table1[Referral Decision]="Rejected by Applicant",300)))</f>
        <v>0</v>
      </c>
      <c r="EB131" s="44">
        <f>SUM(Table1[Data Referral Quarter]+Table1[Data Referral Decision])</f>
        <v>0</v>
      </c>
      <c r="EC131" s="44" t="b">
        <f>IF(Table1[Start Date]&gt;42735,8000,IF(Table1[Start Date]&gt;42643,7000,IF(Table1[Start Date]&gt;42551,6000,IF(Table1[Start Date]&gt;42460,5000,IF(Table1[Start Date]&gt;42369,4000,IF(Table1[Start Date]&gt;42277,3000,IF(Table1[Start Date]&gt;42185,2000,IF(Table1[Start Date]&gt;42094,1000))))))))</f>
        <v>0</v>
      </c>
      <c r="ED131" s="44" t="str">
        <f>IF(Table1[Start Date]="","",IF(Table1[Current Local Authority]="Swindon",1,"2"))</f>
        <v/>
      </c>
      <c r="EE131" s="44" t="e">
        <f>SUM(Table1[Data Start Date]+Table1[Data Local Authority])</f>
        <v>#VALUE!</v>
      </c>
      <c r="EF131" s="44">
        <f>IF(Table1[Registered with GP]="Yes",1,0)</f>
        <v>0</v>
      </c>
      <c r="EG131" s="44">
        <f>SUM(Table1[Data Start Date]+Table1[Data GP Start])</f>
        <v>0</v>
      </c>
      <c r="EH131" s="44" t="str">
        <f>IF(Table1[EET]="NEET",1,IF(Table1[EET]="Education",2,IF(Table1[EET]="Employment",2,IF(Table1[EET]="Training",2,IF(Table1[EET]="Retired",3,"")))))</f>
        <v/>
      </c>
      <c r="EI131" s="44" t="e">
        <f>Table1[Data Start Date]+Table1[Data EET Start]</f>
        <v>#VALUE!</v>
      </c>
      <c r="EJ131" s="44" t="b">
        <f>IF(Table1[Leaving Date]&gt;42735,8000,IF(Table1[Leaving Date]&gt;42643,7000,IF(Table1[Leaving Date]&gt;42551,6000,IF(Table1[Leaving Date]&gt;42460,5000,IF(Table1[Leaving Date]&gt;42369,4000,IF(Table1[Leaving Date]&gt;42277,3000,IF(Table1[Leaving Date]&gt;42185,2000,IF(Table1[Leaving Date]&gt;42094,1000))))))))</f>
        <v>0</v>
      </c>
      <c r="EK131" s="44" t="e">
        <f>VLOOKUP(Table1[Reason for Leaving],Lists!$T$2:$U$15,2,FALSE)</f>
        <v>#N/A</v>
      </c>
      <c r="EL131" s="44" t="e">
        <f>SUM(Table1[Data Leavers Date]+Table1[Data Move On])</f>
        <v>#N/A</v>
      </c>
      <c r="EM131" s="44" t="b">
        <f>IF(Table1[Registered with GP2]="Yes",1,IF(Table1[Registered with GP2]="No",0,IF(Table1[Registered with GP]="Yes",1,IF(Table1[Registered with GP]="No",0))))</f>
        <v>0</v>
      </c>
      <c r="EN131" s="44">
        <f>SUM(Table1[Data Leavers Date]+Table1[Data GP End])</f>
        <v>0</v>
      </c>
      <c r="EO131" s="44" t="str">
        <f>IF(Table1[EET2]="NEET",1,IF(Table1[EET2]="Employment",2,IF(Table1[EET2]="Education",2,IF(Table1[EET2]="Training",2,IF(Table1[EET2]="Retired",3,IF(Table1[EET]="NEET",1,IF(Table1[EET]="Employment",2,IF(Table1[EET]="Education",2,IF(Table1[EET]="Training",2,IF(Table1[EET]="Retired",3,""))))))))))</f>
        <v/>
      </c>
      <c r="EP131" s="44" t="e">
        <f>+Table1[[#This Row],[Data Leavers Date]]+Table1[[#This Row],[Data EET End]]</f>
        <v>#VALUE!</v>
      </c>
      <c r="EQ131" s="44">
        <f>IF(Table1[Exit Form Received]="Yes",1,0)</f>
        <v>0</v>
      </c>
      <c r="ER131" s="44">
        <f>+Table1[[#This Row],[Data Leavers Date]]+Table1[[#This Row],[Data Exit Forms]]</f>
        <v>0</v>
      </c>
      <c r="ES131" s="44" t="str">
        <f>IF(Table1[Data Leavers Date]=1000,SUM(Table1[Leaving Date]-Table1[Start Date]),"")</f>
        <v/>
      </c>
      <c r="ET131" s="44" t="str">
        <f>IF(Table1[Data Leavers Date]=2000,SUM(Table1[Leaving Date]-Table1[Start Date]),"")</f>
        <v/>
      </c>
      <c r="EU131" s="44" t="str">
        <f>IF(Table1[Data Leavers Date]=3000,SUM(Table1[Leaving Date]-Table1[Start Date]),"")</f>
        <v/>
      </c>
      <c r="EV131" s="44" t="str">
        <f>IF(Table1[Data Leavers Date]=4000,SUM(Table1[Leaving Date]-Table1[Start Date]),"")</f>
        <v/>
      </c>
      <c r="EW131" s="44" t="str">
        <f>IF(Table1[Data Leavers Date]=5000,SUM(Table1[Leaving Date]-Table1[Start Date]),"")</f>
        <v/>
      </c>
      <c r="EX131" s="44" t="str">
        <f>IF(Table1[Data Leavers Date]=6000,SUM(Table1[Leaving Date]-Table1[Start Date]),"")</f>
        <v/>
      </c>
      <c r="EY131" s="44" t="str">
        <f>IF(Table1[Data Leavers Date]=7000,SUM(Table1[Leaving Date]-Table1[Start Date]),"")</f>
        <v/>
      </c>
      <c r="EZ131" s="44" t="str">
        <f>IF(Table1[Data Leavers Date]=8000,SUM(Table1[Leaving Date]-Table1[Start Date]),"")</f>
        <v/>
      </c>
      <c r="FA131" s="44" t="str">
        <f>IF(Table1[Date of Initial Assessment]="","",IF(AND(Table1[Start Date]&gt;42094,Table1[Start Date]&lt;42461),Table1[Motivation and Taking Responsibility],""))</f>
        <v/>
      </c>
      <c r="FB131" s="44" t="str">
        <f>IF(Table1[Date of Initial Assessment]="","",IF(AND(Table1[Start Date]&gt;42094,Table1[Start Date]&lt;42461),Table1[Self-Care and Living Skills],""))</f>
        <v/>
      </c>
      <c r="FC131" s="44" t="str">
        <f>IF(Table1[Date of Initial Assessment]="","",IF(AND(Table1[Start Date]&gt;42094,Table1[Start Date]&lt;42461),Table1[Managing Money and Personal Administration],""))</f>
        <v/>
      </c>
      <c r="FD131" s="44" t="str">
        <f>IF(Table1[Date of Initial Assessment]="","",IF(AND(Table1[Start Date]&gt;42094,Table1[Start Date]&lt;42461),Table1[Social Networks and Relationships],""))</f>
        <v/>
      </c>
      <c r="FE131" s="44" t="str">
        <f>IF(Table1[Date of Initial Assessment]="","",IF(AND(Table1[Start Date]&gt;42094,Table1[Start Date]&lt;42461),Table1[Drug and Alcohol Misuse],""))</f>
        <v/>
      </c>
      <c r="FF131" s="44" t="str">
        <f>IF(Table1[Date of Initial Assessment]="","",IF(AND(Table1[Start Date]&gt;42094,Table1[Start Date]&lt;42461),Table1[Physical Health],""))</f>
        <v/>
      </c>
      <c r="FG131" s="44" t="str">
        <f>IF(Table1[Date of Initial Assessment]="","",IF(AND(Table1[Start Date]&gt;42094,Table1[Start Date]&lt;42461),Table1[Emotional and Mental Health],""))</f>
        <v/>
      </c>
      <c r="FH131" s="44" t="str">
        <f>IF(Table1[Date of Initial Assessment]="","",IF(AND(Table1[Start Date]&gt;42094,Table1[Start Date]&lt;42461),Table1[Meaningful Use of Time],""))</f>
        <v/>
      </c>
      <c r="FI131" s="44" t="str">
        <f>IF(Table1[Date of Initial Assessment]="","",IF(AND(Table1[Start Date]&gt;42094,Table1[Start Date]&lt;42461),Table1[Managing Tenancy and Accommodation],""))</f>
        <v/>
      </c>
      <c r="FJ131" s="44" t="str">
        <f>IF(Table1[Date of Initial Assessment]="","",IF(AND(Table1[Start Date]&gt;42094,Table1[Start Date]&lt;42461),Table1[Offending],""))</f>
        <v/>
      </c>
      <c r="FK131" s="44" t="str">
        <f>IF(Table1[Leaving Date]="","",IF(Table1[Date of Initial Assessment]="","",IF(AND(Table1[Leaving Date]&gt;42094,Table1[Leaving Date]&lt;42461),IF(Table1[Date of Last Assessment]="",Table1[Motivation and Taking Responsibility],Table1[Motivation and Taking Responsibility2]),"")))</f>
        <v/>
      </c>
      <c r="FL131" s="44" t="str">
        <f>IF(Table1[Leaving Date]="","",IF(Table1[Date of Initial Assessment]="","",IF(AND(Table1[Leaving Date]&gt;42094,Table1[Leaving Date]&lt;42461),IF(Table1[Date of Last Assessment]="",Table1[Self-Care and Living Skills],Table1[Self-Care and Living Skills2]),"")))</f>
        <v/>
      </c>
      <c r="FM131" s="44" t="str">
        <f>IF(Table1[Leaving Date]="","",IF(Table1[Date of Initial Assessment]="","",IF(AND(Table1[Leaving Date]&gt;42094,Table1[Leaving Date]&lt;42461),IF(Table1[Date of Last Assessment]="",Table1[Managing Money and Personal Administration],Table1[Managing Money and Personal Administration2]),"")))</f>
        <v/>
      </c>
      <c r="FN131" s="44" t="str">
        <f>IF(Table1[Leaving Date]="","",IF(Table1[Date of Initial Assessment]="","",IF(AND(Table1[Leaving Date]&gt;42094,Table1[Leaving Date]&lt;42461),IF(Table1[Date of Last Assessment]="",Table1[Social Networks and Relationships],Table1[Social Networks and Relationships2]),"")))</f>
        <v/>
      </c>
      <c r="FO131" s="44" t="str">
        <f>IF(Table1[Leaving Date]="","",IF(Table1[Date of Initial Assessment]="","",IF(AND(Table1[Leaving Date]&gt;42094,Table1[Leaving Date]&lt;42461),IF(Table1[Date of Last Assessment]="",Table1[Drug and Alcohol Misuse],Table1[Drug and Alcohol Misuse2]),"")))</f>
        <v/>
      </c>
      <c r="FP131" s="44" t="str">
        <f>IF(Table1[Leaving Date]="","",IF(Table1[Date of Initial Assessment]="","",IF(AND(Table1[Leaving Date]&gt;42094,Table1[Leaving Date]&lt;42461),IF(Table1[Date of Last Assessment]="",Table1[Physical Health],Table1[Physical Health2]),"")))</f>
        <v/>
      </c>
      <c r="FQ131" s="44" t="str">
        <f>IF(Table1[Leaving Date]="","",IF(Table1[Date of Initial Assessment]="","",IF(AND(Table1[Leaving Date]&gt;42094,Table1[Leaving Date]&lt;42461),IF(Table1[Date of Last Assessment]="",Table1[Emotional and Mental Health],Table1[Emotional and Mental Health2]),"")))</f>
        <v/>
      </c>
      <c r="FR131" s="44" t="str">
        <f>IF(Table1[Leaving Date]="","",IF(Table1[Date of Initial Assessment]="","",IF(AND(Table1[Leaving Date]&gt;42094,Table1[Leaving Date]&lt;42461),IF(Table1[Date of Last Assessment]="",Table1[Meaningful Use of Time],Table1[Meaningful Use of Time2]),"")))</f>
        <v/>
      </c>
      <c r="FS131" s="44" t="str">
        <f>IF(Table1[Leaving Date]="","",IF(Table1[Date of Initial Assessment]="","",IF(AND(Table1[Leaving Date]&gt;42094,Table1[Leaving Date]&lt;42461),IF(Table1[Date of Last Assessment]="",Table1[Managing Tenancy and Accommodation],Table1[Managing Tenancy and Accommodation2]),"")))</f>
        <v/>
      </c>
      <c r="FT131" s="44" t="str">
        <f>IF(Table1[Leaving Date]="","",IF(Table1[Date of Initial Assessment]="","",IF(AND(Table1[Leaving Date]&gt;42094,Table1[Leaving Date]&lt;42461),IF(Table1[Date of Last Assessment]="",Table1[Offending],Table1[Offending2]),"")))</f>
        <v/>
      </c>
      <c r="FU131" s="44" t="str">
        <f>IF(Table1[Date of Initial Assessment]="","",IF(AND(Table1[Start Date]&gt;42460,Table1[Start Date]&lt;42826),Table1[Motivation and Taking Responsibility],""))</f>
        <v/>
      </c>
      <c r="FV131" s="44" t="str">
        <f>IF(Table1[Date of Initial Assessment]="","",IF(AND(Table1[Start Date]&gt;42460,Table1[Start Date]&lt;42826),Table1[Self-Care and Living Skills],""))</f>
        <v/>
      </c>
      <c r="FW131" s="44" t="str">
        <f>IF(Table1[Date of Initial Assessment]="","",IF(AND(Table1[Start Date]&gt;42460,Table1[Start Date]&lt;42826),Table1[Managing Money and Personal Administration],""))</f>
        <v/>
      </c>
      <c r="FX131" s="44" t="str">
        <f>IF(Table1[Date of Initial Assessment]="","",IF(AND(Table1[Start Date]&gt;42460,Table1[Start Date]&lt;42826),Table1[Social Networks and Relationships],""))</f>
        <v/>
      </c>
      <c r="FY131" s="44" t="str">
        <f>IF(Table1[Date of Initial Assessment]="","",IF(AND(Table1[Start Date]&gt;42460,Table1[Start Date]&lt;42826),Table1[Drug and Alcohol Misuse],""))</f>
        <v/>
      </c>
      <c r="FZ131" s="44" t="str">
        <f>IF(Table1[Date of Initial Assessment]="","",IF(AND(Table1[Start Date]&gt;42460,Table1[Start Date]&lt;42826),Table1[Physical Health],""))</f>
        <v/>
      </c>
      <c r="GA131" s="44" t="str">
        <f>IF(Table1[Date of Initial Assessment]="","",IF(AND(Table1[Start Date]&gt;42460,Table1[Start Date]&lt;42826),Table1[Emotional and Mental Health],""))</f>
        <v/>
      </c>
      <c r="GB131" s="44" t="str">
        <f>IF(Table1[Date of Initial Assessment]="","",IF(AND(Table1[Start Date]&gt;42460,Table1[Start Date]&lt;42826),Table1[Meaningful Use of Time],""))</f>
        <v/>
      </c>
      <c r="GC131" s="44" t="str">
        <f>IF(Table1[Date of Initial Assessment]="","",IF(AND(Table1[Start Date]&gt;42460,Table1[Start Date]&lt;42826),Table1[Managing Tenancy and Accommodation],""))</f>
        <v/>
      </c>
      <c r="GD131" s="44" t="str">
        <f>IF(Table1[Date of Initial Assessment]="","",IF(AND(Table1[Start Date]&gt;42460,Table1[Start Date]&lt;42826),Table1[Offending],""))</f>
        <v/>
      </c>
      <c r="GE131" s="44" t="str">
        <f>IF(Table1[Leaving Date]="","",IF(AND(Table1[Leaving Date]&gt;42460,Table1[Leaving Date]&lt;42826),IF(Table1[Date of Last Assessment]="",Table1[Motivation and Taking Responsibility],Table1[Motivation and Taking Responsibility2]),""))</f>
        <v/>
      </c>
      <c r="GF131" s="44" t="str">
        <f>IF(Table1[Leaving Date]="","",IF(AND(Table1[Leaving Date]&gt;42460,Table1[Leaving Date]&lt;42826),IF(Table1[Date of Last Assessment]="",Table1[Self-Care and Living Skills],Table1[Self-Care and Living Skills2]),""))</f>
        <v/>
      </c>
      <c r="GG131" s="44" t="str">
        <f>IF(Table1[Leaving Date]="","",IF(AND(Table1[Leaving Date]&gt;42460,Table1[Leaving Date]&lt;42826),IF(Table1[Date of Last Assessment]="",Table1[Managing Money and Personal Administration],Table1[Managing Money and Personal Administration2]),""))</f>
        <v/>
      </c>
      <c r="GH131" s="44" t="str">
        <f>IF(Table1[Leaving Date]="","",IF(AND(Table1[Leaving Date]&gt;42460,Table1[Leaving Date]&lt;42826),IF(Table1[Date of Last Assessment]="",Table1[Social Networks and Relationships],Table1[Social Networks and Relationships2]),""))</f>
        <v/>
      </c>
      <c r="GI131" s="44" t="str">
        <f>IF(Table1[Leaving Date]="","",IF(AND(Table1[Leaving Date]&gt;42460,Table1[Leaving Date]&lt;42826),IF(Table1[Date of Last Assessment]="",Table1[Drug and Alcohol Misuse],Table1[Drug and Alcohol Misuse2]),""))</f>
        <v/>
      </c>
      <c r="GJ131" s="44" t="str">
        <f>IF(Table1[Leaving Date]="","",IF(AND(Table1[Leaving Date]&gt;42460,Table1[Leaving Date]&lt;42826),IF(Table1[Date of Last Assessment]="",Table1[Physical Health],Table1[Physical Health2]),""))</f>
        <v/>
      </c>
      <c r="GK131" s="44" t="str">
        <f>IF(Table1[Leaving Date]="","",IF(AND(Table1[Leaving Date]&gt;42460,Table1[Leaving Date]&lt;42826),IF(Table1[Date of Last Assessment]="",Table1[Emotional and Mental Health],Table1[Emotional and Mental Health2]),""))</f>
        <v/>
      </c>
      <c r="GL131" s="44" t="str">
        <f>IF(Table1[Leaving Date]="","",IF(AND(Table1[Leaving Date]&gt;42460,Table1[Leaving Date]&lt;42826),IF(Table1[Date of Last Assessment]="",Table1[Meaningful Use of Time],Table1[Meaningful Use of Time2]),""))</f>
        <v/>
      </c>
      <c r="GM131" s="44" t="str">
        <f>IF(Table1[Leaving Date]="","",IF(AND(Table1[Leaving Date]&gt;42460,Table1[Leaving Date]&lt;42826),IF(Table1[Date of Last Assessment]="",Table1[Managing Tenancy and Accommodation],Table1[Managing Tenancy and Accommodation2]),""))</f>
        <v/>
      </c>
      <c r="GN131" s="44" t="str">
        <f>IF(Table1[Leaving Date]="","",IF(AND(Table1[Leaving Date]&gt;42460,Table1[Leaving Date]&lt;42826),IF(Table1[Date of Last Assessment]="",Table1[Offending],Table1[Offending2]),""))</f>
        <v/>
      </c>
    </row>
    <row r="132" spans="2:196" ht="20.100000000000001" customHeight="1" x14ac:dyDescent="0.2">
      <c r="B132" s="86">
        <f>+'Service Data'!$C$5:$C$5</f>
        <v>0</v>
      </c>
      <c r="C132" s="86"/>
      <c r="D132" s="86"/>
      <c r="E132" s="86"/>
      <c r="F132" s="86"/>
      <c r="G132" s="86"/>
      <c r="H132" s="6"/>
      <c r="I132" s="99" t="str">
        <f ca="1">IF(Table1[[#This Row],[Date of Birth]]="","",SUM(TODAY()-Table1[[#This Row],[Date of Birth]])/365)</f>
        <v/>
      </c>
      <c r="L132" s="86"/>
      <c r="M132" s="77"/>
      <c r="N132" s="86"/>
      <c r="O132" s="86"/>
      <c r="P132" s="91"/>
      <c r="Q132" s="86"/>
      <c r="R132" s="77"/>
      <c r="S132" s="77"/>
      <c r="T132" s="68"/>
      <c r="U132" s="68"/>
      <c r="V132" s="67"/>
      <c r="W132" s="67"/>
      <c r="X132" s="67"/>
      <c r="Y132" s="67"/>
      <c r="Z132" s="67"/>
      <c r="AA132" s="67"/>
      <c r="AB132" s="67"/>
      <c r="AC132" s="67"/>
      <c r="AD132" s="67"/>
      <c r="AE132" s="67"/>
      <c r="AF132" s="67"/>
      <c r="AG132" s="67"/>
      <c r="AH132" s="67"/>
      <c r="AI132" s="67"/>
      <c r="AJ132" s="67"/>
      <c r="AK132" s="67"/>
      <c r="AL132" s="67"/>
      <c r="AM132" s="67"/>
      <c r="AN132" s="77"/>
      <c r="AO132" s="76"/>
      <c r="AP132" s="77"/>
      <c r="AQ132" s="76"/>
      <c r="AR132" s="76"/>
      <c r="AS132" s="76"/>
      <c r="AT132" s="76"/>
      <c r="AU132" s="76"/>
      <c r="AV132" s="77"/>
      <c r="AW132" s="76"/>
      <c r="AX132" s="77"/>
      <c r="AY132" s="76"/>
      <c r="AZ132" s="76"/>
      <c r="BA132" s="76"/>
      <c r="BB132" s="76"/>
      <c r="BC132" s="76"/>
      <c r="BD132" s="77"/>
      <c r="BE132" s="76"/>
      <c r="BF132" s="77"/>
      <c r="BG132" s="76"/>
      <c r="BH132" s="76"/>
      <c r="BI132" s="76"/>
      <c r="BJ132" s="76"/>
      <c r="BK132" s="76"/>
      <c r="BL132" s="77"/>
      <c r="BM132" s="76"/>
      <c r="BN132" s="77"/>
      <c r="BO132" s="76"/>
      <c r="BP132" s="76"/>
      <c r="BQ132" s="76"/>
      <c r="BR132" s="76"/>
      <c r="BS132" s="76"/>
      <c r="BT132" s="77"/>
      <c r="BU132" s="76"/>
      <c r="BV132" s="77"/>
      <c r="BW132" s="76"/>
      <c r="BX132" s="76"/>
      <c r="BY132" s="76"/>
      <c r="BZ132" s="76"/>
      <c r="CA132" s="76"/>
      <c r="CB132" s="77"/>
      <c r="CC132" s="76"/>
      <c r="CD132" s="77"/>
      <c r="CE132" s="76"/>
      <c r="CF132" s="76"/>
      <c r="CG132" s="76"/>
      <c r="CH132" s="76"/>
      <c r="CI132" s="76"/>
      <c r="CJ132" s="77"/>
      <c r="CK132" s="76"/>
      <c r="CL132" s="77"/>
      <c r="CM132" s="76"/>
      <c r="CN132" s="76"/>
      <c r="CO132" s="76"/>
      <c r="CP132" s="76"/>
      <c r="CQ132" s="76"/>
      <c r="CR132" s="78" t="str">
        <f t="shared" ref="CR132:CR195" si="47">IF(U132="","",U132)</f>
        <v/>
      </c>
      <c r="CS132" s="79" t="str">
        <f t="shared" ref="CS132:CS195" si="48">IF(V132="","",V132)</f>
        <v/>
      </c>
      <c r="CT132" s="79" t="str">
        <f t="shared" ref="CT132:CT195" si="49">IF(W132="","",W132)</f>
        <v/>
      </c>
      <c r="CU132" s="79" t="str">
        <f t="shared" ref="CU132:CU195" si="50">IF(X132="","",X132)</f>
        <v/>
      </c>
      <c r="CV132" s="79" t="str">
        <f t="shared" ref="CV132:CV195" si="51">IF(Y132="","",Y132)</f>
        <v/>
      </c>
      <c r="CW132" s="79" t="str">
        <f t="shared" ref="CW132:CW195" si="52">IF(Z132="","",Z132)</f>
        <v/>
      </c>
      <c r="CX132" s="79" t="str">
        <f t="shared" ref="CX132:CX195" si="53">IF(AA132="","",AA132)</f>
        <v/>
      </c>
      <c r="CY132" s="79" t="str">
        <f t="shared" ref="CY132:CY195" si="54">IF(AB132="","",AB132)</f>
        <v/>
      </c>
      <c r="CZ132" s="79" t="str">
        <f t="shared" ref="CZ132:CZ195" si="55">IF(AC132="","",AC132)</f>
        <v/>
      </c>
      <c r="DA132" s="79" t="str">
        <f t="shared" ref="DA132:DA195" si="56">IF(AD132="","",AD132)</f>
        <v/>
      </c>
      <c r="DB132" s="79" t="str">
        <f t="shared" ref="DB132:DB195" si="57">IF(AE132="","",AE132)</f>
        <v/>
      </c>
      <c r="DC132" s="79" t="str">
        <f t="shared" ref="DC132:DC195" si="58">IF(AF132="","",AF132)</f>
        <v/>
      </c>
      <c r="DD132" s="79" t="str">
        <f t="shared" ref="DD132:DD195" si="59">IF(AG132="","",AG132)</f>
        <v/>
      </c>
      <c r="DE132" s="79" t="str">
        <f t="shared" ref="DE132:DE195" si="60">IF(AK132="","",AK132)</f>
        <v/>
      </c>
      <c r="DF132" s="79" t="str">
        <f t="shared" ref="DF132:DF195" si="61">IF(AL132="","",AL132)</f>
        <v/>
      </c>
      <c r="DG132" s="79" t="str">
        <f t="shared" ref="DG132:DG195" si="62">IF(AM132="","",AM132)</f>
        <v/>
      </c>
      <c r="DH132" s="76"/>
      <c r="DI132" s="78"/>
      <c r="DJ132" s="76"/>
      <c r="DK132" s="77"/>
      <c r="DL132" s="77"/>
      <c r="DM132" s="77"/>
      <c r="DN132" s="80"/>
      <c r="DO132" s="80"/>
      <c r="DP132" s="92" t="str">
        <f>IF(Table1[Start Date]="","",IF(Table1[Start Date]&gt;42185,"",IF(AND(Table1[Leaving Date]&gt;1,Table1[Leaving Date]&lt;42095),"",1)))</f>
        <v/>
      </c>
      <c r="DQ132" s="92" t="str">
        <f>IF(Table1[Start Date]="","",IF(Table1[Start Date]&gt;42277,"",IF(AND(Table1[Leaving Date]&gt;1,Table1[Leaving Date]&lt;42186),"",1)))</f>
        <v/>
      </c>
      <c r="DR132" s="92" t="str">
        <f>IF(Table1[Start Date]="","",IF(Table1[Start Date]&gt;42369,"",IF(AND(Table1[Leaving Date]&gt;1,Table1[Leaving Date]&lt;42278),"",1)))</f>
        <v/>
      </c>
      <c r="DS132" s="92" t="str">
        <f>IF(Table1[Start Date]="","",IF(Table1[Start Date]&gt;42460,"",IF(AND(Table1[Leaving Date]&gt;1,Table1[Leaving Date]&lt;42370),"",1)))</f>
        <v/>
      </c>
      <c r="DT132" s="92" t="str">
        <f>IF(Table1[Start Date]="","",IF(Table1[Start Date]&gt;42551,"",IF(AND(Table1[Leaving Date]&gt;1,Table1[Leaving Date]&lt;42461),"",1)))</f>
        <v/>
      </c>
      <c r="DU132" s="92" t="str">
        <f>IF(Table1[Start Date]="","",IF(Table1[Start Date]&gt;42643,"",IF(AND(Table1[Leaving Date]&gt;1,Table1[Leaving Date]&lt;42552),"",1)))</f>
        <v/>
      </c>
      <c r="DV132" s="92" t="str">
        <f>IF(Table1[Start Date]="","",IF(Table1[Start Date]&gt;42735,"",IF(AND(Table1[Leaving Date]&gt;1,Table1[Leaving Date]&lt;42644),"",1)))</f>
        <v/>
      </c>
      <c r="DW132" s="92" t="str">
        <f>IF(Table1[Start Date]="","",IF(Table1[Start Date]&gt;42825,"",IF(AND(Table1[Leaving Date]&gt;1,Table1[Leaving Date]&lt;42736),"",1)))</f>
        <v/>
      </c>
      <c r="DX132"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132" s="44" t="e">
        <f>VLOOKUP(Table1[Referral Source],Lists!$G$2:$H$20,2,FALSE)</f>
        <v>#N/A</v>
      </c>
      <c r="DZ132" s="93" t="e">
        <f>SUM(Table1[Data Referral Quarter]+Table1[Data Referral Source])</f>
        <v>#N/A</v>
      </c>
      <c r="EA132" s="44" t="b">
        <f>IF(Table1[Referral Decision]="Accepted",100,IF(Table1[Referral Decision]="Rejected by Provider",200,IF(Table1[Referral Decision]="Rejected by Applicant",300)))</f>
        <v>0</v>
      </c>
      <c r="EB132" s="44">
        <f>SUM(Table1[Data Referral Quarter]+Table1[Data Referral Decision])</f>
        <v>0</v>
      </c>
      <c r="EC132" s="44" t="b">
        <f>IF(Table1[Start Date]&gt;42735,8000,IF(Table1[Start Date]&gt;42643,7000,IF(Table1[Start Date]&gt;42551,6000,IF(Table1[Start Date]&gt;42460,5000,IF(Table1[Start Date]&gt;42369,4000,IF(Table1[Start Date]&gt;42277,3000,IF(Table1[Start Date]&gt;42185,2000,IF(Table1[Start Date]&gt;42094,1000))))))))</f>
        <v>0</v>
      </c>
      <c r="ED132" s="44" t="str">
        <f>IF(Table1[Start Date]="","",IF(Table1[Current Local Authority]="Swindon",1,"2"))</f>
        <v/>
      </c>
      <c r="EE132" s="44" t="e">
        <f>SUM(Table1[Data Start Date]+Table1[Data Local Authority])</f>
        <v>#VALUE!</v>
      </c>
      <c r="EF132" s="44">
        <f>IF(Table1[Registered with GP]="Yes",1,0)</f>
        <v>0</v>
      </c>
      <c r="EG132" s="44">
        <f>SUM(Table1[Data Start Date]+Table1[Data GP Start])</f>
        <v>0</v>
      </c>
      <c r="EH132" s="44" t="str">
        <f>IF(Table1[EET]="NEET",1,IF(Table1[EET]="Education",2,IF(Table1[EET]="Employment",2,IF(Table1[EET]="Training",2,IF(Table1[EET]="Retired",3,"")))))</f>
        <v/>
      </c>
      <c r="EI132" s="44" t="e">
        <f>Table1[Data Start Date]+Table1[Data EET Start]</f>
        <v>#VALUE!</v>
      </c>
      <c r="EJ132" s="44" t="b">
        <f>IF(Table1[Leaving Date]&gt;42735,8000,IF(Table1[Leaving Date]&gt;42643,7000,IF(Table1[Leaving Date]&gt;42551,6000,IF(Table1[Leaving Date]&gt;42460,5000,IF(Table1[Leaving Date]&gt;42369,4000,IF(Table1[Leaving Date]&gt;42277,3000,IF(Table1[Leaving Date]&gt;42185,2000,IF(Table1[Leaving Date]&gt;42094,1000))))))))</f>
        <v>0</v>
      </c>
      <c r="EK132" s="44" t="e">
        <f>VLOOKUP(Table1[Reason for Leaving],Lists!$T$2:$U$15,2,FALSE)</f>
        <v>#N/A</v>
      </c>
      <c r="EL132" s="44" t="e">
        <f>SUM(Table1[Data Leavers Date]+Table1[Data Move On])</f>
        <v>#N/A</v>
      </c>
      <c r="EM132" s="44" t="b">
        <f>IF(Table1[Registered with GP2]="Yes",1,IF(Table1[Registered with GP2]="No",0,IF(Table1[Registered with GP]="Yes",1,IF(Table1[Registered with GP]="No",0))))</f>
        <v>0</v>
      </c>
      <c r="EN132" s="44">
        <f>SUM(Table1[Data Leavers Date]+Table1[Data GP End])</f>
        <v>0</v>
      </c>
      <c r="EO132" s="44" t="str">
        <f>IF(Table1[EET2]="NEET",1,IF(Table1[EET2]="Employment",2,IF(Table1[EET2]="Education",2,IF(Table1[EET2]="Training",2,IF(Table1[EET2]="Retired",3,IF(Table1[EET]="NEET",1,IF(Table1[EET]="Employment",2,IF(Table1[EET]="Education",2,IF(Table1[EET]="Training",2,IF(Table1[EET]="Retired",3,""))))))))))</f>
        <v/>
      </c>
      <c r="EP132" s="44" t="e">
        <f>+Table1[[#This Row],[Data Leavers Date]]+Table1[[#This Row],[Data EET End]]</f>
        <v>#VALUE!</v>
      </c>
      <c r="EQ132" s="44">
        <f>IF(Table1[Exit Form Received]="Yes",1,0)</f>
        <v>0</v>
      </c>
      <c r="ER132" s="44">
        <f>+Table1[[#This Row],[Data Leavers Date]]+Table1[[#This Row],[Data Exit Forms]]</f>
        <v>0</v>
      </c>
      <c r="ES132" s="44" t="str">
        <f>IF(Table1[Data Leavers Date]=1000,SUM(Table1[Leaving Date]-Table1[Start Date]),"")</f>
        <v/>
      </c>
      <c r="ET132" s="44" t="str">
        <f>IF(Table1[Data Leavers Date]=2000,SUM(Table1[Leaving Date]-Table1[Start Date]),"")</f>
        <v/>
      </c>
      <c r="EU132" s="44" t="str">
        <f>IF(Table1[Data Leavers Date]=3000,SUM(Table1[Leaving Date]-Table1[Start Date]),"")</f>
        <v/>
      </c>
      <c r="EV132" s="44" t="str">
        <f>IF(Table1[Data Leavers Date]=4000,SUM(Table1[Leaving Date]-Table1[Start Date]),"")</f>
        <v/>
      </c>
      <c r="EW132" s="44" t="str">
        <f>IF(Table1[Data Leavers Date]=5000,SUM(Table1[Leaving Date]-Table1[Start Date]),"")</f>
        <v/>
      </c>
      <c r="EX132" s="44" t="str">
        <f>IF(Table1[Data Leavers Date]=6000,SUM(Table1[Leaving Date]-Table1[Start Date]),"")</f>
        <v/>
      </c>
      <c r="EY132" s="44" t="str">
        <f>IF(Table1[Data Leavers Date]=7000,SUM(Table1[Leaving Date]-Table1[Start Date]),"")</f>
        <v/>
      </c>
      <c r="EZ132" s="44" t="str">
        <f>IF(Table1[Data Leavers Date]=8000,SUM(Table1[Leaving Date]-Table1[Start Date]),"")</f>
        <v/>
      </c>
      <c r="FA132" s="44" t="str">
        <f>IF(Table1[Date of Initial Assessment]="","",IF(AND(Table1[Start Date]&gt;42094,Table1[Start Date]&lt;42461),Table1[Motivation and Taking Responsibility],""))</f>
        <v/>
      </c>
      <c r="FB132" s="44" t="str">
        <f>IF(Table1[Date of Initial Assessment]="","",IF(AND(Table1[Start Date]&gt;42094,Table1[Start Date]&lt;42461),Table1[Self-Care and Living Skills],""))</f>
        <v/>
      </c>
      <c r="FC132" s="44" t="str">
        <f>IF(Table1[Date of Initial Assessment]="","",IF(AND(Table1[Start Date]&gt;42094,Table1[Start Date]&lt;42461),Table1[Managing Money and Personal Administration],""))</f>
        <v/>
      </c>
      <c r="FD132" s="44" t="str">
        <f>IF(Table1[Date of Initial Assessment]="","",IF(AND(Table1[Start Date]&gt;42094,Table1[Start Date]&lt;42461),Table1[Social Networks and Relationships],""))</f>
        <v/>
      </c>
      <c r="FE132" s="44" t="str">
        <f>IF(Table1[Date of Initial Assessment]="","",IF(AND(Table1[Start Date]&gt;42094,Table1[Start Date]&lt;42461),Table1[Drug and Alcohol Misuse],""))</f>
        <v/>
      </c>
      <c r="FF132" s="44" t="str">
        <f>IF(Table1[Date of Initial Assessment]="","",IF(AND(Table1[Start Date]&gt;42094,Table1[Start Date]&lt;42461),Table1[Physical Health],""))</f>
        <v/>
      </c>
      <c r="FG132" s="44" t="str">
        <f>IF(Table1[Date of Initial Assessment]="","",IF(AND(Table1[Start Date]&gt;42094,Table1[Start Date]&lt;42461),Table1[Emotional and Mental Health],""))</f>
        <v/>
      </c>
      <c r="FH132" s="44" t="str">
        <f>IF(Table1[Date of Initial Assessment]="","",IF(AND(Table1[Start Date]&gt;42094,Table1[Start Date]&lt;42461),Table1[Meaningful Use of Time],""))</f>
        <v/>
      </c>
      <c r="FI132" s="44" t="str">
        <f>IF(Table1[Date of Initial Assessment]="","",IF(AND(Table1[Start Date]&gt;42094,Table1[Start Date]&lt;42461),Table1[Managing Tenancy and Accommodation],""))</f>
        <v/>
      </c>
      <c r="FJ132" s="44" t="str">
        <f>IF(Table1[Date of Initial Assessment]="","",IF(AND(Table1[Start Date]&gt;42094,Table1[Start Date]&lt;42461),Table1[Offending],""))</f>
        <v/>
      </c>
      <c r="FK132" s="44" t="str">
        <f>IF(Table1[Leaving Date]="","",IF(Table1[Date of Initial Assessment]="","",IF(AND(Table1[Leaving Date]&gt;42094,Table1[Leaving Date]&lt;42461),IF(Table1[Date of Last Assessment]="",Table1[Motivation and Taking Responsibility],Table1[Motivation and Taking Responsibility2]),"")))</f>
        <v/>
      </c>
      <c r="FL132" s="44" t="str">
        <f>IF(Table1[Leaving Date]="","",IF(Table1[Date of Initial Assessment]="","",IF(AND(Table1[Leaving Date]&gt;42094,Table1[Leaving Date]&lt;42461),IF(Table1[Date of Last Assessment]="",Table1[Self-Care and Living Skills],Table1[Self-Care and Living Skills2]),"")))</f>
        <v/>
      </c>
      <c r="FM132" s="44" t="str">
        <f>IF(Table1[Leaving Date]="","",IF(Table1[Date of Initial Assessment]="","",IF(AND(Table1[Leaving Date]&gt;42094,Table1[Leaving Date]&lt;42461),IF(Table1[Date of Last Assessment]="",Table1[Managing Money and Personal Administration],Table1[Managing Money and Personal Administration2]),"")))</f>
        <v/>
      </c>
      <c r="FN132" s="44" t="str">
        <f>IF(Table1[Leaving Date]="","",IF(Table1[Date of Initial Assessment]="","",IF(AND(Table1[Leaving Date]&gt;42094,Table1[Leaving Date]&lt;42461),IF(Table1[Date of Last Assessment]="",Table1[Social Networks and Relationships],Table1[Social Networks and Relationships2]),"")))</f>
        <v/>
      </c>
      <c r="FO132" s="44" t="str">
        <f>IF(Table1[Leaving Date]="","",IF(Table1[Date of Initial Assessment]="","",IF(AND(Table1[Leaving Date]&gt;42094,Table1[Leaving Date]&lt;42461),IF(Table1[Date of Last Assessment]="",Table1[Drug and Alcohol Misuse],Table1[Drug and Alcohol Misuse2]),"")))</f>
        <v/>
      </c>
      <c r="FP132" s="44" t="str">
        <f>IF(Table1[Leaving Date]="","",IF(Table1[Date of Initial Assessment]="","",IF(AND(Table1[Leaving Date]&gt;42094,Table1[Leaving Date]&lt;42461),IF(Table1[Date of Last Assessment]="",Table1[Physical Health],Table1[Physical Health2]),"")))</f>
        <v/>
      </c>
      <c r="FQ132" s="44" t="str">
        <f>IF(Table1[Leaving Date]="","",IF(Table1[Date of Initial Assessment]="","",IF(AND(Table1[Leaving Date]&gt;42094,Table1[Leaving Date]&lt;42461),IF(Table1[Date of Last Assessment]="",Table1[Emotional and Mental Health],Table1[Emotional and Mental Health2]),"")))</f>
        <v/>
      </c>
      <c r="FR132" s="44" t="str">
        <f>IF(Table1[Leaving Date]="","",IF(Table1[Date of Initial Assessment]="","",IF(AND(Table1[Leaving Date]&gt;42094,Table1[Leaving Date]&lt;42461),IF(Table1[Date of Last Assessment]="",Table1[Meaningful Use of Time],Table1[Meaningful Use of Time2]),"")))</f>
        <v/>
      </c>
      <c r="FS132" s="44" t="str">
        <f>IF(Table1[Leaving Date]="","",IF(Table1[Date of Initial Assessment]="","",IF(AND(Table1[Leaving Date]&gt;42094,Table1[Leaving Date]&lt;42461),IF(Table1[Date of Last Assessment]="",Table1[Managing Tenancy and Accommodation],Table1[Managing Tenancy and Accommodation2]),"")))</f>
        <v/>
      </c>
      <c r="FT132" s="44" t="str">
        <f>IF(Table1[Leaving Date]="","",IF(Table1[Date of Initial Assessment]="","",IF(AND(Table1[Leaving Date]&gt;42094,Table1[Leaving Date]&lt;42461),IF(Table1[Date of Last Assessment]="",Table1[Offending],Table1[Offending2]),"")))</f>
        <v/>
      </c>
      <c r="FU132" s="44" t="str">
        <f>IF(Table1[Date of Initial Assessment]="","",IF(AND(Table1[Start Date]&gt;42460,Table1[Start Date]&lt;42826),Table1[Motivation and Taking Responsibility],""))</f>
        <v/>
      </c>
      <c r="FV132" s="44" t="str">
        <f>IF(Table1[Date of Initial Assessment]="","",IF(AND(Table1[Start Date]&gt;42460,Table1[Start Date]&lt;42826),Table1[Self-Care and Living Skills],""))</f>
        <v/>
      </c>
      <c r="FW132" s="44" t="str">
        <f>IF(Table1[Date of Initial Assessment]="","",IF(AND(Table1[Start Date]&gt;42460,Table1[Start Date]&lt;42826),Table1[Managing Money and Personal Administration],""))</f>
        <v/>
      </c>
      <c r="FX132" s="44" t="str">
        <f>IF(Table1[Date of Initial Assessment]="","",IF(AND(Table1[Start Date]&gt;42460,Table1[Start Date]&lt;42826),Table1[Social Networks and Relationships],""))</f>
        <v/>
      </c>
      <c r="FY132" s="44" t="str">
        <f>IF(Table1[Date of Initial Assessment]="","",IF(AND(Table1[Start Date]&gt;42460,Table1[Start Date]&lt;42826),Table1[Drug and Alcohol Misuse],""))</f>
        <v/>
      </c>
      <c r="FZ132" s="44" t="str">
        <f>IF(Table1[Date of Initial Assessment]="","",IF(AND(Table1[Start Date]&gt;42460,Table1[Start Date]&lt;42826),Table1[Physical Health],""))</f>
        <v/>
      </c>
      <c r="GA132" s="44" t="str">
        <f>IF(Table1[Date of Initial Assessment]="","",IF(AND(Table1[Start Date]&gt;42460,Table1[Start Date]&lt;42826),Table1[Emotional and Mental Health],""))</f>
        <v/>
      </c>
      <c r="GB132" s="44" t="str">
        <f>IF(Table1[Date of Initial Assessment]="","",IF(AND(Table1[Start Date]&gt;42460,Table1[Start Date]&lt;42826),Table1[Meaningful Use of Time],""))</f>
        <v/>
      </c>
      <c r="GC132" s="44" t="str">
        <f>IF(Table1[Date of Initial Assessment]="","",IF(AND(Table1[Start Date]&gt;42460,Table1[Start Date]&lt;42826),Table1[Managing Tenancy and Accommodation],""))</f>
        <v/>
      </c>
      <c r="GD132" s="44" t="str">
        <f>IF(Table1[Date of Initial Assessment]="","",IF(AND(Table1[Start Date]&gt;42460,Table1[Start Date]&lt;42826),Table1[Offending],""))</f>
        <v/>
      </c>
      <c r="GE132" s="44" t="str">
        <f>IF(Table1[Leaving Date]="","",IF(AND(Table1[Leaving Date]&gt;42460,Table1[Leaving Date]&lt;42826),IF(Table1[Date of Last Assessment]="",Table1[Motivation and Taking Responsibility],Table1[Motivation and Taking Responsibility2]),""))</f>
        <v/>
      </c>
      <c r="GF132" s="44" t="str">
        <f>IF(Table1[Leaving Date]="","",IF(AND(Table1[Leaving Date]&gt;42460,Table1[Leaving Date]&lt;42826),IF(Table1[Date of Last Assessment]="",Table1[Self-Care and Living Skills],Table1[Self-Care and Living Skills2]),""))</f>
        <v/>
      </c>
      <c r="GG132" s="44" t="str">
        <f>IF(Table1[Leaving Date]="","",IF(AND(Table1[Leaving Date]&gt;42460,Table1[Leaving Date]&lt;42826),IF(Table1[Date of Last Assessment]="",Table1[Managing Money and Personal Administration],Table1[Managing Money and Personal Administration2]),""))</f>
        <v/>
      </c>
      <c r="GH132" s="44" t="str">
        <f>IF(Table1[Leaving Date]="","",IF(AND(Table1[Leaving Date]&gt;42460,Table1[Leaving Date]&lt;42826),IF(Table1[Date of Last Assessment]="",Table1[Social Networks and Relationships],Table1[Social Networks and Relationships2]),""))</f>
        <v/>
      </c>
      <c r="GI132" s="44" t="str">
        <f>IF(Table1[Leaving Date]="","",IF(AND(Table1[Leaving Date]&gt;42460,Table1[Leaving Date]&lt;42826),IF(Table1[Date of Last Assessment]="",Table1[Drug and Alcohol Misuse],Table1[Drug and Alcohol Misuse2]),""))</f>
        <v/>
      </c>
      <c r="GJ132" s="44" t="str">
        <f>IF(Table1[Leaving Date]="","",IF(AND(Table1[Leaving Date]&gt;42460,Table1[Leaving Date]&lt;42826),IF(Table1[Date of Last Assessment]="",Table1[Physical Health],Table1[Physical Health2]),""))</f>
        <v/>
      </c>
      <c r="GK132" s="44" t="str">
        <f>IF(Table1[Leaving Date]="","",IF(AND(Table1[Leaving Date]&gt;42460,Table1[Leaving Date]&lt;42826),IF(Table1[Date of Last Assessment]="",Table1[Emotional and Mental Health],Table1[Emotional and Mental Health2]),""))</f>
        <v/>
      </c>
      <c r="GL132" s="44" t="str">
        <f>IF(Table1[Leaving Date]="","",IF(AND(Table1[Leaving Date]&gt;42460,Table1[Leaving Date]&lt;42826),IF(Table1[Date of Last Assessment]="",Table1[Meaningful Use of Time],Table1[Meaningful Use of Time2]),""))</f>
        <v/>
      </c>
      <c r="GM132" s="44" t="str">
        <f>IF(Table1[Leaving Date]="","",IF(AND(Table1[Leaving Date]&gt;42460,Table1[Leaving Date]&lt;42826),IF(Table1[Date of Last Assessment]="",Table1[Managing Tenancy and Accommodation],Table1[Managing Tenancy and Accommodation2]),""))</f>
        <v/>
      </c>
      <c r="GN132" s="44" t="str">
        <f>IF(Table1[Leaving Date]="","",IF(AND(Table1[Leaving Date]&gt;42460,Table1[Leaving Date]&lt;42826),IF(Table1[Date of Last Assessment]="",Table1[Offending],Table1[Offending2]),""))</f>
        <v/>
      </c>
    </row>
    <row r="133" spans="2:196" ht="20.100000000000001" customHeight="1" x14ac:dyDescent="0.2">
      <c r="B133" s="86">
        <f>+'Service Data'!$C$5:$C$5</f>
        <v>0</v>
      </c>
      <c r="C133" s="86"/>
      <c r="D133" s="86"/>
      <c r="E133" s="86"/>
      <c r="F133" s="86"/>
      <c r="G133" s="86"/>
      <c r="H133" s="6"/>
      <c r="I133" s="99" t="str">
        <f ca="1">IF(Table1[[#This Row],[Date of Birth]]="","",SUM(TODAY()-Table1[[#This Row],[Date of Birth]])/365)</f>
        <v/>
      </c>
      <c r="L133" s="86"/>
      <c r="M133" s="77"/>
      <c r="N133" s="86"/>
      <c r="O133" s="86"/>
      <c r="P133" s="91"/>
      <c r="Q133" s="86"/>
      <c r="R133" s="77"/>
      <c r="S133" s="77"/>
      <c r="T133" s="68"/>
      <c r="U133" s="68"/>
      <c r="V133" s="67"/>
      <c r="W133" s="67"/>
      <c r="X133" s="67"/>
      <c r="Y133" s="67"/>
      <c r="Z133" s="67"/>
      <c r="AA133" s="67"/>
      <c r="AB133" s="67"/>
      <c r="AC133" s="67"/>
      <c r="AD133" s="67"/>
      <c r="AE133" s="67"/>
      <c r="AF133" s="67"/>
      <c r="AG133" s="67"/>
      <c r="AH133" s="67"/>
      <c r="AI133" s="67"/>
      <c r="AJ133" s="67"/>
      <c r="AK133" s="67"/>
      <c r="AL133" s="67"/>
      <c r="AM133" s="67"/>
      <c r="AN133" s="77"/>
      <c r="AO133" s="76"/>
      <c r="AP133" s="77"/>
      <c r="AQ133" s="76"/>
      <c r="AR133" s="76"/>
      <c r="AS133" s="76"/>
      <c r="AT133" s="76"/>
      <c r="AU133" s="76"/>
      <c r="AV133" s="77"/>
      <c r="AW133" s="76"/>
      <c r="AX133" s="77"/>
      <c r="AY133" s="76"/>
      <c r="AZ133" s="76"/>
      <c r="BA133" s="76"/>
      <c r="BB133" s="76"/>
      <c r="BC133" s="76"/>
      <c r="BD133" s="77"/>
      <c r="BE133" s="76"/>
      <c r="BF133" s="77"/>
      <c r="BG133" s="76"/>
      <c r="BH133" s="76"/>
      <c r="BI133" s="76"/>
      <c r="BJ133" s="76"/>
      <c r="BK133" s="76"/>
      <c r="BL133" s="77"/>
      <c r="BM133" s="76"/>
      <c r="BN133" s="77"/>
      <c r="BO133" s="76"/>
      <c r="BP133" s="76"/>
      <c r="BQ133" s="76"/>
      <c r="BR133" s="76"/>
      <c r="BS133" s="76"/>
      <c r="BT133" s="77"/>
      <c r="BU133" s="76"/>
      <c r="BV133" s="77"/>
      <c r="BW133" s="76"/>
      <c r="BX133" s="76"/>
      <c r="BY133" s="76"/>
      <c r="BZ133" s="76"/>
      <c r="CA133" s="76"/>
      <c r="CB133" s="77"/>
      <c r="CC133" s="76"/>
      <c r="CD133" s="77"/>
      <c r="CE133" s="76"/>
      <c r="CF133" s="76"/>
      <c r="CG133" s="76"/>
      <c r="CH133" s="76"/>
      <c r="CI133" s="76"/>
      <c r="CJ133" s="77"/>
      <c r="CK133" s="76"/>
      <c r="CL133" s="77"/>
      <c r="CM133" s="76"/>
      <c r="CN133" s="76"/>
      <c r="CO133" s="76"/>
      <c r="CP133" s="76"/>
      <c r="CQ133" s="76"/>
      <c r="CR133" s="78" t="str">
        <f t="shared" si="47"/>
        <v/>
      </c>
      <c r="CS133" s="79" t="str">
        <f t="shared" si="48"/>
        <v/>
      </c>
      <c r="CT133" s="79" t="str">
        <f t="shared" si="49"/>
        <v/>
      </c>
      <c r="CU133" s="79" t="str">
        <f t="shared" si="50"/>
        <v/>
      </c>
      <c r="CV133" s="79" t="str">
        <f t="shared" si="51"/>
        <v/>
      </c>
      <c r="CW133" s="79" t="str">
        <f t="shared" si="52"/>
        <v/>
      </c>
      <c r="CX133" s="79" t="str">
        <f t="shared" si="53"/>
        <v/>
      </c>
      <c r="CY133" s="79" t="str">
        <f t="shared" si="54"/>
        <v/>
      </c>
      <c r="CZ133" s="79" t="str">
        <f t="shared" si="55"/>
        <v/>
      </c>
      <c r="DA133" s="79" t="str">
        <f t="shared" si="56"/>
        <v/>
      </c>
      <c r="DB133" s="79" t="str">
        <f t="shared" si="57"/>
        <v/>
      </c>
      <c r="DC133" s="79" t="str">
        <f t="shared" si="58"/>
        <v/>
      </c>
      <c r="DD133" s="79" t="str">
        <f t="shared" si="59"/>
        <v/>
      </c>
      <c r="DE133" s="79" t="str">
        <f t="shared" si="60"/>
        <v/>
      </c>
      <c r="DF133" s="79" t="str">
        <f t="shared" si="61"/>
        <v/>
      </c>
      <c r="DG133" s="79" t="str">
        <f t="shared" si="62"/>
        <v/>
      </c>
      <c r="DH133" s="76"/>
      <c r="DI133" s="78"/>
      <c r="DJ133" s="76"/>
      <c r="DK133" s="77"/>
      <c r="DL133" s="77"/>
      <c r="DM133" s="77"/>
      <c r="DN133" s="80"/>
      <c r="DO133" s="80"/>
      <c r="DP133" s="92" t="str">
        <f>IF(Table1[Start Date]="","",IF(Table1[Start Date]&gt;42185,"",IF(AND(Table1[Leaving Date]&gt;1,Table1[Leaving Date]&lt;42095),"",1)))</f>
        <v/>
      </c>
      <c r="DQ133" s="92" t="str">
        <f>IF(Table1[Start Date]="","",IF(Table1[Start Date]&gt;42277,"",IF(AND(Table1[Leaving Date]&gt;1,Table1[Leaving Date]&lt;42186),"",1)))</f>
        <v/>
      </c>
      <c r="DR133" s="92" t="str">
        <f>IF(Table1[Start Date]="","",IF(Table1[Start Date]&gt;42369,"",IF(AND(Table1[Leaving Date]&gt;1,Table1[Leaving Date]&lt;42278),"",1)))</f>
        <v/>
      </c>
      <c r="DS133" s="92" t="str">
        <f>IF(Table1[Start Date]="","",IF(Table1[Start Date]&gt;42460,"",IF(AND(Table1[Leaving Date]&gt;1,Table1[Leaving Date]&lt;42370),"",1)))</f>
        <v/>
      </c>
      <c r="DT133" s="92" t="str">
        <f>IF(Table1[Start Date]="","",IF(Table1[Start Date]&gt;42551,"",IF(AND(Table1[Leaving Date]&gt;1,Table1[Leaving Date]&lt;42461),"",1)))</f>
        <v/>
      </c>
      <c r="DU133" s="92" t="str">
        <f>IF(Table1[Start Date]="","",IF(Table1[Start Date]&gt;42643,"",IF(AND(Table1[Leaving Date]&gt;1,Table1[Leaving Date]&lt;42552),"",1)))</f>
        <v/>
      </c>
      <c r="DV133" s="92" t="str">
        <f>IF(Table1[Start Date]="","",IF(Table1[Start Date]&gt;42735,"",IF(AND(Table1[Leaving Date]&gt;1,Table1[Leaving Date]&lt;42644),"",1)))</f>
        <v/>
      </c>
      <c r="DW133" s="92" t="str">
        <f>IF(Table1[Start Date]="","",IF(Table1[Start Date]&gt;42825,"",IF(AND(Table1[Leaving Date]&gt;1,Table1[Leaving Date]&lt;42736),"",1)))</f>
        <v/>
      </c>
      <c r="DX133"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133" s="44" t="e">
        <f>VLOOKUP(Table1[Referral Source],Lists!$G$2:$H$20,2,FALSE)</f>
        <v>#N/A</v>
      </c>
      <c r="DZ133" s="93" t="e">
        <f>SUM(Table1[Data Referral Quarter]+Table1[Data Referral Source])</f>
        <v>#N/A</v>
      </c>
      <c r="EA133" s="44" t="b">
        <f>IF(Table1[Referral Decision]="Accepted",100,IF(Table1[Referral Decision]="Rejected by Provider",200,IF(Table1[Referral Decision]="Rejected by Applicant",300)))</f>
        <v>0</v>
      </c>
      <c r="EB133" s="44">
        <f>SUM(Table1[Data Referral Quarter]+Table1[Data Referral Decision])</f>
        <v>0</v>
      </c>
      <c r="EC133" s="44" t="b">
        <f>IF(Table1[Start Date]&gt;42735,8000,IF(Table1[Start Date]&gt;42643,7000,IF(Table1[Start Date]&gt;42551,6000,IF(Table1[Start Date]&gt;42460,5000,IF(Table1[Start Date]&gt;42369,4000,IF(Table1[Start Date]&gt;42277,3000,IF(Table1[Start Date]&gt;42185,2000,IF(Table1[Start Date]&gt;42094,1000))))))))</f>
        <v>0</v>
      </c>
      <c r="ED133" s="44" t="str">
        <f>IF(Table1[Start Date]="","",IF(Table1[Current Local Authority]="Swindon",1,"2"))</f>
        <v/>
      </c>
      <c r="EE133" s="44" t="e">
        <f>SUM(Table1[Data Start Date]+Table1[Data Local Authority])</f>
        <v>#VALUE!</v>
      </c>
      <c r="EF133" s="44">
        <f>IF(Table1[Registered with GP]="Yes",1,0)</f>
        <v>0</v>
      </c>
      <c r="EG133" s="44">
        <f>SUM(Table1[Data Start Date]+Table1[Data GP Start])</f>
        <v>0</v>
      </c>
      <c r="EH133" s="44" t="str">
        <f>IF(Table1[EET]="NEET",1,IF(Table1[EET]="Education",2,IF(Table1[EET]="Employment",2,IF(Table1[EET]="Training",2,IF(Table1[EET]="Retired",3,"")))))</f>
        <v/>
      </c>
      <c r="EI133" s="44" t="e">
        <f>Table1[Data Start Date]+Table1[Data EET Start]</f>
        <v>#VALUE!</v>
      </c>
      <c r="EJ133" s="44" t="b">
        <f>IF(Table1[Leaving Date]&gt;42735,8000,IF(Table1[Leaving Date]&gt;42643,7000,IF(Table1[Leaving Date]&gt;42551,6000,IF(Table1[Leaving Date]&gt;42460,5000,IF(Table1[Leaving Date]&gt;42369,4000,IF(Table1[Leaving Date]&gt;42277,3000,IF(Table1[Leaving Date]&gt;42185,2000,IF(Table1[Leaving Date]&gt;42094,1000))))))))</f>
        <v>0</v>
      </c>
      <c r="EK133" s="44" t="e">
        <f>VLOOKUP(Table1[Reason for Leaving],Lists!$T$2:$U$15,2,FALSE)</f>
        <v>#N/A</v>
      </c>
      <c r="EL133" s="44" t="e">
        <f>SUM(Table1[Data Leavers Date]+Table1[Data Move On])</f>
        <v>#N/A</v>
      </c>
      <c r="EM133" s="44" t="b">
        <f>IF(Table1[Registered with GP2]="Yes",1,IF(Table1[Registered with GP2]="No",0,IF(Table1[Registered with GP]="Yes",1,IF(Table1[Registered with GP]="No",0))))</f>
        <v>0</v>
      </c>
      <c r="EN133" s="44">
        <f>SUM(Table1[Data Leavers Date]+Table1[Data GP End])</f>
        <v>0</v>
      </c>
      <c r="EO133" s="44" t="str">
        <f>IF(Table1[EET2]="NEET",1,IF(Table1[EET2]="Employment",2,IF(Table1[EET2]="Education",2,IF(Table1[EET2]="Training",2,IF(Table1[EET2]="Retired",3,IF(Table1[EET]="NEET",1,IF(Table1[EET]="Employment",2,IF(Table1[EET]="Education",2,IF(Table1[EET]="Training",2,IF(Table1[EET]="Retired",3,""))))))))))</f>
        <v/>
      </c>
      <c r="EP133" s="44" t="e">
        <f>+Table1[[#This Row],[Data Leavers Date]]+Table1[[#This Row],[Data EET End]]</f>
        <v>#VALUE!</v>
      </c>
      <c r="EQ133" s="44">
        <f>IF(Table1[Exit Form Received]="Yes",1,0)</f>
        <v>0</v>
      </c>
      <c r="ER133" s="44">
        <f>+Table1[[#This Row],[Data Leavers Date]]+Table1[[#This Row],[Data Exit Forms]]</f>
        <v>0</v>
      </c>
      <c r="ES133" s="44" t="str">
        <f>IF(Table1[Data Leavers Date]=1000,SUM(Table1[Leaving Date]-Table1[Start Date]),"")</f>
        <v/>
      </c>
      <c r="ET133" s="44" t="str">
        <f>IF(Table1[Data Leavers Date]=2000,SUM(Table1[Leaving Date]-Table1[Start Date]),"")</f>
        <v/>
      </c>
      <c r="EU133" s="44" t="str">
        <f>IF(Table1[Data Leavers Date]=3000,SUM(Table1[Leaving Date]-Table1[Start Date]),"")</f>
        <v/>
      </c>
      <c r="EV133" s="44" t="str">
        <f>IF(Table1[Data Leavers Date]=4000,SUM(Table1[Leaving Date]-Table1[Start Date]),"")</f>
        <v/>
      </c>
      <c r="EW133" s="44" t="str">
        <f>IF(Table1[Data Leavers Date]=5000,SUM(Table1[Leaving Date]-Table1[Start Date]),"")</f>
        <v/>
      </c>
      <c r="EX133" s="44" t="str">
        <f>IF(Table1[Data Leavers Date]=6000,SUM(Table1[Leaving Date]-Table1[Start Date]),"")</f>
        <v/>
      </c>
      <c r="EY133" s="44" t="str">
        <f>IF(Table1[Data Leavers Date]=7000,SUM(Table1[Leaving Date]-Table1[Start Date]),"")</f>
        <v/>
      </c>
      <c r="EZ133" s="44" t="str">
        <f>IF(Table1[Data Leavers Date]=8000,SUM(Table1[Leaving Date]-Table1[Start Date]),"")</f>
        <v/>
      </c>
      <c r="FA133" s="44" t="str">
        <f>IF(Table1[Date of Initial Assessment]="","",IF(AND(Table1[Start Date]&gt;42094,Table1[Start Date]&lt;42461),Table1[Motivation and Taking Responsibility],""))</f>
        <v/>
      </c>
      <c r="FB133" s="44" t="str">
        <f>IF(Table1[Date of Initial Assessment]="","",IF(AND(Table1[Start Date]&gt;42094,Table1[Start Date]&lt;42461),Table1[Self-Care and Living Skills],""))</f>
        <v/>
      </c>
      <c r="FC133" s="44" t="str">
        <f>IF(Table1[Date of Initial Assessment]="","",IF(AND(Table1[Start Date]&gt;42094,Table1[Start Date]&lt;42461),Table1[Managing Money and Personal Administration],""))</f>
        <v/>
      </c>
      <c r="FD133" s="44" t="str">
        <f>IF(Table1[Date of Initial Assessment]="","",IF(AND(Table1[Start Date]&gt;42094,Table1[Start Date]&lt;42461),Table1[Social Networks and Relationships],""))</f>
        <v/>
      </c>
      <c r="FE133" s="44" t="str">
        <f>IF(Table1[Date of Initial Assessment]="","",IF(AND(Table1[Start Date]&gt;42094,Table1[Start Date]&lt;42461),Table1[Drug and Alcohol Misuse],""))</f>
        <v/>
      </c>
      <c r="FF133" s="44" t="str">
        <f>IF(Table1[Date of Initial Assessment]="","",IF(AND(Table1[Start Date]&gt;42094,Table1[Start Date]&lt;42461),Table1[Physical Health],""))</f>
        <v/>
      </c>
      <c r="FG133" s="44" t="str">
        <f>IF(Table1[Date of Initial Assessment]="","",IF(AND(Table1[Start Date]&gt;42094,Table1[Start Date]&lt;42461),Table1[Emotional and Mental Health],""))</f>
        <v/>
      </c>
      <c r="FH133" s="44" t="str">
        <f>IF(Table1[Date of Initial Assessment]="","",IF(AND(Table1[Start Date]&gt;42094,Table1[Start Date]&lt;42461),Table1[Meaningful Use of Time],""))</f>
        <v/>
      </c>
      <c r="FI133" s="44" t="str">
        <f>IF(Table1[Date of Initial Assessment]="","",IF(AND(Table1[Start Date]&gt;42094,Table1[Start Date]&lt;42461),Table1[Managing Tenancy and Accommodation],""))</f>
        <v/>
      </c>
      <c r="FJ133" s="44" t="str">
        <f>IF(Table1[Date of Initial Assessment]="","",IF(AND(Table1[Start Date]&gt;42094,Table1[Start Date]&lt;42461),Table1[Offending],""))</f>
        <v/>
      </c>
      <c r="FK133" s="44" t="str">
        <f>IF(Table1[Leaving Date]="","",IF(Table1[Date of Initial Assessment]="","",IF(AND(Table1[Leaving Date]&gt;42094,Table1[Leaving Date]&lt;42461),IF(Table1[Date of Last Assessment]="",Table1[Motivation and Taking Responsibility],Table1[Motivation and Taking Responsibility2]),"")))</f>
        <v/>
      </c>
      <c r="FL133" s="44" t="str">
        <f>IF(Table1[Leaving Date]="","",IF(Table1[Date of Initial Assessment]="","",IF(AND(Table1[Leaving Date]&gt;42094,Table1[Leaving Date]&lt;42461),IF(Table1[Date of Last Assessment]="",Table1[Self-Care and Living Skills],Table1[Self-Care and Living Skills2]),"")))</f>
        <v/>
      </c>
      <c r="FM133" s="44" t="str">
        <f>IF(Table1[Leaving Date]="","",IF(Table1[Date of Initial Assessment]="","",IF(AND(Table1[Leaving Date]&gt;42094,Table1[Leaving Date]&lt;42461),IF(Table1[Date of Last Assessment]="",Table1[Managing Money and Personal Administration],Table1[Managing Money and Personal Administration2]),"")))</f>
        <v/>
      </c>
      <c r="FN133" s="44" t="str">
        <f>IF(Table1[Leaving Date]="","",IF(Table1[Date of Initial Assessment]="","",IF(AND(Table1[Leaving Date]&gt;42094,Table1[Leaving Date]&lt;42461),IF(Table1[Date of Last Assessment]="",Table1[Social Networks and Relationships],Table1[Social Networks and Relationships2]),"")))</f>
        <v/>
      </c>
      <c r="FO133" s="44" t="str">
        <f>IF(Table1[Leaving Date]="","",IF(Table1[Date of Initial Assessment]="","",IF(AND(Table1[Leaving Date]&gt;42094,Table1[Leaving Date]&lt;42461),IF(Table1[Date of Last Assessment]="",Table1[Drug and Alcohol Misuse],Table1[Drug and Alcohol Misuse2]),"")))</f>
        <v/>
      </c>
      <c r="FP133" s="44" t="str">
        <f>IF(Table1[Leaving Date]="","",IF(Table1[Date of Initial Assessment]="","",IF(AND(Table1[Leaving Date]&gt;42094,Table1[Leaving Date]&lt;42461),IF(Table1[Date of Last Assessment]="",Table1[Physical Health],Table1[Physical Health2]),"")))</f>
        <v/>
      </c>
      <c r="FQ133" s="44" t="str">
        <f>IF(Table1[Leaving Date]="","",IF(Table1[Date of Initial Assessment]="","",IF(AND(Table1[Leaving Date]&gt;42094,Table1[Leaving Date]&lt;42461),IF(Table1[Date of Last Assessment]="",Table1[Emotional and Mental Health],Table1[Emotional and Mental Health2]),"")))</f>
        <v/>
      </c>
      <c r="FR133" s="44" t="str">
        <f>IF(Table1[Leaving Date]="","",IF(Table1[Date of Initial Assessment]="","",IF(AND(Table1[Leaving Date]&gt;42094,Table1[Leaving Date]&lt;42461),IF(Table1[Date of Last Assessment]="",Table1[Meaningful Use of Time],Table1[Meaningful Use of Time2]),"")))</f>
        <v/>
      </c>
      <c r="FS133" s="44" t="str">
        <f>IF(Table1[Leaving Date]="","",IF(Table1[Date of Initial Assessment]="","",IF(AND(Table1[Leaving Date]&gt;42094,Table1[Leaving Date]&lt;42461),IF(Table1[Date of Last Assessment]="",Table1[Managing Tenancy and Accommodation],Table1[Managing Tenancy and Accommodation2]),"")))</f>
        <v/>
      </c>
      <c r="FT133" s="44" t="str">
        <f>IF(Table1[Leaving Date]="","",IF(Table1[Date of Initial Assessment]="","",IF(AND(Table1[Leaving Date]&gt;42094,Table1[Leaving Date]&lt;42461),IF(Table1[Date of Last Assessment]="",Table1[Offending],Table1[Offending2]),"")))</f>
        <v/>
      </c>
      <c r="FU133" s="44" t="str">
        <f>IF(Table1[Date of Initial Assessment]="","",IF(AND(Table1[Start Date]&gt;42460,Table1[Start Date]&lt;42826),Table1[Motivation and Taking Responsibility],""))</f>
        <v/>
      </c>
      <c r="FV133" s="44" t="str">
        <f>IF(Table1[Date of Initial Assessment]="","",IF(AND(Table1[Start Date]&gt;42460,Table1[Start Date]&lt;42826),Table1[Self-Care and Living Skills],""))</f>
        <v/>
      </c>
      <c r="FW133" s="44" t="str">
        <f>IF(Table1[Date of Initial Assessment]="","",IF(AND(Table1[Start Date]&gt;42460,Table1[Start Date]&lt;42826),Table1[Managing Money and Personal Administration],""))</f>
        <v/>
      </c>
      <c r="FX133" s="44" t="str">
        <f>IF(Table1[Date of Initial Assessment]="","",IF(AND(Table1[Start Date]&gt;42460,Table1[Start Date]&lt;42826),Table1[Social Networks and Relationships],""))</f>
        <v/>
      </c>
      <c r="FY133" s="44" t="str">
        <f>IF(Table1[Date of Initial Assessment]="","",IF(AND(Table1[Start Date]&gt;42460,Table1[Start Date]&lt;42826),Table1[Drug and Alcohol Misuse],""))</f>
        <v/>
      </c>
      <c r="FZ133" s="44" t="str">
        <f>IF(Table1[Date of Initial Assessment]="","",IF(AND(Table1[Start Date]&gt;42460,Table1[Start Date]&lt;42826),Table1[Physical Health],""))</f>
        <v/>
      </c>
      <c r="GA133" s="44" t="str">
        <f>IF(Table1[Date of Initial Assessment]="","",IF(AND(Table1[Start Date]&gt;42460,Table1[Start Date]&lt;42826),Table1[Emotional and Mental Health],""))</f>
        <v/>
      </c>
      <c r="GB133" s="44" t="str">
        <f>IF(Table1[Date of Initial Assessment]="","",IF(AND(Table1[Start Date]&gt;42460,Table1[Start Date]&lt;42826),Table1[Meaningful Use of Time],""))</f>
        <v/>
      </c>
      <c r="GC133" s="44" t="str">
        <f>IF(Table1[Date of Initial Assessment]="","",IF(AND(Table1[Start Date]&gt;42460,Table1[Start Date]&lt;42826),Table1[Managing Tenancy and Accommodation],""))</f>
        <v/>
      </c>
      <c r="GD133" s="44" t="str">
        <f>IF(Table1[Date of Initial Assessment]="","",IF(AND(Table1[Start Date]&gt;42460,Table1[Start Date]&lt;42826),Table1[Offending],""))</f>
        <v/>
      </c>
      <c r="GE133" s="44" t="str">
        <f>IF(Table1[Leaving Date]="","",IF(AND(Table1[Leaving Date]&gt;42460,Table1[Leaving Date]&lt;42826),IF(Table1[Date of Last Assessment]="",Table1[Motivation and Taking Responsibility],Table1[Motivation and Taking Responsibility2]),""))</f>
        <v/>
      </c>
      <c r="GF133" s="44" t="str">
        <f>IF(Table1[Leaving Date]="","",IF(AND(Table1[Leaving Date]&gt;42460,Table1[Leaving Date]&lt;42826),IF(Table1[Date of Last Assessment]="",Table1[Self-Care and Living Skills],Table1[Self-Care and Living Skills2]),""))</f>
        <v/>
      </c>
      <c r="GG133" s="44" t="str">
        <f>IF(Table1[Leaving Date]="","",IF(AND(Table1[Leaving Date]&gt;42460,Table1[Leaving Date]&lt;42826),IF(Table1[Date of Last Assessment]="",Table1[Managing Money and Personal Administration],Table1[Managing Money and Personal Administration2]),""))</f>
        <v/>
      </c>
      <c r="GH133" s="44" t="str">
        <f>IF(Table1[Leaving Date]="","",IF(AND(Table1[Leaving Date]&gt;42460,Table1[Leaving Date]&lt;42826),IF(Table1[Date of Last Assessment]="",Table1[Social Networks and Relationships],Table1[Social Networks and Relationships2]),""))</f>
        <v/>
      </c>
      <c r="GI133" s="44" t="str">
        <f>IF(Table1[Leaving Date]="","",IF(AND(Table1[Leaving Date]&gt;42460,Table1[Leaving Date]&lt;42826),IF(Table1[Date of Last Assessment]="",Table1[Drug and Alcohol Misuse],Table1[Drug and Alcohol Misuse2]),""))</f>
        <v/>
      </c>
      <c r="GJ133" s="44" t="str">
        <f>IF(Table1[Leaving Date]="","",IF(AND(Table1[Leaving Date]&gt;42460,Table1[Leaving Date]&lt;42826),IF(Table1[Date of Last Assessment]="",Table1[Physical Health],Table1[Physical Health2]),""))</f>
        <v/>
      </c>
      <c r="GK133" s="44" t="str">
        <f>IF(Table1[Leaving Date]="","",IF(AND(Table1[Leaving Date]&gt;42460,Table1[Leaving Date]&lt;42826),IF(Table1[Date of Last Assessment]="",Table1[Emotional and Mental Health],Table1[Emotional and Mental Health2]),""))</f>
        <v/>
      </c>
      <c r="GL133" s="44" t="str">
        <f>IF(Table1[Leaving Date]="","",IF(AND(Table1[Leaving Date]&gt;42460,Table1[Leaving Date]&lt;42826),IF(Table1[Date of Last Assessment]="",Table1[Meaningful Use of Time],Table1[Meaningful Use of Time2]),""))</f>
        <v/>
      </c>
      <c r="GM133" s="44" t="str">
        <f>IF(Table1[Leaving Date]="","",IF(AND(Table1[Leaving Date]&gt;42460,Table1[Leaving Date]&lt;42826),IF(Table1[Date of Last Assessment]="",Table1[Managing Tenancy and Accommodation],Table1[Managing Tenancy and Accommodation2]),""))</f>
        <v/>
      </c>
      <c r="GN133" s="44" t="str">
        <f>IF(Table1[Leaving Date]="","",IF(AND(Table1[Leaving Date]&gt;42460,Table1[Leaving Date]&lt;42826),IF(Table1[Date of Last Assessment]="",Table1[Offending],Table1[Offending2]),""))</f>
        <v/>
      </c>
    </row>
    <row r="134" spans="2:196" ht="20.100000000000001" customHeight="1" x14ac:dyDescent="0.2">
      <c r="B134" s="86">
        <f>+'Service Data'!$C$5:$C$5</f>
        <v>0</v>
      </c>
      <c r="C134" s="86"/>
      <c r="D134" s="86"/>
      <c r="E134" s="86"/>
      <c r="F134" s="86"/>
      <c r="G134" s="86"/>
      <c r="H134" s="6"/>
      <c r="I134" s="99" t="str">
        <f ca="1">IF(Table1[[#This Row],[Date of Birth]]="","",SUM(TODAY()-Table1[[#This Row],[Date of Birth]])/365)</f>
        <v/>
      </c>
      <c r="L134" s="86"/>
      <c r="M134" s="77"/>
      <c r="N134" s="86"/>
      <c r="O134" s="86"/>
      <c r="P134" s="91"/>
      <c r="Q134" s="86"/>
      <c r="R134" s="77"/>
      <c r="S134" s="77"/>
      <c r="T134" s="68"/>
      <c r="U134" s="68"/>
      <c r="V134" s="67"/>
      <c r="W134" s="67"/>
      <c r="X134" s="67"/>
      <c r="Y134" s="67"/>
      <c r="Z134" s="67"/>
      <c r="AA134" s="67"/>
      <c r="AB134" s="67"/>
      <c r="AC134" s="67"/>
      <c r="AD134" s="67"/>
      <c r="AE134" s="67"/>
      <c r="AF134" s="67"/>
      <c r="AG134" s="67"/>
      <c r="AH134" s="67"/>
      <c r="AI134" s="67"/>
      <c r="AJ134" s="67"/>
      <c r="AK134" s="67"/>
      <c r="AL134" s="67"/>
      <c r="AM134" s="67"/>
      <c r="AN134" s="77"/>
      <c r="AO134" s="76"/>
      <c r="AP134" s="77"/>
      <c r="AQ134" s="76"/>
      <c r="AR134" s="76"/>
      <c r="AS134" s="76"/>
      <c r="AT134" s="76"/>
      <c r="AU134" s="76"/>
      <c r="AV134" s="77"/>
      <c r="AW134" s="76"/>
      <c r="AX134" s="77"/>
      <c r="AY134" s="76"/>
      <c r="AZ134" s="76"/>
      <c r="BA134" s="76"/>
      <c r="BB134" s="76"/>
      <c r="BC134" s="76"/>
      <c r="BD134" s="77"/>
      <c r="BE134" s="76"/>
      <c r="BF134" s="77"/>
      <c r="BG134" s="76"/>
      <c r="BH134" s="76"/>
      <c r="BI134" s="76"/>
      <c r="BJ134" s="76"/>
      <c r="BK134" s="76"/>
      <c r="BL134" s="77"/>
      <c r="BM134" s="76"/>
      <c r="BN134" s="77"/>
      <c r="BO134" s="76"/>
      <c r="BP134" s="76"/>
      <c r="BQ134" s="76"/>
      <c r="BR134" s="76"/>
      <c r="BS134" s="76"/>
      <c r="BT134" s="77"/>
      <c r="BU134" s="76"/>
      <c r="BV134" s="77"/>
      <c r="BW134" s="76"/>
      <c r="BX134" s="76"/>
      <c r="BY134" s="76"/>
      <c r="BZ134" s="76"/>
      <c r="CA134" s="76"/>
      <c r="CB134" s="77"/>
      <c r="CC134" s="76"/>
      <c r="CD134" s="77"/>
      <c r="CE134" s="76"/>
      <c r="CF134" s="76"/>
      <c r="CG134" s="76"/>
      <c r="CH134" s="76"/>
      <c r="CI134" s="76"/>
      <c r="CJ134" s="77"/>
      <c r="CK134" s="76"/>
      <c r="CL134" s="77"/>
      <c r="CM134" s="76"/>
      <c r="CN134" s="76"/>
      <c r="CO134" s="76"/>
      <c r="CP134" s="76"/>
      <c r="CQ134" s="76"/>
      <c r="CR134" s="78" t="str">
        <f t="shared" si="47"/>
        <v/>
      </c>
      <c r="CS134" s="79" t="str">
        <f t="shared" si="48"/>
        <v/>
      </c>
      <c r="CT134" s="79" t="str">
        <f t="shared" si="49"/>
        <v/>
      </c>
      <c r="CU134" s="79" t="str">
        <f t="shared" si="50"/>
        <v/>
      </c>
      <c r="CV134" s="79" t="str">
        <f t="shared" si="51"/>
        <v/>
      </c>
      <c r="CW134" s="79" t="str">
        <f t="shared" si="52"/>
        <v/>
      </c>
      <c r="CX134" s="79" t="str">
        <f t="shared" si="53"/>
        <v/>
      </c>
      <c r="CY134" s="79" t="str">
        <f t="shared" si="54"/>
        <v/>
      </c>
      <c r="CZ134" s="79" t="str">
        <f t="shared" si="55"/>
        <v/>
      </c>
      <c r="DA134" s="79" t="str">
        <f t="shared" si="56"/>
        <v/>
      </c>
      <c r="DB134" s="79" t="str">
        <f t="shared" si="57"/>
        <v/>
      </c>
      <c r="DC134" s="79" t="str">
        <f t="shared" si="58"/>
        <v/>
      </c>
      <c r="DD134" s="79" t="str">
        <f t="shared" si="59"/>
        <v/>
      </c>
      <c r="DE134" s="79" t="str">
        <f t="shared" si="60"/>
        <v/>
      </c>
      <c r="DF134" s="79" t="str">
        <f t="shared" si="61"/>
        <v/>
      </c>
      <c r="DG134" s="79" t="str">
        <f t="shared" si="62"/>
        <v/>
      </c>
      <c r="DH134" s="76"/>
      <c r="DI134" s="78"/>
      <c r="DJ134" s="76"/>
      <c r="DK134" s="77"/>
      <c r="DL134" s="77"/>
      <c r="DM134" s="77"/>
      <c r="DN134" s="80"/>
      <c r="DO134" s="80"/>
      <c r="DP134" s="92" t="str">
        <f>IF(Table1[Start Date]="","",IF(Table1[Start Date]&gt;42185,"",IF(AND(Table1[Leaving Date]&gt;1,Table1[Leaving Date]&lt;42095),"",1)))</f>
        <v/>
      </c>
      <c r="DQ134" s="92" t="str">
        <f>IF(Table1[Start Date]="","",IF(Table1[Start Date]&gt;42277,"",IF(AND(Table1[Leaving Date]&gt;1,Table1[Leaving Date]&lt;42186),"",1)))</f>
        <v/>
      </c>
      <c r="DR134" s="92" t="str">
        <f>IF(Table1[Start Date]="","",IF(Table1[Start Date]&gt;42369,"",IF(AND(Table1[Leaving Date]&gt;1,Table1[Leaving Date]&lt;42278),"",1)))</f>
        <v/>
      </c>
      <c r="DS134" s="92" t="str">
        <f>IF(Table1[Start Date]="","",IF(Table1[Start Date]&gt;42460,"",IF(AND(Table1[Leaving Date]&gt;1,Table1[Leaving Date]&lt;42370),"",1)))</f>
        <v/>
      </c>
      <c r="DT134" s="92" t="str">
        <f>IF(Table1[Start Date]="","",IF(Table1[Start Date]&gt;42551,"",IF(AND(Table1[Leaving Date]&gt;1,Table1[Leaving Date]&lt;42461),"",1)))</f>
        <v/>
      </c>
      <c r="DU134" s="92" t="str">
        <f>IF(Table1[Start Date]="","",IF(Table1[Start Date]&gt;42643,"",IF(AND(Table1[Leaving Date]&gt;1,Table1[Leaving Date]&lt;42552),"",1)))</f>
        <v/>
      </c>
      <c r="DV134" s="92" t="str">
        <f>IF(Table1[Start Date]="","",IF(Table1[Start Date]&gt;42735,"",IF(AND(Table1[Leaving Date]&gt;1,Table1[Leaving Date]&lt;42644),"",1)))</f>
        <v/>
      </c>
      <c r="DW134" s="92" t="str">
        <f>IF(Table1[Start Date]="","",IF(Table1[Start Date]&gt;42825,"",IF(AND(Table1[Leaving Date]&gt;1,Table1[Leaving Date]&lt;42736),"",1)))</f>
        <v/>
      </c>
      <c r="DX134"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134" s="44" t="e">
        <f>VLOOKUP(Table1[Referral Source],Lists!$G$2:$H$20,2,FALSE)</f>
        <v>#N/A</v>
      </c>
      <c r="DZ134" s="93" t="e">
        <f>SUM(Table1[Data Referral Quarter]+Table1[Data Referral Source])</f>
        <v>#N/A</v>
      </c>
      <c r="EA134" s="44" t="b">
        <f>IF(Table1[Referral Decision]="Accepted",100,IF(Table1[Referral Decision]="Rejected by Provider",200,IF(Table1[Referral Decision]="Rejected by Applicant",300)))</f>
        <v>0</v>
      </c>
      <c r="EB134" s="44">
        <f>SUM(Table1[Data Referral Quarter]+Table1[Data Referral Decision])</f>
        <v>0</v>
      </c>
      <c r="EC134" s="44" t="b">
        <f>IF(Table1[Start Date]&gt;42735,8000,IF(Table1[Start Date]&gt;42643,7000,IF(Table1[Start Date]&gt;42551,6000,IF(Table1[Start Date]&gt;42460,5000,IF(Table1[Start Date]&gt;42369,4000,IF(Table1[Start Date]&gt;42277,3000,IF(Table1[Start Date]&gt;42185,2000,IF(Table1[Start Date]&gt;42094,1000))))))))</f>
        <v>0</v>
      </c>
      <c r="ED134" s="44" t="str">
        <f>IF(Table1[Start Date]="","",IF(Table1[Current Local Authority]="Swindon",1,"2"))</f>
        <v/>
      </c>
      <c r="EE134" s="44" t="e">
        <f>SUM(Table1[Data Start Date]+Table1[Data Local Authority])</f>
        <v>#VALUE!</v>
      </c>
      <c r="EF134" s="44">
        <f>IF(Table1[Registered with GP]="Yes",1,0)</f>
        <v>0</v>
      </c>
      <c r="EG134" s="44">
        <f>SUM(Table1[Data Start Date]+Table1[Data GP Start])</f>
        <v>0</v>
      </c>
      <c r="EH134" s="44" t="str">
        <f>IF(Table1[EET]="NEET",1,IF(Table1[EET]="Education",2,IF(Table1[EET]="Employment",2,IF(Table1[EET]="Training",2,IF(Table1[EET]="Retired",3,"")))))</f>
        <v/>
      </c>
      <c r="EI134" s="44" t="e">
        <f>Table1[Data Start Date]+Table1[Data EET Start]</f>
        <v>#VALUE!</v>
      </c>
      <c r="EJ134" s="44" t="b">
        <f>IF(Table1[Leaving Date]&gt;42735,8000,IF(Table1[Leaving Date]&gt;42643,7000,IF(Table1[Leaving Date]&gt;42551,6000,IF(Table1[Leaving Date]&gt;42460,5000,IF(Table1[Leaving Date]&gt;42369,4000,IF(Table1[Leaving Date]&gt;42277,3000,IF(Table1[Leaving Date]&gt;42185,2000,IF(Table1[Leaving Date]&gt;42094,1000))))))))</f>
        <v>0</v>
      </c>
      <c r="EK134" s="44" t="e">
        <f>VLOOKUP(Table1[Reason for Leaving],Lists!$T$2:$U$15,2,FALSE)</f>
        <v>#N/A</v>
      </c>
      <c r="EL134" s="44" t="e">
        <f>SUM(Table1[Data Leavers Date]+Table1[Data Move On])</f>
        <v>#N/A</v>
      </c>
      <c r="EM134" s="44" t="b">
        <f>IF(Table1[Registered with GP2]="Yes",1,IF(Table1[Registered with GP2]="No",0,IF(Table1[Registered with GP]="Yes",1,IF(Table1[Registered with GP]="No",0))))</f>
        <v>0</v>
      </c>
      <c r="EN134" s="44">
        <f>SUM(Table1[Data Leavers Date]+Table1[Data GP End])</f>
        <v>0</v>
      </c>
      <c r="EO134" s="44" t="str">
        <f>IF(Table1[EET2]="NEET",1,IF(Table1[EET2]="Employment",2,IF(Table1[EET2]="Education",2,IF(Table1[EET2]="Training",2,IF(Table1[EET2]="Retired",3,IF(Table1[EET]="NEET",1,IF(Table1[EET]="Employment",2,IF(Table1[EET]="Education",2,IF(Table1[EET]="Training",2,IF(Table1[EET]="Retired",3,""))))))))))</f>
        <v/>
      </c>
      <c r="EP134" s="44" t="e">
        <f>+Table1[[#This Row],[Data Leavers Date]]+Table1[[#This Row],[Data EET End]]</f>
        <v>#VALUE!</v>
      </c>
      <c r="EQ134" s="44">
        <f>IF(Table1[Exit Form Received]="Yes",1,0)</f>
        <v>0</v>
      </c>
      <c r="ER134" s="44">
        <f>+Table1[[#This Row],[Data Leavers Date]]+Table1[[#This Row],[Data Exit Forms]]</f>
        <v>0</v>
      </c>
      <c r="ES134" s="44" t="str">
        <f>IF(Table1[Data Leavers Date]=1000,SUM(Table1[Leaving Date]-Table1[Start Date]),"")</f>
        <v/>
      </c>
      <c r="ET134" s="44" t="str">
        <f>IF(Table1[Data Leavers Date]=2000,SUM(Table1[Leaving Date]-Table1[Start Date]),"")</f>
        <v/>
      </c>
      <c r="EU134" s="44" t="str">
        <f>IF(Table1[Data Leavers Date]=3000,SUM(Table1[Leaving Date]-Table1[Start Date]),"")</f>
        <v/>
      </c>
      <c r="EV134" s="44" t="str">
        <f>IF(Table1[Data Leavers Date]=4000,SUM(Table1[Leaving Date]-Table1[Start Date]),"")</f>
        <v/>
      </c>
      <c r="EW134" s="44" t="str">
        <f>IF(Table1[Data Leavers Date]=5000,SUM(Table1[Leaving Date]-Table1[Start Date]),"")</f>
        <v/>
      </c>
      <c r="EX134" s="44" t="str">
        <f>IF(Table1[Data Leavers Date]=6000,SUM(Table1[Leaving Date]-Table1[Start Date]),"")</f>
        <v/>
      </c>
      <c r="EY134" s="44" t="str">
        <f>IF(Table1[Data Leavers Date]=7000,SUM(Table1[Leaving Date]-Table1[Start Date]),"")</f>
        <v/>
      </c>
      <c r="EZ134" s="44" t="str">
        <f>IF(Table1[Data Leavers Date]=8000,SUM(Table1[Leaving Date]-Table1[Start Date]),"")</f>
        <v/>
      </c>
      <c r="FA134" s="44" t="str">
        <f>IF(Table1[Date of Initial Assessment]="","",IF(AND(Table1[Start Date]&gt;42094,Table1[Start Date]&lt;42461),Table1[Motivation and Taking Responsibility],""))</f>
        <v/>
      </c>
      <c r="FB134" s="44" t="str">
        <f>IF(Table1[Date of Initial Assessment]="","",IF(AND(Table1[Start Date]&gt;42094,Table1[Start Date]&lt;42461),Table1[Self-Care and Living Skills],""))</f>
        <v/>
      </c>
      <c r="FC134" s="44" t="str">
        <f>IF(Table1[Date of Initial Assessment]="","",IF(AND(Table1[Start Date]&gt;42094,Table1[Start Date]&lt;42461),Table1[Managing Money and Personal Administration],""))</f>
        <v/>
      </c>
      <c r="FD134" s="44" t="str">
        <f>IF(Table1[Date of Initial Assessment]="","",IF(AND(Table1[Start Date]&gt;42094,Table1[Start Date]&lt;42461),Table1[Social Networks and Relationships],""))</f>
        <v/>
      </c>
      <c r="FE134" s="44" t="str">
        <f>IF(Table1[Date of Initial Assessment]="","",IF(AND(Table1[Start Date]&gt;42094,Table1[Start Date]&lt;42461),Table1[Drug and Alcohol Misuse],""))</f>
        <v/>
      </c>
      <c r="FF134" s="44" t="str">
        <f>IF(Table1[Date of Initial Assessment]="","",IF(AND(Table1[Start Date]&gt;42094,Table1[Start Date]&lt;42461),Table1[Physical Health],""))</f>
        <v/>
      </c>
      <c r="FG134" s="44" t="str">
        <f>IF(Table1[Date of Initial Assessment]="","",IF(AND(Table1[Start Date]&gt;42094,Table1[Start Date]&lt;42461),Table1[Emotional and Mental Health],""))</f>
        <v/>
      </c>
      <c r="FH134" s="44" t="str">
        <f>IF(Table1[Date of Initial Assessment]="","",IF(AND(Table1[Start Date]&gt;42094,Table1[Start Date]&lt;42461),Table1[Meaningful Use of Time],""))</f>
        <v/>
      </c>
      <c r="FI134" s="44" t="str">
        <f>IF(Table1[Date of Initial Assessment]="","",IF(AND(Table1[Start Date]&gt;42094,Table1[Start Date]&lt;42461),Table1[Managing Tenancy and Accommodation],""))</f>
        <v/>
      </c>
      <c r="FJ134" s="44" t="str">
        <f>IF(Table1[Date of Initial Assessment]="","",IF(AND(Table1[Start Date]&gt;42094,Table1[Start Date]&lt;42461),Table1[Offending],""))</f>
        <v/>
      </c>
      <c r="FK134" s="44" t="str">
        <f>IF(Table1[Leaving Date]="","",IF(Table1[Date of Initial Assessment]="","",IF(AND(Table1[Leaving Date]&gt;42094,Table1[Leaving Date]&lt;42461),IF(Table1[Date of Last Assessment]="",Table1[Motivation and Taking Responsibility],Table1[Motivation and Taking Responsibility2]),"")))</f>
        <v/>
      </c>
      <c r="FL134" s="44" t="str">
        <f>IF(Table1[Leaving Date]="","",IF(Table1[Date of Initial Assessment]="","",IF(AND(Table1[Leaving Date]&gt;42094,Table1[Leaving Date]&lt;42461),IF(Table1[Date of Last Assessment]="",Table1[Self-Care and Living Skills],Table1[Self-Care and Living Skills2]),"")))</f>
        <v/>
      </c>
      <c r="FM134" s="44" t="str">
        <f>IF(Table1[Leaving Date]="","",IF(Table1[Date of Initial Assessment]="","",IF(AND(Table1[Leaving Date]&gt;42094,Table1[Leaving Date]&lt;42461),IF(Table1[Date of Last Assessment]="",Table1[Managing Money and Personal Administration],Table1[Managing Money and Personal Administration2]),"")))</f>
        <v/>
      </c>
      <c r="FN134" s="44" t="str">
        <f>IF(Table1[Leaving Date]="","",IF(Table1[Date of Initial Assessment]="","",IF(AND(Table1[Leaving Date]&gt;42094,Table1[Leaving Date]&lt;42461),IF(Table1[Date of Last Assessment]="",Table1[Social Networks and Relationships],Table1[Social Networks and Relationships2]),"")))</f>
        <v/>
      </c>
      <c r="FO134" s="44" t="str">
        <f>IF(Table1[Leaving Date]="","",IF(Table1[Date of Initial Assessment]="","",IF(AND(Table1[Leaving Date]&gt;42094,Table1[Leaving Date]&lt;42461),IF(Table1[Date of Last Assessment]="",Table1[Drug and Alcohol Misuse],Table1[Drug and Alcohol Misuse2]),"")))</f>
        <v/>
      </c>
      <c r="FP134" s="44" t="str">
        <f>IF(Table1[Leaving Date]="","",IF(Table1[Date of Initial Assessment]="","",IF(AND(Table1[Leaving Date]&gt;42094,Table1[Leaving Date]&lt;42461),IF(Table1[Date of Last Assessment]="",Table1[Physical Health],Table1[Physical Health2]),"")))</f>
        <v/>
      </c>
      <c r="FQ134" s="44" t="str">
        <f>IF(Table1[Leaving Date]="","",IF(Table1[Date of Initial Assessment]="","",IF(AND(Table1[Leaving Date]&gt;42094,Table1[Leaving Date]&lt;42461),IF(Table1[Date of Last Assessment]="",Table1[Emotional and Mental Health],Table1[Emotional and Mental Health2]),"")))</f>
        <v/>
      </c>
      <c r="FR134" s="44" t="str">
        <f>IF(Table1[Leaving Date]="","",IF(Table1[Date of Initial Assessment]="","",IF(AND(Table1[Leaving Date]&gt;42094,Table1[Leaving Date]&lt;42461),IF(Table1[Date of Last Assessment]="",Table1[Meaningful Use of Time],Table1[Meaningful Use of Time2]),"")))</f>
        <v/>
      </c>
      <c r="FS134" s="44" t="str">
        <f>IF(Table1[Leaving Date]="","",IF(Table1[Date of Initial Assessment]="","",IF(AND(Table1[Leaving Date]&gt;42094,Table1[Leaving Date]&lt;42461),IF(Table1[Date of Last Assessment]="",Table1[Managing Tenancy and Accommodation],Table1[Managing Tenancy and Accommodation2]),"")))</f>
        <v/>
      </c>
      <c r="FT134" s="44" t="str">
        <f>IF(Table1[Leaving Date]="","",IF(Table1[Date of Initial Assessment]="","",IF(AND(Table1[Leaving Date]&gt;42094,Table1[Leaving Date]&lt;42461),IF(Table1[Date of Last Assessment]="",Table1[Offending],Table1[Offending2]),"")))</f>
        <v/>
      </c>
      <c r="FU134" s="44" t="str">
        <f>IF(Table1[Date of Initial Assessment]="","",IF(AND(Table1[Start Date]&gt;42460,Table1[Start Date]&lt;42826),Table1[Motivation and Taking Responsibility],""))</f>
        <v/>
      </c>
      <c r="FV134" s="44" t="str">
        <f>IF(Table1[Date of Initial Assessment]="","",IF(AND(Table1[Start Date]&gt;42460,Table1[Start Date]&lt;42826),Table1[Self-Care and Living Skills],""))</f>
        <v/>
      </c>
      <c r="FW134" s="44" t="str">
        <f>IF(Table1[Date of Initial Assessment]="","",IF(AND(Table1[Start Date]&gt;42460,Table1[Start Date]&lt;42826),Table1[Managing Money and Personal Administration],""))</f>
        <v/>
      </c>
      <c r="FX134" s="44" t="str">
        <f>IF(Table1[Date of Initial Assessment]="","",IF(AND(Table1[Start Date]&gt;42460,Table1[Start Date]&lt;42826),Table1[Social Networks and Relationships],""))</f>
        <v/>
      </c>
      <c r="FY134" s="44" t="str">
        <f>IF(Table1[Date of Initial Assessment]="","",IF(AND(Table1[Start Date]&gt;42460,Table1[Start Date]&lt;42826),Table1[Drug and Alcohol Misuse],""))</f>
        <v/>
      </c>
      <c r="FZ134" s="44" t="str">
        <f>IF(Table1[Date of Initial Assessment]="","",IF(AND(Table1[Start Date]&gt;42460,Table1[Start Date]&lt;42826),Table1[Physical Health],""))</f>
        <v/>
      </c>
      <c r="GA134" s="44" t="str">
        <f>IF(Table1[Date of Initial Assessment]="","",IF(AND(Table1[Start Date]&gt;42460,Table1[Start Date]&lt;42826),Table1[Emotional and Mental Health],""))</f>
        <v/>
      </c>
      <c r="GB134" s="44" t="str">
        <f>IF(Table1[Date of Initial Assessment]="","",IF(AND(Table1[Start Date]&gt;42460,Table1[Start Date]&lt;42826),Table1[Meaningful Use of Time],""))</f>
        <v/>
      </c>
      <c r="GC134" s="44" t="str">
        <f>IF(Table1[Date of Initial Assessment]="","",IF(AND(Table1[Start Date]&gt;42460,Table1[Start Date]&lt;42826),Table1[Managing Tenancy and Accommodation],""))</f>
        <v/>
      </c>
      <c r="GD134" s="44" t="str">
        <f>IF(Table1[Date of Initial Assessment]="","",IF(AND(Table1[Start Date]&gt;42460,Table1[Start Date]&lt;42826),Table1[Offending],""))</f>
        <v/>
      </c>
      <c r="GE134" s="44" t="str">
        <f>IF(Table1[Leaving Date]="","",IF(AND(Table1[Leaving Date]&gt;42460,Table1[Leaving Date]&lt;42826),IF(Table1[Date of Last Assessment]="",Table1[Motivation and Taking Responsibility],Table1[Motivation and Taking Responsibility2]),""))</f>
        <v/>
      </c>
      <c r="GF134" s="44" t="str">
        <f>IF(Table1[Leaving Date]="","",IF(AND(Table1[Leaving Date]&gt;42460,Table1[Leaving Date]&lt;42826),IF(Table1[Date of Last Assessment]="",Table1[Self-Care and Living Skills],Table1[Self-Care and Living Skills2]),""))</f>
        <v/>
      </c>
      <c r="GG134" s="44" t="str">
        <f>IF(Table1[Leaving Date]="","",IF(AND(Table1[Leaving Date]&gt;42460,Table1[Leaving Date]&lt;42826),IF(Table1[Date of Last Assessment]="",Table1[Managing Money and Personal Administration],Table1[Managing Money and Personal Administration2]),""))</f>
        <v/>
      </c>
      <c r="GH134" s="44" t="str">
        <f>IF(Table1[Leaving Date]="","",IF(AND(Table1[Leaving Date]&gt;42460,Table1[Leaving Date]&lt;42826),IF(Table1[Date of Last Assessment]="",Table1[Social Networks and Relationships],Table1[Social Networks and Relationships2]),""))</f>
        <v/>
      </c>
      <c r="GI134" s="44" t="str">
        <f>IF(Table1[Leaving Date]="","",IF(AND(Table1[Leaving Date]&gt;42460,Table1[Leaving Date]&lt;42826),IF(Table1[Date of Last Assessment]="",Table1[Drug and Alcohol Misuse],Table1[Drug and Alcohol Misuse2]),""))</f>
        <v/>
      </c>
      <c r="GJ134" s="44" t="str">
        <f>IF(Table1[Leaving Date]="","",IF(AND(Table1[Leaving Date]&gt;42460,Table1[Leaving Date]&lt;42826),IF(Table1[Date of Last Assessment]="",Table1[Physical Health],Table1[Physical Health2]),""))</f>
        <v/>
      </c>
      <c r="GK134" s="44" t="str">
        <f>IF(Table1[Leaving Date]="","",IF(AND(Table1[Leaving Date]&gt;42460,Table1[Leaving Date]&lt;42826),IF(Table1[Date of Last Assessment]="",Table1[Emotional and Mental Health],Table1[Emotional and Mental Health2]),""))</f>
        <v/>
      </c>
      <c r="GL134" s="44" t="str">
        <f>IF(Table1[Leaving Date]="","",IF(AND(Table1[Leaving Date]&gt;42460,Table1[Leaving Date]&lt;42826),IF(Table1[Date of Last Assessment]="",Table1[Meaningful Use of Time],Table1[Meaningful Use of Time2]),""))</f>
        <v/>
      </c>
      <c r="GM134" s="44" t="str">
        <f>IF(Table1[Leaving Date]="","",IF(AND(Table1[Leaving Date]&gt;42460,Table1[Leaving Date]&lt;42826),IF(Table1[Date of Last Assessment]="",Table1[Managing Tenancy and Accommodation],Table1[Managing Tenancy and Accommodation2]),""))</f>
        <v/>
      </c>
      <c r="GN134" s="44" t="str">
        <f>IF(Table1[Leaving Date]="","",IF(AND(Table1[Leaving Date]&gt;42460,Table1[Leaving Date]&lt;42826),IF(Table1[Date of Last Assessment]="",Table1[Offending],Table1[Offending2]),""))</f>
        <v/>
      </c>
    </row>
    <row r="135" spans="2:196" ht="20.100000000000001" customHeight="1" x14ac:dyDescent="0.2">
      <c r="B135" s="86">
        <f>+'Service Data'!$C$5:$C$5</f>
        <v>0</v>
      </c>
      <c r="C135" s="86"/>
      <c r="D135" s="86"/>
      <c r="E135" s="86"/>
      <c r="F135" s="86"/>
      <c r="G135" s="86"/>
      <c r="H135" s="6"/>
      <c r="I135" s="99" t="str">
        <f ca="1">IF(Table1[[#This Row],[Date of Birth]]="","",SUM(TODAY()-Table1[[#This Row],[Date of Birth]])/365)</f>
        <v/>
      </c>
      <c r="L135" s="86"/>
      <c r="M135" s="77"/>
      <c r="N135" s="86"/>
      <c r="O135" s="86"/>
      <c r="P135" s="91"/>
      <c r="Q135" s="86"/>
      <c r="R135" s="77"/>
      <c r="S135" s="77"/>
      <c r="T135" s="68"/>
      <c r="U135" s="68"/>
      <c r="V135" s="67"/>
      <c r="W135" s="67"/>
      <c r="X135" s="67"/>
      <c r="Y135" s="67"/>
      <c r="Z135" s="67"/>
      <c r="AA135" s="67"/>
      <c r="AB135" s="67"/>
      <c r="AC135" s="67"/>
      <c r="AD135" s="67"/>
      <c r="AE135" s="67"/>
      <c r="AF135" s="67"/>
      <c r="AG135" s="67"/>
      <c r="AH135" s="67"/>
      <c r="AI135" s="67"/>
      <c r="AJ135" s="67"/>
      <c r="AK135" s="67"/>
      <c r="AL135" s="67"/>
      <c r="AM135" s="67"/>
      <c r="AN135" s="77"/>
      <c r="AO135" s="76"/>
      <c r="AP135" s="77"/>
      <c r="AQ135" s="76"/>
      <c r="AR135" s="76"/>
      <c r="AS135" s="76"/>
      <c r="AT135" s="76"/>
      <c r="AU135" s="76"/>
      <c r="AV135" s="77"/>
      <c r="AW135" s="76"/>
      <c r="AX135" s="77"/>
      <c r="AY135" s="76"/>
      <c r="AZ135" s="76"/>
      <c r="BA135" s="76"/>
      <c r="BB135" s="76"/>
      <c r="BC135" s="76"/>
      <c r="BD135" s="77"/>
      <c r="BE135" s="76"/>
      <c r="BF135" s="77"/>
      <c r="BG135" s="76"/>
      <c r="BH135" s="76"/>
      <c r="BI135" s="76"/>
      <c r="BJ135" s="76"/>
      <c r="BK135" s="76"/>
      <c r="BL135" s="77"/>
      <c r="BM135" s="76"/>
      <c r="BN135" s="77"/>
      <c r="BO135" s="76"/>
      <c r="BP135" s="76"/>
      <c r="BQ135" s="76"/>
      <c r="BR135" s="76"/>
      <c r="BS135" s="76"/>
      <c r="BT135" s="77"/>
      <c r="BU135" s="76"/>
      <c r="BV135" s="77"/>
      <c r="BW135" s="76"/>
      <c r="BX135" s="76"/>
      <c r="BY135" s="76"/>
      <c r="BZ135" s="76"/>
      <c r="CA135" s="76"/>
      <c r="CB135" s="77"/>
      <c r="CC135" s="76"/>
      <c r="CD135" s="77"/>
      <c r="CE135" s="76"/>
      <c r="CF135" s="76"/>
      <c r="CG135" s="76"/>
      <c r="CH135" s="76"/>
      <c r="CI135" s="76"/>
      <c r="CJ135" s="77"/>
      <c r="CK135" s="76"/>
      <c r="CL135" s="77"/>
      <c r="CM135" s="76"/>
      <c r="CN135" s="76"/>
      <c r="CO135" s="76"/>
      <c r="CP135" s="76"/>
      <c r="CQ135" s="76"/>
      <c r="CR135" s="78" t="str">
        <f t="shared" si="47"/>
        <v/>
      </c>
      <c r="CS135" s="79" t="str">
        <f t="shared" si="48"/>
        <v/>
      </c>
      <c r="CT135" s="79" t="str">
        <f t="shared" si="49"/>
        <v/>
      </c>
      <c r="CU135" s="79" t="str">
        <f t="shared" si="50"/>
        <v/>
      </c>
      <c r="CV135" s="79" t="str">
        <f t="shared" si="51"/>
        <v/>
      </c>
      <c r="CW135" s="79" t="str">
        <f t="shared" si="52"/>
        <v/>
      </c>
      <c r="CX135" s="79" t="str">
        <f t="shared" si="53"/>
        <v/>
      </c>
      <c r="CY135" s="79" t="str">
        <f t="shared" si="54"/>
        <v/>
      </c>
      <c r="CZ135" s="79" t="str">
        <f t="shared" si="55"/>
        <v/>
      </c>
      <c r="DA135" s="79" t="str">
        <f t="shared" si="56"/>
        <v/>
      </c>
      <c r="DB135" s="79" t="str">
        <f t="shared" si="57"/>
        <v/>
      </c>
      <c r="DC135" s="79" t="str">
        <f t="shared" si="58"/>
        <v/>
      </c>
      <c r="DD135" s="79" t="str">
        <f t="shared" si="59"/>
        <v/>
      </c>
      <c r="DE135" s="79" t="str">
        <f t="shared" si="60"/>
        <v/>
      </c>
      <c r="DF135" s="79" t="str">
        <f t="shared" si="61"/>
        <v/>
      </c>
      <c r="DG135" s="79" t="str">
        <f t="shared" si="62"/>
        <v/>
      </c>
      <c r="DH135" s="76"/>
      <c r="DI135" s="78"/>
      <c r="DJ135" s="76"/>
      <c r="DK135" s="77"/>
      <c r="DL135" s="77"/>
      <c r="DM135" s="77"/>
      <c r="DN135" s="80"/>
      <c r="DO135" s="80"/>
      <c r="DP135" s="92" t="str">
        <f>IF(Table1[Start Date]="","",IF(Table1[Start Date]&gt;42185,"",IF(AND(Table1[Leaving Date]&gt;1,Table1[Leaving Date]&lt;42095),"",1)))</f>
        <v/>
      </c>
      <c r="DQ135" s="92" t="str">
        <f>IF(Table1[Start Date]="","",IF(Table1[Start Date]&gt;42277,"",IF(AND(Table1[Leaving Date]&gt;1,Table1[Leaving Date]&lt;42186),"",1)))</f>
        <v/>
      </c>
      <c r="DR135" s="92" t="str">
        <f>IF(Table1[Start Date]="","",IF(Table1[Start Date]&gt;42369,"",IF(AND(Table1[Leaving Date]&gt;1,Table1[Leaving Date]&lt;42278),"",1)))</f>
        <v/>
      </c>
      <c r="DS135" s="92" t="str">
        <f>IF(Table1[Start Date]="","",IF(Table1[Start Date]&gt;42460,"",IF(AND(Table1[Leaving Date]&gt;1,Table1[Leaving Date]&lt;42370),"",1)))</f>
        <v/>
      </c>
      <c r="DT135" s="92" t="str">
        <f>IF(Table1[Start Date]="","",IF(Table1[Start Date]&gt;42551,"",IF(AND(Table1[Leaving Date]&gt;1,Table1[Leaving Date]&lt;42461),"",1)))</f>
        <v/>
      </c>
      <c r="DU135" s="92" t="str">
        <f>IF(Table1[Start Date]="","",IF(Table1[Start Date]&gt;42643,"",IF(AND(Table1[Leaving Date]&gt;1,Table1[Leaving Date]&lt;42552),"",1)))</f>
        <v/>
      </c>
      <c r="DV135" s="92" t="str">
        <f>IF(Table1[Start Date]="","",IF(Table1[Start Date]&gt;42735,"",IF(AND(Table1[Leaving Date]&gt;1,Table1[Leaving Date]&lt;42644),"",1)))</f>
        <v/>
      </c>
      <c r="DW135" s="92" t="str">
        <f>IF(Table1[Start Date]="","",IF(Table1[Start Date]&gt;42825,"",IF(AND(Table1[Leaving Date]&gt;1,Table1[Leaving Date]&lt;42736),"",1)))</f>
        <v/>
      </c>
      <c r="DX135"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135" s="44" t="e">
        <f>VLOOKUP(Table1[Referral Source],Lists!$G$2:$H$20,2,FALSE)</f>
        <v>#N/A</v>
      </c>
      <c r="DZ135" s="93" t="e">
        <f>SUM(Table1[Data Referral Quarter]+Table1[Data Referral Source])</f>
        <v>#N/A</v>
      </c>
      <c r="EA135" s="44" t="b">
        <f>IF(Table1[Referral Decision]="Accepted",100,IF(Table1[Referral Decision]="Rejected by Provider",200,IF(Table1[Referral Decision]="Rejected by Applicant",300)))</f>
        <v>0</v>
      </c>
      <c r="EB135" s="44">
        <f>SUM(Table1[Data Referral Quarter]+Table1[Data Referral Decision])</f>
        <v>0</v>
      </c>
      <c r="EC135" s="44" t="b">
        <f>IF(Table1[Start Date]&gt;42735,8000,IF(Table1[Start Date]&gt;42643,7000,IF(Table1[Start Date]&gt;42551,6000,IF(Table1[Start Date]&gt;42460,5000,IF(Table1[Start Date]&gt;42369,4000,IF(Table1[Start Date]&gt;42277,3000,IF(Table1[Start Date]&gt;42185,2000,IF(Table1[Start Date]&gt;42094,1000))))))))</f>
        <v>0</v>
      </c>
      <c r="ED135" s="44" t="str">
        <f>IF(Table1[Start Date]="","",IF(Table1[Current Local Authority]="Swindon",1,"2"))</f>
        <v/>
      </c>
      <c r="EE135" s="44" t="e">
        <f>SUM(Table1[Data Start Date]+Table1[Data Local Authority])</f>
        <v>#VALUE!</v>
      </c>
      <c r="EF135" s="44">
        <f>IF(Table1[Registered with GP]="Yes",1,0)</f>
        <v>0</v>
      </c>
      <c r="EG135" s="44">
        <f>SUM(Table1[Data Start Date]+Table1[Data GP Start])</f>
        <v>0</v>
      </c>
      <c r="EH135" s="44" t="str">
        <f>IF(Table1[EET]="NEET",1,IF(Table1[EET]="Education",2,IF(Table1[EET]="Employment",2,IF(Table1[EET]="Training",2,IF(Table1[EET]="Retired",3,"")))))</f>
        <v/>
      </c>
      <c r="EI135" s="44" t="e">
        <f>Table1[Data Start Date]+Table1[Data EET Start]</f>
        <v>#VALUE!</v>
      </c>
      <c r="EJ135" s="44" t="b">
        <f>IF(Table1[Leaving Date]&gt;42735,8000,IF(Table1[Leaving Date]&gt;42643,7000,IF(Table1[Leaving Date]&gt;42551,6000,IF(Table1[Leaving Date]&gt;42460,5000,IF(Table1[Leaving Date]&gt;42369,4000,IF(Table1[Leaving Date]&gt;42277,3000,IF(Table1[Leaving Date]&gt;42185,2000,IF(Table1[Leaving Date]&gt;42094,1000))))))))</f>
        <v>0</v>
      </c>
      <c r="EK135" s="44" t="e">
        <f>VLOOKUP(Table1[Reason for Leaving],Lists!$T$2:$U$15,2,FALSE)</f>
        <v>#N/A</v>
      </c>
      <c r="EL135" s="44" t="e">
        <f>SUM(Table1[Data Leavers Date]+Table1[Data Move On])</f>
        <v>#N/A</v>
      </c>
      <c r="EM135" s="44" t="b">
        <f>IF(Table1[Registered with GP2]="Yes",1,IF(Table1[Registered with GP2]="No",0,IF(Table1[Registered with GP]="Yes",1,IF(Table1[Registered with GP]="No",0))))</f>
        <v>0</v>
      </c>
      <c r="EN135" s="44">
        <f>SUM(Table1[Data Leavers Date]+Table1[Data GP End])</f>
        <v>0</v>
      </c>
      <c r="EO135" s="44" t="str">
        <f>IF(Table1[EET2]="NEET",1,IF(Table1[EET2]="Employment",2,IF(Table1[EET2]="Education",2,IF(Table1[EET2]="Training",2,IF(Table1[EET2]="Retired",3,IF(Table1[EET]="NEET",1,IF(Table1[EET]="Employment",2,IF(Table1[EET]="Education",2,IF(Table1[EET]="Training",2,IF(Table1[EET]="Retired",3,""))))))))))</f>
        <v/>
      </c>
      <c r="EP135" s="44" t="e">
        <f>+Table1[[#This Row],[Data Leavers Date]]+Table1[[#This Row],[Data EET End]]</f>
        <v>#VALUE!</v>
      </c>
      <c r="EQ135" s="44">
        <f>IF(Table1[Exit Form Received]="Yes",1,0)</f>
        <v>0</v>
      </c>
      <c r="ER135" s="44">
        <f>+Table1[[#This Row],[Data Leavers Date]]+Table1[[#This Row],[Data Exit Forms]]</f>
        <v>0</v>
      </c>
      <c r="ES135" s="44" t="str">
        <f>IF(Table1[Data Leavers Date]=1000,SUM(Table1[Leaving Date]-Table1[Start Date]),"")</f>
        <v/>
      </c>
      <c r="ET135" s="44" t="str">
        <f>IF(Table1[Data Leavers Date]=2000,SUM(Table1[Leaving Date]-Table1[Start Date]),"")</f>
        <v/>
      </c>
      <c r="EU135" s="44" t="str">
        <f>IF(Table1[Data Leavers Date]=3000,SUM(Table1[Leaving Date]-Table1[Start Date]),"")</f>
        <v/>
      </c>
      <c r="EV135" s="44" t="str">
        <f>IF(Table1[Data Leavers Date]=4000,SUM(Table1[Leaving Date]-Table1[Start Date]),"")</f>
        <v/>
      </c>
      <c r="EW135" s="44" t="str">
        <f>IF(Table1[Data Leavers Date]=5000,SUM(Table1[Leaving Date]-Table1[Start Date]),"")</f>
        <v/>
      </c>
      <c r="EX135" s="44" t="str">
        <f>IF(Table1[Data Leavers Date]=6000,SUM(Table1[Leaving Date]-Table1[Start Date]),"")</f>
        <v/>
      </c>
      <c r="EY135" s="44" t="str">
        <f>IF(Table1[Data Leavers Date]=7000,SUM(Table1[Leaving Date]-Table1[Start Date]),"")</f>
        <v/>
      </c>
      <c r="EZ135" s="44" t="str">
        <f>IF(Table1[Data Leavers Date]=8000,SUM(Table1[Leaving Date]-Table1[Start Date]),"")</f>
        <v/>
      </c>
      <c r="FA135" s="44" t="str">
        <f>IF(Table1[Date of Initial Assessment]="","",IF(AND(Table1[Start Date]&gt;42094,Table1[Start Date]&lt;42461),Table1[Motivation and Taking Responsibility],""))</f>
        <v/>
      </c>
      <c r="FB135" s="44" t="str">
        <f>IF(Table1[Date of Initial Assessment]="","",IF(AND(Table1[Start Date]&gt;42094,Table1[Start Date]&lt;42461),Table1[Self-Care and Living Skills],""))</f>
        <v/>
      </c>
      <c r="FC135" s="44" t="str">
        <f>IF(Table1[Date of Initial Assessment]="","",IF(AND(Table1[Start Date]&gt;42094,Table1[Start Date]&lt;42461),Table1[Managing Money and Personal Administration],""))</f>
        <v/>
      </c>
      <c r="FD135" s="44" t="str">
        <f>IF(Table1[Date of Initial Assessment]="","",IF(AND(Table1[Start Date]&gt;42094,Table1[Start Date]&lt;42461),Table1[Social Networks and Relationships],""))</f>
        <v/>
      </c>
      <c r="FE135" s="44" t="str">
        <f>IF(Table1[Date of Initial Assessment]="","",IF(AND(Table1[Start Date]&gt;42094,Table1[Start Date]&lt;42461),Table1[Drug and Alcohol Misuse],""))</f>
        <v/>
      </c>
      <c r="FF135" s="44" t="str">
        <f>IF(Table1[Date of Initial Assessment]="","",IF(AND(Table1[Start Date]&gt;42094,Table1[Start Date]&lt;42461),Table1[Physical Health],""))</f>
        <v/>
      </c>
      <c r="FG135" s="44" t="str">
        <f>IF(Table1[Date of Initial Assessment]="","",IF(AND(Table1[Start Date]&gt;42094,Table1[Start Date]&lt;42461),Table1[Emotional and Mental Health],""))</f>
        <v/>
      </c>
      <c r="FH135" s="44" t="str">
        <f>IF(Table1[Date of Initial Assessment]="","",IF(AND(Table1[Start Date]&gt;42094,Table1[Start Date]&lt;42461),Table1[Meaningful Use of Time],""))</f>
        <v/>
      </c>
      <c r="FI135" s="44" t="str">
        <f>IF(Table1[Date of Initial Assessment]="","",IF(AND(Table1[Start Date]&gt;42094,Table1[Start Date]&lt;42461),Table1[Managing Tenancy and Accommodation],""))</f>
        <v/>
      </c>
      <c r="FJ135" s="44" t="str">
        <f>IF(Table1[Date of Initial Assessment]="","",IF(AND(Table1[Start Date]&gt;42094,Table1[Start Date]&lt;42461),Table1[Offending],""))</f>
        <v/>
      </c>
      <c r="FK135" s="44" t="str">
        <f>IF(Table1[Leaving Date]="","",IF(Table1[Date of Initial Assessment]="","",IF(AND(Table1[Leaving Date]&gt;42094,Table1[Leaving Date]&lt;42461),IF(Table1[Date of Last Assessment]="",Table1[Motivation and Taking Responsibility],Table1[Motivation and Taking Responsibility2]),"")))</f>
        <v/>
      </c>
      <c r="FL135" s="44" t="str">
        <f>IF(Table1[Leaving Date]="","",IF(Table1[Date of Initial Assessment]="","",IF(AND(Table1[Leaving Date]&gt;42094,Table1[Leaving Date]&lt;42461),IF(Table1[Date of Last Assessment]="",Table1[Self-Care and Living Skills],Table1[Self-Care and Living Skills2]),"")))</f>
        <v/>
      </c>
      <c r="FM135" s="44" t="str">
        <f>IF(Table1[Leaving Date]="","",IF(Table1[Date of Initial Assessment]="","",IF(AND(Table1[Leaving Date]&gt;42094,Table1[Leaving Date]&lt;42461),IF(Table1[Date of Last Assessment]="",Table1[Managing Money and Personal Administration],Table1[Managing Money and Personal Administration2]),"")))</f>
        <v/>
      </c>
      <c r="FN135" s="44" t="str">
        <f>IF(Table1[Leaving Date]="","",IF(Table1[Date of Initial Assessment]="","",IF(AND(Table1[Leaving Date]&gt;42094,Table1[Leaving Date]&lt;42461),IF(Table1[Date of Last Assessment]="",Table1[Social Networks and Relationships],Table1[Social Networks and Relationships2]),"")))</f>
        <v/>
      </c>
      <c r="FO135" s="44" t="str">
        <f>IF(Table1[Leaving Date]="","",IF(Table1[Date of Initial Assessment]="","",IF(AND(Table1[Leaving Date]&gt;42094,Table1[Leaving Date]&lt;42461),IF(Table1[Date of Last Assessment]="",Table1[Drug and Alcohol Misuse],Table1[Drug and Alcohol Misuse2]),"")))</f>
        <v/>
      </c>
      <c r="FP135" s="44" t="str">
        <f>IF(Table1[Leaving Date]="","",IF(Table1[Date of Initial Assessment]="","",IF(AND(Table1[Leaving Date]&gt;42094,Table1[Leaving Date]&lt;42461),IF(Table1[Date of Last Assessment]="",Table1[Physical Health],Table1[Physical Health2]),"")))</f>
        <v/>
      </c>
      <c r="FQ135" s="44" t="str">
        <f>IF(Table1[Leaving Date]="","",IF(Table1[Date of Initial Assessment]="","",IF(AND(Table1[Leaving Date]&gt;42094,Table1[Leaving Date]&lt;42461),IF(Table1[Date of Last Assessment]="",Table1[Emotional and Mental Health],Table1[Emotional and Mental Health2]),"")))</f>
        <v/>
      </c>
      <c r="FR135" s="44" t="str">
        <f>IF(Table1[Leaving Date]="","",IF(Table1[Date of Initial Assessment]="","",IF(AND(Table1[Leaving Date]&gt;42094,Table1[Leaving Date]&lt;42461),IF(Table1[Date of Last Assessment]="",Table1[Meaningful Use of Time],Table1[Meaningful Use of Time2]),"")))</f>
        <v/>
      </c>
      <c r="FS135" s="44" t="str">
        <f>IF(Table1[Leaving Date]="","",IF(Table1[Date of Initial Assessment]="","",IF(AND(Table1[Leaving Date]&gt;42094,Table1[Leaving Date]&lt;42461),IF(Table1[Date of Last Assessment]="",Table1[Managing Tenancy and Accommodation],Table1[Managing Tenancy and Accommodation2]),"")))</f>
        <v/>
      </c>
      <c r="FT135" s="44" t="str">
        <f>IF(Table1[Leaving Date]="","",IF(Table1[Date of Initial Assessment]="","",IF(AND(Table1[Leaving Date]&gt;42094,Table1[Leaving Date]&lt;42461),IF(Table1[Date of Last Assessment]="",Table1[Offending],Table1[Offending2]),"")))</f>
        <v/>
      </c>
      <c r="FU135" s="44" t="str">
        <f>IF(Table1[Date of Initial Assessment]="","",IF(AND(Table1[Start Date]&gt;42460,Table1[Start Date]&lt;42826),Table1[Motivation and Taking Responsibility],""))</f>
        <v/>
      </c>
      <c r="FV135" s="44" t="str">
        <f>IF(Table1[Date of Initial Assessment]="","",IF(AND(Table1[Start Date]&gt;42460,Table1[Start Date]&lt;42826),Table1[Self-Care and Living Skills],""))</f>
        <v/>
      </c>
      <c r="FW135" s="44" t="str">
        <f>IF(Table1[Date of Initial Assessment]="","",IF(AND(Table1[Start Date]&gt;42460,Table1[Start Date]&lt;42826),Table1[Managing Money and Personal Administration],""))</f>
        <v/>
      </c>
      <c r="FX135" s="44" t="str">
        <f>IF(Table1[Date of Initial Assessment]="","",IF(AND(Table1[Start Date]&gt;42460,Table1[Start Date]&lt;42826),Table1[Social Networks and Relationships],""))</f>
        <v/>
      </c>
      <c r="FY135" s="44" t="str">
        <f>IF(Table1[Date of Initial Assessment]="","",IF(AND(Table1[Start Date]&gt;42460,Table1[Start Date]&lt;42826),Table1[Drug and Alcohol Misuse],""))</f>
        <v/>
      </c>
      <c r="FZ135" s="44" t="str">
        <f>IF(Table1[Date of Initial Assessment]="","",IF(AND(Table1[Start Date]&gt;42460,Table1[Start Date]&lt;42826),Table1[Physical Health],""))</f>
        <v/>
      </c>
      <c r="GA135" s="44" t="str">
        <f>IF(Table1[Date of Initial Assessment]="","",IF(AND(Table1[Start Date]&gt;42460,Table1[Start Date]&lt;42826),Table1[Emotional and Mental Health],""))</f>
        <v/>
      </c>
      <c r="GB135" s="44" t="str">
        <f>IF(Table1[Date of Initial Assessment]="","",IF(AND(Table1[Start Date]&gt;42460,Table1[Start Date]&lt;42826),Table1[Meaningful Use of Time],""))</f>
        <v/>
      </c>
      <c r="GC135" s="44" t="str">
        <f>IF(Table1[Date of Initial Assessment]="","",IF(AND(Table1[Start Date]&gt;42460,Table1[Start Date]&lt;42826),Table1[Managing Tenancy and Accommodation],""))</f>
        <v/>
      </c>
      <c r="GD135" s="44" t="str">
        <f>IF(Table1[Date of Initial Assessment]="","",IF(AND(Table1[Start Date]&gt;42460,Table1[Start Date]&lt;42826),Table1[Offending],""))</f>
        <v/>
      </c>
      <c r="GE135" s="44" t="str">
        <f>IF(Table1[Leaving Date]="","",IF(AND(Table1[Leaving Date]&gt;42460,Table1[Leaving Date]&lt;42826),IF(Table1[Date of Last Assessment]="",Table1[Motivation and Taking Responsibility],Table1[Motivation and Taking Responsibility2]),""))</f>
        <v/>
      </c>
      <c r="GF135" s="44" t="str">
        <f>IF(Table1[Leaving Date]="","",IF(AND(Table1[Leaving Date]&gt;42460,Table1[Leaving Date]&lt;42826),IF(Table1[Date of Last Assessment]="",Table1[Self-Care and Living Skills],Table1[Self-Care and Living Skills2]),""))</f>
        <v/>
      </c>
      <c r="GG135" s="44" t="str">
        <f>IF(Table1[Leaving Date]="","",IF(AND(Table1[Leaving Date]&gt;42460,Table1[Leaving Date]&lt;42826),IF(Table1[Date of Last Assessment]="",Table1[Managing Money and Personal Administration],Table1[Managing Money and Personal Administration2]),""))</f>
        <v/>
      </c>
      <c r="GH135" s="44" t="str">
        <f>IF(Table1[Leaving Date]="","",IF(AND(Table1[Leaving Date]&gt;42460,Table1[Leaving Date]&lt;42826),IF(Table1[Date of Last Assessment]="",Table1[Social Networks and Relationships],Table1[Social Networks and Relationships2]),""))</f>
        <v/>
      </c>
      <c r="GI135" s="44" t="str">
        <f>IF(Table1[Leaving Date]="","",IF(AND(Table1[Leaving Date]&gt;42460,Table1[Leaving Date]&lt;42826),IF(Table1[Date of Last Assessment]="",Table1[Drug and Alcohol Misuse],Table1[Drug and Alcohol Misuse2]),""))</f>
        <v/>
      </c>
      <c r="GJ135" s="44" t="str">
        <f>IF(Table1[Leaving Date]="","",IF(AND(Table1[Leaving Date]&gt;42460,Table1[Leaving Date]&lt;42826),IF(Table1[Date of Last Assessment]="",Table1[Physical Health],Table1[Physical Health2]),""))</f>
        <v/>
      </c>
      <c r="GK135" s="44" t="str">
        <f>IF(Table1[Leaving Date]="","",IF(AND(Table1[Leaving Date]&gt;42460,Table1[Leaving Date]&lt;42826),IF(Table1[Date of Last Assessment]="",Table1[Emotional and Mental Health],Table1[Emotional and Mental Health2]),""))</f>
        <v/>
      </c>
      <c r="GL135" s="44" t="str">
        <f>IF(Table1[Leaving Date]="","",IF(AND(Table1[Leaving Date]&gt;42460,Table1[Leaving Date]&lt;42826),IF(Table1[Date of Last Assessment]="",Table1[Meaningful Use of Time],Table1[Meaningful Use of Time2]),""))</f>
        <v/>
      </c>
      <c r="GM135" s="44" t="str">
        <f>IF(Table1[Leaving Date]="","",IF(AND(Table1[Leaving Date]&gt;42460,Table1[Leaving Date]&lt;42826),IF(Table1[Date of Last Assessment]="",Table1[Managing Tenancy and Accommodation],Table1[Managing Tenancy and Accommodation2]),""))</f>
        <v/>
      </c>
      <c r="GN135" s="44" t="str">
        <f>IF(Table1[Leaving Date]="","",IF(AND(Table1[Leaving Date]&gt;42460,Table1[Leaving Date]&lt;42826),IF(Table1[Date of Last Assessment]="",Table1[Offending],Table1[Offending2]),""))</f>
        <v/>
      </c>
    </row>
    <row r="136" spans="2:196" ht="20.100000000000001" customHeight="1" x14ac:dyDescent="0.2">
      <c r="B136" s="86">
        <f>+'Service Data'!$C$5:$C$5</f>
        <v>0</v>
      </c>
      <c r="C136" s="86"/>
      <c r="D136" s="86"/>
      <c r="E136" s="86"/>
      <c r="F136" s="86"/>
      <c r="G136" s="86"/>
      <c r="H136" s="6"/>
      <c r="I136" s="99" t="str">
        <f ca="1">IF(Table1[[#This Row],[Date of Birth]]="","",SUM(TODAY()-Table1[[#This Row],[Date of Birth]])/365)</f>
        <v/>
      </c>
      <c r="L136" s="86"/>
      <c r="M136" s="77"/>
      <c r="N136" s="86"/>
      <c r="O136" s="86"/>
      <c r="P136" s="91"/>
      <c r="Q136" s="86"/>
      <c r="R136" s="77"/>
      <c r="S136" s="77"/>
      <c r="T136" s="68"/>
      <c r="U136" s="68"/>
      <c r="V136" s="67"/>
      <c r="W136" s="67"/>
      <c r="X136" s="67"/>
      <c r="Y136" s="67"/>
      <c r="Z136" s="67"/>
      <c r="AA136" s="67"/>
      <c r="AB136" s="67"/>
      <c r="AC136" s="67"/>
      <c r="AD136" s="67"/>
      <c r="AE136" s="67"/>
      <c r="AF136" s="67"/>
      <c r="AG136" s="67"/>
      <c r="AH136" s="67"/>
      <c r="AI136" s="67"/>
      <c r="AJ136" s="67"/>
      <c r="AK136" s="67"/>
      <c r="AL136" s="67"/>
      <c r="AM136" s="67"/>
      <c r="AN136" s="77"/>
      <c r="AO136" s="76"/>
      <c r="AP136" s="77"/>
      <c r="AQ136" s="76"/>
      <c r="AR136" s="76"/>
      <c r="AS136" s="76"/>
      <c r="AT136" s="76"/>
      <c r="AU136" s="76"/>
      <c r="AV136" s="77"/>
      <c r="AW136" s="76"/>
      <c r="AX136" s="77"/>
      <c r="AY136" s="76"/>
      <c r="AZ136" s="76"/>
      <c r="BA136" s="76"/>
      <c r="BB136" s="76"/>
      <c r="BC136" s="76"/>
      <c r="BD136" s="77"/>
      <c r="BE136" s="76"/>
      <c r="BF136" s="77"/>
      <c r="BG136" s="76"/>
      <c r="BH136" s="76"/>
      <c r="BI136" s="76"/>
      <c r="BJ136" s="76"/>
      <c r="BK136" s="76"/>
      <c r="BL136" s="77"/>
      <c r="BM136" s="76"/>
      <c r="BN136" s="77"/>
      <c r="BO136" s="76"/>
      <c r="BP136" s="76"/>
      <c r="BQ136" s="76"/>
      <c r="BR136" s="76"/>
      <c r="BS136" s="76"/>
      <c r="BT136" s="77"/>
      <c r="BU136" s="76"/>
      <c r="BV136" s="77"/>
      <c r="BW136" s="76"/>
      <c r="BX136" s="76"/>
      <c r="BY136" s="76"/>
      <c r="BZ136" s="76"/>
      <c r="CA136" s="76"/>
      <c r="CB136" s="77"/>
      <c r="CC136" s="76"/>
      <c r="CD136" s="77"/>
      <c r="CE136" s="76"/>
      <c r="CF136" s="76"/>
      <c r="CG136" s="76"/>
      <c r="CH136" s="76"/>
      <c r="CI136" s="76"/>
      <c r="CJ136" s="77"/>
      <c r="CK136" s="76"/>
      <c r="CL136" s="77"/>
      <c r="CM136" s="76"/>
      <c r="CN136" s="76"/>
      <c r="CO136" s="76"/>
      <c r="CP136" s="76"/>
      <c r="CQ136" s="76"/>
      <c r="CR136" s="78" t="str">
        <f t="shared" si="47"/>
        <v/>
      </c>
      <c r="CS136" s="79" t="str">
        <f t="shared" si="48"/>
        <v/>
      </c>
      <c r="CT136" s="79" t="str">
        <f t="shared" si="49"/>
        <v/>
      </c>
      <c r="CU136" s="79" t="str">
        <f t="shared" si="50"/>
        <v/>
      </c>
      <c r="CV136" s="79" t="str">
        <f t="shared" si="51"/>
        <v/>
      </c>
      <c r="CW136" s="79" t="str">
        <f t="shared" si="52"/>
        <v/>
      </c>
      <c r="CX136" s="79" t="str">
        <f t="shared" si="53"/>
        <v/>
      </c>
      <c r="CY136" s="79" t="str">
        <f t="shared" si="54"/>
        <v/>
      </c>
      <c r="CZ136" s="79" t="str">
        <f t="shared" si="55"/>
        <v/>
      </c>
      <c r="DA136" s="79" t="str">
        <f t="shared" si="56"/>
        <v/>
      </c>
      <c r="DB136" s="79" t="str">
        <f t="shared" si="57"/>
        <v/>
      </c>
      <c r="DC136" s="79" t="str">
        <f t="shared" si="58"/>
        <v/>
      </c>
      <c r="DD136" s="79" t="str">
        <f t="shared" si="59"/>
        <v/>
      </c>
      <c r="DE136" s="79" t="str">
        <f t="shared" si="60"/>
        <v/>
      </c>
      <c r="DF136" s="79" t="str">
        <f t="shared" si="61"/>
        <v/>
      </c>
      <c r="DG136" s="79" t="str">
        <f t="shared" si="62"/>
        <v/>
      </c>
      <c r="DH136" s="76"/>
      <c r="DI136" s="78"/>
      <c r="DJ136" s="76"/>
      <c r="DK136" s="77"/>
      <c r="DL136" s="77"/>
      <c r="DM136" s="77"/>
      <c r="DN136" s="80"/>
      <c r="DO136" s="80"/>
      <c r="DP136" s="92" t="str">
        <f>IF(Table1[Start Date]="","",IF(Table1[Start Date]&gt;42185,"",IF(AND(Table1[Leaving Date]&gt;1,Table1[Leaving Date]&lt;42095),"",1)))</f>
        <v/>
      </c>
      <c r="DQ136" s="92" t="str">
        <f>IF(Table1[Start Date]="","",IF(Table1[Start Date]&gt;42277,"",IF(AND(Table1[Leaving Date]&gt;1,Table1[Leaving Date]&lt;42186),"",1)))</f>
        <v/>
      </c>
      <c r="DR136" s="92" t="str">
        <f>IF(Table1[Start Date]="","",IF(Table1[Start Date]&gt;42369,"",IF(AND(Table1[Leaving Date]&gt;1,Table1[Leaving Date]&lt;42278),"",1)))</f>
        <v/>
      </c>
      <c r="DS136" s="92" t="str">
        <f>IF(Table1[Start Date]="","",IF(Table1[Start Date]&gt;42460,"",IF(AND(Table1[Leaving Date]&gt;1,Table1[Leaving Date]&lt;42370),"",1)))</f>
        <v/>
      </c>
      <c r="DT136" s="92" t="str">
        <f>IF(Table1[Start Date]="","",IF(Table1[Start Date]&gt;42551,"",IF(AND(Table1[Leaving Date]&gt;1,Table1[Leaving Date]&lt;42461),"",1)))</f>
        <v/>
      </c>
      <c r="DU136" s="92" t="str">
        <f>IF(Table1[Start Date]="","",IF(Table1[Start Date]&gt;42643,"",IF(AND(Table1[Leaving Date]&gt;1,Table1[Leaving Date]&lt;42552),"",1)))</f>
        <v/>
      </c>
      <c r="DV136" s="92" t="str">
        <f>IF(Table1[Start Date]="","",IF(Table1[Start Date]&gt;42735,"",IF(AND(Table1[Leaving Date]&gt;1,Table1[Leaving Date]&lt;42644),"",1)))</f>
        <v/>
      </c>
      <c r="DW136" s="92" t="str">
        <f>IF(Table1[Start Date]="","",IF(Table1[Start Date]&gt;42825,"",IF(AND(Table1[Leaving Date]&gt;1,Table1[Leaving Date]&lt;42736),"",1)))</f>
        <v/>
      </c>
      <c r="DX136"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136" s="44" t="e">
        <f>VLOOKUP(Table1[Referral Source],Lists!$G$2:$H$20,2,FALSE)</f>
        <v>#N/A</v>
      </c>
      <c r="DZ136" s="93" t="e">
        <f>SUM(Table1[Data Referral Quarter]+Table1[Data Referral Source])</f>
        <v>#N/A</v>
      </c>
      <c r="EA136" s="44" t="b">
        <f>IF(Table1[Referral Decision]="Accepted",100,IF(Table1[Referral Decision]="Rejected by Provider",200,IF(Table1[Referral Decision]="Rejected by Applicant",300)))</f>
        <v>0</v>
      </c>
      <c r="EB136" s="44">
        <f>SUM(Table1[Data Referral Quarter]+Table1[Data Referral Decision])</f>
        <v>0</v>
      </c>
      <c r="EC136" s="44" t="b">
        <f>IF(Table1[Start Date]&gt;42735,8000,IF(Table1[Start Date]&gt;42643,7000,IF(Table1[Start Date]&gt;42551,6000,IF(Table1[Start Date]&gt;42460,5000,IF(Table1[Start Date]&gt;42369,4000,IF(Table1[Start Date]&gt;42277,3000,IF(Table1[Start Date]&gt;42185,2000,IF(Table1[Start Date]&gt;42094,1000))))))))</f>
        <v>0</v>
      </c>
      <c r="ED136" s="44" t="str">
        <f>IF(Table1[Start Date]="","",IF(Table1[Current Local Authority]="Swindon",1,"2"))</f>
        <v/>
      </c>
      <c r="EE136" s="44" t="e">
        <f>SUM(Table1[Data Start Date]+Table1[Data Local Authority])</f>
        <v>#VALUE!</v>
      </c>
      <c r="EF136" s="44">
        <f>IF(Table1[Registered with GP]="Yes",1,0)</f>
        <v>0</v>
      </c>
      <c r="EG136" s="44">
        <f>SUM(Table1[Data Start Date]+Table1[Data GP Start])</f>
        <v>0</v>
      </c>
      <c r="EH136" s="44" t="str">
        <f>IF(Table1[EET]="NEET",1,IF(Table1[EET]="Education",2,IF(Table1[EET]="Employment",2,IF(Table1[EET]="Training",2,IF(Table1[EET]="Retired",3,"")))))</f>
        <v/>
      </c>
      <c r="EI136" s="44" t="e">
        <f>Table1[Data Start Date]+Table1[Data EET Start]</f>
        <v>#VALUE!</v>
      </c>
      <c r="EJ136" s="44" t="b">
        <f>IF(Table1[Leaving Date]&gt;42735,8000,IF(Table1[Leaving Date]&gt;42643,7000,IF(Table1[Leaving Date]&gt;42551,6000,IF(Table1[Leaving Date]&gt;42460,5000,IF(Table1[Leaving Date]&gt;42369,4000,IF(Table1[Leaving Date]&gt;42277,3000,IF(Table1[Leaving Date]&gt;42185,2000,IF(Table1[Leaving Date]&gt;42094,1000))))))))</f>
        <v>0</v>
      </c>
      <c r="EK136" s="44" t="e">
        <f>VLOOKUP(Table1[Reason for Leaving],Lists!$T$2:$U$15,2,FALSE)</f>
        <v>#N/A</v>
      </c>
      <c r="EL136" s="44" t="e">
        <f>SUM(Table1[Data Leavers Date]+Table1[Data Move On])</f>
        <v>#N/A</v>
      </c>
      <c r="EM136" s="44" t="b">
        <f>IF(Table1[Registered with GP2]="Yes",1,IF(Table1[Registered with GP2]="No",0,IF(Table1[Registered with GP]="Yes",1,IF(Table1[Registered with GP]="No",0))))</f>
        <v>0</v>
      </c>
      <c r="EN136" s="44">
        <f>SUM(Table1[Data Leavers Date]+Table1[Data GP End])</f>
        <v>0</v>
      </c>
      <c r="EO136" s="44" t="str">
        <f>IF(Table1[EET2]="NEET",1,IF(Table1[EET2]="Employment",2,IF(Table1[EET2]="Education",2,IF(Table1[EET2]="Training",2,IF(Table1[EET2]="Retired",3,IF(Table1[EET]="NEET",1,IF(Table1[EET]="Employment",2,IF(Table1[EET]="Education",2,IF(Table1[EET]="Training",2,IF(Table1[EET]="Retired",3,""))))))))))</f>
        <v/>
      </c>
      <c r="EP136" s="44" t="e">
        <f>+Table1[[#This Row],[Data Leavers Date]]+Table1[[#This Row],[Data EET End]]</f>
        <v>#VALUE!</v>
      </c>
      <c r="EQ136" s="44">
        <f>IF(Table1[Exit Form Received]="Yes",1,0)</f>
        <v>0</v>
      </c>
      <c r="ER136" s="44">
        <f>+Table1[[#This Row],[Data Leavers Date]]+Table1[[#This Row],[Data Exit Forms]]</f>
        <v>0</v>
      </c>
      <c r="ES136" s="44" t="str">
        <f>IF(Table1[Data Leavers Date]=1000,SUM(Table1[Leaving Date]-Table1[Start Date]),"")</f>
        <v/>
      </c>
      <c r="ET136" s="44" t="str">
        <f>IF(Table1[Data Leavers Date]=2000,SUM(Table1[Leaving Date]-Table1[Start Date]),"")</f>
        <v/>
      </c>
      <c r="EU136" s="44" t="str">
        <f>IF(Table1[Data Leavers Date]=3000,SUM(Table1[Leaving Date]-Table1[Start Date]),"")</f>
        <v/>
      </c>
      <c r="EV136" s="44" t="str">
        <f>IF(Table1[Data Leavers Date]=4000,SUM(Table1[Leaving Date]-Table1[Start Date]),"")</f>
        <v/>
      </c>
      <c r="EW136" s="44" t="str">
        <f>IF(Table1[Data Leavers Date]=5000,SUM(Table1[Leaving Date]-Table1[Start Date]),"")</f>
        <v/>
      </c>
      <c r="EX136" s="44" t="str">
        <f>IF(Table1[Data Leavers Date]=6000,SUM(Table1[Leaving Date]-Table1[Start Date]),"")</f>
        <v/>
      </c>
      <c r="EY136" s="44" t="str">
        <f>IF(Table1[Data Leavers Date]=7000,SUM(Table1[Leaving Date]-Table1[Start Date]),"")</f>
        <v/>
      </c>
      <c r="EZ136" s="44" t="str">
        <f>IF(Table1[Data Leavers Date]=8000,SUM(Table1[Leaving Date]-Table1[Start Date]),"")</f>
        <v/>
      </c>
      <c r="FA136" s="44" t="str">
        <f>IF(Table1[Date of Initial Assessment]="","",IF(AND(Table1[Start Date]&gt;42094,Table1[Start Date]&lt;42461),Table1[Motivation and Taking Responsibility],""))</f>
        <v/>
      </c>
      <c r="FB136" s="44" t="str">
        <f>IF(Table1[Date of Initial Assessment]="","",IF(AND(Table1[Start Date]&gt;42094,Table1[Start Date]&lt;42461),Table1[Self-Care and Living Skills],""))</f>
        <v/>
      </c>
      <c r="FC136" s="44" t="str">
        <f>IF(Table1[Date of Initial Assessment]="","",IF(AND(Table1[Start Date]&gt;42094,Table1[Start Date]&lt;42461),Table1[Managing Money and Personal Administration],""))</f>
        <v/>
      </c>
      <c r="FD136" s="44" t="str">
        <f>IF(Table1[Date of Initial Assessment]="","",IF(AND(Table1[Start Date]&gt;42094,Table1[Start Date]&lt;42461),Table1[Social Networks and Relationships],""))</f>
        <v/>
      </c>
      <c r="FE136" s="44" t="str">
        <f>IF(Table1[Date of Initial Assessment]="","",IF(AND(Table1[Start Date]&gt;42094,Table1[Start Date]&lt;42461),Table1[Drug and Alcohol Misuse],""))</f>
        <v/>
      </c>
      <c r="FF136" s="44" t="str">
        <f>IF(Table1[Date of Initial Assessment]="","",IF(AND(Table1[Start Date]&gt;42094,Table1[Start Date]&lt;42461),Table1[Physical Health],""))</f>
        <v/>
      </c>
      <c r="FG136" s="44" t="str">
        <f>IF(Table1[Date of Initial Assessment]="","",IF(AND(Table1[Start Date]&gt;42094,Table1[Start Date]&lt;42461),Table1[Emotional and Mental Health],""))</f>
        <v/>
      </c>
      <c r="FH136" s="44" t="str">
        <f>IF(Table1[Date of Initial Assessment]="","",IF(AND(Table1[Start Date]&gt;42094,Table1[Start Date]&lt;42461),Table1[Meaningful Use of Time],""))</f>
        <v/>
      </c>
      <c r="FI136" s="44" t="str">
        <f>IF(Table1[Date of Initial Assessment]="","",IF(AND(Table1[Start Date]&gt;42094,Table1[Start Date]&lt;42461),Table1[Managing Tenancy and Accommodation],""))</f>
        <v/>
      </c>
      <c r="FJ136" s="44" t="str">
        <f>IF(Table1[Date of Initial Assessment]="","",IF(AND(Table1[Start Date]&gt;42094,Table1[Start Date]&lt;42461),Table1[Offending],""))</f>
        <v/>
      </c>
      <c r="FK136" s="44" t="str">
        <f>IF(Table1[Leaving Date]="","",IF(Table1[Date of Initial Assessment]="","",IF(AND(Table1[Leaving Date]&gt;42094,Table1[Leaving Date]&lt;42461),IF(Table1[Date of Last Assessment]="",Table1[Motivation and Taking Responsibility],Table1[Motivation and Taking Responsibility2]),"")))</f>
        <v/>
      </c>
      <c r="FL136" s="44" t="str">
        <f>IF(Table1[Leaving Date]="","",IF(Table1[Date of Initial Assessment]="","",IF(AND(Table1[Leaving Date]&gt;42094,Table1[Leaving Date]&lt;42461),IF(Table1[Date of Last Assessment]="",Table1[Self-Care and Living Skills],Table1[Self-Care and Living Skills2]),"")))</f>
        <v/>
      </c>
      <c r="FM136" s="44" t="str">
        <f>IF(Table1[Leaving Date]="","",IF(Table1[Date of Initial Assessment]="","",IF(AND(Table1[Leaving Date]&gt;42094,Table1[Leaving Date]&lt;42461),IF(Table1[Date of Last Assessment]="",Table1[Managing Money and Personal Administration],Table1[Managing Money and Personal Administration2]),"")))</f>
        <v/>
      </c>
      <c r="FN136" s="44" t="str">
        <f>IF(Table1[Leaving Date]="","",IF(Table1[Date of Initial Assessment]="","",IF(AND(Table1[Leaving Date]&gt;42094,Table1[Leaving Date]&lt;42461),IF(Table1[Date of Last Assessment]="",Table1[Social Networks and Relationships],Table1[Social Networks and Relationships2]),"")))</f>
        <v/>
      </c>
      <c r="FO136" s="44" t="str">
        <f>IF(Table1[Leaving Date]="","",IF(Table1[Date of Initial Assessment]="","",IF(AND(Table1[Leaving Date]&gt;42094,Table1[Leaving Date]&lt;42461),IF(Table1[Date of Last Assessment]="",Table1[Drug and Alcohol Misuse],Table1[Drug and Alcohol Misuse2]),"")))</f>
        <v/>
      </c>
      <c r="FP136" s="44" t="str">
        <f>IF(Table1[Leaving Date]="","",IF(Table1[Date of Initial Assessment]="","",IF(AND(Table1[Leaving Date]&gt;42094,Table1[Leaving Date]&lt;42461),IF(Table1[Date of Last Assessment]="",Table1[Physical Health],Table1[Physical Health2]),"")))</f>
        <v/>
      </c>
      <c r="FQ136" s="44" t="str">
        <f>IF(Table1[Leaving Date]="","",IF(Table1[Date of Initial Assessment]="","",IF(AND(Table1[Leaving Date]&gt;42094,Table1[Leaving Date]&lt;42461),IF(Table1[Date of Last Assessment]="",Table1[Emotional and Mental Health],Table1[Emotional and Mental Health2]),"")))</f>
        <v/>
      </c>
      <c r="FR136" s="44" t="str">
        <f>IF(Table1[Leaving Date]="","",IF(Table1[Date of Initial Assessment]="","",IF(AND(Table1[Leaving Date]&gt;42094,Table1[Leaving Date]&lt;42461),IF(Table1[Date of Last Assessment]="",Table1[Meaningful Use of Time],Table1[Meaningful Use of Time2]),"")))</f>
        <v/>
      </c>
      <c r="FS136" s="44" t="str">
        <f>IF(Table1[Leaving Date]="","",IF(Table1[Date of Initial Assessment]="","",IF(AND(Table1[Leaving Date]&gt;42094,Table1[Leaving Date]&lt;42461),IF(Table1[Date of Last Assessment]="",Table1[Managing Tenancy and Accommodation],Table1[Managing Tenancy and Accommodation2]),"")))</f>
        <v/>
      </c>
      <c r="FT136" s="44" t="str">
        <f>IF(Table1[Leaving Date]="","",IF(Table1[Date of Initial Assessment]="","",IF(AND(Table1[Leaving Date]&gt;42094,Table1[Leaving Date]&lt;42461),IF(Table1[Date of Last Assessment]="",Table1[Offending],Table1[Offending2]),"")))</f>
        <v/>
      </c>
      <c r="FU136" s="44" t="str">
        <f>IF(Table1[Date of Initial Assessment]="","",IF(AND(Table1[Start Date]&gt;42460,Table1[Start Date]&lt;42826),Table1[Motivation and Taking Responsibility],""))</f>
        <v/>
      </c>
      <c r="FV136" s="44" t="str">
        <f>IF(Table1[Date of Initial Assessment]="","",IF(AND(Table1[Start Date]&gt;42460,Table1[Start Date]&lt;42826),Table1[Self-Care and Living Skills],""))</f>
        <v/>
      </c>
      <c r="FW136" s="44" t="str">
        <f>IF(Table1[Date of Initial Assessment]="","",IF(AND(Table1[Start Date]&gt;42460,Table1[Start Date]&lt;42826),Table1[Managing Money and Personal Administration],""))</f>
        <v/>
      </c>
      <c r="FX136" s="44" t="str">
        <f>IF(Table1[Date of Initial Assessment]="","",IF(AND(Table1[Start Date]&gt;42460,Table1[Start Date]&lt;42826),Table1[Social Networks and Relationships],""))</f>
        <v/>
      </c>
      <c r="FY136" s="44" t="str">
        <f>IF(Table1[Date of Initial Assessment]="","",IF(AND(Table1[Start Date]&gt;42460,Table1[Start Date]&lt;42826),Table1[Drug and Alcohol Misuse],""))</f>
        <v/>
      </c>
      <c r="FZ136" s="44" t="str">
        <f>IF(Table1[Date of Initial Assessment]="","",IF(AND(Table1[Start Date]&gt;42460,Table1[Start Date]&lt;42826),Table1[Physical Health],""))</f>
        <v/>
      </c>
      <c r="GA136" s="44" t="str">
        <f>IF(Table1[Date of Initial Assessment]="","",IF(AND(Table1[Start Date]&gt;42460,Table1[Start Date]&lt;42826),Table1[Emotional and Mental Health],""))</f>
        <v/>
      </c>
      <c r="GB136" s="44" t="str">
        <f>IF(Table1[Date of Initial Assessment]="","",IF(AND(Table1[Start Date]&gt;42460,Table1[Start Date]&lt;42826),Table1[Meaningful Use of Time],""))</f>
        <v/>
      </c>
      <c r="GC136" s="44" t="str">
        <f>IF(Table1[Date of Initial Assessment]="","",IF(AND(Table1[Start Date]&gt;42460,Table1[Start Date]&lt;42826),Table1[Managing Tenancy and Accommodation],""))</f>
        <v/>
      </c>
      <c r="GD136" s="44" t="str">
        <f>IF(Table1[Date of Initial Assessment]="","",IF(AND(Table1[Start Date]&gt;42460,Table1[Start Date]&lt;42826),Table1[Offending],""))</f>
        <v/>
      </c>
      <c r="GE136" s="44" t="str">
        <f>IF(Table1[Leaving Date]="","",IF(AND(Table1[Leaving Date]&gt;42460,Table1[Leaving Date]&lt;42826),IF(Table1[Date of Last Assessment]="",Table1[Motivation and Taking Responsibility],Table1[Motivation and Taking Responsibility2]),""))</f>
        <v/>
      </c>
      <c r="GF136" s="44" t="str">
        <f>IF(Table1[Leaving Date]="","",IF(AND(Table1[Leaving Date]&gt;42460,Table1[Leaving Date]&lt;42826),IF(Table1[Date of Last Assessment]="",Table1[Self-Care and Living Skills],Table1[Self-Care and Living Skills2]),""))</f>
        <v/>
      </c>
      <c r="GG136" s="44" t="str">
        <f>IF(Table1[Leaving Date]="","",IF(AND(Table1[Leaving Date]&gt;42460,Table1[Leaving Date]&lt;42826),IF(Table1[Date of Last Assessment]="",Table1[Managing Money and Personal Administration],Table1[Managing Money and Personal Administration2]),""))</f>
        <v/>
      </c>
      <c r="GH136" s="44" t="str">
        <f>IF(Table1[Leaving Date]="","",IF(AND(Table1[Leaving Date]&gt;42460,Table1[Leaving Date]&lt;42826),IF(Table1[Date of Last Assessment]="",Table1[Social Networks and Relationships],Table1[Social Networks and Relationships2]),""))</f>
        <v/>
      </c>
      <c r="GI136" s="44" t="str">
        <f>IF(Table1[Leaving Date]="","",IF(AND(Table1[Leaving Date]&gt;42460,Table1[Leaving Date]&lt;42826),IF(Table1[Date of Last Assessment]="",Table1[Drug and Alcohol Misuse],Table1[Drug and Alcohol Misuse2]),""))</f>
        <v/>
      </c>
      <c r="GJ136" s="44" t="str">
        <f>IF(Table1[Leaving Date]="","",IF(AND(Table1[Leaving Date]&gt;42460,Table1[Leaving Date]&lt;42826),IF(Table1[Date of Last Assessment]="",Table1[Physical Health],Table1[Physical Health2]),""))</f>
        <v/>
      </c>
      <c r="GK136" s="44" t="str">
        <f>IF(Table1[Leaving Date]="","",IF(AND(Table1[Leaving Date]&gt;42460,Table1[Leaving Date]&lt;42826),IF(Table1[Date of Last Assessment]="",Table1[Emotional and Mental Health],Table1[Emotional and Mental Health2]),""))</f>
        <v/>
      </c>
      <c r="GL136" s="44" t="str">
        <f>IF(Table1[Leaving Date]="","",IF(AND(Table1[Leaving Date]&gt;42460,Table1[Leaving Date]&lt;42826),IF(Table1[Date of Last Assessment]="",Table1[Meaningful Use of Time],Table1[Meaningful Use of Time2]),""))</f>
        <v/>
      </c>
      <c r="GM136" s="44" t="str">
        <f>IF(Table1[Leaving Date]="","",IF(AND(Table1[Leaving Date]&gt;42460,Table1[Leaving Date]&lt;42826),IF(Table1[Date of Last Assessment]="",Table1[Managing Tenancy and Accommodation],Table1[Managing Tenancy and Accommodation2]),""))</f>
        <v/>
      </c>
      <c r="GN136" s="44" t="str">
        <f>IF(Table1[Leaving Date]="","",IF(AND(Table1[Leaving Date]&gt;42460,Table1[Leaving Date]&lt;42826),IF(Table1[Date of Last Assessment]="",Table1[Offending],Table1[Offending2]),""))</f>
        <v/>
      </c>
    </row>
    <row r="137" spans="2:196" ht="20.100000000000001" customHeight="1" x14ac:dyDescent="0.2">
      <c r="B137" s="86">
        <f>+'Service Data'!$C$5:$C$5</f>
        <v>0</v>
      </c>
      <c r="C137" s="86"/>
      <c r="D137" s="86"/>
      <c r="E137" s="86"/>
      <c r="F137" s="86"/>
      <c r="G137" s="86"/>
      <c r="H137" s="6"/>
      <c r="I137" s="99" t="str">
        <f ca="1">IF(Table1[[#This Row],[Date of Birth]]="","",SUM(TODAY()-Table1[[#This Row],[Date of Birth]])/365)</f>
        <v/>
      </c>
      <c r="L137" s="86"/>
      <c r="M137" s="77"/>
      <c r="N137" s="86"/>
      <c r="O137" s="86"/>
      <c r="P137" s="91"/>
      <c r="Q137" s="86"/>
      <c r="R137" s="77"/>
      <c r="S137" s="77"/>
      <c r="T137" s="68"/>
      <c r="U137" s="68"/>
      <c r="V137" s="67"/>
      <c r="W137" s="67"/>
      <c r="X137" s="67"/>
      <c r="Y137" s="67"/>
      <c r="Z137" s="67"/>
      <c r="AA137" s="67"/>
      <c r="AB137" s="67"/>
      <c r="AC137" s="67"/>
      <c r="AD137" s="67"/>
      <c r="AE137" s="67"/>
      <c r="AF137" s="67"/>
      <c r="AG137" s="67"/>
      <c r="AH137" s="67"/>
      <c r="AI137" s="67"/>
      <c r="AJ137" s="67"/>
      <c r="AK137" s="67"/>
      <c r="AL137" s="67"/>
      <c r="AM137" s="67"/>
      <c r="AN137" s="77"/>
      <c r="AO137" s="76"/>
      <c r="AP137" s="77"/>
      <c r="AQ137" s="76"/>
      <c r="AR137" s="76"/>
      <c r="AS137" s="76"/>
      <c r="AT137" s="76"/>
      <c r="AU137" s="76"/>
      <c r="AV137" s="77"/>
      <c r="AW137" s="76"/>
      <c r="AX137" s="77"/>
      <c r="AY137" s="76"/>
      <c r="AZ137" s="76"/>
      <c r="BA137" s="76"/>
      <c r="BB137" s="76"/>
      <c r="BC137" s="76"/>
      <c r="BD137" s="77"/>
      <c r="BE137" s="76"/>
      <c r="BF137" s="77"/>
      <c r="BG137" s="76"/>
      <c r="BH137" s="76"/>
      <c r="BI137" s="76"/>
      <c r="BJ137" s="76"/>
      <c r="BK137" s="76"/>
      <c r="BL137" s="77"/>
      <c r="BM137" s="76"/>
      <c r="BN137" s="77"/>
      <c r="BO137" s="76"/>
      <c r="BP137" s="76"/>
      <c r="BQ137" s="76"/>
      <c r="BR137" s="76"/>
      <c r="BS137" s="76"/>
      <c r="BT137" s="77"/>
      <c r="BU137" s="76"/>
      <c r="BV137" s="77"/>
      <c r="BW137" s="76"/>
      <c r="BX137" s="76"/>
      <c r="BY137" s="76"/>
      <c r="BZ137" s="76"/>
      <c r="CA137" s="76"/>
      <c r="CB137" s="77"/>
      <c r="CC137" s="76"/>
      <c r="CD137" s="77"/>
      <c r="CE137" s="76"/>
      <c r="CF137" s="76"/>
      <c r="CG137" s="76"/>
      <c r="CH137" s="76"/>
      <c r="CI137" s="76"/>
      <c r="CJ137" s="77"/>
      <c r="CK137" s="76"/>
      <c r="CL137" s="77"/>
      <c r="CM137" s="76"/>
      <c r="CN137" s="76"/>
      <c r="CO137" s="76"/>
      <c r="CP137" s="76"/>
      <c r="CQ137" s="76"/>
      <c r="CR137" s="78" t="str">
        <f t="shared" si="47"/>
        <v/>
      </c>
      <c r="CS137" s="79" t="str">
        <f t="shared" si="48"/>
        <v/>
      </c>
      <c r="CT137" s="79" t="str">
        <f t="shared" si="49"/>
        <v/>
      </c>
      <c r="CU137" s="79" t="str">
        <f t="shared" si="50"/>
        <v/>
      </c>
      <c r="CV137" s="79" t="str">
        <f t="shared" si="51"/>
        <v/>
      </c>
      <c r="CW137" s="79" t="str">
        <f t="shared" si="52"/>
        <v/>
      </c>
      <c r="CX137" s="79" t="str">
        <f t="shared" si="53"/>
        <v/>
      </c>
      <c r="CY137" s="79" t="str">
        <f t="shared" si="54"/>
        <v/>
      </c>
      <c r="CZ137" s="79" t="str">
        <f t="shared" si="55"/>
        <v/>
      </c>
      <c r="DA137" s="79" t="str">
        <f t="shared" si="56"/>
        <v/>
      </c>
      <c r="DB137" s="79" t="str">
        <f t="shared" si="57"/>
        <v/>
      </c>
      <c r="DC137" s="79" t="str">
        <f t="shared" si="58"/>
        <v/>
      </c>
      <c r="DD137" s="79" t="str">
        <f t="shared" si="59"/>
        <v/>
      </c>
      <c r="DE137" s="79" t="str">
        <f t="shared" si="60"/>
        <v/>
      </c>
      <c r="DF137" s="79" t="str">
        <f t="shared" si="61"/>
        <v/>
      </c>
      <c r="DG137" s="79" t="str">
        <f t="shared" si="62"/>
        <v/>
      </c>
      <c r="DH137" s="76"/>
      <c r="DI137" s="78"/>
      <c r="DJ137" s="76"/>
      <c r="DK137" s="77"/>
      <c r="DL137" s="77"/>
      <c r="DM137" s="77"/>
      <c r="DN137" s="80"/>
      <c r="DO137" s="80"/>
      <c r="DP137" s="92" t="str">
        <f>IF(Table1[Start Date]="","",IF(Table1[Start Date]&gt;42185,"",IF(AND(Table1[Leaving Date]&gt;1,Table1[Leaving Date]&lt;42095),"",1)))</f>
        <v/>
      </c>
      <c r="DQ137" s="92" t="str">
        <f>IF(Table1[Start Date]="","",IF(Table1[Start Date]&gt;42277,"",IF(AND(Table1[Leaving Date]&gt;1,Table1[Leaving Date]&lt;42186),"",1)))</f>
        <v/>
      </c>
      <c r="DR137" s="92" t="str">
        <f>IF(Table1[Start Date]="","",IF(Table1[Start Date]&gt;42369,"",IF(AND(Table1[Leaving Date]&gt;1,Table1[Leaving Date]&lt;42278),"",1)))</f>
        <v/>
      </c>
      <c r="DS137" s="92" t="str">
        <f>IF(Table1[Start Date]="","",IF(Table1[Start Date]&gt;42460,"",IF(AND(Table1[Leaving Date]&gt;1,Table1[Leaving Date]&lt;42370),"",1)))</f>
        <v/>
      </c>
      <c r="DT137" s="92" t="str">
        <f>IF(Table1[Start Date]="","",IF(Table1[Start Date]&gt;42551,"",IF(AND(Table1[Leaving Date]&gt;1,Table1[Leaving Date]&lt;42461),"",1)))</f>
        <v/>
      </c>
      <c r="DU137" s="92" t="str">
        <f>IF(Table1[Start Date]="","",IF(Table1[Start Date]&gt;42643,"",IF(AND(Table1[Leaving Date]&gt;1,Table1[Leaving Date]&lt;42552),"",1)))</f>
        <v/>
      </c>
      <c r="DV137" s="92" t="str">
        <f>IF(Table1[Start Date]="","",IF(Table1[Start Date]&gt;42735,"",IF(AND(Table1[Leaving Date]&gt;1,Table1[Leaving Date]&lt;42644),"",1)))</f>
        <v/>
      </c>
      <c r="DW137" s="92" t="str">
        <f>IF(Table1[Start Date]="","",IF(Table1[Start Date]&gt;42825,"",IF(AND(Table1[Leaving Date]&gt;1,Table1[Leaving Date]&lt;42736),"",1)))</f>
        <v/>
      </c>
      <c r="DX137"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137" s="44" t="e">
        <f>VLOOKUP(Table1[Referral Source],Lists!$G$2:$H$20,2,FALSE)</f>
        <v>#N/A</v>
      </c>
      <c r="DZ137" s="93" t="e">
        <f>SUM(Table1[Data Referral Quarter]+Table1[Data Referral Source])</f>
        <v>#N/A</v>
      </c>
      <c r="EA137" s="44" t="b">
        <f>IF(Table1[Referral Decision]="Accepted",100,IF(Table1[Referral Decision]="Rejected by Provider",200,IF(Table1[Referral Decision]="Rejected by Applicant",300)))</f>
        <v>0</v>
      </c>
      <c r="EB137" s="44">
        <f>SUM(Table1[Data Referral Quarter]+Table1[Data Referral Decision])</f>
        <v>0</v>
      </c>
      <c r="EC137" s="44" t="b">
        <f>IF(Table1[Start Date]&gt;42735,8000,IF(Table1[Start Date]&gt;42643,7000,IF(Table1[Start Date]&gt;42551,6000,IF(Table1[Start Date]&gt;42460,5000,IF(Table1[Start Date]&gt;42369,4000,IF(Table1[Start Date]&gt;42277,3000,IF(Table1[Start Date]&gt;42185,2000,IF(Table1[Start Date]&gt;42094,1000))))))))</f>
        <v>0</v>
      </c>
      <c r="ED137" s="44" t="str">
        <f>IF(Table1[Start Date]="","",IF(Table1[Current Local Authority]="Swindon",1,"2"))</f>
        <v/>
      </c>
      <c r="EE137" s="44" t="e">
        <f>SUM(Table1[Data Start Date]+Table1[Data Local Authority])</f>
        <v>#VALUE!</v>
      </c>
      <c r="EF137" s="44">
        <f>IF(Table1[Registered with GP]="Yes",1,0)</f>
        <v>0</v>
      </c>
      <c r="EG137" s="44">
        <f>SUM(Table1[Data Start Date]+Table1[Data GP Start])</f>
        <v>0</v>
      </c>
      <c r="EH137" s="44" t="str">
        <f>IF(Table1[EET]="NEET",1,IF(Table1[EET]="Education",2,IF(Table1[EET]="Employment",2,IF(Table1[EET]="Training",2,IF(Table1[EET]="Retired",3,"")))))</f>
        <v/>
      </c>
      <c r="EI137" s="44" t="e">
        <f>Table1[Data Start Date]+Table1[Data EET Start]</f>
        <v>#VALUE!</v>
      </c>
      <c r="EJ137" s="44" t="b">
        <f>IF(Table1[Leaving Date]&gt;42735,8000,IF(Table1[Leaving Date]&gt;42643,7000,IF(Table1[Leaving Date]&gt;42551,6000,IF(Table1[Leaving Date]&gt;42460,5000,IF(Table1[Leaving Date]&gt;42369,4000,IF(Table1[Leaving Date]&gt;42277,3000,IF(Table1[Leaving Date]&gt;42185,2000,IF(Table1[Leaving Date]&gt;42094,1000))))))))</f>
        <v>0</v>
      </c>
      <c r="EK137" s="44" t="e">
        <f>VLOOKUP(Table1[Reason for Leaving],Lists!$T$2:$U$15,2,FALSE)</f>
        <v>#N/A</v>
      </c>
      <c r="EL137" s="44" t="e">
        <f>SUM(Table1[Data Leavers Date]+Table1[Data Move On])</f>
        <v>#N/A</v>
      </c>
      <c r="EM137" s="44" t="b">
        <f>IF(Table1[Registered with GP2]="Yes",1,IF(Table1[Registered with GP2]="No",0,IF(Table1[Registered with GP]="Yes",1,IF(Table1[Registered with GP]="No",0))))</f>
        <v>0</v>
      </c>
      <c r="EN137" s="44">
        <f>SUM(Table1[Data Leavers Date]+Table1[Data GP End])</f>
        <v>0</v>
      </c>
      <c r="EO137" s="44" t="str">
        <f>IF(Table1[EET2]="NEET",1,IF(Table1[EET2]="Employment",2,IF(Table1[EET2]="Education",2,IF(Table1[EET2]="Training",2,IF(Table1[EET2]="Retired",3,IF(Table1[EET]="NEET",1,IF(Table1[EET]="Employment",2,IF(Table1[EET]="Education",2,IF(Table1[EET]="Training",2,IF(Table1[EET]="Retired",3,""))))))))))</f>
        <v/>
      </c>
      <c r="EP137" s="44" t="e">
        <f>+Table1[[#This Row],[Data Leavers Date]]+Table1[[#This Row],[Data EET End]]</f>
        <v>#VALUE!</v>
      </c>
      <c r="EQ137" s="44">
        <f>IF(Table1[Exit Form Received]="Yes",1,0)</f>
        <v>0</v>
      </c>
      <c r="ER137" s="44">
        <f>+Table1[[#This Row],[Data Leavers Date]]+Table1[[#This Row],[Data Exit Forms]]</f>
        <v>0</v>
      </c>
      <c r="ES137" s="44" t="str">
        <f>IF(Table1[Data Leavers Date]=1000,SUM(Table1[Leaving Date]-Table1[Start Date]),"")</f>
        <v/>
      </c>
      <c r="ET137" s="44" t="str">
        <f>IF(Table1[Data Leavers Date]=2000,SUM(Table1[Leaving Date]-Table1[Start Date]),"")</f>
        <v/>
      </c>
      <c r="EU137" s="44" t="str">
        <f>IF(Table1[Data Leavers Date]=3000,SUM(Table1[Leaving Date]-Table1[Start Date]),"")</f>
        <v/>
      </c>
      <c r="EV137" s="44" t="str">
        <f>IF(Table1[Data Leavers Date]=4000,SUM(Table1[Leaving Date]-Table1[Start Date]),"")</f>
        <v/>
      </c>
      <c r="EW137" s="44" t="str">
        <f>IF(Table1[Data Leavers Date]=5000,SUM(Table1[Leaving Date]-Table1[Start Date]),"")</f>
        <v/>
      </c>
      <c r="EX137" s="44" t="str">
        <f>IF(Table1[Data Leavers Date]=6000,SUM(Table1[Leaving Date]-Table1[Start Date]),"")</f>
        <v/>
      </c>
      <c r="EY137" s="44" t="str">
        <f>IF(Table1[Data Leavers Date]=7000,SUM(Table1[Leaving Date]-Table1[Start Date]),"")</f>
        <v/>
      </c>
      <c r="EZ137" s="44" t="str">
        <f>IF(Table1[Data Leavers Date]=8000,SUM(Table1[Leaving Date]-Table1[Start Date]),"")</f>
        <v/>
      </c>
      <c r="FA137" s="44" t="str">
        <f>IF(Table1[Date of Initial Assessment]="","",IF(AND(Table1[Start Date]&gt;42094,Table1[Start Date]&lt;42461),Table1[Motivation and Taking Responsibility],""))</f>
        <v/>
      </c>
      <c r="FB137" s="44" t="str">
        <f>IF(Table1[Date of Initial Assessment]="","",IF(AND(Table1[Start Date]&gt;42094,Table1[Start Date]&lt;42461),Table1[Self-Care and Living Skills],""))</f>
        <v/>
      </c>
      <c r="FC137" s="44" t="str">
        <f>IF(Table1[Date of Initial Assessment]="","",IF(AND(Table1[Start Date]&gt;42094,Table1[Start Date]&lt;42461),Table1[Managing Money and Personal Administration],""))</f>
        <v/>
      </c>
      <c r="FD137" s="44" t="str">
        <f>IF(Table1[Date of Initial Assessment]="","",IF(AND(Table1[Start Date]&gt;42094,Table1[Start Date]&lt;42461),Table1[Social Networks and Relationships],""))</f>
        <v/>
      </c>
      <c r="FE137" s="44" t="str">
        <f>IF(Table1[Date of Initial Assessment]="","",IF(AND(Table1[Start Date]&gt;42094,Table1[Start Date]&lt;42461),Table1[Drug and Alcohol Misuse],""))</f>
        <v/>
      </c>
      <c r="FF137" s="44" t="str">
        <f>IF(Table1[Date of Initial Assessment]="","",IF(AND(Table1[Start Date]&gt;42094,Table1[Start Date]&lt;42461),Table1[Physical Health],""))</f>
        <v/>
      </c>
      <c r="FG137" s="44" t="str">
        <f>IF(Table1[Date of Initial Assessment]="","",IF(AND(Table1[Start Date]&gt;42094,Table1[Start Date]&lt;42461),Table1[Emotional and Mental Health],""))</f>
        <v/>
      </c>
      <c r="FH137" s="44" t="str">
        <f>IF(Table1[Date of Initial Assessment]="","",IF(AND(Table1[Start Date]&gt;42094,Table1[Start Date]&lt;42461),Table1[Meaningful Use of Time],""))</f>
        <v/>
      </c>
      <c r="FI137" s="44" t="str">
        <f>IF(Table1[Date of Initial Assessment]="","",IF(AND(Table1[Start Date]&gt;42094,Table1[Start Date]&lt;42461),Table1[Managing Tenancy and Accommodation],""))</f>
        <v/>
      </c>
      <c r="FJ137" s="44" t="str">
        <f>IF(Table1[Date of Initial Assessment]="","",IF(AND(Table1[Start Date]&gt;42094,Table1[Start Date]&lt;42461),Table1[Offending],""))</f>
        <v/>
      </c>
      <c r="FK137" s="44" t="str">
        <f>IF(Table1[Leaving Date]="","",IF(Table1[Date of Initial Assessment]="","",IF(AND(Table1[Leaving Date]&gt;42094,Table1[Leaving Date]&lt;42461),IF(Table1[Date of Last Assessment]="",Table1[Motivation and Taking Responsibility],Table1[Motivation and Taking Responsibility2]),"")))</f>
        <v/>
      </c>
      <c r="FL137" s="44" t="str">
        <f>IF(Table1[Leaving Date]="","",IF(Table1[Date of Initial Assessment]="","",IF(AND(Table1[Leaving Date]&gt;42094,Table1[Leaving Date]&lt;42461),IF(Table1[Date of Last Assessment]="",Table1[Self-Care and Living Skills],Table1[Self-Care and Living Skills2]),"")))</f>
        <v/>
      </c>
      <c r="FM137" s="44" t="str">
        <f>IF(Table1[Leaving Date]="","",IF(Table1[Date of Initial Assessment]="","",IF(AND(Table1[Leaving Date]&gt;42094,Table1[Leaving Date]&lt;42461),IF(Table1[Date of Last Assessment]="",Table1[Managing Money and Personal Administration],Table1[Managing Money and Personal Administration2]),"")))</f>
        <v/>
      </c>
      <c r="FN137" s="44" t="str">
        <f>IF(Table1[Leaving Date]="","",IF(Table1[Date of Initial Assessment]="","",IF(AND(Table1[Leaving Date]&gt;42094,Table1[Leaving Date]&lt;42461),IF(Table1[Date of Last Assessment]="",Table1[Social Networks and Relationships],Table1[Social Networks and Relationships2]),"")))</f>
        <v/>
      </c>
      <c r="FO137" s="44" t="str">
        <f>IF(Table1[Leaving Date]="","",IF(Table1[Date of Initial Assessment]="","",IF(AND(Table1[Leaving Date]&gt;42094,Table1[Leaving Date]&lt;42461),IF(Table1[Date of Last Assessment]="",Table1[Drug and Alcohol Misuse],Table1[Drug and Alcohol Misuse2]),"")))</f>
        <v/>
      </c>
      <c r="FP137" s="44" t="str">
        <f>IF(Table1[Leaving Date]="","",IF(Table1[Date of Initial Assessment]="","",IF(AND(Table1[Leaving Date]&gt;42094,Table1[Leaving Date]&lt;42461),IF(Table1[Date of Last Assessment]="",Table1[Physical Health],Table1[Physical Health2]),"")))</f>
        <v/>
      </c>
      <c r="FQ137" s="44" t="str">
        <f>IF(Table1[Leaving Date]="","",IF(Table1[Date of Initial Assessment]="","",IF(AND(Table1[Leaving Date]&gt;42094,Table1[Leaving Date]&lt;42461),IF(Table1[Date of Last Assessment]="",Table1[Emotional and Mental Health],Table1[Emotional and Mental Health2]),"")))</f>
        <v/>
      </c>
      <c r="FR137" s="44" t="str">
        <f>IF(Table1[Leaving Date]="","",IF(Table1[Date of Initial Assessment]="","",IF(AND(Table1[Leaving Date]&gt;42094,Table1[Leaving Date]&lt;42461),IF(Table1[Date of Last Assessment]="",Table1[Meaningful Use of Time],Table1[Meaningful Use of Time2]),"")))</f>
        <v/>
      </c>
      <c r="FS137" s="44" t="str">
        <f>IF(Table1[Leaving Date]="","",IF(Table1[Date of Initial Assessment]="","",IF(AND(Table1[Leaving Date]&gt;42094,Table1[Leaving Date]&lt;42461),IF(Table1[Date of Last Assessment]="",Table1[Managing Tenancy and Accommodation],Table1[Managing Tenancy and Accommodation2]),"")))</f>
        <v/>
      </c>
      <c r="FT137" s="44" t="str">
        <f>IF(Table1[Leaving Date]="","",IF(Table1[Date of Initial Assessment]="","",IF(AND(Table1[Leaving Date]&gt;42094,Table1[Leaving Date]&lt;42461),IF(Table1[Date of Last Assessment]="",Table1[Offending],Table1[Offending2]),"")))</f>
        <v/>
      </c>
      <c r="FU137" s="44" t="str">
        <f>IF(Table1[Date of Initial Assessment]="","",IF(AND(Table1[Start Date]&gt;42460,Table1[Start Date]&lt;42826),Table1[Motivation and Taking Responsibility],""))</f>
        <v/>
      </c>
      <c r="FV137" s="44" t="str">
        <f>IF(Table1[Date of Initial Assessment]="","",IF(AND(Table1[Start Date]&gt;42460,Table1[Start Date]&lt;42826),Table1[Self-Care and Living Skills],""))</f>
        <v/>
      </c>
      <c r="FW137" s="44" t="str">
        <f>IF(Table1[Date of Initial Assessment]="","",IF(AND(Table1[Start Date]&gt;42460,Table1[Start Date]&lt;42826),Table1[Managing Money and Personal Administration],""))</f>
        <v/>
      </c>
      <c r="FX137" s="44" t="str">
        <f>IF(Table1[Date of Initial Assessment]="","",IF(AND(Table1[Start Date]&gt;42460,Table1[Start Date]&lt;42826),Table1[Social Networks and Relationships],""))</f>
        <v/>
      </c>
      <c r="FY137" s="44" t="str">
        <f>IF(Table1[Date of Initial Assessment]="","",IF(AND(Table1[Start Date]&gt;42460,Table1[Start Date]&lt;42826),Table1[Drug and Alcohol Misuse],""))</f>
        <v/>
      </c>
      <c r="FZ137" s="44" t="str">
        <f>IF(Table1[Date of Initial Assessment]="","",IF(AND(Table1[Start Date]&gt;42460,Table1[Start Date]&lt;42826),Table1[Physical Health],""))</f>
        <v/>
      </c>
      <c r="GA137" s="44" t="str">
        <f>IF(Table1[Date of Initial Assessment]="","",IF(AND(Table1[Start Date]&gt;42460,Table1[Start Date]&lt;42826),Table1[Emotional and Mental Health],""))</f>
        <v/>
      </c>
      <c r="GB137" s="44" t="str">
        <f>IF(Table1[Date of Initial Assessment]="","",IF(AND(Table1[Start Date]&gt;42460,Table1[Start Date]&lt;42826),Table1[Meaningful Use of Time],""))</f>
        <v/>
      </c>
      <c r="GC137" s="44" t="str">
        <f>IF(Table1[Date of Initial Assessment]="","",IF(AND(Table1[Start Date]&gt;42460,Table1[Start Date]&lt;42826),Table1[Managing Tenancy and Accommodation],""))</f>
        <v/>
      </c>
      <c r="GD137" s="44" t="str">
        <f>IF(Table1[Date of Initial Assessment]="","",IF(AND(Table1[Start Date]&gt;42460,Table1[Start Date]&lt;42826),Table1[Offending],""))</f>
        <v/>
      </c>
      <c r="GE137" s="44" t="str">
        <f>IF(Table1[Leaving Date]="","",IF(AND(Table1[Leaving Date]&gt;42460,Table1[Leaving Date]&lt;42826),IF(Table1[Date of Last Assessment]="",Table1[Motivation and Taking Responsibility],Table1[Motivation and Taking Responsibility2]),""))</f>
        <v/>
      </c>
      <c r="GF137" s="44" t="str">
        <f>IF(Table1[Leaving Date]="","",IF(AND(Table1[Leaving Date]&gt;42460,Table1[Leaving Date]&lt;42826),IF(Table1[Date of Last Assessment]="",Table1[Self-Care and Living Skills],Table1[Self-Care and Living Skills2]),""))</f>
        <v/>
      </c>
      <c r="GG137" s="44" t="str">
        <f>IF(Table1[Leaving Date]="","",IF(AND(Table1[Leaving Date]&gt;42460,Table1[Leaving Date]&lt;42826),IF(Table1[Date of Last Assessment]="",Table1[Managing Money and Personal Administration],Table1[Managing Money and Personal Administration2]),""))</f>
        <v/>
      </c>
      <c r="GH137" s="44" t="str">
        <f>IF(Table1[Leaving Date]="","",IF(AND(Table1[Leaving Date]&gt;42460,Table1[Leaving Date]&lt;42826),IF(Table1[Date of Last Assessment]="",Table1[Social Networks and Relationships],Table1[Social Networks and Relationships2]),""))</f>
        <v/>
      </c>
      <c r="GI137" s="44" t="str">
        <f>IF(Table1[Leaving Date]="","",IF(AND(Table1[Leaving Date]&gt;42460,Table1[Leaving Date]&lt;42826),IF(Table1[Date of Last Assessment]="",Table1[Drug and Alcohol Misuse],Table1[Drug and Alcohol Misuse2]),""))</f>
        <v/>
      </c>
      <c r="GJ137" s="44" t="str">
        <f>IF(Table1[Leaving Date]="","",IF(AND(Table1[Leaving Date]&gt;42460,Table1[Leaving Date]&lt;42826),IF(Table1[Date of Last Assessment]="",Table1[Physical Health],Table1[Physical Health2]),""))</f>
        <v/>
      </c>
      <c r="GK137" s="44" t="str">
        <f>IF(Table1[Leaving Date]="","",IF(AND(Table1[Leaving Date]&gt;42460,Table1[Leaving Date]&lt;42826),IF(Table1[Date of Last Assessment]="",Table1[Emotional and Mental Health],Table1[Emotional and Mental Health2]),""))</f>
        <v/>
      </c>
      <c r="GL137" s="44" t="str">
        <f>IF(Table1[Leaving Date]="","",IF(AND(Table1[Leaving Date]&gt;42460,Table1[Leaving Date]&lt;42826),IF(Table1[Date of Last Assessment]="",Table1[Meaningful Use of Time],Table1[Meaningful Use of Time2]),""))</f>
        <v/>
      </c>
      <c r="GM137" s="44" t="str">
        <f>IF(Table1[Leaving Date]="","",IF(AND(Table1[Leaving Date]&gt;42460,Table1[Leaving Date]&lt;42826),IF(Table1[Date of Last Assessment]="",Table1[Managing Tenancy and Accommodation],Table1[Managing Tenancy and Accommodation2]),""))</f>
        <v/>
      </c>
      <c r="GN137" s="44" t="str">
        <f>IF(Table1[Leaving Date]="","",IF(AND(Table1[Leaving Date]&gt;42460,Table1[Leaving Date]&lt;42826),IF(Table1[Date of Last Assessment]="",Table1[Offending],Table1[Offending2]),""))</f>
        <v/>
      </c>
    </row>
    <row r="138" spans="2:196" ht="20.100000000000001" customHeight="1" x14ac:dyDescent="0.2">
      <c r="B138" s="86">
        <f>+'Service Data'!$C$5:$C$5</f>
        <v>0</v>
      </c>
      <c r="C138" s="86"/>
      <c r="D138" s="86"/>
      <c r="E138" s="86"/>
      <c r="F138" s="86"/>
      <c r="G138" s="86"/>
      <c r="H138" s="6"/>
      <c r="I138" s="99" t="str">
        <f ca="1">IF(Table1[[#This Row],[Date of Birth]]="","",SUM(TODAY()-Table1[[#This Row],[Date of Birth]])/365)</f>
        <v/>
      </c>
      <c r="L138" s="86"/>
      <c r="M138" s="77"/>
      <c r="N138" s="86"/>
      <c r="O138" s="86"/>
      <c r="P138" s="91"/>
      <c r="Q138" s="86"/>
      <c r="R138" s="77"/>
      <c r="S138" s="77"/>
      <c r="T138" s="68"/>
      <c r="U138" s="68"/>
      <c r="V138" s="67"/>
      <c r="W138" s="67"/>
      <c r="X138" s="67"/>
      <c r="Y138" s="67"/>
      <c r="Z138" s="67"/>
      <c r="AA138" s="67"/>
      <c r="AB138" s="67"/>
      <c r="AC138" s="67"/>
      <c r="AD138" s="67"/>
      <c r="AE138" s="67"/>
      <c r="AF138" s="67"/>
      <c r="AG138" s="67"/>
      <c r="AH138" s="67"/>
      <c r="AI138" s="67"/>
      <c r="AJ138" s="67"/>
      <c r="AK138" s="67"/>
      <c r="AL138" s="67"/>
      <c r="AM138" s="67"/>
      <c r="AN138" s="77"/>
      <c r="AO138" s="76"/>
      <c r="AP138" s="77"/>
      <c r="AQ138" s="76"/>
      <c r="AR138" s="76"/>
      <c r="AS138" s="76"/>
      <c r="AT138" s="76"/>
      <c r="AU138" s="76"/>
      <c r="AV138" s="77"/>
      <c r="AW138" s="76"/>
      <c r="AX138" s="77"/>
      <c r="AY138" s="76"/>
      <c r="AZ138" s="76"/>
      <c r="BA138" s="76"/>
      <c r="BB138" s="76"/>
      <c r="BC138" s="76"/>
      <c r="BD138" s="77"/>
      <c r="BE138" s="76"/>
      <c r="BF138" s="77"/>
      <c r="BG138" s="76"/>
      <c r="BH138" s="76"/>
      <c r="BI138" s="76"/>
      <c r="BJ138" s="76"/>
      <c r="BK138" s="76"/>
      <c r="BL138" s="77"/>
      <c r="BM138" s="76"/>
      <c r="BN138" s="77"/>
      <c r="BO138" s="76"/>
      <c r="BP138" s="76"/>
      <c r="BQ138" s="76"/>
      <c r="BR138" s="76"/>
      <c r="BS138" s="76"/>
      <c r="BT138" s="77"/>
      <c r="BU138" s="76"/>
      <c r="BV138" s="77"/>
      <c r="BW138" s="76"/>
      <c r="BX138" s="76"/>
      <c r="BY138" s="76"/>
      <c r="BZ138" s="76"/>
      <c r="CA138" s="76"/>
      <c r="CB138" s="77"/>
      <c r="CC138" s="76"/>
      <c r="CD138" s="77"/>
      <c r="CE138" s="76"/>
      <c r="CF138" s="76"/>
      <c r="CG138" s="76"/>
      <c r="CH138" s="76"/>
      <c r="CI138" s="76"/>
      <c r="CJ138" s="77"/>
      <c r="CK138" s="76"/>
      <c r="CL138" s="77"/>
      <c r="CM138" s="76"/>
      <c r="CN138" s="76"/>
      <c r="CO138" s="76"/>
      <c r="CP138" s="76"/>
      <c r="CQ138" s="76"/>
      <c r="CR138" s="78" t="str">
        <f t="shared" si="47"/>
        <v/>
      </c>
      <c r="CS138" s="79" t="str">
        <f t="shared" si="48"/>
        <v/>
      </c>
      <c r="CT138" s="79" t="str">
        <f t="shared" si="49"/>
        <v/>
      </c>
      <c r="CU138" s="79" t="str">
        <f t="shared" si="50"/>
        <v/>
      </c>
      <c r="CV138" s="79" t="str">
        <f t="shared" si="51"/>
        <v/>
      </c>
      <c r="CW138" s="79" t="str">
        <f t="shared" si="52"/>
        <v/>
      </c>
      <c r="CX138" s="79" t="str">
        <f t="shared" si="53"/>
        <v/>
      </c>
      <c r="CY138" s="79" t="str">
        <f t="shared" si="54"/>
        <v/>
      </c>
      <c r="CZ138" s="79" t="str">
        <f t="shared" si="55"/>
        <v/>
      </c>
      <c r="DA138" s="79" t="str">
        <f t="shared" si="56"/>
        <v/>
      </c>
      <c r="DB138" s="79" t="str">
        <f t="shared" si="57"/>
        <v/>
      </c>
      <c r="DC138" s="79" t="str">
        <f t="shared" si="58"/>
        <v/>
      </c>
      <c r="DD138" s="79" t="str">
        <f t="shared" si="59"/>
        <v/>
      </c>
      <c r="DE138" s="79" t="str">
        <f t="shared" si="60"/>
        <v/>
      </c>
      <c r="DF138" s="79" t="str">
        <f t="shared" si="61"/>
        <v/>
      </c>
      <c r="DG138" s="79" t="str">
        <f t="shared" si="62"/>
        <v/>
      </c>
      <c r="DH138" s="76"/>
      <c r="DI138" s="78"/>
      <c r="DJ138" s="76"/>
      <c r="DK138" s="77"/>
      <c r="DL138" s="77"/>
      <c r="DM138" s="77"/>
      <c r="DN138" s="80"/>
      <c r="DO138" s="80"/>
      <c r="DP138" s="92" t="str">
        <f>IF(Table1[Start Date]="","",IF(Table1[Start Date]&gt;42185,"",IF(AND(Table1[Leaving Date]&gt;1,Table1[Leaving Date]&lt;42095),"",1)))</f>
        <v/>
      </c>
      <c r="DQ138" s="92" t="str">
        <f>IF(Table1[Start Date]="","",IF(Table1[Start Date]&gt;42277,"",IF(AND(Table1[Leaving Date]&gt;1,Table1[Leaving Date]&lt;42186),"",1)))</f>
        <v/>
      </c>
      <c r="DR138" s="92" t="str">
        <f>IF(Table1[Start Date]="","",IF(Table1[Start Date]&gt;42369,"",IF(AND(Table1[Leaving Date]&gt;1,Table1[Leaving Date]&lt;42278),"",1)))</f>
        <v/>
      </c>
      <c r="DS138" s="92" t="str">
        <f>IF(Table1[Start Date]="","",IF(Table1[Start Date]&gt;42460,"",IF(AND(Table1[Leaving Date]&gt;1,Table1[Leaving Date]&lt;42370),"",1)))</f>
        <v/>
      </c>
      <c r="DT138" s="92" t="str">
        <f>IF(Table1[Start Date]="","",IF(Table1[Start Date]&gt;42551,"",IF(AND(Table1[Leaving Date]&gt;1,Table1[Leaving Date]&lt;42461),"",1)))</f>
        <v/>
      </c>
      <c r="DU138" s="92" t="str">
        <f>IF(Table1[Start Date]="","",IF(Table1[Start Date]&gt;42643,"",IF(AND(Table1[Leaving Date]&gt;1,Table1[Leaving Date]&lt;42552),"",1)))</f>
        <v/>
      </c>
      <c r="DV138" s="92" t="str">
        <f>IF(Table1[Start Date]="","",IF(Table1[Start Date]&gt;42735,"",IF(AND(Table1[Leaving Date]&gt;1,Table1[Leaving Date]&lt;42644),"",1)))</f>
        <v/>
      </c>
      <c r="DW138" s="92" t="str">
        <f>IF(Table1[Start Date]="","",IF(Table1[Start Date]&gt;42825,"",IF(AND(Table1[Leaving Date]&gt;1,Table1[Leaving Date]&lt;42736),"",1)))</f>
        <v/>
      </c>
      <c r="DX138"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138" s="44" t="e">
        <f>VLOOKUP(Table1[Referral Source],Lists!$G$2:$H$20,2,FALSE)</f>
        <v>#N/A</v>
      </c>
      <c r="DZ138" s="93" t="e">
        <f>SUM(Table1[Data Referral Quarter]+Table1[Data Referral Source])</f>
        <v>#N/A</v>
      </c>
      <c r="EA138" s="44" t="b">
        <f>IF(Table1[Referral Decision]="Accepted",100,IF(Table1[Referral Decision]="Rejected by Provider",200,IF(Table1[Referral Decision]="Rejected by Applicant",300)))</f>
        <v>0</v>
      </c>
      <c r="EB138" s="44">
        <f>SUM(Table1[Data Referral Quarter]+Table1[Data Referral Decision])</f>
        <v>0</v>
      </c>
      <c r="EC138" s="44" t="b">
        <f>IF(Table1[Start Date]&gt;42735,8000,IF(Table1[Start Date]&gt;42643,7000,IF(Table1[Start Date]&gt;42551,6000,IF(Table1[Start Date]&gt;42460,5000,IF(Table1[Start Date]&gt;42369,4000,IF(Table1[Start Date]&gt;42277,3000,IF(Table1[Start Date]&gt;42185,2000,IF(Table1[Start Date]&gt;42094,1000))))))))</f>
        <v>0</v>
      </c>
      <c r="ED138" s="44" t="str">
        <f>IF(Table1[Start Date]="","",IF(Table1[Current Local Authority]="Swindon",1,"2"))</f>
        <v/>
      </c>
      <c r="EE138" s="44" t="e">
        <f>SUM(Table1[Data Start Date]+Table1[Data Local Authority])</f>
        <v>#VALUE!</v>
      </c>
      <c r="EF138" s="44">
        <f>IF(Table1[Registered with GP]="Yes",1,0)</f>
        <v>0</v>
      </c>
      <c r="EG138" s="44">
        <f>SUM(Table1[Data Start Date]+Table1[Data GP Start])</f>
        <v>0</v>
      </c>
      <c r="EH138" s="44" t="str">
        <f>IF(Table1[EET]="NEET",1,IF(Table1[EET]="Education",2,IF(Table1[EET]="Employment",2,IF(Table1[EET]="Training",2,IF(Table1[EET]="Retired",3,"")))))</f>
        <v/>
      </c>
      <c r="EI138" s="44" t="e">
        <f>Table1[Data Start Date]+Table1[Data EET Start]</f>
        <v>#VALUE!</v>
      </c>
      <c r="EJ138" s="44" t="b">
        <f>IF(Table1[Leaving Date]&gt;42735,8000,IF(Table1[Leaving Date]&gt;42643,7000,IF(Table1[Leaving Date]&gt;42551,6000,IF(Table1[Leaving Date]&gt;42460,5000,IF(Table1[Leaving Date]&gt;42369,4000,IF(Table1[Leaving Date]&gt;42277,3000,IF(Table1[Leaving Date]&gt;42185,2000,IF(Table1[Leaving Date]&gt;42094,1000))))))))</f>
        <v>0</v>
      </c>
      <c r="EK138" s="44" t="e">
        <f>VLOOKUP(Table1[Reason for Leaving],Lists!$T$2:$U$15,2,FALSE)</f>
        <v>#N/A</v>
      </c>
      <c r="EL138" s="44" t="e">
        <f>SUM(Table1[Data Leavers Date]+Table1[Data Move On])</f>
        <v>#N/A</v>
      </c>
      <c r="EM138" s="44" t="b">
        <f>IF(Table1[Registered with GP2]="Yes",1,IF(Table1[Registered with GP2]="No",0,IF(Table1[Registered with GP]="Yes",1,IF(Table1[Registered with GP]="No",0))))</f>
        <v>0</v>
      </c>
      <c r="EN138" s="44">
        <f>SUM(Table1[Data Leavers Date]+Table1[Data GP End])</f>
        <v>0</v>
      </c>
      <c r="EO138" s="44" t="str">
        <f>IF(Table1[EET2]="NEET",1,IF(Table1[EET2]="Employment",2,IF(Table1[EET2]="Education",2,IF(Table1[EET2]="Training",2,IF(Table1[EET2]="Retired",3,IF(Table1[EET]="NEET",1,IF(Table1[EET]="Employment",2,IF(Table1[EET]="Education",2,IF(Table1[EET]="Training",2,IF(Table1[EET]="Retired",3,""))))))))))</f>
        <v/>
      </c>
      <c r="EP138" s="44" t="e">
        <f>+Table1[[#This Row],[Data Leavers Date]]+Table1[[#This Row],[Data EET End]]</f>
        <v>#VALUE!</v>
      </c>
      <c r="EQ138" s="44">
        <f>IF(Table1[Exit Form Received]="Yes",1,0)</f>
        <v>0</v>
      </c>
      <c r="ER138" s="44">
        <f>+Table1[[#This Row],[Data Leavers Date]]+Table1[[#This Row],[Data Exit Forms]]</f>
        <v>0</v>
      </c>
      <c r="ES138" s="44" t="str">
        <f>IF(Table1[Data Leavers Date]=1000,SUM(Table1[Leaving Date]-Table1[Start Date]),"")</f>
        <v/>
      </c>
      <c r="ET138" s="44" t="str">
        <f>IF(Table1[Data Leavers Date]=2000,SUM(Table1[Leaving Date]-Table1[Start Date]),"")</f>
        <v/>
      </c>
      <c r="EU138" s="44" t="str">
        <f>IF(Table1[Data Leavers Date]=3000,SUM(Table1[Leaving Date]-Table1[Start Date]),"")</f>
        <v/>
      </c>
      <c r="EV138" s="44" t="str">
        <f>IF(Table1[Data Leavers Date]=4000,SUM(Table1[Leaving Date]-Table1[Start Date]),"")</f>
        <v/>
      </c>
      <c r="EW138" s="44" t="str">
        <f>IF(Table1[Data Leavers Date]=5000,SUM(Table1[Leaving Date]-Table1[Start Date]),"")</f>
        <v/>
      </c>
      <c r="EX138" s="44" t="str">
        <f>IF(Table1[Data Leavers Date]=6000,SUM(Table1[Leaving Date]-Table1[Start Date]),"")</f>
        <v/>
      </c>
      <c r="EY138" s="44" t="str">
        <f>IF(Table1[Data Leavers Date]=7000,SUM(Table1[Leaving Date]-Table1[Start Date]),"")</f>
        <v/>
      </c>
      <c r="EZ138" s="44" t="str">
        <f>IF(Table1[Data Leavers Date]=8000,SUM(Table1[Leaving Date]-Table1[Start Date]),"")</f>
        <v/>
      </c>
      <c r="FA138" s="44" t="str">
        <f>IF(Table1[Date of Initial Assessment]="","",IF(AND(Table1[Start Date]&gt;42094,Table1[Start Date]&lt;42461),Table1[Motivation and Taking Responsibility],""))</f>
        <v/>
      </c>
      <c r="FB138" s="44" t="str">
        <f>IF(Table1[Date of Initial Assessment]="","",IF(AND(Table1[Start Date]&gt;42094,Table1[Start Date]&lt;42461),Table1[Self-Care and Living Skills],""))</f>
        <v/>
      </c>
      <c r="FC138" s="44" t="str">
        <f>IF(Table1[Date of Initial Assessment]="","",IF(AND(Table1[Start Date]&gt;42094,Table1[Start Date]&lt;42461),Table1[Managing Money and Personal Administration],""))</f>
        <v/>
      </c>
      <c r="FD138" s="44" t="str">
        <f>IF(Table1[Date of Initial Assessment]="","",IF(AND(Table1[Start Date]&gt;42094,Table1[Start Date]&lt;42461),Table1[Social Networks and Relationships],""))</f>
        <v/>
      </c>
      <c r="FE138" s="44" t="str">
        <f>IF(Table1[Date of Initial Assessment]="","",IF(AND(Table1[Start Date]&gt;42094,Table1[Start Date]&lt;42461),Table1[Drug and Alcohol Misuse],""))</f>
        <v/>
      </c>
      <c r="FF138" s="44" t="str">
        <f>IF(Table1[Date of Initial Assessment]="","",IF(AND(Table1[Start Date]&gt;42094,Table1[Start Date]&lt;42461),Table1[Physical Health],""))</f>
        <v/>
      </c>
      <c r="FG138" s="44" t="str">
        <f>IF(Table1[Date of Initial Assessment]="","",IF(AND(Table1[Start Date]&gt;42094,Table1[Start Date]&lt;42461),Table1[Emotional and Mental Health],""))</f>
        <v/>
      </c>
      <c r="FH138" s="44" t="str">
        <f>IF(Table1[Date of Initial Assessment]="","",IF(AND(Table1[Start Date]&gt;42094,Table1[Start Date]&lt;42461),Table1[Meaningful Use of Time],""))</f>
        <v/>
      </c>
      <c r="FI138" s="44" t="str">
        <f>IF(Table1[Date of Initial Assessment]="","",IF(AND(Table1[Start Date]&gt;42094,Table1[Start Date]&lt;42461),Table1[Managing Tenancy and Accommodation],""))</f>
        <v/>
      </c>
      <c r="FJ138" s="44" t="str">
        <f>IF(Table1[Date of Initial Assessment]="","",IF(AND(Table1[Start Date]&gt;42094,Table1[Start Date]&lt;42461),Table1[Offending],""))</f>
        <v/>
      </c>
      <c r="FK138" s="44" t="str">
        <f>IF(Table1[Leaving Date]="","",IF(Table1[Date of Initial Assessment]="","",IF(AND(Table1[Leaving Date]&gt;42094,Table1[Leaving Date]&lt;42461),IF(Table1[Date of Last Assessment]="",Table1[Motivation and Taking Responsibility],Table1[Motivation and Taking Responsibility2]),"")))</f>
        <v/>
      </c>
      <c r="FL138" s="44" t="str">
        <f>IF(Table1[Leaving Date]="","",IF(Table1[Date of Initial Assessment]="","",IF(AND(Table1[Leaving Date]&gt;42094,Table1[Leaving Date]&lt;42461),IF(Table1[Date of Last Assessment]="",Table1[Self-Care and Living Skills],Table1[Self-Care and Living Skills2]),"")))</f>
        <v/>
      </c>
      <c r="FM138" s="44" t="str">
        <f>IF(Table1[Leaving Date]="","",IF(Table1[Date of Initial Assessment]="","",IF(AND(Table1[Leaving Date]&gt;42094,Table1[Leaving Date]&lt;42461),IF(Table1[Date of Last Assessment]="",Table1[Managing Money and Personal Administration],Table1[Managing Money and Personal Administration2]),"")))</f>
        <v/>
      </c>
      <c r="FN138" s="44" t="str">
        <f>IF(Table1[Leaving Date]="","",IF(Table1[Date of Initial Assessment]="","",IF(AND(Table1[Leaving Date]&gt;42094,Table1[Leaving Date]&lt;42461),IF(Table1[Date of Last Assessment]="",Table1[Social Networks and Relationships],Table1[Social Networks and Relationships2]),"")))</f>
        <v/>
      </c>
      <c r="FO138" s="44" t="str">
        <f>IF(Table1[Leaving Date]="","",IF(Table1[Date of Initial Assessment]="","",IF(AND(Table1[Leaving Date]&gt;42094,Table1[Leaving Date]&lt;42461),IF(Table1[Date of Last Assessment]="",Table1[Drug and Alcohol Misuse],Table1[Drug and Alcohol Misuse2]),"")))</f>
        <v/>
      </c>
      <c r="FP138" s="44" t="str">
        <f>IF(Table1[Leaving Date]="","",IF(Table1[Date of Initial Assessment]="","",IF(AND(Table1[Leaving Date]&gt;42094,Table1[Leaving Date]&lt;42461),IF(Table1[Date of Last Assessment]="",Table1[Physical Health],Table1[Physical Health2]),"")))</f>
        <v/>
      </c>
      <c r="FQ138" s="44" t="str">
        <f>IF(Table1[Leaving Date]="","",IF(Table1[Date of Initial Assessment]="","",IF(AND(Table1[Leaving Date]&gt;42094,Table1[Leaving Date]&lt;42461),IF(Table1[Date of Last Assessment]="",Table1[Emotional and Mental Health],Table1[Emotional and Mental Health2]),"")))</f>
        <v/>
      </c>
      <c r="FR138" s="44" t="str">
        <f>IF(Table1[Leaving Date]="","",IF(Table1[Date of Initial Assessment]="","",IF(AND(Table1[Leaving Date]&gt;42094,Table1[Leaving Date]&lt;42461),IF(Table1[Date of Last Assessment]="",Table1[Meaningful Use of Time],Table1[Meaningful Use of Time2]),"")))</f>
        <v/>
      </c>
      <c r="FS138" s="44" t="str">
        <f>IF(Table1[Leaving Date]="","",IF(Table1[Date of Initial Assessment]="","",IF(AND(Table1[Leaving Date]&gt;42094,Table1[Leaving Date]&lt;42461),IF(Table1[Date of Last Assessment]="",Table1[Managing Tenancy and Accommodation],Table1[Managing Tenancy and Accommodation2]),"")))</f>
        <v/>
      </c>
      <c r="FT138" s="44" t="str">
        <f>IF(Table1[Leaving Date]="","",IF(Table1[Date of Initial Assessment]="","",IF(AND(Table1[Leaving Date]&gt;42094,Table1[Leaving Date]&lt;42461),IF(Table1[Date of Last Assessment]="",Table1[Offending],Table1[Offending2]),"")))</f>
        <v/>
      </c>
      <c r="FU138" s="44" t="str">
        <f>IF(Table1[Date of Initial Assessment]="","",IF(AND(Table1[Start Date]&gt;42460,Table1[Start Date]&lt;42826),Table1[Motivation and Taking Responsibility],""))</f>
        <v/>
      </c>
      <c r="FV138" s="44" t="str">
        <f>IF(Table1[Date of Initial Assessment]="","",IF(AND(Table1[Start Date]&gt;42460,Table1[Start Date]&lt;42826),Table1[Self-Care and Living Skills],""))</f>
        <v/>
      </c>
      <c r="FW138" s="44" t="str">
        <f>IF(Table1[Date of Initial Assessment]="","",IF(AND(Table1[Start Date]&gt;42460,Table1[Start Date]&lt;42826),Table1[Managing Money and Personal Administration],""))</f>
        <v/>
      </c>
      <c r="FX138" s="44" t="str">
        <f>IF(Table1[Date of Initial Assessment]="","",IF(AND(Table1[Start Date]&gt;42460,Table1[Start Date]&lt;42826),Table1[Social Networks and Relationships],""))</f>
        <v/>
      </c>
      <c r="FY138" s="44" t="str">
        <f>IF(Table1[Date of Initial Assessment]="","",IF(AND(Table1[Start Date]&gt;42460,Table1[Start Date]&lt;42826),Table1[Drug and Alcohol Misuse],""))</f>
        <v/>
      </c>
      <c r="FZ138" s="44" t="str">
        <f>IF(Table1[Date of Initial Assessment]="","",IF(AND(Table1[Start Date]&gt;42460,Table1[Start Date]&lt;42826),Table1[Physical Health],""))</f>
        <v/>
      </c>
      <c r="GA138" s="44" t="str">
        <f>IF(Table1[Date of Initial Assessment]="","",IF(AND(Table1[Start Date]&gt;42460,Table1[Start Date]&lt;42826),Table1[Emotional and Mental Health],""))</f>
        <v/>
      </c>
      <c r="GB138" s="44" t="str">
        <f>IF(Table1[Date of Initial Assessment]="","",IF(AND(Table1[Start Date]&gt;42460,Table1[Start Date]&lt;42826),Table1[Meaningful Use of Time],""))</f>
        <v/>
      </c>
      <c r="GC138" s="44" t="str">
        <f>IF(Table1[Date of Initial Assessment]="","",IF(AND(Table1[Start Date]&gt;42460,Table1[Start Date]&lt;42826),Table1[Managing Tenancy and Accommodation],""))</f>
        <v/>
      </c>
      <c r="GD138" s="44" t="str">
        <f>IF(Table1[Date of Initial Assessment]="","",IF(AND(Table1[Start Date]&gt;42460,Table1[Start Date]&lt;42826),Table1[Offending],""))</f>
        <v/>
      </c>
      <c r="GE138" s="44" t="str">
        <f>IF(Table1[Leaving Date]="","",IF(AND(Table1[Leaving Date]&gt;42460,Table1[Leaving Date]&lt;42826),IF(Table1[Date of Last Assessment]="",Table1[Motivation and Taking Responsibility],Table1[Motivation and Taking Responsibility2]),""))</f>
        <v/>
      </c>
      <c r="GF138" s="44" t="str">
        <f>IF(Table1[Leaving Date]="","",IF(AND(Table1[Leaving Date]&gt;42460,Table1[Leaving Date]&lt;42826),IF(Table1[Date of Last Assessment]="",Table1[Self-Care and Living Skills],Table1[Self-Care and Living Skills2]),""))</f>
        <v/>
      </c>
      <c r="GG138" s="44" t="str">
        <f>IF(Table1[Leaving Date]="","",IF(AND(Table1[Leaving Date]&gt;42460,Table1[Leaving Date]&lt;42826),IF(Table1[Date of Last Assessment]="",Table1[Managing Money and Personal Administration],Table1[Managing Money and Personal Administration2]),""))</f>
        <v/>
      </c>
      <c r="GH138" s="44" t="str">
        <f>IF(Table1[Leaving Date]="","",IF(AND(Table1[Leaving Date]&gt;42460,Table1[Leaving Date]&lt;42826),IF(Table1[Date of Last Assessment]="",Table1[Social Networks and Relationships],Table1[Social Networks and Relationships2]),""))</f>
        <v/>
      </c>
      <c r="GI138" s="44" t="str">
        <f>IF(Table1[Leaving Date]="","",IF(AND(Table1[Leaving Date]&gt;42460,Table1[Leaving Date]&lt;42826),IF(Table1[Date of Last Assessment]="",Table1[Drug and Alcohol Misuse],Table1[Drug and Alcohol Misuse2]),""))</f>
        <v/>
      </c>
      <c r="GJ138" s="44" t="str">
        <f>IF(Table1[Leaving Date]="","",IF(AND(Table1[Leaving Date]&gt;42460,Table1[Leaving Date]&lt;42826),IF(Table1[Date of Last Assessment]="",Table1[Physical Health],Table1[Physical Health2]),""))</f>
        <v/>
      </c>
      <c r="GK138" s="44" t="str">
        <f>IF(Table1[Leaving Date]="","",IF(AND(Table1[Leaving Date]&gt;42460,Table1[Leaving Date]&lt;42826),IF(Table1[Date of Last Assessment]="",Table1[Emotional and Mental Health],Table1[Emotional and Mental Health2]),""))</f>
        <v/>
      </c>
      <c r="GL138" s="44" t="str">
        <f>IF(Table1[Leaving Date]="","",IF(AND(Table1[Leaving Date]&gt;42460,Table1[Leaving Date]&lt;42826),IF(Table1[Date of Last Assessment]="",Table1[Meaningful Use of Time],Table1[Meaningful Use of Time2]),""))</f>
        <v/>
      </c>
      <c r="GM138" s="44" t="str">
        <f>IF(Table1[Leaving Date]="","",IF(AND(Table1[Leaving Date]&gt;42460,Table1[Leaving Date]&lt;42826),IF(Table1[Date of Last Assessment]="",Table1[Managing Tenancy and Accommodation],Table1[Managing Tenancy and Accommodation2]),""))</f>
        <v/>
      </c>
      <c r="GN138" s="44" t="str">
        <f>IF(Table1[Leaving Date]="","",IF(AND(Table1[Leaving Date]&gt;42460,Table1[Leaving Date]&lt;42826),IF(Table1[Date of Last Assessment]="",Table1[Offending],Table1[Offending2]),""))</f>
        <v/>
      </c>
    </row>
    <row r="139" spans="2:196" ht="20.100000000000001" customHeight="1" x14ac:dyDescent="0.2">
      <c r="B139" s="86">
        <f>+'Service Data'!$C$5:$C$5</f>
        <v>0</v>
      </c>
      <c r="C139" s="86"/>
      <c r="D139" s="86"/>
      <c r="E139" s="86"/>
      <c r="F139" s="86"/>
      <c r="G139" s="86"/>
      <c r="H139" s="6"/>
      <c r="I139" s="99" t="str">
        <f ca="1">IF(Table1[[#This Row],[Date of Birth]]="","",SUM(TODAY()-Table1[[#This Row],[Date of Birth]])/365)</f>
        <v/>
      </c>
      <c r="L139" s="86"/>
      <c r="M139" s="77"/>
      <c r="N139" s="86"/>
      <c r="O139" s="86"/>
      <c r="P139" s="91"/>
      <c r="Q139" s="86"/>
      <c r="R139" s="77"/>
      <c r="S139" s="77"/>
      <c r="T139" s="68"/>
      <c r="U139" s="68"/>
      <c r="V139" s="67"/>
      <c r="W139" s="67"/>
      <c r="X139" s="67"/>
      <c r="Y139" s="67"/>
      <c r="Z139" s="67"/>
      <c r="AA139" s="67"/>
      <c r="AB139" s="67"/>
      <c r="AC139" s="67"/>
      <c r="AD139" s="67"/>
      <c r="AE139" s="67"/>
      <c r="AF139" s="67"/>
      <c r="AG139" s="67"/>
      <c r="AH139" s="67"/>
      <c r="AI139" s="67"/>
      <c r="AJ139" s="67"/>
      <c r="AK139" s="67"/>
      <c r="AL139" s="67"/>
      <c r="AM139" s="67"/>
      <c r="AN139" s="77"/>
      <c r="AO139" s="76"/>
      <c r="AP139" s="77"/>
      <c r="AQ139" s="76"/>
      <c r="AR139" s="76"/>
      <c r="AS139" s="76"/>
      <c r="AT139" s="76"/>
      <c r="AU139" s="76"/>
      <c r="AV139" s="77"/>
      <c r="AW139" s="76"/>
      <c r="AX139" s="77"/>
      <c r="AY139" s="76"/>
      <c r="AZ139" s="76"/>
      <c r="BA139" s="76"/>
      <c r="BB139" s="76"/>
      <c r="BC139" s="76"/>
      <c r="BD139" s="77"/>
      <c r="BE139" s="76"/>
      <c r="BF139" s="77"/>
      <c r="BG139" s="76"/>
      <c r="BH139" s="76"/>
      <c r="BI139" s="76"/>
      <c r="BJ139" s="76"/>
      <c r="BK139" s="76"/>
      <c r="BL139" s="77"/>
      <c r="BM139" s="76"/>
      <c r="BN139" s="77"/>
      <c r="BO139" s="76"/>
      <c r="BP139" s="76"/>
      <c r="BQ139" s="76"/>
      <c r="BR139" s="76"/>
      <c r="BS139" s="76"/>
      <c r="BT139" s="77"/>
      <c r="BU139" s="76"/>
      <c r="BV139" s="77"/>
      <c r="BW139" s="76"/>
      <c r="BX139" s="76"/>
      <c r="BY139" s="76"/>
      <c r="BZ139" s="76"/>
      <c r="CA139" s="76"/>
      <c r="CB139" s="77"/>
      <c r="CC139" s="76"/>
      <c r="CD139" s="77"/>
      <c r="CE139" s="76"/>
      <c r="CF139" s="76"/>
      <c r="CG139" s="76"/>
      <c r="CH139" s="76"/>
      <c r="CI139" s="76"/>
      <c r="CJ139" s="77"/>
      <c r="CK139" s="76"/>
      <c r="CL139" s="77"/>
      <c r="CM139" s="76"/>
      <c r="CN139" s="76"/>
      <c r="CO139" s="76"/>
      <c r="CP139" s="76"/>
      <c r="CQ139" s="76"/>
      <c r="CR139" s="78" t="str">
        <f t="shared" si="47"/>
        <v/>
      </c>
      <c r="CS139" s="79" t="str">
        <f t="shared" si="48"/>
        <v/>
      </c>
      <c r="CT139" s="79" t="str">
        <f t="shared" si="49"/>
        <v/>
      </c>
      <c r="CU139" s="79" t="str">
        <f t="shared" si="50"/>
        <v/>
      </c>
      <c r="CV139" s="79" t="str">
        <f t="shared" si="51"/>
        <v/>
      </c>
      <c r="CW139" s="79" t="str">
        <f t="shared" si="52"/>
        <v/>
      </c>
      <c r="CX139" s="79" t="str">
        <f t="shared" si="53"/>
        <v/>
      </c>
      <c r="CY139" s="79" t="str">
        <f t="shared" si="54"/>
        <v/>
      </c>
      <c r="CZ139" s="79" t="str">
        <f t="shared" si="55"/>
        <v/>
      </c>
      <c r="DA139" s="79" t="str">
        <f t="shared" si="56"/>
        <v/>
      </c>
      <c r="DB139" s="79" t="str">
        <f t="shared" si="57"/>
        <v/>
      </c>
      <c r="DC139" s="79" t="str">
        <f t="shared" si="58"/>
        <v/>
      </c>
      <c r="DD139" s="79" t="str">
        <f t="shared" si="59"/>
        <v/>
      </c>
      <c r="DE139" s="79" t="str">
        <f t="shared" si="60"/>
        <v/>
      </c>
      <c r="DF139" s="79" t="str">
        <f t="shared" si="61"/>
        <v/>
      </c>
      <c r="DG139" s="79" t="str">
        <f t="shared" si="62"/>
        <v/>
      </c>
      <c r="DH139" s="76"/>
      <c r="DI139" s="78"/>
      <c r="DJ139" s="76"/>
      <c r="DK139" s="77"/>
      <c r="DL139" s="77"/>
      <c r="DM139" s="77"/>
      <c r="DN139" s="80"/>
      <c r="DO139" s="80"/>
      <c r="DP139" s="92" t="str">
        <f>IF(Table1[Start Date]="","",IF(Table1[Start Date]&gt;42185,"",IF(AND(Table1[Leaving Date]&gt;1,Table1[Leaving Date]&lt;42095),"",1)))</f>
        <v/>
      </c>
      <c r="DQ139" s="92" t="str">
        <f>IF(Table1[Start Date]="","",IF(Table1[Start Date]&gt;42277,"",IF(AND(Table1[Leaving Date]&gt;1,Table1[Leaving Date]&lt;42186),"",1)))</f>
        <v/>
      </c>
      <c r="DR139" s="92" t="str">
        <f>IF(Table1[Start Date]="","",IF(Table1[Start Date]&gt;42369,"",IF(AND(Table1[Leaving Date]&gt;1,Table1[Leaving Date]&lt;42278),"",1)))</f>
        <v/>
      </c>
      <c r="DS139" s="92" t="str">
        <f>IF(Table1[Start Date]="","",IF(Table1[Start Date]&gt;42460,"",IF(AND(Table1[Leaving Date]&gt;1,Table1[Leaving Date]&lt;42370),"",1)))</f>
        <v/>
      </c>
      <c r="DT139" s="92" t="str">
        <f>IF(Table1[Start Date]="","",IF(Table1[Start Date]&gt;42551,"",IF(AND(Table1[Leaving Date]&gt;1,Table1[Leaving Date]&lt;42461),"",1)))</f>
        <v/>
      </c>
      <c r="DU139" s="92" t="str">
        <f>IF(Table1[Start Date]="","",IF(Table1[Start Date]&gt;42643,"",IF(AND(Table1[Leaving Date]&gt;1,Table1[Leaving Date]&lt;42552),"",1)))</f>
        <v/>
      </c>
      <c r="DV139" s="92" t="str">
        <f>IF(Table1[Start Date]="","",IF(Table1[Start Date]&gt;42735,"",IF(AND(Table1[Leaving Date]&gt;1,Table1[Leaving Date]&lt;42644),"",1)))</f>
        <v/>
      </c>
      <c r="DW139" s="92" t="str">
        <f>IF(Table1[Start Date]="","",IF(Table1[Start Date]&gt;42825,"",IF(AND(Table1[Leaving Date]&gt;1,Table1[Leaving Date]&lt;42736),"",1)))</f>
        <v/>
      </c>
      <c r="DX139"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139" s="44" t="e">
        <f>VLOOKUP(Table1[Referral Source],Lists!$G$2:$H$20,2,FALSE)</f>
        <v>#N/A</v>
      </c>
      <c r="DZ139" s="93" t="e">
        <f>SUM(Table1[Data Referral Quarter]+Table1[Data Referral Source])</f>
        <v>#N/A</v>
      </c>
      <c r="EA139" s="44" t="b">
        <f>IF(Table1[Referral Decision]="Accepted",100,IF(Table1[Referral Decision]="Rejected by Provider",200,IF(Table1[Referral Decision]="Rejected by Applicant",300)))</f>
        <v>0</v>
      </c>
      <c r="EB139" s="44">
        <f>SUM(Table1[Data Referral Quarter]+Table1[Data Referral Decision])</f>
        <v>0</v>
      </c>
      <c r="EC139" s="44" t="b">
        <f>IF(Table1[Start Date]&gt;42735,8000,IF(Table1[Start Date]&gt;42643,7000,IF(Table1[Start Date]&gt;42551,6000,IF(Table1[Start Date]&gt;42460,5000,IF(Table1[Start Date]&gt;42369,4000,IF(Table1[Start Date]&gt;42277,3000,IF(Table1[Start Date]&gt;42185,2000,IF(Table1[Start Date]&gt;42094,1000))))))))</f>
        <v>0</v>
      </c>
      <c r="ED139" s="44" t="str">
        <f>IF(Table1[Start Date]="","",IF(Table1[Current Local Authority]="Swindon",1,"2"))</f>
        <v/>
      </c>
      <c r="EE139" s="44" t="e">
        <f>SUM(Table1[Data Start Date]+Table1[Data Local Authority])</f>
        <v>#VALUE!</v>
      </c>
      <c r="EF139" s="44">
        <f>IF(Table1[Registered with GP]="Yes",1,0)</f>
        <v>0</v>
      </c>
      <c r="EG139" s="44">
        <f>SUM(Table1[Data Start Date]+Table1[Data GP Start])</f>
        <v>0</v>
      </c>
      <c r="EH139" s="44" t="str">
        <f>IF(Table1[EET]="NEET",1,IF(Table1[EET]="Education",2,IF(Table1[EET]="Employment",2,IF(Table1[EET]="Training",2,IF(Table1[EET]="Retired",3,"")))))</f>
        <v/>
      </c>
      <c r="EI139" s="44" t="e">
        <f>Table1[Data Start Date]+Table1[Data EET Start]</f>
        <v>#VALUE!</v>
      </c>
      <c r="EJ139" s="44" t="b">
        <f>IF(Table1[Leaving Date]&gt;42735,8000,IF(Table1[Leaving Date]&gt;42643,7000,IF(Table1[Leaving Date]&gt;42551,6000,IF(Table1[Leaving Date]&gt;42460,5000,IF(Table1[Leaving Date]&gt;42369,4000,IF(Table1[Leaving Date]&gt;42277,3000,IF(Table1[Leaving Date]&gt;42185,2000,IF(Table1[Leaving Date]&gt;42094,1000))))))))</f>
        <v>0</v>
      </c>
      <c r="EK139" s="44" t="e">
        <f>VLOOKUP(Table1[Reason for Leaving],Lists!$T$2:$U$15,2,FALSE)</f>
        <v>#N/A</v>
      </c>
      <c r="EL139" s="44" t="e">
        <f>SUM(Table1[Data Leavers Date]+Table1[Data Move On])</f>
        <v>#N/A</v>
      </c>
      <c r="EM139" s="44" t="b">
        <f>IF(Table1[Registered with GP2]="Yes",1,IF(Table1[Registered with GP2]="No",0,IF(Table1[Registered with GP]="Yes",1,IF(Table1[Registered with GP]="No",0))))</f>
        <v>0</v>
      </c>
      <c r="EN139" s="44">
        <f>SUM(Table1[Data Leavers Date]+Table1[Data GP End])</f>
        <v>0</v>
      </c>
      <c r="EO139" s="44" t="str">
        <f>IF(Table1[EET2]="NEET",1,IF(Table1[EET2]="Employment",2,IF(Table1[EET2]="Education",2,IF(Table1[EET2]="Training",2,IF(Table1[EET2]="Retired",3,IF(Table1[EET]="NEET",1,IF(Table1[EET]="Employment",2,IF(Table1[EET]="Education",2,IF(Table1[EET]="Training",2,IF(Table1[EET]="Retired",3,""))))))))))</f>
        <v/>
      </c>
      <c r="EP139" s="44" t="e">
        <f>+Table1[[#This Row],[Data Leavers Date]]+Table1[[#This Row],[Data EET End]]</f>
        <v>#VALUE!</v>
      </c>
      <c r="EQ139" s="44">
        <f>IF(Table1[Exit Form Received]="Yes",1,0)</f>
        <v>0</v>
      </c>
      <c r="ER139" s="44">
        <f>+Table1[[#This Row],[Data Leavers Date]]+Table1[[#This Row],[Data Exit Forms]]</f>
        <v>0</v>
      </c>
      <c r="ES139" s="44" t="str">
        <f>IF(Table1[Data Leavers Date]=1000,SUM(Table1[Leaving Date]-Table1[Start Date]),"")</f>
        <v/>
      </c>
      <c r="ET139" s="44" t="str">
        <f>IF(Table1[Data Leavers Date]=2000,SUM(Table1[Leaving Date]-Table1[Start Date]),"")</f>
        <v/>
      </c>
      <c r="EU139" s="44" t="str">
        <f>IF(Table1[Data Leavers Date]=3000,SUM(Table1[Leaving Date]-Table1[Start Date]),"")</f>
        <v/>
      </c>
      <c r="EV139" s="44" t="str">
        <f>IF(Table1[Data Leavers Date]=4000,SUM(Table1[Leaving Date]-Table1[Start Date]),"")</f>
        <v/>
      </c>
      <c r="EW139" s="44" t="str">
        <f>IF(Table1[Data Leavers Date]=5000,SUM(Table1[Leaving Date]-Table1[Start Date]),"")</f>
        <v/>
      </c>
      <c r="EX139" s="44" t="str">
        <f>IF(Table1[Data Leavers Date]=6000,SUM(Table1[Leaving Date]-Table1[Start Date]),"")</f>
        <v/>
      </c>
      <c r="EY139" s="44" t="str">
        <f>IF(Table1[Data Leavers Date]=7000,SUM(Table1[Leaving Date]-Table1[Start Date]),"")</f>
        <v/>
      </c>
      <c r="EZ139" s="44" t="str">
        <f>IF(Table1[Data Leavers Date]=8000,SUM(Table1[Leaving Date]-Table1[Start Date]),"")</f>
        <v/>
      </c>
      <c r="FA139" s="44" t="str">
        <f>IF(Table1[Date of Initial Assessment]="","",IF(AND(Table1[Start Date]&gt;42094,Table1[Start Date]&lt;42461),Table1[Motivation and Taking Responsibility],""))</f>
        <v/>
      </c>
      <c r="FB139" s="44" t="str">
        <f>IF(Table1[Date of Initial Assessment]="","",IF(AND(Table1[Start Date]&gt;42094,Table1[Start Date]&lt;42461),Table1[Self-Care and Living Skills],""))</f>
        <v/>
      </c>
      <c r="FC139" s="44" t="str">
        <f>IF(Table1[Date of Initial Assessment]="","",IF(AND(Table1[Start Date]&gt;42094,Table1[Start Date]&lt;42461),Table1[Managing Money and Personal Administration],""))</f>
        <v/>
      </c>
      <c r="FD139" s="44" t="str">
        <f>IF(Table1[Date of Initial Assessment]="","",IF(AND(Table1[Start Date]&gt;42094,Table1[Start Date]&lt;42461),Table1[Social Networks and Relationships],""))</f>
        <v/>
      </c>
      <c r="FE139" s="44" t="str">
        <f>IF(Table1[Date of Initial Assessment]="","",IF(AND(Table1[Start Date]&gt;42094,Table1[Start Date]&lt;42461),Table1[Drug and Alcohol Misuse],""))</f>
        <v/>
      </c>
      <c r="FF139" s="44" t="str">
        <f>IF(Table1[Date of Initial Assessment]="","",IF(AND(Table1[Start Date]&gt;42094,Table1[Start Date]&lt;42461),Table1[Physical Health],""))</f>
        <v/>
      </c>
      <c r="FG139" s="44" t="str">
        <f>IF(Table1[Date of Initial Assessment]="","",IF(AND(Table1[Start Date]&gt;42094,Table1[Start Date]&lt;42461),Table1[Emotional and Mental Health],""))</f>
        <v/>
      </c>
      <c r="FH139" s="44" t="str">
        <f>IF(Table1[Date of Initial Assessment]="","",IF(AND(Table1[Start Date]&gt;42094,Table1[Start Date]&lt;42461),Table1[Meaningful Use of Time],""))</f>
        <v/>
      </c>
      <c r="FI139" s="44" t="str">
        <f>IF(Table1[Date of Initial Assessment]="","",IF(AND(Table1[Start Date]&gt;42094,Table1[Start Date]&lt;42461),Table1[Managing Tenancy and Accommodation],""))</f>
        <v/>
      </c>
      <c r="FJ139" s="44" t="str">
        <f>IF(Table1[Date of Initial Assessment]="","",IF(AND(Table1[Start Date]&gt;42094,Table1[Start Date]&lt;42461),Table1[Offending],""))</f>
        <v/>
      </c>
      <c r="FK139" s="44" t="str">
        <f>IF(Table1[Leaving Date]="","",IF(Table1[Date of Initial Assessment]="","",IF(AND(Table1[Leaving Date]&gt;42094,Table1[Leaving Date]&lt;42461),IF(Table1[Date of Last Assessment]="",Table1[Motivation and Taking Responsibility],Table1[Motivation and Taking Responsibility2]),"")))</f>
        <v/>
      </c>
      <c r="FL139" s="44" t="str">
        <f>IF(Table1[Leaving Date]="","",IF(Table1[Date of Initial Assessment]="","",IF(AND(Table1[Leaving Date]&gt;42094,Table1[Leaving Date]&lt;42461),IF(Table1[Date of Last Assessment]="",Table1[Self-Care and Living Skills],Table1[Self-Care and Living Skills2]),"")))</f>
        <v/>
      </c>
      <c r="FM139" s="44" t="str">
        <f>IF(Table1[Leaving Date]="","",IF(Table1[Date of Initial Assessment]="","",IF(AND(Table1[Leaving Date]&gt;42094,Table1[Leaving Date]&lt;42461),IF(Table1[Date of Last Assessment]="",Table1[Managing Money and Personal Administration],Table1[Managing Money and Personal Administration2]),"")))</f>
        <v/>
      </c>
      <c r="FN139" s="44" t="str">
        <f>IF(Table1[Leaving Date]="","",IF(Table1[Date of Initial Assessment]="","",IF(AND(Table1[Leaving Date]&gt;42094,Table1[Leaving Date]&lt;42461),IF(Table1[Date of Last Assessment]="",Table1[Social Networks and Relationships],Table1[Social Networks and Relationships2]),"")))</f>
        <v/>
      </c>
      <c r="FO139" s="44" t="str">
        <f>IF(Table1[Leaving Date]="","",IF(Table1[Date of Initial Assessment]="","",IF(AND(Table1[Leaving Date]&gt;42094,Table1[Leaving Date]&lt;42461),IF(Table1[Date of Last Assessment]="",Table1[Drug and Alcohol Misuse],Table1[Drug and Alcohol Misuse2]),"")))</f>
        <v/>
      </c>
      <c r="FP139" s="44" t="str">
        <f>IF(Table1[Leaving Date]="","",IF(Table1[Date of Initial Assessment]="","",IF(AND(Table1[Leaving Date]&gt;42094,Table1[Leaving Date]&lt;42461),IF(Table1[Date of Last Assessment]="",Table1[Physical Health],Table1[Physical Health2]),"")))</f>
        <v/>
      </c>
      <c r="FQ139" s="44" t="str">
        <f>IF(Table1[Leaving Date]="","",IF(Table1[Date of Initial Assessment]="","",IF(AND(Table1[Leaving Date]&gt;42094,Table1[Leaving Date]&lt;42461),IF(Table1[Date of Last Assessment]="",Table1[Emotional and Mental Health],Table1[Emotional and Mental Health2]),"")))</f>
        <v/>
      </c>
      <c r="FR139" s="44" t="str">
        <f>IF(Table1[Leaving Date]="","",IF(Table1[Date of Initial Assessment]="","",IF(AND(Table1[Leaving Date]&gt;42094,Table1[Leaving Date]&lt;42461),IF(Table1[Date of Last Assessment]="",Table1[Meaningful Use of Time],Table1[Meaningful Use of Time2]),"")))</f>
        <v/>
      </c>
      <c r="FS139" s="44" t="str">
        <f>IF(Table1[Leaving Date]="","",IF(Table1[Date of Initial Assessment]="","",IF(AND(Table1[Leaving Date]&gt;42094,Table1[Leaving Date]&lt;42461),IF(Table1[Date of Last Assessment]="",Table1[Managing Tenancy and Accommodation],Table1[Managing Tenancy and Accommodation2]),"")))</f>
        <v/>
      </c>
      <c r="FT139" s="44" t="str">
        <f>IF(Table1[Leaving Date]="","",IF(Table1[Date of Initial Assessment]="","",IF(AND(Table1[Leaving Date]&gt;42094,Table1[Leaving Date]&lt;42461),IF(Table1[Date of Last Assessment]="",Table1[Offending],Table1[Offending2]),"")))</f>
        <v/>
      </c>
      <c r="FU139" s="44" t="str">
        <f>IF(Table1[Date of Initial Assessment]="","",IF(AND(Table1[Start Date]&gt;42460,Table1[Start Date]&lt;42826),Table1[Motivation and Taking Responsibility],""))</f>
        <v/>
      </c>
      <c r="FV139" s="44" t="str">
        <f>IF(Table1[Date of Initial Assessment]="","",IF(AND(Table1[Start Date]&gt;42460,Table1[Start Date]&lt;42826),Table1[Self-Care and Living Skills],""))</f>
        <v/>
      </c>
      <c r="FW139" s="44" t="str">
        <f>IF(Table1[Date of Initial Assessment]="","",IF(AND(Table1[Start Date]&gt;42460,Table1[Start Date]&lt;42826),Table1[Managing Money and Personal Administration],""))</f>
        <v/>
      </c>
      <c r="FX139" s="44" t="str">
        <f>IF(Table1[Date of Initial Assessment]="","",IF(AND(Table1[Start Date]&gt;42460,Table1[Start Date]&lt;42826),Table1[Social Networks and Relationships],""))</f>
        <v/>
      </c>
      <c r="FY139" s="44" t="str">
        <f>IF(Table1[Date of Initial Assessment]="","",IF(AND(Table1[Start Date]&gt;42460,Table1[Start Date]&lt;42826),Table1[Drug and Alcohol Misuse],""))</f>
        <v/>
      </c>
      <c r="FZ139" s="44" t="str">
        <f>IF(Table1[Date of Initial Assessment]="","",IF(AND(Table1[Start Date]&gt;42460,Table1[Start Date]&lt;42826),Table1[Physical Health],""))</f>
        <v/>
      </c>
      <c r="GA139" s="44" t="str">
        <f>IF(Table1[Date of Initial Assessment]="","",IF(AND(Table1[Start Date]&gt;42460,Table1[Start Date]&lt;42826),Table1[Emotional and Mental Health],""))</f>
        <v/>
      </c>
      <c r="GB139" s="44" t="str">
        <f>IF(Table1[Date of Initial Assessment]="","",IF(AND(Table1[Start Date]&gt;42460,Table1[Start Date]&lt;42826),Table1[Meaningful Use of Time],""))</f>
        <v/>
      </c>
      <c r="GC139" s="44" t="str">
        <f>IF(Table1[Date of Initial Assessment]="","",IF(AND(Table1[Start Date]&gt;42460,Table1[Start Date]&lt;42826),Table1[Managing Tenancy and Accommodation],""))</f>
        <v/>
      </c>
      <c r="GD139" s="44" t="str">
        <f>IF(Table1[Date of Initial Assessment]="","",IF(AND(Table1[Start Date]&gt;42460,Table1[Start Date]&lt;42826),Table1[Offending],""))</f>
        <v/>
      </c>
      <c r="GE139" s="44" t="str">
        <f>IF(Table1[Leaving Date]="","",IF(AND(Table1[Leaving Date]&gt;42460,Table1[Leaving Date]&lt;42826),IF(Table1[Date of Last Assessment]="",Table1[Motivation and Taking Responsibility],Table1[Motivation and Taking Responsibility2]),""))</f>
        <v/>
      </c>
      <c r="GF139" s="44" t="str">
        <f>IF(Table1[Leaving Date]="","",IF(AND(Table1[Leaving Date]&gt;42460,Table1[Leaving Date]&lt;42826),IF(Table1[Date of Last Assessment]="",Table1[Self-Care and Living Skills],Table1[Self-Care and Living Skills2]),""))</f>
        <v/>
      </c>
      <c r="GG139" s="44" t="str">
        <f>IF(Table1[Leaving Date]="","",IF(AND(Table1[Leaving Date]&gt;42460,Table1[Leaving Date]&lt;42826),IF(Table1[Date of Last Assessment]="",Table1[Managing Money and Personal Administration],Table1[Managing Money and Personal Administration2]),""))</f>
        <v/>
      </c>
      <c r="GH139" s="44" t="str">
        <f>IF(Table1[Leaving Date]="","",IF(AND(Table1[Leaving Date]&gt;42460,Table1[Leaving Date]&lt;42826),IF(Table1[Date of Last Assessment]="",Table1[Social Networks and Relationships],Table1[Social Networks and Relationships2]),""))</f>
        <v/>
      </c>
      <c r="GI139" s="44" t="str">
        <f>IF(Table1[Leaving Date]="","",IF(AND(Table1[Leaving Date]&gt;42460,Table1[Leaving Date]&lt;42826),IF(Table1[Date of Last Assessment]="",Table1[Drug and Alcohol Misuse],Table1[Drug and Alcohol Misuse2]),""))</f>
        <v/>
      </c>
      <c r="GJ139" s="44" t="str">
        <f>IF(Table1[Leaving Date]="","",IF(AND(Table1[Leaving Date]&gt;42460,Table1[Leaving Date]&lt;42826),IF(Table1[Date of Last Assessment]="",Table1[Physical Health],Table1[Physical Health2]),""))</f>
        <v/>
      </c>
      <c r="GK139" s="44" t="str">
        <f>IF(Table1[Leaving Date]="","",IF(AND(Table1[Leaving Date]&gt;42460,Table1[Leaving Date]&lt;42826),IF(Table1[Date of Last Assessment]="",Table1[Emotional and Mental Health],Table1[Emotional and Mental Health2]),""))</f>
        <v/>
      </c>
      <c r="GL139" s="44" t="str">
        <f>IF(Table1[Leaving Date]="","",IF(AND(Table1[Leaving Date]&gt;42460,Table1[Leaving Date]&lt;42826),IF(Table1[Date of Last Assessment]="",Table1[Meaningful Use of Time],Table1[Meaningful Use of Time2]),""))</f>
        <v/>
      </c>
      <c r="GM139" s="44" t="str">
        <f>IF(Table1[Leaving Date]="","",IF(AND(Table1[Leaving Date]&gt;42460,Table1[Leaving Date]&lt;42826),IF(Table1[Date of Last Assessment]="",Table1[Managing Tenancy and Accommodation],Table1[Managing Tenancy and Accommodation2]),""))</f>
        <v/>
      </c>
      <c r="GN139" s="44" t="str">
        <f>IF(Table1[Leaving Date]="","",IF(AND(Table1[Leaving Date]&gt;42460,Table1[Leaving Date]&lt;42826),IF(Table1[Date of Last Assessment]="",Table1[Offending],Table1[Offending2]),""))</f>
        <v/>
      </c>
    </row>
    <row r="140" spans="2:196" ht="20.100000000000001" customHeight="1" x14ac:dyDescent="0.2">
      <c r="B140" s="86">
        <f>+'Service Data'!$C$5:$C$5</f>
        <v>0</v>
      </c>
      <c r="C140" s="86"/>
      <c r="D140" s="86"/>
      <c r="E140" s="86"/>
      <c r="F140" s="86"/>
      <c r="G140" s="86"/>
      <c r="H140" s="6"/>
      <c r="I140" s="99" t="str">
        <f ca="1">IF(Table1[[#This Row],[Date of Birth]]="","",SUM(TODAY()-Table1[[#This Row],[Date of Birth]])/365)</f>
        <v/>
      </c>
      <c r="L140" s="86"/>
      <c r="M140" s="77"/>
      <c r="N140" s="86"/>
      <c r="O140" s="86"/>
      <c r="P140" s="91"/>
      <c r="Q140" s="86"/>
      <c r="R140" s="77"/>
      <c r="S140" s="77"/>
      <c r="T140" s="68"/>
      <c r="U140" s="68"/>
      <c r="V140" s="67"/>
      <c r="W140" s="67"/>
      <c r="X140" s="67"/>
      <c r="Y140" s="67"/>
      <c r="Z140" s="67"/>
      <c r="AA140" s="67"/>
      <c r="AB140" s="67"/>
      <c r="AC140" s="67"/>
      <c r="AD140" s="67"/>
      <c r="AE140" s="67"/>
      <c r="AF140" s="67"/>
      <c r="AG140" s="67"/>
      <c r="AH140" s="67"/>
      <c r="AI140" s="67"/>
      <c r="AJ140" s="67"/>
      <c r="AK140" s="67"/>
      <c r="AL140" s="67"/>
      <c r="AM140" s="67"/>
      <c r="AN140" s="77"/>
      <c r="AO140" s="76"/>
      <c r="AP140" s="77"/>
      <c r="AQ140" s="76"/>
      <c r="AR140" s="76"/>
      <c r="AS140" s="76"/>
      <c r="AT140" s="76"/>
      <c r="AU140" s="76"/>
      <c r="AV140" s="77"/>
      <c r="AW140" s="76"/>
      <c r="AX140" s="77"/>
      <c r="AY140" s="76"/>
      <c r="AZ140" s="76"/>
      <c r="BA140" s="76"/>
      <c r="BB140" s="76"/>
      <c r="BC140" s="76"/>
      <c r="BD140" s="77"/>
      <c r="BE140" s="76"/>
      <c r="BF140" s="77"/>
      <c r="BG140" s="76"/>
      <c r="BH140" s="76"/>
      <c r="BI140" s="76"/>
      <c r="BJ140" s="76"/>
      <c r="BK140" s="76"/>
      <c r="BL140" s="77"/>
      <c r="BM140" s="76"/>
      <c r="BN140" s="77"/>
      <c r="BO140" s="76"/>
      <c r="BP140" s="76"/>
      <c r="BQ140" s="76"/>
      <c r="BR140" s="76"/>
      <c r="BS140" s="76"/>
      <c r="BT140" s="77"/>
      <c r="BU140" s="76"/>
      <c r="BV140" s="77"/>
      <c r="BW140" s="76"/>
      <c r="BX140" s="76"/>
      <c r="BY140" s="76"/>
      <c r="BZ140" s="76"/>
      <c r="CA140" s="76"/>
      <c r="CB140" s="77"/>
      <c r="CC140" s="76"/>
      <c r="CD140" s="77"/>
      <c r="CE140" s="76"/>
      <c r="CF140" s="76"/>
      <c r="CG140" s="76"/>
      <c r="CH140" s="76"/>
      <c r="CI140" s="76"/>
      <c r="CJ140" s="77"/>
      <c r="CK140" s="76"/>
      <c r="CL140" s="77"/>
      <c r="CM140" s="76"/>
      <c r="CN140" s="76"/>
      <c r="CO140" s="76"/>
      <c r="CP140" s="76"/>
      <c r="CQ140" s="76"/>
      <c r="CR140" s="78" t="str">
        <f t="shared" si="47"/>
        <v/>
      </c>
      <c r="CS140" s="79" t="str">
        <f t="shared" si="48"/>
        <v/>
      </c>
      <c r="CT140" s="79" t="str">
        <f t="shared" si="49"/>
        <v/>
      </c>
      <c r="CU140" s="79" t="str">
        <f t="shared" si="50"/>
        <v/>
      </c>
      <c r="CV140" s="79" t="str">
        <f t="shared" si="51"/>
        <v/>
      </c>
      <c r="CW140" s="79" t="str">
        <f t="shared" si="52"/>
        <v/>
      </c>
      <c r="CX140" s="79" t="str">
        <f t="shared" si="53"/>
        <v/>
      </c>
      <c r="CY140" s="79" t="str">
        <f t="shared" si="54"/>
        <v/>
      </c>
      <c r="CZ140" s="79" t="str">
        <f t="shared" si="55"/>
        <v/>
      </c>
      <c r="DA140" s="79" t="str">
        <f t="shared" si="56"/>
        <v/>
      </c>
      <c r="DB140" s="79" t="str">
        <f t="shared" si="57"/>
        <v/>
      </c>
      <c r="DC140" s="79" t="str">
        <f t="shared" si="58"/>
        <v/>
      </c>
      <c r="DD140" s="79" t="str">
        <f t="shared" si="59"/>
        <v/>
      </c>
      <c r="DE140" s="79" t="str">
        <f t="shared" si="60"/>
        <v/>
      </c>
      <c r="DF140" s="79" t="str">
        <f t="shared" si="61"/>
        <v/>
      </c>
      <c r="DG140" s="79" t="str">
        <f t="shared" si="62"/>
        <v/>
      </c>
      <c r="DH140" s="76"/>
      <c r="DI140" s="78"/>
      <c r="DJ140" s="76"/>
      <c r="DK140" s="77"/>
      <c r="DL140" s="77"/>
      <c r="DM140" s="77"/>
      <c r="DN140" s="80"/>
      <c r="DO140" s="80"/>
      <c r="DP140" s="92" t="str">
        <f>IF(Table1[Start Date]="","",IF(Table1[Start Date]&gt;42185,"",IF(AND(Table1[Leaving Date]&gt;1,Table1[Leaving Date]&lt;42095),"",1)))</f>
        <v/>
      </c>
      <c r="DQ140" s="92" t="str">
        <f>IF(Table1[Start Date]="","",IF(Table1[Start Date]&gt;42277,"",IF(AND(Table1[Leaving Date]&gt;1,Table1[Leaving Date]&lt;42186),"",1)))</f>
        <v/>
      </c>
      <c r="DR140" s="92" t="str">
        <f>IF(Table1[Start Date]="","",IF(Table1[Start Date]&gt;42369,"",IF(AND(Table1[Leaving Date]&gt;1,Table1[Leaving Date]&lt;42278),"",1)))</f>
        <v/>
      </c>
      <c r="DS140" s="92" t="str">
        <f>IF(Table1[Start Date]="","",IF(Table1[Start Date]&gt;42460,"",IF(AND(Table1[Leaving Date]&gt;1,Table1[Leaving Date]&lt;42370),"",1)))</f>
        <v/>
      </c>
      <c r="DT140" s="92" t="str">
        <f>IF(Table1[Start Date]="","",IF(Table1[Start Date]&gt;42551,"",IF(AND(Table1[Leaving Date]&gt;1,Table1[Leaving Date]&lt;42461),"",1)))</f>
        <v/>
      </c>
      <c r="DU140" s="92" t="str">
        <f>IF(Table1[Start Date]="","",IF(Table1[Start Date]&gt;42643,"",IF(AND(Table1[Leaving Date]&gt;1,Table1[Leaving Date]&lt;42552),"",1)))</f>
        <v/>
      </c>
      <c r="DV140" s="92" t="str">
        <f>IF(Table1[Start Date]="","",IF(Table1[Start Date]&gt;42735,"",IF(AND(Table1[Leaving Date]&gt;1,Table1[Leaving Date]&lt;42644),"",1)))</f>
        <v/>
      </c>
      <c r="DW140" s="92" t="str">
        <f>IF(Table1[Start Date]="","",IF(Table1[Start Date]&gt;42825,"",IF(AND(Table1[Leaving Date]&gt;1,Table1[Leaving Date]&lt;42736),"",1)))</f>
        <v/>
      </c>
      <c r="DX140"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140" s="44" t="e">
        <f>VLOOKUP(Table1[Referral Source],Lists!$G$2:$H$20,2,FALSE)</f>
        <v>#N/A</v>
      </c>
      <c r="DZ140" s="93" t="e">
        <f>SUM(Table1[Data Referral Quarter]+Table1[Data Referral Source])</f>
        <v>#N/A</v>
      </c>
      <c r="EA140" s="44" t="b">
        <f>IF(Table1[Referral Decision]="Accepted",100,IF(Table1[Referral Decision]="Rejected by Provider",200,IF(Table1[Referral Decision]="Rejected by Applicant",300)))</f>
        <v>0</v>
      </c>
      <c r="EB140" s="44">
        <f>SUM(Table1[Data Referral Quarter]+Table1[Data Referral Decision])</f>
        <v>0</v>
      </c>
      <c r="EC140" s="44" t="b">
        <f>IF(Table1[Start Date]&gt;42735,8000,IF(Table1[Start Date]&gt;42643,7000,IF(Table1[Start Date]&gt;42551,6000,IF(Table1[Start Date]&gt;42460,5000,IF(Table1[Start Date]&gt;42369,4000,IF(Table1[Start Date]&gt;42277,3000,IF(Table1[Start Date]&gt;42185,2000,IF(Table1[Start Date]&gt;42094,1000))))))))</f>
        <v>0</v>
      </c>
      <c r="ED140" s="44" t="str">
        <f>IF(Table1[Start Date]="","",IF(Table1[Current Local Authority]="Swindon",1,"2"))</f>
        <v/>
      </c>
      <c r="EE140" s="44" t="e">
        <f>SUM(Table1[Data Start Date]+Table1[Data Local Authority])</f>
        <v>#VALUE!</v>
      </c>
      <c r="EF140" s="44">
        <f>IF(Table1[Registered with GP]="Yes",1,0)</f>
        <v>0</v>
      </c>
      <c r="EG140" s="44">
        <f>SUM(Table1[Data Start Date]+Table1[Data GP Start])</f>
        <v>0</v>
      </c>
      <c r="EH140" s="44" t="str">
        <f>IF(Table1[EET]="NEET",1,IF(Table1[EET]="Education",2,IF(Table1[EET]="Employment",2,IF(Table1[EET]="Training",2,IF(Table1[EET]="Retired",3,"")))))</f>
        <v/>
      </c>
      <c r="EI140" s="44" t="e">
        <f>Table1[Data Start Date]+Table1[Data EET Start]</f>
        <v>#VALUE!</v>
      </c>
      <c r="EJ140" s="44" t="b">
        <f>IF(Table1[Leaving Date]&gt;42735,8000,IF(Table1[Leaving Date]&gt;42643,7000,IF(Table1[Leaving Date]&gt;42551,6000,IF(Table1[Leaving Date]&gt;42460,5000,IF(Table1[Leaving Date]&gt;42369,4000,IF(Table1[Leaving Date]&gt;42277,3000,IF(Table1[Leaving Date]&gt;42185,2000,IF(Table1[Leaving Date]&gt;42094,1000))))))))</f>
        <v>0</v>
      </c>
      <c r="EK140" s="44" t="e">
        <f>VLOOKUP(Table1[Reason for Leaving],Lists!$T$2:$U$15,2,FALSE)</f>
        <v>#N/A</v>
      </c>
      <c r="EL140" s="44" t="e">
        <f>SUM(Table1[Data Leavers Date]+Table1[Data Move On])</f>
        <v>#N/A</v>
      </c>
      <c r="EM140" s="44" t="b">
        <f>IF(Table1[Registered with GP2]="Yes",1,IF(Table1[Registered with GP2]="No",0,IF(Table1[Registered with GP]="Yes",1,IF(Table1[Registered with GP]="No",0))))</f>
        <v>0</v>
      </c>
      <c r="EN140" s="44">
        <f>SUM(Table1[Data Leavers Date]+Table1[Data GP End])</f>
        <v>0</v>
      </c>
      <c r="EO140" s="44" t="str">
        <f>IF(Table1[EET2]="NEET",1,IF(Table1[EET2]="Employment",2,IF(Table1[EET2]="Education",2,IF(Table1[EET2]="Training",2,IF(Table1[EET2]="Retired",3,IF(Table1[EET]="NEET",1,IF(Table1[EET]="Employment",2,IF(Table1[EET]="Education",2,IF(Table1[EET]="Training",2,IF(Table1[EET]="Retired",3,""))))))))))</f>
        <v/>
      </c>
      <c r="EP140" s="44" t="e">
        <f>+Table1[[#This Row],[Data Leavers Date]]+Table1[[#This Row],[Data EET End]]</f>
        <v>#VALUE!</v>
      </c>
      <c r="EQ140" s="44">
        <f>IF(Table1[Exit Form Received]="Yes",1,0)</f>
        <v>0</v>
      </c>
      <c r="ER140" s="44">
        <f>+Table1[[#This Row],[Data Leavers Date]]+Table1[[#This Row],[Data Exit Forms]]</f>
        <v>0</v>
      </c>
      <c r="ES140" s="44" t="str">
        <f>IF(Table1[Data Leavers Date]=1000,SUM(Table1[Leaving Date]-Table1[Start Date]),"")</f>
        <v/>
      </c>
      <c r="ET140" s="44" t="str">
        <f>IF(Table1[Data Leavers Date]=2000,SUM(Table1[Leaving Date]-Table1[Start Date]),"")</f>
        <v/>
      </c>
      <c r="EU140" s="44" t="str">
        <f>IF(Table1[Data Leavers Date]=3000,SUM(Table1[Leaving Date]-Table1[Start Date]),"")</f>
        <v/>
      </c>
      <c r="EV140" s="44" t="str">
        <f>IF(Table1[Data Leavers Date]=4000,SUM(Table1[Leaving Date]-Table1[Start Date]),"")</f>
        <v/>
      </c>
      <c r="EW140" s="44" t="str">
        <f>IF(Table1[Data Leavers Date]=5000,SUM(Table1[Leaving Date]-Table1[Start Date]),"")</f>
        <v/>
      </c>
      <c r="EX140" s="44" t="str">
        <f>IF(Table1[Data Leavers Date]=6000,SUM(Table1[Leaving Date]-Table1[Start Date]),"")</f>
        <v/>
      </c>
      <c r="EY140" s="44" t="str">
        <f>IF(Table1[Data Leavers Date]=7000,SUM(Table1[Leaving Date]-Table1[Start Date]),"")</f>
        <v/>
      </c>
      <c r="EZ140" s="44" t="str">
        <f>IF(Table1[Data Leavers Date]=8000,SUM(Table1[Leaving Date]-Table1[Start Date]),"")</f>
        <v/>
      </c>
      <c r="FA140" s="44" t="str">
        <f>IF(Table1[Date of Initial Assessment]="","",IF(AND(Table1[Start Date]&gt;42094,Table1[Start Date]&lt;42461),Table1[Motivation and Taking Responsibility],""))</f>
        <v/>
      </c>
      <c r="FB140" s="44" t="str">
        <f>IF(Table1[Date of Initial Assessment]="","",IF(AND(Table1[Start Date]&gt;42094,Table1[Start Date]&lt;42461),Table1[Self-Care and Living Skills],""))</f>
        <v/>
      </c>
      <c r="FC140" s="44" t="str">
        <f>IF(Table1[Date of Initial Assessment]="","",IF(AND(Table1[Start Date]&gt;42094,Table1[Start Date]&lt;42461),Table1[Managing Money and Personal Administration],""))</f>
        <v/>
      </c>
      <c r="FD140" s="44" t="str">
        <f>IF(Table1[Date of Initial Assessment]="","",IF(AND(Table1[Start Date]&gt;42094,Table1[Start Date]&lt;42461),Table1[Social Networks and Relationships],""))</f>
        <v/>
      </c>
      <c r="FE140" s="44" t="str">
        <f>IF(Table1[Date of Initial Assessment]="","",IF(AND(Table1[Start Date]&gt;42094,Table1[Start Date]&lt;42461),Table1[Drug and Alcohol Misuse],""))</f>
        <v/>
      </c>
      <c r="FF140" s="44" t="str">
        <f>IF(Table1[Date of Initial Assessment]="","",IF(AND(Table1[Start Date]&gt;42094,Table1[Start Date]&lt;42461),Table1[Physical Health],""))</f>
        <v/>
      </c>
      <c r="FG140" s="44" t="str">
        <f>IF(Table1[Date of Initial Assessment]="","",IF(AND(Table1[Start Date]&gt;42094,Table1[Start Date]&lt;42461),Table1[Emotional and Mental Health],""))</f>
        <v/>
      </c>
      <c r="FH140" s="44" t="str">
        <f>IF(Table1[Date of Initial Assessment]="","",IF(AND(Table1[Start Date]&gt;42094,Table1[Start Date]&lt;42461),Table1[Meaningful Use of Time],""))</f>
        <v/>
      </c>
      <c r="FI140" s="44" t="str">
        <f>IF(Table1[Date of Initial Assessment]="","",IF(AND(Table1[Start Date]&gt;42094,Table1[Start Date]&lt;42461),Table1[Managing Tenancy and Accommodation],""))</f>
        <v/>
      </c>
      <c r="FJ140" s="44" t="str">
        <f>IF(Table1[Date of Initial Assessment]="","",IF(AND(Table1[Start Date]&gt;42094,Table1[Start Date]&lt;42461),Table1[Offending],""))</f>
        <v/>
      </c>
      <c r="FK140" s="44" t="str">
        <f>IF(Table1[Leaving Date]="","",IF(Table1[Date of Initial Assessment]="","",IF(AND(Table1[Leaving Date]&gt;42094,Table1[Leaving Date]&lt;42461),IF(Table1[Date of Last Assessment]="",Table1[Motivation and Taking Responsibility],Table1[Motivation and Taking Responsibility2]),"")))</f>
        <v/>
      </c>
      <c r="FL140" s="44" t="str">
        <f>IF(Table1[Leaving Date]="","",IF(Table1[Date of Initial Assessment]="","",IF(AND(Table1[Leaving Date]&gt;42094,Table1[Leaving Date]&lt;42461),IF(Table1[Date of Last Assessment]="",Table1[Self-Care and Living Skills],Table1[Self-Care and Living Skills2]),"")))</f>
        <v/>
      </c>
      <c r="FM140" s="44" t="str">
        <f>IF(Table1[Leaving Date]="","",IF(Table1[Date of Initial Assessment]="","",IF(AND(Table1[Leaving Date]&gt;42094,Table1[Leaving Date]&lt;42461),IF(Table1[Date of Last Assessment]="",Table1[Managing Money and Personal Administration],Table1[Managing Money and Personal Administration2]),"")))</f>
        <v/>
      </c>
      <c r="FN140" s="44" t="str">
        <f>IF(Table1[Leaving Date]="","",IF(Table1[Date of Initial Assessment]="","",IF(AND(Table1[Leaving Date]&gt;42094,Table1[Leaving Date]&lt;42461),IF(Table1[Date of Last Assessment]="",Table1[Social Networks and Relationships],Table1[Social Networks and Relationships2]),"")))</f>
        <v/>
      </c>
      <c r="FO140" s="44" t="str">
        <f>IF(Table1[Leaving Date]="","",IF(Table1[Date of Initial Assessment]="","",IF(AND(Table1[Leaving Date]&gt;42094,Table1[Leaving Date]&lt;42461),IF(Table1[Date of Last Assessment]="",Table1[Drug and Alcohol Misuse],Table1[Drug and Alcohol Misuse2]),"")))</f>
        <v/>
      </c>
      <c r="FP140" s="44" t="str">
        <f>IF(Table1[Leaving Date]="","",IF(Table1[Date of Initial Assessment]="","",IF(AND(Table1[Leaving Date]&gt;42094,Table1[Leaving Date]&lt;42461),IF(Table1[Date of Last Assessment]="",Table1[Physical Health],Table1[Physical Health2]),"")))</f>
        <v/>
      </c>
      <c r="FQ140" s="44" t="str">
        <f>IF(Table1[Leaving Date]="","",IF(Table1[Date of Initial Assessment]="","",IF(AND(Table1[Leaving Date]&gt;42094,Table1[Leaving Date]&lt;42461),IF(Table1[Date of Last Assessment]="",Table1[Emotional and Mental Health],Table1[Emotional and Mental Health2]),"")))</f>
        <v/>
      </c>
      <c r="FR140" s="44" t="str">
        <f>IF(Table1[Leaving Date]="","",IF(Table1[Date of Initial Assessment]="","",IF(AND(Table1[Leaving Date]&gt;42094,Table1[Leaving Date]&lt;42461),IF(Table1[Date of Last Assessment]="",Table1[Meaningful Use of Time],Table1[Meaningful Use of Time2]),"")))</f>
        <v/>
      </c>
      <c r="FS140" s="44" t="str">
        <f>IF(Table1[Leaving Date]="","",IF(Table1[Date of Initial Assessment]="","",IF(AND(Table1[Leaving Date]&gt;42094,Table1[Leaving Date]&lt;42461),IF(Table1[Date of Last Assessment]="",Table1[Managing Tenancy and Accommodation],Table1[Managing Tenancy and Accommodation2]),"")))</f>
        <v/>
      </c>
      <c r="FT140" s="44" t="str">
        <f>IF(Table1[Leaving Date]="","",IF(Table1[Date of Initial Assessment]="","",IF(AND(Table1[Leaving Date]&gt;42094,Table1[Leaving Date]&lt;42461),IF(Table1[Date of Last Assessment]="",Table1[Offending],Table1[Offending2]),"")))</f>
        <v/>
      </c>
      <c r="FU140" s="44" t="str">
        <f>IF(Table1[Date of Initial Assessment]="","",IF(AND(Table1[Start Date]&gt;42460,Table1[Start Date]&lt;42826),Table1[Motivation and Taking Responsibility],""))</f>
        <v/>
      </c>
      <c r="FV140" s="44" t="str">
        <f>IF(Table1[Date of Initial Assessment]="","",IF(AND(Table1[Start Date]&gt;42460,Table1[Start Date]&lt;42826),Table1[Self-Care and Living Skills],""))</f>
        <v/>
      </c>
      <c r="FW140" s="44" t="str">
        <f>IF(Table1[Date of Initial Assessment]="","",IF(AND(Table1[Start Date]&gt;42460,Table1[Start Date]&lt;42826),Table1[Managing Money and Personal Administration],""))</f>
        <v/>
      </c>
      <c r="FX140" s="44" t="str">
        <f>IF(Table1[Date of Initial Assessment]="","",IF(AND(Table1[Start Date]&gt;42460,Table1[Start Date]&lt;42826),Table1[Social Networks and Relationships],""))</f>
        <v/>
      </c>
      <c r="FY140" s="44" t="str">
        <f>IF(Table1[Date of Initial Assessment]="","",IF(AND(Table1[Start Date]&gt;42460,Table1[Start Date]&lt;42826),Table1[Drug and Alcohol Misuse],""))</f>
        <v/>
      </c>
      <c r="FZ140" s="44" t="str">
        <f>IF(Table1[Date of Initial Assessment]="","",IF(AND(Table1[Start Date]&gt;42460,Table1[Start Date]&lt;42826),Table1[Physical Health],""))</f>
        <v/>
      </c>
      <c r="GA140" s="44" t="str">
        <f>IF(Table1[Date of Initial Assessment]="","",IF(AND(Table1[Start Date]&gt;42460,Table1[Start Date]&lt;42826),Table1[Emotional and Mental Health],""))</f>
        <v/>
      </c>
      <c r="GB140" s="44" t="str">
        <f>IF(Table1[Date of Initial Assessment]="","",IF(AND(Table1[Start Date]&gt;42460,Table1[Start Date]&lt;42826),Table1[Meaningful Use of Time],""))</f>
        <v/>
      </c>
      <c r="GC140" s="44" t="str">
        <f>IF(Table1[Date of Initial Assessment]="","",IF(AND(Table1[Start Date]&gt;42460,Table1[Start Date]&lt;42826),Table1[Managing Tenancy and Accommodation],""))</f>
        <v/>
      </c>
      <c r="GD140" s="44" t="str">
        <f>IF(Table1[Date of Initial Assessment]="","",IF(AND(Table1[Start Date]&gt;42460,Table1[Start Date]&lt;42826),Table1[Offending],""))</f>
        <v/>
      </c>
      <c r="GE140" s="44" t="str">
        <f>IF(Table1[Leaving Date]="","",IF(AND(Table1[Leaving Date]&gt;42460,Table1[Leaving Date]&lt;42826),IF(Table1[Date of Last Assessment]="",Table1[Motivation and Taking Responsibility],Table1[Motivation and Taking Responsibility2]),""))</f>
        <v/>
      </c>
      <c r="GF140" s="44" t="str">
        <f>IF(Table1[Leaving Date]="","",IF(AND(Table1[Leaving Date]&gt;42460,Table1[Leaving Date]&lt;42826),IF(Table1[Date of Last Assessment]="",Table1[Self-Care and Living Skills],Table1[Self-Care and Living Skills2]),""))</f>
        <v/>
      </c>
      <c r="GG140" s="44" t="str">
        <f>IF(Table1[Leaving Date]="","",IF(AND(Table1[Leaving Date]&gt;42460,Table1[Leaving Date]&lt;42826),IF(Table1[Date of Last Assessment]="",Table1[Managing Money and Personal Administration],Table1[Managing Money and Personal Administration2]),""))</f>
        <v/>
      </c>
      <c r="GH140" s="44" t="str">
        <f>IF(Table1[Leaving Date]="","",IF(AND(Table1[Leaving Date]&gt;42460,Table1[Leaving Date]&lt;42826),IF(Table1[Date of Last Assessment]="",Table1[Social Networks and Relationships],Table1[Social Networks and Relationships2]),""))</f>
        <v/>
      </c>
      <c r="GI140" s="44" t="str">
        <f>IF(Table1[Leaving Date]="","",IF(AND(Table1[Leaving Date]&gt;42460,Table1[Leaving Date]&lt;42826),IF(Table1[Date of Last Assessment]="",Table1[Drug and Alcohol Misuse],Table1[Drug and Alcohol Misuse2]),""))</f>
        <v/>
      </c>
      <c r="GJ140" s="44" t="str">
        <f>IF(Table1[Leaving Date]="","",IF(AND(Table1[Leaving Date]&gt;42460,Table1[Leaving Date]&lt;42826),IF(Table1[Date of Last Assessment]="",Table1[Physical Health],Table1[Physical Health2]),""))</f>
        <v/>
      </c>
      <c r="GK140" s="44" t="str">
        <f>IF(Table1[Leaving Date]="","",IF(AND(Table1[Leaving Date]&gt;42460,Table1[Leaving Date]&lt;42826),IF(Table1[Date of Last Assessment]="",Table1[Emotional and Mental Health],Table1[Emotional and Mental Health2]),""))</f>
        <v/>
      </c>
      <c r="GL140" s="44" t="str">
        <f>IF(Table1[Leaving Date]="","",IF(AND(Table1[Leaving Date]&gt;42460,Table1[Leaving Date]&lt;42826),IF(Table1[Date of Last Assessment]="",Table1[Meaningful Use of Time],Table1[Meaningful Use of Time2]),""))</f>
        <v/>
      </c>
      <c r="GM140" s="44" t="str">
        <f>IF(Table1[Leaving Date]="","",IF(AND(Table1[Leaving Date]&gt;42460,Table1[Leaving Date]&lt;42826),IF(Table1[Date of Last Assessment]="",Table1[Managing Tenancy and Accommodation],Table1[Managing Tenancy and Accommodation2]),""))</f>
        <v/>
      </c>
      <c r="GN140" s="44" t="str">
        <f>IF(Table1[Leaving Date]="","",IF(AND(Table1[Leaving Date]&gt;42460,Table1[Leaving Date]&lt;42826),IF(Table1[Date of Last Assessment]="",Table1[Offending],Table1[Offending2]),""))</f>
        <v/>
      </c>
    </row>
    <row r="141" spans="2:196" ht="20.100000000000001" customHeight="1" x14ac:dyDescent="0.2">
      <c r="B141" s="86">
        <f>+'Service Data'!$C$5:$C$5</f>
        <v>0</v>
      </c>
      <c r="C141" s="86"/>
      <c r="D141" s="86"/>
      <c r="E141" s="86"/>
      <c r="F141" s="86"/>
      <c r="G141" s="86"/>
      <c r="H141" s="6"/>
      <c r="I141" s="99" t="str">
        <f ca="1">IF(Table1[[#This Row],[Date of Birth]]="","",SUM(TODAY()-Table1[[#This Row],[Date of Birth]])/365)</f>
        <v/>
      </c>
      <c r="L141" s="86"/>
      <c r="M141" s="77"/>
      <c r="N141" s="86"/>
      <c r="O141" s="86"/>
      <c r="P141" s="91"/>
      <c r="Q141" s="86"/>
      <c r="R141" s="77"/>
      <c r="S141" s="77"/>
      <c r="T141" s="68"/>
      <c r="U141" s="68"/>
      <c r="V141" s="67"/>
      <c r="W141" s="67"/>
      <c r="X141" s="67"/>
      <c r="Y141" s="67"/>
      <c r="Z141" s="67"/>
      <c r="AA141" s="67"/>
      <c r="AB141" s="67"/>
      <c r="AC141" s="67"/>
      <c r="AD141" s="67"/>
      <c r="AE141" s="67"/>
      <c r="AF141" s="67"/>
      <c r="AG141" s="67"/>
      <c r="AH141" s="67"/>
      <c r="AI141" s="67"/>
      <c r="AJ141" s="67"/>
      <c r="AK141" s="67"/>
      <c r="AL141" s="67"/>
      <c r="AM141" s="67"/>
      <c r="AN141" s="77"/>
      <c r="AO141" s="76"/>
      <c r="AP141" s="77"/>
      <c r="AQ141" s="76"/>
      <c r="AR141" s="76"/>
      <c r="AS141" s="76"/>
      <c r="AT141" s="76"/>
      <c r="AU141" s="76"/>
      <c r="AV141" s="77"/>
      <c r="AW141" s="76"/>
      <c r="AX141" s="77"/>
      <c r="AY141" s="76"/>
      <c r="AZ141" s="76"/>
      <c r="BA141" s="76"/>
      <c r="BB141" s="76"/>
      <c r="BC141" s="76"/>
      <c r="BD141" s="77"/>
      <c r="BE141" s="76"/>
      <c r="BF141" s="77"/>
      <c r="BG141" s="76"/>
      <c r="BH141" s="76"/>
      <c r="BI141" s="76"/>
      <c r="BJ141" s="76"/>
      <c r="BK141" s="76"/>
      <c r="BL141" s="77"/>
      <c r="BM141" s="76"/>
      <c r="BN141" s="77"/>
      <c r="BO141" s="76"/>
      <c r="BP141" s="76"/>
      <c r="BQ141" s="76"/>
      <c r="BR141" s="76"/>
      <c r="BS141" s="76"/>
      <c r="BT141" s="77"/>
      <c r="BU141" s="76"/>
      <c r="BV141" s="77"/>
      <c r="BW141" s="76"/>
      <c r="BX141" s="76"/>
      <c r="BY141" s="76"/>
      <c r="BZ141" s="76"/>
      <c r="CA141" s="76"/>
      <c r="CB141" s="77"/>
      <c r="CC141" s="76"/>
      <c r="CD141" s="77"/>
      <c r="CE141" s="76"/>
      <c r="CF141" s="76"/>
      <c r="CG141" s="76"/>
      <c r="CH141" s="76"/>
      <c r="CI141" s="76"/>
      <c r="CJ141" s="77"/>
      <c r="CK141" s="76"/>
      <c r="CL141" s="77"/>
      <c r="CM141" s="76"/>
      <c r="CN141" s="76"/>
      <c r="CO141" s="76"/>
      <c r="CP141" s="76"/>
      <c r="CQ141" s="76"/>
      <c r="CR141" s="78" t="str">
        <f t="shared" si="47"/>
        <v/>
      </c>
      <c r="CS141" s="79" t="str">
        <f t="shared" si="48"/>
        <v/>
      </c>
      <c r="CT141" s="79" t="str">
        <f t="shared" si="49"/>
        <v/>
      </c>
      <c r="CU141" s="79" t="str">
        <f t="shared" si="50"/>
        <v/>
      </c>
      <c r="CV141" s="79" t="str">
        <f t="shared" si="51"/>
        <v/>
      </c>
      <c r="CW141" s="79" t="str">
        <f t="shared" si="52"/>
        <v/>
      </c>
      <c r="CX141" s="79" t="str">
        <f t="shared" si="53"/>
        <v/>
      </c>
      <c r="CY141" s="79" t="str">
        <f t="shared" si="54"/>
        <v/>
      </c>
      <c r="CZ141" s="79" t="str">
        <f t="shared" si="55"/>
        <v/>
      </c>
      <c r="DA141" s="79" t="str">
        <f t="shared" si="56"/>
        <v/>
      </c>
      <c r="DB141" s="79" t="str">
        <f t="shared" si="57"/>
        <v/>
      </c>
      <c r="DC141" s="79" t="str">
        <f t="shared" si="58"/>
        <v/>
      </c>
      <c r="DD141" s="79" t="str">
        <f t="shared" si="59"/>
        <v/>
      </c>
      <c r="DE141" s="79" t="str">
        <f t="shared" si="60"/>
        <v/>
      </c>
      <c r="DF141" s="79" t="str">
        <f t="shared" si="61"/>
        <v/>
      </c>
      <c r="DG141" s="79" t="str">
        <f t="shared" si="62"/>
        <v/>
      </c>
      <c r="DH141" s="76"/>
      <c r="DI141" s="78"/>
      <c r="DJ141" s="76"/>
      <c r="DK141" s="77"/>
      <c r="DL141" s="77"/>
      <c r="DM141" s="77"/>
      <c r="DN141" s="80"/>
      <c r="DO141" s="80"/>
      <c r="DP141" s="92" t="str">
        <f>IF(Table1[Start Date]="","",IF(Table1[Start Date]&gt;42185,"",IF(AND(Table1[Leaving Date]&gt;1,Table1[Leaving Date]&lt;42095),"",1)))</f>
        <v/>
      </c>
      <c r="DQ141" s="92" t="str">
        <f>IF(Table1[Start Date]="","",IF(Table1[Start Date]&gt;42277,"",IF(AND(Table1[Leaving Date]&gt;1,Table1[Leaving Date]&lt;42186),"",1)))</f>
        <v/>
      </c>
      <c r="DR141" s="92" t="str">
        <f>IF(Table1[Start Date]="","",IF(Table1[Start Date]&gt;42369,"",IF(AND(Table1[Leaving Date]&gt;1,Table1[Leaving Date]&lt;42278),"",1)))</f>
        <v/>
      </c>
      <c r="DS141" s="92" t="str">
        <f>IF(Table1[Start Date]="","",IF(Table1[Start Date]&gt;42460,"",IF(AND(Table1[Leaving Date]&gt;1,Table1[Leaving Date]&lt;42370),"",1)))</f>
        <v/>
      </c>
      <c r="DT141" s="92" t="str">
        <f>IF(Table1[Start Date]="","",IF(Table1[Start Date]&gt;42551,"",IF(AND(Table1[Leaving Date]&gt;1,Table1[Leaving Date]&lt;42461),"",1)))</f>
        <v/>
      </c>
      <c r="DU141" s="92" t="str">
        <f>IF(Table1[Start Date]="","",IF(Table1[Start Date]&gt;42643,"",IF(AND(Table1[Leaving Date]&gt;1,Table1[Leaving Date]&lt;42552),"",1)))</f>
        <v/>
      </c>
      <c r="DV141" s="92" t="str">
        <f>IF(Table1[Start Date]="","",IF(Table1[Start Date]&gt;42735,"",IF(AND(Table1[Leaving Date]&gt;1,Table1[Leaving Date]&lt;42644),"",1)))</f>
        <v/>
      </c>
      <c r="DW141" s="92" t="str">
        <f>IF(Table1[Start Date]="","",IF(Table1[Start Date]&gt;42825,"",IF(AND(Table1[Leaving Date]&gt;1,Table1[Leaving Date]&lt;42736),"",1)))</f>
        <v/>
      </c>
      <c r="DX141"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141" s="44" t="e">
        <f>VLOOKUP(Table1[Referral Source],Lists!$G$2:$H$20,2,FALSE)</f>
        <v>#N/A</v>
      </c>
      <c r="DZ141" s="93" t="e">
        <f>SUM(Table1[Data Referral Quarter]+Table1[Data Referral Source])</f>
        <v>#N/A</v>
      </c>
      <c r="EA141" s="44" t="b">
        <f>IF(Table1[Referral Decision]="Accepted",100,IF(Table1[Referral Decision]="Rejected by Provider",200,IF(Table1[Referral Decision]="Rejected by Applicant",300)))</f>
        <v>0</v>
      </c>
      <c r="EB141" s="44">
        <f>SUM(Table1[Data Referral Quarter]+Table1[Data Referral Decision])</f>
        <v>0</v>
      </c>
      <c r="EC141" s="44" t="b">
        <f>IF(Table1[Start Date]&gt;42735,8000,IF(Table1[Start Date]&gt;42643,7000,IF(Table1[Start Date]&gt;42551,6000,IF(Table1[Start Date]&gt;42460,5000,IF(Table1[Start Date]&gt;42369,4000,IF(Table1[Start Date]&gt;42277,3000,IF(Table1[Start Date]&gt;42185,2000,IF(Table1[Start Date]&gt;42094,1000))))))))</f>
        <v>0</v>
      </c>
      <c r="ED141" s="44" t="str">
        <f>IF(Table1[Start Date]="","",IF(Table1[Current Local Authority]="Swindon",1,"2"))</f>
        <v/>
      </c>
      <c r="EE141" s="44" t="e">
        <f>SUM(Table1[Data Start Date]+Table1[Data Local Authority])</f>
        <v>#VALUE!</v>
      </c>
      <c r="EF141" s="44">
        <f>IF(Table1[Registered with GP]="Yes",1,0)</f>
        <v>0</v>
      </c>
      <c r="EG141" s="44">
        <f>SUM(Table1[Data Start Date]+Table1[Data GP Start])</f>
        <v>0</v>
      </c>
      <c r="EH141" s="44" t="str">
        <f>IF(Table1[EET]="NEET",1,IF(Table1[EET]="Education",2,IF(Table1[EET]="Employment",2,IF(Table1[EET]="Training",2,IF(Table1[EET]="Retired",3,"")))))</f>
        <v/>
      </c>
      <c r="EI141" s="44" t="e">
        <f>Table1[Data Start Date]+Table1[Data EET Start]</f>
        <v>#VALUE!</v>
      </c>
      <c r="EJ141" s="44" t="b">
        <f>IF(Table1[Leaving Date]&gt;42735,8000,IF(Table1[Leaving Date]&gt;42643,7000,IF(Table1[Leaving Date]&gt;42551,6000,IF(Table1[Leaving Date]&gt;42460,5000,IF(Table1[Leaving Date]&gt;42369,4000,IF(Table1[Leaving Date]&gt;42277,3000,IF(Table1[Leaving Date]&gt;42185,2000,IF(Table1[Leaving Date]&gt;42094,1000))))))))</f>
        <v>0</v>
      </c>
      <c r="EK141" s="44" t="e">
        <f>VLOOKUP(Table1[Reason for Leaving],Lists!$T$2:$U$15,2,FALSE)</f>
        <v>#N/A</v>
      </c>
      <c r="EL141" s="44" t="e">
        <f>SUM(Table1[Data Leavers Date]+Table1[Data Move On])</f>
        <v>#N/A</v>
      </c>
      <c r="EM141" s="44" t="b">
        <f>IF(Table1[Registered with GP2]="Yes",1,IF(Table1[Registered with GP2]="No",0,IF(Table1[Registered with GP]="Yes",1,IF(Table1[Registered with GP]="No",0))))</f>
        <v>0</v>
      </c>
      <c r="EN141" s="44">
        <f>SUM(Table1[Data Leavers Date]+Table1[Data GP End])</f>
        <v>0</v>
      </c>
      <c r="EO141" s="44" t="str">
        <f>IF(Table1[EET2]="NEET",1,IF(Table1[EET2]="Employment",2,IF(Table1[EET2]="Education",2,IF(Table1[EET2]="Training",2,IF(Table1[EET2]="Retired",3,IF(Table1[EET]="NEET",1,IF(Table1[EET]="Employment",2,IF(Table1[EET]="Education",2,IF(Table1[EET]="Training",2,IF(Table1[EET]="Retired",3,""))))))))))</f>
        <v/>
      </c>
      <c r="EP141" s="44" t="e">
        <f>+Table1[[#This Row],[Data Leavers Date]]+Table1[[#This Row],[Data EET End]]</f>
        <v>#VALUE!</v>
      </c>
      <c r="EQ141" s="44">
        <f>IF(Table1[Exit Form Received]="Yes",1,0)</f>
        <v>0</v>
      </c>
      <c r="ER141" s="44">
        <f>+Table1[[#This Row],[Data Leavers Date]]+Table1[[#This Row],[Data Exit Forms]]</f>
        <v>0</v>
      </c>
      <c r="ES141" s="44" t="str">
        <f>IF(Table1[Data Leavers Date]=1000,SUM(Table1[Leaving Date]-Table1[Start Date]),"")</f>
        <v/>
      </c>
      <c r="ET141" s="44" t="str">
        <f>IF(Table1[Data Leavers Date]=2000,SUM(Table1[Leaving Date]-Table1[Start Date]),"")</f>
        <v/>
      </c>
      <c r="EU141" s="44" t="str">
        <f>IF(Table1[Data Leavers Date]=3000,SUM(Table1[Leaving Date]-Table1[Start Date]),"")</f>
        <v/>
      </c>
      <c r="EV141" s="44" t="str">
        <f>IF(Table1[Data Leavers Date]=4000,SUM(Table1[Leaving Date]-Table1[Start Date]),"")</f>
        <v/>
      </c>
      <c r="EW141" s="44" t="str">
        <f>IF(Table1[Data Leavers Date]=5000,SUM(Table1[Leaving Date]-Table1[Start Date]),"")</f>
        <v/>
      </c>
      <c r="EX141" s="44" t="str">
        <f>IF(Table1[Data Leavers Date]=6000,SUM(Table1[Leaving Date]-Table1[Start Date]),"")</f>
        <v/>
      </c>
      <c r="EY141" s="44" t="str">
        <f>IF(Table1[Data Leavers Date]=7000,SUM(Table1[Leaving Date]-Table1[Start Date]),"")</f>
        <v/>
      </c>
      <c r="EZ141" s="44" t="str">
        <f>IF(Table1[Data Leavers Date]=8000,SUM(Table1[Leaving Date]-Table1[Start Date]),"")</f>
        <v/>
      </c>
      <c r="FA141" s="44" t="str">
        <f>IF(Table1[Date of Initial Assessment]="","",IF(AND(Table1[Start Date]&gt;42094,Table1[Start Date]&lt;42461),Table1[Motivation and Taking Responsibility],""))</f>
        <v/>
      </c>
      <c r="FB141" s="44" t="str">
        <f>IF(Table1[Date of Initial Assessment]="","",IF(AND(Table1[Start Date]&gt;42094,Table1[Start Date]&lt;42461),Table1[Self-Care and Living Skills],""))</f>
        <v/>
      </c>
      <c r="FC141" s="44" t="str">
        <f>IF(Table1[Date of Initial Assessment]="","",IF(AND(Table1[Start Date]&gt;42094,Table1[Start Date]&lt;42461),Table1[Managing Money and Personal Administration],""))</f>
        <v/>
      </c>
      <c r="FD141" s="44" t="str">
        <f>IF(Table1[Date of Initial Assessment]="","",IF(AND(Table1[Start Date]&gt;42094,Table1[Start Date]&lt;42461),Table1[Social Networks and Relationships],""))</f>
        <v/>
      </c>
      <c r="FE141" s="44" t="str">
        <f>IF(Table1[Date of Initial Assessment]="","",IF(AND(Table1[Start Date]&gt;42094,Table1[Start Date]&lt;42461),Table1[Drug and Alcohol Misuse],""))</f>
        <v/>
      </c>
      <c r="FF141" s="44" t="str">
        <f>IF(Table1[Date of Initial Assessment]="","",IF(AND(Table1[Start Date]&gt;42094,Table1[Start Date]&lt;42461),Table1[Physical Health],""))</f>
        <v/>
      </c>
      <c r="FG141" s="44" t="str">
        <f>IF(Table1[Date of Initial Assessment]="","",IF(AND(Table1[Start Date]&gt;42094,Table1[Start Date]&lt;42461),Table1[Emotional and Mental Health],""))</f>
        <v/>
      </c>
      <c r="FH141" s="44" t="str">
        <f>IF(Table1[Date of Initial Assessment]="","",IF(AND(Table1[Start Date]&gt;42094,Table1[Start Date]&lt;42461),Table1[Meaningful Use of Time],""))</f>
        <v/>
      </c>
      <c r="FI141" s="44" t="str">
        <f>IF(Table1[Date of Initial Assessment]="","",IF(AND(Table1[Start Date]&gt;42094,Table1[Start Date]&lt;42461),Table1[Managing Tenancy and Accommodation],""))</f>
        <v/>
      </c>
      <c r="FJ141" s="44" t="str">
        <f>IF(Table1[Date of Initial Assessment]="","",IF(AND(Table1[Start Date]&gt;42094,Table1[Start Date]&lt;42461),Table1[Offending],""))</f>
        <v/>
      </c>
      <c r="FK141" s="44" t="str">
        <f>IF(Table1[Leaving Date]="","",IF(Table1[Date of Initial Assessment]="","",IF(AND(Table1[Leaving Date]&gt;42094,Table1[Leaving Date]&lt;42461),IF(Table1[Date of Last Assessment]="",Table1[Motivation and Taking Responsibility],Table1[Motivation and Taking Responsibility2]),"")))</f>
        <v/>
      </c>
      <c r="FL141" s="44" t="str">
        <f>IF(Table1[Leaving Date]="","",IF(Table1[Date of Initial Assessment]="","",IF(AND(Table1[Leaving Date]&gt;42094,Table1[Leaving Date]&lt;42461),IF(Table1[Date of Last Assessment]="",Table1[Self-Care and Living Skills],Table1[Self-Care and Living Skills2]),"")))</f>
        <v/>
      </c>
      <c r="FM141" s="44" t="str">
        <f>IF(Table1[Leaving Date]="","",IF(Table1[Date of Initial Assessment]="","",IF(AND(Table1[Leaving Date]&gt;42094,Table1[Leaving Date]&lt;42461),IF(Table1[Date of Last Assessment]="",Table1[Managing Money and Personal Administration],Table1[Managing Money and Personal Administration2]),"")))</f>
        <v/>
      </c>
      <c r="FN141" s="44" t="str">
        <f>IF(Table1[Leaving Date]="","",IF(Table1[Date of Initial Assessment]="","",IF(AND(Table1[Leaving Date]&gt;42094,Table1[Leaving Date]&lt;42461),IF(Table1[Date of Last Assessment]="",Table1[Social Networks and Relationships],Table1[Social Networks and Relationships2]),"")))</f>
        <v/>
      </c>
      <c r="FO141" s="44" t="str">
        <f>IF(Table1[Leaving Date]="","",IF(Table1[Date of Initial Assessment]="","",IF(AND(Table1[Leaving Date]&gt;42094,Table1[Leaving Date]&lt;42461),IF(Table1[Date of Last Assessment]="",Table1[Drug and Alcohol Misuse],Table1[Drug and Alcohol Misuse2]),"")))</f>
        <v/>
      </c>
      <c r="FP141" s="44" t="str">
        <f>IF(Table1[Leaving Date]="","",IF(Table1[Date of Initial Assessment]="","",IF(AND(Table1[Leaving Date]&gt;42094,Table1[Leaving Date]&lt;42461),IF(Table1[Date of Last Assessment]="",Table1[Physical Health],Table1[Physical Health2]),"")))</f>
        <v/>
      </c>
      <c r="FQ141" s="44" t="str">
        <f>IF(Table1[Leaving Date]="","",IF(Table1[Date of Initial Assessment]="","",IF(AND(Table1[Leaving Date]&gt;42094,Table1[Leaving Date]&lt;42461),IF(Table1[Date of Last Assessment]="",Table1[Emotional and Mental Health],Table1[Emotional and Mental Health2]),"")))</f>
        <v/>
      </c>
      <c r="FR141" s="44" t="str">
        <f>IF(Table1[Leaving Date]="","",IF(Table1[Date of Initial Assessment]="","",IF(AND(Table1[Leaving Date]&gt;42094,Table1[Leaving Date]&lt;42461),IF(Table1[Date of Last Assessment]="",Table1[Meaningful Use of Time],Table1[Meaningful Use of Time2]),"")))</f>
        <v/>
      </c>
      <c r="FS141" s="44" t="str">
        <f>IF(Table1[Leaving Date]="","",IF(Table1[Date of Initial Assessment]="","",IF(AND(Table1[Leaving Date]&gt;42094,Table1[Leaving Date]&lt;42461),IF(Table1[Date of Last Assessment]="",Table1[Managing Tenancy and Accommodation],Table1[Managing Tenancy and Accommodation2]),"")))</f>
        <v/>
      </c>
      <c r="FT141" s="44" t="str">
        <f>IF(Table1[Leaving Date]="","",IF(Table1[Date of Initial Assessment]="","",IF(AND(Table1[Leaving Date]&gt;42094,Table1[Leaving Date]&lt;42461),IF(Table1[Date of Last Assessment]="",Table1[Offending],Table1[Offending2]),"")))</f>
        <v/>
      </c>
      <c r="FU141" s="44" t="str">
        <f>IF(Table1[Date of Initial Assessment]="","",IF(AND(Table1[Start Date]&gt;42460,Table1[Start Date]&lt;42826),Table1[Motivation and Taking Responsibility],""))</f>
        <v/>
      </c>
      <c r="FV141" s="44" t="str">
        <f>IF(Table1[Date of Initial Assessment]="","",IF(AND(Table1[Start Date]&gt;42460,Table1[Start Date]&lt;42826),Table1[Self-Care and Living Skills],""))</f>
        <v/>
      </c>
      <c r="FW141" s="44" t="str">
        <f>IF(Table1[Date of Initial Assessment]="","",IF(AND(Table1[Start Date]&gt;42460,Table1[Start Date]&lt;42826),Table1[Managing Money and Personal Administration],""))</f>
        <v/>
      </c>
      <c r="FX141" s="44" t="str">
        <f>IF(Table1[Date of Initial Assessment]="","",IF(AND(Table1[Start Date]&gt;42460,Table1[Start Date]&lt;42826),Table1[Social Networks and Relationships],""))</f>
        <v/>
      </c>
      <c r="FY141" s="44" t="str">
        <f>IF(Table1[Date of Initial Assessment]="","",IF(AND(Table1[Start Date]&gt;42460,Table1[Start Date]&lt;42826),Table1[Drug and Alcohol Misuse],""))</f>
        <v/>
      </c>
      <c r="FZ141" s="44" t="str">
        <f>IF(Table1[Date of Initial Assessment]="","",IF(AND(Table1[Start Date]&gt;42460,Table1[Start Date]&lt;42826),Table1[Physical Health],""))</f>
        <v/>
      </c>
      <c r="GA141" s="44" t="str">
        <f>IF(Table1[Date of Initial Assessment]="","",IF(AND(Table1[Start Date]&gt;42460,Table1[Start Date]&lt;42826),Table1[Emotional and Mental Health],""))</f>
        <v/>
      </c>
      <c r="GB141" s="44" t="str">
        <f>IF(Table1[Date of Initial Assessment]="","",IF(AND(Table1[Start Date]&gt;42460,Table1[Start Date]&lt;42826),Table1[Meaningful Use of Time],""))</f>
        <v/>
      </c>
      <c r="GC141" s="44" t="str">
        <f>IF(Table1[Date of Initial Assessment]="","",IF(AND(Table1[Start Date]&gt;42460,Table1[Start Date]&lt;42826),Table1[Managing Tenancy and Accommodation],""))</f>
        <v/>
      </c>
      <c r="GD141" s="44" t="str">
        <f>IF(Table1[Date of Initial Assessment]="","",IF(AND(Table1[Start Date]&gt;42460,Table1[Start Date]&lt;42826),Table1[Offending],""))</f>
        <v/>
      </c>
      <c r="GE141" s="44" t="str">
        <f>IF(Table1[Leaving Date]="","",IF(AND(Table1[Leaving Date]&gt;42460,Table1[Leaving Date]&lt;42826),IF(Table1[Date of Last Assessment]="",Table1[Motivation and Taking Responsibility],Table1[Motivation and Taking Responsibility2]),""))</f>
        <v/>
      </c>
      <c r="GF141" s="44" t="str">
        <f>IF(Table1[Leaving Date]="","",IF(AND(Table1[Leaving Date]&gt;42460,Table1[Leaving Date]&lt;42826),IF(Table1[Date of Last Assessment]="",Table1[Self-Care and Living Skills],Table1[Self-Care and Living Skills2]),""))</f>
        <v/>
      </c>
      <c r="GG141" s="44" t="str">
        <f>IF(Table1[Leaving Date]="","",IF(AND(Table1[Leaving Date]&gt;42460,Table1[Leaving Date]&lt;42826),IF(Table1[Date of Last Assessment]="",Table1[Managing Money and Personal Administration],Table1[Managing Money and Personal Administration2]),""))</f>
        <v/>
      </c>
      <c r="GH141" s="44" t="str">
        <f>IF(Table1[Leaving Date]="","",IF(AND(Table1[Leaving Date]&gt;42460,Table1[Leaving Date]&lt;42826),IF(Table1[Date of Last Assessment]="",Table1[Social Networks and Relationships],Table1[Social Networks and Relationships2]),""))</f>
        <v/>
      </c>
      <c r="GI141" s="44" t="str">
        <f>IF(Table1[Leaving Date]="","",IF(AND(Table1[Leaving Date]&gt;42460,Table1[Leaving Date]&lt;42826),IF(Table1[Date of Last Assessment]="",Table1[Drug and Alcohol Misuse],Table1[Drug and Alcohol Misuse2]),""))</f>
        <v/>
      </c>
      <c r="GJ141" s="44" t="str">
        <f>IF(Table1[Leaving Date]="","",IF(AND(Table1[Leaving Date]&gt;42460,Table1[Leaving Date]&lt;42826),IF(Table1[Date of Last Assessment]="",Table1[Physical Health],Table1[Physical Health2]),""))</f>
        <v/>
      </c>
      <c r="GK141" s="44" t="str">
        <f>IF(Table1[Leaving Date]="","",IF(AND(Table1[Leaving Date]&gt;42460,Table1[Leaving Date]&lt;42826),IF(Table1[Date of Last Assessment]="",Table1[Emotional and Mental Health],Table1[Emotional and Mental Health2]),""))</f>
        <v/>
      </c>
      <c r="GL141" s="44" t="str">
        <f>IF(Table1[Leaving Date]="","",IF(AND(Table1[Leaving Date]&gt;42460,Table1[Leaving Date]&lt;42826),IF(Table1[Date of Last Assessment]="",Table1[Meaningful Use of Time],Table1[Meaningful Use of Time2]),""))</f>
        <v/>
      </c>
      <c r="GM141" s="44" t="str">
        <f>IF(Table1[Leaving Date]="","",IF(AND(Table1[Leaving Date]&gt;42460,Table1[Leaving Date]&lt;42826),IF(Table1[Date of Last Assessment]="",Table1[Managing Tenancy and Accommodation],Table1[Managing Tenancy and Accommodation2]),""))</f>
        <v/>
      </c>
      <c r="GN141" s="44" t="str">
        <f>IF(Table1[Leaving Date]="","",IF(AND(Table1[Leaving Date]&gt;42460,Table1[Leaving Date]&lt;42826),IF(Table1[Date of Last Assessment]="",Table1[Offending],Table1[Offending2]),""))</f>
        <v/>
      </c>
    </row>
    <row r="142" spans="2:196" ht="20.100000000000001" customHeight="1" x14ac:dyDescent="0.2">
      <c r="B142" s="86">
        <f>+'Service Data'!$C$5:$C$5</f>
        <v>0</v>
      </c>
      <c r="C142" s="86"/>
      <c r="D142" s="86"/>
      <c r="E142" s="86"/>
      <c r="F142" s="86"/>
      <c r="G142" s="86"/>
      <c r="H142" s="6"/>
      <c r="I142" s="99" t="str">
        <f ca="1">IF(Table1[[#This Row],[Date of Birth]]="","",SUM(TODAY()-Table1[[#This Row],[Date of Birth]])/365)</f>
        <v/>
      </c>
      <c r="L142" s="86"/>
      <c r="M142" s="77"/>
      <c r="N142" s="86"/>
      <c r="O142" s="86"/>
      <c r="P142" s="91"/>
      <c r="Q142" s="86"/>
      <c r="R142" s="77"/>
      <c r="S142" s="77"/>
      <c r="T142" s="68"/>
      <c r="U142" s="68"/>
      <c r="V142" s="67"/>
      <c r="W142" s="67"/>
      <c r="X142" s="67"/>
      <c r="Y142" s="67"/>
      <c r="Z142" s="67"/>
      <c r="AA142" s="67"/>
      <c r="AB142" s="67"/>
      <c r="AC142" s="67"/>
      <c r="AD142" s="67"/>
      <c r="AE142" s="67"/>
      <c r="AF142" s="67"/>
      <c r="AG142" s="67"/>
      <c r="AH142" s="67"/>
      <c r="AI142" s="67"/>
      <c r="AJ142" s="67"/>
      <c r="AK142" s="67"/>
      <c r="AL142" s="67"/>
      <c r="AM142" s="67"/>
      <c r="AN142" s="77"/>
      <c r="AO142" s="76"/>
      <c r="AP142" s="77"/>
      <c r="AQ142" s="76"/>
      <c r="AR142" s="76"/>
      <c r="AS142" s="76"/>
      <c r="AT142" s="76"/>
      <c r="AU142" s="76"/>
      <c r="AV142" s="77"/>
      <c r="AW142" s="76"/>
      <c r="AX142" s="77"/>
      <c r="AY142" s="76"/>
      <c r="AZ142" s="76"/>
      <c r="BA142" s="76"/>
      <c r="BB142" s="76"/>
      <c r="BC142" s="76"/>
      <c r="BD142" s="77"/>
      <c r="BE142" s="76"/>
      <c r="BF142" s="77"/>
      <c r="BG142" s="76"/>
      <c r="BH142" s="76"/>
      <c r="BI142" s="76"/>
      <c r="BJ142" s="76"/>
      <c r="BK142" s="76"/>
      <c r="BL142" s="77"/>
      <c r="BM142" s="76"/>
      <c r="BN142" s="77"/>
      <c r="BO142" s="76"/>
      <c r="BP142" s="76"/>
      <c r="BQ142" s="76"/>
      <c r="BR142" s="76"/>
      <c r="BS142" s="76"/>
      <c r="BT142" s="77"/>
      <c r="BU142" s="76"/>
      <c r="BV142" s="77"/>
      <c r="BW142" s="76"/>
      <c r="BX142" s="76"/>
      <c r="BY142" s="76"/>
      <c r="BZ142" s="76"/>
      <c r="CA142" s="76"/>
      <c r="CB142" s="77"/>
      <c r="CC142" s="76"/>
      <c r="CD142" s="77"/>
      <c r="CE142" s="76"/>
      <c r="CF142" s="76"/>
      <c r="CG142" s="76"/>
      <c r="CH142" s="76"/>
      <c r="CI142" s="76"/>
      <c r="CJ142" s="77"/>
      <c r="CK142" s="76"/>
      <c r="CL142" s="77"/>
      <c r="CM142" s="76"/>
      <c r="CN142" s="76"/>
      <c r="CO142" s="76"/>
      <c r="CP142" s="76"/>
      <c r="CQ142" s="76"/>
      <c r="CR142" s="78" t="str">
        <f t="shared" si="47"/>
        <v/>
      </c>
      <c r="CS142" s="79" t="str">
        <f t="shared" si="48"/>
        <v/>
      </c>
      <c r="CT142" s="79" t="str">
        <f t="shared" si="49"/>
        <v/>
      </c>
      <c r="CU142" s="79" t="str">
        <f t="shared" si="50"/>
        <v/>
      </c>
      <c r="CV142" s="79" t="str">
        <f t="shared" si="51"/>
        <v/>
      </c>
      <c r="CW142" s="79" t="str">
        <f t="shared" si="52"/>
        <v/>
      </c>
      <c r="CX142" s="79" t="str">
        <f t="shared" si="53"/>
        <v/>
      </c>
      <c r="CY142" s="79" t="str">
        <f t="shared" si="54"/>
        <v/>
      </c>
      <c r="CZ142" s="79" t="str">
        <f t="shared" si="55"/>
        <v/>
      </c>
      <c r="DA142" s="79" t="str">
        <f t="shared" si="56"/>
        <v/>
      </c>
      <c r="DB142" s="79" t="str">
        <f t="shared" si="57"/>
        <v/>
      </c>
      <c r="DC142" s="79" t="str">
        <f t="shared" si="58"/>
        <v/>
      </c>
      <c r="DD142" s="79" t="str">
        <f t="shared" si="59"/>
        <v/>
      </c>
      <c r="DE142" s="79" t="str">
        <f t="shared" si="60"/>
        <v/>
      </c>
      <c r="DF142" s="79" t="str">
        <f t="shared" si="61"/>
        <v/>
      </c>
      <c r="DG142" s="79" t="str">
        <f t="shared" si="62"/>
        <v/>
      </c>
      <c r="DH142" s="76"/>
      <c r="DI142" s="78"/>
      <c r="DJ142" s="76"/>
      <c r="DK142" s="77"/>
      <c r="DL142" s="77"/>
      <c r="DM142" s="77"/>
      <c r="DN142" s="80"/>
      <c r="DO142" s="80"/>
      <c r="DP142" s="92" t="str">
        <f>IF(Table1[Start Date]="","",IF(Table1[Start Date]&gt;42185,"",IF(AND(Table1[Leaving Date]&gt;1,Table1[Leaving Date]&lt;42095),"",1)))</f>
        <v/>
      </c>
      <c r="DQ142" s="92" t="str">
        <f>IF(Table1[Start Date]="","",IF(Table1[Start Date]&gt;42277,"",IF(AND(Table1[Leaving Date]&gt;1,Table1[Leaving Date]&lt;42186),"",1)))</f>
        <v/>
      </c>
      <c r="DR142" s="92" t="str">
        <f>IF(Table1[Start Date]="","",IF(Table1[Start Date]&gt;42369,"",IF(AND(Table1[Leaving Date]&gt;1,Table1[Leaving Date]&lt;42278),"",1)))</f>
        <v/>
      </c>
      <c r="DS142" s="92" t="str">
        <f>IF(Table1[Start Date]="","",IF(Table1[Start Date]&gt;42460,"",IF(AND(Table1[Leaving Date]&gt;1,Table1[Leaving Date]&lt;42370),"",1)))</f>
        <v/>
      </c>
      <c r="DT142" s="92" t="str">
        <f>IF(Table1[Start Date]="","",IF(Table1[Start Date]&gt;42551,"",IF(AND(Table1[Leaving Date]&gt;1,Table1[Leaving Date]&lt;42461),"",1)))</f>
        <v/>
      </c>
      <c r="DU142" s="92" t="str">
        <f>IF(Table1[Start Date]="","",IF(Table1[Start Date]&gt;42643,"",IF(AND(Table1[Leaving Date]&gt;1,Table1[Leaving Date]&lt;42552),"",1)))</f>
        <v/>
      </c>
      <c r="DV142" s="92" t="str">
        <f>IF(Table1[Start Date]="","",IF(Table1[Start Date]&gt;42735,"",IF(AND(Table1[Leaving Date]&gt;1,Table1[Leaving Date]&lt;42644),"",1)))</f>
        <v/>
      </c>
      <c r="DW142" s="92" t="str">
        <f>IF(Table1[Start Date]="","",IF(Table1[Start Date]&gt;42825,"",IF(AND(Table1[Leaving Date]&gt;1,Table1[Leaving Date]&lt;42736),"",1)))</f>
        <v/>
      </c>
      <c r="DX142"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142" s="44" t="e">
        <f>VLOOKUP(Table1[Referral Source],Lists!$G$2:$H$20,2,FALSE)</f>
        <v>#N/A</v>
      </c>
      <c r="DZ142" s="93" t="e">
        <f>SUM(Table1[Data Referral Quarter]+Table1[Data Referral Source])</f>
        <v>#N/A</v>
      </c>
      <c r="EA142" s="44" t="b">
        <f>IF(Table1[Referral Decision]="Accepted",100,IF(Table1[Referral Decision]="Rejected by Provider",200,IF(Table1[Referral Decision]="Rejected by Applicant",300)))</f>
        <v>0</v>
      </c>
      <c r="EB142" s="44">
        <f>SUM(Table1[Data Referral Quarter]+Table1[Data Referral Decision])</f>
        <v>0</v>
      </c>
      <c r="EC142" s="44" t="b">
        <f>IF(Table1[Start Date]&gt;42735,8000,IF(Table1[Start Date]&gt;42643,7000,IF(Table1[Start Date]&gt;42551,6000,IF(Table1[Start Date]&gt;42460,5000,IF(Table1[Start Date]&gt;42369,4000,IF(Table1[Start Date]&gt;42277,3000,IF(Table1[Start Date]&gt;42185,2000,IF(Table1[Start Date]&gt;42094,1000))))))))</f>
        <v>0</v>
      </c>
      <c r="ED142" s="44" t="str">
        <f>IF(Table1[Start Date]="","",IF(Table1[Current Local Authority]="Swindon",1,"2"))</f>
        <v/>
      </c>
      <c r="EE142" s="44" t="e">
        <f>SUM(Table1[Data Start Date]+Table1[Data Local Authority])</f>
        <v>#VALUE!</v>
      </c>
      <c r="EF142" s="44">
        <f>IF(Table1[Registered with GP]="Yes",1,0)</f>
        <v>0</v>
      </c>
      <c r="EG142" s="44">
        <f>SUM(Table1[Data Start Date]+Table1[Data GP Start])</f>
        <v>0</v>
      </c>
      <c r="EH142" s="44" t="str">
        <f>IF(Table1[EET]="NEET",1,IF(Table1[EET]="Education",2,IF(Table1[EET]="Employment",2,IF(Table1[EET]="Training",2,IF(Table1[EET]="Retired",3,"")))))</f>
        <v/>
      </c>
      <c r="EI142" s="44" t="e">
        <f>Table1[Data Start Date]+Table1[Data EET Start]</f>
        <v>#VALUE!</v>
      </c>
      <c r="EJ142" s="44" t="b">
        <f>IF(Table1[Leaving Date]&gt;42735,8000,IF(Table1[Leaving Date]&gt;42643,7000,IF(Table1[Leaving Date]&gt;42551,6000,IF(Table1[Leaving Date]&gt;42460,5000,IF(Table1[Leaving Date]&gt;42369,4000,IF(Table1[Leaving Date]&gt;42277,3000,IF(Table1[Leaving Date]&gt;42185,2000,IF(Table1[Leaving Date]&gt;42094,1000))))))))</f>
        <v>0</v>
      </c>
      <c r="EK142" s="44" t="e">
        <f>VLOOKUP(Table1[Reason for Leaving],Lists!$T$2:$U$15,2,FALSE)</f>
        <v>#N/A</v>
      </c>
      <c r="EL142" s="44" t="e">
        <f>SUM(Table1[Data Leavers Date]+Table1[Data Move On])</f>
        <v>#N/A</v>
      </c>
      <c r="EM142" s="44" t="b">
        <f>IF(Table1[Registered with GP2]="Yes",1,IF(Table1[Registered with GP2]="No",0,IF(Table1[Registered with GP]="Yes",1,IF(Table1[Registered with GP]="No",0))))</f>
        <v>0</v>
      </c>
      <c r="EN142" s="44">
        <f>SUM(Table1[Data Leavers Date]+Table1[Data GP End])</f>
        <v>0</v>
      </c>
      <c r="EO142" s="44" t="str">
        <f>IF(Table1[EET2]="NEET",1,IF(Table1[EET2]="Employment",2,IF(Table1[EET2]="Education",2,IF(Table1[EET2]="Training",2,IF(Table1[EET2]="Retired",3,IF(Table1[EET]="NEET",1,IF(Table1[EET]="Employment",2,IF(Table1[EET]="Education",2,IF(Table1[EET]="Training",2,IF(Table1[EET]="Retired",3,""))))))))))</f>
        <v/>
      </c>
      <c r="EP142" s="44" t="e">
        <f>+Table1[[#This Row],[Data Leavers Date]]+Table1[[#This Row],[Data EET End]]</f>
        <v>#VALUE!</v>
      </c>
      <c r="EQ142" s="44">
        <f>IF(Table1[Exit Form Received]="Yes",1,0)</f>
        <v>0</v>
      </c>
      <c r="ER142" s="44">
        <f>+Table1[[#This Row],[Data Leavers Date]]+Table1[[#This Row],[Data Exit Forms]]</f>
        <v>0</v>
      </c>
      <c r="ES142" s="44" t="str">
        <f>IF(Table1[Data Leavers Date]=1000,SUM(Table1[Leaving Date]-Table1[Start Date]),"")</f>
        <v/>
      </c>
      <c r="ET142" s="44" t="str">
        <f>IF(Table1[Data Leavers Date]=2000,SUM(Table1[Leaving Date]-Table1[Start Date]),"")</f>
        <v/>
      </c>
      <c r="EU142" s="44" t="str">
        <f>IF(Table1[Data Leavers Date]=3000,SUM(Table1[Leaving Date]-Table1[Start Date]),"")</f>
        <v/>
      </c>
      <c r="EV142" s="44" t="str">
        <f>IF(Table1[Data Leavers Date]=4000,SUM(Table1[Leaving Date]-Table1[Start Date]),"")</f>
        <v/>
      </c>
      <c r="EW142" s="44" t="str">
        <f>IF(Table1[Data Leavers Date]=5000,SUM(Table1[Leaving Date]-Table1[Start Date]),"")</f>
        <v/>
      </c>
      <c r="EX142" s="44" t="str">
        <f>IF(Table1[Data Leavers Date]=6000,SUM(Table1[Leaving Date]-Table1[Start Date]),"")</f>
        <v/>
      </c>
      <c r="EY142" s="44" t="str">
        <f>IF(Table1[Data Leavers Date]=7000,SUM(Table1[Leaving Date]-Table1[Start Date]),"")</f>
        <v/>
      </c>
      <c r="EZ142" s="44" t="str">
        <f>IF(Table1[Data Leavers Date]=8000,SUM(Table1[Leaving Date]-Table1[Start Date]),"")</f>
        <v/>
      </c>
      <c r="FA142" s="44" t="str">
        <f>IF(Table1[Date of Initial Assessment]="","",IF(AND(Table1[Start Date]&gt;42094,Table1[Start Date]&lt;42461),Table1[Motivation and Taking Responsibility],""))</f>
        <v/>
      </c>
      <c r="FB142" s="44" t="str">
        <f>IF(Table1[Date of Initial Assessment]="","",IF(AND(Table1[Start Date]&gt;42094,Table1[Start Date]&lt;42461),Table1[Self-Care and Living Skills],""))</f>
        <v/>
      </c>
      <c r="FC142" s="44" t="str">
        <f>IF(Table1[Date of Initial Assessment]="","",IF(AND(Table1[Start Date]&gt;42094,Table1[Start Date]&lt;42461),Table1[Managing Money and Personal Administration],""))</f>
        <v/>
      </c>
      <c r="FD142" s="44" t="str">
        <f>IF(Table1[Date of Initial Assessment]="","",IF(AND(Table1[Start Date]&gt;42094,Table1[Start Date]&lt;42461),Table1[Social Networks and Relationships],""))</f>
        <v/>
      </c>
      <c r="FE142" s="44" t="str">
        <f>IF(Table1[Date of Initial Assessment]="","",IF(AND(Table1[Start Date]&gt;42094,Table1[Start Date]&lt;42461),Table1[Drug and Alcohol Misuse],""))</f>
        <v/>
      </c>
      <c r="FF142" s="44" t="str">
        <f>IF(Table1[Date of Initial Assessment]="","",IF(AND(Table1[Start Date]&gt;42094,Table1[Start Date]&lt;42461),Table1[Physical Health],""))</f>
        <v/>
      </c>
      <c r="FG142" s="44" t="str">
        <f>IF(Table1[Date of Initial Assessment]="","",IF(AND(Table1[Start Date]&gt;42094,Table1[Start Date]&lt;42461),Table1[Emotional and Mental Health],""))</f>
        <v/>
      </c>
      <c r="FH142" s="44" t="str">
        <f>IF(Table1[Date of Initial Assessment]="","",IF(AND(Table1[Start Date]&gt;42094,Table1[Start Date]&lt;42461),Table1[Meaningful Use of Time],""))</f>
        <v/>
      </c>
      <c r="FI142" s="44" t="str">
        <f>IF(Table1[Date of Initial Assessment]="","",IF(AND(Table1[Start Date]&gt;42094,Table1[Start Date]&lt;42461),Table1[Managing Tenancy and Accommodation],""))</f>
        <v/>
      </c>
      <c r="FJ142" s="44" t="str">
        <f>IF(Table1[Date of Initial Assessment]="","",IF(AND(Table1[Start Date]&gt;42094,Table1[Start Date]&lt;42461),Table1[Offending],""))</f>
        <v/>
      </c>
      <c r="FK142" s="44" t="str">
        <f>IF(Table1[Leaving Date]="","",IF(Table1[Date of Initial Assessment]="","",IF(AND(Table1[Leaving Date]&gt;42094,Table1[Leaving Date]&lt;42461),IF(Table1[Date of Last Assessment]="",Table1[Motivation and Taking Responsibility],Table1[Motivation and Taking Responsibility2]),"")))</f>
        <v/>
      </c>
      <c r="FL142" s="44" t="str">
        <f>IF(Table1[Leaving Date]="","",IF(Table1[Date of Initial Assessment]="","",IF(AND(Table1[Leaving Date]&gt;42094,Table1[Leaving Date]&lt;42461),IF(Table1[Date of Last Assessment]="",Table1[Self-Care and Living Skills],Table1[Self-Care and Living Skills2]),"")))</f>
        <v/>
      </c>
      <c r="FM142" s="44" t="str">
        <f>IF(Table1[Leaving Date]="","",IF(Table1[Date of Initial Assessment]="","",IF(AND(Table1[Leaving Date]&gt;42094,Table1[Leaving Date]&lt;42461),IF(Table1[Date of Last Assessment]="",Table1[Managing Money and Personal Administration],Table1[Managing Money and Personal Administration2]),"")))</f>
        <v/>
      </c>
      <c r="FN142" s="44" t="str">
        <f>IF(Table1[Leaving Date]="","",IF(Table1[Date of Initial Assessment]="","",IF(AND(Table1[Leaving Date]&gt;42094,Table1[Leaving Date]&lt;42461),IF(Table1[Date of Last Assessment]="",Table1[Social Networks and Relationships],Table1[Social Networks and Relationships2]),"")))</f>
        <v/>
      </c>
      <c r="FO142" s="44" t="str">
        <f>IF(Table1[Leaving Date]="","",IF(Table1[Date of Initial Assessment]="","",IF(AND(Table1[Leaving Date]&gt;42094,Table1[Leaving Date]&lt;42461),IF(Table1[Date of Last Assessment]="",Table1[Drug and Alcohol Misuse],Table1[Drug and Alcohol Misuse2]),"")))</f>
        <v/>
      </c>
      <c r="FP142" s="44" t="str">
        <f>IF(Table1[Leaving Date]="","",IF(Table1[Date of Initial Assessment]="","",IF(AND(Table1[Leaving Date]&gt;42094,Table1[Leaving Date]&lt;42461),IF(Table1[Date of Last Assessment]="",Table1[Physical Health],Table1[Physical Health2]),"")))</f>
        <v/>
      </c>
      <c r="FQ142" s="44" t="str">
        <f>IF(Table1[Leaving Date]="","",IF(Table1[Date of Initial Assessment]="","",IF(AND(Table1[Leaving Date]&gt;42094,Table1[Leaving Date]&lt;42461),IF(Table1[Date of Last Assessment]="",Table1[Emotional and Mental Health],Table1[Emotional and Mental Health2]),"")))</f>
        <v/>
      </c>
      <c r="FR142" s="44" t="str">
        <f>IF(Table1[Leaving Date]="","",IF(Table1[Date of Initial Assessment]="","",IF(AND(Table1[Leaving Date]&gt;42094,Table1[Leaving Date]&lt;42461),IF(Table1[Date of Last Assessment]="",Table1[Meaningful Use of Time],Table1[Meaningful Use of Time2]),"")))</f>
        <v/>
      </c>
      <c r="FS142" s="44" t="str">
        <f>IF(Table1[Leaving Date]="","",IF(Table1[Date of Initial Assessment]="","",IF(AND(Table1[Leaving Date]&gt;42094,Table1[Leaving Date]&lt;42461),IF(Table1[Date of Last Assessment]="",Table1[Managing Tenancy and Accommodation],Table1[Managing Tenancy and Accommodation2]),"")))</f>
        <v/>
      </c>
      <c r="FT142" s="44" t="str">
        <f>IF(Table1[Leaving Date]="","",IF(Table1[Date of Initial Assessment]="","",IF(AND(Table1[Leaving Date]&gt;42094,Table1[Leaving Date]&lt;42461),IF(Table1[Date of Last Assessment]="",Table1[Offending],Table1[Offending2]),"")))</f>
        <v/>
      </c>
      <c r="FU142" s="44" t="str">
        <f>IF(Table1[Date of Initial Assessment]="","",IF(AND(Table1[Start Date]&gt;42460,Table1[Start Date]&lt;42826),Table1[Motivation and Taking Responsibility],""))</f>
        <v/>
      </c>
      <c r="FV142" s="44" t="str">
        <f>IF(Table1[Date of Initial Assessment]="","",IF(AND(Table1[Start Date]&gt;42460,Table1[Start Date]&lt;42826),Table1[Self-Care and Living Skills],""))</f>
        <v/>
      </c>
      <c r="FW142" s="44" t="str">
        <f>IF(Table1[Date of Initial Assessment]="","",IF(AND(Table1[Start Date]&gt;42460,Table1[Start Date]&lt;42826),Table1[Managing Money and Personal Administration],""))</f>
        <v/>
      </c>
      <c r="FX142" s="44" t="str">
        <f>IF(Table1[Date of Initial Assessment]="","",IF(AND(Table1[Start Date]&gt;42460,Table1[Start Date]&lt;42826),Table1[Social Networks and Relationships],""))</f>
        <v/>
      </c>
      <c r="FY142" s="44" t="str">
        <f>IF(Table1[Date of Initial Assessment]="","",IF(AND(Table1[Start Date]&gt;42460,Table1[Start Date]&lt;42826),Table1[Drug and Alcohol Misuse],""))</f>
        <v/>
      </c>
      <c r="FZ142" s="44" t="str">
        <f>IF(Table1[Date of Initial Assessment]="","",IF(AND(Table1[Start Date]&gt;42460,Table1[Start Date]&lt;42826),Table1[Physical Health],""))</f>
        <v/>
      </c>
      <c r="GA142" s="44" t="str">
        <f>IF(Table1[Date of Initial Assessment]="","",IF(AND(Table1[Start Date]&gt;42460,Table1[Start Date]&lt;42826),Table1[Emotional and Mental Health],""))</f>
        <v/>
      </c>
      <c r="GB142" s="44" t="str">
        <f>IF(Table1[Date of Initial Assessment]="","",IF(AND(Table1[Start Date]&gt;42460,Table1[Start Date]&lt;42826),Table1[Meaningful Use of Time],""))</f>
        <v/>
      </c>
      <c r="GC142" s="44" t="str">
        <f>IF(Table1[Date of Initial Assessment]="","",IF(AND(Table1[Start Date]&gt;42460,Table1[Start Date]&lt;42826),Table1[Managing Tenancy and Accommodation],""))</f>
        <v/>
      </c>
      <c r="GD142" s="44" t="str">
        <f>IF(Table1[Date of Initial Assessment]="","",IF(AND(Table1[Start Date]&gt;42460,Table1[Start Date]&lt;42826),Table1[Offending],""))</f>
        <v/>
      </c>
      <c r="GE142" s="44" t="str">
        <f>IF(Table1[Leaving Date]="","",IF(AND(Table1[Leaving Date]&gt;42460,Table1[Leaving Date]&lt;42826),IF(Table1[Date of Last Assessment]="",Table1[Motivation and Taking Responsibility],Table1[Motivation and Taking Responsibility2]),""))</f>
        <v/>
      </c>
      <c r="GF142" s="44" t="str">
        <f>IF(Table1[Leaving Date]="","",IF(AND(Table1[Leaving Date]&gt;42460,Table1[Leaving Date]&lt;42826),IF(Table1[Date of Last Assessment]="",Table1[Self-Care and Living Skills],Table1[Self-Care and Living Skills2]),""))</f>
        <v/>
      </c>
      <c r="GG142" s="44" t="str">
        <f>IF(Table1[Leaving Date]="","",IF(AND(Table1[Leaving Date]&gt;42460,Table1[Leaving Date]&lt;42826),IF(Table1[Date of Last Assessment]="",Table1[Managing Money and Personal Administration],Table1[Managing Money and Personal Administration2]),""))</f>
        <v/>
      </c>
      <c r="GH142" s="44" t="str">
        <f>IF(Table1[Leaving Date]="","",IF(AND(Table1[Leaving Date]&gt;42460,Table1[Leaving Date]&lt;42826),IF(Table1[Date of Last Assessment]="",Table1[Social Networks and Relationships],Table1[Social Networks and Relationships2]),""))</f>
        <v/>
      </c>
      <c r="GI142" s="44" t="str">
        <f>IF(Table1[Leaving Date]="","",IF(AND(Table1[Leaving Date]&gt;42460,Table1[Leaving Date]&lt;42826),IF(Table1[Date of Last Assessment]="",Table1[Drug and Alcohol Misuse],Table1[Drug and Alcohol Misuse2]),""))</f>
        <v/>
      </c>
      <c r="GJ142" s="44" t="str">
        <f>IF(Table1[Leaving Date]="","",IF(AND(Table1[Leaving Date]&gt;42460,Table1[Leaving Date]&lt;42826),IF(Table1[Date of Last Assessment]="",Table1[Physical Health],Table1[Physical Health2]),""))</f>
        <v/>
      </c>
      <c r="GK142" s="44" t="str">
        <f>IF(Table1[Leaving Date]="","",IF(AND(Table1[Leaving Date]&gt;42460,Table1[Leaving Date]&lt;42826),IF(Table1[Date of Last Assessment]="",Table1[Emotional and Mental Health],Table1[Emotional and Mental Health2]),""))</f>
        <v/>
      </c>
      <c r="GL142" s="44" t="str">
        <f>IF(Table1[Leaving Date]="","",IF(AND(Table1[Leaving Date]&gt;42460,Table1[Leaving Date]&lt;42826),IF(Table1[Date of Last Assessment]="",Table1[Meaningful Use of Time],Table1[Meaningful Use of Time2]),""))</f>
        <v/>
      </c>
      <c r="GM142" s="44" t="str">
        <f>IF(Table1[Leaving Date]="","",IF(AND(Table1[Leaving Date]&gt;42460,Table1[Leaving Date]&lt;42826),IF(Table1[Date of Last Assessment]="",Table1[Managing Tenancy and Accommodation],Table1[Managing Tenancy and Accommodation2]),""))</f>
        <v/>
      </c>
      <c r="GN142" s="44" t="str">
        <f>IF(Table1[Leaving Date]="","",IF(AND(Table1[Leaving Date]&gt;42460,Table1[Leaving Date]&lt;42826),IF(Table1[Date of Last Assessment]="",Table1[Offending],Table1[Offending2]),""))</f>
        <v/>
      </c>
    </row>
    <row r="143" spans="2:196" ht="20.100000000000001" customHeight="1" x14ac:dyDescent="0.2">
      <c r="B143" s="86">
        <f>+'Service Data'!$C$5:$C$5</f>
        <v>0</v>
      </c>
      <c r="C143" s="86"/>
      <c r="D143" s="86"/>
      <c r="E143" s="86"/>
      <c r="F143" s="86"/>
      <c r="G143" s="86"/>
      <c r="H143" s="6"/>
      <c r="I143" s="99" t="str">
        <f ca="1">IF(Table1[[#This Row],[Date of Birth]]="","",SUM(TODAY()-Table1[[#This Row],[Date of Birth]])/365)</f>
        <v/>
      </c>
      <c r="L143" s="86"/>
      <c r="M143" s="77"/>
      <c r="N143" s="86"/>
      <c r="O143" s="86"/>
      <c r="P143" s="91"/>
      <c r="Q143" s="86"/>
      <c r="R143" s="77"/>
      <c r="S143" s="77"/>
      <c r="T143" s="68"/>
      <c r="U143" s="68"/>
      <c r="V143" s="67"/>
      <c r="W143" s="67"/>
      <c r="X143" s="67"/>
      <c r="Y143" s="67"/>
      <c r="Z143" s="67"/>
      <c r="AA143" s="67"/>
      <c r="AB143" s="67"/>
      <c r="AC143" s="67"/>
      <c r="AD143" s="67"/>
      <c r="AE143" s="67"/>
      <c r="AF143" s="67"/>
      <c r="AG143" s="67"/>
      <c r="AH143" s="67"/>
      <c r="AI143" s="67"/>
      <c r="AJ143" s="67"/>
      <c r="AK143" s="67"/>
      <c r="AL143" s="67"/>
      <c r="AM143" s="67"/>
      <c r="AN143" s="77"/>
      <c r="AO143" s="76"/>
      <c r="AP143" s="77"/>
      <c r="AQ143" s="76"/>
      <c r="AR143" s="76"/>
      <c r="AS143" s="76"/>
      <c r="AT143" s="76"/>
      <c r="AU143" s="76"/>
      <c r="AV143" s="77"/>
      <c r="AW143" s="76"/>
      <c r="AX143" s="77"/>
      <c r="AY143" s="76"/>
      <c r="AZ143" s="76"/>
      <c r="BA143" s="76"/>
      <c r="BB143" s="76"/>
      <c r="BC143" s="76"/>
      <c r="BD143" s="77"/>
      <c r="BE143" s="76"/>
      <c r="BF143" s="77"/>
      <c r="BG143" s="76"/>
      <c r="BH143" s="76"/>
      <c r="BI143" s="76"/>
      <c r="BJ143" s="76"/>
      <c r="BK143" s="76"/>
      <c r="BL143" s="77"/>
      <c r="BM143" s="76"/>
      <c r="BN143" s="77"/>
      <c r="BO143" s="76"/>
      <c r="BP143" s="76"/>
      <c r="BQ143" s="76"/>
      <c r="BR143" s="76"/>
      <c r="BS143" s="76"/>
      <c r="BT143" s="77"/>
      <c r="BU143" s="76"/>
      <c r="BV143" s="77"/>
      <c r="BW143" s="76"/>
      <c r="BX143" s="76"/>
      <c r="BY143" s="76"/>
      <c r="BZ143" s="76"/>
      <c r="CA143" s="76"/>
      <c r="CB143" s="77"/>
      <c r="CC143" s="76"/>
      <c r="CD143" s="77"/>
      <c r="CE143" s="76"/>
      <c r="CF143" s="76"/>
      <c r="CG143" s="76"/>
      <c r="CH143" s="76"/>
      <c r="CI143" s="76"/>
      <c r="CJ143" s="77"/>
      <c r="CK143" s="76"/>
      <c r="CL143" s="77"/>
      <c r="CM143" s="76"/>
      <c r="CN143" s="76"/>
      <c r="CO143" s="76"/>
      <c r="CP143" s="76"/>
      <c r="CQ143" s="76"/>
      <c r="CR143" s="78" t="str">
        <f t="shared" si="47"/>
        <v/>
      </c>
      <c r="CS143" s="79" t="str">
        <f t="shared" si="48"/>
        <v/>
      </c>
      <c r="CT143" s="79" t="str">
        <f t="shared" si="49"/>
        <v/>
      </c>
      <c r="CU143" s="79" t="str">
        <f t="shared" si="50"/>
        <v/>
      </c>
      <c r="CV143" s="79" t="str">
        <f t="shared" si="51"/>
        <v/>
      </c>
      <c r="CW143" s="79" t="str">
        <f t="shared" si="52"/>
        <v/>
      </c>
      <c r="CX143" s="79" t="str">
        <f t="shared" si="53"/>
        <v/>
      </c>
      <c r="CY143" s="79" t="str">
        <f t="shared" si="54"/>
        <v/>
      </c>
      <c r="CZ143" s="79" t="str">
        <f t="shared" si="55"/>
        <v/>
      </c>
      <c r="DA143" s="79" t="str">
        <f t="shared" si="56"/>
        <v/>
      </c>
      <c r="DB143" s="79" t="str">
        <f t="shared" si="57"/>
        <v/>
      </c>
      <c r="DC143" s="79" t="str">
        <f t="shared" si="58"/>
        <v/>
      </c>
      <c r="DD143" s="79" t="str">
        <f t="shared" si="59"/>
        <v/>
      </c>
      <c r="DE143" s="79" t="str">
        <f t="shared" si="60"/>
        <v/>
      </c>
      <c r="DF143" s="79" t="str">
        <f t="shared" si="61"/>
        <v/>
      </c>
      <c r="DG143" s="79" t="str">
        <f t="shared" si="62"/>
        <v/>
      </c>
      <c r="DH143" s="76"/>
      <c r="DI143" s="78"/>
      <c r="DJ143" s="76"/>
      <c r="DK143" s="77"/>
      <c r="DL143" s="77"/>
      <c r="DM143" s="77"/>
      <c r="DN143" s="80"/>
      <c r="DO143" s="80"/>
      <c r="DP143" s="92" t="str">
        <f>IF(Table1[Start Date]="","",IF(Table1[Start Date]&gt;42185,"",IF(AND(Table1[Leaving Date]&gt;1,Table1[Leaving Date]&lt;42095),"",1)))</f>
        <v/>
      </c>
      <c r="DQ143" s="92" t="str">
        <f>IF(Table1[Start Date]="","",IF(Table1[Start Date]&gt;42277,"",IF(AND(Table1[Leaving Date]&gt;1,Table1[Leaving Date]&lt;42186),"",1)))</f>
        <v/>
      </c>
      <c r="DR143" s="92" t="str">
        <f>IF(Table1[Start Date]="","",IF(Table1[Start Date]&gt;42369,"",IF(AND(Table1[Leaving Date]&gt;1,Table1[Leaving Date]&lt;42278),"",1)))</f>
        <v/>
      </c>
      <c r="DS143" s="92" t="str">
        <f>IF(Table1[Start Date]="","",IF(Table1[Start Date]&gt;42460,"",IF(AND(Table1[Leaving Date]&gt;1,Table1[Leaving Date]&lt;42370),"",1)))</f>
        <v/>
      </c>
      <c r="DT143" s="92" t="str">
        <f>IF(Table1[Start Date]="","",IF(Table1[Start Date]&gt;42551,"",IF(AND(Table1[Leaving Date]&gt;1,Table1[Leaving Date]&lt;42461),"",1)))</f>
        <v/>
      </c>
      <c r="DU143" s="92" t="str">
        <f>IF(Table1[Start Date]="","",IF(Table1[Start Date]&gt;42643,"",IF(AND(Table1[Leaving Date]&gt;1,Table1[Leaving Date]&lt;42552),"",1)))</f>
        <v/>
      </c>
      <c r="DV143" s="92" t="str">
        <f>IF(Table1[Start Date]="","",IF(Table1[Start Date]&gt;42735,"",IF(AND(Table1[Leaving Date]&gt;1,Table1[Leaving Date]&lt;42644),"",1)))</f>
        <v/>
      </c>
      <c r="DW143" s="92" t="str">
        <f>IF(Table1[Start Date]="","",IF(Table1[Start Date]&gt;42825,"",IF(AND(Table1[Leaving Date]&gt;1,Table1[Leaving Date]&lt;42736),"",1)))</f>
        <v/>
      </c>
      <c r="DX143"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143" s="44" t="e">
        <f>VLOOKUP(Table1[Referral Source],Lists!$G$2:$H$20,2,FALSE)</f>
        <v>#N/A</v>
      </c>
      <c r="DZ143" s="93" t="e">
        <f>SUM(Table1[Data Referral Quarter]+Table1[Data Referral Source])</f>
        <v>#N/A</v>
      </c>
      <c r="EA143" s="44" t="b">
        <f>IF(Table1[Referral Decision]="Accepted",100,IF(Table1[Referral Decision]="Rejected by Provider",200,IF(Table1[Referral Decision]="Rejected by Applicant",300)))</f>
        <v>0</v>
      </c>
      <c r="EB143" s="44">
        <f>SUM(Table1[Data Referral Quarter]+Table1[Data Referral Decision])</f>
        <v>0</v>
      </c>
      <c r="EC143" s="44" t="b">
        <f>IF(Table1[Start Date]&gt;42735,8000,IF(Table1[Start Date]&gt;42643,7000,IF(Table1[Start Date]&gt;42551,6000,IF(Table1[Start Date]&gt;42460,5000,IF(Table1[Start Date]&gt;42369,4000,IF(Table1[Start Date]&gt;42277,3000,IF(Table1[Start Date]&gt;42185,2000,IF(Table1[Start Date]&gt;42094,1000))))))))</f>
        <v>0</v>
      </c>
      <c r="ED143" s="44" t="str">
        <f>IF(Table1[Start Date]="","",IF(Table1[Current Local Authority]="Swindon",1,"2"))</f>
        <v/>
      </c>
      <c r="EE143" s="44" t="e">
        <f>SUM(Table1[Data Start Date]+Table1[Data Local Authority])</f>
        <v>#VALUE!</v>
      </c>
      <c r="EF143" s="44">
        <f>IF(Table1[Registered with GP]="Yes",1,0)</f>
        <v>0</v>
      </c>
      <c r="EG143" s="44">
        <f>SUM(Table1[Data Start Date]+Table1[Data GP Start])</f>
        <v>0</v>
      </c>
      <c r="EH143" s="44" t="str">
        <f>IF(Table1[EET]="NEET",1,IF(Table1[EET]="Education",2,IF(Table1[EET]="Employment",2,IF(Table1[EET]="Training",2,IF(Table1[EET]="Retired",3,"")))))</f>
        <v/>
      </c>
      <c r="EI143" s="44" t="e">
        <f>Table1[Data Start Date]+Table1[Data EET Start]</f>
        <v>#VALUE!</v>
      </c>
      <c r="EJ143" s="44" t="b">
        <f>IF(Table1[Leaving Date]&gt;42735,8000,IF(Table1[Leaving Date]&gt;42643,7000,IF(Table1[Leaving Date]&gt;42551,6000,IF(Table1[Leaving Date]&gt;42460,5000,IF(Table1[Leaving Date]&gt;42369,4000,IF(Table1[Leaving Date]&gt;42277,3000,IF(Table1[Leaving Date]&gt;42185,2000,IF(Table1[Leaving Date]&gt;42094,1000))))))))</f>
        <v>0</v>
      </c>
      <c r="EK143" s="44" t="e">
        <f>VLOOKUP(Table1[Reason for Leaving],Lists!$T$2:$U$15,2,FALSE)</f>
        <v>#N/A</v>
      </c>
      <c r="EL143" s="44" t="e">
        <f>SUM(Table1[Data Leavers Date]+Table1[Data Move On])</f>
        <v>#N/A</v>
      </c>
      <c r="EM143" s="44" t="b">
        <f>IF(Table1[Registered with GP2]="Yes",1,IF(Table1[Registered with GP2]="No",0,IF(Table1[Registered with GP]="Yes",1,IF(Table1[Registered with GP]="No",0))))</f>
        <v>0</v>
      </c>
      <c r="EN143" s="44">
        <f>SUM(Table1[Data Leavers Date]+Table1[Data GP End])</f>
        <v>0</v>
      </c>
      <c r="EO143" s="44" t="str">
        <f>IF(Table1[EET2]="NEET",1,IF(Table1[EET2]="Employment",2,IF(Table1[EET2]="Education",2,IF(Table1[EET2]="Training",2,IF(Table1[EET2]="Retired",3,IF(Table1[EET]="NEET",1,IF(Table1[EET]="Employment",2,IF(Table1[EET]="Education",2,IF(Table1[EET]="Training",2,IF(Table1[EET]="Retired",3,""))))))))))</f>
        <v/>
      </c>
      <c r="EP143" s="44" t="e">
        <f>+Table1[[#This Row],[Data Leavers Date]]+Table1[[#This Row],[Data EET End]]</f>
        <v>#VALUE!</v>
      </c>
      <c r="EQ143" s="44">
        <f>IF(Table1[Exit Form Received]="Yes",1,0)</f>
        <v>0</v>
      </c>
      <c r="ER143" s="44">
        <f>+Table1[[#This Row],[Data Leavers Date]]+Table1[[#This Row],[Data Exit Forms]]</f>
        <v>0</v>
      </c>
      <c r="ES143" s="44" t="str">
        <f>IF(Table1[Data Leavers Date]=1000,SUM(Table1[Leaving Date]-Table1[Start Date]),"")</f>
        <v/>
      </c>
      <c r="ET143" s="44" t="str">
        <f>IF(Table1[Data Leavers Date]=2000,SUM(Table1[Leaving Date]-Table1[Start Date]),"")</f>
        <v/>
      </c>
      <c r="EU143" s="44" t="str">
        <f>IF(Table1[Data Leavers Date]=3000,SUM(Table1[Leaving Date]-Table1[Start Date]),"")</f>
        <v/>
      </c>
      <c r="EV143" s="44" t="str">
        <f>IF(Table1[Data Leavers Date]=4000,SUM(Table1[Leaving Date]-Table1[Start Date]),"")</f>
        <v/>
      </c>
      <c r="EW143" s="44" t="str">
        <f>IF(Table1[Data Leavers Date]=5000,SUM(Table1[Leaving Date]-Table1[Start Date]),"")</f>
        <v/>
      </c>
      <c r="EX143" s="44" t="str">
        <f>IF(Table1[Data Leavers Date]=6000,SUM(Table1[Leaving Date]-Table1[Start Date]),"")</f>
        <v/>
      </c>
      <c r="EY143" s="44" t="str">
        <f>IF(Table1[Data Leavers Date]=7000,SUM(Table1[Leaving Date]-Table1[Start Date]),"")</f>
        <v/>
      </c>
      <c r="EZ143" s="44" t="str">
        <f>IF(Table1[Data Leavers Date]=8000,SUM(Table1[Leaving Date]-Table1[Start Date]),"")</f>
        <v/>
      </c>
      <c r="FA143" s="44" t="str">
        <f>IF(Table1[Date of Initial Assessment]="","",IF(AND(Table1[Start Date]&gt;42094,Table1[Start Date]&lt;42461),Table1[Motivation and Taking Responsibility],""))</f>
        <v/>
      </c>
      <c r="FB143" s="44" t="str">
        <f>IF(Table1[Date of Initial Assessment]="","",IF(AND(Table1[Start Date]&gt;42094,Table1[Start Date]&lt;42461),Table1[Self-Care and Living Skills],""))</f>
        <v/>
      </c>
      <c r="FC143" s="44" t="str">
        <f>IF(Table1[Date of Initial Assessment]="","",IF(AND(Table1[Start Date]&gt;42094,Table1[Start Date]&lt;42461),Table1[Managing Money and Personal Administration],""))</f>
        <v/>
      </c>
      <c r="FD143" s="44" t="str">
        <f>IF(Table1[Date of Initial Assessment]="","",IF(AND(Table1[Start Date]&gt;42094,Table1[Start Date]&lt;42461),Table1[Social Networks and Relationships],""))</f>
        <v/>
      </c>
      <c r="FE143" s="44" t="str">
        <f>IF(Table1[Date of Initial Assessment]="","",IF(AND(Table1[Start Date]&gt;42094,Table1[Start Date]&lt;42461),Table1[Drug and Alcohol Misuse],""))</f>
        <v/>
      </c>
      <c r="FF143" s="44" t="str">
        <f>IF(Table1[Date of Initial Assessment]="","",IF(AND(Table1[Start Date]&gt;42094,Table1[Start Date]&lt;42461),Table1[Physical Health],""))</f>
        <v/>
      </c>
      <c r="FG143" s="44" t="str">
        <f>IF(Table1[Date of Initial Assessment]="","",IF(AND(Table1[Start Date]&gt;42094,Table1[Start Date]&lt;42461),Table1[Emotional and Mental Health],""))</f>
        <v/>
      </c>
      <c r="FH143" s="44" t="str">
        <f>IF(Table1[Date of Initial Assessment]="","",IF(AND(Table1[Start Date]&gt;42094,Table1[Start Date]&lt;42461),Table1[Meaningful Use of Time],""))</f>
        <v/>
      </c>
      <c r="FI143" s="44" t="str">
        <f>IF(Table1[Date of Initial Assessment]="","",IF(AND(Table1[Start Date]&gt;42094,Table1[Start Date]&lt;42461),Table1[Managing Tenancy and Accommodation],""))</f>
        <v/>
      </c>
      <c r="FJ143" s="44" t="str">
        <f>IF(Table1[Date of Initial Assessment]="","",IF(AND(Table1[Start Date]&gt;42094,Table1[Start Date]&lt;42461),Table1[Offending],""))</f>
        <v/>
      </c>
      <c r="FK143" s="44" t="str">
        <f>IF(Table1[Leaving Date]="","",IF(Table1[Date of Initial Assessment]="","",IF(AND(Table1[Leaving Date]&gt;42094,Table1[Leaving Date]&lt;42461),IF(Table1[Date of Last Assessment]="",Table1[Motivation and Taking Responsibility],Table1[Motivation and Taking Responsibility2]),"")))</f>
        <v/>
      </c>
      <c r="FL143" s="44" t="str">
        <f>IF(Table1[Leaving Date]="","",IF(Table1[Date of Initial Assessment]="","",IF(AND(Table1[Leaving Date]&gt;42094,Table1[Leaving Date]&lt;42461),IF(Table1[Date of Last Assessment]="",Table1[Self-Care and Living Skills],Table1[Self-Care and Living Skills2]),"")))</f>
        <v/>
      </c>
      <c r="FM143" s="44" t="str">
        <f>IF(Table1[Leaving Date]="","",IF(Table1[Date of Initial Assessment]="","",IF(AND(Table1[Leaving Date]&gt;42094,Table1[Leaving Date]&lt;42461),IF(Table1[Date of Last Assessment]="",Table1[Managing Money and Personal Administration],Table1[Managing Money and Personal Administration2]),"")))</f>
        <v/>
      </c>
      <c r="FN143" s="44" t="str">
        <f>IF(Table1[Leaving Date]="","",IF(Table1[Date of Initial Assessment]="","",IF(AND(Table1[Leaving Date]&gt;42094,Table1[Leaving Date]&lt;42461),IF(Table1[Date of Last Assessment]="",Table1[Social Networks and Relationships],Table1[Social Networks and Relationships2]),"")))</f>
        <v/>
      </c>
      <c r="FO143" s="44" t="str">
        <f>IF(Table1[Leaving Date]="","",IF(Table1[Date of Initial Assessment]="","",IF(AND(Table1[Leaving Date]&gt;42094,Table1[Leaving Date]&lt;42461),IF(Table1[Date of Last Assessment]="",Table1[Drug and Alcohol Misuse],Table1[Drug and Alcohol Misuse2]),"")))</f>
        <v/>
      </c>
      <c r="FP143" s="44" t="str">
        <f>IF(Table1[Leaving Date]="","",IF(Table1[Date of Initial Assessment]="","",IF(AND(Table1[Leaving Date]&gt;42094,Table1[Leaving Date]&lt;42461),IF(Table1[Date of Last Assessment]="",Table1[Physical Health],Table1[Physical Health2]),"")))</f>
        <v/>
      </c>
      <c r="FQ143" s="44" t="str">
        <f>IF(Table1[Leaving Date]="","",IF(Table1[Date of Initial Assessment]="","",IF(AND(Table1[Leaving Date]&gt;42094,Table1[Leaving Date]&lt;42461),IF(Table1[Date of Last Assessment]="",Table1[Emotional and Mental Health],Table1[Emotional and Mental Health2]),"")))</f>
        <v/>
      </c>
      <c r="FR143" s="44" t="str">
        <f>IF(Table1[Leaving Date]="","",IF(Table1[Date of Initial Assessment]="","",IF(AND(Table1[Leaving Date]&gt;42094,Table1[Leaving Date]&lt;42461),IF(Table1[Date of Last Assessment]="",Table1[Meaningful Use of Time],Table1[Meaningful Use of Time2]),"")))</f>
        <v/>
      </c>
      <c r="FS143" s="44" t="str">
        <f>IF(Table1[Leaving Date]="","",IF(Table1[Date of Initial Assessment]="","",IF(AND(Table1[Leaving Date]&gt;42094,Table1[Leaving Date]&lt;42461),IF(Table1[Date of Last Assessment]="",Table1[Managing Tenancy and Accommodation],Table1[Managing Tenancy and Accommodation2]),"")))</f>
        <v/>
      </c>
      <c r="FT143" s="44" t="str">
        <f>IF(Table1[Leaving Date]="","",IF(Table1[Date of Initial Assessment]="","",IF(AND(Table1[Leaving Date]&gt;42094,Table1[Leaving Date]&lt;42461),IF(Table1[Date of Last Assessment]="",Table1[Offending],Table1[Offending2]),"")))</f>
        <v/>
      </c>
      <c r="FU143" s="44" t="str">
        <f>IF(Table1[Date of Initial Assessment]="","",IF(AND(Table1[Start Date]&gt;42460,Table1[Start Date]&lt;42826),Table1[Motivation and Taking Responsibility],""))</f>
        <v/>
      </c>
      <c r="FV143" s="44" t="str">
        <f>IF(Table1[Date of Initial Assessment]="","",IF(AND(Table1[Start Date]&gt;42460,Table1[Start Date]&lt;42826),Table1[Self-Care and Living Skills],""))</f>
        <v/>
      </c>
      <c r="FW143" s="44" t="str">
        <f>IF(Table1[Date of Initial Assessment]="","",IF(AND(Table1[Start Date]&gt;42460,Table1[Start Date]&lt;42826),Table1[Managing Money and Personal Administration],""))</f>
        <v/>
      </c>
      <c r="FX143" s="44" t="str">
        <f>IF(Table1[Date of Initial Assessment]="","",IF(AND(Table1[Start Date]&gt;42460,Table1[Start Date]&lt;42826),Table1[Social Networks and Relationships],""))</f>
        <v/>
      </c>
      <c r="FY143" s="44" t="str">
        <f>IF(Table1[Date of Initial Assessment]="","",IF(AND(Table1[Start Date]&gt;42460,Table1[Start Date]&lt;42826),Table1[Drug and Alcohol Misuse],""))</f>
        <v/>
      </c>
      <c r="FZ143" s="44" t="str">
        <f>IF(Table1[Date of Initial Assessment]="","",IF(AND(Table1[Start Date]&gt;42460,Table1[Start Date]&lt;42826),Table1[Physical Health],""))</f>
        <v/>
      </c>
      <c r="GA143" s="44" t="str">
        <f>IF(Table1[Date of Initial Assessment]="","",IF(AND(Table1[Start Date]&gt;42460,Table1[Start Date]&lt;42826),Table1[Emotional and Mental Health],""))</f>
        <v/>
      </c>
      <c r="GB143" s="44" t="str">
        <f>IF(Table1[Date of Initial Assessment]="","",IF(AND(Table1[Start Date]&gt;42460,Table1[Start Date]&lt;42826),Table1[Meaningful Use of Time],""))</f>
        <v/>
      </c>
      <c r="GC143" s="44" t="str">
        <f>IF(Table1[Date of Initial Assessment]="","",IF(AND(Table1[Start Date]&gt;42460,Table1[Start Date]&lt;42826),Table1[Managing Tenancy and Accommodation],""))</f>
        <v/>
      </c>
      <c r="GD143" s="44" t="str">
        <f>IF(Table1[Date of Initial Assessment]="","",IF(AND(Table1[Start Date]&gt;42460,Table1[Start Date]&lt;42826),Table1[Offending],""))</f>
        <v/>
      </c>
      <c r="GE143" s="44" t="str">
        <f>IF(Table1[Leaving Date]="","",IF(AND(Table1[Leaving Date]&gt;42460,Table1[Leaving Date]&lt;42826),IF(Table1[Date of Last Assessment]="",Table1[Motivation and Taking Responsibility],Table1[Motivation and Taking Responsibility2]),""))</f>
        <v/>
      </c>
      <c r="GF143" s="44" t="str">
        <f>IF(Table1[Leaving Date]="","",IF(AND(Table1[Leaving Date]&gt;42460,Table1[Leaving Date]&lt;42826),IF(Table1[Date of Last Assessment]="",Table1[Self-Care and Living Skills],Table1[Self-Care and Living Skills2]),""))</f>
        <v/>
      </c>
      <c r="GG143" s="44" t="str">
        <f>IF(Table1[Leaving Date]="","",IF(AND(Table1[Leaving Date]&gt;42460,Table1[Leaving Date]&lt;42826),IF(Table1[Date of Last Assessment]="",Table1[Managing Money and Personal Administration],Table1[Managing Money and Personal Administration2]),""))</f>
        <v/>
      </c>
      <c r="GH143" s="44" t="str">
        <f>IF(Table1[Leaving Date]="","",IF(AND(Table1[Leaving Date]&gt;42460,Table1[Leaving Date]&lt;42826),IF(Table1[Date of Last Assessment]="",Table1[Social Networks and Relationships],Table1[Social Networks and Relationships2]),""))</f>
        <v/>
      </c>
      <c r="GI143" s="44" t="str">
        <f>IF(Table1[Leaving Date]="","",IF(AND(Table1[Leaving Date]&gt;42460,Table1[Leaving Date]&lt;42826),IF(Table1[Date of Last Assessment]="",Table1[Drug and Alcohol Misuse],Table1[Drug and Alcohol Misuse2]),""))</f>
        <v/>
      </c>
      <c r="GJ143" s="44" t="str">
        <f>IF(Table1[Leaving Date]="","",IF(AND(Table1[Leaving Date]&gt;42460,Table1[Leaving Date]&lt;42826),IF(Table1[Date of Last Assessment]="",Table1[Physical Health],Table1[Physical Health2]),""))</f>
        <v/>
      </c>
      <c r="GK143" s="44" t="str">
        <f>IF(Table1[Leaving Date]="","",IF(AND(Table1[Leaving Date]&gt;42460,Table1[Leaving Date]&lt;42826),IF(Table1[Date of Last Assessment]="",Table1[Emotional and Mental Health],Table1[Emotional and Mental Health2]),""))</f>
        <v/>
      </c>
      <c r="GL143" s="44" t="str">
        <f>IF(Table1[Leaving Date]="","",IF(AND(Table1[Leaving Date]&gt;42460,Table1[Leaving Date]&lt;42826),IF(Table1[Date of Last Assessment]="",Table1[Meaningful Use of Time],Table1[Meaningful Use of Time2]),""))</f>
        <v/>
      </c>
      <c r="GM143" s="44" t="str">
        <f>IF(Table1[Leaving Date]="","",IF(AND(Table1[Leaving Date]&gt;42460,Table1[Leaving Date]&lt;42826),IF(Table1[Date of Last Assessment]="",Table1[Managing Tenancy and Accommodation],Table1[Managing Tenancy and Accommodation2]),""))</f>
        <v/>
      </c>
      <c r="GN143" s="44" t="str">
        <f>IF(Table1[Leaving Date]="","",IF(AND(Table1[Leaving Date]&gt;42460,Table1[Leaving Date]&lt;42826),IF(Table1[Date of Last Assessment]="",Table1[Offending],Table1[Offending2]),""))</f>
        <v/>
      </c>
    </row>
    <row r="144" spans="2:196" ht="20.100000000000001" customHeight="1" x14ac:dyDescent="0.2">
      <c r="B144" s="86">
        <f>+'Service Data'!$C$5:$C$5</f>
        <v>0</v>
      </c>
      <c r="C144" s="86"/>
      <c r="D144" s="86"/>
      <c r="E144" s="86"/>
      <c r="F144" s="86"/>
      <c r="G144" s="86"/>
      <c r="H144" s="6"/>
      <c r="I144" s="99" t="str">
        <f ca="1">IF(Table1[[#This Row],[Date of Birth]]="","",SUM(TODAY()-Table1[[#This Row],[Date of Birth]])/365)</f>
        <v/>
      </c>
      <c r="L144" s="86"/>
      <c r="M144" s="77"/>
      <c r="N144" s="86"/>
      <c r="O144" s="86"/>
      <c r="P144" s="91"/>
      <c r="Q144" s="86"/>
      <c r="R144" s="77"/>
      <c r="S144" s="77"/>
      <c r="T144" s="68"/>
      <c r="U144" s="68"/>
      <c r="V144" s="67"/>
      <c r="W144" s="67"/>
      <c r="X144" s="67"/>
      <c r="Y144" s="67"/>
      <c r="Z144" s="67"/>
      <c r="AA144" s="67"/>
      <c r="AB144" s="67"/>
      <c r="AC144" s="67"/>
      <c r="AD144" s="67"/>
      <c r="AE144" s="67"/>
      <c r="AF144" s="67"/>
      <c r="AG144" s="67"/>
      <c r="AH144" s="67"/>
      <c r="AI144" s="67"/>
      <c r="AJ144" s="67"/>
      <c r="AK144" s="67"/>
      <c r="AL144" s="67"/>
      <c r="AM144" s="67"/>
      <c r="AN144" s="77"/>
      <c r="AO144" s="76"/>
      <c r="AP144" s="77"/>
      <c r="AQ144" s="76"/>
      <c r="AR144" s="76"/>
      <c r="AS144" s="76"/>
      <c r="AT144" s="76"/>
      <c r="AU144" s="76"/>
      <c r="AV144" s="77"/>
      <c r="AW144" s="76"/>
      <c r="AX144" s="77"/>
      <c r="AY144" s="76"/>
      <c r="AZ144" s="76"/>
      <c r="BA144" s="76"/>
      <c r="BB144" s="76"/>
      <c r="BC144" s="76"/>
      <c r="BD144" s="77"/>
      <c r="BE144" s="76"/>
      <c r="BF144" s="77"/>
      <c r="BG144" s="76"/>
      <c r="BH144" s="76"/>
      <c r="BI144" s="76"/>
      <c r="BJ144" s="76"/>
      <c r="BK144" s="76"/>
      <c r="BL144" s="77"/>
      <c r="BM144" s="76"/>
      <c r="BN144" s="77"/>
      <c r="BO144" s="76"/>
      <c r="BP144" s="76"/>
      <c r="BQ144" s="76"/>
      <c r="BR144" s="76"/>
      <c r="BS144" s="76"/>
      <c r="BT144" s="77"/>
      <c r="BU144" s="76"/>
      <c r="BV144" s="77"/>
      <c r="BW144" s="76"/>
      <c r="BX144" s="76"/>
      <c r="BY144" s="76"/>
      <c r="BZ144" s="76"/>
      <c r="CA144" s="76"/>
      <c r="CB144" s="77"/>
      <c r="CC144" s="76"/>
      <c r="CD144" s="77"/>
      <c r="CE144" s="76"/>
      <c r="CF144" s="76"/>
      <c r="CG144" s="76"/>
      <c r="CH144" s="76"/>
      <c r="CI144" s="76"/>
      <c r="CJ144" s="77"/>
      <c r="CK144" s="76"/>
      <c r="CL144" s="77"/>
      <c r="CM144" s="76"/>
      <c r="CN144" s="76"/>
      <c r="CO144" s="76"/>
      <c r="CP144" s="76"/>
      <c r="CQ144" s="76"/>
      <c r="CR144" s="78" t="str">
        <f t="shared" si="47"/>
        <v/>
      </c>
      <c r="CS144" s="79" t="str">
        <f t="shared" si="48"/>
        <v/>
      </c>
      <c r="CT144" s="79" t="str">
        <f t="shared" si="49"/>
        <v/>
      </c>
      <c r="CU144" s="79" t="str">
        <f t="shared" si="50"/>
        <v/>
      </c>
      <c r="CV144" s="79" t="str">
        <f t="shared" si="51"/>
        <v/>
      </c>
      <c r="CW144" s="79" t="str">
        <f t="shared" si="52"/>
        <v/>
      </c>
      <c r="CX144" s="79" t="str">
        <f t="shared" si="53"/>
        <v/>
      </c>
      <c r="CY144" s="79" t="str">
        <f t="shared" si="54"/>
        <v/>
      </c>
      <c r="CZ144" s="79" t="str">
        <f t="shared" si="55"/>
        <v/>
      </c>
      <c r="DA144" s="79" t="str">
        <f t="shared" si="56"/>
        <v/>
      </c>
      <c r="DB144" s="79" t="str">
        <f t="shared" si="57"/>
        <v/>
      </c>
      <c r="DC144" s="79" t="str">
        <f t="shared" si="58"/>
        <v/>
      </c>
      <c r="DD144" s="79" t="str">
        <f t="shared" si="59"/>
        <v/>
      </c>
      <c r="DE144" s="79" t="str">
        <f t="shared" si="60"/>
        <v/>
      </c>
      <c r="DF144" s="79" t="str">
        <f t="shared" si="61"/>
        <v/>
      </c>
      <c r="DG144" s="79" t="str">
        <f t="shared" si="62"/>
        <v/>
      </c>
      <c r="DH144" s="76"/>
      <c r="DI144" s="78"/>
      <c r="DJ144" s="76"/>
      <c r="DK144" s="77"/>
      <c r="DL144" s="77"/>
      <c r="DM144" s="77"/>
      <c r="DN144" s="80"/>
      <c r="DO144" s="80"/>
      <c r="DP144" s="92" t="str">
        <f>IF(Table1[Start Date]="","",IF(Table1[Start Date]&gt;42185,"",IF(AND(Table1[Leaving Date]&gt;1,Table1[Leaving Date]&lt;42095),"",1)))</f>
        <v/>
      </c>
      <c r="DQ144" s="92" t="str">
        <f>IF(Table1[Start Date]="","",IF(Table1[Start Date]&gt;42277,"",IF(AND(Table1[Leaving Date]&gt;1,Table1[Leaving Date]&lt;42186),"",1)))</f>
        <v/>
      </c>
      <c r="DR144" s="92" t="str">
        <f>IF(Table1[Start Date]="","",IF(Table1[Start Date]&gt;42369,"",IF(AND(Table1[Leaving Date]&gt;1,Table1[Leaving Date]&lt;42278),"",1)))</f>
        <v/>
      </c>
      <c r="DS144" s="92" t="str">
        <f>IF(Table1[Start Date]="","",IF(Table1[Start Date]&gt;42460,"",IF(AND(Table1[Leaving Date]&gt;1,Table1[Leaving Date]&lt;42370),"",1)))</f>
        <v/>
      </c>
      <c r="DT144" s="92" t="str">
        <f>IF(Table1[Start Date]="","",IF(Table1[Start Date]&gt;42551,"",IF(AND(Table1[Leaving Date]&gt;1,Table1[Leaving Date]&lt;42461),"",1)))</f>
        <v/>
      </c>
      <c r="DU144" s="92" t="str">
        <f>IF(Table1[Start Date]="","",IF(Table1[Start Date]&gt;42643,"",IF(AND(Table1[Leaving Date]&gt;1,Table1[Leaving Date]&lt;42552),"",1)))</f>
        <v/>
      </c>
      <c r="DV144" s="92" t="str">
        <f>IF(Table1[Start Date]="","",IF(Table1[Start Date]&gt;42735,"",IF(AND(Table1[Leaving Date]&gt;1,Table1[Leaving Date]&lt;42644),"",1)))</f>
        <v/>
      </c>
      <c r="DW144" s="92" t="str">
        <f>IF(Table1[Start Date]="","",IF(Table1[Start Date]&gt;42825,"",IF(AND(Table1[Leaving Date]&gt;1,Table1[Leaving Date]&lt;42736),"",1)))</f>
        <v/>
      </c>
      <c r="DX144"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144" s="44" t="e">
        <f>VLOOKUP(Table1[Referral Source],Lists!$G$2:$H$20,2,FALSE)</f>
        <v>#N/A</v>
      </c>
      <c r="DZ144" s="93" t="e">
        <f>SUM(Table1[Data Referral Quarter]+Table1[Data Referral Source])</f>
        <v>#N/A</v>
      </c>
      <c r="EA144" s="44" t="b">
        <f>IF(Table1[Referral Decision]="Accepted",100,IF(Table1[Referral Decision]="Rejected by Provider",200,IF(Table1[Referral Decision]="Rejected by Applicant",300)))</f>
        <v>0</v>
      </c>
      <c r="EB144" s="44">
        <f>SUM(Table1[Data Referral Quarter]+Table1[Data Referral Decision])</f>
        <v>0</v>
      </c>
      <c r="EC144" s="44" t="b">
        <f>IF(Table1[Start Date]&gt;42735,8000,IF(Table1[Start Date]&gt;42643,7000,IF(Table1[Start Date]&gt;42551,6000,IF(Table1[Start Date]&gt;42460,5000,IF(Table1[Start Date]&gt;42369,4000,IF(Table1[Start Date]&gt;42277,3000,IF(Table1[Start Date]&gt;42185,2000,IF(Table1[Start Date]&gt;42094,1000))))))))</f>
        <v>0</v>
      </c>
      <c r="ED144" s="44" t="str">
        <f>IF(Table1[Start Date]="","",IF(Table1[Current Local Authority]="Swindon",1,"2"))</f>
        <v/>
      </c>
      <c r="EE144" s="44" t="e">
        <f>SUM(Table1[Data Start Date]+Table1[Data Local Authority])</f>
        <v>#VALUE!</v>
      </c>
      <c r="EF144" s="44">
        <f>IF(Table1[Registered with GP]="Yes",1,0)</f>
        <v>0</v>
      </c>
      <c r="EG144" s="44">
        <f>SUM(Table1[Data Start Date]+Table1[Data GP Start])</f>
        <v>0</v>
      </c>
      <c r="EH144" s="44" t="str">
        <f>IF(Table1[EET]="NEET",1,IF(Table1[EET]="Education",2,IF(Table1[EET]="Employment",2,IF(Table1[EET]="Training",2,IF(Table1[EET]="Retired",3,"")))))</f>
        <v/>
      </c>
      <c r="EI144" s="44" t="e">
        <f>Table1[Data Start Date]+Table1[Data EET Start]</f>
        <v>#VALUE!</v>
      </c>
      <c r="EJ144" s="44" t="b">
        <f>IF(Table1[Leaving Date]&gt;42735,8000,IF(Table1[Leaving Date]&gt;42643,7000,IF(Table1[Leaving Date]&gt;42551,6000,IF(Table1[Leaving Date]&gt;42460,5000,IF(Table1[Leaving Date]&gt;42369,4000,IF(Table1[Leaving Date]&gt;42277,3000,IF(Table1[Leaving Date]&gt;42185,2000,IF(Table1[Leaving Date]&gt;42094,1000))))))))</f>
        <v>0</v>
      </c>
      <c r="EK144" s="44" t="e">
        <f>VLOOKUP(Table1[Reason for Leaving],Lists!$T$2:$U$15,2,FALSE)</f>
        <v>#N/A</v>
      </c>
      <c r="EL144" s="44" t="e">
        <f>SUM(Table1[Data Leavers Date]+Table1[Data Move On])</f>
        <v>#N/A</v>
      </c>
      <c r="EM144" s="44" t="b">
        <f>IF(Table1[Registered with GP2]="Yes",1,IF(Table1[Registered with GP2]="No",0,IF(Table1[Registered with GP]="Yes",1,IF(Table1[Registered with GP]="No",0))))</f>
        <v>0</v>
      </c>
      <c r="EN144" s="44">
        <f>SUM(Table1[Data Leavers Date]+Table1[Data GP End])</f>
        <v>0</v>
      </c>
      <c r="EO144" s="44" t="str">
        <f>IF(Table1[EET2]="NEET",1,IF(Table1[EET2]="Employment",2,IF(Table1[EET2]="Education",2,IF(Table1[EET2]="Training",2,IF(Table1[EET2]="Retired",3,IF(Table1[EET]="NEET",1,IF(Table1[EET]="Employment",2,IF(Table1[EET]="Education",2,IF(Table1[EET]="Training",2,IF(Table1[EET]="Retired",3,""))))))))))</f>
        <v/>
      </c>
      <c r="EP144" s="44" t="e">
        <f>+Table1[[#This Row],[Data Leavers Date]]+Table1[[#This Row],[Data EET End]]</f>
        <v>#VALUE!</v>
      </c>
      <c r="EQ144" s="44">
        <f>IF(Table1[Exit Form Received]="Yes",1,0)</f>
        <v>0</v>
      </c>
      <c r="ER144" s="44">
        <f>+Table1[[#This Row],[Data Leavers Date]]+Table1[[#This Row],[Data Exit Forms]]</f>
        <v>0</v>
      </c>
      <c r="ES144" s="44" t="str">
        <f>IF(Table1[Data Leavers Date]=1000,SUM(Table1[Leaving Date]-Table1[Start Date]),"")</f>
        <v/>
      </c>
      <c r="ET144" s="44" t="str">
        <f>IF(Table1[Data Leavers Date]=2000,SUM(Table1[Leaving Date]-Table1[Start Date]),"")</f>
        <v/>
      </c>
      <c r="EU144" s="44" t="str">
        <f>IF(Table1[Data Leavers Date]=3000,SUM(Table1[Leaving Date]-Table1[Start Date]),"")</f>
        <v/>
      </c>
      <c r="EV144" s="44" t="str">
        <f>IF(Table1[Data Leavers Date]=4000,SUM(Table1[Leaving Date]-Table1[Start Date]),"")</f>
        <v/>
      </c>
      <c r="EW144" s="44" t="str">
        <f>IF(Table1[Data Leavers Date]=5000,SUM(Table1[Leaving Date]-Table1[Start Date]),"")</f>
        <v/>
      </c>
      <c r="EX144" s="44" t="str">
        <f>IF(Table1[Data Leavers Date]=6000,SUM(Table1[Leaving Date]-Table1[Start Date]),"")</f>
        <v/>
      </c>
      <c r="EY144" s="44" t="str">
        <f>IF(Table1[Data Leavers Date]=7000,SUM(Table1[Leaving Date]-Table1[Start Date]),"")</f>
        <v/>
      </c>
      <c r="EZ144" s="44" t="str">
        <f>IF(Table1[Data Leavers Date]=8000,SUM(Table1[Leaving Date]-Table1[Start Date]),"")</f>
        <v/>
      </c>
      <c r="FA144" s="44" t="str">
        <f>IF(Table1[Date of Initial Assessment]="","",IF(AND(Table1[Start Date]&gt;42094,Table1[Start Date]&lt;42461),Table1[Motivation and Taking Responsibility],""))</f>
        <v/>
      </c>
      <c r="FB144" s="44" t="str">
        <f>IF(Table1[Date of Initial Assessment]="","",IF(AND(Table1[Start Date]&gt;42094,Table1[Start Date]&lt;42461),Table1[Self-Care and Living Skills],""))</f>
        <v/>
      </c>
      <c r="FC144" s="44" t="str">
        <f>IF(Table1[Date of Initial Assessment]="","",IF(AND(Table1[Start Date]&gt;42094,Table1[Start Date]&lt;42461),Table1[Managing Money and Personal Administration],""))</f>
        <v/>
      </c>
      <c r="FD144" s="44" t="str">
        <f>IF(Table1[Date of Initial Assessment]="","",IF(AND(Table1[Start Date]&gt;42094,Table1[Start Date]&lt;42461),Table1[Social Networks and Relationships],""))</f>
        <v/>
      </c>
      <c r="FE144" s="44" t="str">
        <f>IF(Table1[Date of Initial Assessment]="","",IF(AND(Table1[Start Date]&gt;42094,Table1[Start Date]&lt;42461),Table1[Drug and Alcohol Misuse],""))</f>
        <v/>
      </c>
      <c r="FF144" s="44" t="str">
        <f>IF(Table1[Date of Initial Assessment]="","",IF(AND(Table1[Start Date]&gt;42094,Table1[Start Date]&lt;42461),Table1[Physical Health],""))</f>
        <v/>
      </c>
      <c r="FG144" s="44" t="str">
        <f>IF(Table1[Date of Initial Assessment]="","",IF(AND(Table1[Start Date]&gt;42094,Table1[Start Date]&lt;42461),Table1[Emotional and Mental Health],""))</f>
        <v/>
      </c>
      <c r="FH144" s="44" t="str">
        <f>IF(Table1[Date of Initial Assessment]="","",IF(AND(Table1[Start Date]&gt;42094,Table1[Start Date]&lt;42461),Table1[Meaningful Use of Time],""))</f>
        <v/>
      </c>
      <c r="FI144" s="44" t="str">
        <f>IF(Table1[Date of Initial Assessment]="","",IF(AND(Table1[Start Date]&gt;42094,Table1[Start Date]&lt;42461),Table1[Managing Tenancy and Accommodation],""))</f>
        <v/>
      </c>
      <c r="FJ144" s="44" t="str">
        <f>IF(Table1[Date of Initial Assessment]="","",IF(AND(Table1[Start Date]&gt;42094,Table1[Start Date]&lt;42461),Table1[Offending],""))</f>
        <v/>
      </c>
      <c r="FK144" s="44" t="str">
        <f>IF(Table1[Leaving Date]="","",IF(Table1[Date of Initial Assessment]="","",IF(AND(Table1[Leaving Date]&gt;42094,Table1[Leaving Date]&lt;42461),IF(Table1[Date of Last Assessment]="",Table1[Motivation and Taking Responsibility],Table1[Motivation and Taking Responsibility2]),"")))</f>
        <v/>
      </c>
      <c r="FL144" s="44" t="str">
        <f>IF(Table1[Leaving Date]="","",IF(Table1[Date of Initial Assessment]="","",IF(AND(Table1[Leaving Date]&gt;42094,Table1[Leaving Date]&lt;42461),IF(Table1[Date of Last Assessment]="",Table1[Self-Care and Living Skills],Table1[Self-Care and Living Skills2]),"")))</f>
        <v/>
      </c>
      <c r="FM144" s="44" t="str">
        <f>IF(Table1[Leaving Date]="","",IF(Table1[Date of Initial Assessment]="","",IF(AND(Table1[Leaving Date]&gt;42094,Table1[Leaving Date]&lt;42461),IF(Table1[Date of Last Assessment]="",Table1[Managing Money and Personal Administration],Table1[Managing Money and Personal Administration2]),"")))</f>
        <v/>
      </c>
      <c r="FN144" s="44" t="str">
        <f>IF(Table1[Leaving Date]="","",IF(Table1[Date of Initial Assessment]="","",IF(AND(Table1[Leaving Date]&gt;42094,Table1[Leaving Date]&lt;42461),IF(Table1[Date of Last Assessment]="",Table1[Social Networks and Relationships],Table1[Social Networks and Relationships2]),"")))</f>
        <v/>
      </c>
      <c r="FO144" s="44" t="str">
        <f>IF(Table1[Leaving Date]="","",IF(Table1[Date of Initial Assessment]="","",IF(AND(Table1[Leaving Date]&gt;42094,Table1[Leaving Date]&lt;42461),IF(Table1[Date of Last Assessment]="",Table1[Drug and Alcohol Misuse],Table1[Drug and Alcohol Misuse2]),"")))</f>
        <v/>
      </c>
      <c r="FP144" s="44" t="str">
        <f>IF(Table1[Leaving Date]="","",IF(Table1[Date of Initial Assessment]="","",IF(AND(Table1[Leaving Date]&gt;42094,Table1[Leaving Date]&lt;42461),IF(Table1[Date of Last Assessment]="",Table1[Physical Health],Table1[Physical Health2]),"")))</f>
        <v/>
      </c>
      <c r="FQ144" s="44" t="str">
        <f>IF(Table1[Leaving Date]="","",IF(Table1[Date of Initial Assessment]="","",IF(AND(Table1[Leaving Date]&gt;42094,Table1[Leaving Date]&lt;42461),IF(Table1[Date of Last Assessment]="",Table1[Emotional and Mental Health],Table1[Emotional and Mental Health2]),"")))</f>
        <v/>
      </c>
      <c r="FR144" s="44" t="str">
        <f>IF(Table1[Leaving Date]="","",IF(Table1[Date of Initial Assessment]="","",IF(AND(Table1[Leaving Date]&gt;42094,Table1[Leaving Date]&lt;42461),IF(Table1[Date of Last Assessment]="",Table1[Meaningful Use of Time],Table1[Meaningful Use of Time2]),"")))</f>
        <v/>
      </c>
      <c r="FS144" s="44" t="str">
        <f>IF(Table1[Leaving Date]="","",IF(Table1[Date of Initial Assessment]="","",IF(AND(Table1[Leaving Date]&gt;42094,Table1[Leaving Date]&lt;42461),IF(Table1[Date of Last Assessment]="",Table1[Managing Tenancy and Accommodation],Table1[Managing Tenancy and Accommodation2]),"")))</f>
        <v/>
      </c>
      <c r="FT144" s="44" t="str">
        <f>IF(Table1[Leaving Date]="","",IF(Table1[Date of Initial Assessment]="","",IF(AND(Table1[Leaving Date]&gt;42094,Table1[Leaving Date]&lt;42461),IF(Table1[Date of Last Assessment]="",Table1[Offending],Table1[Offending2]),"")))</f>
        <v/>
      </c>
      <c r="FU144" s="44" t="str">
        <f>IF(Table1[Date of Initial Assessment]="","",IF(AND(Table1[Start Date]&gt;42460,Table1[Start Date]&lt;42826),Table1[Motivation and Taking Responsibility],""))</f>
        <v/>
      </c>
      <c r="FV144" s="44" t="str">
        <f>IF(Table1[Date of Initial Assessment]="","",IF(AND(Table1[Start Date]&gt;42460,Table1[Start Date]&lt;42826),Table1[Self-Care and Living Skills],""))</f>
        <v/>
      </c>
      <c r="FW144" s="44" t="str">
        <f>IF(Table1[Date of Initial Assessment]="","",IF(AND(Table1[Start Date]&gt;42460,Table1[Start Date]&lt;42826),Table1[Managing Money and Personal Administration],""))</f>
        <v/>
      </c>
      <c r="FX144" s="44" t="str">
        <f>IF(Table1[Date of Initial Assessment]="","",IF(AND(Table1[Start Date]&gt;42460,Table1[Start Date]&lt;42826),Table1[Social Networks and Relationships],""))</f>
        <v/>
      </c>
      <c r="FY144" s="44" t="str">
        <f>IF(Table1[Date of Initial Assessment]="","",IF(AND(Table1[Start Date]&gt;42460,Table1[Start Date]&lt;42826),Table1[Drug and Alcohol Misuse],""))</f>
        <v/>
      </c>
      <c r="FZ144" s="44" t="str">
        <f>IF(Table1[Date of Initial Assessment]="","",IF(AND(Table1[Start Date]&gt;42460,Table1[Start Date]&lt;42826),Table1[Physical Health],""))</f>
        <v/>
      </c>
      <c r="GA144" s="44" t="str">
        <f>IF(Table1[Date of Initial Assessment]="","",IF(AND(Table1[Start Date]&gt;42460,Table1[Start Date]&lt;42826),Table1[Emotional and Mental Health],""))</f>
        <v/>
      </c>
      <c r="GB144" s="44" t="str">
        <f>IF(Table1[Date of Initial Assessment]="","",IF(AND(Table1[Start Date]&gt;42460,Table1[Start Date]&lt;42826),Table1[Meaningful Use of Time],""))</f>
        <v/>
      </c>
      <c r="GC144" s="44" t="str">
        <f>IF(Table1[Date of Initial Assessment]="","",IF(AND(Table1[Start Date]&gt;42460,Table1[Start Date]&lt;42826),Table1[Managing Tenancy and Accommodation],""))</f>
        <v/>
      </c>
      <c r="GD144" s="44" t="str">
        <f>IF(Table1[Date of Initial Assessment]="","",IF(AND(Table1[Start Date]&gt;42460,Table1[Start Date]&lt;42826),Table1[Offending],""))</f>
        <v/>
      </c>
      <c r="GE144" s="44" t="str">
        <f>IF(Table1[Leaving Date]="","",IF(AND(Table1[Leaving Date]&gt;42460,Table1[Leaving Date]&lt;42826),IF(Table1[Date of Last Assessment]="",Table1[Motivation and Taking Responsibility],Table1[Motivation and Taking Responsibility2]),""))</f>
        <v/>
      </c>
      <c r="GF144" s="44" t="str">
        <f>IF(Table1[Leaving Date]="","",IF(AND(Table1[Leaving Date]&gt;42460,Table1[Leaving Date]&lt;42826),IF(Table1[Date of Last Assessment]="",Table1[Self-Care and Living Skills],Table1[Self-Care and Living Skills2]),""))</f>
        <v/>
      </c>
      <c r="GG144" s="44" t="str">
        <f>IF(Table1[Leaving Date]="","",IF(AND(Table1[Leaving Date]&gt;42460,Table1[Leaving Date]&lt;42826),IF(Table1[Date of Last Assessment]="",Table1[Managing Money and Personal Administration],Table1[Managing Money and Personal Administration2]),""))</f>
        <v/>
      </c>
      <c r="GH144" s="44" t="str">
        <f>IF(Table1[Leaving Date]="","",IF(AND(Table1[Leaving Date]&gt;42460,Table1[Leaving Date]&lt;42826),IF(Table1[Date of Last Assessment]="",Table1[Social Networks and Relationships],Table1[Social Networks and Relationships2]),""))</f>
        <v/>
      </c>
      <c r="GI144" s="44" t="str">
        <f>IF(Table1[Leaving Date]="","",IF(AND(Table1[Leaving Date]&gt;42460,Table1[Leaving Date]&lt;42826),IF(Table1[Date of Last Assessment]="",Table1[Drug and Alcohol Misuse],Table1[Drug and Alcohol Misuse2]),""))</f>
        <v/>
      </c>
      <c r="GJ144" s="44" t="str">
        <f>IF(Table1[Leaving Date]="","",IF(AND(Table1[Leaving Date]&gt;42460,Table1[Leaving Date]&lt;42826),IF(Table1[Date of Last Assessment]="",Table1[Physical Health],Table1[Physical Health2]),""))</f>
        <v/>
      </c>
      <c r="GK144" s="44" t="str">
        <f>IF(Table1[Leaving Date]="","",IF(AND(Table1[Leaving Date]&gt;42460,Table1[Leaving Date]&lt;42826),IF(Table1[Date of Last Assessment]="",Table1[Emotional and Mental Health],Table1[Emotional and Mental Health2]),""))</f>
        <v/>
      </c>
      <c r="GL144" s="44" t="str">
        <f>IF(Table1[Leaving Date]="","",IF(AND(Table1[Leaving Date]&gt;42460,Table1[Leaving Date]&lt;42826),IF(Table1[Date of Last Assessment]="",Table1[Meaningful Use of Time],Table1[Meaningful Use of Time2]),""))</f>
        <v/>
      </c>
      <c r="GM144" s="44" t="str">
        <f>IF(Table1[Leaving Date]="","",IF(AND(Table1[Leaving Date]&gt;42460,Table1[Leaving Date]&lt;42826),IF(Table1[Date of Last Assessment]="",Table1[Managing Tenancy and Accommodation],Table1[Managing Tenancy and Accommodation2]),""))</f>
        <v/>
      </c>
      <c r="GN144" s="44" t="str">
        <f>IF(Table1[Leaving Date]="","",IF(AND(Table1[Leaving Date]&gt;42460,Table1[Leaving Date]&lt;42826),IF(Table1[Date of Last Assessment]="",Table1[Offending],Table1[Offending2]),""))</f>
        <v/>
      </c>
    </row>
    <row r="145" spans="2:196" ht="20.100000000000001" customHeight="1" x14ac:dyDescent="0.2">
      <c r="B145" s="86">
        <f>+'Service Data'!$C$5:$C$5</f>
        <v>0</v>
      </c>
      <c r="C145" s="86"/>
      <c r="D145" s="86"/>
      <c r="E145" s="86"/>
      <c r="F145" s="86"/>
      <c r="G145" s="86"/>
      <c r="H145" s="6"/>
      <c r="I145" s="99" t="str">
        <f ca="1">IF(Table1[[#This Row],[Date of Birth]]="","",SUM(TODAY()-Table1[[#This Row],[Date of Birth]])/365)</f>
        <v/>
      </c>
      <c r="L145" s="86"/>
      <c r="M145" s="77"/>
      <c r="N145" s="86"/>
      <c r="O145" s="86"/>
      <c r="P145" s="91"/>
      <c r="Q145" s="86"/>
      <c r="R145" s="77"/>
      <c r="S145" s="77"/>
      <c r="T145" s="68"/>
      <c r="U145" s="68"/>
      <c r="V145" s="67"/>
      <c r="W145" s="67"/>
      <c r="X145" s="67"/>
      <c r="Y145" s="67"/>
      <c r="Z145" s="67"/>
      <c r="AA145" s="67"/>
      <c r="AB145" s="67"/>
      <c r="AC145" s="67"/>
      <c r="AD145" s="67"/>
      <c r="AE145" s="67"/>
      <c r="AF145" s="67"/>
      <c r="AG145" s="67"/>
      <c r="AH145" s="67"/>
      <c r="AI145" s="67"/>
      <c r="AJ145" s="67"/>
      <c r="AK145" s="67"/>
      <c r="AL145" s="67"/>
      <c r="AM145" s="67"/>
      <c r="AN145" s="77"/>
      <c r="AO145" s="76"/>
      <c r="AP145" s="77"/>
      <c r="AQ145" s="76"/>
      <c r="AR145" s="76"/>
      <c r="AS145" s="76"/>
      <c r="AT145" s="76"/>
      <c r="AU145" s="76"/>
      <c r="AV145" s="77"/>
      <c r="AW145" s="76"/>
      <c r="AX145" s="77"/>
      <c r="AY145" s="76"/>
      <c r="AZ145" s="76"/>
      <c r="BA145" s="76"/>
      <c r="BB145" s="76"/>
      <c r="BC145" s="76"/>
      <c r="BD145" s="77"/>
      <c r="BE145" s="76"/>
      <c r="BF145" s="77"/>
      <c r="BG145" s="76"/>
      <c r="BH145" s="76"/>
      <c r="BI145" s="76"/>
      <c r="BJ145" s="76"/>
      <c r="BK145" s="76"/>
      <c r="BL145" s="77"/>
      <c r="BM145" s="76"/>
      <c r="BN145" s="77"/>
      <c r="BO145" s="76"/>
      <c r="BP145" s="76"/>
      <c r="BQ145" s="76"/>
      <c r="BR145" s="76"/>
      <c r="BS145" s="76"/>
      <c r="BT145" s="77"/>
      <c r="BU145" s="76"/>
      <c r="BV145" s="77"/>
      <c r="BW145" s="76"/>
      <c r="BX145" s="76"/>
      <c r="BY145" s="76"/>
      <c r="BZ145" s="76"/>
      <c r="CA145" s="76"/>
      <c r="CB145" s="77"/>
      <c r="CC145" s="76"/>
      <c r="CD145" s="77"/>
      <c r="CE145" s="76"/>
      <c r="CF145" s="76"/>
      <c r="CG145" s="76"/>
      <c r="CH145" s="76"/>
      <c r="CI145" s="76"/>
      <c r="CJ145" s="77"/>
      <c r="CK145" s="76"/>
      <c r="CL145" s="77"/>
      <c r="CM145" s="76"/>
      <c r="CN145" s="76"/>
      <c r="CO145" s="76"/>
      <c r="CP145" s="76"/>
      <c r="CQ145" s="76"/>
      <c r="CR145" s="78" t="str">
        <f t="shared" si="47"/>
        <v/>
      </c>
      <c r="CS145" s="79" t="str">
        <f t="shared" si="48"/>
        <v/>
      </c>
      <c r="CT145" s="79" t="str">
        <f t="shared" si="49"/>
        <v/>
      </c>
      <c r="CU145" s="79" t="str">
        <f t="shared" si="50"/>
        <v/>
      </c>
      <c r="CV145" s="79" t="str">
        <f t="shared" si="51"/>
        <v/>
      </c>
      <c r="CW145" s="79" t="str">
        <f t="shared" si="52"/>
        <v/>
      </c>
      <c r="CX145" s="79" t="str">
        <f t="shared" si="53"/>
        <v/>
      </c>
      <c r="CY145" s="79" t="str">
        <f t="shared" si="54"/>
        <v/>
      </c>
      <c r="CZ145" s="79" t="str">
        <f t="shared" si="55"/>
        <v/>
      </c>
      <c r="DA145" s="79" t="str">
        <f t="shared" si="56"/>
        <v/>
      </c>
      <c r="DB145" s="79" t="str">
        <f t="shared" si="57"/>
        <v/>
      </c>
      <c r="DC145" s="79" t="str">
        <f t="shared" si="58"/>
        <v/>
      </c>
      <c r="DD145" s="79" t="str">
        <f t="shared" si="59"/>
        <v/>
      </c>
      <c r="DE145" s="79" t="str">
        <f t="shared" si="60"/>
        <v/>
      </c>
      <c r="DF145" s="79" t="str">
        <f t="shared" si="61"/>
        <v/>
      </c>
      <c r="DG145" s="79" t="str">
        <f t="shared" si="62"/>
        <v/>
      </c>
      <c r="DH145" s="76"/>
      <c r="DI145" s="78"/>
      <c r="DJ145" s="76"/>
      <c r="DK145" s="77"/>
      <c r="DL145" s="77"/>
      <c r="DM145" s="77"/>
      <c r="DN145" s="80"/>
      <c r="DO145" s="80"/>
      <c r="DP145" s="92" t="str">
        <f>IF(Table1[Start Date]="","",IF(Table1[Start Date]&gt;42185,"",IF(AND(Table1[Leaving Date]&gt;1,Table1[Leaving Date]&lt;42095),"",1)))</f>
        <v/>
      </c>
      <c r="DQ145" s="92" t="str">
        <f>IF(Table1[Start Date]="","",IF(Table1[Start Date]&gt;42277,"",IF(AND(Table1[Leaving Date]&gt;1,Table1[Leaving Date]&lt;42186),"",1)))</f>
        <v/>
      </c>
      <c r="DR145" s="92" t="str">
        <f>IF(Table1[Start Date]="","",IF(Table1[Start Date]&gt;42369,"",IF(AND(Table1[Leaving Date]&gt;1,Table1[Leaving Date]&lt;42278),"",1)))</f>
        <v/>
      </c>
      <c r="DS145" s="92" t="str">
        <f>IF(Table1[Start Date]="","",IF(Table1[Start Date]&gt;42460,"",IF(AND(Table1[Leaving Date]&gt;1,Table1[Leaving Date]&lt;42370),"",1)))</f>
        <v/>
      </c>
      <c r="DT145" s="92" t="str">
        <f>IF(Table1[Start Date]="","",IF(Table1[Start Date]&gt;42551,"",IF(AND(Table1[Leaving Date]&gt;1,Table1[Leaving Date]&lt;42461),"",1)))</f>
        <v/>
      </c>
      <c r="DU145" s="92" t="str">
        <f>IF(Table1[Start Date]="","",IF(Table1[Start Date]&gt;42643,"",IF(AND(Table1[Leaving Date]&gt;1,Table1[Leaving Date]&lt;42552),"",1)))</f>
        <v/>
      </c>
      <c r="DV145" s="92" t="str">
        <f>IF(Table1[Start Date]="","",IF(Table1[Start Date]&gt;42735,"",IF(AND(Table1[Leaving Date]&gt;1,Table1[Leaving Date]&lt;42644),"",1)))</f>
        <v/>
      </c>
      <c r="DW145" s="92" t="str">
        <f>IF(Table1[Start Date]="","",IF(Table1[Start Date]&gt;42825,"",IF(AND(Table1[Leaving Date]&gt;1,Table1[Leaving Date]&lt;42736),"",1)))</f>
        <v/>
      </c>
      <c r="DX145"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145" s="44" t="e">
        <f>VLOOKUP(Table1[Referral Source],Lists!$G$2:$H$20,2,FALSE)</f>
        <v>#N/A</v>
      </c>
      <c r="DZ145" s="93" t="e">
        <f>SUM(Table1[Data Referral Quarter]+Table1[Data Referral Source])</f>
        <v>#N/A</v>
      </c>
      <c r="EA145" s="44" t="b">
        <f>IF(Table1[Referral Decision]="Accepted",100,IF(Table1[Referral Decision]="Rejected by Provider",200,IF(Table1[Referral Decision]="Rejected by Applicant",300)))</f>
        <v>0</v>
      </c>
      <c r="EB145" s="44">
        <f>SUM(Table1[Data Referral Quarter]+Table1[Data Referral Decision])</f>
        <v>0</v>
      </c>
      <c r="EC145" s="44" t="b">
        <f>IF(Table1[Start Date]&gt;42735,8000,IF(Table1[Start Date]&gt;42643,7000,IF(Table1[Start Date]&gt;42551,6000,IF(Table1[Start Date]&gt;42460,5000,IF(Table1[Start Date]&gt;42369,4000,IF(Table1[Start Date]&gt;42277,3000,IF(Table1[Start Date]&gt;42185,2000,IF(Table1[Start Date]&gt;42094,1000))))))))</f>
        <v>0</v>
      </c>
      <c r="ED145" s="44" t="str">
        <f>IF(Table1[Start Date]="","",IF(Table1[Current Local Authority]="Swindon",1,"2"))</f>
        <v/>
      </c>
      <c r="EE145" s="44" t="e">
        <f>SUM(Table1[Data Start Date]+Table1[Data Local Authority])</f>
        <v>#VALUE!</v>
      </c>
      <c r="EF145" s="44">
        <f>IF(Table1[Registered with GP]="Yes",1,0)</f>
        <v>0</v>
      </c>
      <c r="EG145" s="44">
        <f>SUM(Table1[Data Start Date]+Table1[Data GP Start])</f>
        <v>0</v>
      </c>
      <c r="EH145" s="44" t="str">
        <f>IF(Table1[EET]="NEET",1,IF(Table1[EET]="Education",2,IF(Table1[EET]="Employment",2,IF(Table1[EET]="Training",2,IF(Table1[EET]="Retired",3,"")))))</f>
        <v/>
      </c>
      <c r="EI145" s="44" t="e">
        <f>Table1[Data Start Date]+Table1[Data EET Start]</f>
        <v>#VALUE!</v>
      </c>
      <c r="EJ145" s="44" t="b">
        <f>IF(Table1[Leaving Date]&gt;42735,8000,IF(Table1[Leaving Date]&gt;42643,7000,IF(Table1[Leaving Date]&gt;42551,6000,IF(Table1[Leaving Date]&gt;42460,5000,IF(Table1[Leaving Date]&gt;42369,4000,IF(Table1[Leaving Date]&gt;42277,3000,IF(Table1[Leaving Date]&gt;42185,2000,IF(Table1[Leaving Date]&gt;42094,1000))))))))</f>
        <v>0</v>
      </c>
      <c r="EK145" s="44" t="e">
        <f>VLOOKUP(Table1[Reason for Leaving],Lists!$T$2:$U$15,2,FALSE)</f>
        <v>#N/A</v>
      </c>
      <c r="EL145" s="44" t="e">
        <f>SUM(Table1[Data Leavers Date]+Table1[Data Move On])</f>
        <v>#N/A</v>
      </c>
      <c r="EM145" s="44" t="b">
        <f>IF(Table1[Registered with GP2]="Yes",1,IF(Table1[Registered with GP2]="No",0,IF(Table1[Registered with GP]="Yes",1,IF(Table1[Registered with GP]="No",0))))</f>
        <v>0</v>
      </c>
      <c r="EN145" s="44">
        <f>SUM(Table1[Data Leavers Date]+Table1[Data GP End])</f>
        <v>0</v>
      </c>
      <c r="EO145" s="44" t="str">
        <f>IF(Table1[EET2]="NEET",1,IF(Table1[EET2]="Employment",2,IF(Table1[EET2]="Education",2,IF(Table1[EET2]="Training",2,IF(Table1[EET2]="Retired",3,IF(Table1[EET]="NEET",1,IF(Table1[EET]="Employment",2,IF(Table1[EET]="Education",2,IF(Table1[EET]="Training",2,IF(Table1[EET]="Retired",3,""))))))))))</f>
        <v/>
      </c>
      <c r="EP145" s="44" t="e">
        <f>+Table1[[#This Row],[Data Leavers Date]]+Table1[[#This Row],[Data EET End]]</f>
        <v>#VALUE!</v>
      </c>
      <c r="EQ145" s="44">
        <f>IF(Table1[Exit Form Received]="Yes",1,0)</f>
        <v>0</v>
      </c>
      <c r="ER145" s="44">
        <f>+Table1[[#This Row],[Data Leavers Date]]+Table1[[#This Row],[Data Exit Forms]]</f>
        <v>0</v>
      </c>
      <c r="ES145" s="44" t="str">
        <f>IF(Table1[Data Leavers Date]=1000,SUM(Table1[Leaving Date]-Table1[Start Date]),"")</f>
        <v/>
      </c>
      <c r="ET145" s="44" t="str">
        <f>IF(Table1[Data Leavers Date]=2000,SUM(Table1[Leaving Date]-Table1[Start Date]),"")</f>
        <v/>
      </c>
      <c r="EU145" s="44" t="str">
        <f>IF(Table1[Data Leavers Date]=3000,SUM(Table1[Leaving Date]-Table1[Start Date]),"")</f>
        <v/>
      </c>
      <c r="EV145" s="44" t="str">
        <f>IF(Table1[Data Leavers Date]=4000,SUM(Table1[Leaving Date]-Table1[Start Date]),"")</f>
        <v/>
      </c>
      <c r="EW145" s="44" t="str">
        <f>IF(Table1[Data Leavers Date]=5000,SUM(Table1[Leaving Date]-Table1[Start Date]),"")</f>
        <v/>
      </c>
      <c r="EX145" s="44" t="str">
        <f>IF(Table1[Data Leavers Date]=6000,SUM(Table1[Leaving Date]-Table1[Start Date]),"")</f>
        <v/>
      </c>
      <c r="EY145" s="44" t="str">
        <f>IF(Table1[Data Leavers Date]=7000,SUM(Table1[Leaving Date]-Table1[Start Date]),"")</f>
        <v/>
      </c>
      <c r="EZ145" s="44" t="str">
        <f>IF(Table1[Data Leavers Date]=8000,SUM(Table1[Leaving Date]-Table1[Start Date]),"")</f>
        <v/>
      </c>
      <c r="FA145" s="44" t="str">
        <f>IF(Table1[Date of Initial Assessment]="","",IF(AND(Table1[Start Date]&gt;42094,Table1[Start Date]&lt;42461),Table1[Motivation and Taking Responsibility],""))</f>
        <v/>
      </c>
      <c r="FB145" s="44" t="str">
        <f>IF(Table1[Date of Initial Assessment]="","",IF(AND(Table1[Start Date]&gt;42094,Table1[Start Date]&lt;42461),Table1[Self-Care and Living Skills],""))</f>
        <v/>
      </c>
      <c r="FC145" s="44" t="str">
        <f>IF(Table1[Date of Initial Assessment]="","",IF(AND(Table1[Start Date]&gt;42094,Table1[Start Date]&lt;42461),Table1[Managing Money and Personal Administration],""))</f>
        <v/>
      </c>
      <c r="FD145" s="44" t="str">
        <f>IF(Table1[Date of Initial Assessment]="","",IF(AND(Table1[Start Date]&gt;42094,Table1[Start Date]&lt;42461),Table1[Social Networks and Relationships],""))</f>
        <v/>
      </c>
      <c r="FE145" s="44" t="str">
        <f>IF(Table1[Date of Initial Assessment]="","",IF(AND(Table1[Start Date]&gt;42094,Table1[Start Date]&lt;42461),Table1[Drug and Alcohol Misuse],""))</f>
        <v/>
      </c>
      <c r="FF145" s="44" t="str">
        <f>IF(Table1[Date of Initial Assessment]="","",IF(AND(Table1[Start Date]&gt;42094,Table1[Start Date]&lt;42461),Table1[Physical Health],""))</f>
        <v/>
      </c>
      <c r="FG145" s="44" t="str">
        <f>IF(Table1[Date of Initial Assessment]="","",IF(AND(Table1[Start Date]&gt;42094,Table1[Start Date]&lt;42461),Table1[Emotional and Mental Health],""))</f>
        <v/>
      </c>
      <c r="FH145" s="44" t="str">
        <f>IF(Table1[Date of Initial Assessment]="","",IF(AND(Table1[Start Date]&gt;42094,Table1[Start Date]&lt;42461),Table1[Meaningful Use of Time],""))</f>
        <v/>
      </c>
      <c r="FI145" s="44" t="str">
        <f>IF(Table1[Date of Initial Assessment]="","",IF(AND(Table1[Start Date]&gt;42094,Table1[Start Date]&lt;42461),Table1[Managing Tenancy and Accommodation],""))</f>
        <v/>
      </c>
      <c r="FJ145" s="44" t="str">
        <f>IF(Table1[Date of Initial Assessment]="","",IF(AND(Table1[Start Date]&gt;42094,Table1[Start Date]&lt;42461),Table1[Offending],""))</f>
        <v/>
      </c>
      <c r="FK145" s="44" t="str">
        <f>IF(Table1[Leaving Date]="","",IF(Table1[Date of Initial Assessment]="","",IF(AND(Table1[Leaving Date]&gt;42094,Table1[Leaving Date]&lt;42461),IF(Table1[Date of Last Assessment]="",Table1[Motivation and Taking Responsibility],Table1[Motivation and Taking Responsibility2]),"")))</f>
        <v/>
      </c>
      <c r="FL145" s="44" t="str">
        <f>IF(Table1[Leaving Date]="","",IF(Table1[Date of Initial Assessment]="","",IF(AND(Table1[Leaving Date]&gt;42094,Table1[Leaving Date]&lt;42461),IF(Table1[Date of Last Assessment]="",Table1[Self-Care and Living Skills],Table1[Self-Care and Living Skills2]),"")))</f>
        <v/>
      </c>
      <c r="FM145" s="44" t="str">
        <f>IF(Table1[Leaving Date]="","",IF(Table1[Date of Initial Assessment]="","",IF(AND(Table1[Leaving Date]&gt;42094,Table1[Leaving Date]&lt;42461),IF(Table1[Date of Last Assessment]="",Table1[Managing Money and Personal Administration],Table1[Managing Money and Personal Administration2]),"")))</f>
        <v/>
      </c>
      <c r="FN145" s="44" t="str">
        <f>IF(Table1[Leaving Date]="","",IF(Table1[Date of Initial Assessment]="","",IF(AND(Table1[Leaving Date]&gt;42094,Table1[Leaving Date]&lt;42461),IF(Table1[Date of Last Assessment]="",Table1[Social Networks and Relationships],Table1[Social Networks and Relationships2]),"")))</f>
        <v/>
      </c>
      <c r="FO145" s="44" t="str">
        <f>IF(Table1[Leaving Date]="","",IF(Table1[Date of Initial Assessment]="","",IF(AND(Table1[Leaving Date]&gt;42094,Table1[Leaving Date]&lt;42461),IF(Table1[Date of Last Assessment]="",Table1[Drug and Alcohol Misuse],Table1[Drug and Alcohol Misuse2]),"")))</f>
        <v/>
      </c>
      <c r="FP145" s="44" t="str">
        <f>IF(Table1[Leaving Date]="","",IF(Table1[Date of Initial Assessment]="","",IF(AND(Table1[Leaving Date]&gt;42094,Table1[Leaving Date]&lt;42461),IF(Table1[Date of Last Assessment]="",Table1[Physical Health],Table1[Physical Health2]),"")))</f>
        <v/>
      </c>
      <c r="FQ145" s="44" t="str">
        <f>IF(Table1[Leaving Date]="","",IF(Table1[Date of Initial Assessment]="","",IF(AND(Table1[Leaving Date]&gt;42094,Table1[Leaving Date]&lt;42461),IF(Table1[Date of Last Assessment]="",Table1[Emotional and Mental Health],Table1[Emotional and Mental Health2]),"")))</f>
        <v/>
      </c>
      <c r="FR145" s="44" t="str">
        <f>IF(Table1[Leaving Date]="","",IF(Table1[Date of Initial Assessment]="","",IF(AND(Table1[Leaving Date]&gt;42094,Table1[Leaving Date]&lt;42461),IF(Table1[Date of Last Assessment]="",Table1[Meaningful Use of Time],Table1[Meaningful Use of Time2]),"")))</f>
        <v/>
      </c>
      <c r="FS145" s="44" t="str">
        <f>IF(Table1[Leaving Date]="","",IF(Table1[Date of Initial Assessment]="","",IF(AND(Table1[Leaving Date]&gt;42094,Table1[Leaving Date]&lt;42461),IF(Table1[Date of Last Assessment]="",Table1[Managing Tenancy and Accommodation],Table1[Managing Tenancy and Accommodation2]),"")))</f>
        <v/>
      </c>
      <c r="FT145" s="44" t="str">
        <f>IF(Table1[Leaving Date]="","",IF(Table1[Date of Initial Assessment]="","",IF(AND(Table1[Leaving Date]&gt;42094,Table1[Leaving Date]&lt;42461),IF(Table1[Date of Last Assessment]="",Table1[Offending],Table1[Offending2]),"")))</f>
        <v/>
      </c>
      <c r="FU145" s="44" t="str">
        <f>IF(Table1[Date of Initial Assessment]="","",IF(AND(Table1[Start Date]&gt;42460,Table1[Start Date]&lt;42826),Table1[Motivation and Taking Responsibility],""))</f>
        <v/>
      </c>
      <c r="FV145" s="44" t="str">
        <f>IF(Table1[Date of Initial Assessment]="","",IF(AND(Table1[Start Date]&gt;42460,Table1[Start Date]&lt;42826),Table1[Self-Care and Living Skills],""))</f>
        <v/>
      </c>
      <c r="FW145" s="44" t="str">
        <f>IF(Table1[Date of Initial Assessment]="","",IF(AND(Table1[Start Date]&gt;42460,Table1[Start Date]&lt;42826),Table1[Managing Money and Personal Administration],""))</f>
        <v/>
      </c>
      <c r="FX145" s="44" t="str">
        <f>IF(Table1[Date of Initial Assessment]="","",IF(AND(Table1[Start Date]&gt;42460,Table1[Start Date]&lt;42826),Table1[Social Networks and Relationships],""))</f>
        <v/>
      </c>
      <c r="FY145" s="44" t="str">
        <f>IF(Table1[Date of Initial Assessment]="","",IF(AND(Table1[Start Date]&gt;42460,Table1[Start Date]&lt;42826),Table1[Drug and Alcohol Misuse],""))</f>
        <v/>
      </c>
      <c r="FZ145" s="44" t="str">
        <f>IF(Table1[Date of Initial Assessment]="","",IF(AND(Table1[Start Date]&gt;42460,Table1[Start Date]&lt;42826),Table1[Physical Health],""))</f>
        <v/>
      </c>
      <c r="GA145" s="44" t="str">
        <f>IF(Table1[Date of Initial Assessment]="","",IF(AND(Table1[Start Date]&gt;42460,Table1[Start Date]&lt;42826),Table1[Emotional and Mental Health],""))</f>
        <v/>
      </c>
      <c r="GB145" s="44" t="str">
        <f>IF(Table1[Date of Initial Assessment]="","",IF(AND(Table1[Start Date]&gt;42460,Table1[Start Date]&lt;42826),Table1[Meaningful Use of Time],""))</f>
        <v/>
      </c>
      <c r="GC145" s="44" t="str">
        <f>IF(Table1[Date of Initial Assessment]="","",IF(AND(Table1[Start Date]&gt;42460,Table1[Start Date]&lt;42826),Table1[Managing Tenancy and Accommodation],""))</f>
        <v/>
      </c>
      <c r="GD145" s="44" t="str">
        <f>IF(Table1[Date of Initial Assessment]="","",IF(AND(Table1[Start Date]&gt;42460,Table1[Start Date]&lt;42826),Table1[Offending],""))</f>
        <v/>
      </c>
      <c r="GE145" s="44" t="str">
        <f>IF(Table1[Leaving Date]="","",IF(AND(Table1[Leaving Date]&gt;42460,Table1[Leaving Date]&lt;42826),IF(Table1[Date of Last Assessment]="",Table1[Motivation and Taking Responsibility],Table1[Motivation and Taking Responsibility2]),""))</f>
        <v/>
      </c>
      <c r="GF145" s="44" t="str">
        <f>IF(Table1[Leaving Date]="","",IF(AND(Table1[Leaving Date]&gt;42460,Table1[Leaving Date]&lt;42826),IF(Table1[Date of Last Assessment]="",Table1[Self-Care and Living Skills],Table1[Self-Care and Living Skills2]),""))</f>
        <v/>
      </c>
      <c r="GG145" s="44" t="str">
        <f>IF(Table1[Leaving Date]="","",IF(AND(Table1[Leaving Date]&gt;42460,Table1[Leaving Date]&lt;42826),IF(Table1[Date of Last Assessment]="",Table1[Managing Money and Personal Administration],Table1[Managing Money and Personal Administration2]),""))</f>
        <v/>
      </c>
      <c r="GH145" s="44" t="str">
        <f>IF(Table1[Leaving Date]="","",IF(AND(Table1[Leaving Date]&gt;42460,Table1[Leaving Date]&lt;42826),IF(Table1[Date of Last Assessment]="",Table1[Social Networks and Relationships],Table1[Social Networks and Relationships2]),""))</f>
        <v/>
      </c>
      <c r="GI145" s="44" t="str">
        <f>IF(Table1[Leaving Date]="","",IF(AND(Table1[Leaving Date]&gt;42460,Table1[Leaving Date]&lt;42826),IF(Table1[Date of Last Assessment]="",Table1[Drug and Alcohol Misuse],Table1[Drug and Alcohol Misuse2]),""))</f>
        <v/>
      </c>
      <c r="GJ145" s="44" t="str">
        <f>IF(Table1[Leaving Date]="","",IF(AND(Table1[Leaving Date]&gt;42460,Table1[Leaving Date]&lt;42826),IF(Table1[Date of Last Assessment]="",Table1[Physical Health],Table1[Physical Health2]),""))</f>
        <v/>
      </c>
      <c r="GK145" s="44" t="str">
        <f>IF(Table1[Leaving Date]="","",IF(AND(Table1[Leaving Date]&gt;42460,Table1[Leaving Date]&lt;42826),IF(Table1[Date of Last Assessment]="",Table1[Emotional and Mental Health],Table1[Emotional and Mental Health2]),""))</f>
        <v/>
      </c>
      <c r="GL145" s="44" t="str">
        <f>IF(Table1[Leaving Date]="","",IF(AND(Table1[Leaving Date]&gt;42460,Table1[Leaving Date]&lt;42826),IF(Table1[Date of Last Assessment]="",Table1[Meaningful Use of Time],Table1[Meaningful Use of Time2]),""))</f>
        <v/>
      </c>
      <c r="GM145" s="44" t="str">
        <f>IF(Table1[Leaving Date]="","",IF(AND(Table1[Leaving Date]&gt;42460,Table1[Leaving Date]&lt;42826),IF(Table1[Date of Last Assessment]="",Table1[Managing Tenancy and Accommodation],Table1[Managing Tenancy and Accommodation2]),""))</f>
        <v/>
      </c>
      <c r="GN145" s="44" t="str">
        <f>IF(Table1[Leaving Date]="","",IF(AND(Table1[Leaving Date]&gt;42460,Table1[Leaving Date]&lt;42826),IF(Table1[Date of Last Assessment]="",Table1[Offending],Table1[Offending2]),""))</f>
        <v/>
      </c>
    </row>
    <row r="146" spans="2:196" ht="20.100000000000001" customHeight="1" x14ac:dyDescent="0.2">
      <c r="B146" s="86">
        <f>+'Service Data'!$C$5:$C$5</f>
        <v>0</v>
      </c>
      <c r="C146" s="86"/>
      <c r="D146" s="86"/>
      <c r="E146" s="86"/>
      <c r="F146" s="86"/>
      <c r="G146" s="86"/>
      <c r="H146" s="6"/>
      <c r="I146" s="99" t="str">
        <f ca="1">IF(Table1[[#This Row],[Date of Birth]]="","",SUM(TODAY()-Table1[[#This Row],[Date of Birth]])/365)</f>
        <v/>
      </c>
      <c r="L146" s="86"/>
      <c r="M146" s="77"/>
      <c r="N146" s="86"/>
      <c r="O146" s="86"/>
      <c r="P146" s="91"/>
      <c r="Q146" s="86"/>
      <c r="R146" s="77"/>
      <c r="S146" s="77"/>
      <c r="T146" s="68"/>
      <c r="U146" s="68"/>
      <c r="V146" s="67"/>
      <c r="W146" s="67"/>
      <c r="X146" s="67"/>
      <c r="Y146" s="67"/>
      <c r="Z146" s="67"/>
      <c r="AA146" s="67"/>
      <c r="AB146" s="67"/>
      <c r="AC146" s="67"/>
      <c r="AD146" s="67"/>
      <c r="AE146" s="67"/>
      <c r="AF146" s="67"/>
      <c r="AG146" s="67"/>
      <c r="AH146" s="67"/>
      <c r="AI146" s="67"/>
      <c r="AJ146" s="67"/>
      <c r="AK146" s="67"/>
      <c r="AL146" s="67"/>
      <c r="AM146" s="67"/>
      <c r="AN146" s="77"/>
      <c r="AO146" s="76"/>
      <c r="AP146" s="77"/>
      <c r="AQ146" s="76"/>
      <c r="AR146" s="76"/>
      <c r="AS146" s="76"/>
      <c r="AT146" s="76"/>
      <c r="AU146" s="76"/>
      <c r="AV146" s="77"/>
      <c r="AW146" s="76"/>
      <c r="AX146" s="77"/>
      <c r="AY146" s="76"/>
      <c r="AZ146" s="76"/>
      <c r="BA146" s="76"/>
      <c r="BB146" s="76"/>
      <c r="BC146" s="76"/>
      <c r="BD146" s="77"/>
      <c r="BE146" s="76"/>
      <c r="BF146" s="77"/>
      <c r="BG146" s="76"/>
      <c r="BH146" s="76"/>
      <c r="BI146" s="76"/>
      <c r="BJ146" s="76"/>
      <c r="BK146" s="76"/>
      <c r="BL146" s="77"/>
      <c r="BM146" s="76"/>
      <c r="BN146" s="77"/>
      <c r="BO146" s="76"/>
      <c r="BP146" s="76"/>
      <c r="BQ146" s="76"/>
      <c r="BR146" s="76"/>
      <c r="BS146" s="76"/>
      <c r="BT146" s="77"/>
      <c r="BU146" s="76"/>
      <c r="BV146" s="77"/>
      <c r="BW146" s="76"/>
      <c r="BX146" s="76"/>
      <c r="BY146" s="76"/>
      <c r="BZ146" s="76"/>
      <c r="CA146" s="76"/>
      <c r="CB146" s="77"/>
      <c r="CC146" s="76"/>
      <c r="CD146" s="77"/>
      <c r="CE146" s="76"/>
      <c r="CF146" s="76"/>
      <c r="CG146" s="76"/>
      <c r="CH146" s="76"/>
      <c r="CI146" s="76"/>
      <c r="CJ146" s="77"/>
      <c r="CK146" s="76"/>
      <c r="CL146" s="77"/>
      <c r="CM146" s="76"/>
      <c r="CN146" s="76"/>
      <c r="CO146" s="76"/>
      <c r="CP146" s="76"/>
      <c r="CQ146" s="76"/>
      <c r="CR146" s="78" t="str">
        <f t="shared" si="47"/>
        <v/>
      </c>
      <c r="CS146" s="79" t="str">
        <f t="shared" si="48"/>
        <v/>
      </c>
      <c r="CT146" s="79" t="str">
        <f t="shared" si="49"/>
        <v/>
      </c>
      <c r="CU146" s="79" t="str">
        <f t="shared" si="50"/>
        <v/>
      </c>
      <c r="CV146" s="79" t="str">
        <f t="shared" si="51"/>
        <v/>
      </c>
      <c r="CW146" s="79" t="str">
        <f t="shared" si="52"/>
        <v/>
      </c>
      <c r="CX146" s="79" t="str">
        <f t="shared" si="53"/>
        <v/>
      </c>
      <c r="CY146" s="79" t="str">
        <f t="shared" si="54"/>
        <v/>
      </c>
      <c r="CZ146" s="79" t="str">
        <f t="shared" si="55"/>
        <v/>
      </c>
      <c r="DA146" s="79" t="str">
        <f t="shared" si="56"/>
        <v/>
      </c>
      <c r="DB146" s="79" t="str">
        <f t="shared" si="57"/>
        <v/>
      </c>
      <c r="DC146" s="79" t="str">
        <f t="shared" si="58"/>
        <v/>
      </c>
      <c r="DD146" s="79" t="str">
        <f t="shared" si="59"/>
        <v/>
      </c>
      <c r="DE146" s="79" t="str">
        <f t="shared" si="60"/>
        <v/>
      </c>
      <c r="DF146" s="79" t="str">
        <f t="shared" si="61"/>
        <v/>
      </c>
      <c r="DG146" s="79" t="str">
        <f t="shared" si="62"/>
        <v/>
      </c>
      <c r="DH146" s="76"/>
      <c r="DI146" s="78"/>
      <c r="DJ146" s="76"/>
      <c r="DK146" s="77"/>
      <c r="DL146" s="77"/>
      <c r="DM146" s="77"/>
      <c r="DN146" s="80"/>
      <c r="DO146" s="80"/>
      <c r="DP146" s="92" t="str">
        <f>IF(Table1[Start Date]="","",IF(Table1[Start Date]&gt;42185,"",IF(AND(Table1[Leaving Date]&gt;1,Table1[Leaving Date]&lt;42095),"",1)))</f>
        <v/>
      </c>
      <c r="DQ146" s="92" t="str">
        <f>IF(Table1[Start Date]="","",IF(Table1[Start Date]&gt;42277,"",IF(AND(Table1[Leaving Date]&gt;1,Table1[Leaving Date]&lt;42186),"",1)))</f>
        <v/>
      </c>
      <c r="DR146" s="92" t="str">
        <f>IF(Table1[Start Date]="","",IF(Table1[Start Date]&gt;42369,"",IF(AND(Table1[Leaving Date]&gt;1,Table1[Leaving Date]&lt;42278),"",1)))</f>
        <v/>
      </c>
      <c r="DS146" s="92" t="str">
        <f>IF(Table1[Start Date]="","",IF(Table1[Start Date]&gt;42460,"",IF(AND(Table1[Leaving Date]&gt;1,Table1[Leaving Date]&lt;42370),"",1)))</f>
        <v/>
      </c>
      <c r="DT146" s="92" t="str">
        <f>IF(Table1[Start Date]="","",IF(Table1[Start Date]&gt;42551,"",IF(AND(Table1[Leaving Date]&gt;1,Table1[Leaving Date]&lt;42461),"",1)))</f>
        <v/>
      </c>
      <c r="DU146" s="92" t="str">
        <f>IF(Table1[Start Date]="","",IF(Table1[Start Date]&gt;42643,"",IF(AND(Table1[Leaving Date]&gt;1,Table1[Leaving Date]&lt;42552),"",1)))</f>
        <v/>
      </c>
      <c r="DV146" s="92" t="str">
        <f>IF(Table1[Start Date]="","",IF(Table1[Start Date]&gt;42735,"",IF(AND(Table1[Leaving Date]&gt;1,Table1[Leaving Date]&lt;42644),"",1)))</f>
        <v/>
      </c>
      <c r="DW146" s="92" t="str">
        <f>IF(Table1[Start Date]="","",IF(Table1[Start Date]&gt;42825,"",IF(AND(Table1[Leaving Date]&gt;1,Table1[Leaving Date]&lt;42736),"",1)))</f>
        <v/>
      </c>
      <c r="DX146"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146" s="44" t="e">
        <f>VLOOKUP(Table1[Referral Source],Lists!$G$2:$H$20,2,FALSE)</f>
        <v>#N/A</v>
      </c>
      <c r="DZ146" s="93" t="e">
        <f>SUM(Table1[Data Referral Quarter]+Table1[Data Referral Source])</f>
        <v>#N/A</v>
      </c>
      <c r="EA146" s="44" t="b">
        <f>IF(Table1[Referral Decision]="Accepted",100,IF(Table1[Referral Decision]="Rejected by Provider",200,IF(Table1[Referral Decision]="Rejected by Applicant",300)))</f>
        <v>0</v>
      </c>
      <c r="EB146" s="44">
        <f>SUM(Table1[Data Referral Quarter]+Table1[Data Referral Decision])</f>
        <v>0</v>
      </c>
      <c r="EC146" s="44" t="b">
        <f>IF(Table1[Start Date]&gt;42735,8000,IF(Table1[Start Date]&gt;42643,7000,IF(Table1[Start Date]&gt;42551,6000,IF(Table1[Start Date]&gt;42460,5000,IF(Table1[Start Date]&gt;42369,4000,IF(Table1[Start Date]&gt;42277,3000,IF(Table1[Start Date]&gt;42185,2000,IF(Table1[Start Date]&gt;42094,1000))))))))</f>
        <v>0</v>
      </c>
      <c r="ED146" s="44" t="str">
        <f>IF(Table1[Start Date]="","",IF(Table1[Current Local Authority]="Swindon",1,"2"))</f>
        <v/>
      </c>
      <c r="EE146" s="44" t="e">
        <f>SUM(Table1[Data Start Date]+Table1[Data Local Authority])</f>
        <v>#VALUE!</v>
      </c>
      <c r="EF146" s="44">
        <f>IF(Table1[Registered with GP]="Yes",1,0)</f>
        <v>0</v>
      </c>
      <c r="EG146" s="44">
        <f>SUM(Table1[Data Start Date]+Table1[Data GP Start])</f>
        <v>0</v>
      </c>
      <c r="EH146" s="44" t="str">
        <f>IF(Table1[EET]="NEET",1,IF(Table1[EET]="Education",2,IF(Table1[EET]="Employment",2,IF(Table1[EET]="Training",2,IF(Table1[EET]="Retired",3,"")))))</f>
        <v/>
      </c>
      <c r="EI146" s="44" t="e">
        <f>Table1[Data Start Date]+Table1[Data EET Start]</f>
        <v>#VALUE!</v>
      </c>
      <c r="EJ146" s="44" t="b">
        <f>IF(Table1[Leaving Date]&gt;42735,8000,IF(Table1[Leaving Date]&gt;42643,7000,IF(Table1[Leaving Date]&gt;42551,6000,IF(Table1[Leaving Date]&gt;42460,5000,IF(Table1[Leaving Date]&gt;42369,4000,IF(Table1[Leaving Date]&gt;42277,3000,IF(Table1[Leaving Date]&gt;42185,2000,IF(Table1[Leaving Date]&gt;42094,1000))))))))</f>
        <v>0</v>
      </c>
      <c r="EK146" s="44" t="e">
        <f>VLOOKUP(Table1[Reason for Leaving],Lists!$T$2:$U$15,2,FALSE)</f>
        <v>#N/A</v>
      </c>
      <c r="EL146" s="44" t="e">
        <f>SUM(Table1[Data Leavers Date]+Table1[Data Move On])</f>
        <v>#N/A</v>
      </c>
      <c r="EM146" s="44" t="b">
        <f>IF(Table1[Registered with GP2]="Yes",1,IF(Table1[Registered with GP2]="No",0,IF(Table1[Registered with GP]="Yes",1,IF(Table1[Registered with GP]="No",0))))</f>
        <v>0</v>
      </c>
      <c r="EN146" s="44">
        <f>SUM(Table1[Data Leavers Date]+Table1[Data GP End])</f>
        <v>0</v>
      </c>
      <c r="EO146" s="44" t="str">
        <f>IF(Table1[EET2]="NEET",1,IF(Table1[EET2]="Employment",2,IF(Table1[EET2]="Education",2,IF(Table1[EET2]="Training",2,IF(Table1[EET2]="Retired",3,IF(Table1[EET]="NEET",1,IF(Table1[EET]="Employment",2,IF(Table1[EET]="Education",2,IF(Table1[EET]="Training",2,IF(Table1[EET]="Retired",3,""))))))))))</f>
        <v/>
      </c>
      <c r="EP146" s="44" t="e">
        <f>+Table1[[#This Row],[Data Leavers Date]]+Table1[[#This Row],[Data EET End]]</f>
        <v>#VALUE!</v>
      </c>
      <c r="EQ146" s="44">
        <f>IF(Table1[Exit Form Received]="Yes",1,0)</f>
        <v>0</v>
      </c>
      <c r="ER146" s="44">
        <f>+Table1[[#This Row],[Data Leavers Date]]+Table1[[#This Row],[Data Exit Forms]]</f>
        <v>0</v>
      </c>
      <c r="ES146" s="44" t="str">
        <f>IF(Table1[Data Leavers Date]=1000,SUM(Table1[Leaving Date]-Table1[Start Date]),"")</f>
        <v/>
      </c>
      <c r="ET146" s="44" t="str">
        <f>IF(Table1[Data Leavers Date]=2000,SUM(Table1[Leaving Date]-Table1[Start Date]),"")</f>
        <v/>
      </c>
      <c r="EU146" s="44" t="str">
        <f>IF(Table1[Data Leavers Date]=3000,SUM(Table1[Leaving Date]-Table1[Start Date]),"")</f>
        <v/>
      </c>
      <c r="EV146" s="44" t="str">
        <f>IF(Table1[Data Leavers Date]=4000,SUM(Table1[Leaving Date]-Table1[Start Date]),"")</f>
        <v/>
      </c>
      <c r="EW146" s="44" t="str">
        <f>IF(Table1[Data Leavers Date]=5000,SUM(Table1[Leaving Date]-Table1[Start Date]),"")</f>
        <v/>
      </c>
      <c r="EX146" s="44" t="str">
        <f>IF(Table1[Data Leavers Date]=6000,SUM(Table1[Leaving Date]-Table1[Start Date]),"")</f>
        <v/>
      </c>
      <c r="EY146" s="44" t="str">
        <f>IF(Table1[Data Leavers Date]=7000,SUM(Table1[Leaving Date]-Table1[Start Date]),"")</f>
        <v/>
      </c>
      <c r="EZ146" s="44" t="str">
        <f>IF(Table1[Data Leavers Date]=8000,SUM(Table1[Leaving Date]-Table1[Start Date]),"")</f>
        <v/>
      </c>
      <c r="FA146" s="44" t="str">
        <f>IF(Table1[Date of Initial Assessment]="","",IF(AND(Table1[Start Date]&gt;42094,Table1[Start Date]&lt;42461),Table1[Motivation and Taking Responsibility],""))</f>
        <v/>
      </c>
      <c r="FB146" s="44" t="str">
        <f>IF(Table1[Date of Initial Assessment]="","",IF(AND(Table1[Start Date]&gt;42094,Table1[Start Date]&lt;42461),Table1[Self-Care and Living Skills],""))</f>
        <v/>
      </c>
      <c r="FC146" s="44" t="str">
        <f>IF(Table1[Date of Initial Assessment]="","",IF(AND(Table1[Start Date]&gt;42094,Table1[Start Date]&lt;42461),Table1[Managing Money and Personal Administration],""))</f>
        <v/>
      </c>
      <c r="FD146" s="44" t="str">
        <f>IF(Table1[Date of Initial Assessment]="","",IF(AND(Table1[Start Date]&gt;42094,Table1[Start Date]&lt;42461),Table1[Social Networks and Relationships],""))</f>
        <v/>
      </c>
      <c r="FE146" s="44" t="str">
        <f>IF(Table1[Date of Initial Assessment]="","",IF(AND(Table1[Start Date]&gt;42094,Table1[Start Date]&lt;42461),Table1[Drug and Alcohol Misuse],""))</f>
        <v/>
      </c>
      <c r="FF146" s="44" t="str">
        <f>IF(Table1[Date of Initial Assessment]="","",IF(AND(Table1[Start Date]&gt;42094,Table1[Start Date]&lt;42461),Table1[Physical Health],""))</f>
        <v/>
      </c>
      <c r="FG146" s="44" t="str">
        <f>IF(Table1[Date of Initial Assessment]="","",IF(AND(Table1[Start Date]&gt;42094,Table1[Start Date]&lt;42461),Table1[Emotional and Mental Health],""))</f>
        <v/>
      </c>
      <c r="FH146" s="44" t="str">
        <f>IF(Table1[Date of Initial Assessment]="","",IF(AND(Table1[Start Date]&gt;42094,Table1[Start Date]&lt;42461),Table1[Meaningful Use of Time],""))</f>
        <v/>
      </c>
      <c r="FI146" s="44" t="str">
        <f>IF(Table1[Date of Initial Assessment]="","",IF(AND(Table1[Start Date]&gt;42094,Table1[Start Date]&lt;42461),Table1[Managing Tenancy and Accommodation],""))</f>
        <v/>
      </c>
      <c r="FJ146" s="44" t="str">
        <f>IF(Table1[Date of Initial Assessment]="","",IF(AND(Table1[Start Date]&gt;42094,Table1[Start Date]&lt;42461),Table1[Offending],""))</f>
        <v/>
      </c>
      <c r="FK146" s="44" t="str">
        <f>IF(Table1[Leaving Date]="","",IF(Table1[Date of Initial Assessment]="","",IF(AND(Table1[Leaving Date]&gt;42094,Table1[Leaving Date]&lt;42461),IF(Table1[Date of Last Assessment]="",Table1[Motivation and Taking Responsibility],Table1[Motivation and Taking Responsibility2]),"")))</f>
        <v/>
      </c>
      <c r="FL146" s="44" t="str">
        <f>IF(Table1[Leaving Date]="","",IF(Table1[Date of Initial Assessment]="","",IF(AND(Table1[Leaving Date]&gt;42094,Table1[Leaving Date]&lt;42461),IF(Table1[Date of Last Assessment]="",Table1[Self-Care and Living Skills],Table1[Self-Care and Living Skills2]),"")))</f>
        <v/>
      </c>
      <c r="FM146" s="44" t="str">
        <f>IF(Table1[Leaving Date]="","",IF(Table1[Date of Initial Assessment]="","",IF(AND(Table1[Leaving Date]&gt;42094,Table1[Leaving Date]&lt;42461),IF(Table1[Date of Last Assessment]="",Table1[Managing Money and Personal Administration],Table1[Managing Money and Personal Administration2]),"")))</f>
        <v/>
      </c>
      <c r="FN146" s="44" t="str">
        <f>IF(Table1[Leaving Date]="","",IF(Table1[Date of Initial Assessment]="","",IF(AND(Table1[Leaving Date]&gt;42094,Table1[Leaving Date]&lt;42461),IF(Table1[Date of Last Assessment]="",Table1[Social Networks and Relationships],Table1[Social Networks and Relationships2]),"")))</f>
        <v/>
      </c>
      <c r="FO146" s="44" t="str">
        <f>IF(Table1[Leaving Date]="","",IF(Table1[Date of Initial Assessment]="","",IF(AND(Table1[Leaving Date]&gt;42094,Table1[Leaving Date]&lt;42461),IF(Table1[Date of Last Assessment]="",Table1[Drug and Alcohol Misuse],Table1[Drug and Alcohol Misuse2]),"")))</f>
        <v/>
      </c>
      <c r="FP146" s="44" t="str">
        <f>IF(Table1[Leaving Date]="","",IF(Table1[Date of Initial Assessment]="","",IF(AND(Table1[Leaving Date]&gt;42094,Table1[Leaving Date]&lt;42461),IF(Table1[Date of Last Assessment]="",Table1[Physical Health],Table1[Physical Health2]),"")))</f>
        <v/>
      </c>
      <c r="FQ146" s="44" t="str">
        <f>IF(Table1[Leaving Date]="","",IF(Table1[Date of Initial Assessment]="","",IF(AND(Table1[Leaving Date]&gt;42094,Table1[Leaving Date]&lt;42461),IF(Table1[Date of Last Assessment]="",Table1[Emotional and Mental Health],Table1[Emotional and Mental Health2]),"")))</f>
        <v/>
      </c>
      <c r="FR146" s="44" t="str">
        <f>IF(Table1[Leaving Date]="","",IF(Table1[Date of Initial Assessment]="","",IF(AND(Table1[Leaving Date]&gt;42094,Table1[Leaving Date]&lt;42461),IF(Table1[Date of Last Assessment]="",Table1[Meaningful Use of Time],Table1[Meaningful Use of Time2]),"")))</f>
        <v/>
      </c>
      <c r="FS146" s="44" t="str">
        <f>IF(Table1[Leaving Date]="","",IF(Table1[Date of Initial Assessment]="","",IF(AND(Table1[Leaving Date]&gt;42094,Table1[Leaving Date]&lt;42461),IF(Table1[Date of Last Assessment]="",Table1[Managing Tenancy and Accommodation],Table1[Managing Tenancy and Accommodation2]),"")))</f>
        <v/>
      </c>
      <c r="FT146" s="44" t="str">
        <f>IF(Table1[Leaving Date]="","",IF(Table1[Date of Initial Assessment]="","",IF(AND(Table1[Leaving Date]&gt;42094,Table1[Leaving Date]&lt;42461),IF(Table1[Date of Last Assessment]="",Table1[Offending],Table1[Offending2]),"")))</f>
        <v/>
      </c>
      <c r="FU146" s="44" t="str">
        <f>IF(Table1[Date of Initial Assessment]="","",IF(AND(Table1[Start Date]&gt;42460,Table1[Start Date]&lt;42826),Table1[Motivation and Taking Responsibility],""))</f>
        <v/>
      </c>
      <c r="FV146" s="44" t="str">
        <f>IF(Table1[Date of Initial Assessment]="","",IF(AND(Table1[Start Date]&gt;42460,Table1[Start Date]&lt;42826),Table1[Self-Care and Living Skills],""))</f>
        <v/>
      </c>
      <c r="FW146" s="44" t="str">
        <f>IF(Table1[Date of Initial Assessment]="","",IF(AND(Table1[Start Date]&gt;42460,Table1[Start Date]&lt;42826),Table1[Managing Money and Personal Administration],""))</f>
        <v/>
      </c>
      <c r="FX146" s="44" t="str">
        <f>IF(Table1[Date of Initial Assessment]="","",IF(AND(Table1[Start Date]&gt;42460,Table1[Start Date]&lt;42826),Table1[Social Networks and Relationships],""))</f>
        <v/>
      </c>
      <c r="FY146" s="44" t="str">
        <f>IF(Table1[Date of Initial Assessment]="","",IF(AND(Table1[Start Date]&gt;42460,Table1[Start Date]&lt;42826),Table1[Drug and Alcohol Misuse],""))</f>
        <v/>
      </c>
      <c r="FZ146" s="44" t="str">
        <f>IF(Table1[Date of Initial Assessment]="","",IF(AND(Table1[Start Date]&gt;42460,Table1[Start Date]&lt;42826),Table1[Physical Health],""))</f>
        <v/>
      </c>
      <c r="GA146" s="44" t="str">
        <f>IF(Table1[Date of Initial Assessment]="","",IF(AND(Table1[Start Date]&gt;42460,Table1[Start Date]&lt;42826),Table1[Emotional and Mental Health],""))</f>
        <v/>
      </c>
      <c r="GB146" s="44" t="str">
        <f>IF(Table1[Date of Initial Assessment]="","",IF(AND(Table1[Start Date]&gt;42460,Table1[Start Date]&lt;42826),Table1[Meaningful Use of Time],""))</f>
        <v/>
      </c>
      <c r="GC146" s="44" t="str">
        <f>IF(Table1[Date of Initial Assessment]="","",IF(AND(Table1[Start Date]&gt;42460,Table1[Start Date]&lt;42826),Table1[Managing Tenancy and Accommodation],""))</f>
        <v/>
      </c>
      <c r="GD146" s="44" t="str">
        <f>IF(Table1[Date of Initial Assessment]="","",IF(AND(Table1[Start Date]&gt;42460,Table1[Start Date]&lt;42826),Table1[Offending],""))</f>
        <v/>
      </c>
      <c r="GE146" s="44" t="str">
        <f>IF(Table1[Leaving Date]="","",IF(AND(Table1[Leaving Date]&gt;42460,Table1[Leaving Date]&lt;42826),IF(Table1[Date of Last Assessment]="",Table1[Motivation and Taking Responsibility],Table1[Motivation and Taking Responsibility2]),""))</f>
        <v/>
      </c>
      <c r="GF146" s="44" t="str">
        <f>IF(Table1[Leaving Date]="","",IF(AND(Table1[Leaving Date]&gt;42460,Table1[Leaving Date]&lt;42826),IF(Table1[Date of Last Assessment]="",Table1[Self-Care and Living Skills],Table1[Self-Care and Living Skills2]),""))</f>
        <v/>
      </c>
      <c r="GG146" s="44" t="str">
        <f>IF(Table1[Leaving Date]="","",IF(AND(Table1[Leaving Date]&gt;42460,Table1[Leaving Date]&lt;42826),IF(Table1[Date of Last Assessment]="",Table1[Managing Money and Personal Administration],Table1[Managing Money and Personal Administration2]),""))</f>
        <v/>
      </c>
      <c r="GH146" s="44" t="str">
        <f>IF(Table1[Leaving Date]="","",IF(AND(Table1[Leaving Date]&gt;42460,Table1[Leaving Date]&lt;42826),IF(Table1[Date of Last Assessment]="",Table1[Social Networks and Relationships],Table1[Social Networks and Relationships2]),""))</f>
        <v/>
      </c>
      <c r="GI146" s="44" t="str">
        <f>IF(Table1[Leaving Date]="","",IF(AND(Table1[Leaving Date]&gt;42460,Table1[Leaving Date]&lt;42826),IF(Table1[Date of Last Assessment]="",Table1[Drug and Alcohol Misuse],Table1[Drug and Alcohol Misuse2]),""))</f>
        <v/>
      </c>
      <c r="GJ146" s="44" t="str">
        <f>IF(Table1[Leaving Date]="","",IF(AND(Table1[Leaving Date]&gt;42460,Table1[Leaving Date]&lt;42826),IF(Table1[Date of Last Assessment]="",Table1[Physical Health],Table1[Physical Health2]),""))</f>
        <v/>
      </c>
      <c r="GK146" s="44" t="str">
        <f>IF(Table1[Leaving Date]="","",IF(AND(Table1[Leaving Date]&gt;42460,Table1[Leaving Date]&lt;42826),IF(Table1[Date of Last Assessment]="",Table1[Emotional and Mental Health],Table1[Emotional and Mental Health2]),""))</f>
        <v/>
      </c>
      <c r="GL146" s="44" t="str">
        <f>IF(Table1[Leaving Date]="","",IF(AND(Table1[Leaving Date]&gt;42460,Table1[Leaving Date]&lt;42826),IF(Table1[Date of Last Assessment]="",Table1[Meaningful Use of Time],Table1[Meaningful Use of Time2]),""))</f>
        <v/>
      </c>
      <c r="GM146" s="44" t="str">
        <f>IF(Table1[Leaving Date]="","",IF(AND(Table1[Leaving Date]&gt;42460,Table1[Leaving Date]&lt;42826),IF(Table1[Date of Last Assessment]="",Table1[Managing Tenancy and Accommodation],Table1[Managing Tenancy and Accommodation2]),""))</f>
        <v/>
      </c>
      <c r="GN146" s="44" t="str">
        <f>IF(Table1[Leaving Date]="","",IF(AND(Table1[Leaving Date]&gt;42460,Table1[Leaving Date]&lt;42826),IF(Table1[Date of Last Assessment]="",Table1[Offending],Table1[Offending2]),""))</f>
        <v/>
      </c>
    </row>
    <row r="147" spans="2:196" ht="20.100000000000001" customHeight="1" x14ac:dyDescent="0.2">
      <c r="B147" s="86">
        <f>+'Service Data'!$C$5:$C$5</f>
        <v>0</v>
      </c>
      <c r="C147" s="86"/>
      <c r="D147" s="86"/>
      <c r="E147" s="86"/>
      <c r="F147" s="86"/>
      <c r="G147" s="86"/>
      <c r="H147" s="6"/>
      <c r="I147" s="99" t="str">
        <f ca="1">IF(Table1[[#This Row],[Date of Birth]]="","",SUM(TODAY()-Table1[[#This Row],[Date of Birth]])/365)</f>
        <v/>
      </c>
      <c r="L147" s="86"/>
      <c r="M147" s="77"/>
      <c r="N147" s="86"/>
      <c r="O147" s="86"/>
      <c r="P147" s="91"/>
      <c r="Q147" s="86"/>
      <c r="R147" s="77"/>
      <c r="S147" s="77"/>
      <c r="T147" s="68"/>
      <c r="U147" s="68"/>
      <c r="V147" s="67"/>
      <c r="W147" s="67"/>
      <c r="X147" s="67"/>
      <c r="Y147" s="67"/>
      <c r="Z147" s="67"/>
      <c r="AA147" s="67"/>
      <c r="AB147" s="67"/>
      <c r="AC147" s="67"/>
      <c r="AD147" s="67"/>
      <c r="AE147" s="67"/>
      <c r="AF147" s="67"/>
      <c r="AG147" s="67"/>
      <c r="AH147" s="67"/>
      <c r="AI147" s="67"/>
      <c r="AJ147" s="67"/>
      <c r="AK147" s="67"/>
      <c r="AL147" s="67"/>
      <c r="AM147" s="67"/>
      <c r="AN147" s="77"/>
      <c r="AO147" s="76"/>
      <c r="AP147" s="77"/>
      <c r="AQ147" s="76"/>
      <c r="AR147" s="76"/>
      <c r="AS147" s="76"/>
      <c r="AT147" s="76"/>
      <c r="AU147" s="76"/>
      <c r="AV147" s="77"/>
      <c r="AW147" s="76"/>
      <c r="AX147" s="77"/>
      <c r="AY147" s="76"/>
      <c r="AZ147" s="76"/>
      <c r="BA147" s="76"/>
      <c r="BB147" s="76"/>
      <c r="BC147" s="76"/>
      <c r="BD147" s="77"/>
      <c r="BE147" s="76"/>
      <c r="BF147" s="77"/>
      <c r="BG147" s="76"/>
      <c r="BH147" s="76"/>
      <c r="BI147" s="76"/>
      <c r="BJ147" s="76"/>
      <c r="BK147" s="76"/>
      <c r="BL147" s="77"/>
      <c r="BM147" s="76"/>
      <c r="BN147" s="77"/>
      <c r="BO147" s="76"/>
      <c r="BP147" s="76"/>
      <c r="BQ147" s="76"/>
      <c r="BR147" s="76"/>
      <c r="BS147" s="76"/>
      <c r="BT147" s="77"/>
      <c r="BU147" s="76"/>
      <c r="BV147" s="77"/>
      <c r="BW147" s="76"/>
      <c r="BX147" s="76"/>
      <c r="BY147" s="76"/>
      <c r="BZ147" s="76"/>
      <c r="CA147" s="76"/>
      <c r="CB147" s="77"/>
      <c r="CC147" s="76"/>
      <c r="CD147" s="77"/>
      <c r="CE147" s="76"/>
      <c r="CF147" s="76"/>
      <c r="CG147" s="76"/>
      <c r="CH147" s="76"/>
      <c r="CI147" s="76"/>
      <c r="CJ147" s="77"/>
      <c r="CK147" s="76"/>
      <c r="CL147" s="77"/>
      <c r="CM147" s="76"/>
      <c r="CN147" s="76"/>
      <c r="CO147" s="76"/>
      <c r="CP147" s="76"/>
      <c r="CQ147" s="76"/>
      <c r="CR147" s="78" t="str">
        <f t="shared" si="47"/>
        <v/>
      </c>
      <c r="CS147" s="79" t="str">
        <f t="shared" si="48"/>
        <v/>
      </c>
      <c r="CT147" s="79" t="str">
        <f t="shared" si="49"/>
        <v/>
      </c>
      <c r="CU147" s="79" t="str">
        <f t="shared" si="50"/>
        <v/>
      </c>
      <c r="CV147" s="79" t="str">
        <f t="shared" si="51"/>
        <v/>
      </c>
      <c r="CW147" s="79" t="str">
        <f t="shared" si="52"/>
        <v/>
      </c>
      <c r="CX147" s="79" t="str">
        <f t="shared" si="53"/>
        <v/>
      </c>
      <c r="CY147" s="79" t="str">
        <f t="shared" si="54"/>
        <v/>
      </c>
      <c r="CZ147" s="79" t="str">
        <f t="shared" si="55"/>
        <v/>
      </c>
      <c r="DA147" s="79" t="str">
        <f t="shared" si="56"/>
        <v/>
      </c>
      <c r="DB147" s="79" t="str">
        <f t="shared" si="57"/>
        <v/>
      </c>
      <c r="DC147" s="79" t="str">
        <f t="shared" si="58"/>
        <v/>
      </c>
      <c r="DD147" s="79" t="str">
        <f t="shared" si="59"/>
        <v/>
      </c>
      <c r="DE147" s="79" t="str">
        <f t="shared" si="60"/>
        <v/>
      </c>
      <c r="DF147" s="79" t="str">
        <f t="shared" si="61"/>
        <v/>
      </c>
      <c r="DG147" s="79" t="str">
        <f t="shared" si="62"/>
        <v/>
      </c>
      <c r="DH147" s="76"/>
      <c r="DI147" s="78"/>
      <c r="DJ147" s="76"/>
      <c r="DK147" s="77"/>
      <c r="DL147" s="77"/>
      <c r="DM147" s="77"/>
      <c r="DN147" s="80"/>
      <c r="DO147" s="80"/>
      <c r="DP147" s="92" t="str">
        <f>IF(Table1[Start Date]="","",IF(Table1[Start Date]&gt;42185,"",IF(AND(Table1[Leaving Date]&gt;1,Table1[Leaving Date]&lt;42095),"",1)))</f>
        <v/>
      </c>
      <c r="DQ147" s="92" t="str">
        <f>IF(Table1[Start Date]="","",IF(Table1[Start Date]&gt;42277,"",IF(AND(Table1[Leaving Date]&gt;1,Table1[Leaving Date]&lt;42186),"",1)))</f>
        <v/>
      </c>
      <c r="DR147" s="92" t="str">
        <f>IF(Table1[Start Date]="","",IF(Table1[Start Date]&gt;42369,"",IF(AND(Table1[Leaving Date]&gt;1,Table1[Leaving Date]&lt;42278),"",1)))</f>
        <v/>
      </c>
      <c r="DS147" s="92" t="str">
        <f>IF(Table1[Start Date]="","",IF(Table1[Start Date]&gt;42460,"",IF(AND(Table1[Leaving Date]&gt;1,Table1[Leaving Date]&lt;42370),"",1)))</f>
        <v/>
      </c>
      <c r="DT147" s="92" t="str">
        <f>IF(Table1[Start Date]="","",IF(Table1[Start Date]&gt;42551,"",IF(AND(Table1[Leaving Date]&gt;1,Table1[Leaving Date]&lt;42461),"",1)))</f>
        <v/>
      </c>
      <c r="DU147" s="92" t="str">
        <f>IF(Table1[Start Date]="","",IF(Table1[Start Date]&gt;42643,"",IF(AND(Table1[Leaving Date]&gt;1,Table1[Leaving Date]&lt;42552),"",1)))</f>
        <v/>
      </c>
      <c r="DV147" s="92" t="str">
        <f>IF(Table1[Start Date]="","",IF(Table1[Start Date]&gt;42735,"",IF(AND(Table1[Leaving Date]&gt;1,Table1[Leaving Date]&lt;42644),"",1)))</f>
        <v/>
      </c>
      <c r="DW147" s="92" t="str">
        <f>IF(Table1[Start Date]="","",IF(Table1[Start Date]&gt;42825,"",IF(AND(Table1[Leaving Date]&gt;1,Table1[Leaving Date]&lt;42736),"",1)))</f>
        <v/>
      </c>
      <c r="DX147"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147" s="44" t="e">
        <f>VLOOKUP(Table1[Referral Source],Lists!$G$2:$H$20,2,FALSE)</f>
        <v>#N/A</v>
      </c>
      <c r="DZ147" s="93" t="e">
        <f>SUM(Table1[Data Referral Quarter]+Table1[Data Referral Source])</f>
        <v>#N/A</v>
      </c>
      <c r="EA147" s="44" t="b">
        <f>IF(Table1[Referral Decision]="Accepted",100,IF(Table1[Referral Decision]="Rejected by Provider",200,IF(Table1[Referral Decision]="Rejected by Applicant",300)))</f>
        <v>0</v>
      </c>
      <c r="EB147" s="44">
        <f>SUM(Table1[Data Referral Quarter]+Table1[Data Referral Decision])</f>
        <v>0</v>
      </c>
      <c r="EC147" s="44" t="b">
        <f>IF(Table1[Start Date]&gt;42735,8000,IF(Table1[Start Date]&gt;42643,7000,IF(Table1[Start Date]&gt;42551,6000,IF(Table1[Start Date]&gt;42460,5000,IF(Table1[Start Date]&gt;42369,4000,IF(Table1[Start Date]&gt;42277,3000,IF(Table1[Start Date]&gt;42185,2000,IF(Table1[Start Date]&gt;42094,1000))))))))</f>
        <v>0</v>
      </c>
      <c r="ED147" s="44" t="str">
        <f>IF(Table1[Start Date]="","",IF(Table1[Current Local Authority]="Swindon",1,"2"))</f>
        <v/>
      </c>
      <c r="EE147" s="44" t="e">
        <f>SUM(Table1[Data Start Date]+Table1[Data Local Authority])</f>
        <v>#VALUE!</v>
      </c>
      <c r="EF147" s="44">
        <f>IF(Table1[Registered with GP]="Yes",1,0)</f>
        <v>0</v>
      </c>
      <c r="EG147" s="44">
        <f>SUM(Table1[Data Start Date]+Table1[Data GP Start])</f>
        <v>0</v>
      </c>
      <c r="EH147" s="44" t="str">
        <f>IF(Table1[EET]="NEET",1,IF(Table1[EET]="Education",2,IF(Table1[EET]="Employment",2,IF(Table1[EET]="Training",2,IF(Table1[EET]="Retired",3,"")))))</f>
        <v/>
      </c>
      <c r="EI147" s="44" t="e">
        <f>Table1[Data Start Date]+Table1[Data EET Start]</f>
        <v>#VALUE!</v>
      </c>
      <c r="EJ147" s="44" t="b">
        <f>IF(Table1[Leaving Date]&gt;42735,8000,IF(Table1[Leaving Date]&gt;42643,7000,IF(Table1[Leaving Date]&gt;42551,6000,IF(Table1[Leaving Date]&gt;42460,5000,IF(Table1[Leaving Date]&gt;42369,4000,IF(Table1[Leaving Date]&gt;42277,3000,IF(Table1[Leaving Date]&gt;42185,2000,IF(Table1[Leaving Date]&gt;42094,1000))))))))</f>
        <v>0</v>
      </c>
      <c r="EK147" s="44" t="e">
        <f>VLOOKUP(Table1[Reason for Leaving],Lists!$T$2:$U$15,2,FALSE)</f>
        <v>#N/A</v>
      </c>
      <c r="EL147" s="44" t="e">
        <f>SUM(Table1[Data Leavers Date]+Table1[Data Move On])</f>
        <v>#N/A</v>
      </c>
      <c r="EM147" s="44" t="b">
        <f>IF(Table1[Registered with GP2]="Yes",1,IF(Table1[Registered with GP2]="No",0,IF(Table1[Registered with GP]="Yes",1,IF(Table1[Registered with GP]="No",0))))</f>
        <v>0</v>
      </c>
      <c r="EN147" s="44">
        <f>SUM(Table1[Data Leavers Date]+Table1[Data GP End])</f>
        <v>0</v>
      </c>
      <c r="EO147" s="44" t="str">
        <f>IF(Table1[EET2]="NEET",1,IF(Table1[EET2]="Employment",2,IF(Table1[EET2]="Education",2,IF(Table1[EET2]="Training",2,IF(Table1[EET2]="Retired",3,IF(Table1[EET]="NEET",1,IF(Table1[EET]="Employment",2,IF(Table1[EET]="Education",2,IF(Table1[EET]="Training",2,IF(Table1[EET]="Retired",3,""))))))))))</f>
        <v/>
      </c>
      <c r="EP147" s="44" t="e">
        <f>+Table1[[#This Row],[Data Leavers Date]]+Table1[[#This Row],[Data EET End]]</f>
        <v>#VALUE!</v>
      </c>
      <c r="EQ147" s="44">
        <f>IF(Table1[Exit Form Received]="Yes",1,0)</f>
        <v>0</v>
      </c>
      <c r="ER147" s="44">
        <f>+Table1[[#This Row],[Data Leavers Date]]+Table1[[#This Row],[Data Exit Forms]]</f>
        <v>0</v>
      </c>
      <c r="ES147" s="44" t="str">
        <f>IF(Table1[Data Leavers Date]=1000,SUM(Table1[Leaving Date]-Table1[Start Date]),"")</f>
        <v/>
      </c>
      <c r="ET147" s="44" t="str">
        <f>IF(Table1[Data Leavers Date]=2000,SUM(Table1[Leaving Date]-Table1[Start Date]),"")</f>
        <v/>
      </c>
      <c r="EU147" s="44" t="str">
        <f>IF(Table1[Data Leavers Date]=3000,SUM(Table1[Leaving Date]-Table1[Start Date]),"")</f>
        <v/>
      </c>
      <c r="EV147" s="44" t="str">
        <f>IF(Table1[Data Leavers Date]=4000,SUM(Table1[Leaving Date]-Table1[Start Date]),"")</f>
        <v/>
      </c>
      <c r="EW147" s="44" t="str">
        <f>IF(Table1[Data Leavers Date]=5000,SUM(Table1[Leaving Date]-Table1[Start Date]),"")</f>
        <v/>
      </c>
      <c r="EX147" s="44" t="str">
        <f>IF(Table1[Data Leavers Date]=6000,SUM(Table1[Leaving Date]-Table1[Start Date]),"")</f>
        <v/>
      </c>
      <c r="EY147" s="44" t="str">
        <f>IF(Table1[Data Leavers Date]=7000,SUM(Table1[Leaving Date]-Table1[Start Date]),"")</f>
        <v/>
      </c>
      <c r="EZ147" s="44" t="str">
        <f>IF(Table1[Data Leavers Date]=8000,SUM(Table1[Leaving Date]-Table1[Start Date]),"")</f>
        <v/>
      </c>
      <c r="FA147" s="44" t="str">
        <f>IF(Table1[Date of Initial Assessment]="","",IF(AND(Table1[Start Date]&gt;42094,Table1[Start Date]&lt;42461),Table1[Motivation and Taking Responsibility],""))</f>
        <v/>
      </c>
      <c r="FB147" s="44" t="str">
        <f>IF(Table1[Date of Initial Assessment]="","",IF(AND(Table1[Start Date]&gt;42094,Table1[Start Date]&lt;42461),Table1[Self-Care and Living Skills],""))</f>
        <v/>
      </c>
      <c r="FC147" s="44" t="str">
        <f>IF(Table1[Date of Initial Assessment]="","",IF(AND(Table1[Start Date]&gt;42094,Table1[Start Date]&lt;42461),Table1[Managing Money and Personal Administration],""))</f>
        <v/>
      </c>
      <c r="FD147" s="44" t="str">
        <f>IF(Table1[Date of Initial Assessment]="","",IF(AND(Table1[Start Date]&gt;42094,Table1[Start Date]&lt;42461),Table1[Social Networks and Relationships],""))</f>
        <v/>
      </c>
      <c r="FE147" s="44" t="str">
        <f>IF(Table1[Date of Initial Assessment]="","",IF(AND(Table1[Start Date]&gt;42094,Table1[Start Date]&lt;42461),Table1[Drug and Alcohol Misuse],""))</f>
        <v/>
      </c>
      <c r="FF147" s="44" t="str">
        <f>IF(Table1[Date of Initial Assessment]="","",IF(AND(Table1[Start Date]&gt;42094,Table1[Start Date]&lt;42461),Table1[Physical Health],""))</f>
        <v/>
      </c>
      <c r="FG147" s="44" t="str">
        <f>IF(Table1[Date of Initial Assessment]="","",IF(AND(Table1[Start Date]&gt;42094,Table1[Start Date]&lt;42461),Table1[Emotional and Mental Health],""))</f>
        <v/>
      </c>
      <c r="FH147" s="44" t="str">
        <f>IF(Table1[Date of Initial Assessment]="","",IF(AND(Table1[Start Date]&gt;42094,Table1[Start Date]&lt;42461),Table1[Meaningful Use of Time],""))</f>
        <v/>
      </c>
      <c r="FI147" s="44" t="str">
        <f>IF(Table1[Date of Initial Assessment]="","",IF(AND(Table1[Start Date]&gt;42094,Table1[Start Date]&lt;42461),Table1[Managing Tenancy and Accommodation],""))</f>
        <v/>
      </c>
      <c r="FJ147" s="44" t="str">
        <f>IF(Table1[Date of Initial Assessment]="","",IF(AND(Table1[Start Date]&gt;42094,Table1[Start Date]&lt;42461),Table1[Offending],""))</f>
        <v/>
      </c>
      <c r="FK147" s="44" t="str">
        <f>IF(Table1[Leaving Date]="","",IF(Table1[Date of Initial Assessment]="","",IF(AND(Table1[Leaving Date]&gt;42094,Table1[Leaving Date]&lt;42461),IF(Table1[Date of Last Assessment]="",Table1[Motivation and Taking Responsibility],Table1[Motivation and Taking Responsibility2]),"")))</f>
        <v/>
      </c>
      <c r="FL147" s="44" t="str">
        <f>IF(Table1[Leaving Date]="","",IF(Table1[Date of Initial Assessment]="","",IF(AND(Table1[Leaving Date]&gt;42094,Table1[Leaving Date]&lt;42461),IF(Table1[Date of Last Assessment]="",Table1[Self-Care and Living Skills],Table1[Self-Care and Living Skills2]),"")))</f>
        <v/>
      </c>
      <c r="FM147" s="44" t="str">
        <f>IF(Table1[Leaving Date]="","",IF(Table1[Date of Initial Assessment]="","",IF(AND(Table1[Leaving Date]&gt;42094,Table1[Leaving Date]&lt;42461),IF(Table1[Date of Last Assessment]="",Table1[Managing Money and Personal Administration],Table1[Managing Money and Personal Administration2]),"")))</f>
        <v/>
      </c>
      <c r="FN147" s="44" t="str">
        <f>IF(Table1[Leaving Date]="","",IF(Table1[Date of Initial Assessment]="","",IF(AND(Table1[Leaving Date]&gt;42094,Table1[Leaving Date]&lt;42461),IF(Table1[Date of Last Assessment]="",Table1[Social Networks and Relationships],Table1[Social Networks and Relationships2]),"")))</f>
        <v/>
      </c>
      <c r="FO147" s="44" t="str">
        <f>IF(Table1[Leaving Date]="","",IF(Table1[Date of Initial Assessment]="","",IF(AND(Table1[Leaving Date]&gt;42094,Table1[Leaving Date]&lt;42461),IF(Table1[Date of Last Assessment]="",Table1[Drug and Alcohol Misuse],Table1[Drug and Alcohol Misuse2]),"")))</f>
        <v/>
      </c>
      <c r="FP147" s="44" t="str">
        <f>IF(Table1[Leaving Date]="","",IF(Table1[Date of Initial Assessment]="","",IF(AND(Table1[Leaving Date]&gt;42094,Table1[Leaving Date]&lt;42461),IF(Table1[Date of Last Assessment]="",Table1[Physical Health],Table1[Physical Health2]),"")))</f>
        <v/>
      </c>
      <c r="FQ147" s="44" t="str">
        <f>IF(Table1[Leaving Date]="","",IF(Table1[Date of Initial Assessment]="","",IF(AND(Table1[Leaving Date]&gt;42094,Table1[Leaving Date]&lt;42461),IF(Table1[Date of Last Assessment]="",Table1[Emotional and Mental Health],Table1[Emotional and Mental Health2]),"")))</f>
        <v/>
      </c>
      <c r="FR147" s="44" t="str">
        <f>IF(Table1[Leaving Date]="","",IF(Table1[Date of Initial Assessment]="","",IF(AND(Table1[Leaving Date]&gt;42094,Table1[Leaving Date]&lt;42461),IF(Table1[Date of Last Assessment]="",Table1[Meaningful Use of Time],Table1[Meaningful Use of Time2]),"")))</f>
        <v/>
      </c>
      <c r="FS147" s="44" t="str">
        <f>IF(Table1[Leaving Date]="","",IF(Table1[Date of Initial Assessment]="","",IF(AND(Table1[Leaving Date]&gt;42094,Table1[Leaving Date]&lt;42461),IF(Table1[Date of Last Assessment]="",Table1[Managing Tenancy and Accommodation],Table1[Managing Tenancy and Accommodation2]),"")))</f>
        <v/>
      </c>
      <c r="FT147" s="44" t="str">
        <f>IF(Table1[Leaving Date]="","",IF(Table1[Date of Initial Assessment]="","",IF(AND(Table1[Leaving Date]&gt;42094,Table1[Leaving Date]&lt;42461),IF(Table1[Date of Last Assessment]="",Table1[Offending],Table1[Offending2]),"")))</f>
        <v/>
      </c>
      <c r="FU147" s="44" t="str">
        <f>IF(Table1[Date of Initial Assessment]="","",IF(AND(Table1[Start Date]&gt;42460,Table1[Start Date]&lt;42826),Table1[Motivation and Taking Responsibility],""))</f>
        <v/>
      </c>
      <c r="FV147" s="44" t="str">
        <f>IF(Table1[Date of Initial Assessment]="","",IF(AND(Table1[Start Date]&gt;42460,Table1[Start Date]&lt;42826),Table1[Self-Care and Living Skills],""))</f>
        <v/>
      </c>
      <c r="FW147" s="44" t="str">
        <f>IF(Table1[Date of Initial Assessment]="","",IF(AND(Table1[Start Date]&gt;42460,Table1[Start Date]&lt;42826),Table1[Managing Money and Personal Administration],""))</f>
        <v/>
      </c>
      <c r="FX147" s="44" t="str">
        <f>IF(Table1[Date of Initial Assessment]="","",IF(AND(Table1[Start Date]&gt;42460,Table1[Start Date]&lt;42826),Table1[Social Networks and Relationships],""))</f>
        <v/>
      </c>
      <c r="FY147" s="44" t="str">
        <f>IF(Table1[Date of Initial Assessment]="","",IF(AND(Table1[Start Date]&gt;42460,Table1[Start Date]&lt;42826),Table1[Drug and Alcohol Misuse],""))</f>
        <v/>
      </c>
      <c r="FZ147" s="44" t="str">
        <f>IF(Table1[Date of Initial Assessment]="","",IF(AND(Table1[Start Date]&gt;42460,Table1[Start Date]&lt;42826),Table1[Physical Health],""))</f>
        <v/>
      </c>
      <c r="GA147" s="44" t="str">
        <f>IF(Table1[Date of Initial Assessment]="","",IF(AND(Table1[Start Date]&gt;42460,Table1[Start Date]&lt;42826),Table1[Emotional and Mental Health],""))</f>
        <v/>
      </c>
      <c r="GB147" s="44" t="str">
        <f>IF(Table1[Date of Initial Assessment]="","",IF(AND(Table1[Start Date]&gt;42460,Table1[Start Date]&lt;42826),Table1[Meaningful Use of Time],""))</f>
        <v/>
      </c>
      <c r="GC147" s="44" t="str">
        <f>IF(Table1[Date of Initial Assessment]="","",IF(AND(Table1[Start Date]&gt;42460,Table1[Start Date]&lt;42826),Table1[Managing Tenancy and Accommodation],""))</f>
        <v/>
      </c>
      <c r="GD147" s="44" t="str">
        <f>IF(Table1[Date of Initial Assessment]="","",IF(AND(Table1[Start Date]&gt;42460,Table1[Start Date]&lt;42826),Table1[Offending],""))</f>
        <v/>
      </c>
      <c r="GE147" s="44" t="str">
        <f>IF(Table1[Leaving Date]="","",IF(AND(Table1[Leaving Date]&gt;42460,Table1[Leaving Date]&lt;42826),IF(Table1[Date of Last Assessment]="",Table1[Motivation and Taking Responsibility],Table1[Motivation and Taking Responsibility2]),""))</f>
        <v/>
      </c>
      <c r="GF147" s="44" t="str">
        <f>IF(Table1[Leaving Date]="","",IF(AND(Table1[Leaving Date]&gt;42460,Table1[Leaving Date]&lt;42826),IF(Table1[Date of Last Assessment]="",Table1[Self-Care and Living Skills],Table1[Self-Care and Living Skills2]),""))</f>
        <v/>
      </c>
      <c r="GG147" s="44" t="str">
        <f>IF(Table1[Leaving Date]="","",IF(AND(Table1[Leaving Date]&gt;42460,Table1[Leaving Date]&lt;42826),IF(Table1[Date of Last Assessment]="",Table1[Managing Money and Personal Administration],Table1[Managing Money and Personal Administration2]),""))</f>
        <v/>
      </c>
      <c r="GH147" s="44" t="str">
        <f>IF(Table1[Leaving Date]="","",IF(AND(Table1[Leaving Date]&gt;42460,Table1[Leaving Date]&lt;42826),IF(Table1[Date of Last Assessment]="",Table1[Social Networks and Relationships],Table1[Social Networks and Relationships2]),""))</f>
        <v/>
      </c>
      <c r="GI147" s="44" t="str">
        <f>IF(Table1[Leaving Date]="","",IF(AND(Table1[Leaving Date]&gt;42460,Table1[Leaving Date]&lt;42826),IF(Table1[Date of Last Assessment]="",Table1[Drug and Alcohol Misuse],Table1[Drug and Alcohol Misuse2]),""))</f>
        <v/>
      </c>
      <c r="GJ147" s="44" t="str">
        <f>IF(Table1[Leaving Date]="","",IF(AND(Table1[Leaving Date]&gt;42460,Table1[Leaving Date]&lt;42826),IF(Table1[Date of Last Assessment]="",Table1[Physical Health],Table1[Physical Health2]),""))</f>
        <v/>
      </c>
      <c r="GK147" s="44" t="str">
        <f>IF(Table1[Leaving Date]="","",IF(AND(Table1[Leaving Date]&gt;42460,Table1[Leaving Date]&lt;42826),IF(Table1[Date of Last Assessment]="",Table1[Emotional and Mental Health],Table1[Emotional and Mental Health2]),""))</f>
        <v/>
      </c>
      <c r="GL147" s="44" t="str">
        <f>IF(Table1[Leaving Date]="","",IF(AND(Table1[Leaving Date]&gt;42460,Table1[Leaving Date]&lt;42826),IF(Table1[Date of Last Assessment]="",Table1[Meaningful Use of Time],Table1[Meaningful Use of Time2]),""))</f>
        <v/>
      </c>
      <c r="GM147" s="44" t="str">
        <f>IF(Table1[Leaving Date]="","",IF(AND(Table1[Leaving Date]&gt;42460,Table1[Leaving Date]&lt;42826),IF(Table1[Date of Last Assessment]="",Table1[Managing Tenancy and Accommodation],Table1[Managing Tenancy and Accommodation2]),""))</f>
        <v/>
      </c>
      <c r="GN147" s="44" t="str">
        <f>IF(Table1[Leaving Date]="","",IF(AND(Table1[Leaving Date]&gt;42460,Table1[Leaving Date]&lt;42826),IF(Table1[Date of Last Assessment]="",Table1[Offending],Table1[Offending2]),""))</f>
        <v/>
      </c>
    </row>
    <row r="148" spans="2:196" ht="20.100000000000001" customHeight="1" x14ac:dyDescent="0.2">
      <c r="B148" s="86">
        <f>+'Service Data'!$C$5:$C$5</f>
        <v>0</v>
      </c>
      <c r="C148" s="86"/>
      <c r="D148" s="86"/>
      <c r="E148" s="86"/>
      <c r="F148" s="86"/>
      <c r="G148" s="86"/>
      <c r="H148" s="6"/>
      <c r="I148" s="99" t="str">
        <f ca="1">IF(Table1[[#This Row],[Date of Birth]]="","",SUM(TODAY()-Table1[[#This Row],[Date of Birth]])/365)</f>
        <v/>
      </c>
      <c r="L148" s="86"/>
      <c r="M148" s="77"/>
      <c r="N148" s="86"/>
      <c r="O148" s="86"/>
      <c r="P148" s="91"/>
      <c r="Q148" s="86"/>
      <c r="R148" s="77"/>
      <c r="S148" s="77"/>
      <c r="T148" s="68"/>
      <c r="U148" s="68"/>
      <c r="V148" s="67"/>
      <c r="W148" s="67"/>
      <c r="X148" s="67"/>
      <c r="Y148" s="67"/>
      <c r="Z148" s="67"/>
      <c r="AA148" s="67"/>
      <c r="AB148" s="67"/>
      <c r="AC148" s="67"/>
      <c r="AD148" s="67"/>
      <c r="AE148" s="67"/>
      <c r="AF148" s="67"/>
      <c r="AG148" s="67"/>
      <c r="AH148" s="67"/>
      <c r="AI148" s="67"/>
      <c r="AJ148" s="67"/>
      <c r="AK148" s="67"/>
      <c r="AL148" s="67"/>
      <c r="AM148" s="67"/>
      <c r="AN148" s="77"/>
      <c r="AO148" s="76"/>
      <c r="AP148" s="77"/>
      <c r="AQ148" s="76"/>
      <c r="AR148" s="76"/>
      <c r="AS148" s="76"/>
      <c r="AT148" s="76"/>
      <c r="AU148" s="76"/>
      <c r="AV148" s="77"/>
      <c r="AW148" s="76"/>
      <c r="AX148" s="77"/>
      <c r="AY148" s="76"/>
      <c r="AZ148" s="76"/>
      <c r="BA148" s="76"/>
      <c r="BB148" s="76"/>
      <c r="BC148" s="76"/>
      <c r="BD148" s="77"/>
      <c r="BE148" s="76"/>
      <c r="BF148" s="77"/>
      <c r="BG148" s="76"/>
      <c r="BH148" s="76"/>
      <c r="BI148" s="76"/>
      <c r="BJ148" s="76"/>
      <c r="BK148" s="76"/>
      <c r="BL148" s="77"/>
      <c r="BM148" s="76"/>
      <c r="BN148" s="77"/>
      <c r="BO148" s="76"/>
      <c r="BP148" s="76"/>
      <c r="BQ148" s="76"/>
      <c r="BR148" s="76"/>
      <c r="BS148" s="76"/>
      <c r="BT148" s="77"/>
      <c r="BU148" s="76"/>
      <c r="BV148" s="77"/>
      <c r="BW148" s="76"/>
      <c r="BX148" s="76"/>
      <c r="BY148" s="76"/>
      <c r="BZ148" s="76"/>
      <c r="CA148" s="76"/>
      <c r="CB148" s="77"/>
      <c r="CC148" s="76"/>
      <c r="CD148" s="77"/>
      <c r="CE148" s="76"/>
      <c r="CF148" s="76"/>
      <c r="CG148" s="76"/>
      <c r="CH148" s="76"/>
      <c r="CI148" s="76"/>
      <c r="CJ148" s="77"/>
      <c r="CK148" s="76"/>
      <c r="CL148" s="77"/>
      <c r="CM148" s="76"/>
      <c r="CN148" s="76"/>
      <c r="CO148" s="76"/>
      <c r="CP148" s="76"/>
      <c r="CQ148" s="76"/>
      <c r="CR148" s="78" t="str">
        <f t="shared" si="47"/>
        <v/>
      </c>
      <c r="CS148" s="79" t="str">
        <f t="shared" si="48"/>
        <v/>
      </c>
      <c r="CT148" s="79" t="str">
        <f t="shared" si="49"/>
        <v/>
      </c>
      <c r="CU148" s="79" t="str">
        <f t="shared" si="50"/>
        <v/>
      </c>
      <c r="CV148" s="79" t="str">
        <f t="shared" si="51"/>
        <v/>
      </c>
      <c r="CW148" s="79" t="str">
        <f t="shared" si="52"/>
        <v/>
      </c>
      <c r="CX148" s="79" t="str">
        <f t="shared" si="53"/>
        <v/>
      </c>
      <c r="CY148" s="79" t="str">
        <f t="shared" si="54"/>
        <v/>
      </c>
      <c r="CZ148" s="79" t="str">
        <f t="shared" si="55"/>
        <v/>
      </c>
      <c r="DA148" s="79" t="str">
        <f t="shared" si="56"/>
        <v/>
      </c>
      <c r="DB148" s="79" t="str">
        <f t="shared" si="57"/>
        <v/>
      </c>
      <c r="DC148" s="79" t="str">
        <f t="shared" si="58"/>
        <v/>
      </c>
      <c r="DD148" s="79" t="str">
        <f t="shared" si="59"/>
        <v/>
      </c>
      <c r="DE148" s="79" t="str">
        <f t="shared" si="60"/>
        <v/>
      </c>
      <c r="DF148" s="79" t="str">
        <f t="shared" si="61"/>
        <v/>
      </c>
      <c r="DG148" s="79" t="str">
        <f t="shared" si="62"/>
        <v/>
      </c>
      <c r="DH148" s="76"/>
      <c r="DI148" s="78"/>
      <c r="DJ148" s="76"/>
      <c r="DK148" s="77"/>
      <c r="DL148" s="77"/>
      <c r="DM148" s="77"/>
      <c r="DN148" s="80"/>
      <c r="DO148" s="80"/>
      <c r="DP148" s="92" t="str">
        <f>IF(Table1[Start Date]="","",IF(Table1[Start Date]&gt;42185,"",IF(AND(Table1[Leaving Date]&gt;1,Table1[Leaving Date]&lt;42095),"",1)))</f>
        <v/>
      </c>
      <c r="DQ148" s="92" t="str">
        <f>IF(Table1[Start Date]="","",IF(Table1[Start Date]&gt;42277,"",IF(AND(Table1[Leaving Date]&gt;1,Table1[Leaving Date]&lt;42186),"",1)))</f>
        <v/>
      </c>
      <c r="DR148" s="92" t="str">
        <f>IF(Table1[Start Date]="","",IF(Table1[Start Date]&gt;42369,"",IF(AND(Table1[Leaving Date]&gt;1,Table1[Leaving Date]&lt;42278),"",1)))</f>
        <v/>
      </c>
      <c r="DS148" s="92" t="str">
        <f>IF(Table1[Start Date]="","",IF(Table1[Start Date]&gt;42460,"",IF(AND(Table1[Leaving Date]&gt;1,Table1[Leaving Date]&lt;42370),"",1)))</f>
        <v/>
      </c>
      <c r="DT148" s="92" t="str">
        <f>IF(Table1[Start Date]="","",IF(Table1[Start Date]&gt;42551,"",IF(AND(Table1[Leaving Date]&gt;1,Table1[Leaving Date]&lt;42461),"",1)))</f>
        <v/>
      </c>
      <c r="DU148" s="92" t="str">
        <f>IF(Table1[Start Date]="","",IF(Table1[Start Date]&gt;42643,"",IF(AND(Table1[Leaving Date]&gt;1,Table1[Leaving Date]&lt;42552),"",1)))</f>
        <v/>
      </c>
      <c r="DV148" s="92" t="str">
        <f>IF(Table1[Start Date]="","",IF(Table1[Start Date]&gt;42735,"",IF(AND(Table1[Leaving Date]&gt;1,Table1[Leaving Date]&lt;42644),"",1)))</f>
        <v/>
      </c>
      <c r="DW148" s="92" t="str">
        <f>IF(Table1[Start Date]="","",IF(Table1[Start Date]&gt;42825,"",IF(AND(Table1[Leaving Date]&gt;1,Table1[Leaving Date]&lt;42736),"",1)))</f>
        <v/>
      </c>
      <c r="DX148"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148" s="44" t="e">
        <f>VLOOKUP(Table1[Referral Source],Lists!$G$2:$H$20,2,FALSE)</f>
        <v>#N/A</v>
      </c>
      <c r="DZ148" s="93" t="e">
        <f>SUM(Table1[Data Referral Quarter]+Table1[Data Referral Source])</f>
        <v>#N/A</v>
      </c>
      <c r="EA148" s="44" t="b">
        <f>IF(Table1[Referral Decision]="Accepted",100,IF(Table1[Referral Decision]="Rejected by Provider",200,IF(Table1[Referral Decision]="Rejected by Applicant",300)))</f>
        <v>0</v>
      </c>
      <c r="EB148" s="44">
        <f>SUM(Table1[Data Referral Quarter]+Table1[Data Referral Decision])</f>
        <v>0</v>
      </c>
      <c r="EC148" s="44" t="b">
        <f>IF(Table1[Start Date]&gt;42735,8000,IF(Table1[Start Date]&gt;42643,7000,IF(Table1[Start Date]&gt;42551,6000,IF(Table1[Start Date]&gt;42460,5000,IF(Table1[Start Date]&gt;42369,4000,IF(Table1[Start Date]&gt;42277,3000,IF(Table1[Start Date]&gt;42185,2000,IF(Table1[Start Date]&gt;42094,1000))))))))</f>
        <v>0</v>
      </c>
      <c r="ED148" s="44" t="str">
        <f>IF(Table1[Start Date]="","",IF(Table1[Current Local Authority]="Swindon",1,"2"))</f>
        <v/>
      </c>
      <c r="EE148" s="44" t="e">
        <f>SUM(Table1[Data Start Date]+Table1[Data Local Authority])</f>
        <v>#VALUE!</v>
      </c>
      <c r="EF148" s="44">
        <f>IF(Table1[Registered with GP]="Yes",1,0)</f>
        <v>0</v>
      </c>
      <c r="EG148" s="44">
        <f>SUM(Table1[Data Start Date]+Table1[Data GP Start])</f>
        <v>0</v>
      </c>
      <c r="EH148" s="44" t="str">
        <f>IF(Table1[EET]="NEET",1,IF(Table1[EET]="Education",2,IF(Table1[EET]="Employment",2,IF(Table1[EET]="Training",2,IF(Table1[EET]="Retired",3,"")))))</f>
        <v/>
      </c>
      <c r="EI148" s="44" t="e">
        <f>Table1[Data Start Date]+Table1[Data EET Start]</f>
        <v>#VALUE!</v>
      </c>
      <c r="EJ148" s="44" t="b">
        <f>IF(Table1[Leaving Date]&gt;42735,8000,IF(Table1[Leaving Date]&gt;42643,7000,IF(Table1[Leaving Date]&gt;42551,6000,IF(Table1[Leaving Date]&gt;42460,5000,IF(Table1[Leaving Date]&gt;42369,4000,IF(Table1[Leaving Date]&gt;42277,3000,IF(Table1[Leaving Date]&gt;42185,2000,IF(Table1[Leaving Date]&gt;42094,1000))))))))</f>
        <v>0</v>
      </c>
      <c r="EK148" s="44" t="e">
        <f>VLOOKUP(Table1[Reason for Leaving],Lists!$T$2:$U$15,2,FALSE)</f>
        <v>#N/A</v>
      </c>
      <c r="EL148" s="44" t="e">
        <f>SUM(Table1[Data Leavers Date]+Table1[Data Move On])</f>
        <v>#N/A</v>
      </c>
      <c r="EM148" s="44" t="b">
        <f>IF(Table1[Registered with GP2]="Yes",1,IF(Table1[Registered with GP2]="No",0,IF(Table1[Registered with GP]="Yes",1,IF(Table1[Registered with GP]="No",0))))</f>
        <v>0</v>
      </c>
      <c r="EN148" s="44">
        <f>SUM(Table1[Data Leavers Date]+Table1[Data GP End])</f>
        <v>0</v>
      </c>
      <c r="EO148" s="44" t="str">
        <f>IF(Table1[EET2]="NEET",1,IF(Table1[EET2]="Employment",2,IF(Table1[EET2]="Education",2,IF(Table1[EET2]="Training",2,IF(Table1[EET2]="Retired",3,IF(Table1[EET]="NEET",1,IF(Table1[EET]="Employment",2,IF(Table1[EET]="Education",2,IF(Table1[EET]="Training",2,IF(Table1[EET]="Retired",3,""))))))))))</f>
        <v/>
      </c>
      <c r="EP148" s="44" t="e">
        <f>+Table1[[#This Row],[Data Leavers Date]]+Table1[[#This Row],[Data EET End]]</f>
        <v>#VALUE!</v>
      </c>
      <c r="EQ148" s="44">
        <f>IF(Table1[Exit Form Received]="Yes",1,0)</f>
        <v>0</v>
      </c>
      <c r="ER148" s="44">
        <f>+Table1[[#This Row],[Data Leavers Date]]+Table1[[#This Row],[Data Exit Forms]]</f>
        <v>0</v>
      </c>
      <c r="ES148" s="44" t="str">
        <f>IF(Table1[Data Leavers Date]=1000,SUM(Table1[Leaving Date]-Table1[Start Date]),"")</f>
        <v/>
      </c>
      <c r="ET148" s="44" t="str">
        <f>IF(Table1[Data Leavers Date]=2000,SUM(Table1[Leaving Date]-Table1[Start Date]),"")</f>
        <v/>
      </c>
      <c r="EU148" s="44" t="str">
        <f>IF(Table1[Data Leavers Date]=3000,SUM(Table1[Leaving Date]-Table1[Start Date]),"")</f>
        <v/>
      </c>
      <c r="EV148" s="44" t="str">
        <f>IF(Table1[Data Leavers Date]=4000,SUM(Table1[Leaving Date]-Table1[Start Date]),"")</f>
        <v/>
      </c>
      <c r="EW148" s="44" t="str">
        <f>IF(Table1[Data Leavers Date]=5000,SUM(Table1[Leaving Date]-Table1[Start Date]),"")</f>
        <v/>
      </c>
      <c r="EX148" s="44" t="str">
        <f>IF(Table1[Data Leavers Date]=6000,SUM(Table1[Leaving Date]-Table1[Start Date]),"")</f>
        <v/>
      </c>
      <c r="EY148" s="44" t="str">
        <f>IF(Table1[Data Leavers Date]=7000,SUM(Table1[Leaving Date]-Table1[Start Date]),"")</f>
        <v/>
      </c>
      <c r="EZ148" s="44" t="str">
        <f>IF(Table1[Data Leavers Date]=8000,SUM(Table1[Leaving Date]-Table1[Start Date]),"")</f>
        <v/>
      </c>
      <c r="FA148" s="44" t="str">
        <f>IF(Table1[Date of Initial Assessment]="","",IF(AND(Table1[Start Date]&gt;42094,Table1[Start Date]&lt;42461),Table1[Motivation and Taking Responsibility],""))</f>
        <v/>
      </c>
      <c r="FB148" s="44" t="str">
        <f>IF(Table1[Date of Initial Assessment]="","",IF(AND(Table1[Start Date]&gt;42094,Table1[Start Date]&lt;42461),Table1[Self-Care and Living Skills],""))</f>
        <v/>
      </c>
      <c r="FC148" s="44" t="str">
        <f>IF(Table1[Date of Initial Assessment]="","",IF(AND(Table1[Start Date]&gt;42094,Table1[Start Date]&lt;42461),Table1[Managing Money and Personal Administration],""))</f>
        <v/>
      </c>
      <c r="FD148" s="44" t="str">
        <f>IF(Table1[Date of Initial Assessment]="","",IF(AND(Table1[Start Date]&gt;42094,Table1[Start Date]&lt;42461),Table1[Social Networks and Relationships],""))</f>
        <v/>
      </c>
      <c r="FE148" s="44" t="str">
        <f>IF(Table1[Date of Initial Assessment]="","",IF(AND(Table1[Start Date]&gt;42094,Table1[Start Date]&lt;42461),Table1[Drug and Alcohol Misuse],""))</f>
        <v/>
      </c>
      <c r="FF148" s="44" t="str">
        <f>IF(Table1[Date of Initial Assessment]="","",IF(AND(Table1[Start Date]&gt;42094,Table1[Start Date]&lt;42461),Table1[Physical Health],""))</f>
        <v/>
      </c>
      <c r="FG148" s="44" t="str">
        <f>IF(Table1[Date of Initial Assessment]="","",IF(AND(Table1[Start Date]&gt;42094,Table1[Start Date]&lt;42461),Table1[Emotional and Mental Health],""))</f>
        <v/>
      </c>
      <c r="FH148" s="44" t="str">
        <f>IF(Table1[Date of Initial Assessment]="","",IF(AND(Table1[Start Date]&gt;42094,Table1[Start Date]&lt;42461),Table1[Meaningful Use of Time],""))</f>
        <v/>
      </c>
      <c r="FI148" s="44" t="str">
        <f>IF(Table1[Date of Initial Assessment]="","",IF(AND(Table1[Start Date]&gt;42094,Table1[Start Date]&lt;42461),Table1[Managing Tenancy and Accommodation],""))</f>
        <v/>
      </c>
      <c r="FJ148" s="44" t="str">
        <f>IF(Table1[Date of Initial Assessment]="","",IF(AND(Table1[Start Date]&gt;42094,Table1[Start Date]&lt;42461),Table1[Offending],""))</f>
        <v/>
      </c>
      <c r="FK148" s="44" t="str">
        <f>IF(Table1[Leaving Date]="","",IF(Table1[Date of Initial Assessment]="","",IF(AND(Table1[Leaving Date]&gt;42094,Table1[Leaving Date]&lt;42461),IF(Table1[Date of Last Assessment]="",Table1[Motivation and Taking Responsibility],Table1[Motivation and Taking Responsibility2]),"")))</f>
        <v/>
      </c>
      <c r="FL148" s="44" t="str">
        <f>IF(Table1[Leaving Date]="","",IF(Table1[Date of Initial Assessment]="","",IF(AND(Table1[Leaving Date]&gt;42094,Table1[Leaving Date]&lt;42461),IF(Table1[Date of Last Assessment]="",Table1[Self-Care and Living Skills],Table1[Self-Care and Living Skills2]),"")))</f>
        <v/>
      </c>
      <c r="FM148" s="44" t="str">
        <f>IF(Table1[Leaving Date]="","",IF(Table1[Date of Initial Assessment]="","",IF(AND(Table1[Leaving Date]&gt;42094,Table1[Leaving Date]&lt;42461),IF(Table1[Date of Last Assessment]="",Table1[Managing Money and Personal Administration],Table1[Managing Money and Personal Administration2]),"")))</f>
        <v/>
      </c>
      <c r="FN148" s="44" t="str">
        <f>IF(Table1[Leaving Date]="","",IF(Table1[Date of Initial Assessment]="","",IF(AND(Table1[Leaving Date]&gt;42094,Table1[Leaving Date]&lt;42461),IF(Table1[Date of Last Assessment]="",Table1[Social Networks and Relationships],Table1[Social Networks and Relationships2]),"")))</f>
        <v/>
      </c>
      <c r="FO148" s="44" t="str">
        <f>IF(Table1[Leaving Date]="","",IF(Table1[Date of Initial Assessment]="","",IF(AND(Table1[Leaving Date]&gt;42094,Table1[Leaving Date]&lt;42461),IF(Table1[Date of Last Assessment]="",Table1[Drug and Alcohol Misuse],Table1[Drug and Alcohol Misuse2]),"")))</f>
        <v/>
      </c>
      <c r="FP148" s="44" t="str">
        <f>IF(Table1[Leaving Date]="","",IF(Table1[Date of Initial Assessment]="","",IF(AND(Table1[Leaving Date]&gt;42094,Table1[Leaving Date]&lt;42461),IF(Table1[Date of Last Assessment]="",Table1[Physical Health],Table1[Physical Health2]),"")))</f>
        <v/>
      </c>
      <c r="FQ148" s="44" t="str">
        <f>IF(Table1[Leaving Date]="","",IF(Table1[Date of Initial Assessment]="","",IF(AND(Table1[Leaving Date]&gt;42094,Table1[Leaving Date]&lt;42461),IF(Table1[Date of Last Assessment]="",Table1[Emotional and Mental Health],Table1[Emotional and Mental Health2]),"")))</f>
        <v/>
      </c>
      <c r="FR148" s="44" t="str">
        <f>IF(Table1[Leaving Date]="","",IF(Table1[Date of Initial Assessment]="","",IF(AND(Table1[Leaving Date]&gt;42094,Table1[Leaving Date]&lt;42461),IF(Table1[Date of Last Assessment]="",Table1[Meaningful Use of Time],Table1[Meaningful Use of Time2]),"")))</f>
        <v/>
      </c>
      <c r="FS148" s="44" t="str">
        <f>IF(Table1[Leaving Date]="","",IF(Table1[Date of Initial Assessment]="","",IF(AND(Table1[Leaving Date]&gt;42094,Table1[Leaving Date]&lt;42461),IF(Table1[Date of Last Assessment]="",Table1[Managing Tenancy and Accommodation],Table1[Managing Tenancy and Accommodation2]),"")))</f>
        <v/>
      </c>
      <c r="FT148" s="44" t="str">
        <f>IF(Table1[Leaving Date]="","",IF(Table1[Date of Initial Assessment]="","",IF(AND(Table1[Leaving Date]&gt;42094,Table1[Leaving Date]&lt;42461),IF(Table1[Date of Last Assessment]="",Table1[Offending],Table1[Offending2]),"")))</f>
        <v/>
      </c>
      <c r="FU148" s="44" t="str">
        <f>IF(Table1[Date of Initial Assessment]="","",IF(AND(Table1[Start Date]&gt;42460,Table1[Start Date]&lt;42826),Table1[Motivation and Taking Responsibility],""))</f>
        <v/>
      </c>
      <c r="FV148" s="44" t="str">
        <f>IF(Table1[Date of Initial Assessment]="","",IF(AND(Table1[Start Date]&gt;42460,Table1[Start Date]&lt;42826),Table1[Self-Care and Living Skills],""))</f>
        <v/>
      </c>
      <c r="FW148" s="44" t="str">
        <f>IF(Table1[Date of Initial Assessment]="","",IF(AND(Table1[Start Date]&gt;42460,Table1[Start Date]&lt;42826),Table1[Managing Money and Personal Administration],""))</f>
        <v/>
      </c>
      <c r="FX148" s="44" t="str">
        <f>IF(Table1[Date of Initial Assessment]="","",IF(AND(Table1[Start Date]&gt;42460,Table1[Start Date]&lt;42826),Table1[Social Networks and Relationships],""))</f>
        <v/>
      </c>
      <c r="FY148" s="44" t="str">
        <f>IF(Table1[Date of Initial Assessment]="","",IF(AND(Table1[Start Date]&gt;42460,Table1[Start Date]&lt;42826),Table1[Drug and Alcohol Misuse],""))</f>
        <v/>
      </c>
      <c r="FZ148" s="44" t="str">
        <f>IF(Table1[Date of Initial Assessment]="","",IF(AND(Table1[Start Date]&gt;42460,Table1[Start Date]&lt;42826),Table1[Physical Health],""))</f>
        <v/>
      </c>
      <c r="GA148" s="44" t="str">
        <f>IF(Table1[Date of Initial Assessment]="","",IF(AND(Table1[Start Date]&gt;42460,Table1[Start Date]&lt;42826),Table1[Emotional and Mental Health],""))</f>
        <v/>
      </c>
      <c r="GB148" s="44" t="str">
        <f>IF(Table1[Date of Initial Assessment]="","",IF(AND(Table1[Start Date]&gt;42460,Table1[Start Date]&lt;42826),Table1[Meaningful Use of Time],""))</f>
        <v/>
      </c>
      <c r="GC148" s="44" t="str">
        <f>IF(Table1[Date of Initial Assessment]="","",IF(AND(Table1[Start Date]&gt;42460,Table1[Start Date]&lt;42826),Table1[Managing Tenancy and Accommodation],""))</f>
        <v/>
      </c>
      <c r="GD148" s="44" t="str">
        <f>IF(Table1[Date of Initial Assessment]="","",IF(AND(Table1[Start Date]&gt;42460,Table1[Start Date]&lt;42826),Table1[Offending],""))</f>
        <v/>
      </c>
      <c r="GE148" s="44" t="str">
        <f>IF(Table1[Leaving Date]="","",IF(AND(Table1[Leaving Date]&gt;42460,Table1[Leaving Date]&lt;42826),IF(Table1[Date of Last Assessment]="",Table1[Motivation and Taking Responsibility],Table1[Motivation and Taking Responsibility2]),""))</f>
        <v/>
      </c>
      <c r="GF148" s="44" t="str">
        <f>IF(Table1[Leaving Date]="","",IF(AND(Table1[Leaving Date]&gt;42460,Table1[Leaving Date]&lt;42826),IF(Table1[Date of Last Assessment]="",Table1[Self-Care and Living Skills],Table1[Self-Care and Living Skills2]),""))</f>
        <v/>
      </c>
      <c r="GG148" s="44" t="str">
        <f>IF(Table1[Leaving Date]="","",IF(AND(Table1[Leaving Date]&gt;42460,Table1[Leaving Date]&lt;42826),IF(Table1[Date of Last Assessment]="",Table1[Managing Money and Personal Administration],Table1[Managing Money and Personal Administration2]),""))</f>
        <v/>
      </c>
      <c r="GH148" s="44" t="str">
        <f>IF(Table1[Leaving Date]="","",IF(AND(Table1[Leaving Date]&gt;42460,Table1[Leaving Date]&lt;42826),IF(Table1[Date of Last Assessment]="",Table1[Social Networks and Relationships],Table1[Social Networks and Relationships2]),""))</f>
        <v/>
      </c>
      <c r="GI148" s="44" t="str">
        <f>IF(Table1[Leaving Date]="","",IF(AND(Table1[Leaving Date]&gt;42460,Table1[Leaving Date]&lt;42826),IF(Table1[Date of Last Assessment]="",Table1[Drug and Alcohol Misuse],Table1[Drug and Alcohol Misuse2]),""))</f>
        <v/>
      </c>
      <c r="GJ148" s="44" t="str">
        <f>IF(Table1[Leaving Date]="","",IF(AND(Table1[Leaving Date]&gt;42460,Table1[Leaving Date]&lt;42826),IF(Table1[Date of Last Assessment]="",Table1[Physical Health],Table1[Physical Health2]),""))</f>
        <v/>
      </c>
      <c r="GK148" s="44" t="str">
        <f>IF(Table1[Leaving Date]="","",IF(AND(Table1[Leaving Date]&gt;42460,Table1[Leaving Date]&lt;42826),IF(Table1[Date of Last Assessment]="",Table1[Emotional and Mental Health],Table1[Emotional and Mental Health2]),""))</f>
        <v/>
      </c>
      <c r="GL148" s="44" t="str">
        <f>IF(Table1[Leaving Date]="","",IF(AND(Table1[Leaving Date]&gt;42460,Table1[Leaving Date]&lt;42826),IF(Table1[Date of Last Assessment]="",Table1[Meaningful Use of Time],Table1[Meaningful Use of Time2]),""))</f>
        <v/>
      </c>
      <c r="GM148" s="44" t="str">
        <f>IF(Table1[Leaving Date]="","",IF(AND(Table1[Leaving Date]&gt;42460,Table1[Leaving Date]&lt;42826),IF(Table1[Date of Last Assessment]="",Table1[Managing Tenancy and Accommodation],Table1[Managing Tenancy and Accommodation2]),""))</f>
        <v/>
      </c>
      <c r="GN148" s="44" t="str">
        <f>IF(Table1[Leaving Date]="","",IF(AND(Table1[Leaving Date]&gt;42460,Table1[Leaving Date]&lt;42826),IF(Table1[Date of Last Assessment]="",Table1[Offending],Table1[Offending2]),""))</f>
        <v/>
      </c>
    </row>
    <row r="149" spans="2:196" ht="20.100000000000001" customHeight="1" x14ac:dyDescent="0.2">
      <c r="B149" s="86">
        <f>+'Service Data'!$C$5:$C$5</f>
        <v>0</v>
      </c>
      <c r="C149" s="86"/>
      <c r="D149" s="86"/>
      <c r="E149" s="86"/>
      <c r="F149" s="86"/>
      <c r="G149" s="86"/>
      <c r="H149" s="6"/>
      <c r="I149" s="99" t="str">
        <f ca="1">IF(Table1[[#This Row],[Date of Birth]]="","",SUM(TODAY()-Table1[[#This Row],[Date of Birth]])/365)</f>
        <v/>
      </c>
      <c r="L149" s="86"/>
      <c r="M149" s="77"/>
      <c r="N149" s="86"/>
      <c r="O149" s="86"/>
      <c r="P149" s="91"/>
      <c r="Q149" s="86"/>
      <c r="R149" s="77"/>
      <c r="S149" s="77"/>
      <c r="T149" s="68"/>
      <c r="U149" s="68"/>
      <c r="V149" s="67"/>
      <c r="W149" s="67"/>
      <c r="X149" s="67"/>
      <c r="Y149" s="67"/>
      <c r="Z149" s="67"/>
      <c r="AA149" s="67"/>
      <c r="AB149" s="67"/>
      <c r="AC149" s="67"/>
      <c r="AD149" s="67"/>
      <c r="AE149" s="67"/>
      <c r="AF149" s="67"/>
      <c r="AG149" s="67"/>
      <c r="AH149" s="67"/>
      <c r="AI149" s="67"/>
      <c r="AJ149" s="67"/>
      <c r="AK149" s="67"/>
      <c r="AL149" s="67"/>
      <c r="AM149" s="67"/>
      <c r="AN149" s="77"/>
      <c r="AO149" s="76"/>
      <c r="AP149" s="77"/>
      <c r="AQ149" s="76"/>
      <c r="AR149" s="76"/>
      <c r="AS149" s="76"/>
      <c r="AT149" s="76"/>
      <c r="AU149" s="76"/>
      <c r="AV149" s="77"/>
      <c r="AW149" s="76"/>
      <c r="AX149" s="77"/>
      <c r="AY149" s="76"/>
      <c r="AZ149" s="76"/>
      <c r="BA149" s="76"/>
      <c r="BB149" s="76"/>
      <c r="BC149" s="76"/>
      <c r="BD149" s="77"/>
      <c r="BE149" s="76"/>
      <c r="BF149" s="77"/>
      <c r="BG149" s="76"/>
      <c r="BH149" s="76"/>
      <c r="BI149" s="76"/>
      <c r="BJ149" s="76"/>
      <c r="BK149" s="76"/>
      <c r="BL149" s="77"/>
      <c r="BM149" s="76"/>
      <c r="BN149" s="77"/>
      <c r="BO149" s="76"/>
      <c r="BP149" s="76"/>
      <c r="BQ149" s="76"/>
      <c r="BR149" s="76"/>
      <c r="BS149" s="76"/>
      <c r="BT149" s="77"/>
      <c r="BU149" s="76"/>
      <c r="BV149" s="77"/>
      <c r="BW149" s="76"/>
      <c r="BX149" s="76"/>
      <c r="BY149" s="76"/>
      <c r="BZ149" s="76"/>
      <c r="CA149" s="76"/>
      <c r="CB149" s="77"/>
      <c r="CC149" s="76"/>
      <c r="CD149" s="77"/>
      <c r="CE149" s="76"/>
      <c r="CF149" s="76"/>
      <c r="CG149" s="76"/>
      <c r="CH149" s="76"/>
      <c r="CI149" s="76"/>
      <c r="CJ149" s="77"/>
      <c r="CK149" s="76"/>
      <c r="CL149" s="77"/>
      <c r="CM149" s="76"/>
      <c r="CN149" s="76"/>
      <c r="CO149" s="76"/>
      <c r="CP149" s="76"/>
      <c r="CQ149" s="76"/>
      <c r="CR149" s="78" t="str">
        <f t="shared" si="47"/>
        <v/>
      </c>
      <c r="CS149" s="79" t="str">
        <f t="shared" si="48"/>
        <v/>
      </c>
      <c r="CT149" s="79" t="str">
        <f t="shared" si="49"/>
        <v/>
      </c>
      <c r="CU149" s="79" t="str">
        <f t="shared" si="50"/>
        <v/>
      </c>
      <c r="CV149" s="79" t="str">
        <f t="shared" si="51"/>
        <v/>
      </c>
      <c r="CW149" s="79" t="str">
        <f t="shared" si="52"/>
        <v/>
      </c>
      <c r="CX149" s="79" t="str">
        <f t="shared" si="53"/>
        <v/>
      </c>
      <c r="CY149" s="79" t="str">
        <f t="shared" si="54"/>
        <v/>
      </c>
      <c r="CZ149" s="79" t="str">
        <f t="shared" si="55"/>
        <v/>
      </c>
      <c r="DA149" s="79" t="str">
        <f t="shared" si="56"/>
        <v/>
      </c>
      <c r="DB149" s="79" t="str">
        <f t="shared" si="57"/>
        <v/>
      </c>
      <c r="DC149" s="79" t="str">
        <f t="shared" si="58"/>
        <v/>
      </c>
      <c r="DD149" s="79" t="str">
        <f t="shared" si="59"/>
        <v/>
      </c>
      <c r="DE149" s="79" t="str">
        <f t="shared" si="60"/>
        <v/>
      </c>
      <c r="DF149" s="79" t="str">
        <f t="shared" si="61"/>
        <v/>
      </c>
      <c r="DG149" s="79" t="str">
        <f t="shared" si="62"/>
        <v/>
      </c>
      <c r="DH149" s="76"/>
      <c r="DI149" s="78"/>
      <c r="DJ149" s="76"/>
      <c r="DK149" s="77"/>
      <c r="DL149" s="77"/>
      <c r="DM149" s="77"/>
      <c r="DN149" s="80"/>
      <c r="DO149" s="80"/>
      <c r="DP149" s="92" t="str">
        <f>IF(Table1[Start Date]="","",IF(Table1[Start Date]&gt;42185,"",IF(AND(Table1[Leaving Date]&gt;1,Table1[Leaving Date]&lt;42095),"",1)))</f>
        <v/>
      </c>
      <c r="DQ149" s="92" t="str">
        <f>IF(Table1[Start Date]="","",IF(Table1[Start Date]&gt;42277,"",IF(AND(Table1[Leaving Date]&gt;1,Table1[Leaving Date]&lt;42186),"",1)))</f>
        <v/>
      </c>
      <c r="DR149" s="92" t="str">
        <f>IF(Table1[Start Date]="","",IF(Table1[Start Date]&gt;42369,"",IF(AND(Table1[Leaving Date]&gt;1,Table1[Leaving Date]&lt;42278),"",1)))</f>
        <v/>
      </c>
      <c r="DS149" s="92" t="str">
        <f>IF(Table1[Start Date]="","",IF(Table1[Start Date]&gt;42460,"",IF(AND(Table1[Leaving Date]&gt;1,Table1[Leaving Date]&lt;42370),"",1)))</f>
        <v/>
      </c>
      <c r="DT149" s="92" t="str">
        <f>IF(Table1[Start Date]="","",IF(Table1[Start Date]&gt;42551,"",IF(AND(Table1[Leaving Date]&gt;1,Table1[Leaving Date]&lt;42461),"",1)))</f>
        <v/>
      </c>
      <c r="DU149" s="92" t="str">
        <f>IF(Table1[Start Date]="","",IF(Table1[Start Date]&gt;42643,"",IF(AND(Table1[Leaving Date]&gt;1,Table1[Leaving Date]&lt;42552),"",1)))</f>
        <v/>
      </c>
      <c r="DV149" s="92" t="str">
        <f>IF(Table1[Start Date]="","",IF(Table1[Start Date]&gt;42735,"",IF(AND(Table1[Leaving Date]&gt;1,Table1[Leaving Date]&lt;42644),"",1)))</f>
        <v/>
      </c>
      <c r="DW149" s="92" t="str">
        <f>IF(Table1[Start Date]="","",IF(Table1[Start Date]&gt;42825,"",IF(AND(Table1[Leaving Date]&gt;1,Table1[Leaving Date]&lt;42736),"",1)))</f>
        <v/>
      </c>
      <c r="DX149"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149" s="44" t="e">
        <f>VLOOKUP(Table1[Referral Source],Lists!$G$2:$H$20,2,FALSE)</f>
        <v>#N/A</v>
      </c>
      <c r="DZ149" s="93" t="e">
        <f>SUM(Table1[Data Referral Quarter]+Table1[Data Referral Source])</f>
        <v>#N/A</v>
      </c>
      <c r="EA149" s="44" t="b">
        <f>IF(Table1[Referral Decision]="Accepted",100,IF(Table1[Referral Decision]="Rejected by Provider",200,IF(Table1[Referral Decision]="Rejected by Applicant",300)))</f>
        <v>0</v>
      </c>
      <c r="EB149" s="44">
        <f>SUM(Table1[Data Referral Quarter]+Table1[Data Referral Decision])</f>
        <v>0</v>
      </c>
      <c r="EC149" s="44" t="b">
        <f>IF(Table1[Start Date]&gt;42735,8000,IF(Table1[Start Date]&gt;42643,7000,IF(Table1[Start Date]&gt;42551,6000,IF(Table1[Start Date]&gt;42460,5000,IF(Table1[Start Date]&gt;42369,4000,IF(Table1[Start Date]&gt;42277,3000,IF(Table1[Start Date]&gt;42185,2000,IF(Table1[Start Date]&gt;42094,1000))))))))</f>
        <v>0</v>
      </c>
      <c r="ED149" s="44" t="str">
        <f>IF(Table1[Start Date]="","",IF(Table1[Current Local Authority]="Swindon",1,"2"))</f>
        <v/>
      </c>
      <c r="EE149" s="44" t="e">
        <f>SUM(Table1[Data Start Date]+Table1[Data Local Authority])</f>
        <v>#VALUE!</v>
      </c>
      <c r="EF149" s="44">
        <f>IF(Table1[Registered with GP]="Yes",1,0)</f>
        <v>0</v>
      </c>
      <c r="EG149" s="44">
        <f>SUM(Table1[Data Start Date]+Table1[Data GP Start])</f>
        <v>0</v>
      </c>
      <c r="EH149" s="44" t="str">
        <f>IF(Table1[EET]="NEET",1,IF(Table1[EET]="Education",2,IF(Table1[EET]="Employment",2,IF(Table1[EET]="Training",2,IF(Table1[EET]="Retired",3,"")))))</f>
        <v/>
      </c>
      <c r="EI149" s="44" t="e">
        <f>Table1[Data Start Date]+Table1[Data EET Start]</f>
        <v>#VALUE!</v>
      </c>
      <c r="EJ149" s="44" t="b">
        <f>IF(Table1[Leaving Date]&gt;42735,8000,IF(Table1[Leaving Date]&gt;42643,7000,IF(Table1[Leaving Date]&gt;42551,6000,IF(Table1[Leaving Date]&gt;42460,5000,IF(Table1[Leaving Date]&gt;42369,4000,IF(Table1[Leaving Date]&gt;42277,3000,IF(Table1[Leaving Date]&gt;42185,2000,IF(Table1[Leaving Date]&gt;42094,1000))))))))</f>
        <v>0</v>
      </c>
      <c r="EK149" s="44" t="e">
        <f>VLOOKUP(Table1[Reason for Leaving],Lists!$T$2:$U$15,2,FALSE)</f>
        <v>#N/A</v>
      </c>
      <c r="EL149" s="44" t="e">
        <f>SUM(Table1[Data Leavers Date]+Table1[Data Move On])</f>
        <v>#N/A</v>
      </c>
      <c r="EM149" s="44" t="b">
        <f>IF(Table1[Registered with GP2]="Yes",1,IF(Table1[Registered with GP2]="No",0,IF(Table1[Registered with GP]="Yes",1,IF(Table1[Registered with GP]="No",0))))</f>
        <v>0</v>
      </c>
      <c r="EN149" s="44">
        <f>SUM(Table1[Data Leavers Date]+Table1[Data GP End])</f>
        <v>0</v>
      </c>
      <c r="EO149" s="44" t="str">
        <f>IF(Table1[EET2]="NEET",1,IF(Table1[EET2]="Employment",2,IF(Table1[EET2]="Education",2,IF(Table1[EET2]="Training",2,IF(Table1[EET2]="Retired",3,IF(Table1[EET]="NEET",1,IF(Table1[EET]="Employment",2,IF(Table1[EET]="Education",2,IF(Table1[EET]="Training",2,IF(Table1[EET]="Retired",3,""))))))))))</f>
        <v/>
      </c>
      <c r="EP149" s="44" t="e">
        <f>+Table1[[#This Row],[Data Leavers Date]]+Table1[[#This Row],[Data EET End]]</f>
        <v>#VALUE!</v>
      </c>
      <c r="EQ149" s="44">
        <f>IF(Table1[Exit Form Received]="Yes",1,0)</f>
        <v>0</v>
      </c>
      <c r="ER149" s="44">
        <f>+Table1[[#This Row],[Data Leavers Date]]+Table1[[#This Row],[Data Exit Forms]]</f>
        <v>0</v>
      </c>
      <c r="ES149" s="44" t="str">
        <f>IF(Table1[Data Leavers Date]=1000,SUM(Table1[Leaving Date]-Table1[Start Date]),"")</f>
        <v/>
      </c>
      <c r="ET149" s="44" t="str">
        <f>IF(Table1[Data Leavers Date]=2000,SUM(Table1[Leaving Date]-Table1[Start Date]),"")</f>
        <v/>
      </c>
      <c r="EU149" s="44" t="str">
        <f>IF(Table1[Data Leavers Date]=3000,SUM(Table1[Leaving Date]-Table1[Start Date]),"")</f>
        <v/>
      </c>
      <c r="EV149" s="44" t="str">
        <f>IF(Table1[Data Leavers Date]=4000,SUM(Table1[Leaving Date]-Table1[Start Date]),"")</f>
        <v/>
      </c>
      <c r="EW149" s="44" t="str">
        <f>IF(Table1[Data Leavers Date]=5000,SUM(Table1[Leaving Date]-Table1[Start Date]),"")</f>
        <v/>
      </c>
      <c r="EX149" s="44" t="str">
        <f>IF(Table1[Data Leavers Date]=6000,SUM(Table1[Leaving Date]-Table1[Start Date]),"")</f>
        <v/>
      </c>
      <c r="EY149" s="44" t="str">
        <f>IF(Table1[Data Leavers Date]=7000,SUM(Table1[Leaving Date]-Table1[Start Date]),"")</f>
        <v/>
      </c>
      <c r="EZ149" s="44" t="str">
        <f>IF(Table1[Data Leavers Date]=8000,SUM(Table1[Leaving Date]-Table1[Start Date]),"")</f>
        <v/>
      </c>
      <c r="FA149" s="44" t="str">
        <f>IF(Table1[Date of Initial Assessment]="","",IF(AND(Table1[Start Date]&gt;42094,Table1[Start Date]&lt;42461),Table1[Motivation and Taking Responsibility],""))</f>
        <v/>
      </c>
      <c r="FB149" s="44" t="str">
        <f>IF(Table1[Date of Initial Assessment]="","",IF(AND(Table1[Start Date]&gt;42094,Table1[Start Date]&lt;42461),Table1[Self-Care and Living Skills],""))</f>
        <v/>
      </c>
      <c r="FC149" s="44" t="str">
        <f>IF(Table1[Date of Initial Assessment]="","",IF(AND(Table1[Start Date]&gt;42094,Table1[Start Date]&lt;42461),Table1[Managing Money and Personal Administration],""))</f>
        <v/>
      </c>
      <c r="FD149" s="44" t="str">
        <f>IF(Table1[Date of Initial Assessment]="","",IF(AND(Table1[Start Date]&gt;42094,Table1[Start Date]&lt;42461),Table1[Social Networks and Relationships],""))</f>
        <v/>
      </c>
      <c r="FE149" s="44" t="str">
        <f>IF(Table1[Date of Initial Assessment]="","",IF(AND(Table1[Start Date]&gt;42094,Table1[Start Date]&lt;42461),Table1[Drug and Alcohol Misuse],""))</f>
        <v/>
      </c>
      <c r="FF149" s="44" t="str">
        <f>IF(Table1[Date of Initial Assessment]="","",IF(AND(Table1[Start Date]&gt;42094,Table1[Start Date]&lt;42461),Table1[Physical Health],""))</f>
        <v/>
      </c>
      <c r="FG149" s="44" t="str">
        <f>IF(Table1[Date of Initial Assessment]="","",IF(AND(Table1[Start Date]&gt;42094,Table1[Start Date]&lt;42461),Table1[Emotional and Mental Health],""))</f>
        <v/>
      </c>
      <c r="FH149" s="44" t="str">
        <f>IF(Table1[Date of Initial Assessment]="","",IF(AND(Table1[Start Date]&gt;42094,Table1[Start Date]&lt;42461),Table1[Meaningful Use of Time],""))</f>
        <v/>
      </c>
      <c r="FI149" s="44" t="str">
        <f>IF(Table1[Date of Initial Assessment]="","",IF(AND(Table1[Start Date]&gt;42094,Table1[Start Date]&lt;42461),Table1[Managing Tenancy and Accommodation],""))</f>
        <v/>
      </c>
      <c r="FJ149" s="44" t="str">
        <f>IF(Table1[Date of Initial Assessment]="","",IF(AND(Table1[Start Date]&gt;42094,Table1[Start Date]&lt;42461),Table1[Offending],""))</f>
        <v/>
      </c>
      <c r="FK149" s="44" t="str">
        <f>IF(Table1[Leaving Date]="","",IF(Table1[Date of Initial Assessment]="","",IF(AND(Table1[Leaving Date]&gt;42094,Table1[Leaving Date]&lt;42461),IF(Table1[Date of Last Assessment]="",Table1[Motivation and Taking Responsibility],Table1[Motivation and Taking Responsibility2]),"")))</f>
        <v/>
      </c>
      <c r="FL149" s="44" t="str">
        <f>IF(Table1[Leaving Date]="","",IF(Table1[Date of Initial Assessment]="","",IF(AND(Table1[Leaving Date]&gt;42094,Table1[Leaving Date]&lt;42461),IF(Table1[Date of Last Assessment]="",Table1[Self-Care and Living Skills],Table1[Self-Care and Living Skills2]),"")))</f>
        <v/>
      </c>
      <c r="FM149" s="44" t="str">
        <f>IF(Table1[Leaving Date]="","",IF(Table1[Date of Initial Assessment]="","",IF(AND(Table1[Leaving Date]&gt;42094,Table1[Leaving Date]&lt;42461),IF(Table1[Date of Last Assessment]="",Table1[Managing Money and Personal Administration],Table1[Managing Money and Personal Administration2]),"")))</f>
        <v/>
      </c>
      <c r="FN149" s="44" t="str">
        <f>IF(Table1[Leaving Date]="","",IF(Table1[Date of Initial Assessment]="","",IF(AND(Table1[Leaving Date]&gt;42094,Table1[Leaving Date]&lt;42461),IF(Table1[Date of Last Assessment]="",Table1[Social Networks and Relationships],Table1[Social Networks and Relationships2]),"")))</f>
        <v/>
      </c>
      <c r="FO149" s="44" t="str">
        <f>IF(Table1[Leaving Date]="","",IF(Table1[Date of Initial Assessment]="","",IF(AND(Table1[Leaving Date]&gt;42094,Table1[Leaving Date]&lt;42461),IF(Table1[Date of Last Assessment]="",Table1[Drug and Alcohol Misuse],Table1[Drug and Alcohol Misuse2]),"")))</f>
        <v/>
      </c>
      <c r="FP149" s="44" t="str">
        <f>IF(Table1[Leaving Date]="","",IF(Table1[Date of Initial Assessment]="","",IF(AND(Table1[Leaving Date]&gt;42094,Table1[Leaving Date]&lt;42461),IF(Table1[Date of Last Assessment]="",Table1[Physical Health],Table1[Physical Health2]),"")))</f>
        <v/>
      </c>
      <c r="FQ149" s="44" t="str">
        <f>IF(Table1[Leaving Date]="","",IF(Table1[Date of Initial Assessment]="","",IF(AND(Table1[Leaving Date]&gt;42094,Table1[Leaving Date]&lt;42461),IF(Table1[Date of Last Assessment]="",Table1[Emotional and Mental Health],Table1[Emotional and Mental Health2]),"")))</f>
        <v/>
      </c>
      <c r="FR149" s="44" t="str">
        <f>IF(Table1[Leaving Date]="","",IF(Table1[Date of Initial Assessment]="","",IF(AND(Table1[Leaving Date]&gt;42094,Table1[Leaving Date]&lt;42461),IF(Table1[Date of Last Assessment]="",Table1[Meaningful Use of Time],Table1[Meaningful Use of Time2]),"")))</f>
        <v/>
      </c>
      <c r="FS149" s="44" t="str">
        <f>IF(Table1[Leaving Date]="","",IF(Table1[Date of Initial Assessment]="","",IF(AND(Table1[Leaving Date]&gt;42094,Table1[Leaving Date]&lt;42461),IF(Table1[Date of Last Assessment]="",Table1[Managing Tenancy and Accommodation],Table1[Managing Tenancy and Accommodation2]),"")))</f>
        <v/>
      </c>
      <c r="FT149" s="44" t="str">
        <f>IF(Table1[Leaving Date]="","",IF(Table1[Date of Initial Assessment]="","",IF(AND(Table1[Leaving Date]&gt;42094,Table1[Leaving Date]&lt;42461),IF(Table1[Date of Last Assessment]="",Table1[Offending],Table1[Offending2]),"")))</f>
        <v/>
      </c>
      <c r="FU149" s="44" t="str">
        <f>IF(Table1[Date of Initial Assessment]="","",IF(AND(Table1[Start Date]&gt;42460,Table1[Start Date]&lt;42826),Table1[Motivation and Taking Responsibility],""))</f>
        <v/>
      </c>
      <c r="FV149" s="44" t="str">
        <f>IF(Table1[Date of Initial Assessment]="","",IF(AND(Table1[Start Date]&gt;42460,Table1[Start Date]&lt;42826),Table1[Self-Care and Living Skills],""))</f>
        <v/>
      </c>
      <c r="FW149" s="44" t="str">
        <f>IF(Table1[Date of Initial Assessment]="","",IF(AND(Table1[Start Date]&gt;42460,Table1[Start Date]&lt;42826),Table1[Managing Money and Personal Administration],""))</f>
        <v/>
      </c>
      <c r="FX149" s="44" t="str">
        <f>IF(Table1[Date of Initial Assessment]="","",IF(AND(Table1[Start Date]&gt;42460,Table1[Start Date]&lt;42826),Table1[Social Networks and Relationships],""))</f>
        <v/>
      </c>
      <c r="FY149" s="44" t="str">
        <f>IF(Table1[Date of Initial Assessment]="","",IF(AND(Table1[Start Date]&gt;42460,Table1[Start Date]&lt;42826),Table1[Drug and Alcohol Misuse],""))</f>
        <v/>
      </c>
      <c r="FZ149" s="44" t="str">
        <f>IF(Table1[Date of Initial Assessment]="","",IF(AND(Table1[Start Date]&gt;42460,Table1[Start Date]&lt;42826),Table1[Physical Health],""))</f>
        <v/>
      </c>
      <c r="GA149" s="44" t="str">
        <f>IF(Table1[Date of Initial Assessment]="","",IF(AND(Table1[Start Date]&gt;42460,Table1[Start Date]&lt;42826),Table1[Emotional and Mental Health],""))</f>
        <v/>
      </c>
      <c r="GB149" s="44" t="str">
        <f>IF(Table1[Date of Initial Assessment]="","",IF(AND(Table1[Start Date]&gt;42460,Table1[Start Date]&lt;42826),Table1[Meaningful Use of Time],""))</f>
        <v/>
      </c>
      <c r="GC149" s="44" t="str">
        <f>IF(Table1[Date of Initial Assessment]="","",IF(AND(Table1[Start Date]&gt;42460,Table1[Start Date]&lt;42826),Table1[Managing Tenancy and Accommodation],""))</f>
        <v/>
      </c>
      <c r="GD149" s="44" t="str">
        <f>IF(Table1[Date of Initial Assessment]="","",IF(AND(Table1[Start Date]&gt;42460,Table1[Start Date]&lt;42826),Table1[Offending],""))</f>
        <v/>
      </c>
      <c r="GE149" s="44" t="str">
        <f>IF(Table1[Leaving Date]="","",IF(AND(Table1[Leaving Date]&gt;42460,Table1[Leaving Date]&lt;42826),IF(Table1[Date of Last Assessment]="",Table1[Motivation and Taking Responsibility],Table1[Motivation and Taking Responsibility2]),""))</f>
        <v/>
      </c>
      <c r="GF149" s="44" t="str">
        <f>IF(Table1[Leaving Date]="","",IF(AND(Table1[Leaving Date]&gt;42460,Table1[Leaving Date]&lt;42826),IF(Table1[Date of Last Assessment]="",Table1[Self-Care and Living Skills],Table1[Self-Care and Living Skills2]),""))</f>
        <v/>
      </c>
      <c r="GG149" s="44" t="str">
        <f>IF(Table1[Leaving Date]="","",IF(AND(Table1[Leaving Date]&gt;42460,Table1[Leaving Date]&lt;42826),IF(Table1[Date of Last Assessment]="",Table1[Managing Money and Personal Administration],Table1[Managing Money and Personal Administration2]),""))</f>
        <v/>
      </c>
      <c r="GH149" s="44" t="str">
        <f>IF(Table1[Leaving Date]="","",IF(AND(Table1[Leaving Date]&gt;42460,Table1[Leaving Date]&lt;42826),IF(Table1[Date of Last Assessment]="",Table1[Social Networks and Relationships],Table1[Social Networks and Relationships2]),""))</f>
        <v/>
      </c>
      <c r="GI149" s="44" t="str">
        <f>IF(Table1[Leaving Date]="","",IF(AND(Table1[Leaving Date]&gt;42460,Table1[Leaving Date]&lt;42826),IF(Table1[Date of Last Assessment]="",Table1[Drug and Alcohol Misuse],Table1[Drug and Alcohol Misuse2]),""))</f>
        <v/>
      </c>
      <c r="GJ149" s="44" t="str">
        <f>IF(Table1[Leaving Date]="","",IF(AND(Table1[Leaving Date]&gt;42460,Table1[Leaving Date]&lt;42826),IF(Table1[Date of Last Assessment]="",Table1[Physical Health],Table1[Physical Health2]),""))</f>
        <v/>
      </c>
      <c r="GK149" s="44" t="str">
        <f>IF(Table1[Leaving Date]="","",IF(AND(Table1[Leaving Date]&gt;42460,Table1[Leaving Date]&lt;42826),IF(Table1[Date of Last Assessment]="",Table1[Emotional and Mental Health],Table1[Emotional and Mental Health2]),""))</f>
        <v/>
      </c>
      <c r="GL149" s="44" t="str">
        <f>IF(Table1[Leaving Date]="","",IF(AND(Table1[Leaving Date]&gt;42460,Table1[Leaving Date]&lt;42826),IF(Table1[Date of Last Assessment]="",Table1[Meaningful Use of Time],Table1[Meaningful Use of Time2]),""))</f>
        <v/>
      </c>
      <c r="GM149" s="44" t="str">
        <f>IF(Table1[Leaving Date]="","",IF(AND(Table1[Leaving Date]&gt;42460,Table1[Leaving Date]&lt;42826),IF(Table1[Date of Last Assessment]="",Table1[Managing Tenancy and Accommodation],Table1[Managing Tenancy and Accommodation2]),""))</f>
        <v/>
      </c>
      <c r="GN149" s="44" t="str">
        <f>IF(Table1[Leaving Date]="","",IF(AND(Table1[Leaving Date]&gt;42460,Table1[Leaving Date]&lt;42826),IF(Table1[Date of Last Assessment]="",Table1[Offending],Table1[Offending2]),""))</f>
        <v/>
      </c>
    </row>
    <row r="150" spans="2:196" ht="20.100000000000001" customHeight="1" x14ac:dyDescent="0.2">
      <c r="B150" s="86">
        <f>+'Service Data'!$C$5:$C$5</f>
        <v>0</v>
      </c>
      <c r="C150" s="86"/>
      <c r="D150" s="86"/>
      <c r="E150" s="86"/>
      <c r="F150" s="86"/>
      <c r="G150" s="86"/>
      <c r="H150" s="6"/>
      <c r="I150" s="99" t="str">
        <f ca="1">IF(Table1[[#This Row],[Date of Birth]]="","",SUM(TODAY()-Table1[[#This Row],[Date of Birth]])/365)</f>
        <v/>
      </c>
      <c r="L150" s="86"/>
      <c r="M150" s="77"/>
      <c r="N150" s="86"/>
      <c r="O150" s="86"/>
      <c r="P150" s="91"/>
      <c r="Q150" s="86"/>
      <c r="R150" s="77"/>
      <c r="S150" s="77"/>
      <c r="T150" s="68"/>
      <c r="U150" s="68"/>
      <c r="V150" s="67"/>
      <c r="W150" s="67"/>
      <c r="X150" s="67"/>
      <c r="Y150" s="67"/>
      <c r="Z150" s="67"/>
      <c r="AA150" s="67"/>
      <c r="AB150" s="67"/>
      <c r="AC150" s="67"/>
      <c r="AD150" s="67"/>
      <c r="AE150" s="67"/>
      <c r="AF150" s="67"/>
      <c r="AG150" s="67"/>
      <c r="AH150" s="67"/>
      <c r="AI150" s="67"/>
      <c r="AJ150" s="67"/>
      <c r="AK150" s="67"/>
      <c r="AL150" s="67"/>
      <c r="AM150" s="67"/>
      <c r="AN150" s="77"/>
      <c r="AO150" s="76"/>
      <c r="AP150" s="77"/>
      <c r="AQ150" s="76"/>
      <c r="AR150" s="76"/>
      <c r="AS150" s="76"/>
      <c r="AT150" s="76"/>
      <c r="AU150" s="76"/>
      <c r="AV150" s="77"/>
      <c r="AW150" s="76"/>
      <c r="AX150" s="77"/>
      <c r="AY150" s="76"/>
      <c r="AZ150" s="76"/>
      <c r="BA150" s="76"/>
      <c r="BB150" s="76"/>
      <c r="BC150" s="76"/>
      <c r="BD150" s="77"/>
      <c r="BE150" s="76"/>
      <c r="BF150" s="77"/>
      <c r="BG150" s="76"/>
      <c r="BH150" s="76"/>
      <c r="BI150" s="76"/>
      <c r="BJ150" s="76"/>
      <c r="BK150" s="76"/>
      <c r="BL150" s="77"/>
      <c r="BM150" s="76"/>
      <c r="BN150" s="77"/>
      <c r="BO150" s="76"/>
      <c r="BP150" s="76"/>
      <c r="BQ150" s="76"/>
      <c r="BR150" s="76"/>
      <c r="BS150" s="76"/>
      <c r="BT150" s="77"/>
      <c r="BU150" s="76"/>
      <c r="BV150" s="77"/>
      <c r="BW150" s="76"/>
      <c r="BX150" s="76"/>
      <c r="BY150" s="76"/>
      <c r="BZ150" s="76"/>
      <c r="CA150" s="76"/>
      <c r="CB150" s="77"/>
      <c r="CC150" s="76"/>
      <c r="CD150" s="77"/>
      <c r="CE150" s="76"/>
      <c r="CF150" s="76"/>
      <c r="CG150" s="76"/>
      <c r="CH150" s="76"/>
      <c r="CI150" s="76"/>
      <c r="CJ150" s="77"/>
      <c r="CK150" s="76"/>
      <c r="CL150" s="77"/>
      <c r="CM150" s="76"/>
      <c r="CN150" s="76"/>
      <c r="CO150" s="76"/>
      <c r="CP150" s="76"/>
      <c r="CQ150" s="76"/>
      <c r="CR150" s="78" t="str">
        <f t="shared" si="47"/>
        <v/>
      </c>
      <c r="CS150" s="79" t="str">
        <f t="shared" si="48"/>
        <v/>
      </c>
      <c r="CT150" s="79" t="str">
        <f t="shared" si="49"/>
        <v/>
      </c>
      <c r="CU150" s="79" t="str">
        <f t="shared" si="50"/>
        <v/>
      </c>
      <c r="CV150" s="79" t="str">
        <f t="shared" si="51"/>
        <v/>
      </c>
      <c r="CW150" s="79" t="str">
        <f t="shared" si="52"/>
        <v/>
      </c>
      <c r="CX150" s="79" t="str">
        <f t="shared" si="53"/>
        <v/>
      </c>
      <c r="CY150" s="79" t="str">
        <f t="shared" si="54"/>
        <v/>
      </c>
      <c r="CZ150" s="79" t="str">
        <f t="shared" si="55"/>
        <v/>
      </c>
      <c r="DA150" s="79" t="str">
        <f t="shared" si="56"/>
        <v/>
      </c>
      <c r="DB150" s="79" t="str">
        <f t="shared" si="57"/>
        <v/>
      </c>
      <c r="DC150" s="79" t="str">
        <f t="shared" si="58"/>
        <v/>
      </c>
      <c r="DD150" s="79" t="str">
        <f t="shared" si="59"/>
        <v/>
      </c>
      <c r="DE150" s="79" t="str">
        <f t="shared" si="60"/>
        <v/>
      </c>
      <c r="DF150" s="79" t="str">
        <f t="shared" si="61"/>
        <v/>
      </c>
      <c r="DG150" s="79" t="str">
        <f t="shared" si="62"/>
        <v/>
      </c>
      <c r="DH150" s="76"/>
      <c r="DI150" s="78"/>
      <c r="DJ150" s="76"/>
      <c r="DK150" s="77"/>
      <c r="DL150" s="77"/>
      <c r="DM150" s="77"/>
      <c r="DN150" s="80"/>
      <c r="DO150" s="80"/>
      <c r="DP150" s="92" t="str">
        <f>IF(Table1[Start Date]="","",IF(Table1[Start Date]&gt;42185,"",IF(AND(Table1[Leaving Date]&gt;1,Table1[Leaving Date]&lt;42095),"",1)))</f>
        <v/>
      </c>
      <c r="DQ150" s="92" t="str">
        <f>IF(Table1[Start Date]="","",IF(Table1[Start Date]&gt;42277,"",IF(AND(Table1[Leaving Date]&gt;1,Table1[Leaving Date]&lt;42186),"",1)))</f>
        <v/>
      </c>
      <c r="DR150" s="92" t="str">
        <f>IF(Table1[Start Date]="","",IF(Table1[Start Date]&gt;42369,"",IF(AND(Table1[Leaving Date]&gt;1,Table1[Leaving Date]&lt;42278),"",1)))</f>
        <v/>
      </c>
      <c r="DS150" s="92" t="str">
        <f>IF(Table1[Start Date]="","",IF(Table1[Start Date]&gt;42460,"",IF(AND(Table1[Leaving Date]&gt;1,Table1[Leaving Date]&lt;42370),"",1)))</f>
        <v/>
      </c>
      <c r="DT150" s="92" t="str">
        <f>IF(Table1[Start Date]="","",IF(Table1[Start Date]&gt;42551,"",IF(AND(Table1[Leaving Date]&gt;1,Table1[Leaving Date]&lt;42461),"",1)))</f>
        <v/>
      </c>
      <c r="DU150" s="92" t="str">
        <f>IF(Table1[Start Date]="","",IF(Table1[Start Date]&gt;42643,"",IF(AND(Table1[Leaving Date]&gt;1,Table1[Leaving Date]&lt;42552),"",1)))</f>
        <v/>
      </c>
      <c r="DV150" s="92" t="str">
        <f>IF(Table1[Start Date]="","",IF(Table1[Start Date]&gt;42735,"",IF(AND(Table1[Leaving Date]&gt;1,Table1[Leaving Date]&lt;42644),"",1)))</f>
        <v/>
      </c>
      <c r="DW150" s="92" t="str">
        <f>IF(Table1[Start Date]="","",IF(Table1[Start Date]&gt;42825,"",IF(AND(Table1[Leaving Date]&gt;1,Table1[Leaving Date]&lt;42736),"",1)))</f>
        <v/>
      </c>
      <c r="DX150"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150" s="44" t="e">
        <f>VLOOKUP(Table1[Referral Source],Lists!$G$2:$H$20,2,FALSE)</f>
        <v>#N/A</v>
      </c>
      <c r="DZ150" s="93" t="e">
        <f>SUM(Table1[Data Referral Quarter]+Table1[Data Referral Source])</f>
        <v>#N/A</v>
      </c>
      <c r="EA150" s="44" t="b">
        <f>IF(Table1[Referral Decision]="Accepted",100,IF(Table1[Referral Decision]="Rejected by Provider",200,IF(Table1[Referral Decision]="Rejected by Applicant",300)))</f>
        <v>0</v>
      </c>
      <c r="EB150" s="44">
        <f>SUM(Table1[Data Referral Quarter]+Table1[Data Referral Decision])</f>
        <v>0</v>
      </c>
      <c r="EC150" s="44" t="b">
        <f>IF(Table1[Start Date]&gt;42735,8000,IF(Table1[Start Date]&gt;42643,7000,IF(Table1[Start Date]&gt;42551,6000,IF(Table1[Start Date]&gt;42460,5000,IF(Table1[Start Date]&gt;42369,4000,IF(Table1[Start Date]&gt;42277,3000,IF(Table1[Start Date]&gt;42185,2000,IF(Table1[Start Date]&gt;42094,1000))))))))</f>
        <v>0</v>
      </c>
      <c r="ED150" s="44" t="str">
        <f>IF(Table1[Start Date]="","",IF(Table1[Current Local Authority]="Swindon",1,"2"))</f>
        <v/>
      </c>
      <c r="EE150" s="44" t="e">
        <f>SUM(Table1[Data Start Date]+Table1[Data Local Authority])</f>
        <v>#VALUE!</v>
      </c>
      <c r="EF150" s="44">
        <f>IF(Table1[Registered with GP]="Yes",1,0)</f>
        <v>0</v>
      </c>
      <c r="EG150" s="44">
        <f>SUM(Table1[Data Start Date]+Table1[Data GP Start])</f>
        <v>0</v>
      </c>
      <c r="EH150" s="44" t="str">
        <f>IF(Table1[EET]="NEET",1,IF(Table1[EET]="Education",2,IF(Table1[EET]="Employment",2,IF(Table1[EET]="Training",2,IF(Table1[EET]="Retired",3,"")))))</f>
        <v/>
      </c>
      <c r="EI150" s="44" t="e">
        <f>Table1[Data Start Date]+Table1[Data EET Start]</f>
        <v>#VALUE!</v>
      </c>
      <c r="EJ150" s="44" t="b">
        <f>IF(Table1[Leaving Date]&gt;42735,8000,IF(Table1[Leaving Date]&gt;42643,7000,IF(Table1[Leaving Date]&gt;42551,6000,IF(Table1[Leaving Date]&gt;42460,5000,IF(Table1[Leaving Date]&gt;42369,4000,IF(Table1[Leaving Date]&gt;42277,3000,IF(Table1[Leaving Date]&gt;42185,2000,IF(Table1[Leaving Date]&gt;42094,1000))))))))</f>
        <v>0</v>
      </c>
      <c r="EK150" s="44" t="e">
        <f>VLOOKUP(Table1[Reason for Leaving],Lists!$T$2:$U$15,2,FALSE)</f>
        <v>#N/A</v>
      </c>
      <c r="EL150" s="44" t="e">
        <f>SUM(Table1[Data Leavers Date]+Table1[Data Move On])</f>
        <v>#N/A</v>
      </c>
      <c r="EM150" s="44" t="b">
        <f>IF(Table1[Registered with GP2]="Yes",1,IF(Table1[Registered with GP2]="No",0,IF(Table1[Registered with GP]="Yes",1,IF(Table1[Registered with GP]="No",0))))</f>
        <v>0</v>
      </c>
      <c r="EN150" s="44">
        <f>SUM(Table1[Data Leavers Date]+Table1[Data GP End])</f>
        <v>0</v>
      </c>
      <c r="EO150" s="44" t="str">
        <f>IF(Table1[EET2]="NEET",1,IF(Table1[EET2]="Employment",2,IF(Table1[EET2]="Education",2,IF(Table1[EET2]="Training",2,IF(Table1[EET2]="Retired",3,IF(Table1[EET]="NEET",1,IF(Table1[EET]="Employment",2,IF(Table1[EET]="Education",2,IF(Table1[EET]="Training",2,IF(Table1[EET]="Retired",3,""))))))))))</f>
        <v/>
      </c>
      <c r="EP150" s="44" t="e">
        <f>+Table1[[#This Row],[Data Leavers Date]]+Table1[[#This Row],[Data EET End]]</f>
        <v>#VALUE!</v>
      </c>
      <c r="EQ150" s="44">
        <f>IF(Table1[Exit Form Received]="Yes",1,0)</f>
        <v>0</v>
      </c>
      <c r="ER150" s="44">
        <f>+Table1[[#This Row],[Data Leavers Date]]+Table1[[#This Row],[Data Exit Forms]]</f>
        <v>0</v>
      </c>
      <c r="ES150" s="44" t="str">
        <f>IF(Table1[Data Leavers Date]=1000,SUM(Table1[Leaving Date]-Table1[Start Date]),"")</f>
        <v/>
      </c>
      <c r="ET150" s="44" t="str">
        <f>IF(Table1[Data Leavers Date]=2000,SUM(Table1[Leaving Date]-Table1[Start Date]),"")</f>
        <v/>
      </c>
      <c r="EU150" s="44" t="str">
        <f>IF(Table1[Data Leavers Date]=3000,SUM(Table1[Leaving Date]-Table1[Start Date]),"")</f>
        <v/>
      </c>
      <c r="EV150" s="44" t="str">
        <f>IF(Table1[Data Leavers Date]=4000,SUM(Table1[Leaving Date]-Table1[Start Date]),"")</f>
        <v/>
      </c>
      <c r="EW150" s="44" t="str">
        <f>IF(Table1[Data Leavers Date]=5000,SUM(Table1[Leaving Date]-Table1[Start Date]),"")</f>
        <v/>
      </c>
      <c r="EX150" s="44" t="str">
        <f>IF(Table1[Data Leavers Date]=6000,SUM(Table1[Leaving Date]-Table1[Start Date]),"")</f>
        <v/>
      </c>
      <c r="EY150" s="44" t="str">
        <f>IF(Table1[Data Leavers Date]=7000,SUM(Table1[Leaving Date]-Table1[Start Date]),"")</f>
        <v/>
      </c>
      <c r="EZ150" s="44" t="str">
        <f>IF(Table1[Data Leavers Date]=8000,SUM(Table1[Leaving Date]-Table1[Start Date]),"")</f>
        <v/>
      </c>
      <c r="FA150" s="44" t="str">
        <f>IF(Table1[Date of Initial Assessment]="","",IF(AND(Table1[Start Date]&gt;42094,Table1[Start Date]&lt;42461),Table1[Motivation and Taking Responsibility],""))</f>
        <v/>
      </c>
      <c r="FB150" s="44" t="str">
        <f>IF(Table1[Date of Initial Assessment]="","",IF(AND(Table1[Start Date]&gt;42094,Table1[Start Date]&lt;42461),Table1[Self-Care and Living Skills],""))</f>
        <v/>
      </c>
      <c r="FC150" s="44" t="str">
        <f>IF(Table1[Date of Initial Assessment]="","",IF(AND(Table1[Start Date]&gt;42094,Table1[Start Date]&lt;42461),Table1[Managing Money and Personal Administration],""))</f>
        <v/>
      </c>
      <c r="FD150" s="44" t="str">
        <f>IF(Table1[Date of Initial Assessment]="","",IF(AND(Table1[Start Date]&gt;42094,Table1[Start Date]&lt;42461),Table1[Social Networks and Relationships],""))</f>
        <v/>
      </c>
      <c r="FE150" s="44" t="str">
        <f>IF(Table1[Date of Initial Assessment]="","",IF(AND(Table1[Start Date]&gt;42094,Table1[Start Date]&lt;42461),Table1[Drug and Alcohol Misuse],""))</f>
        <v/>
      </c>
      <c r="FF150" s="44" t="str">
        <f>IF(Table1[Date of Initial Assessment]="","",IF(AND(Table1[Start Date]&gt;42094,Table1[Start Date]&lt;42461),Table1[Physical Health],""))</f>
        <v/>
      </c>
      <c r="FG150" s="44" t="str">
        <f>IF(Table1[Date of Initial Assessment]="","",IF(AND(Table1[Start Date]&gt;42094,Table1[Start Date]&lt;42461),Table1[Emotional and Mental Health],""))</f>
        <v/>
      </c>
      <c r="FH150" s="44" t="str">
        <f>IF(Table1[Date of Initial Assessment]="","",IF(AND(Table1[Start Date]&gt;42094,Table1[Start Date]&lt;42461),Table1[Meaningful Use of Time],""))</f>
        <v/>
      </c>
      <c r="FI150" s="44" t="str">
        <f>IF(Table1[Date of Initial Assessment]="","",IF(AND(Table1[Start Date]&gt;42094,Table1[Start Date]&lt;42461),Table1[Managing Tenancy and Accommodation],""))</f>
        <v/>
      </c>
      <c r="FJ150" s="44" t="str">
        <f>IF(Table1[Date of Initial Assessment]="","",IF(AND(Table1[Start Date]&gt;42094,Table1[Start Date]&lt;42461),Table1[Offending],""))</f>
        <v/>
      </c>
      <c r="FK150" s="44" t="str">
        <f>IF(Table1[Leaving Date]="","",IF(Table1[Date of Initial Assessment]="","",IF(AND(Table1[Leaving Date]&gt;42094,Table1[Leaving Date]&lt;42461),IF(Table1[Date of Last Assessment]="",Table1[Motivation and Taking Responsibility],Table1[Motivation and Taking Responsibility2]),"")))</f>
        <v/>
      </c>
      <c r="FL150" s="44" t="str">
        <f>IF(Table1[Leaving Date]="","",IF(Table1[Date of Initial Assessment]="","",IF(AND(Table1[Leaving Date]&gt;42094,Table1[Leaving Date]&lt;42461),IF(Table1[Date of Last Assessment]="",Table1[Self-Care and Living Skills],Table1[Self-Care and Living Skills2]),"")))</f>
        <v/>
      </c>
      <c r="FM150" s="44" t="str">
        <f>IF(Table1[Leaving Date]="","",IF(Table1[Date of Initial Assessment]="","",IF(AND(Table1[Leaving Date]&gt;42094,Table1[Leaving Date]&lt;42461),IF(Table1[Date of Last Assessment]="",Table1[Managing Money and Personal Administration],Table1[Managing Money and Personal Administration2]),"")))</f>
        <v/>
      </c>
      <c r="FN150" s="44" t="str">
        <f>IF(Table1[Leaving Date]="","",IF(Table1[Date of Initial Assessment]="","",IF(AND(Table1[Leaving Date]&gt;42094,Table1[Leaving Date]&lt;42461),IF(Table1[Date of Last Assessment]="",Table1[Social Networks and Relationships],Table1[Social Networks and Relationships2]),"")))</f>
        <v/>
      </c>
      <c r="FO150" s="44" t="str">
        <f>IF(Table1[Leaving Date]="","",IF(Table1[Date of Initial Assessment]="","",IF(AND(Table1[Leaving Date]&gt;42094,Table1[Leaving Date]&lt;42461),IF(Table1[Date of Last Assessment]="",Table1[Drug and Alcohol Misuse],Table1[Drug and Alcohol Misuse2]),"")))</f>
        <v/>
      </c>
      <c r="FP150" s="44" t="str">
        <f>IF(Table1[Leaving Date]="","",IF(Table1[Date of Initial Assessment]="","",IF(AND(Table1[Leaving Date]&gt;42094,Table1[Leaving Date]&lt;42461),IF(Table1[Date of Last Assessment]="",Table1[Physical Health],Table1[Physical Health2]),"")))</f>
        <v/>
      </c>
      <c r="FQ150" s="44" t="str">
        <f>IF(Table1[Leaving Date]="","",IF(Table1[Date of Initial Assessment]="","",IF(AND(Table1[Leaving Date]&gt;42094,Table1[Leaving Date]&lt;42461),IF(Table1[Date of Last Assessment]="",Table1[Emotional and Mental Health],Table1[Emotional and Mental Health2]),"")))</f>
        <v/>
      </c>
      <c r="FR150" s="44" t="str">
        <f>IF(Table1[Leaving Date]="","",IF(Table1[Date of Initial Assessment]="","",IF(AND(Table1[Leaving Date]&gt;42094,Table1[Leaving Date]&lt;42461),IF(Table1[Date of Last Assessment]="",Table1[Meaningful Use of Time],Table1[Meaningful Use of Time2]),"")))</f>
        <v/>
      </c>
      <c r="FS150" s="44" t="str">
        <f>IF(Table1[Leaving Date]="","",IF(Table1[Date of Initial Assessment]="","",IF(AND(Table1[Leaving Date]&gt;42094,Table1[Leaving Date]&lt;42461),IF(Table1[Date of Last Assessment]="",Table1[Managing Tenancy and Accommodation],Table1[Managing Tenancy and Accommodation2]),"")))</f>
        <v/>
      </c>
      <c r="FT150" s="44" t="str">
        <f>IF(Table1[Leaving Date]="","",IF(Table1[Date of Initial Assessment]="","",IF(AND(Table1[Leaving Date]&gt;42094,Table1[Leaving Date]&lt;42461),IF(Table1[Date of Last Assessment]="",Table1[Offending],Table1[Offending2]),"")))</f>
        <v/>
      </c>
      <c r="FU150" s="44" t="str">
        <f>IF(Table1[Date of Initial Assessment]="","",IF(AND(Table1[Start Date]&gt;42460,Table1[Start Date]&lt;42826),Table1[Motivation and Taking Responsibility],""))</f>
        <v/>
      </c>
      <c r="FV150" s="44" t="str">
        <f>IF(Table1[Date of Initial Assessment]="","",IF(AND(Table1[Start Date]&gt;42460,Table1[Start Date]&lt;42826),Table1[Self-Care and Living Skills],""))</f>
        <v/>
      </c>
      <c r="FW150" s="44" t="str">
        <f>IF(Table1[Date of Initial Assessment]="","",IF(AND(Table1[Start Date]&gt;42460,Table1[Start Date]&lt;42826),Table1[Managing Money and Personal Administration],""))</f>
        <v/>
      </c>
      <c r="FX150" s="44" t="str">
        <f>IF(Table1[Date of Initial Assessment]="","",IF(AND(Table1[Start Date]&gt;42460,Table1[Start Date]&lt;42826),Table1[Social Networks and Relationships],""))</f>
        <v/>
      </c>
      <c r="FY150" s="44" t="str">
        <f>IF(Table1[Date of Initial Assessment]="","",IF(AND(Table1[Start Date]&gt;42460,Table1[Start Date]&lt;42826),Table1[Drug and Alcohol Misuse],""))</f>
        <v/>
      </c>
      <c r="FZ150" s="44" t="str">
        <f>IF(Table1[Date of Initial Assessment]="","",IF(AND(Table1[Start Date]&gt;42460,Table1[Start Date]&lt;42826),Table1[Physical Health],""))</f>
        <v/>
      </c>
      <c r="GA150" s="44" t="str">
        <f>IF(Table1[Date of Initial Assessment]="","",IF(AND(Table1[Start Date]&gt;42460,Table1[Start Date]&lt;42826),Table1[Emotional and Mental Health],""))</f>
        <v/>
      </c>
      <c r="GB150" s="44" t="str">
        <f>IF(Table1[Date of Initial Assessment]="","",IF(AND(Table1[Start Date]&gt;42460,Table1[Start Date]&lt;42826),Table1[Meaningful Use of Time],""))</f>
        <v/>
      </c>
      <c r="GC150" s="44" t="str">
        <f>IF(Table1[Date of Initial Assessment]="","",IF(AND(Table1[Start Date]&gt;42460,Table1[Start Date]&lt;42826),Table1[Managing Tenancy and Accommodation],""))</f>
        <v/>
      </c>
      <c r="GD150" s="44" t="str">
        <f>IF(Table1[Date of Initial Assessment]="","",IF(AND(Table1[Start Date]&gt;42460,Table1[Start Date]&lt;42826),Table1[Offending],""))</f>
        <v/>
      </c>
      <c r="GE150" s="44" t="str">
        <f>IF(Table1[Leaving Date]="","",IF(AND(Table1[Leaving Date]&gt;42460,Table1[Leaving Date]&lt;42826),IF(Table1[Date of Last Assessment]="",Table1[Motivation and Taking Responsibility],Table1[Motivation and Taking Responsibility2]),""))</f>
        <v/>
      </c>
      <c r="GF150" s="44" t="str">
        <f>IF(Table1[Leaving Date]="","",IF(AND(Table1[Leaving Date]&gt;42460,Table1[Leaving Date]&lt;42826),IF(Table1[Date of Last Assessment]="",Table1[Self-Care and Living Skills],Table1[Self-Care and Living Skills2]),""))</f>
        <v/>
      </c>
      <c r="GG150" s="44" t="str">
        <f>IF(Table1[Leaving Date]="","",IF(AND(Table1[Leaving Date]&gt;42460,Table1[Leaving Date]&lt;42826),IF(Table1[Date of Last Assessment]="",Table1[Managing Money and Personal Administration],Table1[Managing Money and Personal Administration2]),""))</f>
        <v/>
      </c>
      <c r="GH150" s="44" t="str">
        <f>IF(Table1[Leaving Date]="","",IF(AND(Table1[Leaving Date]&gt;42460,Table1[Leaving Date]&lt;42826),IF(Table1[Date of Last Assessment]="",Table1[Social Networks and Relationships],Table1[Social Networks and Relationships2]),""))</f>
        <v/>
      </c>
      <c r="GI150" s="44" t="str">
        <f>IF(Table1[Leaving Date]="","",IF(AND(Table1[Leaving Date]&gt;42460,Table1[Leaving Date]&lt;42826),IF(Table1[Date of Last Assessment]="",Table1[Drug and Alcohol Misuse],Table1[Drug and Alcohol Misuse2]),""))</f>
        <v/>
      </c>
      <c r="GJ150" s="44" t="str">
        <f>IF(Table1[Leaving Date]="","",IF(AND(Table1[Leaving Date]&gt;42460,Table1[Leaving Date]&lt;42826),IF(Table1[Date of Last Assessment]="",Table1[Physical Health],Table1[Physical Health2]),""))</f>
        <v/>
      </c>
      <c r="GK150" s="44" t="str">
        <f>IF(Table1[Leaving Date]="","",IF(AND(Table1[Leaving Date]&gt;42460,Table1[Leaving Date]&lt;42826),IF(Table1[Date of Last Assessment]="",Table1[Emotional and Mental Health],Table1[Emotional and Mental Health2]),""))</f>
        <v/>
      </c>
      <c r="GL150" s="44" t="str">
        <f>IF(Table1[Leaving Date]="","",IF(AND(Table1[Leaving Date]&gt;42460,Table1[Leaving Date]&lt;42826),IF(Table1[Date of Last Assessment]="",Table1[Meaningful Use of Time],Table1[Meaningful Use of Time2]),""))</f>
        <v/>
      </c>
      <c r="GM150" s="44" t="str">
        <f>IF(Table1[Leaving Date]="","",IF(AND(Table1[Leaving Date]&gt;42460,Table1[Leaving Date]&lt;42826),IF(Table1[Date of Last Assessment]="",Table1[Managing Tenancy and Accommodation],Table1[Managing Tenancy and Accommodation2]),""))</f>
        <v/>
      </c>
      <c r="GN150" s="44" t="str">
        <f>IF(Table1[Leaving Date]="","",IF(AND(Table1[Leaving Date]&gt;42460,Table1[Leaving Date]&lt;42826),IF(Table1[Date of Last Assessment]="",Table1[Offending],Table1[Offending2]),""))</f>
        <v/>
      </c>
    </row>
    <row r="151" spans="2:196" ht="20.100000000000001" customHeight="1" x14ac:dyDescent="0.2">
      <c r="B151" s="86">
        <f>+'Service Data'!$C$5:$C$5</f>
        <v>0</v>
      </c>
      <c r="C151" s="86"/>
      <c r="D151" s="86"/>
      <c r="E151" s="86"/>
      <c r="F151" s="86"/>
      <c r="G151" s="86"/>
      <c r="H151" s="6"/>
      <c r="I151" s="99" t="str">
        <f ca="1">IF(Table1[[#This Row],[Date of Birth]]="","",SUM(TODAY()-Table1[[#This Row],[Date of Birth]])/365)</f>
        <v/>
      </c>
      <c r="L151" s="86"/>
      <c r="M151" s="77"/>
      <c r="N151" s="86"/>
      <c r="O151" s="86"/>
      <c r="P151" s="91"/>
      <c r="Q151" s="86"/>
      <c r="R151" s="77"/>
      <c r="S151" s="77"/>
      <c r="T151" s="68"/>
      <c r="U151" s="68"/>
      <c r="V151" s="67"/>
      <c r="W151" s="67"/>
      <c r="X151" s="67"/>
      <c r="Y151" s="67"/>
      <c r="Z151" s="67"/>
      <c r="AA151" s="67"/>
      <c r="AB151" s="67"/>
      <c r="AC151" s="67"/>
      <c r="AD151" s="67"/>
      <c r="AE151" s="67"/>
      <c r="AF151" s="67"/>
      <c r="AG151" s="67"/>
      <c r="AH151" s="67"/>
      <c r="AI151" s="67"/>
      <c r="AJ151" s="67"/>
      <c r="AK151" s="67"/>
      <c r="AL151" s="67"/>
      <c r="AM151" s="67"/>
      <c r="AN151" s="77"/>
      <c r="AO151" s="76"/>
      <c r="AP151" s="77"/>
      <c r="AQ151" s="76"/>
      <c r="AR151" s="76"/>
      <c r="AS151" s="76"/>
      <c r="AT151" s="76"/>
      <c r="AU151" s="76"/>
      <c r="AV151" s="77"/>
      <c r="AW151" s="76"/>
      <c r="AX151" s="77"/>
      <c r="AY151" s="76"/>
      <c r="AZ151" s="76"/>
      <c r="BA151" s="76"/>
      <c r="BB151" s="76"/>
      <c r="BC151" s="76"/>
      <c r="BD151" s="77"/>
      <c r="BE151" s="76"/>
      <c r="BF151" s="77"/>
      <c r="BG151" s="76"/>
      <c r="BH151" s="76"/>
      <c r="BI151" s="76"/>
      <c r="BJ151" s="76"/>
      <c r="BK151" s="76"/>
      <c r="BL151" s="77"/>
      <c r="BM151" s="76"/>
      <c r="BN151" s="77"/>
      <c r="BO151" s="76"/>
      <c r="BP151" s="76"/>
      <c r="BQ151" s="76"/>
      <c r="BR151" s="76"/>
      <c r="BS151" s="76"/>
      <c r="BT151" s="77"/>
      <c r="BU151" s="76"/>
      <c r="BV151" s="77"/>
      <c r="BW151" s="76"/>
      <c r="BX151" s="76"/>
      <c r="BY151" s="76"/>
      <c r="BZ151" s="76"/>
      <c r="CA151" s="76"/>
      <c r="CB151" s="77"/>
      <c r="CC151" s="76"/>
      <c r="CD151" s="77"/>
      <c r="CE151" s="76"/>
      <c r="CF151" s="76"/>
      <c r="CG151" s="76"/>
      <c r="CH151" s="76"/>
      <c r="CI151" s="76"/>
      <c r="CJ151" s="77"/>
      <c r="CK151" s="76"/>
      <c r="CL151" s="77"/>
      <c r="CM151" s="76"/>
      <c r="CN151" s="76"/>
      <c r="CO151" s="76"/>
      <c r="CP151" s="76"/>
      <c r="CQ151" s="76"/>
      <c r="CR151" s="78" t="str">
        <f t="shared" si="47"/>
        <v/>
      </c>
      <c r="CS151" s="79" t="str">
        <f t="shared" si="48"/>
        <v/>
      </c>
      <c r="CT151" s="79" t="str">
        <f t="shared" si="49"/>
        <v/>
      </c>
      <c r="CU151" s="79" t="str">
        <f t="shared" si="50"/>
        <v/>
      </c>
      <c r="CV151" s="79" t="str">
        <f t="shared" si="51"/>
        <v/>
      </c>
      <c r="CW151" s="79" t="str">
        <f t="shared" si="52"/>
        <v/>
      </c>
      <c r="CX151" s="79" t="str">
        <f t="shared" si="53"/>
        <v/>
      </c>
      <c r="CY151" s="79" t="str">
        <f t="shared" si="54"/>
        <v/>
      </c>
      <c r="CZ151" s="79" t="str">
        <f t="shared" si="55"/>
        <v/>
      </c>
      <c r="DA151" s="79" t="str">
        <f t="shared" si="56"/>
        <v/>
      </c>
      <c r="DB151" s="79" t="str">
        <f t="shared" si="57"/>
        <v/>
      </c>
      <c r="DC151" s="79" t="str">
        <f t="shared" si="58"/>
        <v/>
      </c>
      <c r="DD151" s="79" t="str">
        <f t="shared" si="59"/>
        <v/>
      </c>
      <c r="DE151" s="79" t="str">
        <f t="shared" si="60"/>
        <v/>
      </c>
      <c r="DF151" s="79" t="str">
        <f t="shared" si="61"/>
        <v/>
      </c>
      <c r="DG151" s="79" t="str">
        <f t="shared" si="62"/>
        <v/>
      </c>
      <c r="DH151" s="76"/>
      <c r="DI151" s="78"/>
      <c r="DJ151" s="76"/>
      <c r="DK151" s="77"/>
      <c r="DL151" s="77"/>
      <c r="DM151" s="77"/>
      <c r="DN151" s="80"/>
      <c r="DO151" s="80"/>
      <c r="DP151" s="92" t="str">
        <f>IF(Table1[Start Date]="","",IF(Table1[Start Date]&gt;42185,"",IF(AND(Table1[Leaving Date]&gt;1,Table1[Leaving Date]&lt;42095),"",1)))</f>
        <v/>
      </c>
      <c r="DQ151" s="92" t="str">
        <f>IF(Table1[Start Date]="","",IF(Table1[Start Date]&gt;42277,"",IF(AND(Table1[Leaving Date]&gt;1,Table1[Leaving Date]&lt;42186),"",1)))</f>
        <v/>
      </c>
      <c r="DR151" s="92" t="str">
        <f>IF(Table1[Start Date]="","",IF(Table1[Start Date]&gt;42369,"",IF(AND(Table1[Leaving Date]&gt;1,Table1[Leaving Date]&lt;42278),"",1)))</f>
        <v/>
      </c>
      <c r="DS151" s="92" t="str">
        <f>IF(Table1[Start Date]="","",IF(Table1[Start Date]&gt;42460,"",IF(AND(Table1[Leaving Date]&gt;1,Table1[Leaving Date]&lt;42370),"",1)))</f>
        <v/>
      </c>
      <c r="DT151" s="92" t="str">
        <f>IF(Table1[Start Date]="","",IF(Table1[Start Date]&gt;42551,"",IF(AND(Table1[Leaving Date]&gt;1,Table1[Leaving Date]&lt;42461),"",1)))</f>
        <v/>
      </c>
      <c r="DU151" s="92" t="str">
        <f>IF(Table1[Start Date]="","",IF(Table1[Start Date]&gt;42643,"",IF(AND(Table1[Leaving Date]&gt;1,Table1[Leaving Date]&lt;42552),"",1)))</f>
        <v/>
      </c>
      <c r="DV151" s="92" t="str">
        <f>IF(Table1[Start Date]="","",IF(Table1[Start Date]&gt;42735,"",IF(AND(Table1[Leaving Date]&gt;1,Table1[Leaving Date]&lt;42644),"",1)))</f>
        <v/>
      </c>
      <c r="DW151" s="92" t="str">
        <f>IF(Table1[Start Date]="","",IF(Table1[Start Date]&gt;42825,"",IF(AND(Table1[Leaving Date]&gt;1,Table1[Leaving Date]&lt;42736),"",1)))</f>
        <v/>
      </c>
      <c r="DX151"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151" s="44" t="e">
        <f>VLOOKUP(Table1[Referral Source],Lists!$G$2:$H$20,2,FALSE)</f>
        <v>#N/A</v>
      </c>
      <c r="DZ151" s="93" t="e">
        <f>SUM(Table1[Data Referral Quarter]+Table1[Data Referral Source])</f>
        <v>#N/A</v>
      </c>
      <c r="EA151" s="44" t="b">
        <f>IF(Table1[Referral Decision]="Accepted",100,IF(Table1[Referral Decision]="Rejected by Provider",200,IF(Table1[Referral Decision]="Rejected by Applicant",300)))</f>
        <v>0</v>
      </c>
      <c r="EB151" s="44">
        <f>SUM(Table1[Data Referral Quarter]+Table1[Data Referral Decision])</f>
        <v>0</v>
      </c>
      <c r="EC151" s="44" t="b">
        <f>IF(Table1[Start Date]&gt;42735,8000,IF(Table1[Start Date]&gt;42643,7000,IF(Table1[Start Date]&gt;42551,6000,IF(Table1[Start Date]&gt;42460,5000,IF(Table1[Start Date]&gt;42369,4000,IF(Table1[Start Date]&gt;42277,3000,IF(Table1[Start Date]&gt;42185,2000,IF(Table1[Start Date]&gt;42094,1000))))))))</f>
        <v>0</v>
      </c>
      <c r="ED151" s="44" t="str">
        <f>IF(Table1[Start Date]="","",IF(Table1[Current Local Authority]="Swindon",1,"2"))</f>
        <v/>
      </c>
      <c r="EE151" s="44" t="e">
        <f>SUM(Table1[Data Start Date]+Table1[Data Local Authority])</f>
        <v>#VALUE!</v>
      </c>
      <c r="EF151" s="44">
        <f>IF(Table1[Registered with GP]="Yes",1,0)</f>
        <v>0</v>
      </c>
      <c r="EG151" s="44">
        <f>SUM(Table1[Data Start Date]+Table1[Data GP Start])</f>
        <v>0</v>
      </c>
      <c r="EH151" s="44" t="str">
        <f>IF(Table1[EET]="NEET",1,IF(Table1[EET]="Education",2,IF(Table1[EET]="Employment",2,IF(Table1[EET]="Training",2,IF(Table1[EET]="Retired",3,"")))))</f>
        <v/>
      </c>
      <c r="EI151" s="44" t="e">
        <f>Table1[Data Start Date]+Table1[Data EET Start]</f>
        <v>#VALUE!</v>
      </c>
      <c r="EJ151" s="44" t="b">
        <f>IF(Table1[Leaving Date]&gt;42735,8000,IF(Table1[Leaving Date]&gt;42643,7000,IF(Table1[Leaving Date]&gt;42551,6000,IF(Table1[Leaving Date]&gt;42460,5000,IF(Table1[Leaving Date]&gt;42369,4000,IF(Table1[Leaving Date]&gt;42277,3000,IF(Table1[Leaving Date]&gt;42185,2000,IF(Table1[Leaving Date]&gt;42094,1000))))))))</f>
        <v>0</v>
      </c>
      <c r="EK151" s="44" t="e">
        <f>VLOOKUP(Table1[Reason for Leaving],Lists!$T$2:$U$15,2,FALSE)</f>
        <v>#N/A</v>
      </c>
      <c r="EL151" s="44" t="e">
        <f>SUM(Table1[Data Leavers Date]+Table1[Data Move On])</f>
        <v>#N/A</v>
      </c>
      <c r="EM151" s="44" t="b">
        <f>IF(Table1[Registered with GP2]="Yes",1,IF(Table1[Registered with GP2]="No",0,IF(Table1[Registered with GP]="Yes",1,IF(Table1[Registered with GP]="No",0))))</f>
        <v>0</v>
      </c>
      <c r="EN151" s="44">
        <f>SUM(Table1[Data Leavers Date]+Table1[Data GP End])</f>
        <v>0</v>
      </c>
      <c r="EO151" s="44" t="str">
        <f>IF(Table1[EET2]="NEET",1,IF(Table1[EET2]="Employment",2,IF(Table1[EET2]="Education",2,IF(Table1[EET2]="Training",2,IF(Table1[EET2]="Retired",3,IF(Table1[EET]="NEET",1,IF(Table1[EET]="Employment",2,IF(Table1[EET]="Education",2,IF(Table1[EET]="Training",2,IF(Table1[EET]="Retired",3,""))))))))))</f>
        <v/>
      </c>
      <c r="EP151" s="44" t="e">
        <f>+Table1[[#This Row],[Data Leavers Date]]+Table1[[#This Row],[Data EET End]]</f>
        <v>#VALUE!</v>
      </c>
      <c r="EQ151" s="44">
        <f>IF(Table1[Exit Form Received]="Yes",1,0)</f>
        <v>0</v>
      </c>
      <c r="ER151" s="44">
        <f>+Table1[[#This Row],[Data Leavers Date]]+Table1[[#This Row],[Data Exit Forms]]</f>
        <v>0</v>
      </c>
      <c r="ES151" s="44" t="str">
        <f>IF(Table1[Data Leavers Date]=1000,SUM(Table1[Leaving Date]-Table1[Start Date]),"")</f>
        <v/>
      </c>
      <c r="ET151" s="44" t="str">
        <f>IF(Table1[Data Leavers Date]=2000,SUM(Table1[Leaving Date]-Table1[Start Date]),"")</f>
        <v/>
      </c>
      <c r="EU151" s="44" t="str">
        <f>IF(Table1[Data Leavers Date]=3000,SUM(Table1[Leaving Date]-Table1[Start Date]),"")</f>
        <v/>
      </c>
      <c r="EV151" s="44" t="str">
        <f>IF(Table1[Data Leavers Date]=4000,SUM(Table1[Leaving Date]-Table1[Start Date]),"")</f>
        <v/>
      </c>
      <c r="EW151" s="44" t="str">
        <f>IF(Table1[Data Leavers Date]=5000,SUM(Table1[Leaving Date]-Table1[Start Date]),"")</f>
        <v/>
      </c>
      <c r="EX151" s="44" t="str">
        <f>IF(Table1[Data Leavers Date]=6000,SUM(Table1[Leaving Date]-Table1[Start Date]),"")</f>
        <v/>
      </c>
      <c r="EY151" s="44" t="str">
        <f>IF(Table1[Data Leavers Date]=7000,SUM(Table1[Leaving Date]-Table1[Start Date]),"")</f>
        <v/>
      </c>
      <c r="EZ151" s="44" t="str">
        <f>IF(Table1[Data Leavers Date]=8000,SUM(Table1[Leaving Date]-Table1[Start Date]),"")</f>
        <v/>
      </c>
      <c r="FA151" s="44" t="str">
        <f>IF(Table1[Date of Initial Assessment]="","",IF(AND(Table1[Start Date]&gt;42094,Table1[Start Date]&lt;42461),Table1[Motivation and Taking Responsibility],""))</f>
        <v/>
      </c>
      <c r="FB151" s="44" t="str">
        <f>IF(Table1[Date of Initial Assessment]="","",IF(AND(Table1[Start Date]&gt;42094,Table1[Start Date]&lt;42461),Table1[Self-Care and Living Skills],""))</f>
        <v/>
      </c>
      <c r="FC151" s="44" t="str">
        <f>IF(Table1[Date of Initial Assessment]="","",IF(AND(Table1[Start Date]&gt;42094,Table1[Start Date]&lt;42461),Table1[Managing Money and Personal Administration],""))</f>
        <v/>
      </c>
      <c r="FD151" s="44" t="str">
        <f>IF(Table1[Date of Initial Assessment]="","",IF(AND(Table1[Start Date]&gt;42094,Table1[Start Date]&lt;42461),Table1[Social Networks and Relationships],""))</f>
        <v/>
      </c>
      <c r="FE151" s="44" t="str">
        <f>IF(Table1[Date of Initial Assessment]="","",IF(AND(Table1[Start Date]&gt;42094,Table1[Start Date]&lt;42461),Table1[Drug and Alcohol Misuse],""))</f>
        <v/>
      </c>
      <c r="FF151" s="44" t="str">
        <f>IF(Table1[Date of Initial Assessment]="","",IF(AND(Table1[Start Date]&gt;42094,Table1[Start Date]&lt;42461),Table1[Physical Health],""))</f>
        <v/>
      </c>
      <c r="FG151" s="44" t="str">
        <f>IF(Table1[Date of Initial Assessment]="","",IF(AND(Table1[Start Date]&gt;42094,Table1[Start Date]&lt;42461),Table1[Emotional and Mental Health],""))</f>
        <v/>
      </c>
      <c r="FH151" s="44" t="str">
        <f>IF(Table1[Date of Initial Assessment]="","",IF(AND(Table1[Start Date]&gt;42094,Table1[Start Date]&lt;42461),Table1[Meaningful Use of Time],""))</f>
        <v/>
      </c>
      <c r="FI151" s="44" t="str">
        <f>IF(Table1[Date of Initial Assessment]="","",IF(AND(Table1[Start Date]&gt;42094,Table1[Start Date]&lt;42461),Table1[Managing Tenancy and Accommodation],""))</f>
        <v/>
      </c>
      <c r="FJ151" s="44" t="str">
        <f>IF(Table1[Date of Initial Assessment]="","",IF(AND(Table1[Start Date]&gt;42094,Table1[Start Date]&lt;42461),Table1[Offending],""))</f>
        <v/>
      </c>
      <c r="FK151" s="44" t="str">
        <f>IF(Table1[Leaving Date]="","",IF(Table1[Date of Initial Assessment]="","",IF(AND(Table1[Leaving Date]&gt;42094,Table1[Leaving Date]&lt;42461),IF(Table1[Date of Last Assessment]="",Table1[Motivation and Taking Responsibility],Table1[Motivation and Taking Responsibility2]),"")))</f>
        <v/>
      </c>
      <c r="FL151" s="44" t="str">
        <f>IF(Table1[Leaving Date]="","",IF(Table1[Date of Initial Assessment]="","",IF(AND(Table1[Leaving Date]&gt;42094,Table1[Leaving Date]&lt;42461),IF(Table1[Date of Last Assessment]="",Table1[Self-Care and Living Skills],Table1[Self-Care and Living Skills2]),"")))</f>
        <v/>
      </c>
      <c r="FM151" s="44" t="str">
        <f>IF(Table1[Leaving Date]="","",IF(Table1[Date of Initial Assessment]="","",IF(AND(Table1[Leaving Date]&gt;42094,Table1[Leaving Date]&lt;42461),IF(Table1[Date of Last Assessment]="",Table1[Managing Money and Personal Administration],Table1[Managing Money and Personal Administration2]),"")))</f>
        <v/>
      </c>
      <c r="FN151" s="44" t="str">
        <f>IF(Table1[Leaving Date]="","",IF(Table1[Date of Initial Assessment]="","",IF(AND(Table1[Leaving Date]&gt;42094,Table1[Leaving Date]&lt;42461),IF(Table1[Date of Last Assessment]="",Table1[Social Networks and Relationships],Table1[Social Networks and Relationships2]),"")))</f>
        <v/>
      </c>
      <c r="FO151" s="44" t="str">
        <f>IF(Table1[Leaving Date]="","",IF(Table1[Date of Initial Assessment]="","",IF(AND(Table1[Leaving Date]&gt;42094,Table1[Leaving Date]&lt;42461),IF(Table1[Date of Last Assessment]="",Table1[Drug and Alcohol Misuse],Table1[Drug and Alcohol Misuse2]),"")))</f>
        <v/>
      </c>
      <c r="FP151" s="44" t="str">
        <f>IF(Table1[Leaving Date]="","",IF(Table1[Date of Initial Assessment]="","",IF(AND(Table1[Leaving Date]&gt;42094,Table1[Leaving Date]&lt;42461),IF(Table1[Date of Last Assessment]="",Table1[Physical Health],Table1[Physical Health2]),"")))</f>
        <v/>
      </c>
      <c r="FQ151" s="44" t="str">
        <f>IF(Table1[Leaving Date]="","",IF(Table1[Date of Initial Assessment]="","",IF(AND(Table1[Leaving Date]&gt;42094,Table1[Leaving Date]&lt;42461),IF(Table1[Date of Last Assessment]="",Table1[Emotional and Mental Health],Table1[Emotional and Mental Health2]),"")))</f>
        <v/>
      </c>
      <c r="FR151" s="44" t="str">
        <f>IF(Table1[Leaving Date]="","",IF(Table1[Date of Initial Assessment]="","",IF(AND(Table1[Leaving Date]&gt;42094,Table1[Leaving Date]&lt;42461),IF(Table1[Date of Last Assessment]="",Table1[Meaningful Use of Time],Table1[Meaningful Use of Time2]),"")))</f>
        <v/>
      </c>
      <c r="FS151" s="44" t="str">
        <f>IF(Table1[Leaving Date]="","",IF(Table1[Date of Initial Assessment]="","",IF(AND(Table1[Leaving Date]&gt;42094,Table1[Leaving Date]&lt;42461),IF(Table1[Date of Last Assessment]="",Table1[Managing Tenancy and Accommodation],Table1[Managing Tenancy and Accommodation2]),"")))</f>
        <v/>
      </c>
      <c r="FT151" s="44" t="str">
        <f>IF(Table1[Leaving Date]="","",IF(Table1[Date of Initial Assessment]="","",IF(AND(Table1[Leaving Date]&gt;42094,Table1[Leaving Date]&lt;42461),IF(Table1[Date of Last Assessment]="",Table1[Offending],Table1[Offending2]),"")))</f>
        <v/>
      </c>
      <c r="FU151" s="44" t="str">
        <f>IF(Table1[Date of Initial Assessment]="","",IF(AND(Table1[Start Date]&gt;42460,Table1[Start Date]&lt;42826),Table1[Motivation and Taking Responsibility],""))</f>
        <v/>
      </c>
      <c r="FV151" s="44" t="str">
        <f>IF(Table1[Date of Initial Assessment]="","",IF(AND(Table1[Start Date]&gt;42460,Table1[Start Date]&lt;42826),Table1[Self-Care and Living Skills],""))</f>
        <v/>
      </c>
      <c r="FW151" s="44" t="str">
        <f>IF(Table1[Date of Initial Assessment]="","",IF(AND(Table1[Start Date]&gt;42460,Table1[Start Date]&lt;42826),Table1[Managing Money and Personal Administration],""))</f>
        <v/>
      </c>
      <c r="FX151" s="44" t="str">
        <f>IF(Table1[Date of Initial Assessment]="","",IF(AND(Table1[Start Date]&gt;42460,Table1[Start Date]&lt;42826),Table1[Social Networks and Relationships],""))</f>
        <v/>
      </c>
      <c r="FY151" s="44" t="str">
        <f>IF(Table1[Date of Initial Assessment]="","",IF(AND(Table1[Start Date]&gt;42460,Table1[Start Date]&lt;42826),Table1[Drug and Alcohol Misuse],""))</f>
        <v/>
      </c>
      <c r="FZ151" s="44" t="str">
        <f>IF(Table1[Date of Initial Assessment]="","",IF(AND(Table1[Start Date]&gt;42460,Table1[Start Date]&lt;42826),Table1[Physical Health],""))</f>
        <v/>
      </c>
      <c r="GA151" s="44" t="str">
        <f>IF(Table1[Date of Initial Assessment]="","",IF(AND(Table1[Start Date]&gt;42460,Table1[Start Date]&lt;42826),Table1[Emotional and Mental Health],""))</f>
        <v/>
      </c>
      <c r="GB151" s="44" t="str">
        <f>IF(Table1[Date of Initial Assessment]="","",IF(AND(Table1[Start Date]&gt;42460,Table1[Start Date]&lt;42826),Table1[Meaningful Use of Time],""))</f>
        <v/>
      </c>
      <c r="GC151" s="44" t="str">
        <f>IF(Table1[Date of Initial Assessment]="","",IF(AND(Table1[Start Date]&gt;42460,Table1[Start Date]&lt;42826),Table1[Managing Tenancy and Accommodation],""))</f>
        <v/>
      </c>
      <c r="GD151" s="44" t="str">
        <f>IF(Table1[Date of Initial Assessment]="","",IF(AND(Table1[Start Date]&gt;42460,Table1[Start Date]&lt;42826),Table1[Offending],""))</f>
        <v/>
      </c>
      <c r="GE151" s="44" t="str">
        <f>IF(Table1[Leaving Date]="","",IF(AND(Table1[Leaving Date]&gt;42460,Table1[Leaving Date]&lt;42826),IF(Table1[Date of Last Assessment]="",Table1[Motivation and Taking Responsibility],Table1[Motivation and Taking Responsibility2]),""))</f>
        <v/>
      </c>
      <c r="GF151" s="44" t="str">
        <f>IF(Table1[Leaving Date]="","",IF(AND(Table1[Leaving Date]&gt;42460,Table1[Leaving Date]&lt;42826),IF(Table1[Date of Last Assessment]="",Table1[Self-Care and Living Skills],Table1[Self-Care and Living Skills2]),""))</f>
        <v/>
      </c>
      <c r="GG151" s="44" t="str">
        <f>IF(Table1[Leaving Date]="","",IF(AND(Table1[Leaving Date]&gt;42460,Table1[Leaving Date]&lt;42826),IF(Table1[Date of Last Assessment]="",Table1[Managing Money and Personal Administration],Table1[Managing Money and Personal Administration2]),""))</f>
        <v/>
      </c>
      <c r="GH151" s="44" t="str">
        <f>IF(Table1[Leaving Date]="","",IF(AND(Table1[Leaving Date]&gt;42460,Table1[Leaving Date]&lt;42826),IF(Table1[Date of Last Assessment]="",Table1[Social Networks and Relationships],Table1[Social Networks and Relationships2]),""))</f>
        <v/>
      </c>
      <c r="GI151" s="44" t="str">
        <f>IF(Table1[Leaving Date]="","",IF(AND(Table1[Leaving Date]&gt;42460,Table1[Leaving Date]&lt;42826),IF(Table1[Date of Last Assessment]="",Table1[Drug and Alcohol Misuse],Table1[Drug and Alcohol Misuse2]),""))</f>
        <v/>
      </c>
      <c r="GJ151" s="44" t="str">
        <f>IF(Table1[Leaving Date]="","",IF(AND(Table1[Leaving Date]&gt;42460,Table1[Leaving Date]&lt;42826),IF(Table1[Date of Last Assessment]="",Table1[Physical Health],Table1[Physical Health2]),""))</f>
        <v/>
      </c>
      <c r="GK151" s="44" t="str">
        <f>IF(Table1[Leaving Date]="","",IF(AND(Table1[Leaving Date]&gt;42460,Table1[Leaving Date]&lt;42826),IF(Table1[Date of Last Assessment]="",Table1[Emotional and Mental Health],Table1[Emotional and Mental Health2]),""))</f>
        <v/>
      </c>
      <c r="GL151" s="44" t="str">
        <f>IF(Table1[Leaving Date]="","",IF(AND(Table1[Leaving Date]&gt;42460,Table1[Leaving Date]&lt;42826),IF(Table1[Date of Last Assessment]="",Table1[Meaningful Use of Time],Table1[Meaningful Use of Time2]),""))</f>
        <v/>
      </c>
      <c r="GM151" s="44" t="str">
        <f>IF(Table1[Leaving Date]="","",IF(AND(Table1[Leaving Date]&gt;42460,Table1[Leaving Date]&lt;42826),IF(Table1[Date of Last Assessment]="",Table1[Managing Tenancy and Accommodation],Table1[Managing Tenancy and Accommodation2]),""))</f>
        <v/>
      </c>
      <c r="GN151" s="44" t="str">
        <f>IF(Table1[Leaving Date]="","",IF(AND(Table1[Leaving Date]&gt;42460,Table1[Leaving Date]&lt;42826),IF(Table1[Date of Last Assessment]="",Table1[Offending],Table1[Offending2]),""))</f>
        <v/>
      </c>
    </row>
    <row r="152" spans="2:196" ht="20.100000000000001" customHeight="1" x14ac:dyDescent="0.2">
      <c r="B152" s="86">
        <f>+'Service Data'!$C$5:$C$5</f>
        <v>0</v>
      </c>
      <c r="C152" s="86"/>
      <c r="D152" s="86"/>
      <c r="E152" s="86"/>
      <c r="F152" s="86"/>
      <c r="G152" s="86"/>
      <c r="H152" s="6"/>
      <c r="I152" s="99" t="str">
        <f ca="1">IF(Table1[[#This Row],[Date of Birth]]="","",SUM(TODAY()-Table1[[#This Row],[Date of Birth]])/365)</f>
        <v/>
      </c>
      <c r="L152" s="86"/>
      <c r="M152" s="77"/>
      <c r="N152" s="86"/>
      <c r="O152" s="86"/>
      <c r="P152" s="91"/>
      <c r="Q152" s="86"/>
      <c r="R152" s="77"/>
      <c r="S152" s="77"/>
      <c r="T152" s="68"/>
      <c r="U152" s="68"/>
      <c r="V152" s="67"/>
      <c r="W152" s="67"/>
      <c r="X152" s="67"/>
      <c r="Y152" s="67"/>
      <c r="Z152" s="67"/>
      <c r="AA152" s="67"/>
      <c r="AB152" s="67"/>
      <c r="AC152" s="67"/>
      <c r="AD152" s="67"/>
      <c r="AE152" s="67"/>
      <c r="AF152" s="67"/>
      <c r="AG152" s="67"/>
      <c r="AH152" s="67"/>
      <c r="AI152" s="67"/>
      <c r="AJ152" s="67"/>
      <c r="AK152" s="67"/>
      <c r="AL152" s="67"/>
      <c r="AM152" s="67"/>
      <c r="AN152" s="77"/>
      <c r="AO152" s="76"/>
      <c r="AP152" s="77"/>
      <c r="AQ152" s="76"/>
      <c r="AR152" s="76"/>
      <c r="AS152" s="76"/>
      <c r="AT152" s="76"/>
      <c r="AU152" s="76"/>
      <c r="AV152" s="77"/>
      <c r="AW152" s="76"/>
      <c r="AX152" s="77"/>
      <c r="AY152" s="76"/>
      <c r="AZ152" s="76"/>
      <c r="BA152" s="76"/>
      <c r="BB152" s="76"/>
      <c r="BC152" s="76"/>
      <c r="BD152" s="77"/>
      <c r="BE152" s="76"/>
      <c r="BF152" s="77"/>
      <c r="BG152" s="76"/>
      <c r="BH152" s="76"/>
      <c r="BI152" s="76"/>
      <c r="BJ152" s="76"/>
      <c r="BK152" s="76"/>
      <c r="BL152" s="77"/>
      <c r="BM152" s="76"/>
      <c r="BN152" s="77"/>
      <c r="BO152" s="76"/>
      <c r="BP152" s="76"/>
      <c r="BQ152" s="76"/>
      <c r="BR152" s="76"/>
      <c r="BS152" s="76"/>
      <c r="BT152" s="77"/>
      <c r="BU152" s="76"/>
      <c r="BV152" s="77"/>
      <c r="BW152" s="76"/>
      <c r="BX152" s="76"/>
      <c r="BY152" s="76"/>
      <c r="BZ152" s="76"/>
      <c r="CA152" s="76"/>
      <c r="CB152" s="77"/>
      <c r="CC152" s="76"/>
      <c r="CD152" s="77"/>
      <c r="CE152" s="76"/>
      <c r="CF152" s="76"/>
      <c r="CG152" s="76"/>
      <c r="CH152" s="76"/>
      <c r="CI152" s="76"/>
      <c r="CJ152" s="77"/>
      <c r="CK152" s="76"/>
      <c r="CL152" s="77"/>
      <c r="CM152" s="76"/>
      <c r="CN152" s="76"/>
      <c r="CO152" s="76"/>
      <c r="CP152" s="76"/>
      <c r="CQ152" s="76"/>
      <c r="CR152" s="78" t="str">
        <f t="shared" si="47"/>
        <v/>
      </c>
      <c r="CS152" s="79" t="str">
        <f t="shared" si="48"/>
        <v/>
      </c>
      <c r="CT152" s="79" t="str">
        <f t="shared" si="49"/>
        <v/>
      </c>
      <c r="CU152" s="79" t="str">
        <f t="shared" si="50"/>
        <v/>
      </c>
      <c r="CV152" s="79" t="str">
        <f t="shared" si="51"/>
        <v/>
      </c>
      <c r="CW152" s="79" t="str">
        <f t="shared" si="52"/>
        <v/>
      </c>
      <c r="CX152" s="79" t="str">
        <f t="shared" si="53"/>
        <v/>
      </c>
      <c r="CY152" s="79" t="str">
        <f t="shared" si="54"/>
        <v/>
      </c>
      <c r="CZ152" s="79" t="str">
        <f t="shared" si="55"/>
        <v/>
      </c>
      <c r="DA152" s="79" t="str">
        <f t="shared" si="56"/>
        <v/>
      </c>
      <c r="DB152" s="79" t="str">
        <f t="shared" si="57"/>
        <v/>
      </c>
      <c r="DC152" s="79" t="str">
        <f t="shared" si="58"/>
        <v/>
      </c>
      <c r="DD152" s="79" t="str">
        <f t="shared" si="59"/>
        <v/>
      </c>
      <c r="DE152" s="79" t="str">
        <f t="shared" si="60"/>
        <v/>
      </c>
      <c r="DF152" s="79" t="str">
        <f t="shared" si="61"/>
        <v/>
      </c>
      <c r="DG152" s="79" t="str">
        <f t="shared" si="62"/>
        <v/>
      </c>
      <c r="DH152" s="76"/>
      <c r="DI152" s="78"/>
      <c r="DJ152" s="76"/>
      <c r="DK152" s="77"/>
      <c r="DL152" s="77"/>
      <c r="DM152" s="77"/>
      <c r="DN152" s="80"/>
      <c r="DO152" s="80"/>
      <c r="DP152" s="92" t="str">
        <f>IF(Table1[Start Date]="","",IF(Table1[Start Date]&gt;42185,"",IF(AND(Table1[Leaving Date]&gt;1,Table1[Leaving Date]&lt;42095),"",1)))</f>
        <v/>
      </c>
      <c r="DQ152" s="92" t="str">
        <f>IF(Table1[Start Date]="","",IF(Table1[Start Date]&gt;42277,"",IF(AND(Table1[Leaving Date]&gt;1,Table1[Leaving Date]&lt;42186),"",1)))</f>
        <v/>
      </c>
      <c r="DR152" s="92" t="str">
        <f>IF(Table1[Start Date]="","",IF(Table1[Start Date]&gt;42369,"",IF(AND(Table1[Leaving Date]&gt;1,Table1[Leaving Date]&lt;42278),"",1)))</f>
        <v/>
      </c>
      <c r="DS152" s="92" t="str">
        <f>IF(Table1[Start Date]="","",IF(Table1[Start Date]&gt;42460,"",IF(AND(Table1[Leaving Date]&gt;1,Table1[Leaving Date]&lt;42370),"",1)))</f>
        <v/>
      </c>
      <c r="DT152" s="92" t="str">
        <f>IF(Table1[Start Date]="","",IF(Table1[Start Date]&gt;42551,"",IF(AND(Table1[Leaving Date]&gt;1,Table1[Leaving Date]&lt;42461),"",1)))</f>
        <v/>
      </c>
      <c r="DU152" s="92" t="str">
        <f>IF(Table1[Start Date]="","",IF(Table1[Start Date]&gt;42643,"",IF(AND(Table1[Leaving Date]&gt;1,Table1[Leaving Date]&lt;42552),"",1)))</f>
        <v/>
      </c>
      <c r="DV152" s="92" t="str">
        <f>IF(Table1[Start Date]="","",IF(Table1[Start Date]&gt;42735,"",IF(AND(Table1[Leaving Date]&gt;1,Table1[Leaving Date]&lt;42644),"",1)))</f>
        <v/>
      </c>
      <c r="DW152" s="92" t="str">
        <f>IF(Table1[Start Date]="","",IF(Table1[Start Date]&gt;42825,"",IF(AND(Table1[Leaving Date]&gt;1,Table1[Leaving Date]&lt;42736),"",1)))</f>
        <v/>
      </c>
      <c r="DX152"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152" s="44" t="e">
        <f>VLOOKUP(Table1[Referral Source],Lists!$G$2:$H$20,2,FALSE)</f>
        <v>#N/A</v>
      </c>
      <c r="DZ152" s="93" t="e">
        <f>SUM(Table1[Data Referral Quarter]+Table1[Data Referral Source])</f>
        <v>#N/A</v>
      </c>
      <c r="EA152" s="44" t="b">
        <f>IF(Table1[Referral Decision]="Accepted",100,IF(Table1[Referral Decision]="Rejected by Provider",200,IF(Table1[Referral Decision]="Rejected by Applicant",300)))</f>
        <v>0</v>
      </c>
      <c r="EB152" s="44">
        <f>SUM(Table1[Data Referral Quarter]+Table1[Data Referral Decision])</f>
        <v>0</v>
      </c>
      <c r="EC152" s="44" t="b">
        <f>IF(Table1[Start Date]&gt;42735,8000,IF(Table1[Start Date]&gt;42643,7000,IF(Table1[Start Date]&gt;42551,6000,IF(Table1[Start Date]&gt;42460,5000,IF(Table1[Start Date]&gt;42369,4000,IF(Table1[Start Date]&gt;42277,3000,IF(Table1[Start Date]&gt;42185,2000,IF(Table1[Start Date]&gt;42094,1000))))))))</f>
        <v>0</v>
      </c>
      <c r="ED152" s="44" t="str">
        <f>IF(Table1[Start Date]="","",IF(Table1[Current Local Authority]="Swindon",1,"2"))</f>
        <v/>
      </c>
      <c r="EE152" s="44" t="e">
        <f>SUM(Table1[Data Start Date]+Table1[Data Local Authority])</f>
        <v>#VALUE!</v>
      </c>
      <c r="EF152" s="44">
        <f>IF(Table1[Registered with GP]="Yes",1,0)</f>
        <v>0</v>
      </c>
      <c r="EG152" s="44">
        <f>SUM(Table1[Data Start Date]+Table1[Data GP Start])</f>
        <v>0</v>
      </c>
      <c r="EH152" s="44" t="str">
        <f>IF(Table1[EET]="NEET",1,IF(Table1[EET]="Education",2,IF(Table1[EET]="Employment",2,IF(Table1[EET]="Training",2,IF(Table1[EET]="Retired",3,"")))))</f>
        <v/>
      </c>
      <c r="EI152" s="44" t="e">
        <f>Table1[Data Start Date]+Table1[Data EET Start]</f>
        <v>#VALUE!</v>
      </c>
      <c r="EJ152" s="44" t="b">
        <f>IF(Table1[Leaving Date]&gt;42735,8000,IF(Table1[Leaving Date]&gt;42643,7000,IF(Table1[Leaving Date]&gt;42551,6000,IF(Table1[Leaving Date]&gt;42460,5000,IF(Table1[Leaving Date]&gt;42369,4000,IF(Table1[Leaving Date]&gt;42277,3000,IF(Table1[Leaving Date]&gt;42185,2000,IF(Table1[Leaving Date]&gt;42094,1000))))))))</f>
        <v>0</v>
      </c>
      <c r="EK152" s="44" t="e">
        <f>VLOOKUP(Table1[Reason for Leaving],Lists!$T$2:$U$15,2,FALSE)</f>
        <v>#N/A</v>
      </c>
      <c r="EL152" s="44" t="e">
        <f>SUM(Table1[Data Leavers Date]+Table1[Data Move On])</f>
        <v>#N/A</v>
      </c>
      <c r="EM152" s="44" t="b">
        <f>IF(Table1[Registered with GP2]="Yes",1,IF(Table1[Registered with GP2]="No",0,IF(Table1[Registered with GP]="Yes",1,IF(Table1[Registered with GP]="No",0))))</f>
        <v>0</v>
      </c>
      <c r="EN152" s="44">
        <f>SUM(Table1[Data Leavers Date]+Table1[Data GP End])</f>
        <v>0</v>
      </c>
      <c r="EO152" s="44" t="str">
        <f>IF(Table1[EET2]="NEET",1,IF(Table1[EET2]="Employment",2,IF(Table1[EET2]="Education",2,IF(Table1[EET2]="Training",2,IF(Table1[EET2]="Retired",3,IF(Table1[EET]="NEET",1,IF(Table1[EET]="Employment",2,IF(Table1[EET]="Education",2,IF(Table1[EET]="Training",2,IF(Table1[EET]="Retired",3,""))))))))))</f>
        <v/>
      </c>
      <c r="EP152" s="44" t="e">
        <f>+Table1[[#This Row],[Data Leavers Date]]+Table1[[#This Row],[Data EET End]]</f>
        <v>#VALUE!</v>
      </c>
      <c r="EQ152" s="44">
        <f>IF(Table1[Exit Form Received]="Yes",1,0)</f>
        <v>0</v>
      </c>
      <c r="ER152" s="44">
        <f>+Table1[[#This Row],[Data Leavers Date]]+Table1[[#This Row],[Data Exit Forms]]</f>
        <v>0</v>
      </c>
      <c r="ES152" s="44" t="str">
        <f>IF(Table1[Data Leavers Date]=1000,SUM(Table1[Leaving Date]-Table1[Start Date]),"")</f>
        <v/>
      </c>
      <c r="ET152" s="44" t="str">
        <f>IF(Table1[Data Leavers Date]=2000,SUM(Table1[Leaving Date]-Table1[Start Date]),"")</f>
        <v/>
      </c>
      <c r="EU152" s="44" t="str">
        <f>IF(Table1[Data Leavers Date]=3000,SUM(Table1[Leaving Date]-Table1[Start Date]),"")</f>
        <v/>
      </c>
      <c r="EV152" s="44" t="str">
        <f>IF(Table1[Data Leavers Date]=4000,SUM(Table1[Leaving Date]-Table1[Start Date]),"")</f>
        <v/>
      </c>
      <c r="EW152" s="44" t="str">
        <f>IF(Table1[Data Leavers Date]=5000,SUM(Table1[Leaving Date]-Table1[Start Date]),"")</f>
        <v/>
      </c>
      <c r="EX152" s="44" t="str">
        <f>IF(Table1[Data Leavers Date]=6000,SUM(Table1[Leaving Date]-Table1[Start Date]),"")</f>
        <v/>
      </c>
      <c r="EY152" s="44" t="str">
        <f>IF(Table1[Data Leavers Date]=7000,SUM(Table1[Leaving Date]-Table1[Start Date]),"")</f>
        <v/>
      </c>
      <c r="EZ152" s="44" t="str">
        <f>IF(Table1[Data Leavers Date]=8000,SUM(Table1[Leaving Date]-Table1[Start Date]),"")</f>
        <v/>
      </c>
      <c r="FA152" s="44" t="str">
        <f>IF(Table1[Date of Initial Assessment]="","",IF(AND(Table1[Start Date]&gt;42094,Table1[Start Date]&lt;42461),Table1[Motivation and Taking Responsibility],""))</f>
        <v/>
      </c>
      <c r="FB152" s="44" t="str">
        <f>IF(Table1[Date of Initial Assessment]="","",IF(AND(Table1[Start Date]&gt;42094,Table1[Start Date]&lt;42461),Table1[Self-Care and Living Skills],""))</f>
        <v/>
      </c>
      <c r="FC152" s="44" t="str">
        <f>IF(Table1[Date of Initial Assessment]="","",IF(AND(Table1[Start Date]&gt;42094,Table1[Start Date]&lt;42461),Table1[Managing Money and Personal Administration],""))</f>
        <v/>
      </c>
      <c r="FD152" s="44" t="str">
        <f>IF(Table1[Date of Initial Assessment]="","",IF(AND(Table1[Start Date]&gt;42094,Table1[Start Date]&lt;42461),Table1[Social Networks and Relationships],""))</f>
        <v/>
      </c>
      <c r="FE152" s="44" t="str">
        <f>IF(Table1[Date of Initial Assessment]="","",IF(AND(Table1[Start Date]&gt;42094,Table1[Start Date]&lt;42461),Table1[Drug and Alcohol Misuse],""))</f>
        <v/>
      </c>
      <c r="FF152" s="44" t="str">
        <f>IF(Table1[Date of Initial Assessment]="","",IF(AND(Table1[Start Date]&gt;42094,Table1[Start Date]&lt;42461),Table1[Physical Health],""))</f>
        <v/>
      </c>
      <c r="FG152" s="44" t="str">
        <f>IF(Table1[Date of Initial Assessment]="","",IF(AND(Table1[Start Date]&gt;42094,Table1[Start Date]&lt;42461),Table1[Emotional and Mental Health],""))</f>
        <v/>
      </c>
      <c r="FH152" s="44" t="str">
        <f>IF(Table1[Date of Initial Assessment]="","",IF(AND(Table1[Start Date]&gt;42094,Table1[Start Date]&lt;42461),Table1[Meaningful Use of Time],""))</f>
        <v/>
      </c>
      <c r="FI152" s="44" t="str">
        <f>IF(Table1[Date of Initial Assessment]="","",IF(AND(Table1[Start Date]&gt;42094,Table1[Start Date]&lt;42461),Table1[Managing Tenancy and Accommodation],""))</f>
        <v/>
      </c>
      <c r="FJ152" s="44" t="str">
        <f>IF(Table1[Date of Initial Assessment]="","",IF(AND(Table1[Start Date]&gt;42094,Table1[Start Date]&lt;42461),Table1[Offending],""))</f>
        <v/>
      </c>
      <c r="FK152" s="44" t="str">
        <f>IF(Table1[Leaving Date]="","",IF(Table1[Date of Initial Assessment]="","",IF(AND(Table1[Leaving Date]&gt;42094,Table1[Leaving Date]&lt;42461),IF(Table1[Date of Last Assessment]="",Table1[Motivation and Taking Responsibility],Table1[Motivation and Taking Responsibility2]),"")))</f>
        <v/>
      </c>
      <c r="FL152" s="44" t="str">
        <f>IF(Table1[Leaving Date]="","",IF(Table1[Date of Initial Assessment]="","",IF(AND(Table1[Leaving Date]&gt;42094,Table1[Leaving Date]&lt;42461),IF(Table1[Date of Last Assessment]="",Table1[Self-Care and Living Skills],Table1[Self-Care and Living Skills2]),"")))</f>
        <v/>
      </c>
      <c r="FM152" s="44" t="str">
        <f>IF(Table1[Leaving Date]="","",IF(Table1[Date of Initial Assessment]="","",IF(AND(Table1[Leaving Date]&gt;42094,Table1[Leaving Date]&lt;42461),IF(Table1[Date of Last Assessment]="",Table1[Managing Money and Personal Administration],Table1[Managing Money and Personal Administration2]),"")))</f>
        <v/>
      </c>
      <c r="FN152" s="44" t="str">
        <f>IF(Table1[Leaving Date]="","",IF(Table1[Date of Initial Assessment]="","",IF(AND(Table1[Leaving Date]&gt;42094,Table1[Leaving Date]&lt;42461),IF(Table1[Date of Last Assessment]="",Table1[Social Networks and Relationships],Table1[Social Networks and Relationships2]),"")))</f>
        <v/>
      </c>
      <c r="FO152" s="44" t="str">
        <f>IF(Table1[Leaving Date]="","",IF(Table1[Date of Initial Assessment]="","",IF(AND(Table1[Leaving Date]&gt;42094,Table1[Leaving Date]&lt;42461),IF(Table1[Date of Last Assessment]="",Table1[Drug and Alcohol Misuse],Table1[Drug and Alcohol Misuse2]),"")))</f>
        <v/>
      </c>
      <c r="FP152" s="44" t="str">
        <f>IF(Table1[Leaving Date]="","",IF(Table1[Date of Initial Assessment]="","",IF(AND(Table1[Leaving Date]&gt;42094,Table1[Leaving Date]&lt;42461),IF(Table1[Date of Last Assessment]="",Table1[Physical Health],Table1[Physical Health2]),"")))</f>
        <v/>
      </c>
      <c r="FQ152" s="44" t="str">
        <f>IF(Table1[Leaving Date]="","",IF(Table1[Date of Initial Assessment]="","",IF(AND(Table1[Leaving Date]&gt;42094,Table1[Leaving Date]&lt;42461),IF(Table1[Date of Last Assessment]="",Table1[Emotional and Mental Health],Table1[Emotional and Mental Health2]),"")))</f>
        <v/>
      </c>
      <c r="FR152" s="44" t="str">
        <f>IF(Table1[Leaving Date]="","",IF(Table1[Date of Initial Assessment]="","",IF(AND(Table1[Leaving Date]&gt;42094,Table1[Leaving Date]&lt;42461),IF(Table1[Date of Last Assessment]="",Table1[Meaningful Use of Time],Table1[Meaningful Use of Time2]),"")))</f>
        <v/>
      </c>
      <c r="FS152" s="44" t="str">
        <f>IF(Table1[Leaving Date]="","",IF(Table1[Date of Initial Assessment]="","",IF(AND(Table1[Leaving Date]&gt;42094,Table1[Leaving Date]&lt;42461),IF(Table1[Date of Last Assessment]="",Table1[Managing Tenancy and Accommodation],Table1[Managing Tenancy and Accommodation2]),"")))</f>
        <v/>
      </c>
      <c r="FT152" s="44" t="str">
        <f>IF(Table1[Leaving Date]="","",IF(Table1[Date of Initial Assessment]="","",IF(AND(Table1[Leaving Date]&gt;42094,Table1[Leaving Date]&lt;42461),IF(Table1[Date of Last Assessment]="",Table1[Offending],Table1[Offending2]),"")))</f>
        <v/>
      </c>
      <c r="FU152" s="44" t="str">
        <f>IF(Table1[Date of Initial Assessment]="","",IF(AND(Table1[Start Date]&gt;42460,Table1[Start Date]&lt;42826),Table1[Motivation and Taking Responsibility],""))</f>
        <v/>
      </c>
      <c r="FV152" s="44" t="str">
        <f>IF(Table1[Date of Initial Assessment]="","",IF(AND(Table1[Start Date]&gt;42460,Table1[Start Date]&lt;42826),Table1[Self-Care and Living Skills],""))</f>
        <v/>
      </c>
      <c r="FW152" s="44" t="str">
        <f>IF(Table1[Date of Initial Assessment]="","",IF(AND(Table1[Start Date]&gt;42460,Table1[Start Date]&lt;42826),Table1[Managing Money and Personal Administration],""))</f>
        <v/>
      </c>
      <c r="FX152" s="44" t="str">
        <f>IF(Table1[Date of Initial Assessment]="","",IF(AND(Table1[Start Date]&gt;42460,Table1[Start Date]&lt;42826),Table1[Social Networks and Relationships],""))</f>
        <v/>
      </c>
      <c r="FY152" s="44" t="str">
        <f>IF(Table1[Date of Initial Assessment]="","",IF(AND(Table1[Start Date]&gt;42460,Table1[Start Date]&lt;42826),Table1[Drug and Alcohol Misuse],""))</f>
        <v/>
      </c>
      <c r="FZ152" s="44" t="str">
        <f>IF(Table1[Date of Initial Assessment]="","",IF(AND(Table1[Start Date]&gt;42460,Table1[Start Date]&lt;42826),Table1[Physical Health],""))</f>
        <v/>
      </c>
      <c r="GA152" s="44" t="str">
        <f>IF(Table1[Date of Initial Assessment]="","",IF(AND(Table1[Start Date]&gt;42460,Table1[Start Date]&lt;42826),Table1[Emotional and Mental Health],""))</f>
        <v/>
      </c>
      <c r="GB152" s="44" t="str">
        <f>IF(Table1[Date of Initial Assessment]="","",IF(AND(Table1[Start Date]&gt;42460,Table1[Start Date]&lt;42826),Table1[Meaningful Use of Time],""))</f>
        <v/>
      </c>
      <c r="GC152" s="44" t="str">
        <f>IF(Table1[Date of Initial Assessment]="","",IF(AND(Table1[Start Date]&gt;42460,Table1[Start Date]&lt;42826),Table1[Managing Tenancy and Accommodation],""))</f>
        <v/>
      </c>
      <c r="GD152" s="44" t="str">
        <f>IF(Table1[Date of Initial Assessment]="","",IF(AND(Table1[Start Date]&gt;42460,Table1[Start Date]&lt;42826),Table1[Offending],""))</f>
        <v/>
      </c>
      <c r="GE152" s="44" t="str">
        <f>IF(Table1[Leaving Date]="","",IF(AND(Table1[Leaving Date]&gt;42460,Table1[Leaving Date]&lt;42826),IF(Table1[Date of Last Assessment]="",Table1[Motivation and Taking Responsibility],Table1[Motivation and Taking Responsibility2]),""))</f>
        <v/>
      </c>
      <c r="GF152" s="44" t="str">
        <f>IF(Table1[Leaving Date]="","",IF(AND(Table1[Leaving Date]&gt;42460,Table1[Leaving Date]&lt;42826),IF(Table1[Date of Last Assessment]="",Table1[Self-Care and Living Skills],Table1[Self-Care and Living Skills2]),""))</f>
        <v/>
      </c>
      <c r="GG152" s="44" t="str">
        <f>IF(Table1[Leaving Date]="","",IF(AND(Table1[Leaving Date]&gt;42460,Table1[Leaving Date]&lt;42826),IF(Table1[Date of Last Assessment]="",Table1[Managing Money and Personal Administration],Table1[Managing Money and Personal Administration2]),""))</f>
        <v/>
      </c>
      <c r="GH152" s="44" t="str">
        <f>IF(Table1[Leaving Date]="","",IF(AND(Table1[Leaving Date]&gt;42460,Table1[Leaving Date]&lt;42826),IF(Table1[Date of Last Assessment]="",Table1[Social Networks and Relationships],Table1[Social Networks and Relationships2]),""))</f>
        <v/>
      </c>
      <c r="GI152" s="44" t="str">
        <f>IF(Table1[Leaving Date]="","",IF(AND(Table1[Leaving Date]&gt;42460,Table1[Leaving Date]&lt;42826),IF(Table1[Date of Last Assessment]="",Table1[Drug and Alcohol Misuse],Table1[Drug and Alcohol Misuse2]),""))</f>
        <v/>
      </c>
      <c r="GJ152" s="44" t="str">
        <f>IF(Table1[Leaving Date]="","",IF(AND(Table1[Leaving Date]&gt;42460,Table1[Leaving Date]&lt;42826),IF(Table1[Date of Last Assessment]="",Table1[Physical Health],Table1[Physical Health2]),""))</f>
        <v/>
      </c>
      <c r="GK152" s="44" t="str">
        <f>IF(Table1[Leaving Date]="","",IF(AND(Table1[Leaving Date]&gt;42460,Table1[Leaving Date]&lt;42826),IF(Table1[Date of Last Assessment]="",Table1[Emotional and Mental Health],Table1[Emotional and Mental Health2]),""))</f>
        <v/>
      </c>
      <c r="GL152" s="44" t="str">
        <f>IF(Table1[Leaving Date]="","",IF(AND(Table1[Leaving Date]&gt;42460,Table1[Leaving Date]&lt;42826),IF(Table1[Date of Last Assessment]="",Table1[Meaningful Use of Time],Table1[Meaningful Use of Time2]),""))</f>
        <v/>
      </c>
      <c r="GM152" s="44" t="str">
        <f>IF(Table1[Leaving Date]="","",IF(AND(Table1[Leaving Date]&gt;42460,Table1[Leaving Date]&lt;42826),IF(Table1[Date of Last Assessment]="",Table1[Managing Tenancy and Accommodation],Table1[Managing Tenancy and Accommodation2]),""))</f>
        <v/>
      </c>
      <c r="GN152" s="44" t="str">
        <f>IF(Table1[Leaving Date]="","",IF(AND(Table1[Leaving Date]&gt;42460,Table1[Leaving Date]&lt;42826),IF(Table1[Date of Last Assessment]="",Table1[Offending],Table1[Offending2]),""))</f>
        <v/>
      </c>
    </row>
    <row r="153" spans="2:196" ht="20.100000000000001" customHeight="1" x14ac:dyDescent="0.2">
      <c r="B153" s="86">
        <f>+'Service Data'!$C$5:$C$5</f>
        <v>0</v>
      </c>
      <c r="C153" s="86"/>
      <c r="D153" s="86"/>
      <c r="E153" s="86"/>
      <c r="F153" s="86"/>
      <c r="G153" s="86"/>
      <c r="H153" s="6"/>
      <c r="I153" s="99" t="str">
        <f ca="1">IF(Table1[[#This Row],[Date of Birth]]="","",SUM(TODAY()-Table1[[#This Row],[Date of Birth]])/365)</f>
        <v/>
      </c>
      <c r="L153" s="86"/>
      <c r="M153" s="77"/>
      <c r="N153" s="86"/>
      <c r="O153" s="86"/>
      <c r="P153" s="91"/>
      <c r="Q153" s="86"/>
      <c r="R153" s="77"/>
      <c r="S153" s="77"/>
      <c r="T153" s="68"/>
      <c r="U153" s="68"/>
      <c r="V153" s="67"/>
      <c r="W153" s="67"/>
      <c r="X153" s="67"/>
      <c r="Y153" s="67"/>
      <c r="Z153" s="67"/>
      <c r="AA153" s="67"/>
      <c r="AB153" s="67"/>
      <c r="AC153" s="67"/>
      <c r="AD153" s="67"/>
      <c r="AE153" s="67"/>
      <c r="AF153" s="67"/>
      <c r="AG153" s="67"/>
      <c r="AH153" s="67"/>
      <c r="AI153" s="67"/>
      <c r="AJ153" s="67"/>
      <c r="AK153" s="67"/>
      <c r="AL153" s="67"/>
      <c r="AM153" s="67"/>
      <c r="AN153" s="77"/>
      <c r="AO153" s="76"/>
      <c r="AP153" s="77"/>
      <c r="AQ153" s="76"/>
      <c r="AR153" s="76"/>
      <c r="AS153" s="76"/>
      <c r="AT153" s="76"/>
      <c r="AU153" s="76"/>
      <c r="AV153" s="77"/>
      <c r="AW153" s="76"/>
      <c r="AX153" s="77"/>
      <c r="AY153" s="76"/>
      <c r="AZ153" s="76"/>
      <c r="BA153" s="76"/>
      <c r="BB153" s="76"/>
      <c r="BC153" s="76"/>
      <c r="BD153" s="77"/>
      <c r="BE153" s="76"/>
      <c r="BF153" s="77"/>
      <c r="BG153" s="76"/>
      <c r="BH153" s="76"/>
      <c r="BI153" s="76"/>
      <c r="BJ153" s="76"/>
      <c r="BK153" s="76"/>
      <c r="BL153" s="77"/>
      <c r="BM153" s="76"/>
      <c r="BN153" s="77"/>
      <c r="BO153" s="76"/>
      <c r="BP153" s="76"/>
      <c r="BQ153" s="76"/>
      <c r="BR153" s="76"/>
      <c r="BS153" s="76"/>
      <c r="BT153" s="77"/>
      <c r="BU153" s="76"/>
      <c r="BV153" s="77"/>
      <c r="BW153" s="76"/>
      <c r="BX153" s="76"/>
      <c r="BY153" s="76"/>
      <c r="BZ153" s="76"/>
      <c r="CA153" s="76"/>
      <c r="CB153" s="77"/>
      <c r="CC153" s="76"/>
      <c r="CD153" s="77"/>
      <c r="CE153" s="76"/>
      <c r="CF153" s="76"/>
      <c r="CG153" s="76"/>
      <c r="CH153" s="76"/>
      <c r="CI153" s="76"/>
      <c r="CJ153" s="77"/>
      <c r="CK153" s="76"/>
      <c r="CL153" s="77"/>
      <c r="CM153" s="76"/>
      <c r="CN153" s="76"/>
      <c r="CO153" s="76"/>
      <c r="CP153" s="76"/>
      <c r="CQ153" s="76"/>
      <c r="CR153" s="78" t="str">
        <f t="shared" si="47"/>
        <v/>
      </c>
      <c r="CS153" s="79" t="str">
        <f t="shared" si="48"/>
        <v/>
      </c>
      <c r="CT153" s="79" t="str">
        <f t="shared" si="49"/>
        <v/>
      </c>
      <c r="CU153" s="79" t="str">
        <f t="shared" si="50"/>
        <v/>
      </c>
      <c r="CV153" s="79" t="str">
        <f t="shared" si="51"/>
        <v/>
      </c>
      <c r="CW153" s="79" t="str">
        <f t="shared" si="52"/>
        <v/>
      </c>
      <c r="CX153" s="79" t="str">
        <f t="shared" si="53"/>
        <v/>
      </c>
      <c r="CY153" s="79" t="str">
        <f t="shared" si="54"/>
        <v/>
      </c>
      <c r="CZ153" s="79" t="str">
        <f t="shared" si="55"/>
        <v/>
      </c>
      <c r="DA153" s="79" t="str">
        <f t="shared" si="56"/>
        <v/>
      </c>
      <c r="DB153" s="79" t="str">
        <f t="shared" si="57"/>
        <v/>
      </c>
      <c r="DC153" s="79" t="str">
        <f t="shared" si="58"/>
        <v/>
      </c>
      <c r="DD153" s="79" t="str">
        <f t="shared" si="59"/>
        <v/>
      </c>
      <c r="DE153" s="79" t="str">
        <f t="shared" si="60"/>
        <v/>
      </c>
      <c r="DF153" s="79" t="str">
        <f t="shared" si="61"/>
        <v/>
      </c>
      <c r="DG153" s="79" t="str">
        <f t="shared" si="62"/>
        <v/>
      </c>
      <c r="DH153" s="76"/>
      <c r="DI153" s="78"/>
      <c r="DJ153" s="76"/>
      <c r="DK153" s="77"/>
      <c r="DL153" s="77"/>
      <c r="DM153" s="77"/>
      <c r="DN153" s="80"/>
      <c r="DO153" s="80"/>
      <c r="DP153" s="92" t="str">
        <f>IF(Table1[Start Date]="","",IF(Table1[Start Date]&gt;42185,"",IF(AND(Table1[Leaving Date]&gt;1,Table1[Leaving Date]&lt;42095),"",1)))</f>
        <v/>
      </c>
      <c r="DQ153" s="92" t="str">
        <f>IF(Table1[Start Date]="","",IF(Table1[Start Date]&gt;42277,"",IF(AND(Table1[Leaving Date]&gt;1,Table1[Leaving Date]&lt;42186),"",1)))</f>
        <v/>
      </c>
      <c r="DR153" s="92" t="str">
        <f>IF(Table1[Start Date]="","",IF(Table1[Start Date]&gt;42369,"",IF(AND(Table1[Leaving Date]&gt;1,Table1[Leaving Date]&lt;42278),"",1)))</f>
        <v/>
      </c>
      <c r="DS153" s="92" t="str">
        <f>IF(Table1[Start Date]="","",IF(Table1[Start Date]&gt;42460,"",IF(AND(Table1[Leaving Date]&gt;1,Table1[Leaving Date]&lt;42370),"",1)))</f>
        <v/>
      </c>
      <c r="DT153" s="92" t="str">
        <f>IF(Table1[Start Date]="","",IF(Table1[Start Date]&gt;42551,"",IF(AND(Table1[Leaving Date]&gt;1,Table1[Leaving Date]&lt;42461),"",1)))</f>
        <v/>
      </c>
      <c r="DU153" s="92" t="str">
        <f>IF(Table1[Start Date]="","",IF(Table1[Start Date]&gt;42643,"",IF(AND(Table1[Leaving Date]&gt;1,Table1[Leaving Date]&lt;42552),"",1)))</f>
        <v/>
      </c>
      <c r="DV153" s="92" t="str">
        <f>IF(Table1[Start Date]="","",IF(Table1[Start Date]&gt;42735,"",IF(AND(Table1[Leaving Date]&gt;1,Table1[Leaving Date]&lt;42644),"",1)))</f>
        <v/>
      </c>
      <c r="DW153" s="92" t="str">
        <f>IF(Table1[Start Date]="","",IF(Table1[Start Date]&gt;42825,"",IF(AND(Table1[Leaving Date]&gt;1,Table1[Leaving Date]&lt;42736),"",1)))</f>
        <v/>
      </c>
      <c r="DX153"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153" s="44" t="e">
        <f>VLOOKUP(Table1[Referral Source],Lists!$G$2:$H$20,2,FALSE)</f>
        <v>#N/A</v>
      </c>
      <c r="DZ153" s="93" t="e">
        <f>SUM(Table1[Data Referral Quarter]+Table1[Data Referral Source])</f>
        <v>#N/A</v>
      </c>
      <c r="EA153" s="44" t="b">
        <f>IF(Table1[Referral Decision]="Accepted",100,IF(Table1[Referral Decision]="Rejected by Provider",200,IF(Table1[Referral Decision]="Rejected by Applicant",300)))</f>
        <v>0</v>
      </c>
      <c r="EB153" s="44">
        <f>SUM(Table1[Data Referral Quarter]+Table1[Data Referral Decision])</f>
        <v>0</v>
      </c>
      <c r="EC153" s="44" t="b">
        <f>IF(Table1[Start Date]&gt;42735,8000,IF(Table1[Start Date]&gt;42643,7000,IF(Table1[Start Date]&gt;42551,6000,IF(Table1[Start Date]&gt;42460,5000,IF(Table1[Start Date]&gt;42369,4000,IF(Table1[Start Date]&gt;42277,3000,IF(Table1[Start Date]&gt;42185,2000,IF(Table1[Start Date]&gt;42094,1000))))))))</f>
        <v>0</v>
      </c>
      <c r="ED153" s="44" t="str">
        <f>IF(Table1[Start Date]="","",IF(Table1[Current Local Authority]="Swindon",1,"2"))</f>
        <v/>
      </c>
      <c r="EE153" s="44" t="e">
        <f>SUM(Table1[Data Start Date]+Table1[Data Local Authority])</f>
        <v>#VALUE!</v>
      </c>
      <c r="EF153" s="44">
        <f>IF(Table1[Registered with GP]="Yes",1,0)</f>
        <v>0</v>
      </c>
      <c r="EG153" s="44">
        <f>SUM(Table1[Data Start Date]+Table1[Data GP Start])</f>
        <v>0</v>
      </c>
      <c r="EH153" s="44" t="str">
        <f>IF(Table1[EET]="NEET",1,IF(Table1[EET]="Education",2,IF(Table1[EET]="Employment",2,IF(Table1[EET]="Training",2,IF(Table1[EET]="Retired",3,"")))))</f>
        <v/>
      </c>
      <c r="EI153" s="44" t="e">
        <f>Table1[Data Start Date]+Table1[Data EET Start]</f>
        <v>#VALUE!</v>
      </c>
      <c r="EJ153" s="44" t="b">
        <f>IF(Table1[Leaving Date]&gt;42735,8000,IF(Table1[Leaving Date]&gt;42643,7000,IF(Table1[Leaving Date]&gt;42551,6000,IF(Table1[Leaving Date]&gt;42460,5000,IF(Table1[Leaving Date]&gt;42369,4000,IF(Table1[Leaving Date]&gt;42277,3000,IF(Table1[Leaving Date]&gt;42185,2000,IF(Table1[Leaving Date]&gt;42094,1000))))))))</f>
        <v>0</v>
      </c>
      <c r="EK153" s="44" t="e">
        <f>VLOOKUP(Table1[Reason for Leaving],Lists!$T$2:$U$15,2,FALSE)</f>
        <v>#N/A</v>
      </c>
      <c r="EL153" s="44" t="e">
        <f>SUM(Table1[Data Leavers Date]+Table1[Data Move On])</f>
        <v>#N/A</v>
      </c>
      <c r="EM153" s="44" t="b">
        <f>IF(Table1[Registered with GP2]="Yes",1,IF(Table1[Registered with GP2]="No",0,IF(Table1[Registered with GP]="Yes",1,IF(Table1[Registered with GP]="No",0))))</f>
        <v>0</v>
      </c>
      <c r="EN153" s="44">
        <f>SUM(Table1[Data Leavers Date]+Table1[Data GP End])</f>
        <v>0</v>
      </c>
      <c r="EO153" s="44" t="str">
        <f>IF(Table1[EET2]="NEET",1,IF(Table1[EET2]="Employment",2,IF(Table1[EET2]="Education",2,IF(Table1[EET2]="Training",2,IF(Table1[EET2]="Retired",3,IF(Table1[EET]="NEET",1,IF(Table1[EET]="Employment",2,IF(Table1[EET]="Education",2,IF(Table1[EET]="Training",2,IF(Table1[EET]="Retired",3,""))))))))))</f>
        <v/>
      </c>
      <c r="EP153" s="44" t="e">
        <f>+Table1[[#This Row],[Data Leavers Date]]+Table1[[#This Row],[Data EET End]]</f>
        <v>#VALUE!</v>
      </c>
      <c r="EQ153" s="44">
        <f>IF(Table1[Exit Form Received]="Yes",1,0)</f>
        <v>0</v>
      </c>
      <c r="ER153" s="44">
        <f>+Table1[[#This Row],[Data Leavers Date]]+Table1[[#This Row],[Data Exit Forms]]</f>
        <v>0</v>
      </c>
      <c r="ES153" s="44" t="str">
        <f>IF(Table1[Data Leavers Date]=1000,SUM(Table1[Leaving Date]-Table1[Start Date]),"")</f>
        <v/>
      </c>
      <c r="ET153" s="44" t="str">
        <f>IF(Table1[Data Leavers Date]=2000,SUM(Table1[Leaving Date]-Table1[Start Date]),"")</f>
        <v/>
      </c>
      <c r="EU153" s="44" t="str">
        <f>IF(Table1[Data Leavers Date]=3000,SUM(Table1[Leaving Date]-Table1[Start Date]),"")</f>
        <v/>
      </c>
      <c r="EV153" s="44" t="str">
        <f>IF(Table1[Data Leavers Date]=4000,SUM(Table1[Leaving Date]-Table1[Start Date]),"")</f>
        <v/>
      </c>
      <c r="EW153" s="44" t="str">
        <f>IF(Table1[Data Leavers Date]=5000,SUM(Table1[Leaving Date]-Table1[Start Date]),"")</f>
        <v/>
      </c>
      <c r="EX153" s="44" t="str">
        <f>IF(Table1[Data Leavers Date]=6000,SUM(Table1[Leaving Date]-Table1[Start Date]),"")</f>
        <v/>
      </c>
      <c r="EY153" s="44" t="str">
        <f>IF(Table1[Data Leavers Date]=7000,SUM(Table1[Leaving Date]-Table1[Start Date]),"")</f>
        <v/>
      </c>
      <c r="EZ153" s="44" t="str">
        <f>IF(Table1[Data Leavers Date]=8000,SUM(Table1[Leaving Date]-Table1[Start Date]),"")</f>
        <v/>
      </c>
      <c r="FA153" s="44" t="str">
        <f>IF(Table1[Date of Initial Assessment]="","",IF(AND(Table1[Start Date]&gt;42094,Table1[Start Date]&lt;42461),Table1[Motivation and Taking Responsibility],""))</f>
        <v/>
      </c>
      <c r="FB153" s="44" t="str">
        <f>IF(Table1[Date of Initial Assessment]="","",IF(AND(Table1[Start Date]&gt;42094,Table1[Start Date]&lt;42461),Table1[Self-Care and Living Skills],""))</f>
        <v/>
      </c>
      <c r="FC153" s="44" t="str">
        <f>IF(Table1[Date of Initial Assessment]="","",IF(AND(Table1[Start Date]&gt;42094,Table1[Start Date]&lt;42461),Table1[Managing Money and Personal Administration],""))</f>
        <v/>
      </c>
      <c r="FD153" s="44" t="str">
        <f>IF(Table1[Date of Initial Assessment]="","",IF(AND(Table1[Start Date]&gt;42094,Table1[Start Date]&lt;42461),Table1[Social Networks and Relationships],""))</f>
        <v/>
      </c>
      <c r="FE153" s="44" t="str">
        <f>IF(Table1[Date of Initial Assessment]="","",IF(AND(Table1[Start Date]&gt;42094,Table1[Start Date]&lt;42461),Table1[Drug and Alcohol Misuse],""))</f>
        <v/>
      </c>
      <c r="FF153" s="44" t="str">
        <f>IF(Table1[Date of Initial Assessment]="","",IF(AND(Table1[Start Date]&gt;42094,Table1[Start Date]&lt;42461),Table1[Physical Health],""))</f>
        <v/>
      </c>
      <c r="FG153" s="44" t="str">
        <f>IF(Table1[Date of Initial Assessment]="","",IF(AND(Table1[Start Date]&gt;42094,Table1[Start Date]&lt;42461),Table1[Emotional and Mental Health],""))</f>
        <v/>
      </c>
      <c r="FH153" s="44" t="str">
        <f>IF(Table1[Date of Initial Assessment]="","",IF(AND(Table1[Start Date]&gt;42094,Table1[Start Date]&lt;42461),Table1[Meaningful Use of Time],""))</f>
        <v/>
      </c>
      <c r="FI153" s="44" t="str">
        <f>IF(Table1[Date of Initial Assessment]="","",IF(AND(Table1[Start Date]&gt;42094,Table1[Start Date]&lt;42461),Table1[Managing Tenancy and Accommodation],""))</f>
        <v/>
      </c>
      <c r="FJ153" s="44" t="str">
        <f>IF(Table1[Date of Initial Assessment]="","",IF(AND(Table1[Start Date]&gt;42094,Table1[Start Date]&lt;42461),Table1[Offending],""))</f>
        <v/>
      </c>
      <c r="FK153" s="44" t="str">
        <f>IF(Table1[Leaving Date]="","",IF(Table1[Date of Initial Assessment]="","",IF(AND(Table1[Leaving Date]&gt;42094,Table1[Leaving Date]&lt;42461),IF(Table1[Date of Last Assessment]="",Table1[Motivation and Taking Responsibility],Table1[Motivation and Taking Responsibility2]),"")))</f>
        <v/>
      </c>
      <c r="FL153" s="44" t="str">
        <f>IF(Table1[Leaving Date]="","",IF(Table1[Date of Initial Assessment]="","",IF(AND(Table1[Leaving Date]&gt;42094,Table1[Leaving Date]&lt;42461),IF(Table1[Date of Last Assessment]="",Table1[Self-Care and Living Skills],Table1[Self-Care and Living Skills2]),"")))</f>
        <v/>
      </c>
      <c r="FM153" s="44" t="str">
        <f>IF(Table1[Leaving Date]="","",IF(Table1[Date of Initial Assessment]="","",IF(AND(Table1[Leaving Date]&gt;42094,Table1[Leaving Date]&lt;42461),IF(Table1[Date of Last Assessment]="",Table1[Managing Money and Personal Administration],Table1[Managing Money and Personal Administration2]),"")))</f>
        <v/>
      </c>
      <c r="FN153" s="44" t="str">
        <f>IF(Table1[Leaving Date]="","",IF(Table1[Date of Initial Assessment]="","",IF(AND(Table1[Leaving Date]&gt;42094,Table1[Leaving Date]&lt;42461),IF(Table1[Date of Last Assessment]="",Table1[Social Networks and Relationships],Table1[Social Networks and Relationships2]),"")))</f>
        <v/>
      </c>
      <c r="FO153" s="44" t="str">
        <f>IF(Table1[Leaving Date]="","",IF(Table1[Date of Initial Assessment]="","",IF(AND(Table1[Leaving Date]&gt;42094,Table1[Leaving Date]&lt;42461),IF(Table1[Date of Last Assessment]="",Table1[Drug and Alcohol Misuse],Table1[Drug and Alcohol Misuse2]),"")))</f>
        <v/>
      </c>
      <c r="FP153" s="44" t="str">
        <f>IF(Table1[Leaving Date]="","",IF(Table1[Date of Initial Assessment]="","",IF(AND(Table1[Leaving Date]&gt;42094,Table1[Leaving Date]&lt;42461),IF(Table1[Date of Last Assessment]="",Table1[Physical Health],Table1[Physical Health2]),"")))</f>
        <v/>
      </c>
      <c r="FQ153" s="44" t="str">
        <f>IF(Table1[Leaving Date]="","",IF(Table1[Date of Initial Assessment]="","",IF(AND(Table1[Leaving Date]&gt;42094,Table1[Leaving Date]&lt;42461),IF(Table1[Date of Last Assessment]="",Table1[Emotional and Mental Health],Table1[Emotional and Mental Health2]),"")))</f>
        <v/>
      </c>
      <c r="FR153" s="44" t="str">
        <f>IF(Table1[Leaving Date]="","",IF(Table1[Date of Initial Assessment]="","",IF(AND(Table1[Leaving Date]&gt;42094,Table1[Leaving Date]&lt;42461),IF(Table1[Date of Last Assessment]="",Table1[Meaningful Use of Time],Table1[Meaningful Use of Time2]),"")))</f>
        <v/>
      </c>
      <c r="FS153" s="44" t="str">
        <f>IF(Table1[Leaving Date]="","",IF(Table1[Date of Initial Assessment]="","",IF(AND(Table1[Leaving Date]&gt;42094,Table1[Leaving Date]&lt;42461),IF(Table1[Date of Last Assessment]="",Table1[Managing Tenancy and Accommodation],Table1[Managing Tenancy and Accommodation2]),"")))</f>
        <v/>
      </c>
      <c r="FT153" s="44" t="str">
        <f>IF(Table1[Leaving Date]="","",IF(Table1[Date of Initial Assessment]="","",IF(AND(Table1[Leaving Date]&gt;42094,Table1[Leaving Date]&lt;42461),IF(Table1[Date of Last Assessment]="",Table1[Offending],Table1[Offending2]),"")))</f>
        <v/>
      </c>
      <c r="FU153" s="44" t="str">
        <f>IF(Table1[Date of Initial Assessment]="","",IF(AND(Table1[Start Date]&gt;42460,Table1[Start Date]&lt;42826),Table1[Motivation and Taking Responsibility],""))</f>
        <v/>
      </c>
      <c r="FV153" s="44" t="str">
        <f>IF(Table1[Date of Initial Assessment]="","",IF(AND(Table1[Start Date]&gt;42460,Table1[Start Date]&lt;42826),Table1[Self-Care and Living Skills],""))</f>
        <v/>
      </c>
      <c r="FW153" s="44" t="str">
        <f>IF(Table1[Date of Initial Assessment]="","",IF(AND(Table1[Start Date]&gt;42460,Table1[Start Date]&lt;42826),Table1[Managing Money and Personal Administration],""))</f>
        <v/>
      </c>
      <c r="FX153" s="44" t="str">
        <f>IF(Table1[Date of Initial Assessment]="","",IF(AND(Table1[Start Date]&gt;42460,Table1[Start Date]&lt;42826),Table1[Social Networks and Relationships],""))</f>
        <v/>
      </c>
      <c r="FY153" s="44" t="str">
        <f>IF(Table1[Date of Initial Assessment]="","",IF(AND(Table1[Start Date]&gt;42460,Table1[Start Date]&lt;42826),Table1[Drug and Alcohol Misuse],""))</f>
        <v/>
      </c>
      <c r="FZ153" s="44" t="str">
        <f>IF(Table1[Date of Initial Assessment]="","",IF(AND(Table1[Start Date]&gt;42460,Table1[Start Date]&lt;42826),Table1[Physical Health],""))</f>
        <v/>
      </c>
      <c r="GA153" s="44" t="str">
        <f>IF(Table1[Date of Initial Assessment]="","",IF(AND(Table1[Start Date]&gt;42460,Table1[Start Date]&lt;42826),Table1[Emotional and Mental Health],""))</f>
        <v/>
      </c>
      <c r="GB153" s="44" t="str">
        <f>IF(Table1[Date of Initial Assessment]="","",IF(AND(Table1[Start Date]&gt;42460,Table1[Start Date]&lt;42826),Table1[Meaningful Use of Time],""))</f>
        <v/>
      </c>
      <c r="GC153" s="44" t="str">
        <f>IF(Table1[Date of Initial Assessment]="","",IF(AND(Table1[Start Date]&gt;42460,Table1[Start Date]&lt;42826),Table1[Managing Tenancy and Accommodation],""))</f>
        <v/>
      </c>
      <c r="GD153" s="44" t="str">
        <f>IF(Table1[Date of Initial Assessment]="","",IF(AND(Table1[Start Date]&gt;42460,Table1[Start Date]&lt;42826),Table1[Offending],""))</f>
        <v/>
      </c>
      <c r="GE153" s="44" t="str">
        <f>IF(Table1[Leaving Date]="","",IF(AND(Table1[Leaving Date]&gt;42460,Table1[Leaving Date]&lt;42826),IF(Table1[Date of Last Assessment]="",Table1[Motivation and Taking Responsibility],Table1[Motivation and Taking Responsibility2]),""))</f>
        <v/>
      </c>
      <c r="GF153" s="44" t="str">
        <f>IF(Table1[Leaving Date]="","",IF(AND(Table1[Leaving Date]&gt;42460,Table1[Leaving Date]&lt;42826),IF(Table1[Date of Last Assessment]="",Table1[Self-Care and Living Skills],Table1[Self-Care and Living Skills2]),""))</f>
        <v/>
      </c>
      <c r="GG153" s="44" t="str">
        <f>IF(Table1[Leaving Date]="","",IF(AND(Table1[Leaving Date]&gt;42460,Table1[Leaving Date]&lt;42826),IF(Table1[Date of Last Assessment]="",Table1[Managing Money and Personal Administration],Table1[Managing Money and Personal Administration2]),""))</f>
        <v/>
      </c>
      <c r="GH153" s="44" t="str">
        <f>IF(Table1[Leaving Date]="","",IF(AND(Table1[Leaving Date]&gt;42460,Table1[Leaving Date]&lt;42826),IF(Table1[Date of Last Assessment]="",Table1[Social Networks and Relationships],Table1[Social Networks and Relationships2]),""))</f>
        <v/>
      </c>
      <c r="GI153" s="44" t="str">
        <f>IF(Table1[Leaving Date]="","",IF(AND(Table1[Leaving Date]&gt;42460,Table1[Leaving Date]&lt;42826),IF(Table1[Date of Last Assessment]="",Table1[Drug and Alcohol Misuse],Table1[Drug and Alcohol Misuse2]),""))</f>
        <v/>
      </c>
      <c r="GJ153" s="44" t="str">
        <f>IF(Table1[Leaving Date]="","",IF(AND(Table1[Leaving Date]&gt;42460,Table1[Leaving Date]&lt;42826),IF(Table1[Date of Last Assessment]="",Table1[Physical Health],Table1[Physical Health2]),""))</f>
        <v/>
      </c>
      <c r="GK153" s="44" t="str">
        <f>IF(Table1[Leaving Date]="","",IF(AND(Table1[Leaving Date]&gt;42460,Table1[Leaving Date]&lt;42826),IF(Table1[Date of Last Assessment]="",Table1[Emotional and Mental Health],Table1[Emotional and Mental Health2]),""))</f>
        <v/>
      </c>
      <c r="GL153" s="44" t="str">
        <f>IF(Table1[Leaving Date]="","",IF(AND(Table1[Leaving Date]&gt;42460,Table1[Leaving Date]&lt;42826),IF(Table1[Date of Last Assessment]="",Table1[Meaningful Use of Time],Table1[Meaningful Use of Time2]),""))</f>
        <v/>
      </c>
      <c r="GM153" s="44" t="str">
        <f>IF(Table1[Leaving Date]="","",IF(AND(Table1[Leaving Date]&gt;42460,Table1[Leaving Date]&lt;42826),IF(Table1[Date of Last Assessment]="",Table1[Managing Tenancy and Accommodation],Table1[Managing Tenancy and Accommodation2]),""))</f>
        <v/>
      </c>
      <c r="GN153" s="44" t="str">
        <f>IF(Table1[Leaving Date]="","",IF(AND(Table1[Leaving Date]&gt;42460,Table1[Leaving Date]&lt;42826),IF(Table1[Date of Last Assessment]="",Table1[Offending],Table1[Offending2]),""))</f>
        <v/>
      </c>
    </row>
    <row r="154" spans="2:196" ht="20.100000000000001" customHeight="1" x14ac:dyDescent="0.2">
      <c r="B154" s="86">
        <f>+'Service Data'!$C$5:$C$5</f>
        <v>0</v>
      </c>
      <c r="C154" s="86"/>
      <c r="D154" s="86"/>
      <c r="E154" s="86"/>
      <c r="F154" s="86"/>
      <c r="G154" s="86"/>
      <c r="H154" s="6"/>
      <c r="I154" s="99" t="str">
        <f ca="1">IF(Table1[[#This Row],[Date of Birth]]="","",SUM(TODAY()-Table1[[#This Row],[Date of Birth]])/365)</f>
        <v/>
      </c>
      <c r="L154" s="86"/>
      <c r="M154" s="77"/>
      <c r="N154" s="86"/>
      <c r="O154" s="86"/>
      <c r="P154" s="91"/>
      <c r="Q154" s="86"/>
      <c r="R154" s="77"/>
      <c r="S154" s="77"/>
      <c r="T154" s="68"/>
      <c r="U154" s="68"/>
      <c r="V154" s="67"/>
      <c r="W154" s="67"/>
      <c r="X154" s="67"/>
      <c r="Y154" s="67"/>
      <c r="Z154" s="67"/>
      <c r="AA154" s="67"/>
      <c r="AB154" s="67"/>
      <c r="AC154" s="67"/>
      <c r="AD154" s="67"/>
      <c r="AE154" s="67"/>
      <c r="AF154" s="67"/>
      <c r="AG154" s="67"/>
      <c r="AH154" s="67"/>
      <c r="AI154" s="67"/>
      <c r="AJ154" s="67"/>
      <c r="AK154" s="67"/>
      <c r="AL154" s="67"/>
      <c r="AM154" s="67"/>
      <c r="AN154" s="77"/>
      <c r="AO154" s="76"/>
      <c r="AP154" s="77"/>
      <c r="AQ154" s="76"/>
      <c r="AR154" s="76"/>
      <c r="AS154" s="76"/>
      <c r="AT154" s="76"/>
      <c r="AU154" s="76"/>
      <c r="AV154" s="77"/>
      <c r="AW154" s="76"/>
      <c r="AX154" s="77"/>
      <c r="AY154" s="76"/>
      <c r="AZ154" s="76"/>
      <c r="BA154" s="76"/>
      <c r="BB154" s="76"/>
      <c r="BC154" s="76"/>
      <c r="BD154" s="77"/>
      <c r="BE154" s="76"/>
      <c r="BF154" s="77"/>
      <c r="BG154" s="76"/>
      <c r="BH154" s="76"/>
      <c r="BI154" s="76"/>
      <c r="BJ154" s="76"/>
      <c r="BK154" s="76"/>
      <c r="BL154" s="77"/>
      <c r="BM154" s="76"/>
      <c r="BN154" s="77"/>
      <c r="BO154" s="76"/>
      <c r="BP154" s="76"/>
      <c r="BQ154" s="76"/>
      <c r="BR154" s="76"/>
      <c r="BS154" s="76"/>
      <c r="BT154" s="77"/>
      <c r="BU154" s="76"/>
      <c r="BV154" s="77"/>
      <c r="BW154" s="76"/>
      <c r="BX154" s="76"/>
      <c r="BY154" s="76"/>
      <c r="BZ154" s="76"/>
      <c r="CA154" s="76"/>
      <c r="CB154" s="77"/>
      <c r="CC154" s="76"/>
      <c r="CD154" s="77"/>
      <c r="CE154" s="76"/>
      <c r="CF154" s="76"/>
      <c r="CG154" s="76"/>
      <c r="CH154" s="76"/>
      <c r="CI154" s="76"/>
      <c r="CJ154" s="77"/>
      <c r="CK154" s="76"/>
      <c r="CL154" s="77"/>
      <c r="CM154" s="76"/>
      <c r="CN154" s="76"/>
      <c r="CO154" s="76"/>
      <c r="CP154" s="76"/>
      <c r="CQ154" s="76"/>
      <c r="CR154" s="78" t="str">
        <f t="shared" si="47"/>
        <v/>
      </c>
      <c r="CS154" s="79" t="str">
        <f t="shared" si="48"/>
        <v/>
      </c>
      <c r="CT154" s="79" t="str">
        <f t="shared" si="49"/>
        <v/>
      </c>
      <c r="CU154" s="79" t="str">
        <f t="shared" si="50"/>
        <v/>
      </c>
      <c r="CV154" s="79" t="str">
        <f t="shared" si="51"/>
        <v/>
      </c>
      <c r="CW154" s="79" t="str">
        <f t="shared" si="52"/>
        <v/>
      </c>
      <c r="CX154" s="79" t="str">
        <f t="shared" si="53"/>
        <v/>
      </c>
      <c r="CY154" s="79" t="str">
        <f t="shared" si="54"/>
        <v/>
      </c>
      <c r="CZ154" s="79" t="str">
        <f t="shared" si="55"/>
        <v/>
      </c>
      <c r="DA154" s="79" t="str">
        <f t="shared" si="56"/>
        <v/>
      </c>
      <c r="DB154" s="79" t="str">
        <f t="shared" si="57"/>
        <v/>
      </c>
      <c r="DC154" s="79" t="str">
        <f t="shared" si="58"/>
        <v/>
      </c>
      <c r="DD154" s="79" t="str">
        <f t="shared" si="59"/>
        <v/>
      </c>
      <c r="DE154" s="79" t="str">
        <f t="shared" si="60"/>
        <v/>
      </c>
      <c r="DF154" s="79" t="str">
        <f t="shared" si="61"/>
        <v/>
      </c>
      <c r="DG154" s="79" t="str">
        <f t="shared" si="62"/>
        <v/>
      </c>
      <c r="DH154" s="76"/>
      <c r="DI154" s="78"/>
      <c r="DJ154" s="76"/>
      <c r="DK154" s="77"/>
      <c r="DL154" s="77"/>
      <c r="DM154" s="77"/>
      <c r="DN154" s="80"/>
      <c r="DO154" s="80"/>
      <c r="DP154" s="92" t="str">
        <f>IF(Table1[Start Date]="","",IF(Table1[Start Date]&gt;42185,"",IF(AND(Table1[Leaving Date]&gt;1,Table1[Leaving Date]&lt;42095),"",1)))</f>
        <v/>
      </c>
      <c r="DQ154" s="92" t="str">
        <f>IF(Table1[Start Date]="","",IF(Table1[Start Date]&gt;42277,"",IF(AND(Table1[Leaving Date]&gt;1,Table1[Leaving Date]&lt;42186),"",1)))</f>
        <v/>
      </c>
      <c r="DR154" s="92" t="str">
        <f>IF(Table1[Start Date]="","",IF(Table1[Start Date]&gt;42369,"",IF(AND(Table1[Leaving Date]&gt;1,Table1[Leaving Date]&lt;42278),"",1)))</f>
        <v/>
      </c>
      <c r="DS154" s="92" t="str">
        <f>IF(Table1[Start Date]="","",IF(Table1[Start Date]&gt;42460,"",IF(AND(Table1[Leaving Date]&gt;1,Table1[Leaving Date]&lt;42370),"",1)))</f>
        <v/>
      </c>
      <c r="DT154" s="92" t="str">
        <f>IF(Table1[Start Date]="","",IF(Table1[Start Date]&gt;42551,"",IF(AND(Table1[Leaving Date]&gt;1,Table1[Leaving Date]&lt;42461),"",1)))</f>
        <v/>
      </c>
      <c r="DU154" s="92" t="str">
        <f>IF(Table1[Start Date]="","",IF(Table1[Start Date]&gt;42643,"",IF(AND(Table1[Leaving Date]&gt;1,Table1[Leaving Date]&lt;42552),"",1)))</f>
        <v/>
      </c>
      <c r="DV154" s="92" t="str">
        <f>IF(Table1[Start Date]="","",IF(Table1[Start Date]&gt;42735,"",IF(AND(Table1[Leaving Date]&gt;1,Table1[Leaving Date]&lt;42644),"",1)))</f>
        <v/>
      </c>
      <c r="DW154" s="92" t="str">
        <f>IF(Table1[Start Date]="","",IF(Table1[Start Date]&gt;42825,"",IF(AND(Table1[Leaving Date]&gt;1,Table1[Leaving Date]&lt;42736),"",1)))</f>
        <v/>
      </c>
      <c r="DX154"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154" s="44" t="e">
        <f>VLOOKUP(Table1[Referral Source],Lists!$G$2:$H$20,2,FALSE)</f>
        <v>#N/A</v>
      </c>
      <c r="DZ154" s="93" t="e">
        <f>SUM(Table1[Data Referral Quarter]+Table1[Data Referral Source])</f>
        <v>#N/A</v>
      </c>
      <c r="EA154" s="44" t="b">
        <f>IF(Table1[Referral Decision]="Accepted",100,IF(Table1[Referral Decision]="Rejected by Provider",200,IF(Table1[Referral Decision]="Rejected by Applicant",300)))</f>
        <v>0</v>
      </c>
      <c r="EB154" s="44">
        <f>SUM(Table1[Data Referral Quarter]+Table1[Data Referral Decision])</f>
        <v>0</v>
      </c>
      <c r="EC154" s="44" t="b">
        <f>IF(Table1[Start Date]&gt;42735,8000,IF(Table1[Start Date]&gt;42643,7000,IF(Table1[Start Date]&gt;42551,6000,IF(Table1[Start Date]&gt;42460,5000,IF(Table1[Start Date]&gt;42369,4000,IF(Table1[Start Date]&gt;42277,3000,IF(Table1[Start Date]&gt;42185,2000,IF(Table1[Start Date]&gt;42094,1000))))))))</f>
        <v>0</v>
      </c>
      <c r="ED154" s="44" t="str">
        <f>IF(Table1[Start Date]="","",IF(Table1[Current Local Authority]="Swindon",1,"2"))</f>
        <v/>
      </c>
      <c r="EE154" s="44" t="e">
        <f>SUM(Table1[Data Start Date]+Table1[Data Local Authority])</f>
        <v>#VALUE!</v>
      </c>
      <c r="EF154" s="44">
        <f>IF(Table1[Registered with GP]="Yes",1,0)</f>
        <v>0</v>
      </c>
      <c r="EG154" s="44">
        <f>SUM(Table1[Data Start Date]+Table1[Data GP Start])</f>
        <v>0</v>
      </c>
      <c r="EH154" s="44" t="str">
        <f>IF(Table1[EET]="NEET",1,IF(Table1[EET]="Education",2,IF(Table1[EET]="Employment",2,IF(Table1[EET]="Training",2,IF(Table1[EET]="Retired",3,"")))))</f>
        <v/>
      </c>
      <c r="EI154" s="44" t="e">
        <f>Table1[Data Start Date]+Table1[Data EET Start]</f>
        <v>#VALUE!</v>
      </c>
      <c r="EJ154" s="44" t="b">
        <f>IF(Table1[Leaving Date]&gt;42735,8000,IF(Table1[Leaving Date]&gt;42643,7000,IF(Table1[Leaving Date]&gt;42551,6000,IF(Table1[Leaving Date]&gt;42460,5000,IF(Table1[Leaving Date]&gt;42369,4000,IF(Table1[Leaving Date]&gt;42277,3000,IF(Table1[Leaving Date]&gt;42185,2000,IF(Table1[Leaving Date]&gt;42094,1000))))))))</f>
        <v>0</v>
      </c>
      <c r="EK154" s="44" t="e">
        <f>VLOOKUP(Table1[Reason for Leaving],Lists!$T$2:$U$15,2,FALSE)</f>
        <v>#N/A</v>
      </c>
      <c r="EL154" s="44" t="e">
        <f>SUM(Table1[Data Leavers Date]+Table1[Data Move On])</f>
        <v>#N/A</v>
      </c>
      <c r="EM154" s="44" t="b">
        <f>IF(Table1[Registered with GP2]="Yes",1,IF(Table1[Registered with GP2]="No",0,IF(Table1[Registered with GP]="Yes",1,IF(Table1[Registered with GP]="No",0))))</f>
        <v>0</v>
      </c>
      <c r="EN154" s="44">
        <f>SUM(Table1[Data Leavers Date]+Table1[Data GP End])</f>
        <v>0</v>
      </c>
      <c r="EO154" s="44" t="str">
        <f>IF(Table1[EET2]="NEET",1,IF(Table1[EET2]="Employment",2,IF(Table1[EET2]="Education",2,IF(Table1[EET2]="Training",2,IF(Table1[EET2]="Retired",3,IF(Table1[EET]="NEET",1,IF(Table1[EET]="Employment",2,IF(Table1[EET]="Education",2,IF(Table1[EET]="Training",2,IF(Table1[EET]="Retired",3,""))))))))))</f>
        <v/>
      </c>
      <c r="EP154" s="44" t="e">
        <f>+Table1[[#This Row],[Data Leavers Date]]+Table1[[#This Row],[Data EET End]]</f>
        <v>#VALUE!</v>
      </c>
      <c r="EQ154" s="44">
        <f>IF(Table1[Exit Form Received]="Yes",1,0)</f>
        <v>0</v>
      </c>
      <c r="ER154" s="44">
        <f>+Table1[[#This Row],[Data Leavers Date]]+Table1[[#This Row],[Data Exit Forms]]</f>
        <v>0</v>
      </c>
      <c r="ES154" s="44" t="str">
        <f>IF(Table1[Data Leavers Date]=1000,SUM(Table1[Leaving Date]-Table1[Start Date]),"")</f>
        <v/>
      </c>
      <c r="ET154" s="44" t="str">
        <f>IF(Table1[Data Leavers Date]=2000,SUM(Table1[Leaving Date]-Table1[Start Date]),"")</f>
        <v/>
      </c>
      <c r="EU154" s="44" t="str">
        <f>IF(Table1[Data Leavers Date]=3000,SUM(Table1[Leaving Date]-Table1[Start Date]),"")</f>
        <v/>
      </c>
      <c r="EV154" s="44" t="str">
        <f>IF(Table1[Data Leavers Date]=4000,SUM(Table1[Leaving Date]-Table1[Start Date]),"")</f>
        <v/>
      </c>
      <c r="EW154" s="44" t="str">
        <f>IF(Table1[Data Leavers Date]=5000,SUM(Table1[Leaving Date]-Table1[Start Date]),"")</f>
        <v/>
      </c>
      <c r="EX154" s="44" t="str">
        <f>IF(Table1[Data Leavers Date]=6000,SUM(Table1[Leaving Date]-Table1[Start Date]),"")</f>
        <v/>
      </c>
      <c r="EY154" s="44" t="str">
        <f>IF(Table1[Data Leavers Date]=7000,SUM(Table1[Leaving Date]-Table1[Start Date]),"")</f>
        <v/>
      </c>
      <c r="EZ154" s="44" t="str">
        <f>IF(Table1[Data Leavers Date]=8000,SUM(Table1[Leaving Date]-Table1[Start Date]),"")</f>
        <v/>
      </c>
      <c r="FA154" s="44" t="str">
        <f>IF(Table1[Date of Initial Assessment]="","",IF(AND(Table1[Start Date]&gt;42094,Table1[Start Date]&lt;42461),Table1[Motivation and Taking Responsibility],""))</f>
        <v/>
      </c>
      <c r="FB154" s="44" t="str">
        <f>IF(Table1[Date of Initial Assessment]="","",IF(AND(Table1[Start Date]&gt;42094,Table1[Start Date]&lt;42461),Table1[Self-Care and Living Skills],""))</f>
        <v/>
      </c>
      <c r="FC154" s="44" t="str">
        <f>IF(Table1[Date of Initial Assessment]="","",IF(AND(Table1[Start Date]&gt;42094,Table1[Start Date]&lt;42461),Table1[Managing Money and Personal Administration],""))</f>
        <v/>
      </c>
      <c r="FD154" s="44" t="str">
        <f>IF(Table1[Date of Initial Assessment]="","",IF(AND(Table1[Start Date]&gt;42094,Table1[Start Date]&lt;42461),Table1[Social Networks and Relationships],""))</f>
        <v/>
      </c>
      <c r="FE154" s="44" t="str">
        <f>IF(Table1[Date of Initial Assessment]="","",IF(AND(Table1[Start Date]&gt;42094,Table1[Start Date]&lt;42461),Table1[Drug and Alcohol Misuse],""))</f>
        <v/>
      </c>
      <c r="FF154" s="44" t="str">
        <f>IF(Table1[Date of Initial Assessment]="","",IF(AND(Table1[Start Date]&gt;42094,Table1[Start Date]&lt;42461),Table1[Physical Health],""))</f>
        <v/>
      </c>
      <c r="FG154" s="44" t="str">
        <f>IF(Table1[Date of Initial Assessment]="","",IF(AND(Table1[Start Date]&gt;42094,Table1[Start Date]&lt;42461),Table1[Emotional and Mental Health],""))</f>
        <v/>
      </c>
      <c r="FH154" s="44" t="str">
        <f>IF(Table1[Date of Initial Assessment]="","",IF(AND(Table1[Start Date]&gt;42094,Table1[Start Date]&lt;42461),Table1[Meaningful Use of Time],""))</f>
        <v/>
      </c>
      <c r="FI154" s="44" t="str">
        <f>IF(Table1[Date of Initial Assessment]="","",IF(AND(Table1[Start Date]&gt;42094,Table1[Start Date]&lt;42461),Table1[Managing Tenancy and Accommodation],""))</f>
        <v/>
      </c>
      <c r="FJ154" s="44" t="str">
        <f>IF(Table1[Date of Initial Assessment]="","",IF(AND(Table1[Start Date]&gt;42094,Table1[Start Date]&lt;42461),Table1[Offending],""))</f>
        <v/>
      </c>
      <c r="FK154" s="44" t="str">
        <f>IF(Table1[Leaving Date]="","",IF(Table1[Date of Initial Assessment]="","",IF(AND(Table1[Leaving Date]&gt;42094,Table1[Leaving Date]&lt;42461),IF(Table1[Date of Last Assessment]="",Table1[Motivation and Taking Responsibility],Table1[Motivation and Taking Responsibility2]),"")))</f>
        <v/>
      </c>
      <c r="FL154" s="44" t="str">
        <f>IF(Table1[Leaving Date]="","",IF(Table1[Date of Initial Assessment]="","",IF(AND(Table1[Leaving Date]&gt;42094,Table1[Leaving Date]&lt;42461),IF(Table1[Date of Last Assessment]="",Table1[Self-Care and Living Skills],Table1[Self-Care and Living Skills2]),"")))</f>
        <v/>
      </c>
      <c r="FM154" s="44" t="str">
        <f>IF(Table1[Leaving Date]="","",IF(Table1[Date of Initial Assessment]="","",IF(AND(Table1[Leaving Date]&gt;42094,Table1[Leaving Date]&lt;42461),IF(Table1[Date of Last Assessment]="",Table1[Managing Money and Personal Administration],Table1[Managing Money and Personal Administration2]),"")))</f>
        <v/>
      </c>
      <c r="FN154" s="44" t="str">
        <f>IF(Table1[Leaving Date]="","",IF(Table1[Date of Initial Assessment]="","",IF(AND(Table1[Leaving Date]&gt;42094,Table1[Leaving Date]&lt;42461),IF(Table1[Date of Last Assessment]="",Table1[Social Networks and Relationships],Table1[Social Networks and Relationships2]),"")))</f>
        <v/>
      </c>
      <c r="FO154" s="44" t="str">
        <f>IF(Table1[Leaving Date]="","",IF(Table1[Date of Initial Assessment]="","",IF(AND(Table1[Leaving Date]&gt;42094,Table1[Leaving Date]&lt;42461),IF(Table1[Date of Last Assessment]="",Table1[Drug and Alcohol Misuse],Table1[Drug and Alcohol Misuse2]),"")))</f>
        <v/>
      </c>
      <c r="FP154" s="44" t="str">
        <f>IF(Table1[Leaving Date]="","",IF(Table1[Date of Initial Assessment]="","",IF(AND(Table1[Leaving Date]&gt;42094,Table1[Leaving Date]&lt;42461),IF(Table1[Date of Last Assessment]="",Table1[Physical Health],Table1[Physical Health2]),"")))</f>
        <v/>
      </c>
      <c r="FQ154" s="44" t="str">
        <f>IF(Table1[Leaving Date]="","",IF(Table1[Date of Initial Assessment]="","",IF(AND(Table1[Leaving Date]&gt;42094,Table1[Leaving Date]&lt;42461),IF(Table1[Date of Last Assessment]="",Table1[Emotional and Mental Health],Table1[Emotional and Mental Health2]),"")))</f>
        <v/>
      </c>
      <c r="FR154" s="44" t="str">
        <f>IF(Table1[Leaving Date]="","",IF(Table1[Date of Initial Assessment]="","",IF(AND(Table1[Leaving Date]&gt;42094,Table1[Leaving Date]&lt;42461),IF(Table1[Date of Last Assessment]="",Table1[Meaningful Use of Time],Table1[Meaningful Use of Time2]),"")))</f>
        <v/>
      </c>
      <c r="FS154" s="44" t="str">
        <f>IF(Table1[Leaving Date]="","",IF(Table1[Date of Initial Assessment]="","",IF(AND(Table1[Leaving Date]&gt;42094,Table1[Leaving Date]&lt;42461),IF(Table1[Date of Last Assessment]="",Table1[Managing Tenancy and Accommodation],Table1[Managing Tenancy and Accommodation2]),"")))</f>
        <v/>
      </c>
      <c r="FT154" s="44" t="str">
        <f>IF(Table1[Leaving Date]="","",IF(Table1[Date of Initial Assessment]="","",IF(AND(Table1[Leaving Date]&gt;42094,Table1[Leaving Date]&lt;42461),IF(Table1[Date of Last Assessment]="",Table1[Offending],Table1[Offending2]),"")))</f>
        <v/>
      </c>
      <c r="FU154" s="44" t="str">
        <f>IF(Table1[Date of Initial Assessment]="","",IF(AND(Table1[Start Date]&gt;42460,Table1[Start Date]&lt;42826),Table1[Motivation and Taking Responsibility],""))</f>
        <v/>
      </c>
      <c r="FV154" s="44" t="str">
        <f>IF(Table1[Date of Initial Assessment]="","",IF(AND(Table1[Start Date]&gt;42460,Table1[Start Date]&lt;42826),Table1[Self-Care and Living Skills],""))</f>
        <v/>
      </c>
      <c r="FW154" s="44" t="str">
        <f>IF(Table1[Date of Initial Assessment]="","",IF(AND(Table1[Start Date]&gt;42460,Table1[Start Date]&lt;42826),Table1[Managing Money and Personal Administration],""))</f>
        <v/>
      </c>
      <c r="FX154" s="44" t="str">
        <f>IF(Table1[Date of Initial Assessment]="","",IF(AND(Table1[Start Date]&gt;42460,Table1[Start Date]&lt;42826),Table1[Social Networks and Relationships],""))</f>
        <v/>
      </c>
      <c r="FY154" s="44" t="str">
        <f>IF(Table1[Date of Initial Assessment]="","",IF(AND(Table1[Start Date]&gt;42460,Table1[Start Date]&lt;42826),Table1[Drug and Alcohol Misuse],""))</f>
        <v/>
      </c>
      <c r="FZ154" s="44" t="str">
        <f>IF(Table1[Date of Initial Assessment]="","",IF(AND(Table1[Start Date]&gt;42460,Table1[Start Date]&lt;42826),Table1[Physical Health],""))</f>
        <v/>
      </c>
      <c r="GA154" s="44" t="str">
        <f>IF(Table1[Date of Initial Assessment]="","",IF(AND(Table1[Start Date]&gt;42460,Table1[Start Date]&lt;42826),Table1[Emotional and Mental Health],""))</f>
        <v/>
      </c>
      <c r="GB154" s="44" t="str">
        <f>IF(Table1[Date of Initial Assessment]="","",IF(AND(Table1[Start Date]&gt;42460,Table1[Start Date]&lt;42826),Table1[Meaningful Use of Time],""))</f>
        <v/>
      </c>
      <c r="GC154" s="44" t="str">
        <f>IF(Table1[Date of Initial Assessment]="","",IF(AND(Table1[Start Date]&gt;42460,Table1[Start Date]&lt;42826),Table1[Managing Tenancy and Accommodation],""))</f>
        <v/>
      </c>
      <c r="GD154" s="44" t="str">
        <f>IF(Table1[Date of Initial Assessment]="","",IF(AND(Table1[Start Date]&gt;42460,Table1[Start Date]&lt;42826),Table1[Offending],""))</f>
        <v/>
      </c>
      <c r="GE154" s="44" t="str">
        <f>IF(Table1[Leaving Date]="","",IF(AND(Table1[Leaving Date]&gt;42460,Table1[Leaving Date]&lt;42826),IF(Table1[Date of Last Assessment]="",Table1[Motivation and Taking Responsibility],Table1[Motivation and Taking Responsibility2]),""))</f>
        <v/>
      </c>
      <c r="GF154" s="44" t="str">
        <f>IF(Table1[Leaving Date]="","",IF(AND(Table1[Leaving Date]&gt;42460,Table1[Leaving Date]&lt;42826),IF(Table1[Date of Last Assessment]="",Table1[Self-Care and Living Skills],Table1[Self-Care and Living Skills2]),""))</f>
        <v/>
      </c>
      <c r="GG154" s="44" t="str">
        <f>IF(Table1[Leaving Date]="","",IF(AND(Table1[Leaving Date]&gt;42460,Table1[Leaving Date]&lt;42826),IF(Table1[Date of Last Assessment]="",Table1[Managing Money and Personal Administration],Table1[Managing Money and Personal Administration2]),""))</f>
        <v/>
      </c>
      <c r="GH154" s="44" t="str">
        <f>IF(Table1[Leaving Date]="","",IF(AND(Table1[Leaving Date]&gt;42460,Table1[Leaving Date]&lt;42826),IF(Table1[Date of Last Assessment]="",Table1[Social Networks and Relationships],Table1[Social Networks and Relationships2]),""))</f>
        <v/>
      </c>
      <c r="GI154" s="44" t="str">
        <f>IF(Table1[Leaving Date]="","",IF(AND(Table1[Leaving Date]&gt;42460,Table1[Leaving Date]&lt;42826),IF(Table1[Date of Last Assessment]="",Table1[Drug and Alcohol Misuse],Table1[Drug and Alcohol Misuse2]),""))</f>
        <v/>
      </c>
      <c r="GJ154" s="44" t="str">
        <f>IF(Table1[Leaving Date]="","",IF(AND(Table1[Leaving Date]&gt;42460,Table1[Leaving Date]&lt;42826),IF(Table1[Date of Last Assessment]="",Table1[Physical Health],Table1[Physical Health2]),""))</f>
        <v/>
      </c>
      <c r="GK154" s="44" t="str">
        <f>IF(Table1[Leaving Date]="","",IF(AND(Table1[Leaving Date]&gt;42460,Table1[Leaving Date]&lt;42826),IF(Table1[Date of Last Assessment]="",Table1[Emotional and Mental Health],Table1[Emotional and Mental Health2]),""))</f>
        <v/>
      </c>
      <c r="GL154" s="44" t="str">
        <f>IF(Table1[Leaving Date]="","",IF(AND(Table1[Leaving Date]&gt;42460,Table1[Leaving Date]&lt;42826),IF(Table1[Date of Last Assessment]="",Table1[Meaningful Use of Time],Table1[Meaningful Use of Time2]),""))</f>
        <v/>
      </c>
      <c r="GM154" s="44" t="str">
        <f>IF(Table1[Leaving Date]="","",IF(AND(Table1[Leaving Date]&gt;42460,Table1[Leaving Date]&lt;42826),IF(Table1[Date of Last Assessment]="",Table1[Managing Tenancy and Accommodation],Table1[Managing Tenancy and Accommodation2]),""))</f>
        <v/>
      </c>
      <c r="GN154" s="44" t="str">
        <f>IF(Table1[Leaving Date]="","",IF(AND(Table1[Leaving Date]&gt;42460,Table1[Leaving Date]&lt;42826),IF(Table1[Date of Last Assessment]="",Table1[Offending],Table1[Offending2]),""))</f>
        <v/>
      </c>
    </row>
    <row r="155" spans="2:196" ht="20.100000000000001" customHeight="1" x14ac:dyDescent="0.2">
      <c r="B155" s="86">
        <f>+'Service Data'!$C$5:$C$5</f>
        <v>0</v>
      </c>
      <c r="C155" s="86"/>
      <c r="D155" s="86"/>
      <c r="E155" s="86"/>
      <c r="F155" s="86"/>
      <c r="G155" s="86"/>
      <c r="H155" s="6"/>
      <c r="I155" s="99" t="str">
        <f ca="1">IF(Table1[[#This Row],[Date of Birth]]="","",SUM(TODAY()-Table1[[#This Row],[Date of Birth]])/365)</f>
        <v/>
      </c>
      <c r="L155" s="86"/>
      <c r="M155" s="77"/>
      <c r="N155" s="86"/>
      <c r="O155" s="86"/>
      <c r="P155" s="91"/>
      <c r="Q155" s="86"/>
      <c r="R155" s="77"/>
      <c r="S155" s="77"/>
      <c r="T155" s="68"/>
      <c r="U155" s="68"/>
      <c r="V155" s="67"/>
      <c r="W155" s="67"/>
      <c r="X155" s="67"/>
      <c r="Y155" s="67"/>
      <c r="Z155" s="67"/>
      <c r="AA155" s="67"/>
      <c r="AB155" s="67"/>
      <c r="AC155" s="67"/>
      <c r="AD155" s="67"/>
      <c r="AE155" s="67"/>
      <c r="AF155" s="67"/>
      <c r="AG155" s="67"/>
      <c r="AH155" s="67"/>
      <c r="AI155" s="67"/>
      <c r="AJ155" s="67"/>
      <c r="AK155" s="67"/>
      <c r="AL155" s="67"/>
      <c r="AM155" s="67"/>
      <c r="AN155" s="77"/>
      <c r="AO155" s="76"/>
      <c r="AP155" s="77"/>
      <c r="AQ155" s="76"/>
      <c r="AR155" s="76"/>
      <c r="AS155" s="76"/>
      <c r="AT155" s="76"/>
      <c r="AU155" s="76"/>
      <c r="AV155" s="77"/>
      <c r="AW155" s="76"/>
      <c r="AX155" s="77"/>
      <c r="AY155" s="76"/>
      <c r="AZ155" s="76"/>
      <c r="BA155" s="76"/>
      <c r="BB155" s="76"/>
      <c r="BC155" s="76"/>
      <c r="BD155" s="77"/>
      <c r="BE155" s="76"/>
      <c r="BF155" s="77"/>
      <c r="BG155" s="76"/>
      <c r="BH155" s="76"/>
      <c r="BI155" s="76"/>
      <c r="BJ155" s="76"/>
      <c r="BK155" s="76"/>
      <c r="BL155" s="77"/>
      <c r="BM155" s="76"/>
      <c r="BN155" s="77"/>
      <c r="BO155" s="76"/>
      <c r="BP155" s="76"/>
      <c r="BQ155" s="76"/>
      <c r="BR155" s="76"/>
      <c r="BS155" s="76"/>
      <c r="BT155" s="77"/>
      <c r="BU155" s="76"/>
      <c r="BV155" s="77"/>
      <c r="BW155" s="76"/>
      <c r="BX155" s="76"/>
      <c r="BY155" s="76"/>
      <c r="BZ155" s="76"/>
      <c r="CA155" s="76"/>
      <c r="CB155" s="77"/>
      <c r="CC155" s="76"/>
      <c r="CD155" s="77"/>
      <c r="CE155" s="76"/>
      <c r="CF155" s="76"/>
      <c r="CG155" s="76"/>
      <c r="CH155" s="76"/>
      <c r="CI155" s="76"/>
      <c r="CJ155" s="77"/>
      <c r="CK155" s="76"/>
      <c r="CL155" s="77"/>
      <c r="CM155" s="76"/>
      <c r="CN155" s="76"/>
      <c r="CO155" s="76"/>
      <c r="CP155" s="76"/>
      <c r="CQ155" s="76"/>
      <c r="CR155" s="78" t="str">
        <f t="shared" si="47"/>
        <v/>
      </c>
      <c r="CS155" s="79" t="str">
        <f t="shared" si="48"/>
        <v/>
      </c>
      <c r="CT155" s="79" t="str">
        <f t="shared" si="49"/>
        <v/>
      </c>
      <c r="CU155" s="79" t="str">
        <f t="shared" si="50"/>
        <v/>
      </c>
      <c r="CV155" s="79" t="str">
        <f t="shared" si="51"/>
        <v/>
      </c>
      <c r="CW155" s="79" t="str">
        <f t="shared" si="52"/>
        <v/>
      </c>
      <c r="CX155" s="79" t="str">
        <f t="shared" si="53"/>
        <v/>
      </c>
      <c r="CY155" s="79" t="str">
        <f t="shared" si="54"/>
        <v/>
      </c>
      <c r="CZ155" s="79" t="str">
        <f t="shared" si="55"/>
        <v/>
      </c>
      <c r="DA155" s="79" t="str">
        <f t="shared" si="56"/>
        <v/>
      </c>
      <c r="DB155" s="79" t="str">
        <f t="shared" si="57"/>
        <v/>
      </c>
      <c r="DC155" s="79" t="str">
        <f t="shared" si="58"/>
        <v/>
      </c>
      <c r="DD155" s="79" t="str">
        <f t="shared" si="59"/>
        <v/>
      </c>
      <c r="DE155" s="79" t="str">
        <f t="shared" si="60"/>
        <v/>
      </c>
      <c r="DF155" s="79" t="str">
        <f t="shared" si="61"/>
        <v/>
      </c>
      <c r="DG155" s="79" t="str">
        <f t="shared" si="62"/>
        <v/>
      </c>
      <c r="DH155" s="76"/>
      <c r="DI155" s="78"/>
      <c r="DJ155" s="76"/>
      <c r="DK155" s="77"/>
      <c r="DL155" s="77"/>
      <c r="DM155" s="77"/>
      <c r="DN155" s="80"/>
      <c r="DO155" s="80"/>
      <c r="DP155" s="92" t="str">
        <f>IF(Table1[Start Date]="","",IF(Table1[Start Date]&gt;42185,"",IF(AND(Table1[Leaving Date]&gt;1,Table1[Leaving Date]&lt;42095),"",1)))</f>
        <v/>
      </c>
      <c r="DQ155" s="92" t="str">
        <f>IF(Table1[Start Date]="","",IF(Table1[Start Date]&gt;42277,"",IF(AND(Table1[Leaving Date]&gt;1,Table1[Leaving Date]&lt;42186),"",1)))</f>
        <v/>
      </c>
      <c r="DR155" s="92" t="str">
        <f>IF(Table1[Start Date]="","",IF(Table1[Start Date]&gt;42369,"",IF(AND(Table1[Leaving Date]&gt;1,Table1[Leaving Date]&lt;42278),"",1)))</f>
        <v/>
      </c>
      <c r="DS155" s="92" t="str">
        <f>IF(Table1[Start Date]="","",IF(Table1[Start Date]&gt;42460,"",IF(AND(Table1[Leaving Date]&gt;1,Table1[Leaving Date]&lt;42370),"",1)))</f>
        <v/>
      </c>
      <c r="DT155" s="92" t="str">
        <f>IF(Table1[Start Date]="","",IF(Table1[Start Date]&gt;42551,"",IF(AND(Table1[Leaving Date]&gt;1,Table1[Leaving Date]&lt;42461),"",1)))</f>
        <v/>
      </c>
      <c r="DU155" s="92" t="str">
        <f>IF(Table1[Start Date]="","",IF(Table1[Start Date]&gt;42643,"",IF(AND(Table1[Leaving Date]&gt;1,Table1[Leaving Date]&lt;42552),"",1)))</f>
        <v/>
      </c>
      <c r="DV155" s="92" t="str">
        <f>IF(Table1[Start Date]="","",IF(Table1[Start Date]&gt;42735,"",IF(AND(Table1[Leaving Date]&gt;1,Table1[Leaving Date]&lt;42644),"",1)))</f>
        <v/>
      </c>
      <c r="DW155" s="92" t="str">
        <f>IF(Table1[Start Date]="","",IF(Table1[Start Date]&gt;42825,"",IF(AND(Table1[Leaving Date]&gt;1,Table1[Leaving Date]&lt;42736),"",1)))</f>
        <v/>
      </c>
      <c r="DX155"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155" s="44" t="e">
        <f>VLOOKUP(Table1[Referral Source],Lists!$G$2:$H$20,2,FALSE)</f>
        <v>#N/A</v>
      </c>
      <c r="DZ155" s="93" t="e">
        <f>SUM(Table1[Data Referral Quarter]+Table1[Data Referral Source])</f>
        <v>#N/A</v>
      </c>
      <c r="EA155" s="44" t="b">
        <f>IF(Table1[Referral Decision]="Accepted",100,IF(Table1[Referral Decision]="Rejected by Provider",200,IF(Table1[Referral Decision]="Rejected by Applicant",300)))</f>
        <v>0</v>
      </c>
      <c r="EB155" s="44">
        <f>SUM(Table1[Data Referral Quarter]+Table1[Data Referral Decision])</f>
        <v>0</v>
      </c>
      <c r="EC155" s="44" t="b">
        <f>IF(Table1[Start Date]&gt;42735,8000,IF(Table1[Start Date]&gt;42643,7000,IF(Table1[Start Date]&gt;42551,6000,IF(Table1[Start Date]&gt;42460,5000,IF(Table1[Start Date]&gt;42369,4000,IF(Table1[Start Date]&gt;42277,3000,IF(Table1[Start Date]&gt;42185,2000,IF(Table1[Start Date]&gt;42094,1000))))))))</f>
        <v>0</v>
      </c>
      <c r="ED155" s="44" t="str">
        <f>IF(Table1[Start Date]="","",IF(Table1[Current Local Authority]="Swindon",1,"2"))</f>
        <v/>
      </c>
      <c r="EE155" s="44" t="e">
        <f>SUM(Table1[Data Start Date]+Table1[Data Local Authority])</f>
        <v>#VALUE!</v>
      </c>
      <c r="EF155" s="44">
        <f>IF(Table1[Registered with GP]="Yes",1,0)</f>
        <v>0</v>
      </c>
      <c r="EG155" s="44">
        <f>SUM(Table1[Data Start Date]+Table1[Data GP Start])</f>
        <v>0</v>
      </c>
      <c r="EH155" s="44" t="str">
        <f>IF(Table1[EET]="NEET",1,IF(Table1[EET]="Education",2,IF(Table1[EET]="Employment",2,IF(Table1[EET]="Training",2,IF(Table1[EET]="Retired",3,"")))))</f>
        <v/>
      </c>
      <c r="EI155" s="44" t="e">
        <f>Table1[Data Start Date]+Table1[Data EET Start]</f>
        <v>#VALUE!</v>
      </c>
      <c r="EJ155" s="44" t="b">
        <f>IF(Table1[Leaving Date]&gt;42735,8000,IF(Table1[Leaving Date]&gt;42643,7000,IF(Table1[Leaving Date]&gt;42551,6000,IF(Table1[Leaving Date]&gt;42460,5000,IF(Table1[Leaving Date]&gt;42369,4000,IF(Table1[Leaving Date]&gt;42277,3000,IF(Table1[Leaving Date]&gt;42185,2000,IF(Table1[Leaving Date]&gt;42094,1000))))))))</f>
        <v>0</v>
      </c>
      <c r="EK155" s="44" t="e">
        <f>VLOOKUP(Table1[Reason for Leaving],Lists!$T$2:$U$15,2,FALSE)</f>
        <v>#N/A</v>
      </c>
      <c r="EL155" s="44" t="e">
        <f>SUM(Table1[Data Leavers Date]+Table1[Data Move On])</f>
        <v>#N/A</v>
      </c>
      <c r="EM155" s="44" t="b">
        <f>IF(Table1[Registered with GP2]="Yes",1,IF(Table1[Registered with GP2]="No",0,IF(Table1[Registered with GP]="Yes",1,IF(Table1[Registered with GP]="No",0))))</f>
        <v>0</v>
      </c>
      <c r="EN155" s="44">
        <f>SUM(Table1[Data Leavers Date]+Table1[Data GP End])</f>
        <v>0</v>
      </c>
      <c r="EO155" s="44" t="str">
        <f>IF(Table1[EET2]="NEET",1,IF(Table1[EET2]="Employment",2,IF(Table1[EET2]="Education",2,IF(Table1[EET2]="Training",2,IF(Table1[EET2]="Retired",3,IF(Table1[EET]="NEET",1,IF(Table1[EET]="Employment",2,IF(Table1[EET]="Education",2,IF(Table1[EET]="Training",2,IF(Table1[EET]="Retired",3,""))))))))))</f>
        <v/>
      </c>
      <c r="EP155" s="44" t="e">
        <f>+Table1[[#This Row],[Data Leavers Date]]+Table1[[#This Row],[Data EET End]]</f>
        <v>#VALUE!</v>
      </c>
      <c r="EQ155" s="44">
        <f>IF(Table1[Exit Form Received]="Yes",1,0)</f>
        <v>0</v>
      </c>
      <c r="ER155" s="44">
        <f>+Table1[[#This Row],[Data Leavers Date]]+Table1[[#This Row],[Data Exit Forms]]</f>
        <v>0</v>
      </c>
      <c r="ES155" s="44" t="str">
        <f>IF(Table1[Data Leavers Date]=1000,SUM(Table1[Leaving Date]-Table1[Start Date]),"")</f>
        <v/>
      </c>
      <c r="ET155" s="44" t="str">
        <f>IF(Table1[Data Leavers Date]=2000,SUM(Table1[Leaving Date]-Table1[Start Date]),"")</f>
        <v/>
      </c>
      <c r="EU155" s="44" t="str">
        <f>IF(Table1[Data Leavers Date]=3000,SUM(Table1[Leaving Date]-Table1[Start Date]),"")</f>
        <v/>
      </c>
      <c r="EV155" s="44" t="str">
        <f>IF(Table1[Data Leavers Date]=4000,SUM(Table1[Leaving Date]-Table1[Start Date]),"")</f>
        <v/>
      </c>
      <c r="EW155" s="44" t="str">
        <f>IF(Table1[Data Leavers Date]=5000,SUM(Table1[Leaving Date]-Table1[Start Date]),"")</f>
        <v/>
      </c>
      <c r="EX155" s="44" t="str">
        <f>IF(Table1[Data Leavers Date]=6000,SUM(Table1[Leaving Date]-Table1[Start Date]),"")</f>
        <v/>
      </c>
      <c r="EY155" s="44" t="str">
        <f>IF(Table1[Data Leavers Date]=7000,SUM(Table1[Leaving Date]-Table1[Start Date]),"")</f>
        <v/>
      </c>
      <c r="EZ155" s="44" t="str">
        <f>IF(Table1[Data Leavers Date]=8000,SUM(Table1[Leaving Date]-Table1[Start Date]),"")</f>
        <v/>
      </c>
      <c r="FA155" s="44" t="str">
        <f>IF(Table1[Date of Initial Assessment]="","",IF(AND(Table1[Start Date]&gt;42094,Table1[Start Date]&lt;42461),Table1[Motivation and Taking Responsibility],""))</f>
        <v/>
      </c>
      <c r="FB155" s="44" t="str">
        <f>IF(Table1[Date of Initial Assessment]="","",IF(AND(Table1[Start Date]&gt;42094,Table1[Start Date]&lt;42461),Table1[Self-Care and Living Skills],""))</f>
        <v/>
      </c>
      <c r="FC155" s="44" t="str">
        <f>IF(Table1[Date of Initial Assessment]="","",IF(AND(Table1[Start Date]&gt;42094,Table1[Start Date]&lt;42461),Table1[Managing Money and Personal Administration],""))</f>
        <v/>
      </c>
      <c r="FD155" s="44" t="str">
        <f>IF(Table1[Date of Initial Assessment]="","",IF(AND(Table1[Start Date]&gt;42094,Table1[Start Date]&lt;42461),Table1[Social Networks and Relationships],""))</f>
        <v/>
      </c>
      <c r="FE155" s="44" t="str">
        <f>IF(Table1[Date of Initial Assessment]="","",IF(AND(Table1[Start Date]&gt;42094,Table1[Start Date]&lt;42461),Table1[Drug and Alcohol Misuse],""))</f>
        <v/>
      </c>
      <c r="FF155" s="44" t="str">
        <f>IF(Table1[Date of Initial Assessment]="","",IF(AND(Table1[Start Date]&gt;42094,Table1[Start Date]&lt;42461),Table1[Physical Health],""))</f>
        <v/>
      </c>
      <c r="FG155" s="44" t="str">
        <f>IF(Table1[Date of Initial Assessment]="","",IF(AND(Table1[Start Date]&gt;42094,Table1[Start Date]&lt;42461),Table1[Emotional and Mental Health],""))</f>
        <v/>
      </c>
      <c r="FH155" s="44" t="str">
        <f>IF(Table1[Date of Initial Assessment]="","",IF(AND(Table1[Start Date]&gt;42094,Table1[Start Date]&lt;42461),Table1[Meaningful Use of Time],""))</f>
        <v/>
      </c>
      <c r="FI155" s="44" t="str">
        <f>IF(Table1[Date of Initial Assessment]="","",IF(AND(Table1[Start Date]&gt;42094,Table1[Start Date]&lt;42461),Table1[Managing Tenancy and Accommodation],""))</f>
        <v/>
      </c>
      <c r="FJ155" s="44" t="str">
        <f>IF(Table1[Date of Initial Assessment]="","",IF(AND(Table1[Start Date]&gt;42094,Table1[Start Date]&lt;42461),Table1[Offending],""))</f>
        <v/>
      </c>
      <c r="FK155" s="44" t="str">
        <f>IF(Table1[Leaving Date]="","",IF(Table1[Date of Initial Assessment]="","",IF(AND(Table1[Leaving Date]&gt;42094,Table1[Leaving Date]&lt;42461),IF(Table1[Date of Last Assessment]="",Table1[Motivation and Taking Responsibility],Table1[Motivation and Taking Responsibility2]),"")))</f>
        <v/>
      </c>
      <c r="FL155" s="44" t="str">
        <f>IF(Table1[Leaving Date]="","",IF(Table1[Date of Initial Assessment]="","",IF(AND(Table1[Leaving Date]&gt;42094,Table1[Leaving Date]&lt;42461),IF(Table1[Date of Last Assessment]="",Table1[Self-Care and Living Skills],Table1[Self-Care and Living Skills2]),"")))</f>
        <v/>
      </c>
      <c r="FM155" s="44" t="str">
        <f>IF(Table1[Leaving Date]="","",IF(Table1[Date of Initial Assessment]="","",IF(AND(Table1[Leaving Date]&gt;42094,Table1[Leaving Date]&lt;42461),IF(Table1[Date of Last Assessment]="",Table1[Managing Money and Personal Administration],Table1[Managing Money and Personal Administration2]),"")))</f>
        <v/>
      </c>
      <c r="FN155" s="44" t="str">
        <f>IF(Table1[Leaving Date]="","",IF(Table1[Date of Initial Assessment]="","",IF(AND(Table1[Leaving Date]&gt;42094,Table1[Leaving Date]&lt;42461),IF(Table1[Date of Last Assessment]="",Table1[Social Networks and Relationships],Table1[Social Networks and Relationships2]),"")))</f>
        <v/>
      </c>
      <c r="FO155" s="44" t="str">
        <f>IF(Table1[Leaving Date]="","",IF(Table1[Date of Initial Assessment]="","",IF(AND(Table1[Leaving Date]&gt;42094,Table1[Leaving Date]&lt;42461),IF(Table1[Date of Last Assessment]="",Table1[Drug and Alcohol Misuse],Table1[Drug and Alcohol Misuse2]),"")))</f>
        <v/>
      </c>
      <c r="FP155" s="44" t="str">
        <f>IF(Table1[Leaving Date]="","",IF(Table1[Date of Initial Assessment]="","",IF(AND(Table1[Leaving Date]&gt;42094,Table1[Leaving Date]&lt;42461),IF(Table1[Date of Last Assessment]="",Table1[Physical Health],Table1[Physical Health2]),"")))</f>
        <v/>
      </c>
      <c r="FQ155" s="44" t="str">
        <f>IF(Table1[Leaving Date]="","",IF(Table1[Date of Initial Assessment]="","",IF(AND(Table1[Leaving Date]&gt;42094,Table1[Leaving Date]&lt;42461),IF(Table1[Date of Last Assessment]="",Table1[Emotional and Mental Health],Table1[Emotional and Mental Health2]),"")))</f>
        <v/>
      </c>
      <c r="FR155" s="44" t="str">
        <f>IF(Table1[Leaving Date]="","",IF(Table1[Date of Initial Assessment]="","",IF(AND(Table1[Leaving Date]&gt;42094,Table1[Leaving Date]&lt;42461),IF(Table1[Date of Last Assessment]="",Table1[Meaningful Use of Time],Table1[Meaningful Use of Time2]),"")))</f>
        <v/>
      </c>
      <c r="FS155" s="44" t="str">
        <f>IF(Table1[Leaving Date]="","",IF(Table1[Date of Initial Assessment]="","",IF(AND(Table1[Leaving Date]&gt;42094,Table1[Leaving Date]&lt;42461),IF(Table1[Date of Last Assessment]="",Table1[Managing Tenancy and Accommodation],Table1[Managing Tenancy and Accommodation2]),"")))</f>
        <v/>
      </c>
      <c r="FT155" s="44" t="str">
        <f>IF(Table1[Leaving Date]="","",IF(Table1[Date of Initial Assessment]="","",IF(AND(Table1[Leaving Date]&gt;42094,Table1[Leaving Date]&lt;42461),IF(Table1[Date of Last Assessment]="",Table1[Offending],Table1[Offending2]),"")))</f>
        <v/>
      </c>
      <c r="FU155" s="44" t="str">
        <f>IF(Table1[Date of Initial Assessment]="","",IF(AND(Table1[Start Date]&gt;42460,Table1[Start Date]&lt;42826),Table1[Motivation and Taking Responsibility],""))</f>
        <v/>
      </c>
      <c r="FV155" s="44" t="str">
        <f>IF(Table1[Date of Initial Assessment]="","",IF(AND(Table1[Start Date]&gt;42460,Table1[Start Date]&lt;42826),Table1[Self-Care and Living Skills],""))</f>
        <v/>
      </c>
      <c r="FW155" s="44" t="str">
        <f>IF(Table1[Date of Initial Assessment]="","",IF(AND(Table1[Start Date]&gt;42460,Table1[Start Date]&lt;42826),Table1[Managing Money and Personal Administration],""))</f>
        <v/>
      </c>
      <c r="FX155" s="44" t="str">
        <f>IF(Table1[Date of Initial Assessment]="","",IF(AND(Table1[Start Date]&gt;42460,Table1[Start Date]&lt;42826),Table1[Social Networks and Relationships],""))</f>
        <v/>
      </c>
      <c r="FY155" s="44" t="str">
        <f>IF(Table1[Date of Initial Assessment]="","",IF(AND(Table1[Start Date]&gt;42460,Table1[Start Date]&lt;42826),Table1[Drug and Alcohol Misuse],""))</f>
        <v/>
      </c>
      <c r="FZ155" s="44" t="str">
        <f>IF(Table1[Date of Initial Assessment]="","",IF(AND(Table1[Start Date]&gt;42460,Table1[Start Date]&lt;42826),Table1[Physical Health],""))</f>
        <v/>
      </c>
      <c r="GA155" s="44" t="str">
        <f>IF(Table1[Date of Initial Assessment]="","",IF(AND(Table1[Start Date]&gt;42460,Table1[Start Date]&lt;42826),Table1[Emotional and Mental Health],""))</f>
        <v/>
      </c>
      <c r="GB155" s="44" t="str">
        <f>IF(Table1[Date of Initial Assessment]="","",IF(AND(Table1[Start Date]&gt;42460,Table1[Start Date]&lt;42826),Table1[Meaningful Use of Time],""))</f>
        <v/>
      </c>
      <c r="GC155" s="44" t="str">
        <f>IF(Table1[Date of Initial Assessment]="","",IF(AND(Table1[Start Date]&gt;42460,Table1[Start Date]&lt;42826),Table1[Managing Tenancy and Accommodation],""))</f>
        <v/>
      </c>
      <c r="GD155" s="44" t="str">
        <f>IF(Table1[Date of Initial Assessment]="","",IF(AND(Table1[Start Date]&gt;42460,Table1[Start Date]&lt;42826),Table1[Offending],""))</f>
        <v/>
      </c>
      <c r="GE155" s="44" t="str">
        <f>IF(Table1[Leaving Date]="","",IF(AND(Table1[Leaving Date]&gt;42460,Table1[Leaving Date]&lt;42826),IF(Table1[Date of Last Assessment]="",Table1[Motivation and Taking Responsibility],Table1[Motivation and Taking Responsibility2]),""))</f>
        <v/>
      </c>
      <c r="GF155" s="44" t="str">
        <f>IF(Table1[Leaving Date]="","",IF(AND(Table1[Leaving Date]&gt;42460,Table1[Leaving Date]&lt;42826),IF(Table1[Date of Last Assessment]="",Table1[Self-Care and Living Skills],Table1[Self-Care and Living Skills2]),""))</f>
        <v/>
      </c>
      <c r="GG155" s="44" t="str">
        <f>IF(Table1[Leaving Date]="","",IF(AND(Table1[Leaving Date]&gt;42460,Table1[Leaving Date]&lt;42826),IF(Table1[Date of Last Assessment]="",Table1[Managing Money and Personal Administration],Table1[Managing Money and Personal Administration2]),""))</f>
        <v/>
      </c>
      <c r="GH155" s="44" t="str">
        <f>IF(Table1[Leaving Date]="","",IF(AND(Table1[Leaving Date]&gt;42460,Table1[Leaving Date]&lt;42826),IF(Table1[Date of Last Assessment]="",Table1[Social Networks and Relationships],Table1[Social Networks and Relationships2]),""))</f>
        <v/>
      </c>
      <c r="GI155" s="44" t="str">
        <f>IF(Table1[Leaving Date]="","",IF(AND(Table1[Leaving Date]&gt;42460,Table1[Leaving Date]&lt;42826),IF(Table1[Date of Last Assessment]="",Table1[Drug and Alcohol Misuse],Table1[Drug and Alcohol Misuse2]),""))</f>
        <v/>
      </c>
      <c r="GJ155" s="44" t="str">
        <f>IF(Table1[Leaving Date]="","",IF(AND(Table1[Leaving Date]&gt;42460,Table1[Leaving Date]&lt;42826),IF(Table1[Date of Last Assessment]="",Table1[Physical Health],Table1[Physical Health2]),""))</f>
        <v/>
      </c>
      <c r="GK155" s="44" t="str">
        <f>IF(Table1[Leaving Date]="","",IF(AND(Table1[Leaving Date]&gt;42460,Table1[Leaving Date]&lt;42826),IF(Table1[Date of Last Assessment]="",Table1[Emotional and Mental Health],Table1[Emotional and Mental Health2]),""))</f>
        <v/>
      </c>
      <c r="GL155" s="44" t="str">
        <f>IF(Table1[Leaving Date]="","",IF(AND(Table1[Leaving Date]&gt;42460,Table1[Leaving Date]&lt;42826),IF(Table1[Date of Last Assessment]="",Table1[Meaningful Use of Time],Table1[Meaningful Use of Time2]),""))</f>
        <v/>
      </c>
      <c r="GM155" s="44" t="str">
        <f>IF(Table1[Leaving Date]="","",IF(AND(Table1[Leaving Date]&gt;42460,Table1[Leaving Date]&lt;42826),IF(Table1[Date of Last Assessment]="",Table1[Managing Tenancy and Accommodation],Table1[Managing Tenancy and Accommodation2]),""))</f>
        <v/>
      </c>
      <c r="GN155" s="44" t="str">
        <f>IF(Table1[Leaving Date]="","",IF(AND(Table1[Leaving Date]&gt;42460,Table1[Leaving Date]&lt;42826),IF(Table1[Date of Last Assessment]="",Table1[Offending],Table1[Offending2]),""))</f>
        <v/>
      </c>
    </row>
    <row r="156" spans="2:196" ht="20.100000000000001" customHeight="1" x14ac:dyDescent="0.2">
      <c r="B156" s="86">
        <f>+'Service Data'!$C$5:$C$5</f>
        <v>0</v>
      </c>
      <c r="C156" s="86"/>
      <c r="D156" s="86"/>
      <c r="E156" s="86"/>
      <c r="F156" s="86"/>
      <c r="G156" s="86"/>
      <c r="H156" s="6"/>
      <c r="I156" s="99" t="str">
        <f ca="1">IF(Table1[[#This Row],[Date of Birth]]="","",SUM(TODAY()-Table1[[#This Row],[Date of Birth]])/365)</f>
        <v/>
      </c>
      <c r="L156" s="86"/>
      <c r="M156" s="77"/>
      <c r="N156" s="86"/>
      <c r="O156" s="86"/>
      <c r="P156" s="91"/>
      <c r="Q156" s="86"/>
      <c r="R156" s="77"/>
      <c r="S156" s="77"/>
      <c r="T156" s="68"/>
      <c r="U156" s="68"/>
      <c r="V156" s="67"/>
      <c r="W156" s="67"/>
      <c r="X156" s="67"/>
      <c r="Y156" s="67"/>
      <c r="Z156" s="67"/>
      <c r="AA156" s="67"/>
      <c r="AB156" s="67"/>
      <c r="AC156" s="67"/>
      <c r="AD156" s="67"/>
      <c r="AE156" s="67"/>
      <c r="AF156" s="67"/>
      <c r="AG156" s="67"/>
      <c r="AH156" s="67"/>
      <c r="AI156" s="67"/>
      <c r="AJ156" s="67"/>
      <c r="AK156" s="67"/>
      <c r="AL156" s="67"/>
      <c r="AM156" s="67"/>
      <c r="AN156" s="77"/>
      <c r="AO156" s="76"/>
      <c r="AP156" s="77"/>
      <c r="AQ156" s="76"/>
      <c r="AR156" s="76"/>
      <c r="AS156" s="76"/>
      <c r="AT156" s="76"/>
      <c r="AU156" s="76"/>
      <c r="AV156" s="77"/>
      <c r="AW156" s="76"/>
      <c r="AX156" s="77"/>
      <c r="AY156" s="76"/>
      <c r="AZ156" s="76"/>
      <c r="BA156" s="76"/>
      <c r="BB156" s="76"/>
      <c r="BC156" s="76"/>
      <c r="BD156" s="77"/>
      <c r="BE156" s="76"/>
      <c r="BF156" s="77"/>
      <c r="BG156" s="76"/>
      <c r="BH156" s="76"/>
      <c r="BI156" s="76"/>
      <c r="BJ156" s="76"/>
      <c r="BK156" s="76"/>
      <c r="BL156" s="77"/>
      <c r="BM156" s="76"/>
      <c r="BN156" s="77"/>
      <c r="BO156" s="76"/>
      <c r="BP156" s="76"/>
      <c r="BQ156" s="76"/>
      <c r="BR156" s="76"/>
      <c r="BS156" s="76"/>
      <c r="BT156" s="77"/>
      <c r="BU156" s="76"/>
      <c r="BV156" s="77"/>
      <c r="BW156" s="76"/>
      <c r="BX156" s="76"/>
      <c r="BY156" s="76"/>
      <c r="BZ156" s="76"/>
      <c r="CA156" s="76"/>
      <c r="CB156" s="77"/>
      <c r="CC156" s="76"/>
      <c r="CD156" s="77"/>
      <c r="CE156" s="76"/>
      <c r="CF156" s="76"/>
      <c r="CG156" s="76"/>
      <c r="CH156" s="76"/>
      <c r="CI156" s="76"/>
      <c r="CJ156" s="77"/>
      <c r="CK156" s="76"/>
      <c r="CL156" s="77"/>
      <c r="CM156" s="76"/>
      <c r="CN156" s="76"/>
      <c r="CO156" s="76"/>
      <c r="CP156" s="76"/>
      <c r="CQ156" s="76"/>
      <c r="CR156" s="78" t="str">
        <f t="shared" si="47"/>
        <v/>
      </c>
      <c r="CS156" s="79" t="str">
        <f t="shared" si="48"/>
        <v/>
      </c>
      <c r="CT156" s="79" t="str">
        <f t="shared" si="49"/>
        <v/>
      </c>
      <c r="CU156" s="79" t="str">
        <f t="shared" si="50"/>
        <v/>
      </c>
      <c r="CV156" s="79" t="str">
        <f t="shared" si="51"/>
        <v/>
      </c>
      <c r="CW156" s="79" t="str">
        <f t="shared" si="52"/>
        <v/>
      </c>
      <c r="CX156" s="79" t="str">
        <f t="shared" si="53"/>
        <v/>
      </c>
      <c r="CY156" s="79" t="str">
        <f t="shared" si="54"/>
        <v/>
      </c>
      <c r="CZ156" s="79" t="str">
        <f t="shared" si="55"/>
        <v/>
      </c>
      <c r="DA156" s="79" t="str">
        <f t="shared" si="56"/>
        <v/>
      </c>
      <c r="DB156" s="79" t="str">
        <f t="shared" si="57"/>
        <v/>
      </c>
      <c r="DC156" s="79" t="str">
        <f t="shared" si="58"/>
        <v/>
      </c>
      <c r="DD156" s="79" t="str">
        <f t="shared" si="59"/>
        <v/>
      </c>
      <c r="DE156" s="79" t="str">
        <f t="shared" si="60"/>
        <v/>
      </c>
      <c r="DF156" s="79" t="str">
        <f t="shared" si="61"/>
        <v/>
      </c>
      <c r="DG156" s="79" t="str">
        <f t="shared" si="62"/>
        <v/>
      </c>
      <c r="DH156" s="76"/>
      <c r="DI156" s="78"/>
      <c r="DJ156" s="76"/>
      <c r="DK156" s="77"/>
      <c r="DL156" s="77"/>
      <c r="DM156" s="77"/>
      <c r="DN156" s="80"/>
      <c r="DO156" s="80"/>
      <c r="DP156" s="92" t="str">
        <f>IF(Table1[Start Date]="","",IF(Table1[Start Date]&gt;42185,"",IF(AND(Table1[Leaving Date]&gt;1,Table1[Leaving Date]&lt;42095),"",1)))</f>
        <v/>
      </c>
      <c r="DQ156" s="92" t="str">
        <f>IF(Table1[Start Date]="","",IF(Table1[Start Date]&gt;42277,"",IF(AND(Table1[Leaving Date]&gt;1,Table1[Leaving Date]&lt;42186),"",1)))</f>
        <v/>
      </c>
      <c r="DR156" s="92" t="str">
        <f>IF(Table1[Start Date]="","",IF(Table1[Start Date]&gt;42369,"",IF(AND(Table1[Leaving Date]&gt;1,Table1[Leaving Date]&lt;42278),"",1)))</f>
        <v/>
      </c>
      <c r="DS156" s="92" t="str">
        <f>IF(Table1[Start Date]="","",IF(Table1[Start Date]&gt;42460,"",IF(AND(Table1[Leaving Date]&gt;1,Table1[Leaving Date]&lt;42370),"",1)))</f>
        <v/>
      </c>
      <c r="DT156" s="92" t="str">
        <f>IF(Table1[Start Date]="","",IF(Table1[Start Date]&gt;42551,"",IF(AND(Table1[Leaving Date]&gt;1,Table1[Leaving Date]&lt;42461),"",1)))</f>
        <v/>
      </c>
      <c r="DU156" s="92" t="str">
        <f>IF(Table1[Start Date]="","",IF(Table1[Start Date]&gt;42643,"",IF(AND(Table1[Leaving Date]&gt;1,Table1[Leaving Date]&lt;42552),"",1)))</f>
        <v/>
      </c>
      <c r="DV156" s="92" t="str">
        <f>IF(Table1[Start Date]="","",IF(Table1[Start Date]&gt;42735,"",IF(AND(Table1[Leaving Date]&gt;1,Table1[Leaving Date]&lt;42644),"",1)))</f>
        <v/>
      </c>
      <c r="DW156" s="92" t="str">
        <f>IF(Table1[Start Date]="","",IF(Table1[Start Date]&gt;42825,"",IF(AND(Table1[Leaving Date]&gt;1,Table1[Leaving Date]&lt;42736),"",1)))</f>
        <v/>
      </c>
      <c r="DX156"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156" s="44" t="e">
        <f>VLOOKUP(Table1[Referral Source],Lists!$G$2:$H$20,2,FALSE)</f>
        <v>#N/A</v>
      </c>
      <c r="DZ156" s="93" t="e">
        <f>SUM(Table1[Data Referral Quarter]+Table1[Data Referral Source])</f>
        <v>#N/A</v>
      </c>
      <c r="EA156" s="44" t="b">
        <f>IF(Table1[Referral Decision]="Accepted",100,IF(Table1[Referral Decision]="Rejected by Provider",200,IF(Table1[Referral Decision]="Rejected by Applicant",300)))</f>
        <v>0</v>
      </c>
      <c r="EB156" s="44">
        <f>SUM(Table1[Data Referral Quarter]+Table1[Data Referral Decision])</f>
        <v>0</v>
      </c>
      <c r="EC156" s="44" t="b">
        <f>IF(Table1[Start Date]&gt;42735,8000,IF(Table1[Start Date]&gt;42643,7000,IF(Table1[Start Date]&gt;42551,6000,IF(Table1[Start Date]&gt;42460,5000,IF(Table1[Start Date]&gt;42369,4000,IF(Table1[Start Date]&gt;42277,3000,IF(Table1[Start Date]&gt;42185,2000,IF(Table1[Start Date]&gt;42094,1000))))))))</f>
        <v>0</v>
      </c>
      <c r="ED156" s="44" t="str">
        <f>IF(Table1[Start Date]="","",IF(Table1[Current Local Authority]="Swindon",1,"2"))</f>
        <v/>
      </c>
      <c r="EE156" s="44" t="e">
        <f>SUM(Table1[Data Start Date]+Table1[Data Local Authority])</f>
        <v>#VALUE!</v>
      </c>
      <c r="EF156" s="44">
        <f>IF(Table1[Registered with GP]="Yes",1,0)</f>
        <v>0</v>
      </c>
      <c r="EG156" s="44">
        <f>SUM(Table1[Data Start Date]+Table1[Data GP Start])</f>
        <v>0</v>
      </c>
      <c r="EH156" s="44" t="str">
        <f>IF(Table1[EET]="NEET",1,IF(Table1[EET]="Education",2,IF(Table1[EET]="Employment",2,IF(Table1[EET]="Training",2,IF(Table1[EET]="Retired",3,"")))))</f>
        <v/>
      </c>
      <c r="EI156" s="44" t="e">
        <f>Table1[Data Start Date]+Table1[Data EET Start]</f>
        <v>#VALUE!</v>
      </c>
      <c r="EJ156" s="44" t="b">
        <f>IF(Table1[Leaving Date]&gt;42735,8000,IF(Table1[Leaving Date]&gt;42643,7000,IF(Table1[Leaving Date]&gt;42551,6000,IF(Table1[Leaving Date]&gt;42460,5000,IF(Table1[Leaving Date]&gt;42369,4000,IF(Table1[Leaving Date]&gt;42277,3000,IF(Table1[Leaving Date]&gt;42185,2000,IF(Table1[Leaving Date]&gt;42094,1000))))))))</f>
        <v>0</v>
      </c>
      <c r="EK156" s="44" t="e">
        <f>VLOOKUP(Table1[Reason for Leaving],Lists!$T$2:$U$15,2,FALSE)</f>
        <v>#N/A</v>
      </c>
      <c r="EL156" s="44" t="e">
        <f>SUM(Table1[Data Leavers Date]+Table1[Data Move On])</f>
        <v>#N/A</v>
      </c>
      <c r="EM156" s="44" t="b">
        <f>IF(Table1[Registered with GP2]="Yes",1,IF(Table1[Registered with GP2]="No",0,IF(Table1[Registered with GP]="Yes",1,IF(Table1[Registered with GP]="No",0))))</f>
        <v>0</v>
      </c>
      <c r="EN156" s="44">
        <f>SUM(Table1[Data Leavers Date]+Table1[Data GP End])</f>
        <v>0</v>
      </c>
      <c r="EO156" s="44" t="str">
        <f>IF(Table1[EET2]="NEET",1,IF(Table1[EET2]="Employment",2,IF(Table1[EET2]="Education",2,IF(Table1[EET2]="Training",2,IF(Table1[EET2]="Retired",3,IF(Table1[EET]="NEET",1,IF(Table1[EET]="Employment",2,IF(Table1[EET]="Education",2,IF(Table1[EET]="Training",2,IF(Table1[EET]="Retired",3,""))))))))))</f>
        <v/>
      </c>
      <c r="EP156" s="44" t="e">
        <f>+Table1[[#This Row],[Data Leavers Date]]+Table1[[#This Row],[Data EET End]]</f>
        <v>#VALUE!</v>
      </c>
      <c r="EQ156" s="44">
        <f>IF(Table1[Exit Form Received]="Yes",1,0)</f>
        <v>0</v>
      </c>
      <c r="ER156" s="44">
        <f>+Table1[[#This Row],[Data Leavers Date]]+Table1[[#This Row],[Data Exit Forms]]</f>
        <v>0</v>
      </c>
      <c r="ES156" s="44" t="str">
        <f>IF(Table1[Data Leavers Date]=1000,SUM(Table1[Leaving Date]-Table1[Start Date]),"")</f>
        <v/>
      </c>
      <c r="ET156" s="44" t="str">
        <f>IF(Table1[Data Leavers Date]=2000,SUM(Table1[Leaving Date]-Table1[Start Date]),"")</f>
        <v/>
      </c>
      <c r="EU156" s="44" t="str">
        <f>IF(Table1[Data Leavers Date]=3000,SUM(Table1[Leaving Date]-Table1[Start Date]),"")</f>
        <v/>
      </c>
      <c r="EV156" s="44" t="str">
        <f>IF(Table1[Data Leavers Date]=4000,SUM(Table1[Leaving Date]-Table1[Start Date]),"")</f>
        <v/>
      </c>
      <c r="EW156" s="44" t="str">
        <f>IF(Table1[Data Leavers Date]=5000,SUM(Table1[Leaving Date]-Table1[Start Date]),"")</f>
        <v/>
      </c>
      <c r="EX156" s="44" t="str">
        <f>IF(Table1[Data Leavers Date]=6000,SUM(Table1[Leaving Date]-Table1[Start Date]),"")</f>
        <v/>
      </c>
      <c r="EY156" s="44" t="str">
        <f>IF(Table1[Data Leavers Date]=7000,SUM(Table1[Leaving Date]-Table1[Start Date]),"")</f>
        <v/>
      </c>
      <c r="EZ156" s="44" t="str">
        <f>IF(Table1[Data Leavers Date]=8000,SUM(Table1[Leaving Date]-Table1[Start Date]),"")</f>
        <v/>
      </c>
      <c r="FA156" s="44" t="str">
        <f>IF(Table1[Date of Initial Assessment]="","",IF(AND(Table1[Start Date]&gt;42094,Table1[Start Date]&lt;42461),Table1[Motivation and Taking Responsibility],""))</f>
        <v/>
      </c>
      <c r="FB156" s="44" t="str">
        <f>IF(Table1[Date of Initial Assessment]="","",IF(AND(Table1[Start Date]&gt;42094,Table1[Start Date]&lt;42461),Table1[Self-Care and Living Skills],""))</f>
        <v/>
      </c>
      <c r="FC156" s="44" t="str">
        <f>IF(Table1[Date of Initial Assessment]="","",IF(AND(Table1[Start Date]&gt;42094,Table1[Start Date]&lt;42461),Table1[Managing Money and Personal Administration],""))</f>
        <v/>
      </c>
      <c r="FD156" s="44" t="str">
        <f>IF(Table1[Date of Initial Assessment]="","",IF(AND(Table1[Start Date]&gt;42094,Table1[Start Date]&lt;42461),Table1[Social Networks and Relationships],""))</f>
        <v/>
      </c>
      <c r="FE156" s="44" t="str">
        <f>IF(Table1[Date of Initial Assessment]="","",IF(AND(Table1[Start Date]&gt;42094,Table1[Start Date]&lt;42461),Table1[Drug and Alcohol Misuse],""))</f>
        <v/>
      </c>
      <c r="FF156" s="44" t="str">
        <f>IF(Table1[Date of Initial Assessment]="","",IF(AND(Table1[Start Date]&gt;42094,Table1[Start Date]&lt;42461),Table1[Physical Health],""))</f>
        <v/>
      </c>
      <c r="FG156" s="44" t="str">
        <f>IF(Table1[Date of Initial Assessment]="","",IF(AND(Table1[Start Date]&gt;42094,Table1[Start Date]&lt;42461),Table1[Emotional and Mental Health],""))</f>
        <v/>
      </c>
      <c r="FH156" s="44" t="str">
        <f>IF(Table1[Date of Initial Assessment]="","",IF(AND(Table1[Start Date]&gt;42094,Table1[Start Date]&lt;42461),Table1[Meaningful Use of Time],""))</f>
        <v/>
      </c>
      <c r="FI156" s="44" t="str">
        <f>IF(Table1[Date of Initial Assessment]="","",IF(AND(Table1[Start Date]&gt;42094,Table1[Start Date]&lt;42461),Table1[Managing Tenancy and Accommodation],""))</f>
        <v/>
      </c>
      <c r="FJ156" s="44" t="str">
        <f>IF(Table1[Date of Initial Assessment]="","",IF(AND(Table1[Start Date]&gt;42094,Table1[Start Date]&lt;42461),Table1[Offending],""))</f>
        <v/>
      </c>
      <c r="FK156" s="44" t="str">
        <f>IF(Table1[Leaving Date]="","",IF(Table1[Date of Initial Assessment]="","",IF(AND(Table1[Leaving Date]&gt;42094,Table1[Leaving Date]&lt;42461),IF(Table1[Date of Last Assessment]="",Table1[Motivation and Taking Responsibility],Table1[Motivation and Taking Responsibility2]),"")))</f>
        <v/>
      </c>
      <c r="FL156" s="44" t="str">
        <f>IF(Table1[Leaving Date]="","",IF(Table1[Date of Initial Assessment]="","",IF(AND(Table1[Leaving Date]&gt;42094,Table1[Leaving Date]&lt;42461),IF(Table1[Date of Last Assessment]="",Table1[Self-Care and Living Skills],Table1[Self-Care and Living Skills2]),"")))</f>
        <v/>
      </c>
      <c r="FM156" s="44" t="str">
        <f>IF(Table1[Leaving Date]="","",IF(Table1[Date of Initial Assessment]="","",IF(AND(Table1[Leaving Date]&gt;42094,Table1[Leaving Date]&lt;42461),IF(Table1[Date of Last Assessment]="",Table1[Managing Money and Personal Administration],Table1[Managing Money and Personal Administration2]),"")))</f>
        <v/>
      </c>
      <c r="FN156" s="44" t="str">
        <f>IF(Table1[Leaving Date]="","",IF(Table1[Date of Initial Assessment]="","",IF(AND(Table1[Leaving Date]&gt;42094,Table1[Leaving Date]&lt;42461),IF(Table1[Date of Last Assessment]="",Table1[Social Networks and Relationships],Table1[Social Networks and Relationships2]),"")))</f>
        <v/>
      </c>
      <c r="FO156" s="44" t="str">
        <f>IF(Table1[Leaving Date]="","",IF(Table1[Date of Initial Assessment]="","",IF(AND(Table1[Leaving Date]&gt;42094,Table1[Leaving Date]&lt;42461),IF(Table1[Date of Last Assessment]="",Table1[Drug and Alcohol Misuse],Table1[Drug and Alcohol Misuse2]),"")))</f>
        <v/>
      </c>
      <c r="FP156" s="44" t="str">
        <f>IF(Table1[Leaving Date]="","",IF(Table1[Date of Initial Assessment]="","",IF(AND(Table1[Leaving Date]&gt;42094,Table1[Leaving Date]&lt;42461),IF(Table1[Date of Last Assessment]="",Table1[Physical Health],Table1[Physical Health2]),"")))</f>
        <v/>
      </c>
      <c r="FQ156" s="44" t="str">
        <f>IF(Table1[Leaving Date]="","",IF(Table1[Date of Initial Assessment]="","",IF(AND(Table1[Leaving Date]&gt;42094,Table1[Leaving Date]&lt;42461),IF(Table1[Date of Last Assessment]="",Table1[Emotional and Mental Health],Table1[Emotional and Mental Health2]),"")))</f>
        <v/>
      </c>
      <c r="FR156" s="44" t="str">
        <f>IF(Table1[Leaving Date]="","",IF(Table1[Date of Initial Assessment]="","",IF(AND(Table1[Leaving Date]&gt;42094,Table1[Leaving Date]&lt;42461),IF(Table1[Date of Last Assessment]="",Table1[Meaningful Use of Time],Table1[Meaningful Use of Time2]),"")))</f>
        <v/>
      </c>
      <c r="FS156" s="44" t="str">
        <f>IF(Table1[Leaving Date]="","",IF(Table1[Date of Initial Assessment]="","",IF(AND(Table1[Leaving Date]&gt;42094,Table1[Leaving Date]&lt;42461),IF(Table1[Date of Last Assessment]="",Table1[Managing Tenancy and Accommodation],Table1[Managing Tenancy and Accommodation2]),"")))</f>
        <v/>
      </c>
      <c r="FT156" s="44" t="str">
        <f>IF(Table1[Leaving Date]="","",IF(Table1[Date of Initial Assessment]="","",IF(AND(Table1[Leaving Date]&gt;42094,Table1[Leaving Date]&lt;42461),IF(Table1[Date of Last Assessment]="",Table1[Offending],Table1[Offending2]),"")))</f>
        <v/>
      </c>
      <c r="FU156" s="44" t="str">
        <f>IF(Table1[Date of Initial Assessment]="","",IF(AND(Table1[Start Date]&gt;42460,Table1[Start Date]&lt;42826),Table1[Motivation and Taking Responsibility],""))</f>
        <v/>
      </c>
      <c r="FV156" s="44" t="str">
        <f>IF(Table1[Date of Initial Assessment]="","",IF(AND(Table1[Start Date]&gt;42460,Table1[Start Date]&lt;42826),Table1[Self-Care and Living Skills],""))</f>
        <v/>
      </c>
      <c r="FW156" s="44" t="str">
        <f>IF(Table1[Date of Initial Assessment]="","",IF(AND(Table1[Start Date]&gt;42460,Table1[Start Date]&lt;42826),Table1[Managing Money and Personal Administration],""))</f>
        <v/>
      </c>
      <c r="FX156" s="44" t="str">
        <f>IF(Table1[Date of Initial Assessment]="","",IF(AND(Table1[Start Date]&gt;42460,Table1[Start Date]&lt;42826),Table1[Social Networks and Relationships],""))</f>
        <v/>
      </c>
      <c r="FY156" s="44" t="str">
        <f>IF(Table1[Date of Initial Assessment]="","",IF(AND(Table1[Start Date]&gt;42460,Table1[Start Date]&lt;42826),Table1[Drug and Alcohol Misuse],""))</f>
        <v/>
      </c>
      <c r="FZ156" s="44" t="str">
        <f>IF(Table1[Date of Initial Assessment]="","",IF(AND(Table1[Start Date]&gt;42460,Table1[Start Date]&lt;42826),Table1[Physical Health],""))</f>
        <v/>
      </c>
      <c r="GA156" s="44" t="str">
        <f>IF(Table1[Date of Initial Assessment]="","",IF(AND(Table1[Start Date]&gt;42460,Table1[Start Date]&lt;42826),Table1[Emotional and Mental Health],""))</f>
        <v/>
      </c>
      <c r="GB156" s="44" t="str">
        <f>IF(Table1[Date of Initial Assessment]="","",IF(AND(Table1[Start Date]&gt;42460,Table1[Start Date]&lt;42826),Table1[Meaningful Use of Time],""))</f>
        <v/>
      </c>
      <c r="GC156" s="44" t="str">
        <f>IF(Table1[Date of Initial Assessment]="","",IF(AND(Table1[Start Date]&gt;42460,Table1[Start Date]&lt;42826),Table1[Managing Tenancy and Accommodation],""))</f>
        <v/>
      </c>
      <c r="GD156" s="44" t="str">
        <f>IF(Table1[Date of Initial Assessment]="","",IF(AND(Table1[Start Date]&gt;42460,Table1[Start Date]&lt;42826),Table1[Offending],""))</f>
        <v/>
      </c>
      <c r="GE156" s="44" t="str">
        <f>IF(Table1[Leaving Date]="","",IF(AND(Table1[Leaving Date]&gt;42460,Table1[Leaving Date]&lt;42826),IF(Table1[Date of Last Assessment]="",Table1[Motivation and Taking Responsibility],Table1[Motivation and Taking Responsibility2]),""))</f>
        <v/>
      </c>
      <c r="GF156" s="44" t="str">
        <f>IF(Table1[Leaving Date]="","",IF(AND(Table1[Leaving Date]&gt;42460,Table1[Leaving Date]&lt;42826),IF(Table1[Date of Last Assessment]="",Table1[Self-Care and Living Skills],Table1[Self-Care and Living Skills2]),""))</f>
        <v/>
      </c>
      <c r="GG156" s="44" t="str">
        <f>IF(Table1[Leaving Date]="","",IF(AND(Table1[Leaving Date]&gt;42460,Table1[Leaving Date]&lt;42826),IF(Table1[Date of Last Assessment]="",Table1[Managing Money and Personal Administration],Table1[Managing Money and Personal Administration2]),""))</f>
        <v/>
      </c>
      <c r="GH156" s="44" t="str">
        <f>IF(Table1[Leaving Date]="","",IF(AND(Table1[Leaving Date]&gt;42460,Table1[Leaving Date]&lt;42826),IF(Table1[Date of Last Assessment]="",Table1[Social Networks and Relationships],Table1[Social Networks and Relationships2]),""))</f>
        <v/>
      </c>
      <c r="GI156" s="44" t="str">
        <f>IF(Table1[Leaving Date]="","",IF(AND(Table1[Leaving Date]&gt;42460,Table1[Leaving Date]&lt;42826),IF(Table1[Date of Last Assessment]="",Table1[Drug and Alcohol Misuse],Table1[Drug and Alcohol Misuse2]),""))</f>
        <v/>
      </c>
      <c r="GJ156" s="44" t="str">
        <f>IF(Table1[Leaving Date]="","",IF(AND(Table1[Leaving Date]&gt;42460,Table1[Leaving Date]&lt;42826),IF(Table1[Date of Last Assessment]="",Table1[Physical Health],Table1[Physical Health2]),""))</f>
        <v/>
      </c>
      <c r="GK156" s="44" t="str">
        <f>IF(Table1[Leaving Date]="","",IF(AND(Table1[Leaving Date]&gt;42460,Table1[Leaving Date]&lt;42826),IF(Table1[Date of Last Assessment]="",Table1[Emotional and Mental Health],Table1[Emotional and Mental Health2]),""))</f>
        <v/>
      </c>
      <c r="GL156" s="44" t="str">
        <f>IF(Table1[Leaving Date]="","",IF(AND(Table1[Leaving Date]&gt;42460,Table1[Leaving Date]&lt;42826),IF(Table1[Date of Last Assessment]="",Table1[Meaningful Use of Time],Table1[Meaningful Use of Time2]),""))</f>
        <v/>
      </c>
      <c r="GM156" s="44" t="str">
        <f>IF(Table1[Leaving Date]="","",IF(AND(Table1[Leaving Date]&gt;42460,Table1[Leaving Date]&lt;42826),IF(Table1[Date of Last Assessment]="",Table1[Managing Tenancy and Accommodation],Table1[Managing Tenancy and Accommodation2]),""))</f>
        <v/>
      </c>
      <c r="GN156" s="44" t="str">
        <f>IF(Table1[Leaving Date]="","",IF(AND(Table1[Leaving Date]&gt;42460,Table1[Leaving Date]&lt;42826),IF(Table1[Date of Last Assessment]="",Table1[Offending],Table1[Offending2]),""))</f>
        <v/>
      </c>
    </row>
    <row r="157" spans="2:196" ht="20.100000000000001" customHeight="1" x14ac:dyDescent="0.2">
      <c r="B157" s="86">
        <f>+'Service Data'!$C$5:$C$5</f>
        <v>0</v>
      </c>
      <c r="C157" s="86"/>
      <c r="D157" s="86"/>
      <c r="E157" s="86"/>
      <c r="F157" s="86"/>
      <c r="G157" s="86"/>
      <c r="H157" s="6"/>
      <c r="I157" s="99" t="str">
        <f ca="1">IF(Table1[[#This Row],[Date of Birth]]="","",SUM(TODAY()-Table1[[#This Row],[Date of Birth]])/365)</f>
        <v/>
      </c>
      <c r="L157" s="86"/>
      <c r="M157" s="77"/>
      <c r="N157" s="86"/>
      <c r="O157" s="86"/>
      <c r="P157" s="91"/>
      <c r="Q157" s="86"/>
      <c r="R157" s="77"/>
      <c r="S157" s="77"/>
      <c r="T157" s="68"/>
      <c r="U157" s="68"/>
      <c r="V157" s="67"/>
      <c r="W157" s="67"/>
      <c r="X157" s="67"/>
      <c r="Y157" s="67"/>
      <c r="Z157" s="67"/>
      <c r="AA157" s="67"/>
      <c r="AB157" s="67"/>
      <c r="AC157" s="67"/>
      <c r="AD157" s="67"/>
      <c r="AE157" s="67"/>
      <c r="AF157" s="67"/>
      <c r="AG157" s="67"/>
      <c r="AH157" s="67"/>
      <c r="AI157" s="67"/>
      <c r="AJ157" s="67"/>
      <c r="AK157" s="67"/>
      <c r="AL157" s="67"/>
      <c r="AM157" s="67"/>
      <c r="AN157" s="77"/>
      <c r="AO157" s="76"/>
      <c r="AP157" s="77"/>
      <c r="AQ157" s="76"/>
      <c r="AR157" s="76"/>
      <c r="AS157" s="76"/>
      <c r="AT157" s="76"/>
      <c r="AU157" s="76"/>
      <c r="AV157" s="77"/>
      <c r="AW157" s="76"/>
      <c r="AX157" s="77"/>
      <c r="AY157" s="76"/>
      <c r="AZ157" s="76"/>
      <c r="BA157" s="76"/>
      <c r="BB157" s="76"/>
      <c r="BC157" s="76"/>
      <c r="BD157" s="77"/>
      <c r="BE157" s="76"/>
      <c r="BF157" s="77"/>
      <c r="BG157" s="76"/>
      <c r="BH157" s="76"/>
      <c r="BI157" s="76"/>
      <c r="BJ157" s="76"/>
      <c r="BK157" s="76"/>
      <c r="BL157" s="77"/>
      <c r="BM157" s="76"/>
      <c r="BN157" s="77"/>
      <c r="BO157" s="76"/>
      <c r="BP157" s="76"/>
      <c r="BQ157" s="76"/>
      <c r="BR157" s="76"/>
      <c r="BS157" s="76"/>
      <c r="BT157" s="77"/>
      <c r="BU157" s="76"/>
      <c r="BV157" s="77"/>
      <c r="BW157" s="76"/>
      <c r="BX157" s="76"/>
      <c r="BY157" s="76"/>
      <c r="BZ157" s="76"/>
      <c r="CA157" s="76"/>
      <c r="CB157" s="77"/>
      <c r="CC157" s="76"/>
      <c r="CD157" s="77"/>
      <c r="CE157" s="76"/>
      <c r="CF157" s="76"/>
      <c r="CG157" s="76"/>
      <c r="CH157" s="76"/>
      <c r="CI157" s="76"/>
      <c r="CJ157" s="77"/>
      <c r="CK157" s="76"/>
      <c r="CL157" s="77"/>
      <c r="CM157" s="76"/>
      <c r="CN157" s="76"/>
      <c r="CO157" s="76"/>
      <c r="CP157" s="76"/>
      <c r="CQ157" s="76"/>
      <c r="CR157" s="78" t="str">
        <f t="shared" si="47"/>
        <v/>
      </c>
      <c r="CS157" s="79" t="str">
        <f t="shared" si="48"/>
        <v/>
      </c>
      <c r="CT157" s="79" t="str">
        <f t="shared" si="49"/>
        <v/>
      </c>
      <c r="CU157" s="79" t="str">
        <f t="shared" si="50"/>
        <v/>
      </c>
      <c r="CV157" s="79" t="str">
        <f t="shared" si="51"/>
        <v/>
      </c>
      <c r="CW157" s="79" t="str">
        <f t="shared" si="52"/>
        <v/>
      </c>
      <c r="CX157" s="79" t="str">
        <f t="shared" si="53"/>
        <v/>
      </c>
      <c r="CY157" s="79" t="str">
        <f t="shared" si="54"/>
        <v/>
      </c>
      <c r="CZ157" s="79" t="str">
        <f t="shared" si="55"/>
        <v/>
      </c>
      <c r="DA157" s="79" t="str">
        <f t="shared" si="56"/>
        <v/>
      </c>
      <c r="DB157" s="79" t="str">
        <f t="shared" si="57"/>
        <v/>
      </c>
      <c r="DC157" s="79" t="str">
        <f t="shared" si="58"/>
        <v/>
      </c>
      <c r="DD157" s="79" t="str">
        <f t="shared" si="59"/>
        <v/>
      </c>
      <c r="DE157" s="79" t="str">
        <f t="shared" si="60"/>
        <v/>
      </c>
      <c r="DF157" s="79" t="str">
        <f t="shared" si="61"/>
        <v/>
      </c>
      <c r="DG157" s="79" t="str">
        <f t="shared" si="62"/>
        <v/>
      </c>
      <c r="DH157" s="76"/>
      <c r="DI157" s="78"/>
      <c r="DJ157" s="76"/>
      <c r="DK157" s="77"/>
      <c r="DL157" s="77"/>
      <c r="DM157" s="77"/>
      <c r="DN157" s="80"/>
      <c r="DO157" s="80"/>
      <c r="DP157" s="92" t="str">
        <f>IF(Table1[Start Date]="","",IF(Table1[Start Date]&gt;42185,"",IF(AND(Table1[Leaving Date]&gt;1,Table1[Leaving Date]&lt;42095),"",1)))</f>
        <v/>
      </c>
      <c r="DQ157" s="92" t="str">
        <f>IF(Table1[Start Date]="","",IF(Table1[Start Date]&gt;42277,"",IF(AND(Table1[Leaving Date]&gt;1,Table1[Leaving Date]&lt;42186),"",1)))</f>
        <v/>
      </c>
      <c r="DR157" s="92" t="str">
        <f>IF(Table1[Start Date]="","",IF(Table1[Start Date]&gt;42369,"",IF(AND(Table1[Leaving Date]&gt;1,Table1[Leaving Date]&lt;42278),"",1)))</f>
        <v/>
      </c>
      <c r="DS157" s="92" t="str">
        <f>IF(Table1[Start Date]="","",IF(Table1[Start Date]&gt;42460,"",IF(AND(Table1[Leaving Date]&gt;1,Table1[Leaving Date]&lt;42370),"",1)))</f>
        <v/>
      </c>
      <c r="DT157" s="92" t="str">
        <f>IF(Table1[Start Date]="","",IF(Table1[Start Date]&gt;42551,"",IF(AND(Table1[Leaving Date]&gt;1,Table1[Leaving Date]&lt;42461),"",1)))</f>
        <v/>
      </c>
      <c r="DU157" s="92" t="str">
        <f>IF(Table1[Start Date]="","",IF(Table1[Start Date]&gt;42643,"",IF(AND(Table1[Leaving Date]&gt;1,Table1[Leaving Date]&lt;42552),"",1)))</f>
        <v/>
      </c>
      <c r="DV157" s="92" t="str">
        <f>IF(Table1[Start Date]="","",IF(Table1[Start Date]&gt;42735,"",IF(AND(Table1[Leaving Date]&gt;1,Table1[Leaving Date]&lt;42644),"",1)))</f>
        <v/>
      </c>
      <c r="DW157" s="92" t="str">
        <f>IF(Table1[Start Date]="","",IF(Table1[Start Date]&gt;42825,"",IF(AND(Table1[Leaving Date]&gt;1,Table1[Leaving Date]&lt;42736),"",1)))</f>
        <v/>
      </c>
      <c r="DX157"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157" s="44" t="e">
        <f>VLOOKUP(Table1[Referral Source],Lists!$G$2:$H$20,2,FALSE)</f>
        <v>#N/A</v>
      </c>
      <c r="DZ157" s="93" t="e">
        <f>SUM(Table1[Data Referral Quarter]+Table1[Data Referral Source])</f>
        <v>#N/A</v>
      </c>
      <c r="EA157" s="44" t="b">
        <f>IF(Table1[Referral Decision]="Accepted",100,IF(Table1[Referral Decision]="Rejected by Provider",200,IF(Table1[Referral Decision]="Rejected by Applicant",300)))</f>
        <v>0</v>
      </c>
      <c r="EB157" s="44">
        <f>SUM(Table1[Data Referral Quarter]+Table1[Data Referral Decision])</f>
        <v>0</v>
      </c>
      <c r="EC157" s="44" t="b">
        <f>IF(Table1[Start Date]&gt;42735,8000,IF(Table1[Start Date]&gt;42643,7000,IF(Table1[Start Date]&gt;42551,6000,IF(Table1[Start Date]&gt;42460,5000,IF(Table1[Start Date]&gt;42369,4000,IF(Table1[Start Date]&gt;42277,3000,IF(Table1[Start Date]&gt;42185,2000,IF(Table1[Start Date]&gt;42094,1000))))))))</f>
        <v>0</v>
      </c>
      <c r="ED157" s="44" t="str">
        <f>IF(Table1[Start Date]="","",IF(Table1[Current Local Authority]="Swindon",1,"2"))</f>
        <v/>
      </c>
      <c r="EE157" s="44" t="e">
        <f>SUM(Table1[Data Start Date]+Table1[Data Local Authority])</f>
        <v>#VALUE!</v>
      </c>
      <c r="EF157" s="44">
        <f>IF(Table1[Registered with GP]="Yes",1,0)</f>
        <v>0</v>
      </c>
      <c r="EG157" s="44">
        <f>SUM(Table1[Data Start Date]+Table1[Data GP Start])</f>
        <v>0</v>
      </c>
      <c r="EH157" s="44" t="str">
        <f>IF(Table1[EET]="NEET",1,IF(Table1[EET]="Education",2,IF(Table1[EET]="Employment",2,IF(Table1[EET]="Training",2,IF(Table1[EET]="Retired",3,"")))))</f>
        <v/>
      </c>
      <c r="EI157" s="44" t="e">
        <f>Table1[Data Start Date]+Table1[Data EET Start]</f>
        <v>#VALUE!</v>
      </c>
      <c r="EJ157" s="44" t="b">
        <f>IF(Table1[Leaving Date]&gt;42735,8000,IF(Table1[Leaving Date]&gt;42643,7000,IF(Table1[Leaving Date]&gt;42551,6000,IF(Table1[Leaving Date]&gt;42460,5000,IF(Table1[Leaving Date]&gt;42369,4000,IF(Table1[Leaving Date]&gt;42277,3000,IF(Table1[Leaving Date]&gt;42185,2000,IF(Table1[Leaving Date]&gt;42094,1000))))))))</f>
        <v>0</v>
      </c>
      <c r="EK157" s="44" t="e">
        <f>VLOOKUP(Table1[Reason for Leaving],Lists!$T$2:$U$15,2,FALSE)</f>
        <v>#N/A</v>
      </c>
      <c r="EL157" s="44" t="e">
        <f>SUM(Table1[Data Leavers Date]+Table1[Data Move On])</f>
        <v>#N/A</v>
      </c>
      <c r="EM157" s="44" t="b">
        <f>IF(Table1[Registered with GP2]="Yes",1,IF(Table1[Registered with GP2]="No",0,IF(Table1[Registered with GP]="Yes",1,IF(Table1[Registered with GP]="No",0))))</f>
        <v>0</v>
      </c>
      <c r="EN157" s="44">
        <f>SUM(Table1[Data Leavers Date]+Table1[Data GP End])</f>
        <v>0</v>
      </c>
      <c r="EO157" s="44" t="str">
        <f>IF(Table1[EET2]="NEET",1,IF(Table1[EET2]="Employment",2,IF(Table1[EET2]="Education",2,IF(Table1[EET2]="Training",2,IF(Table1[EET2]="Retired",3,IF(Table1[EET]="NEET",1,IF(Table1[EET]="Employment",2,IF(Table1[EET]="Education",2,IF(Table1[EET]="Training",2,IF(Table1[EET]="Retired",3,""))))))))))</f>
        <v/>
      </c>
      <c r="EP157" s="44" t="e">
        <f>+Table1[[#This Row],[Data Leavers Date]]+Table1[[#This Row],[Data EET End]]</f>
        <v>#VALUE!</v>
      </c>
      <c r="EQ157" s="44">
        <f>IF(Table1[Exit Form Received]="Yes",1,0)</f>
        <v>0</v>
      </c>
      <c r="ER157" s="44">
        <f>+Table1[[#This Row],[Data Leavers Date]]+Table1[[#This Row],[Data Exit Forms]]</f>
        <v>0</v>
      </c>
      <c r="ES157" s="44" t="str">
        <f>IF(Table1[Data Leavers Date]=1000,SUM(Table1[Leaving Date]-Table1[Start Date]),"")</f>
        <v/>
      </c>
      <c r="ET157" s="44" t="str">
        <f>IF(Table1[Data Leavers Date]=2000,SUM(Table1[Leaving Date]-Table1[Start Date]),"")</f>
        <v/>
      </c>
      <c r="EU157" s="44" t="str">
        <f>IF(Table1[Data Leavers Date]=3000,SUM(Table1[Leaving Date]-Table1[Start Date]),"")</f>
        <v/>
      </c>
      <c r="EV157" s="44" t="str">
        <f>IF(Table1[Data Leavers Date]=4000,SUM(Table1[Leaving Date]-Table1[Start Date]),"")</f>
        <v/>
      </c>
      <c r="EW157" s="44" t="str">
        <f>IF(Table1[Data Leavers Date]=5000,SUM(Table1[Leaving Date]-Table1[Start Date]),"")</f>
        <v/>
      </c>
      <c r="EX157" s="44" t="str">
        <f>IF(Table1[Data Leavers Date]=6000,SUM(Table1[Leaving Date]-Table1[Start Date]),"")</f>
        <v/>
      </c>
      <c r="EY157" s="44" t="str">
        <f>IF(Table1[Data Leavers Date]=7000,SUM(Table1[Leaving Date]-Table1[Start Date]),"")</f>
        <v/>
      </c>
      <c r="EZ157" s="44" t="str">
        <f>IF(Table1[Data Leavers Date]=8000,SUM(Table1[Leaving Date]-Table1[Start Date]),"")</f>
        <v/>
      </c>
      <c r="FA157" s="44" t="str">
        <f>IF(Table1[Date of Initial Assessment]="","",IF(AND(Table1[Start Date]&gt;42094,Table1[Start Date]&lt;42461),Table1[Motivation and Taking Responsibility],""))</f>
        <v/>
      </c>
      <c r="FB157" s="44" t="str">
        <f>IF(Table1[Date of Initial Assessment]="","",IF(AND(Table1[Start Date]&gt;42094,Table1[Start Date]&lt;42461),Table1[Self-Care and Living Skills],""))</f>
        <v/>
      </c>
      <c r="FC157" s="44" t="str">
        <f>IF(Table1[Date of Initial Assessment]="","",IF(AND(Table1[Start Date]&gt;42094,Table1[Start Date]&lt;42461),Table1[Managing Money and Personal Administration],""))</f>
        <v/>
      </c>
      <c r="FD157" s="44" t="str">
        <f>IF(Table1[Date of Initial Assessment]="","",IF(AND(Table1[Start Date]&gt;42094,Table1[Start Date]&lt;42461),Table1[Social Networks and Relationships],""))</f>
        <v/>
      </c>
      <c r="FE157" s="44" t="str">
        <f>IF(Table1[Date of Initial Assessment]="","",IF(AND(Table1[Start Date]&gt;42094,Table1[Start Date]&lt;42461),Table1[Drug and Alcohol Misuse],""))</f>
        <v/>
      </c>
      <c r="FF157" s="44" t="str">
        <f>IF(Table1[Date of Initial Assessment]="","",IF(AND(Table1[Start Date]&gt;42094,Table1[Start Date]&lt;42461),Table1[Physical Health],""))</f>
        <v/>
      </c>
      <c r="FG157" s="44" t="str">
        <f>IF(Table1[Date of Initial Assessment]="","",IF(AND(Table1[Start Date]&gt;42094,Table1[Start Date]&lt;42461),Table1[Emotional and Mental Health],""))</f>
        <v/>
      </c>
      <c r="FH157" s="44" t="str">
        <f>IF(Table1[Date of Initial Assessment]="","",IF(AND(Table1[Start Date]&gt;42094,Table1[Start Date]&lt;42461),Table1[Meaningful Use of Time],""))</f>
        <v/>
      </c>
      <c r="FI157" s="44" t="str">
        <f>IF(Table1[Date of Initial Assessment]="","",IF(AND(Table1[Start Date]&gt;42094,Table1[Start Date]&lt;42461),Table1[Managing Tenancy and Accommodation],""))</f>
        <v/>
      </c>
      <c r="FJ157" s="44" t="str">
        <f>IF(Table1[Date of Initial Assessment]="","",IF(AND(Table1[Start Date]&gt;42094,Table1[Start Date]&lt;42461),Table1[Offending],""))</f>
        <v/>
      </c>
      <c r="FK157" s="44" t="str">
        <f>IF(Table1[Leaving Date]="","",IF(Table1[Date of Initial Assessment]="","",IF(AND(Table1[Leaving Date]&gt;42094,Table1[Leaving Date]&lt;42461),IF(Table1[Date of Last Assessment]="",Table1[Motivation and Taking Responsibility],Table1[Motivation and Taking Responsibility2]),"")))</f>
        <v/>
      </c>
      <c r="FL157" s="44" t="str">
        <f>IF(Table1[Leaving Date]="","",IF(Table1[Date of Initial Assessment]="","",IF(AND(Table1[Leaving Date]&gt;42094,Table1[Leaving Date]&lt;42461),IF(Table1[Date of Last Assessment]="",Table1[Self-Care and Living Skills],Table1[Self-Care and Living Skills2]),"")))</f>
        <v/>
      </c>
      <c r="FM157" s="44" t="str">
        <f>IF(Table1[Leaving Date]="","",IF(Table1[Date of Initial Assessment]="","",IF(AND(Table1[Leaving Date]&gt;42094,Table1[Leaving Date]&lt;42461),IF(Table1[Date of Last Assessment]="",Table1[Managing Money and Personal Administration],Table1[Managing Money and Personal Administration2]),"")))</f>
        <v/>
      </c>
      <c r="FN157" s="44" t="str">
        <f>IF(Table1[Leaving Date]="","",IF(Table1[Date of Initial Assessment]="","",IF(AND(Table1[Leaving Date]&gt;42094,Table1[Leaving Date]&lt;42461),IF(Table1[Date of Last Assessment]="",Table1[Social Networks and Relationships],Table1[Social Networks and Relationships2]),"")))</f>
        <v/>
      </c>
      <c r="FO157" s="44" t="str">
        <f>IF(Table1[Leaving Date]="","",IF(Table1[Date of Initial Assessment]="","",IF(AND(Table1[Leaving Date]&gt;42094,Table1[Leaving Date]&lt;42461),IF(Table1[Date of Last Assessment]="",Table1[Drug and Alcohol Misuse],Table1[Drug and Alcohol Misuse2]),"")))</f>
        <v/>
      </c>
      <c r="FP157" s="44" t="str">
        <f>IF(Table1[Leaving Date]="","",IF(Table1[Date of Initial Assessment]="","",IF(AND(Table1[Leaving Date]&gt;42094,Table1[Leaving Date]&lt;42461),IF(Table1[Date of Last Assessment]="",Table1[Physical Health],Table1[Physical Health2]),"")))</f>
        <v/>
      </c>
      <c r="FQ157" s="44" t="str">
        <f>IF(Table1[Leaving Date]="","",IF(Table1[Date of Initial Assessment]="","",IF(AND(Table1[Leaving Date]&gt;42094,Table1[Leaving Date]&lt;42461),IF(Table1[Date of Last Assessment]="",Table1[Emotional and Mental Health],Table1[Emotional and Mental Health2]),"")))</f>
        <v/>
      </c>
      <c r="FR157" s="44" t="str">
        <f>IF(Table1[Leaving Date]="","",IF(Table1[Date of Initial Assessment]="","",IF(AND(Table1[Leaving Date]&gt;42094,Table1[Leaving Date]&lt;42461),IF(Table1[Date of Last Assessment]="",Table1[Meaningful Use of Time],Table1[Meaningful Use of Time2]),"")))</f>
        <v/>
      </c>
      <c r="FS157" s="44" t="str">
        <f>IF(Table1[Leaving Date]="","",IF(Table1[Date of Initial Assessment]="","",IF(AND(Table1[Leaving Date]&gt;42094,Table1[Leaving Date]&lt;42461),IF(Table1[Date of Last Assessment]="",Table1[Managing Tenancy and Accommodation],Table1[Managing Tenancy and Accommodation2]),"")))</f>
        <v/>
      </c>
      <c r="FT157" s="44" t="str">
        <f>IF(Table1[Leaving Date]="","",IF(Table1[Date of Initial Assessment]="","",IF(AND(Table1[Leaving Date]&gt;42094,Table1[Leaving Date]&lt;42461),IF(Table1[Date of Last Assessment]="",Table1[Offending],Table1[Offending2]),"")))</f>
        <v/>
      </c>
      <c r="FU157" s="44" t="str">
        <f>IF(Table1[Date of Initial Assessment]="","",IF(AND(Table1[Start Date]&gt;42460,Table1[Start Date]&lt;42826),Table1[Motivation and Taking Responsibility],""))</f>
        <v/>
      </c>
      <c r="FV157" s="44" t="str">
        <f>IF(Table1[Date of Initial Assessment]="","",IF(AND(Table1[Start Date]&gt;42460,Table1[Start Date]&lt;42826),Table1[Self-Care and Living Skills],""))</f>
        <v/>
      </c>
      <c r="FW157" s="44" t="str">
        <f>IF(Table1[Date of Initial Assessment]="","",IF(AND(Table1[Start Date]&gt;42460,Table1[Start Date]&lt;42826),Table1[Managing Money and Personal Administration],""))</f>
        <v/>
      </c>
      <c r="FX157" s="44" t="str">
        <f>IF(Table1[Date of Initial Assessment]="","",IF(AND(Table1[Start Date]&gt;42460,Table1[Start Date]&lt;42826),Table1[Social Networks and Relationships],""))</f>
        <v/>
      </c>
      <c r="FY157" s="44" t="str">
        <f>IF(Table1[Date of Initial Assessment]="","",IF(AND(Table1[Start Date]&gt;42460,Table1[Start Date]&lt;42826),Table1[Drug and Alcohol Misuse],""))</f>
        <v/>
      </c>
      <c r="FZ157" s="44" t="str">
        <f>IF(Table1[Date of Initial Assessment]="","",IF(AND(Table1[Start Date]&gt;42460,Table1[Start Date]&lt;42826),Table1[Physical Health],""))</f>
        <v/>
      </c>
      <c r="GA157" s="44" t="str">
        <f>IF(Table1[Date of Initial Assessment]="","",IF(AND(Table1[Start Date]&gt;42460,Table1[Start Date]&lt;42826),Table1[Emotional and Mental Health],""))</f>
        <v/>
      </c>
      <c r="GB157" s="44" t="str">
        <f>IF(Table1[Date of Initial Assessment]="","",IF(AND(Table1[Start Date]&gt;42460,Table1[Start Date]&lt;42826),Table1[Meaningful Use of Time],""))</f>
        <v/>
      </c>
      <c r="GC157" s="44" t="str">
        <f>IF(Table1[Date of Initial Assessment]="","",IF(AND(Table1[Start Date]&gt;42460,Table1[Start Date]&lt;42826),Table1[Managing Tenancy and Accommodation],""))</f>
        <v/>
      </c>
      <c r="GD157" s="44" t="str">
        <f>IF(Table1[Date of Initial Assessment]="","",IF(AND(Table1[Start Date]&gt;42460,Table1[Start Date]&lt;42826),Table1[Offending],""))</f>
        <v/>
      </c>
      <c r="GE157" s="44" t="str">
        <f>IF(Table1[Leaving Date]="","",IF(AND(Table1[Leaving Date]&gt;42460,Table1[Leaving Date]&lt;42826),IF(Table1[Date of Last Assessment]="",Table1[Motivation and Taking Responsibility],Table1[Motivation and Taking Responsibility2]),""))</f>
        <v/>
      </c>
      <c r="GF157" s="44" t="str">
        <f>IF(Table1[Leaving Date]="","",IF(AND(Table1[Leaving Date]&gt;42460,Table1[Leaving Date]&lt;42826),IF(Table1[Date of Last Assessment]="",Table1[Self-Care and Living Skills],Table1[Self-Care and Living Skills2]),""))</f>
        <v/>
      </c>
      <c r="GG157" s="44" t="str">
        <f>IF(Table1[Leaving Date]="","",IF(AND(Table1[Leaving Date]&gt;42460,Table1[Leaving Date]&lt;42826),IF(Table1[Date of Last Assessment]="",Table1[Managing Money and Personal Administration],Table1[Managing Money and Personal Administration2]),""))</f>
        <v/>
      </c>
      <c r="GH157" s="44" t="str">
        <f>IF(Table1[Leaving Date]="","",IF(AND(Table1[Leaving Date]&gt;42460,Table1[Leaving Date]&lt;42826),IF(Table1[Date of Last Assessment]="",Table1[Social Networks and Relationships],Table1[Social Networks and Relationships2]),""))</f>
        <v/>
      </c>
      <c r="GI157" s="44" t="str">
        <f>IF(Table1[Leaving Date]="","",IF(AND(Table1[Leaving Date]&gt;42460,Table1[Leaving Date]&lt;42826),IF(Table1[Date of Last Assessment]="",Table1[Drug and Alcohol Misuse],Table1[Drug and Alcohol Misuse2]),""))</f>
        <v/>
      </c>
      <c r="GJ157" s="44" t="str">
        <f>IF(Table1[Leaving Date]="","",IF(AND(Table1[Leaving Date]&gt;42460,Table1[Leaving Date]&lt;42826),IF(Table1[Date of Last Assessment]="",Table1[Physical Health],Table1[Physical Health2]),""))</f>
        <v/>
      </c>
      <c r="GK157" s="44" t="str">
        <f>IF(Table1[Leaving Date]="","",IF(AND(Table1[Leaving Date]&gt;42460,Table1[Leaving Date]&lt;42826),IF(Table1[Date of Last Assessment]="",Table1[Emotional and Mental Health],Table1[Emotional and Mental Health2]),""))</f>
        <v/>
      </c>
      <c r="GL157" s="44" t="str">
        <f>IF(Table1[Leaving Date]="","",IF(AND(Table1[Leaving Date]&gt;42460,Table1[Leaving Date]&lt;42826),IF(Table1[Date of Last Assessment]="",Table1[Meaningful Use of Time],Table1[Meaningful Use of Time2]),""))</f>
        <v/>
      </c>
      <c r="GM157" s="44" t="str">
        <f>IF(Table1[Leaving Date]="","",IF(AND(Table1[Leaving Date]&gt;42460,Table1[Leaving Date]&lt;42826),IF(Table1[Date of Last Assessment]="",Table1[Managing Tenancy and Accommodation],Table1[Managing Tenancy and Accommodation2]),""))</f>
        <v/>
      </c>
      <c r="GN157" s="44" t="str">
        <f>IF(Table1[Leaving Date]="","",IF(AND(Table1[Leaving Date]&gt;42460,Table1[Leaving Date]&lt;42826),IF(Table1[Date of Last Assessment]="",Table1[Offending],Table1[Offending2]),""))</f>
        <v/>
      </c>
    </row>
    <row r="158" spans="2:196" ht="20.100000000000001" customHeight="1" x14ac:dyDescent="0.2">
      <c r="B158" s="86">
        <f>+'Service Data'!$C$5:$C$5</f>
        <v>0</v>
      </c>
      <c r="C158" s="86"/>
      <c r="D158" s="86"/>
      <c r="E158" s="86"/>
      <c r="F158" s="86"/>
      <c r="G158" s="86"/>
      <c r="H158" s="6"/>
      <c r="I158" s="99" t="str">
        <f ca="1">IF(Table1[[#This Row],[Date of Birth]]="","",SUM(TODAY()-Table1[[#This Row],[Date of Birth]])/365)</f>
        <v/>
      </c>
      <c r="L158" s="86"/>
      <c r="M158" s="77"/>
      <c r="N158" s="86"/>
      <c r="O158" s="86"/>
      <c r="P158" s="91"/>
      <c r="Q158" s="86"/>
      <c r="R158" s="77"/>
      <c r="S158" s="77"/>
      <c r="T158" s="68"/>
      <c r="U158" s="68"/>
      <c r="V158" s="67"/>
      <c r="W158" s="67"/>
      <c r="X158" s="67"/>
      <c r="Y158" s="67"/>
      <c r="Z158" s="67"/>
      <c r="AA158" s="67"/>
      <c r="AB158" s="67"/>
      <c r="AC158" s="67"/>
      <c r="AD158" s="67"/>
      <c r="AE158" s="67"/>
      <c r="AF158" s="67"/>
      <c r="AG158" s="67"/>
      <c r="AH158" s="67"/>
      <c r="AI158" s="67"/>
      <c r="AJ158" s="67"/>
      <c r="AK158" s="67"/>
      <c r="AL158" s="67"/>
      <c r="AM158" s="67"/>
      <c r="AN158" s="77"/>
      <c r="AO158" s="76"/>
      <c r="AP158" s="77"/>
      <c r="AQ158" s="76"/>
      <c r="AR158" s="76"/>
      <c r="AS158" s="76"/>
      <c r="AT158" s="76"/>
      <c r="AU158" s="76"/>
      <c r="AV158" s="77"/>
      <c r="AW158" s="76"/>
      <c r="AX158" s="77"/>
      <c r="AY158" s="76"/>
      <c r="AZ158" s="76"/>
      <c r="BA158" s="76"/>
      <c r="BB158" s="76"/>
      <c r="BC158" s="76"/>
      <c r="BD158" s="77"/>
      <c r="BE158" s="76"/>
      <c r="BF158" s="77"/>
      <c r="BG158" s="76"/>
      <c r="BH158" s="76"/>
      <c r="BI158" s="76"/>
      <c r="BJ158" s="76"/>
      <c r="BK158" s="76"/>
      <c r="BL158" s="77"/>
      <c r="BM158" s="76"/>
      <c r="BN158" s="77"/>
      <c r="BO158" s="76"/>
      <c r="BP158" s="76"/>
      <c r="BQ158" s="76"/>
      <c r="BR158" s="76"/>
      <c r="BS158" s="76"/>
      <c r="BT158" s="77"/>
      <c r="BU158" s="76"/>
      <c r="BV158" s="77"/>
      <c r="BW158" s="76"/>
      <c r="BX158" s="76"/>
      <c r="BY158" s="76"/>
      <c r="BZ158" s="76"/>
      <c r="CA158" s="76"/>
      <c r="CB158" s="77"/>
      <c r="CC158" s="76"/>
      <c r="CD158" s="77"/>
      <c r="CE158" s="76"/>
      <c r="CF158" s="76"/>
      <c r="CG158" s="76"/>
      <c r="CH158" s="76"/>
      <c r="CI158" s="76"/>
      <c r="CJ158" s="77"/>
      <c r="CK158" s="76"/>
      <c r="CL158" s="77"/>
      <c r="CM158" s="76"/>
      <c r="CN158" s="76"/>
      <c r="CO158" s="76"/>
      <c r="CP158" s="76"/>
      <c r="CQ158" s="76"/>
      <c r="CR158" s="78" t="str">
        <f t="shared" si="47"/>
        <v/>
      </c>
      <c r="CS158" s="79" t="str">
        <f t="shared" si="48"/>
        <v/>
      </c>
      <c r="CT158" s="79" t="str">
        <f t="shared" si="49"/>
        <v/>
      </c>
      <c r="CU158" s="79" t="str">
        <f t="shared" si="50"/>
        <v/>
      </c>
      <c r="CV158" s="79" t="str">
        <f t="shared" si="51"/>
        <v/>
      </c>
      <c r="CW158" s="79" t="str">
        <f t="shared" si="52"/>
        <v/>
      </c>
      <c r="CX158" s="79" t="str">
        <f t="shared" si="53"/>
        <v/>
      </c>
      <c r="CY158" s="79" t="str">
        <f t="shared" si="54"/>
        <v/>
      </c>
      <c r="CZ158" s="79" t="str">
        <f t="shared" si="55"/>
        <v/>
      </c>
      <c r="DA158" s="79" t="str">
        <f t="shared" si="56"/>
        <v/>
      </c>
      <c r="DB158" s="79" t="str">
        <f t="shared" si="57"/>
        <v/>
      </c>
      <c r="DC158" s="79" t="str">
        <f t="shared" si="58"/>
        <v/>
      </c>
      <c r="DD158" s="79" t="str">
        <f t="shared" si="59"/>
        <v/>
      </c>
      <c r="DE158" s="79" t="str">
        <f t="shared" si="60"/>
        <v/>
      </c>
      <c r="DF158" s="79" t="str">
        <f t="shared" si="61"/>
        <v/>
      </c>
      <c r="DG158" s="79" t="str">
        <f t="shared" si="62"/>
        <v/>
      </c>
      <c r="DH158" s="76"/>
      <c r="DI158" s="78"/>
      <c r="DJ158" s="76"/>
      <c r="DK158" s="77"/>
      <c r="DL158" s="77"/>
      <c r="DM158" s="77"/>
      <c r="DN158" s="80"/>
      <c r="DO158" s="80"/>
      <c r="DP158" s="92" t="str">
        <f>IF(Table1[Start Date]="","",IF(Table1[Start Date]&gt;42185,"",IF(AND(Table1[Leaving Date]&gt;1,Table1[Leaving Date]&lt;42095),"",1)))</f>
        <v/>
      </c>
      <c r="DQ158" s="92" t="str">
        <f>IF(Table1[Start Date]="","",IF(Table1[Start Date]&gt;42277,"",IF(AND(Table1[Leaving Date]&gt;1,Table1[Leaving Date]&lt;42186),"",1)))</f>
        <v/>
      </c>
      <c r="DR158" s="92" t="str">
        <f>IF(Table1[Start Date]="","",IF(Table1[Start Date]&gt;42369,"",IF(AND(Table1[Leaving Date]&gt;1,Table1[Leaving Date]&lt;42278),"",1)))</f>
        <v/>
      </c>
      <c r="DS158" s="92" t="str">
        <f>IF(Table1[Start Date]="","",IF(Table1[Start Date]&gt;42460,"",IF(AND(Table1[Leaving Date]&gt;1,Table1[Leaving Date]&lt;42370),"",1)))</f>
        <v/>
      </c>
      <c r="DT158" s="92" t="str">
        <f>IF(Table1[Start Date]="","",IF(Table1[Start Date]&gt;42551,"",IF(AND(Table1[Leaving Date]&gt;1,Table1[Leaving Date]&lt;42461),"",1)))</f>
        <v/>
      </c>
      <c r="DU158" s="92" t="str">
        <f>IF(Table1[Start Date]="","",IF(Table1[Start Date]&gt;42643,"",IF(AND(Table1[Leaving Date]&gt;1,Table1[Leaving Date]&lt;42552),"",1)))</f>
        <v/>
      </c>
      <c r="DV158" s="92" t="str">
        <f>IF(Table1[Start Date]="","",IF(Table1[Start Date]&gt;42735,"",IF(AND(Table1[Leaving Date]&gt;1,Table1[Leaving Date]&lt;42644),"",1)))</f>
        <v/>
      </c>
      <c r="DW158" s="92" t="str">
        <f>IF(Table1[Start Date]="","",IF(Table1[Start Date]&gt;42825,"",IF(AND(Table1[Leaving Date]&gt;1,Table1[Leaving Date]&lt;42736),"",1)))</f>
        <v/>
      </c>
      <c r="DX158"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158" s="44" t="e">
        <f>VLOOKUP(Table1[Referral Source],Lists!$G$2:$H$20,2,FALSE)</f>
        <v>#N/A</v>
      </c>
      <c r="DZ158" s="93" t="e">
        <f>SUM(Table1[Data Referral Quarter]+Table1[Data Referral Source])</f>
        <v>#N/A</v>
      </c>
      <c r="EA158" s="44" t="b">
        <f>IF(Table1[Referral Decision]="Accepted",100,IF(Table1[Referral Decision]="Rejected by Provider",200,IF(Table1[Referral Decision]="Rejected by Applicant",300)))</f>
        <v>0</v>
      </c>
      <c r="EB158" s="44">
        <f>SUM(Table1[Data Referral Quarter]+Table1[Data Referral Decision])</f>
        <v>0</v>
      </c>
      <c r="EC158" s="44" t="b">
        <f>IF(Table1[Start Date]&gt;42735,8000,IF(Table1[Start Date]&gt;42643,7000,IF(Table1[Start Date]&gt;42551,6000,IF(Table1[Start Date]&gt;42460,5000,IF(Table1[Start Date]&gt;42369,4000,IF(Table1[Start Date]&gt;42277,3000,IF(Table1[Start Date]&gt;42185,2000,IF(Table1[Start Date]&gt;42094,1000))))))))</f>
        <v>0</v>
      </c>
      <c r="ED158" s="44" t="str">
        <f>IF(Table1[Start Date]="","",IF(Table1[Current Local Authority]="Swindon",1,"2"))</f>
        <v/>
      </c>
      <c r="EE158" s="44" t="e">
        <f>SUM(Table1[Data Start Date]+Table1[Data Local Authority])</f>
        <v>#VALUE!</v>
      </c>
      <c r="EF158" s="44">
        <f>IF(Table1[Registered with GP]="Yes",1,0)</f>
        <v>0</v>
      </c>
      <c r="EG158" s="44">
        <f>SUM(Table1[Data Start Date]+Table1[Data GP Start])</f>
        <v>0</v>
      </c>
      <c r="EH158" s="44" t="str">
        <f>IF(Table1[EET]="NEET",1,IF(Table1[EET]="Education",2,IF(Table1[EET]="Employment",2,IF(Table1[EET]="Training",2,IF(Table1[EET]="Retired",3,"")))))</f>
        <v/>
      </c>
      <c r="EI158" s="44" t="e">
        <f>Table1[Data Start Date]+Table1[Data EET Start]</f>
        <v>#VALUE!</v>
      </c>
      <c r="EJ158" s="44" t="b">
        <f>IF(Table1[Leaving Date]&gt;42735,8000,IF(Table1[Leaving Date]&gt;42643,7000,IF(Table1[Leaving Date]&gt;42551,6000,IF(Table1[Leaving Date]&gt;42460,5000,IF(Table1[Leaving Date]&gt;42369,4000,IF(Table1[Leaving Date]&gt;42277,3000,IF(Table1[Leaving Date]&gt;42185,2000,IF(Table1[Leaving Date]&gt;42094,1000))))))))</f>
        <v>0</v>
      </c>
      <c r="EK158" s="44" t="e">
        <f>VLOOKUP(Table1[Reason for Leaving],Lists!$T$2:$U$15,2,FALSE)</f>
        <v>#N/A</v>
      </c>
      <c r="EL158" s="44" t="e">
        <f>SUM(Table1[Data Leavers Date]+Table1[Data Move On])</f>
        <v>#N/A</v>
      </c>
      <c r="EM158" s="44" t="b">
        <f>IF(Table1[Registered with GP2]="Yes",1,IF(Table1[Registered with GP2]="No",0,IF(Table1[Registered with GP]="Yes",1,IF(Table1[Registered with GP]="No",0))))</f>
        <v>0</v>
      </c>
      <c r="EN158" s="44">
        <f>SUM(Table1[Data Leavers Date]+Table1[Data GP End])</f>
        <v>0</v>
      </c>
      <c r="EO158" s="44" t="str">
        <f>IF(Table1[EET2]="NEET",1,IF(Table1[EET2]="Employment",2,IF(Table1[EET2]="Education",2,IF(Table1[EET2]="Training",2,IF(Table1[EET2]="Retired",3,IF(Table1[EET]="NEET",1,IF(Table1[EET]="Employment",2,IF(Table1[EET]="Education",2,IF(Table1[EET]="Training",2,IF(Table1[EET]="Retired",3,""))))))))))</f>
        <v/>
      </c>
      <c r="EP158" s="44" t="e">
        <f>+Table1[[#This Row],[Data Leavers Date]]+Table1[[#This Row],[Data EET End]]</f>
        <v>#VALUE!</v>
      </c>
      <c r="EQ158" s="44">
        <f>IF(Table1[Exit Form Received]="Yes",1,0)</f>
        <v>0</v>
      </c>
      <c r="ER158" s="44">
        <f>+Table1[[#This Row],[Data Leavers Date]]+Table1[[#This Row],[Data Exit Forms]]</f>
        <v>0</v>
      </c>
      <c r="ES158" s="44" t="str">
        <f>IF(Table1[Data Leavers Date]=1000,SUM(Table1[Leaving Date]-Table1[Start Date]),"")</f>
        <v/>
      </c>
      <c r="ET158" s="44" t="str">
        <f>IF(Table1[Data Leavers Date]=2000,SUM(Table1[Leaving Date]-Table1[Start Date]),"")</f>
        <v/>
      </c>
      <c r="EU158" s="44" t="str">
        <f>IF(Table1[Data Leavers Date]=3000,SUM(Table1[Leaving Date]-Table1[Start Date]),"")</f>
        <v/>
      </c>
      <c r="EV158" s="44" t="str">
        <f>IF(Table1[Data Leavers Date]=4000,SUM(Table1[Leaving Date]-Table1[Start Date]),"")</f>
        <v/>
      </c>
      <c r="EW158" s="44" t="str">
        <f>IF(Table1[Data Leavers Date]=5000,SUM(Table1[Leaving Date]-Table1[Start Date]),"")</f>
        <v/>
      </c>
      <c r="EX158" s="44" t="str">
        <f>IF(Table1[Data Leavers Date]=6000,SUM(Table1[Leaving Date]-Table1[Start Date]),"")</f>
        <v/>
      </c>
      <c r="EY158" s="44" t="str">
        <f>IF(Table1[Data Leavers Date]=7000,SUM(Table1[Leaving Date]-Table1[Start Date]),"")</f>
        <v/>
      </c>
      <c r="EZ158" s="44" t="str">
        <f>IF(Table1[Data Leavers Date]=8000,SUM(Table1[Leaving Date]-Table1[Start Date]),"")</f>
        <v/>
      </c>
      <c r="FA158" s="44" t="str">
        <f>IF(Table1[Date of Initial Assessment]="","",IF(AND(Table1[Start Date]&gt;42094,Table1[Start Date]&lt;42461),Table1[Motivation and Taking Responsibility],""))</f>
        <v/>
      </c>
      <c r="FB158" s="44" t="str">
        <f>IF(Table1[Date of Initial Assessment]="","",IF(AND(Table1[Start Date]&gt;42094,Table1[Start Date]&lt;42461),Table1[Self-Care and Living Skills],""))</f>
        <v/>
      </c>
      <c r="FC158" s="44" t="str">
        <f>IF(Table1[Date of Initial Assessment]="","",IF(AND(Table1[Start Date]&gt;42094,Table1[Start Date]&lt;42461),Table1[Managing Money and Personal Administration],""))</f>
        <v/>
      </c>
      <c r="FD158" s="44" t="str">
        <f>IF(Table1[Date of Initial Assessment]="","",IF(AND(Table1[Start Date]&gt;42094,Table1[Start Date]&lt;42461),Table1[Social Networks and Relationships],""))</f>
        <v/>
      </c>
      <c r="FE158" s="44" t="str">
        <f>IF(Table1[Date of Initial Assessment]="","",IF(AND(Table1[Start Date]&gt;42094,Table1[Start Date]&lt;42461),Table1[Drug and Alcohol Misuse],""))</f>
        <v/>
      </c>
      <c r="FF158" s="44" t="str">
        <f>IF(Table1[Date of Initial Assessment]="","",IF(AND(Table1[Start Date]&gt;42094,Table1[Start Date]&lt;42461),Table1[Physical Health],""))</f>
        <v/>
      </c>
      <c r="FG158" s="44" t="str">
        <f>IF(Table1[Date of Initial Assessment]="","",IF(AND(Table1[Start Date]&gt;42094,Table1[Start Date]&lt;42461),Table1[Emotional and Mental Health],""))</f>
        <v/>
      </c>
      <c r="FH158" s="44" t="str">
        <f>IF(Table1[Date of Initial Assessment]="","",IF(AND(Table1[Start Date]&gt;42094,Table1[Start Date]&lt;42461),Table1[Meaningful Use of Time],""))</f>
        <v/>
      </c>
      <c r="FI158" s="44" t="str">
        <f>IF(Table1[Date of Initial Assessment]="","",IF(AND(Table1[Start Date]&gt;42094,Table1[Start Date]&lt;42461),Table1[Managing Tenancy and Accommodation],""))</f>
        <v/>
      </c>
      <c r="FJ158" s="44" t="str">
        <f>IF(Table1[Date of Initial Assessment]="","",IF(AND(Table1[Start Date]&gt;42094,Table1[Start Date]&lt;42461),Table1[Offending],""))</f>
        <v/>
      </c>
      <c r="FK158" s="44" t="str">
        <f>IF(Table1[Leaving Date]="","",IF(Table1[Date of Initial Assessment]="","",IF(AND(Table1[Leaving Date]&gt;42094,Table1[Leaving Date]&lt;42461),IF(Table1[Date of Last Assessment]="",Table1[Motivation and Taking Responsibility],Table1[Motivation and Taking Responsibility2]),"")))</f>
        <v/>
      </c>
      <c r="FL158" s="44" t="str">
        <f>IF(Table1[Leaving Date]="","",IF(Table1[Date of Initial Assessment]="","",IF(AND(Table1[Leaving Date]&gt;42094,Table1[Leaving Date]&lt;42461),IF(Table1[Date of Last Assessment]="",Table1[Self-Care and Living Skills],Table1[Self-Care and Living Skills2]),"")))</f>
        <v/>
      </c>
      <c r="FM158" s="44" t="str">
        <f>IF(Table1[Leaving Date]="","",IF(Table1[Date of Initial Assessment]="","",IF(AND(Table1[Leaving Date]&gt;42094,Table1[Leaving Date]&lt;42461),IF(Table1[Date of Last Assessment]="",Table1[Managing Money and Personal Administration],Table1[Managing Money and Personal Administration2]),"")))</f>
        <v/>
      </c>
      <c r="FN158" s="44" t="str">
        <f>IF(Table1[Leaving Date]="","",IF(Table1[Date of Initial Assessment]="","",IF(AND(Table1[Leaving Date]&gt;42094,Table1[Leaving Date]&lt;42461),IF(Table1[Date of Last Assessment]="",Table1[Social Networks and Relationships],Table1[Social Networks and Relationships2]),"")))</f>
        <v/>
      </c>
      <c r="FO158" s="44" t="str">
        <f>IF(Table1[Leaving Date]="","",IF(Table1[Date of Initial Assessment]="","",IF(AND(Table1[Leaving Date]&gt;42094,Table1[Leaving Date]&lt;42461),IF(Table1[Date of Last Assessment]="",Table1[Drug and Alcohol Misuse],Table1[Drug and Alcohol Misuse2]),"")))</f>
        <v/>
      </c>
      <c r="FP158" s="44" t="str">
        <f>IF(Table1[Leaving Date]="","",IF(Table1[Date of Initial Assessment]="","",IF(AND(Table1[Leaving Date]&gt;42094,Table1[Leaving Date]&lt;42461),IF(Table1[Date of Last Assessment]="",Table1[Physical Health],Table1[Physical Health2]),"")))</f>
        <v/>
      </c>
      <c r="FQ158" s="44" t="str">
        <f>IF(Table1[Leaving Date]="","",IF(Table1[Date of Initial Assessment]="","",IF(AND(Table1[Leaving Date]&gt;42094,Table1[Leaving Date]&lt;42461),IF(Table1[Date of Last Assessment]="",Table1[Emotional and Mental Health],Table1[Emotional and Mental Health2]),"")))</f>
        <v/>
      </c>
      <c r="FR158" s="44" t="str">
        <f>IF(Table1[Leaving Date]="","",IF(Table1[Date of Initial Assessment]="","",IF(AND(Table1[Leaving Date]&gt;42094,Table1[Leaving Date]&lt;42461),IF(Table1[Date of Last Assessment]="",Table1[Meaningful Use of Time],Table1[Meaningful Use of Time2]),"")))</f>
        <v/>
      </c>
      <c r="FS158" s="44" t="str">
        <f>IF(Table1[Leaving Date]="","",IF(Table1[Date of Initial Assessment]="","",IF(AND(Table1[Leaving Date]&gt;42094,Table1[Leaving Date]&lt;42461),IF(Table1[Date of Last Assessment]="",Table1[Managing Tenancy and Accommodation],Table1[Managing Tenancy and Accommodation2]),"")))</f>
        <v/>
      </c>
      <c r="FT158" s="44" t="str">
        <f>IF(Table1[Leaving Date]="","",IF(Table1[Date of Initial Assessment]="","",IF(AND(Table1[Leaving Date]&gt;42094,Table1[Leaving Date]&lt;42461),IF(Table1[Date of Last Assessment]="",Table1[Offending],Table1[Offending2]),"")))</f>
        <v/>
      </c>
      <c r="FU158" s="44" t="str">
        <f>IF(Table1[Date of Initial Assessment]="","",IF(AND(Table1[Start Date]&gt;42460,Table1[Start Date]&lt;42826),Table1[Motivation and Taking Responsibility],""))</f>
        <v/>
      </c>
      <c r="FV158" s="44" t="str">
        <f>IF(Table1[Date of Initial Assessment]="","",IF(AND(Table1[Start Date]&gt;42460,Table1[Start Date]&lt;42826),Table1[Self-Care and Living Skills],""))</f>
        <v/>
      </c>
      <c r="FW158" s="44" t="str">
        <f>IF(Table1[Date of Initial Assessment]="","",IF(AND(Table1[Start Date]&gt;42460,Table1[Start Date]&lt;42826),Table1[Managing Money and Personal Administration],""))</f>
        <v/>
      </c>
      <c r="FX158" s="44" t="str">
        <f>IF(Table1[Date of Initial Assessment]="","",IF(AND(Table1[Start Date]&gt;42460,Table1[Start Date]&lt;42826),Table1[Social Networks and Relationships],""))</f>
        <v/>
      </c>
      <c r="FY158" s="44" t="str">
        <f>IF(Table1[Date of Initial Assessment]="","",IF(AND(Table1[Start Date]&gt;42460,Table1[Start Date]&lt;42826),Table1[Drug and Alcohol Misuse],""))</f>
        <v/>
      </c>
      <c r="FZ158" s="44" t="str">
        <f>IF(Table1[Date of Initial Assessment]="","",IF(AND(Table1[Start Date]&gt;42460,Table1[Start Date]&lt;42826),Table1[Physical Health],""))</f>
        <v/>
      </c>
      <c r="GA158" s="44" t="str">
        <f>IF(Table1[Date of Initial Assessment]="","",IF(AND(Table1[Start Date]&gt;42460,Table1[Start Date]&lt;42826),Table1[Emotional and Mental Health],""))</f>
        <v/>
      </c>
      <c r="GB158" s="44" t="str">
        <f>IF(Table1[Date of Initial Assessment]="","",IF(AND(Table1[Start Date]&gt;42460,Table1[Start Date]&lt;42826),Table1[Meaningful Use of Time],""))</f>
        <v/>
      </c>
      <c r="GC158" s="44" t="str">
        <f>IF(Table1[Date of Initial Assessment]="","",IF(AND(Table1[Start Date]&gt;42460,Table1[Start Date]&lt;42826),Table1[Managing Tenancy and Accommodation],""))</f>
        <v/>
      </c>
      <c r="GD158" s="44" t="str">
        <f>IF(Table1[Date of Initial Assessment]="","",IF(AND(Table1[Start Date]&gt;42460,Table1[Start Date]&lt;42826),Table1[Offending],""))</f>
        <v/>
      </c>
      <c r="GE158" s="44" t="str">
        <f>IF(Table1[Leaving Date]="","",IF(AND(Table1[Leaving Date]&gt;42460,Table1[Leaving Date]&lt;42826),IF(Table1[Date of Last Assessment]="",Table1[Motivation and Taking Responsibility],Table1[Motivation and Taking Responsibility2]),""))</f>
        <v/>
      </c>
      <c r="GF158" s="44" t="str">
        <f>IF(Table1[Leaving Date]="","",IF(AND(Table1[Leaving Date]&gt;42460,Table1[Leaving Date]&lt;42826),IF(Table1[Date of Last Assessment]="",Table1[Self-Care and Living Skills],Table1[Self-Care and Living Skills2]),""))</f>
        <v/>
      </c>
      <c r="GG158" s="44" t="str">
        <f>IF(Table1[Leaving Date]="","",IF(AND(Table1[Leaving Date]&gt;42460,Table1[Leaving Date]&lt;42826),IF(Table1[Date of Last Assessment]="",Table1[Managing Money and Personal Administration],Table1[Managing Money and Personal Administration2]),""))</f>
        <v/>
      </c>
      <c r="GH158" s="44" t="str">
        <f>IF(Table1[Leaving Date]="","",IF(AND(Table1[Leaving Date]&gt;42460,Table1[Leaving Date]&lt;42826),IF(Table1[Date of Last Assessment]="",Table1[Social Networks and Relationships],Table1[Social Networks and Relationships2]),""))</f>
        <v/>
      </c>
      <c r="GI158" s="44" t="str">
        <f>IF(Table1[Leaving Date]="","",IF(AND(Table1[Leaving Date]&gt;42460,Table1[Leaving Date]&lt;42826),IF(Table1[Date of Last Assessment]="",Table1[Drug and Alcohol Misuse],Table1[Drug and Alcohol Misuse2]),""))</f>
        <v/>
      </c>
      <c r="GJ158" s="44" t="str">
        <f>IF(Table1[Leaving Date]="","",IF(AND(Table1[Leaving Date]&gt;42460,Table1[Leaving Date]&lt;42826),IF(Table1[Date of Last Assessment]="",Table1[Physical Health],Table1[Physical Health2]),""))</f>
        <v/>
      </c>
      <c r="GK158" s="44" t="str">
        <f>IF(Table1[Leaving Date]="","",IF(AND(Table1[Leaving Date]&gt;42460,Table1[Leaving Date]&lt;42826),IF(Table1[Date of Last Assessment]="",Table1[Emotional and Mental Health],Table1[Emotional and Mental Health2]),""))</f>
        <v/>
      </c>
      <c r="GL158" s="44" t="str">
        <f>IF(Table1[Leaving Date]="","",IF(AND(Table1[Leaving Date]&gt;42460,Table1[Leaving Date]&lt;42826),IF(Table1[Date of Last Assessment]="",Table1[Meaningful Use of Time],Table1[Meaningful Use of Time2]),""))</f>
        <v/>
      </c>
      <c r="GM158" s="44" t="str">
        <f>IF(Table1[Leaving Date]="","",IF(AND(Table1[Leaving Date]&gt;42460,Table1[Leaving Date]&lt;42826),IF(Table1[Date of Last Assessment]="",Table1[Managing Tenancy and Accommodation],Table1[Managing Tenancy and Accommodation2]),""))</f>
        <v/>
      </c>
      <c r="GN158" s="44" t="str">
        <f>IF(Table1[Leaving Date]="","",IF(AND(Table1[Leaving Date]&gt;42460,Table1[Leaving Date]&lt;42826),IF(Table1[Date of Last Assessment]="",Table1[Offending],Table1[Offending2]),""))</f>
        <v/>
      </c>
    </row>
    <row r="159" spans="2:196" ht="20.100000000000001" customHeight="1" x14ac:dyDescent="0.2">
      <c r="B159" s="86">
        <f>+'Service Data'!$C$5:$C$5</f>
        <v>0</v>
      </c>
      <c r="C159" s="86"/>
      <c r="D159" s="86"/>
      <c r="E159" s="86"/>
      <c r="F159" s="86"/>
      <c r="G159" s="86"/>
      <c r="H159" s="6"/>
      <c r="I159" s="99" t="str">
        <f ca="1">IF(Table1[[#This Row],[Date of Birth]]="","",SUM(TODAY()-Table1[[#This Row],[Date of Birth]])/365)</f>
        <v/>
      </c>
      <c r="L159" s="86"/>
      <c r="M159" s="77"/>
      <c r="N159" s="86"/>
      <c r="O159" s="86"/>
      <c r="P159" s="91"/>
      <c r="Q159" s="86"/>
      <c r="R159" s="77"/>
      <c r="S159" s="77"/>
      <c r="T159" s="68"/>
      <c r="U159" s="68"/>
      <c r="V159" s="67"/>
      <c r="W159" s="67"/>
      <c r="X159" s="67"/>
      <c r="Y159" s="67"/>
      <c r="Z159" s="67"/>
      <c r="AA159" s="67"/>
      <c r="AB159" s="67"/>
      <c r="AC159" s="67"/>
      <c r="AD159" s="67"/>
      <c r="AE159" s="67"/>
      <c r="AF159" s="67"/>
      <c r="AG159" s="67"/>
      <c r="AH159" s="67"/>
      <c r="AI159" s="67"/>
      <c r="AJ159" s="67"/>
      <c r="AK159" s="67"/>
      <c r="AL159" s="67"/>
      <c r="AM159" s="67"/>
      <c r="AN159" s="77"/>
      <c r="AO159" s="76"/>
      <c r="AP159" s="77"/>
      <c r="AQ159" s="76"/>
      <c r="AR159" s="76"/>
      <c r="AS159" s="76"/>
      <c r="AT159" s="76"/>
      <c r="AU159" s="76"/>
      <c r="AV159" s="77"/>
      <c r="AW159" s="76"/>
      <c r="AX159" s="77"/>
      <c r="AY159" s="76"/>
      <c r="AZ159" s="76"/>
      <c r="BA159" s="76"/>
      <c r="BB159" s="76"/>
      <c r="BC159" s="76"/>
      <c r="BD159" s="77"/>
      <c r="BE159" s="76"/>
      <c r="BF159" s="77"/>
      <c r="BG159" s="76"/>
      <c r="BH159" s="76"/>
      <c r="BI159" s="76"/>
      <c r="BJ159" s="76"/>
      <c r="BK159" s="76"/>
      <c r="BL159" s="77"/>
      <c r="BM159" s="76"/>
      <c r="BN159" s="77"/>
      <c r="BO159" s="76"/>
      <c r="BP159" s="76"/>
      <c r="BQ159" s="76"/>
      <c r="BR159" s="76"/>
      <c r="BS159" s="76"/>
      <c r="BT159" s="77"/>
      <c r="BU159" s="76"/>
      <c r="BV159" s="77"/>
      <c r="BW159" s="76"/>
      <c r="BX159" s="76"/>
      <c r="BY159" s="76"/>
      <c r="BZ159" s="76"/>
      <c r="CA159" s="76"/>
      <c r="CB159" s="77"/>
      <c r="CC159" s="76"/>
      <c r="CD159" s="77"/>
      <c r="CE159" s="76"/>
      <c r="CF159" s="76"/>
      <c r="CG159" s="76"/>
      <c r="CH159" s="76"/>
      <c r="CI159" s="76"/>
      <c r="CJ159" s="77"/>
      <c r="CK159" s="76"/>
      <c r="CL159" s="77"/>
      <c r="CM159" s="76"/>
      <c r="CN159" s="76"/>
      <c r="CO159" s="76"/>
      <c r="CP159" s="76"/>
      <c r="CQ159" s="76"/>
      <c r="CR159" s="78" t="str">
        <f t="shared" si="47"/>
        <v/>
      </c>
      <c r="CS159" s="79" t="str">
        <f t="shared" si="48"/>
        <v/>
      </c>
      <c r="CT159" s="79" t="str">
        <f t="shared" si="49"/>
        <v/>
      </c>
      <c r="CU159" s="79" t="str">
        <f t="shared" si="50"/>
        <v/>
      </c>
      <c r="CV159" s="79" t="str">
        <f t="shared" si="51"/>
        <v/>
      </c>
      <c r="CW159" s="79" t="str">
        <f t="shared" si="52"/>
        <v/>
      </c>
      <c r="CX159" s="79" t="str">
        <f t="shared" si="53"/>
        <v/>
      </c>
      <c r="CY159" s="79" t="str">
        <f t="shared" si="54"/>
        <v/>
      </c>
      <c r="CZ159" s="79" t="str">
        <f t="shared" si="55"/>
        <v/>
      </c>
      <c r="DA159" s="79" t="str">
        <f t="shared" si="56"/>
        <v/>
      </c>
      <c r="DB159" s="79" t="str">
        <f t="shared" si="57"/>
        <v/>
      </c>
      <c r="DC159" s="79" t="str">
        <f t="shared" si="58"/>
        <v/>
      </c>
      <c r="DD159" s="79" t="str">
        <f t="shared" si="59"/>
        <v/>
      </c>
      <c r="DE159" s="79" t="str">
        <f t="shared" si="60"/>
        <v/>
      </c>
      <c r="DF159" s="79" t="str">
        <f t="shared" si="61"/>
        <v/>
      </c>
      <c r="DG159" s="79" t="str">
        <f t="shared" si="62"/>
        <v/>
      </c>
      <c r="DH159" s="76"/>
      <c r="DI159" s="78"/>
      <c r="DJ159" s="76"/>
      <c r="DK159" s="77"/>
      <c r="DL159" s="77"/>
      <c r="DM159" s="77"/>
      <c r="DN159" s="80"/>
      <c r="DO159" s="80"/>
      <c r="DP159" s="92" t="str">
        <f>IF(Table1[Start Date]="","",IF(Table1[Start Date]&gt;42185,"",IF(AND(Table1[Leaving Date]&gt;1,Table1[Leaving Date]&lt;42095),"",1)))</f>
        <v/>
      </c>
      <c r="DQ159" s="92" t="str">
        <f>IF(Table1[Start Date]="","",IF(Table1[Start Date]&gt;42277,"",IF(AND(Table1[Leaving Date]&gt;1,Table1[Leaving Date]&lt;42186),"",1)))</f>
        <v/>
      </c>
      <c r="DR159" s="92" t="str">
        <f>IF(Table1[Start Date]="","",IF(Table1[Start Date]&gt;42369,"",IF(AND(Table1[Leaving Date]&gt;1,Table1[Leaving Date]&lt;42278),"",1)))</f>
        <v/>
      </c>
      <c r="DS159" s="92" t="str">
        <f>IF(Table1[Start Date]="","",IF(Table1[Start Date]&gt;42460,"",IF(AND(Table1[Leaving Date]&gt;1,Table1[Leaving Date]&lt;42370),"",1)))</f>
        <v/>
      </c>
      <c r="DT159" s="92" t="str">
        <f>IF(Table1[Start Date]="","",IF(Table1[Start Date]&gt;42551,"",IF(AND(Table1[Leaving Date]&gt;1,Table1[Leaving Date]&lt;42461),"",1)))</f>
        <v/>
      </c>
      <c r="DU159" s="92" t="str">
        <f>IF(Table1[Start Date]="","",IF(Table1[Start Date]&gt;42643,"",IF(AND(Table1[Leaving Date]&gt;1,Table1[Leaving Date]&lt;42552),"",1)))</f>
        <v/>
      </c>
      <c r="DV159" s="92" t="str">
        <f>IF(Table1[Start Date]="","",IF(Table1[Start Date]&gt;42735,"",IF(AND(Table1[Leaving Date]&gt;1,Table1[Leaving Date]&lt;42644),"",1)))</f>
        <v/>
      </c>
      <c r="DW159" s="92" t="str">
        <f>IF(Table1[Start Date]="","",IF(Table1[Start Date]&gt;42825,"",IF(AND(Table1[Leaving Date]&gt;1,Table1[Leaving Date]&lt;42736),"",1)))</f>
        <v/>
      </c>
      <c r="DX159"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159" s="44" t="e">
        <f>VLOOKUP(Table1[Referral Source],Lists!$G$2:$H$20,2,FALSE)</f>
        <v>#N/A</v>
      </c>
      <c r="DZ159" s="93" t="e">
        <f>SUM(Table1[Data Referral Quarter]+Table1[Data Referral Source])</f>
        <v>#N/A</v>
      </c>
      <c r="EA159" s="44" t="b">
        <f>IF(Table1[Referral Decision]="Accepted",100,IF(Table1[Referral Decision]="Rejected by Provider",200,IF(Table1[Referral Decision]="Rejected by Applicant",300)))</f>
        <v>0</v>
      </c>
      <c r="EB159" s="44">
        <f>SUM(Table1[Data Referral Quarter]+Table1[Data Referral Decision])</f>
        <v>0</v>
      </c>
      <c r="EC159" s="44" t="b">
        <f>IF(Table1[Start Date]&gt;42735,8000,IF(Table1[Start Date]&gt;42643,7000,IF(Table1[Start Date]&gt;42551,6000,IF(Table1[Start Date]&gt;42460,5000,IF(Table1[Start Date]&gt;42369,4000,IF(Table1[Start Date]&gt;42277,3000,IF(Table1[Start Date]&gt;42185,2000,IF(Table1[Start Date]&gt;42094,1000))))))))</f>
        <v>0</v>
      </c>
      <c r="ED159" s="44" t="str">
        <f>IF(Table1[Start Date]="","",IF(Table1[Current Local Authority]="Swindon",1,"2"))</f>
        <v/>
      </c>
      <c r="EE159" s="44" t="e">
        <f>SUM(Table1[Data Start Date]+Table1[Data Local Authority])</f>
        <v>#VALUE!</v>
      </c>
      <c r="EF159" s="44">
        <f>IF(Table1[Registered with GP]="Yes",1,0)</f>
        <v>0</v>
      </c>
      <c r="EG159" s="44">
        <f>SUM(Table1[Data Start Date]+Table1[Data GP Start])</f>
        <v>0</v>
      </c>
      <c r="EH159" s="44" t="str">
        <f>IF(Table1[EET]="NEET",1,IF(Table1[EET]="Education",2,IF(Table1[EET]="Employment",2,IF(Table1[EET]="Training",2,IF(Table1[EET]="Retired",3,"")))))</f>
        <v/>
      </c>
      <c r="EI159" s="44" t="e">
        <f>Table1[Data Start Date]+Table1[Data EET Start]</f>
        <v>#VALUE!</v>
      </c>
      <c r="EJ159" s="44" t="b">
        <f>IF(Table1[Leaving Date]&gt;42735,8000,IF(Table1[Leaving Date]&gt;42643,7000,IF(Table1[Leaving Date]&gt;42551,6000,IF(Table1[Leaving Date]&gt;42460,5000,IF(Table1[Leaving Date]&gt;42369,4000,IF(Table1[Leaving Date]&gt;42277,3000,IF(Table1[Leaving Date]&gt;42185,2000,IF(Table1[Leaving Date]&gt;42094,1000))))))))</f>
        <v>0</v>
      </c>
      <c r="EK159" s="44" t="e">
        <f>VLOOKUP(Table1[Reason for Leaving],Lists!$T$2:$U$15,2,FALSE)</f>
        <v>#N/A</v>
      </c>
      <c r="EL159" s="44" t="e">
        <f>SUM(Table1[Data Leavers Date]+Table1[Data Move On])</f>
        <v>#N/A</v>
      </c>
      <c r="EM159" s="44" t="b">
        <f>IF(Table1[Registered with GP2]="Yes",1,IF(Table1[Registered with GP2]="No",0,IF(Table1[Registered with GP]="Yes",1,IF(Table1[Registered with GP]="No",0))))</f>
        <v>0</v>
      </c>
      <c r="EN159" s="44">
        <f>SUM(Table1[Data Leavers Date]+Table1[Data GP End])</f>
        <v>0</v>
      </c>
      <c r="EO159" s="44" t="str">
        <f>IF(Table1[EET2]="NEET",1,IF(Table1[EET2]="Employment",2,IF(Table1[EET2]="Education",2,IF(Table1[EET2]="Training",2,IF(Table1[EET2]="Retired",3,IF(Table1[EET]="NEET",1,IF(Table1[EET]="Employment",2,IF(Table1[EET]="Education",2,IF(Table1[EET]="Training",2,IF(Table1[EET]="Retired",3,""))))))))))</f>
        <v/>
      </c>
      <c r="EP159" s="44" t="e">
        <f>+Table1[[#This Row],[Data Leavers Date]]+Table1[[#This Row],[Data EET End]]</f>
        <v>#VALUE!</v>
      </c>
      <c r="EQ159" s="44">
        <f>IF(Table1[Exit Form Received]="Yes",1,0)</f>
        <v>0</v>
      </c>
      <c r="ER159" s="44">
        <f>+Table1[[#This Row],[Data Leavers Date]]+Table1[[#This Row],[Data Exit Forms]]</f>
        <v>0</v>
      </c>
      <c r="ES159" s="44" t="str">
        <f>IF(Table1[Data Leavers Date]=1000,SUM(Table1[Leaving Date]-Table1[Start Date]),"")</f>
        <v/>
      </c>
      <c r="ET159" s="44" t="str">
        <f>IF(Table1[Data Leavers Date]=2000,SUM(Table1[Leaving Date]-Table1[Start Date]),"")</f>
        <v/>
      </c>
      <c r="EU159" s="44" t="str">
        <f>IF(Table1[Data Leavers Date]=3000,SUM(Table1[Leaving Date]-Table1[Start Date]),"")</f>
        <v/>
      </c>
      <c r="EV159" s="44" t="str">
        <f>IF(Table1[Data Leavers Date]=4000,SUM(Table1[Leaving Date]-Table1[Start Date]),"")</f>
        <v/>
      </c>
      <c r="EW159" s="44" t="str">
        <f>IF(Table1[Data Leavers Date]=5000,SUM(Table1[Leaving Date]-Table1[Start Date]),"")</f>
        <v/>
      </c>
      <c r="EX159" s="44" t="str">
        <f>IF(Table1[Data Leavers Date]=6000,SUM(Table1[Leaving Date]-Table1[Start Date]),"")</f>
        <v/>
      </c>
      <c r="EY159" s="44" t="str">
        <f>IF(Table1[Data Leavers Date]=7000,SUM(Table1[Leaving Date]-Table1[Start Date]),"")</f>
        <v/>
      </c>
      <c r="EZ159" s="44" t="str">
        <f>IF(Table1[Data Leavers Date]=8000,SUM(Table1[Leaving Date]-Table1[Start Date]),"")</f>
        <v/>
      </c>
      <c r="FA159" s="44" t="str">
        <f>IF(Table1[Date of Initial Assessment]="","",IF(AND(Table1[Start Date]&gt;42094,Table1[Start Date]&lt;42461),Table1[Motivation and Taking Responsibility],""))</f>
        <v/>
      </c>
      <c r="FB159" s="44" t="str">
        <f>IF(Table1[Date of Initial Assessment]="","",IF(AND(Table1[Start Date]&gt;42094,Table1[Start Date]&lt;42461),Table1[Self-Care and Living Skills],""))</f>
        <v/>
      </c>
      <c r="FC159" s="44" t="str">
        <f>IF(Table1[Date of Initial Assessment]="","",IF(AND(Table1[Start Date]&gt;42094,Table1[Start Date]&lt;42461),Table1[Managing Money and Personal Administration],""))</f>
        <v/>
      </c>
      <c r="FD159" s="44" t="str">
        <f>IF(Table1[Date of Initial Assessment]="","",IF(AND(Table1[Start Date]&gt;42094,Table1[Start Date]&lt;42461),Table1[Social Networks and Relationships],""))</f>
        <v/>
      </c>
      <c r="FE159" s="44" t="str">
        <f>IF(Table1[Date of Initial Assessment]="","",IF(AND(Table1[Start Date]&gt;42094,Table1[Start Date]&lt;42461),Table1[Drug and Alcohol Misuse],""))</f>
        <v/>
      </c>
      <c r="FF159" s="44" t="str">
        <f>IF(Table1[Date of Initial Assessment]="","",IF(AND(Table1[Start Date]&gt;42094,Table1[Start Date]&lt;42461),Table1[Physical Health],""))</f>
        <v/>
      </c>
      <c r="FG159" s="44" t="str">
        <f>IF(Table1[Date of Initial Assessment]="","",IF(AND(Table1[Start Date]&gt;42094,Table1[Start Date]&lt;42461),Table1[Emotional and Mental Health],""))</f>
        <v/>
      </c>
      <c r="FH159" s="44" t="str">
        <f>IF(Table1[Date of Initial Assessment]="","",IF(AND(Table1[Start Date]&gt;42094,Table1[Start Date]&lt;42461),Table1[Meaningful Use of Time],""))</f>
        <v/>
      </c>
      <c r="FI159" s="44" t="str">
        <f>IF(Table1[Date of Initial Assessment]="","",IF(AND(Table1[Start Date]&gt;42094,Table1[Start Date]&lt;42461),Table1[Managing Tenancy and Accommodation],""))</f>
        <v/>
      </c>
      <c r="FJ159" s="44" t="str">
        <f>IF(Table1[Date of Initial Assessment]="","",IF(AND(Table1[Start Date]&gt;42094,Table1[Start Date]&lt;42461),Table1[Offending],""))</f>
        <v/>
      </c>
      <c r="FK159" s="44" t="str">
        <f>IF(Table1[Leaving Date]="","",IF(Table1[Date of Initial Assessment]="","",IF(AND(Table1[Leaving Date]&gt;42094,Table1[Leaving Date]&lt;42461),IF(Table1[Date of Last Assessment]="",Table1[Motivation and Taking Responsibility],Table1[Motivation and Taking Responsibility2]),"")))</f>
        <v/>
      </c>
      <c r="FL159" s="44" t="str">
        <f>IF(Table1[Leaving Date]="","",IF(Table1[Date of Initial Assessment]="","",IF(AND(Table1[Leaving Date]&gt;42094,Table1[Leaving Date]&lt;42461),IF(Table1[Date of Last Assessment]="",Table1[Self-Care and Living Skills],Table1[Self-Care and Living Skills2]),"")))</f>
        <v/>
      </c>
      <c r="FM159" s="44" t="str">
        <f>IF(Table1[Leaving Date]="","",IF(Table1[Date of Initial Assessment]="","",IF(AND(Table1[Leaving Date]&gt;42094,Table1[Leaving Date]&lt;42461),IF(Table1[Date of Last Assessment]="",Table1[Managing Money and Personal Administration],Table1[Managing Money and Personal Administration2]),"")))</f>
        <v/>
      </c>
      <c r="FN159" s="44" t="str">
        <f>IF(Table1[Leaving Date]="","",IF(Table1[Date of Initial Assessment]="","",IF(AND(Table1[Leaving Date]&gt;42094,Table1[Leaving Date]&lt;42461),IF(Table1[Date of Last Assessment]="",Table1[Social Networks and Relationships],Table1[Social Networks and Relationships2]),"")))</f>
        <v/>
      </c>
      <c r="FO159" s="44" t="str">
        <f>IF(Table1[Leaving Date]="","",IF(Table1[Date of Initial Assessment]="","",IF(AND(Table1[Leaving Date]&gt;42094,Table1[Leaving Date]&lt;42461),IF(Table1[Date of Last Assessment]="",Table1[Drug and Alcohol Misuse],Table1[Drug and Alcohol Misuse2]),"")))</f>
        <v/>
      </c>
      <c r="FP159" s="44" t="str">
        <f>IF(Table1[Leaving Date]="","",IF(Table1[Date of Initial Assessment]="","",IF(AND(Table1[Leaving Date]&gt;42094,Table1[Leaving Date]&lt;42461),IF(Table1[Date of Last Assessment]="",Table1[Physical Health],Table1[Physical Health2]),"")))</f>
        <v/>
      </c>
      <c r="FQ159" s="44" t="str">
        <f>IF(Table1[Leaving Date]="","",IF(Table1[Date of Initial Assessment]="","",IF(AND(Table1[Leaving Date]&gt;42094,Table1[Leaving Date]&lt;42461),IF(Table1[Date of Last Assessment]="",Table1[Emotional and Mental Health],Table1[Emotional and Mental Health2]),"")))</f>
        <v/>
      </c>
      <c r="FR159" s="44" t="str">
        <f>IF(Table1[Leaving Date]="","",IF(Table1[Date of Initial Assessment]="","",IF(AND(Table1[Leaving Date]&gt;42094,Table1[Leaving Date]&lt;42461),IF(Table1[Date of Last Assessment]="",Table1[Meaningful Use of Time],Table1[Meaningful Use of Time2]),"")))</f>
        <v/>
      </c>
      <c r="FS159" s="44" t="str">
        <f>IF(Table1[Leaving Date]="","",IF(Table1[Date of Initial Assessment]="","",IF(AND(Table1[Leaving Date]&gt;42094,Table1[Leaving Date]&lt;42461),IF(Table1[Date of Last Assessment]="",Table1[Managing Tenancy and Accommodation],Table1[Managing Tenancy and Accommodation2]),"")))</f>
        <v/>
      </c>
      <c r="FT159" s="44" t="str">
        <f>IF(Table1[Leaving Date]="","",IF(Table1[Date of Initial Assessment]="","",IF(AND(Table1[Leaving Date]&gt;42094,Table1[Leaving Date]&lt;42461),IF(Table1[Date of Last Assessment]="",Table1[Offending],Table1[Offending2]),"")))</f>
        <v/>
      </c>
      <c r="FU159" s="44" t="str">
        <f>IF(Table1[Date of Initial Assessment]="","",IF(AND(Table1[Start Date]&gt;42460,Table1[Start Date]&lt;42826),Table1[Motivation and Taking Responsibility],""))</f>
        <v/>
      </c>
      <c r="FV159" s="44" t="str">
        <f>IF(Table1[Date of Initial Assessment]="","",IF(AND(Table1[Start Date]&gt;42460,Table1[Start Date]&lt;42826),Table1[Self-Care and Living Skills],""))</f>
        <v/>
      </c>
      <c r="FW159" s="44" t="str">
        <f>IF(Table1[Date of Initial Assessment]="","",IF(AND(Table1[Start Date]&gt;42460,Table1[Start Date]&lt;42826),Table1[Managing Money and Personal Administration],""))</f>
        <v/>
      </c>
      <c r="FX159" s="44" t="str">
        <f>IF(Table1[Date of Initial Assessment]="","",IF(AND(Table1[Start Date]&gt;42460,Table1[Start Date]&lt;42826),Table1[Social Networks and Relationships],""))</f>
        <v/>
      </c>
      <c r="FY159" s="44" t="str">
        <f>IF(Table1[Date of Initial Assessment]="","",IF(AND(Table1[Start Date]&gt;42460,Table1[Start Date]&lt;42826),Table1[Drug and Alcohol Misuse],""))</f>
        <v/>
      </c>
      <c r="FZ159" s="44" t="str">
        <f>IF(Table1[Date of Initial Assessment]="","",IF(AND(Table1[Start Date]&gt;42460,Table1[Start Date]&lt;42826),Table1[Physical Health],""))</f>
        <v/>
      </c>
      <c r="GA159" s="44" t="str">
        <f>IF(Table1[Date of Initial Assessment]="","",IF(AND(Table1[Start Date]&gt;42460,Table1[Start Date]&lt;42826),Table1[Emotional and Mental Health],""))</f>
        <v/>
      </c>
      <c r="GB159" s="44" t="str">
        <f>IF(Table1[Date of Initial Assessment]="","",IF(AND(Table1[Start Date]&gt;42460,Table1[Start Date]&lt;42826),Table1[Meaningful Use of Time],""))</f>
        <v/>
      </c>
      <c r="GC159" s="44" t="str">
        <f>IF(Table1[Date of Initial Assessment]="","",IF(AND(Table1[Start Date]&gt;42460,Table1[Start Date]&lt;42826),Table1[Managing Tenancy and Accommodation],""))</f>
        <v/>
      </c>
      <c r="GD159" s="44" t="str">
        <f>IF(Table1[Date of Initial Assessment]="","",IF(AND(Table1[Start Date]&gt;42460,Table1[Start Date]&lt;42826),Table1[Offending],""))</f>
        <v/>
      </c>
      <c r="GE159" s="44" t="str">
        <f>IF(Table1[Leaving Date]="","",IF(AND(Table1[Leaving Date]&gt;42460,Table1[Leaving Date]&lt;42826),IF(Table1[Date of Last Assessment]="",Table1[Motivation and Taking Responsibility],Table1[Motivation and Taking Responsibility2]),""))</f>
        <v/>
      </c>
      <c r="GF159" s="44" t="str">
        <f>IF(Table1[Leaving Date]="","",IF(AND(Table1[Leaving Date]&gt;42460,Table1[Leaving Date]&lt;42826),IF(Table1[Date of Last Assessment]="",Table1[Self-Care and Living Skills],Table1[Self-Care and Living Skills2]),""))</f>
        <v/>
      </c>
      <c r="GG159" s="44" t="str">
        <f>IF(Table1[Leaving Date]="","",IF(AND(Table1[Leaving Date]&gt;42460,Table1[Leaving Date]&lt;42826),IF(Table1[Date of Last Assessment]="",Table1[Managing Money and Personal Administration],Table1[Managing Money and Personal Administration2]),""))</f>
        <v/>
      </c>
      <c r="GH159" s="44" t="str">
        <f>IF(Table1[Leaving Date]="","",IF(AND(Table1[Leaving Date]&gt;42460,Table1[Leaving Date]&lt;42826),IF(Table1[Date of Last Assessment]="",Table1[Social Networks and Relationships],Table1[Social Networks and Relationships2]),""))</f>
        <v/>
      </c>
      <c r="GI159" s="44" t="str">
        <f>IF(Table1[Leaving Date]="","",IF(AND(Table1[Leaving Date]&gt;42460,Table1[Leaving Date]&lt;42826),IF(Table1[Date of Last Assessment]="",Table1[Drug and Alcohol Misuse],Table1[Drug and Alcohol Misuse2]),""))</f>
        <v/>
      </c>
      <c r="GJ159" s="44" t="str">
        <f>IF(Table1[Leaving Date]="","",IF(AND(Table1[Leaving Date]&gt;42460,Table1[Leaving Date]&lt;42826),IF(Table1[Date of Last Assessment]="",Table1[Physical Health],Table1[Physical Health2]),""))</f>
        <v/>
      </c>
      <c r="GK159" s="44" t="str">
        <f>IF(Table1[Leaving Date]="","",IF(AND(Table1[Leaving Date]&gt;42460,Table1[Leaving Date]&lt;42826),IF(Table1[Date of Last Assessment]="",Table1[Emotional and Mental Health],Table1[Emotional and Mental Health2]),""))</f>
        <v/>
      </c>
      <c r="GL159" s="44" t="str">
        <f>IF(Table1[Leaving Date]="","",IF(AND(Table1[Leaving Date]&gt;42460,Table1[Leaving Date]&lt;42826),IF(Table1[Date of Last Assessment]="",Table1[Meaningful Use of Time],Table1[Meaningful Use of Time2]),""))</f>
        <v/>
      </c>
      <c r="GM159" s="44" t="str">
        <f>IF(Table1[Leaving Date]="","",IF(AND(Table1[Leaving Date]&gt;42460,Table1[Leaving Date]&lt;42826),IF(Table1[Date of Last Assessment]="",Table1[Managing Tenancy and Accommodation],Table1[Managing Tenancy and Accommodation2]),""))</f>
        <v/>
      </c>
      <c r="GN159" s="44" t="str">
        <f>IF(Table1[Leaving Date]="","",IF(AND(Table1[Leaving Date]&gt;42460,Table1[Leaving Date]&lt;42826),IF(Table1[Date of Last Assessment]="",Table1[Offending],Table1[Offending2]),""))</f>
        <v/>
      </c>
    </row>
    <row r="160" spans="2:196" ht="20.100000000000001" customHeight="1" x14ac:dyDescent="0.2">
      <c r="B160" s="86">
        <f>+'Service Data'!$C$5:$C$5</f>
        <v>0</v>
      </c>
      <c r="C160" s="86"/>
      <c r="D160" s="86"/>
      <c r="E160" s="86"/>
      <c r="F160" s="86"/>
      <c r="G160" s="86"/>
      <c r="H160" s="6"/>
      <c r="I160" s="99" t="str">
        <f ca="1">IF(Table1[[#This Row],[Date of Birth]]="","",SUM(TODAY()-Table1[[#This Row],[Date of Birth]])/365)</f>
        <v/>
      </c>
      <c r="L160" s="86"/>
      <c r="M160" s="77"/>
      <c r="N160" s="86"/>
      <c r="O160" s="86"/>
      <c r="P160" s="91"/>
      <c r="Q160" s="86"/>
      <c r="R160" s="77"/>
      <c r="S160" s="77"/>
      <c r="T160" s="68"/>
      <c r="U160" s="68"/>
      <c r="V160" s="67"/>
      <c r="W160" s="67"/>
      <c r="X160" s="67"/>
      <c r="Y160" s="67"/>
      <c r="Z160" s="67"/>
      <c r="AA160" s="67"/>
      <c r="AB160" s="67"/>
      <c r="AC160" s="67"/>
      <c r="AD160" s="67"/>
      <c r="AE160" s="67"/>
      <c r="AF160" s="67"/>
      <c r="AG160" s="67"/>
      <c r="AH160" s="67"/>
      <c r="AI160" s="67"/>
      <c r="AJ160" s="67"/>
      <c r="AK160" s="67"/>
      <c r="AL160" s="67"/>
      <c r="AM160" s="67"/>
      <c r="AN160" s="77"/>
      <c r="AO160" s="76"/>
      <c r="AP160" s="77"/>
      <c r="AQ160" s="76"/>
      <c r="AR160" s="76"/>
      <c r="AS160" s="76"/>
      <c r="AT160" s="76"/>
      <c r="AU160" s="76"/>
      <c r="AV160" s="77"/>
      <c r="AW160" s="76"/>
      <c r="AX160" s="77"/>
      <c r="AY160" s="76"/>
      <c r="AZ160" s="76"/>
      <c r="BA160" s="76"/>
      <c r="BB160" s="76"/>
      <c r="BC160" s="76"/>
      <c r="BD160" s="77"/>
      <c r="BE160" s="76"/>
      <c r="BF160" s="77"/>
      <c r="BG160" s="76"/>
      <c r="BH160" s="76"/>
      <c r="BI160" s="76"/>
      <c r="BJ160" s="76"/>
      <c r="BK160" s="76"/>
      <c r="BL160" s="77"/>
      <c r="BM160" s="76"/>
      <c r="BN160" s="77"/>
      <c r="BO160" s="76"/>
      <c r="BP160" s="76"/>
      <c r="BQ160" s="76"/>
      <c r="BR160" s="76"/>
      <c r="BS160" s="76"/>
      <c r="BT160" s="77"/>
      <c r="BU160" s="76"/>
      <c r="BV160" s="77"/>
      <c r="BW160" s="76"/>
      <c r="BX160" s="76"/>
      <c r="BY160" s="76"/>
      <c r="BZ160" s="76"/>
      <c r="CA160" s="76"/>
      <c r="CB160" s="77"/>
      <c r="CC160" s="76"/>
      <c r="CD160" s="77"/>
      <c r="CE160" s="76"/>
      <c r="CF160" s="76"/>
      <c r="CG160" s="76"/>
      <c r="CH160" s="76"/>
      <c r="CI160" s="76"/>
      <c r="CJ160" s="77"/>
      <c r="CK160" s="76"/>
      <c r="CL160" s="77"/>
      <c r="CM160" s="76"/>
      <c r="CN160" s="76"/>
      <c r="CO160" s="76"/>
      <c r="CP160" s="76"/>
      <c r="CQ160" s="76"/>
      <c r="CR160" s="78" t="str">
        <f t="shared" si="47"/>
        <v/>
      </c>
      <c r="CS160" s="79" t="str">
        <f t="shared" si="48"/>
        <v/>
      </c>
      <c r="CT160" s="79" t="str">
        <f t="shared" si="49"/>
        <v/>
      </c>
      <c r="CU160" s="79" t="str">
        <f t="shared" si="50"/>
        <v/>
      </c>
      <c r="CV160" s="79" t="str">
        <f t="shared" si="51"/>
        <v/>
      </c>
      <c r="CW160" s="79" t="str">
        <f t="shared" si="52"/>
        <v/>
      </c>
      <c r="CX160" s="79" t="str">
        <f t="shared" si="53"/>
        <v/>
      </c>
      <c r="CY160" s="79" t="str">
        <f t="shared" si="54"/>
        <v/>
      </c>
      <c r="CZ160" s="79" t="str">
        <f t="shared" si="55"/>
        <v/>
      </c>
      <c r="DA160" s="79" t="str">
        <f t="shared" si="56"/>
        <v/>
      </c>
      <c r="DB160" s="79" t="str">
        <f t="shared" si="57"/>
        <v/>
      </c>
      <c r="DC160" s="79" t="str">
        <f t="shared" si="58"/>
        <v/>
      </c>
      <c r="DD160" s="79" t="str">
        <f t="shared" si="59"/>
        <v/>
      </c>
      <c r="DE160" s="79" t="str">
        <f t="shared" si="60"/>
        <v/>
      </c>
      <c r="DF160" s="79" t="str">
        <f t="shared" si="61"/>
        <v/>
      </c>
      <c r="DG160" s="79" t="str">
        <f t="shared" si="62"/>
        <v/>
      </c>
      <c r="DH160" s="76"/>
      <c r="DI160" s="78"/>
      <c r="DJ160" s="76"/>
      <c r="DK160" s="77"/>
      <c r="DL160" s="77"/>
      <c r="DM160" s="77"/>
      <c r="DN160" s="80"/>
      <c r="DO160" s="80"/>
      <c r="DP160" s="92" t="str">
        <f>IF(Table1[Start Date]="","",IF(Table1[Start Date]&gt;42185,"",IF(AND(Table1[Leaving Date]&gt;1,Table1[Leaving Date]&lt;42095),"",1)))</f>
        <v/>
      </c>
      <c r="DQ160" s="92" t="str">
        <f>IF(Table1[Start Date]="","",IF(Table1[Start Date]&gt;42277,"",IF(AND(Table1[Leaving Date]&gt;1,Table1[Leaving Date]&lt;42186),"",1)))</f>
        <v/>
      </c>
      <c r="DR160" s="92" t="str">
        <f>IF(Table1[Start Date]="","",IF(Table1[Start Date]&gt;42369,"",IF(AND(Table1[Leaving Date]&gt;1,Table1[Leaving Date]&lt;42278),"",1)))</f>
        <v/>
      </c>
      <c r="DS160" s="92" t="str">
        <f>IF(Table1[Start Date]="","",IF(Table1[Start Date]&gt;42460,"",IF(AND(Table1[Leaving Date]&gt;1,Table1[Leaving Date]&lt;42370),"",1)))</f>
        <v/>
      </c>
      <c r="DT160" s="92" t="str">
        <f>IF(Table1[Start Date]="","",IF(Table1[Start Date]&gt;42551,"",IF(AND(Table1[Leaving Date]&gt;1,Table1[Leaving Date]&lt;42461),"",1)))</f>
        <v/>
      </c>
      <c r="DU160" s="92" t="str">
        <f>IF(Table1[Start Date]="","",IF(Table1[Start Date]&gt;42643,"",IF(AND(Table1[Leaving Date]&gt;1,Table1[Leaving Date]&lt;42552),"",1)))</f>
        <v/>
      </c>
      <c r="DV160" s="92" t="str">
        <f>IF(Table1[Start Date]="","",IF(Table1[Start Date]&gt;42735,"",IF(AND(Table1[Leaving Date]&gt;1,Table1[Leaving Date]&lt;42644),"",1)))</f>
        <v/>
      </c>
      <c r="DW160" s="92" t="str">
        <f>IF(Table1[Start Date]="","",IF(Table1[Start Date]&gt;42825,"",IF(AND(Table1[Leaving Date]&gt;1,Table1[Leaving Date]&lt;42736),"",1)))</f>
        <v/>
      </c>
      <c r="DX160"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160" s="44" t="e">
        <f>VLOOKUP(Table1[Referral Source],Lists!$G$2:$H$20,2,FALSE)</f>
        <v>#N/A</v>
      </c>
      <c r="DZ160" s="93" t="e">
        <f>SUM(Table1[Data Referral Quarter]+Table1[Data Referral Source])</f>
        <v>#N/A</v>
      </c>
      <c r="EA160" s="44" t="b">
        <f>IF(Table1[Referral Decision]="Accepted",100,IF(Table1[Referral Decision]="Rejected by Provider",200,IF(Table1[Referral Decision]="Rejected by Applicant",300)))</f>
        <v>0</v>
      </c>
      <c r="EB160" s="44">
        <f>SUM(Table1[Data Referral Quarter]+Table1[Data Referral Decision])</f>
        <v>0</v>
      </c>
      <c r="EC160" s="44" t="b">
        <f>IF(Table1[Start Date]&gt;42735,8000,IF(Table1[Start Date]&gt;42643,7000,IF(Table1[Start Date]&gt;42551,6000,IF(Table1[Start Date]&gt;42460,5000,IF(Table1[Start Date]&gt;42369,4000,IF(Table1[Start Date]&gt;42277,3000,IF(Table1[Start Date]&gt;42185,2000,IF(Table1[Start Date]&gt;42094,1000))))))))</f>
        <v>0</v>
      </c>
      <c r="ED160" s="44" t="str">
        <f>IF(Table1[Start Date]="","",IF(Table1[Current Local Authority]="Swindon",1,"2"))</f>
        <v/>
      </c>
      <c r="EE160" s="44" t="e">
        <f>SUM(Table1[Data Start Date]+Table1[Data Local Authority])</f>
        <v>#VALUE!</v>
      </c>
      <c r="EF160" s="44">
        <f>IF(Table1[Registered with GP]="Yes",1,0)</f>
        <v>0</v>
      </c>
      <c r="EG160" s="44">
        <f>SUM(Table1[Data Start Date]+Table1[Data GP Start])</f>
        <v>0</v>
      </c>
      <c r="EH160" s="44" t="str">
        <f>IF(Table1[EET]="NEET",1,IF(Table1[EET]="Education",2,IF(Table1[EET]="Employment",2,IF(Table1[EET]="Training",2,IF(Table1[EET]="Retired",3,"")))))</f>
        <v/>
      </c>
      <c r="EI160" s="44" t="e">
        <f>Table1[Data Start Date]+Table1[Data EET Start]</f>
        <v>#VALUE!</v>
      </c>
      <c r="EJ160" s="44" t="b">
        <f>IF(Table1[Leaving Date]&gt;42735,8000,IF(Table1[Leaving Date]&gt;42643,7000,IF(Table1[Leaving Date]&gt;42551,6000,IF(Table1[Leaving Date]&gt;42460,5000,IF(Table1[Leaving Date]&gt;42369,4000,IF(Table1[Leaving Date]&gt;42277,3000,IF(Table1[Leaving Date]&gt;42185,2000,IF(Table1[Leaving Date]&gt;42094,1000))))))))</f>
        <v>0</v>
      </c>
      <c r="EK160" s="44" t="e">
        <f>VLOOKUP(Table1[Reason for Leaving],Lists!$T$2:$U$15,2,FALSE)</f>
        <v>#N/A</v>
      </c>
      <c r="EL160" s="44" t="e">
        <f>SUM(Table1[Data Leavers Date]+Table1[Data Move On])</f>
        <v>#N/A</v>
      </c>
      <c r="EM160" s="44" t="b">
        <f>IF(Table1[Registered with GP2]="Yes",1,IF(Table1[Registered with GP2]="No",0,IF(Table1[Registered with GP]="Yes",1,IF(Table1[Registered with GP]="No",0))))</f>
        <v>0</v>
      </c>
      <c r="EN160" s="44">
        <f>SUM(Table1[Data Leavers Date]+Table1[Data GP End])</f>
        <v>0</v>
      </c>
      <c r="EO160" s="44" t="str">
        <f>IF(Table1[EET2]="NEET",1,IF(Table1[EET2]="Employment",2,IF(Table1[EET2]="Education",2,IF(Table1[EET2]="Training",2,IF(Table1[EET2]="Retired",3,IF(Table1[EET]="NEET",1,IF(Table1[EET]="Employment",2,IF(Table1[EET]="Education",2,IF(Table1[EET]="Training",2,IF(Table1[EET]="Retired",3,""))))))))))</f>
        <v/>
      </c>
      <c r="EP160" s="44" t="e">
        <f>+Table1[[#This Row],[Data Leavers Date]]+Table1[[#This Row],[Data EET End]]</f>
        <v>#VALUE!</v>
      </c>
      <c r="EQ160" s="44">
        <f>IF(Table1[Exit Form Received]="Yes",1,0)</f>
        <v>0</v>
      </c>
      <c r="ER160" s="44">
        <f>+Table1[[#This Row],[Data Leavers Date]]+Table1[[#This Row],[Data Exit Forms]]</f>
        <v>0</v>
      </c>
      <c r="ES160" s="44" t="str">
        <f>IF(Table1[Data Leavers Date]=1000,SUM(Table1[Leaving Date]-Table1[Start Date]),"")</f>
        <v/>
      </c>
      <c r="ET160" s="44" t="str">
        <f>IF(Table1[Data Leavers Date]=2000,SUM(Table1[Leaving Date]-Table1[Start Date]),"")</f>
        <v/>
      </c>
      <c r="EU160" s="44" t="str">
        <f>IF(Table1[Data Leavers Date]=3000,SUM(Table1[Leaving Date]-Table1[Start Date]),"")</f>
        <v/>
      </c>
      <c r="EV160" s="44" t="str">
        <f>IF(Table1[Data Leavers Date]=4000,SUM(Table1[Leaving Date]-Table1[Start Date]),"")</f>
        <v/>
      </c>
      <c r="EW160" s="44" t="str">
        <f>IF(Table1[Data Leavers Date]=5000,SUM(Table1[Leaving Date]-Table1[Start Date]),"")</f>
        <v/>
      </c>
      <c r="EX160" s="44" t="str">
        <f>IF(Table1[Data Leavers Date]=6000,SUM(Table1[Leaving Date]-Table1[Start Date]),"")</f>
        <v/>
      </c>
      <c r="EY160" s="44" t="str">
        <f>IF(Table1[Data Leavers Date]=7000,SUM(Table1[Leaving Date]-Table1[Start Date]),"")</f>
        <v/>
      </c>
      <c r="EZ160" s="44" t="str">
        <f>IF(Table1[Data Leavers Date]=8000,SUM(Table1[Leaving Date]-Table1[Start Date]),"")</f>
        <v/>
      </c>
      <c r="FA160" s="44" t="str">
        <f>IF(Table1[Date of Initial Assessment]="","",IF(AND(Table1[Start Date]&gt;42094,Table1[Start Date]&lt;42461),Table1[Motivation and Taking Responsibility],""))</f>
        <v/>
      </c>
      <c r="FB160" s="44" t="str">
        <f>IF(Table1[Date of Initial Assessment]="","",IF(AND(Table1[Start Date]&gt;42094,Table1[Start Date]&lt;42461),Table1[Self-Care and Living Skills],""))</f>
        <v/>
      </c>
      <c r="FC160" s="44" t="str">
        <f>IF(Table1[Date of Initial Assessment]="","",IF(AND(Table1[Start Date]&gt;42094,Table1[Start Date]&lt;42461),Table1[Managing Money and Personal Administration],""))</f>
        <v/>
      </c>
      <c r="FD160" s="44" t="str">
        <f>IF(Table1[Date of Initial Assessment]="","",IF(AND(Table1[Start Date]&gt;42094,Table1[Start Date]&lt;42461),Table1[Social Networks and Relationships],""))</f>
        <v/>
      </c>
      <c r="FE160" s="44" t="str">
        <f>IF(Table1[Date of Initial Assessment]="","",IF(AND(Table1[Start Date]&gt;42094,Table1[Start Date]&lt;42461),Table1[Drug and Alcohol Misuse],""))</f>
        <v/>
      </c>
      <c r="FF160" s="44" t="str">
        <f>IF(Table1[Date of Initial Assessment]="","",IF(AND(Table1[Start Date]&gt;42094,Table1[Start Date]&lt;42461),Table1[Physical Health],""))</f>
        <v/>
      </c>
      <c r="FG160" s="44" t="str">
        <f>IF(Table1[Date of Initial Assessment]="","",IF(AND(Table1[Start Date]&gt;42094,Table1[Start Date]&lt;42461),Table1[Emotional and Mental Health],""))</f>
        <v/>
      </c>
      <c r="FH160" s="44" t="str">
        <f>IF(Table1[Date of Initial Assessment]="","",IF(AND(Table1[Start Date]&gt;42094,Table1[Start Date]&lt;42461),Table1[Meaningful Use of Time],""))</f>
        <v/>
      </c>
      <c r="FI160" s="44" t="str">
        <f>IF(Table1[Date of Initial Assessment]="","",IF(AND(Table1[Start Date]&gt;42094,Table1[Start Date]&lt;42461),Table1[Managing Tenancy and Accommodation],""))</f>
        <v/>
      </c>
      <c r="FJ160" s="44" t="str">
        <f>IF(Table1[Date of Initial Assessment]="","",IF(AND(Table1[Start Date]&gt;42094,Table1[Start Date]&lt;42461),Table1[Offending],""))</f>
        <v/>
      </c>
      <c r="FK160" s="44" t="str">
        <f>IF(Table1[Leaving Date]="","",IF(Table1[Date of Initial Assessment]="","",IF(AND(Table1[Leaving Date]&gt;42094,Table1[Leaving Date]&lt;42461),IF(Table1[Date of Last Assessment]="",Table1[Motivation and Taking Responsibility],Table1[Motivation and Taking Responsibility2]),"")))</f>
        <v/>
      </c>
      <c r="FL160" s="44" t="str">
        <f>IF(Table1[Leaving Date]="","",IF(Table1[Date of Initial Assessment]="","",IF(AND(Table1[Leaving Date]&gt;42094,Table1[Leaving Date]&lt;42461),IF(Table1[Date of Last Assessment]="",Table1[Self-Care and Living Skills],Table1[Self-Care and Living Skills2]),"")))</f>
        <v/>
      </c>
      <c r="FM160" s="44" t="str">
        <f>IF(Table1[Leaving Date]="","",IF(Table1[Date of Initial Assessment]="","",IF(AND(Table1[Leaving Date]&gt;42094,Table1[Leaving Date]&lt;42461),IF(Table1[Date of Last Assessment]="",Table1[Managing Money and Personal Administration],Table1[Managing Money and Personal Administration2]),"")))</f>
        <v/>
      </c>
      <c r="FN160" s="44" t="str">
        <f>IF(Table1[Leaving Date]="","",IF(Table1[Date of Initial Assessment]="","",IF(AND(Table1[Leaving Date]&gt;42094,Table1[Leaving Date]&lt;42461),IF(Table1[Date of Last Assessment]="",Table1[Social Networks and Relationships],Table1[Social Networks and Relationships2]),"")))</f>
        <v/>
      </c>
      <c r="FO160" s="44" t="str">
        <f>IF(Table1[Leaving Date]="","",IF(Table1[Date of Initial Assessment]="","",IF(AND(Table1[Leaving Date]&gt;42094,Table1[Leaving Date]&lt;42461),IF(Table1[Date of Last Assessment]="",Table1[Drug and Alcohol Misuse],Table1[Drug and Alcohol Misuse2]),"")))</f>
        <v/>
      </c>
      <c r="FP160" s="44" t="str">
        <f>IF(Table1[Leaving Date]="","",IF(Table1[Date of Initial Assessment]="","",IF(AND(Table1[Leaving Date]&gt;42094,Table1[Leaving Date]&lt;42461),IF(Table1[Date of Last Assessment]="",Table1[Physical Health],Table1[Physical Health2]),"")))</f>
        <v/>
      </c>
      <c r="FQ160" s="44" t="str">
        <f>IF(Table1[Leaving Date]="","",IF(Table1[Date of Initial Assessment]="","",IF(AND(Table1[Leaving Date]&gt;42094,Table1[Leaving Date]&lt;42461),IF(Table1[Date of Last Assessment]="",Table1[Emotional and Mental Health],Table1[Emotional and Mental Health2]),"")))</f>
        <v/>
      </c>
      <c r="FR160" s="44" t="str">
        <f>IF(Table1[Leaving Date]="","",IF(Table1[Date of Initial Assessment]="","",IF(AND(Table1[Leaving Date]&gt;42094,Table1[Leaving Date]&lt;42461),IF(Table1[Date of Last Assessment]="",Table1[Meaningful Use of Time],Table1[Meaningful Use of Time2]),"")))</f>
        <v/>
      </c>
      <c r="FS160" s="44" t="str">
        <f>IF(Table1[Leaving Date]="","",IF(Table1[Date of Initial Assessment]="","",IF(AND(Table1[Leaving Date]&gt;42094,Table1[Leaving Date]&lt;42461),IF(Table1[Date of Last Assessment]="",Table1[Managing Tenancy and Accommodation],Table1[Managing Tenancy and Accommodation2]),"")))</f>
        <v/>
      </c>
      <c r="FT160" s="44" t="str">
        <f>IF(Table1[Leaving Date]="","",IF(Table1[Date of Initial Assessment]="","",IF(AND(Table1[Leaving Date]&gt;42094,Table1[Leaving Date]&lt;42461),IF(Table1[Date of Last Assessment]="",Table1[Offending],Table1[Offending2]),"")))</f>
        <v/>
      </c>
      <c r="FU160" s="44" t="str">
        <f>IF(Table1[Date of Initial Assessment]="","",IF(AND(Table1[Start Date]&gt;42460,Table1[Start Date]&lt;42826),Table1[Motivation and Taking Responsibility],""))</f>
        <v/>
      </c>
      <c r="FV160" s="44" t="str">
        <f>IF(Table1[Date of Initial Assessment]="","",IF(AND(Table1[Start Date]&gt;42460,Table1[Start Date]&lt;42826),Table1[Self-Care and Living Skills],""))</f>
        <v/>
      </c>
      <c r="FW160" s="44" t="str">
        <f>IF(Table1[Date of Initial Assessment]="","",IF(AND(Table1[Start Date]&gt;42460,Table1[Start Date]&lt;42826),Table1[Managing Money and Personal Administration],""))</f>
        <v/>
      </c>
      <c r="FX160" s="44" t="str">
        <f>IF(Table1[Date of Initial Assessment]="","",IF(AND(Table1[Start Date]&gt;42460,Table1[Start Date]&lt;42826),Table1[Social Networks and Relationships],""))</f>
        <v/>
      </c>
      <c r="FY160" s="44" t="str">
        <f>IF(Table1[Date of Initial Assessment]="","",IF(AND(Table1[Start Date]&gt;42460,Table1[Start Date]&lt;42826),Table1[Drug and Alcohol Misuse],""))</f>
        <v/>
      </c>
      <c r="FZ160" s="44" t="str">
        <f>IF(Table1[Date of Initial Assessment]="","",IF(AND(Table1[Start Date]&gt;42460,Table1[Start Date]&lt;42826),Table1[Physical Health],""))</f>
        <v/>
      </c>
      <c r="GA160" s="44" t="str">
        <f>IF(Table1[Date of Initial Assessment]="","",IF(AND(Table1[Start Date]&gt;42460,Table1[Start Date]&lt;42826),Table1[Emotional and Mental Health],""))</f>
        <v/>
      </c>
      <c r="GB160" s="44" t="str">
        <f>IF(Table1[Date of Initial Assessment]="","",IF(AND(Table1[Start Date]&gt;42460,Table1[Start Date]&lt;42826),Table1[Meaningful Use of Time],""))</f>
        <v/>
      </c>
      <c r="GC160" s="44" t="str">
        <f>IF(Table1[Date of Initial Assessment]="","",IF(AND(Table1[Start Date]&gt;42460,Table1[Start Date]&lt;42826),Table1[Managing Tenancy and Accommodation],""))</f>
        <v/>
      </c>
      <c r="GD160" s="44" t="str">
        <f>IF(Table1[Date of Initial Assessment]="","",IF(AND(Table1[Start Date]&gt;42460,Table1[Start Date]&lt;42826),Table1[Offending],""))</f>
        <v/>
      </c>
      <c r="GE160" s="44" t="str">
        <f>IF(Table1[Leaving Date]="","",IF(AND(Table1[Leaving Date]&gt;42460,Table1[Leaving Date]&lt;42826),IF(Table1[Date of Last Assessment]="",Table1[Motivation and Taking Responsibility],Table1[Motivation and Taking Responsibility2]),""))</f>
        <v/>
      </c>
      <c r="GF160" s="44" t="str">
        <f>IF(Table1[Leaving Date]="","",IF(AND(Table1[Leaving Date]&gt;42460,Table1[Leaving Date]&lt;42826),IF(Table1[Date of Last Assessment]="",Table1[Self-Care and Living Skills],Table1[Self-Care and Living Skills2]),""))</f>
        <v/>
      </c>
      <c r="GG160" s="44" t="str">
        <f>IF(Table1[Leaving Date]="","",IF(AND(Table1[Leaving Date]&gt;42460,Table1[Leaving Date]&lt;42826),IF(Table1[Date of Last Assessment]="",Table1[Managing Money and Personal Administration],Table1[Managing Money and Personal Administration2]),""))</f>
        <v/>
      </c>
      <c r="GH160" s="44" t="str">
        <f>IF(Table1[Leaving Date]="","",IF(AND(Table1[Leaving Date]&gt;42460,Table1[Leaving Date]&lt;42826),IF(Table1[Date of Last Assessment]="",Table1[Social Networks and Relationships],Table1[Social Networks and Relationships2]),""))</f>
        <v/>
      </c>
      <c r="GI160" s="44" t="str">
        <f>IF(Table1[Leaving Date]="","",IF(AND(Table1[Leaving Date]&gt;42460,Table1[Leaving Date]&lt;42826),IF(Table1[Date of Last Assessment]="",Table1[Drug and Alcohol Misuse],Table1[Drug and Alcohol Misuse2]),""))</f>
        <v/>
      </c>
      <c r="GJ160" s="44" t="str">
        <f>IF(Table1[Leaving Date]="","",IF(AND(Table1[Leaving Date]&gt;42460,Table1[Leaving Date]&lt;42826),IF(Table1[Date of Last Assessment]="",Table1[Physical Health],Table1[Physical Health2]),""))</f>
        <v/>
      </c>
      <c r="GK160" s="44" t="str">
        <f>IF(Table1[Leaving Date]="","",IF(AND(Table1[Leaving Date]&gt;42460,Table1[Leaving Date]&lt;42826),IF(Table1[Date of Last Assessment]="",Table1[Emotional and Mental Health],Table1[Emotional and Mental Health2]),""))</f>
        <v/>
      </c>
      <c r="GL160" s="44" t="str">
        <f>IF(Table1[Leaving Date]="","",IF(AND(Table1[Leaving Date]&gt;42460,Table1[Leaving Date]&lt;42826),IF(Table1[Date of Last Assessment]="",Table1[Meaningful Use of Time],Table1[Meaningful Use of Time2]),""))</f>
        <v/>
      </c>
      <c r="GM160" s="44" t="str">
        <f>IF(Table1[Leaving Date]="","",IF(AND(Table1[Leaving Date]&gt;42460,Table1[Leaving Date]&lt;42826),IF(Table1[Date of Last Assessment]="",Table1[Managing Tenancy and Accommodation],Table1[Managing Tenancy and Accommodation2]),""))</f>
        <v/>
      </c>
      <c r="GN160" s="44" t="str">
        <f>IF(Table1[Leaving Date]="","",IF(AND(Table1[Leaving Date]&gt;42460,Table1[Leaving Date]&lt;42826),IF(Table1[Date of Last Assessment]="",Table1[Offending],Table1[Offending2]),""))</f>
        <v/>
      </c>
    </row>
    <row r="161" spans="2:196" ht="20.100000000000001" customHeight="1" x14ac:dyDescent="0.2">
      <c r="B161" s="86">
        <f>+'Service Data'!$C$5:$C$5</f>
        <v>0</v>
      </c>
      <c r="C161" s="86"/>
      <c r="D161" s="86"/>
      <c r="E161" s="86"/>
      <c r="F161" s="86"/>
      <c r="G161" s="86"/>
      <c r="H161" s="6"/>
      <c r="I161" s="99" t="str">
        <f ca="1">IF(Table1[[#This Row],[Date of Birth]]="","",SUM(TODAY()-Table1[[#This Row],[Date of Birth]])/365)</f>
        <v/>
      </c>
      <c r="L161" s="86"/>
      <c r="M161" s="77"/>
      <c r="N161" s="86"/>
      <c r="O161" s="86"/>
      <c r="P161" s="91"/>
      <c r="Q161" s="86"/>
      <c r="R161" s="77"/>
      <c r="S161" s="77"/>
      <c r="T161" s="68"/>
      <c r="U161" s="68"/>
      <c r="V161" s="67"/>
      <c r="W161" s="67"/>
      <c r="X161" s="67"/>
      <c r="Y161" s="67"/>
      <c r="Z161" s="67"/>
      <c r="AA161" s="67"/>
      <c r="AB161" s="67"/>
      <c r="AC161" s="67"/>
      <c r="AD161" s="67"/>
      <c r="AE161" s="67"/>
      <c r="AF161" s="67"/>
      <c r="AG161" s="67"/>
      <c r="AH161" s="67"/>
      <c r="AI161" s="67"/>
      <c r="AJ161" s="67"/>
      <c r="AK161" s="67"/>
      <c r="AL161" s="67"/>
      <c r="AM161" s="67"/>
      <c r="AN161" s="77"/>
      <c r="AO161" s="76"/>
      <c r="AP161" s="77"/>
      <c r="AQ161" s="76"/>
      <c r="AR161" s="76"/>
      <c r="AS161" s="76"/>
      <c r="AT161" s="76"/>
      <c r="AU161" s="76"/>
      <c r="AV161" s="77"/>
      <c r="AW161" s="76"/>
      <c r="AX161" s="77"/>
      <c r="AY161" s="76"/>
      <c r="AZ161" s="76"/>
      <c r="BA161" s="76"/>
      <c r="BB161" s="76"/>
      <c r="BC161" s="76"/>
      <c r="BD161" s="77"/>
      <c r="BE161" s="76"/>
      <c r="BF161" s="77"/>
      <c r="BG161" s="76"/>
      <c r="BH161" s="76"/>
      <c r="BI161" s="76"/>
      <c r="BJ161" s="76"/>
      <c r="BK161" s="76"/>
      <c r="BL161" s="77"/>
      <c r="BM161" s="76"/>
      <c r="BN161" s="77"/>
      <c r="BO161" s="76"/>
      <c r="BP161" s="76"/>
      <c r="BQ161" s="76"/>
      <c r="BR161" s="76"/>
      <c r="BS161" s="76"/>
      <c r="BT161" s="77"/>
      <c r="BU161" s="76"/>
      <c r="BV161" s="77"/>
      <c r="BW161" s="76"/>
      <c r="BX161" s="76"/>
      <c r="BY161" s="76"/>
      <c r="BZ161" s="76"/>
      <c r="CA161" s="76"/>
      <c r="CB161" s="77"/>
      <c r="CC161" s="76"/>
      <c r="CD161" s="77"/>
      <c r="CE161" s="76"/>
      <c r="CF161" s="76"/>
      <c r="CG161" s="76"/>
      <c r="CH161" s="76"/>
      <c r="CI161" s="76"/>
      <c r="CJ161" s="77"/>
      <c r="CK161" s="76"/>
      <c r="CL161" s="77"/>
      <c r="CM161" s="76"/>
      <c r="CN161" s="76"/>
      <c r="CO161" s="76"/>
      <c r="CP161" s="76"/>
      <c r="CQ161" s="76"/>
      <c r="CR161" s="78" t="str">
        <f t="shared" si="47"/>
        <v/>
      </c>
      <c r="CS161" s="79" t="str">
        <f t="shared" si="48"/>
        <v/>
      </c>
      <c r="CT161" s="79" t="str">
        <f t="shared" si="49"/>
        <v/>
      </c>
      <c r="CU161" s="79" t="str">
        <f t="shared" si="50"/>
        <v/>
      </c>
      <c r="CV161" s="79" t="str">
        <f t="shared" si="51"/>
        <v/>
      </c>
      <c r="CW161" s="79" t="str">
        <f t="shared" si="52"/>
        <v/>
      </c>
      <c r="CX161" s="79" t="str">
        <f t="shared" si="53"/>
        <v/>
      </c>
      <c r="CY161" s="79" t="str">
        <f t="shared" si="54"/>
        <v/>
      </c>
      <c r="CZ161" s="79" t="str">
        <f t="shared" si="55"/>
        <v/>
      </c>
      <c r="DA161" s="79" t="str">
        <f t="shared" si="56"/>
        <v/>
      </c>
      <c r="DB161" s="79" t="str">
        <f t="shared" si="57"/>
        <v/>
      </c>
      <c r="DC161" s="79" t="str">
        <f t="shared" si="58"/>
        <v/>
      </c>
      <c r="DD161" s="79" t="str">
        <f t="shared" si="59"/>
        <v/>
      </c>
      <c r="DE161" s="79" t="str">
        <f t="shared" si="60"/>
        <v/>
      </c>
      <c r="DF161" s="79" t="str">
        <f t="shared" si="61"/>
        <v/>
      </c>
      <c r="DG161" s="79" t="str">
        <f t="shared" si="62"/>
        <v/>
      </c>
      <c r="DH161" s="76"/>
      <c r="DI161" s="78"/>
      <c r="DJ161" s="76"/>
      <c r="DK161" s="77"/>
      <c r="DL161" s="77"/>
      <c r="DM161" s="77"/>
      <c r="DN161" s="80"/>
      <c r="DO161" s="80"/>
      <c r="DP161" s="92" t="str">
        <f>IF(Table1[Start Date]="","",IF(Table1[Start Date]&gt;42185,"",IF(AND(Table1[Leaving Date]&gt;1,Table1[Leaving Date]&lt;42095),"",1)))</f>
        <v/>
      </c>
      <c r="DQ161" s="92" t="str">
        <f>IF(Table1[Start Date]="","",IF(Table1[Start Date]&gt;42277,"",IF(AND(Table1[Leaving Date]&gt;1,Table1[Leaving Date]&lt;42186),"",1)))</f>
        <v/>
      </c>
      <c r="DR161" s="92" t="str">
        <f>IF(Table1[Start Date]="","",IF(Table1[Start Date]&gt;42369,"",IF(AND(Table1[Leaving Date]&gt;1,Table1[Leaving Date]&lt;42278),"",1)))</f>
        <v/>
      </c>
      <c r="DS161" s="92" t="str">
        <f>IF(Table1[Start Date]="","",IF(Table1[Start Date]&gt;42460,"",IF(AND(Table1[Leaving Date]&gt;1,Table1[Leaving Date]&lt;42370),"",1)))</f>
        <v/>
      </c>
      <c r="DT161" s="92" t="str">
        <f>IF(Table1[Start Date]="","",IF(Table1[Start Date]&gt;42551,"",IF(AND(Table1[Leaving Date]&gt;1,Table1[Leaving Date]&lt;42461),"",1)))</f>
        <v/>
      </c>
      <c r="DU161" s="92" t="str">
        <f>IF(Table1[Start Date]="","",IF(Table1[Start Date]&gt;42643,"",IF(AND(Table1[Leaving Date]&gt;1,Table1[Leaving Date]&lt;42552),"",1)))</f>
        <v/>
      </c>
      <c r="DV161" s="92" t="str">
        <f>IF(Table1[Start Date]="","",IF(Table1[Start Date]&gt;42735,"",IF(AND(Table1[Leaving Date]&gt;1,Table1[Leaving Date]&lt;42644),"",1)))</f>
        <v/>
      </c>
      <c r="DW161" s="92" t="str">
        <f>IF(Table1[Start Date]="","",IF(Table1[Start Date]&gt;42825,"",IF(AND(Table1[Leaving Date]&gt;1,Table1[Leaving Date]&lt;42736),"",1)))</f>
        <v/>
      </c>
      <c r="DX161"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161" s="44" t="e">
        <f>VLOOKUP(Table1[Referral Source],Lists!$G$2:$H$20,2,FALSE)</f>
        <v>#N/A</v>
      </c>
      <c r="DZ161" s="93" t="e">
        <f>SUM(Table1[Data Referral Quarter]+Table1[Data Referral Source])</f>
        <v>#N/A</v>
      </c>
      <c r="EA161" s="44" t="b">
        <f>IF(Table1[Referral Decision]="Accepted",100,IF(Table1[Referral Decision]="Rejected by Provider",200,IF(Table1[Referral Decision]="Rejected by Applicant",300)))</f>
        <v>0</v>
      </c>
      <c r="EB161" s="44">
        <f>SUM(Table1[Data Referral Quarter]+Table1[Data Referral Decision])</f>
        <v>0</v>
      </c>
      <c r="EC161" s="44" t="b">
        <f>IF(Table1[Start Date]&gt;42735,8000,IF(Table1[Start Date]&gt;42643,7000,IF(Table1[Start Date]&gt;42551,6000,IF(Table1[Start Date]&gt;42460,5000,IF(Table1[Start Date]&gt;42369,4000,IF(Table1[Start Date]&gt;42277,3000,IF(Table1[Start Date]&gt;42185,2000,IF(Table1[Start Date]&gt;42094,1000))))))))</f>
        <v>0</v>
      </c>
      <c r="ED161" s="44" t="str">
        <f>IF(Table1[Start Date]="","",IF(Table1[Current Local Authority]="Swindon",1,"2"))</f>
        <v/>
      </c>
      <c r="EE161" s="44" t="e">
        <f>SUM(Table1[Data Start Date]+Table1[Data Local Authority])</f>
        <v>#VALUE!</v>
      </c>
      <c r="EF161" s="44">
        <f>IF(Table1[Registered with GP]="Yes",1,0)</f>
        <v>0</v>
      </c>
      <c r="EG161" s="44">
        <f>SUM(Table1[Data Start Date]+Table1[Data GP Start])</f>
        <v>0</v>
      </c>
      <c r="EH161" s="44" t="str">
        <f>IF(Table1[EET]="NEET",1,IF(Table1[EET]="Education",2,IF(Table1[EET]="Employment",2,IF(Table1[EET]="Training",2,IF(Table1[EET]="Retired",3,"")))))</f>
        <v/>
      </c>
      <c r="EI161" s="44" t="e">
        <f>Table1[Data Start Date]+Table1[Data EET Start]</f>
        <v>#VALUE!</v>
      </c>
      <c r="EJ161" s="44" t="b">
        <f>IF(Table1[Leaving Date]&gt;42735,8000,IF(Table1[Leaving Date]&gt;42643,7000,IF(Table1[Leaving Date]&gt;42551,6000,IF(Table1[Leaving Date]&gt;42460,5000,IF(Table1[Leaving Date]&gt;42369,4000,IF(Table1[Leaving Date]&gt;42277,3000,IF(Table1[Leaving Date]&gt;42185,2000,IF(Table1[Leaving Date]&gt;42094,1000))))))))</f>
        <v>0</v>
      </c>
      <c r="EK161" s="44" t="e">
        <f>VLOOKUP(Table1[Reason for Leaving],Lists!$T$2:$U$15,2,FALSE)</f>
        <v>#N/A</v>
      </c>
      <c r="EL161" s="44" t="e">
        <f>SUM(Table1[Data Leavers Date]+Table1[Data Move On])</f>
        <v>#N/A</v>
      </c>
      <c r="EM161" s="44" t="b">
        <f>IF(Table1[Registered with GP2]="Yes",1,IF(Table1[Registered with GP2]="No",0,IF(Table1[Registered with GP]="Yes",1,IF(Table1[Registered with GP]="No",0))))</f>
        <v>0</v>
      </c>
      <c r="EN161" s="44">
        <f>SUM(Table1[Data Leavers Date]+Table1[Data GP End])</f>
        <v>0</v>
      </c>
      <c r="EO161" s="44" t="str">
        <f>IF(Table1[EET2]="NEET",1,IF(Table1[EET2]="Employment",2,IF(Table1[EET2]="Education",2,IF(Table1[EET2]="Training",2,IF(Table1[EET2]="Retired",3,IF(Table1[EET]="NEET",1,IF(Table1[EET]="Employment",2,IF(Table1[EET]="Education",2,IF(Table1[EET]="Training",2,IF(Table1[EET]="Retired",3,""))))))))))</f>
        <v/>
      </c>
      <c r="EP161" s="44" t="e">
        <f>+Table1[[#This Row],[Data Leavers Date]]+Table1[[#This Row],[Data EET End]]</f>
        <v>#VALUE!</v>
      </c>
      <c r="EQ161" s="44">
        <f>IF(Table1[Exit Form Received]="Yes",1,0)</f>
        <v>0</v>
      </c>
      <c r="ER161" s="44">
        <f>+Table1[[#This Row],[Data Leavers Date]]+Table1[[#This Row],[Data Exit Forms]]</f>
        <v>0</v>
      </c>
      <c r="ES161" s="44" t="str">
        <f>IF(Table1[Data Leavers Date]=1000,SUM(Table1[Leaving Date]-Table1[Start Date]),"")</f>
        <v/>
      </c>
      <c r="ET161" s="44" t="str">
        <f>IF(Table1[Data Leavers Date]=2000,SUM(Table1[Leaving Date]-Table1[Start Date]),"")</f>
        <v/>
      </c>
      <c r="EU161" s="44" t="str">
        <f>IF(Table1[Data Leavers Date]=3000,SUM(Table1[Leaving Date]-Table1[Start Date]),"")</f>
        <v/>
      </c>
      <c r="EV161" s="44" t="str">
        <f>IF(Table1[Data Leavers Date]=4000,SUM(Table1[Leaving Date]-Table1[Start Date]),"")</f>
        <v/>
      </c>
      <c r="EW161" s="44" t="str">
        <f>IF(Table1[Data Leavers Date]=5000,SUM(Table1[Leaving Date]-Table1[Start Date]),"")</f>
        <v/>
      </c>
      <c r="EX161" s="44" t="str">
        <f>IF(Table1[Data Leavers Date]=6000,SUM(Table1[Leaving Date]-Table1[Start Date]),"")</f>
        <v/>
      </c>
      <c r="EY161" s="44" t="str">
        <f>IF(Table1[Data Leavers Date]=7000,SUM(Table1[Leaving Date]-Table1[Start Date]),"")</f>
        <v/>
      </c>
      <c r="EZ161" s="44" t="str">
        <f>IF(Table1[Data Leavers Date]=8000,SUM(Table1[Leaving Date]-Table1[Start Date]),"")</f>
        <v/>
      </c>
      <c r="FA161" s="44" t="str">
        <f>IF(Table1[Date of Initial Assessment]="","",IF(AND(Table1[Start Date]&gt;42094,Table1[Start Date]&lt;42461),Table1[Motivation and Taking Responsibility],""))</f>
        <v/>
      </c>
      <c r="FB161" s="44" t="str">
        <f>IF(Table1[Date of Initial Assessment]="","",IF(AND(Table1[Start Date]&gt;42094,Table1[Start Date]&lt;42461),Table1[Self-Care and Living Skills],""))</f>
        <v/>
      </c>
      <c r="FC161" s="44" t="str">
        <f>IF(Table1[Date of Initial Assessment]="","",IF(AND(Table1[Start Date]&gt;42094,Table1[Start Date]&lt;42461),Table1[Managing Money and Personal Administration],""))</f>
        <v/>
      </c>
      <c r="FD161" s="44" t="str">
        <f>IF(Table1[Date of Initial Assessment]="","",IF(AND(Table1[Start Date]&gt;42094,Table1[Start Date]&lt;42461),Table1[Social Networks and Relationships],""))</f>
        <v/>
      </c>
      <c r="FE161" s="44" t="str">
        <f>IF(Table1[Date of Initial Assessment]="","",IF(AND(Table1[Start Date]&gt;42094,Table1[Start Date]&lt;42461),Table1[Drug and Alcohol Misuse],""))</f>
        <v/>
      </c>
      <c r="FF161" s="44" t="str">
        <f>IF(Table1[Date of Initial Assessment]="","",IF(AND(Table1[Start Date]&gt;42094,Table1[Start Date]&lt;42461),Table1[Physical Health],""))</f>
        <v/>
      </c>
      <c r="FG161" s="44" t="str">
        <f>IF(Table1[Date of Initial Assessment]="","",IF(AND(Table1[Start Date]&gt;42094,Table1[Start Date]&lt;42461),Table1[Emotional and Mental Health],""))</f>
        <v/>
      </c>
      <c r="FH161" s="44" t="str">
        <f>IF(Table1[Date of Initial Assessment]="","",IF(AND(Table1[Start Date]&gt;42094,Table1[Start Date]&lt;42461),Table1[Meaningful Use of Time],""))</f>
        <v/>
      </c>
      <c r="FI161" s="44" t="str">
        <f>IF(Table1[Date of Initial Assessment]="","",IF(AND(Table1[Start Date]&gt;42094,Table1[Start Date]&lt;42461),Table1[Managing Tenancy and Accommodation],""))</f>
        <v/>
      </c>
      <c r="FJ161" s="44" t="str">
        <f>IF(Table1[Date of Initial Assessment]="","",IF(AND(Table1[Start Date]&gt;42094,Table1[Start Date]&lt;42461),Table1[Offending],""))</f>
        <v/>
      </c>
      <c r="FK161" s="44" t="str">
        <f>IF(Table1[Leaving Date]="","",IF(Table1[Date of Initial Assessment]="","",IF(AND(Table1[Leaving Date]&gt;42094,Table1[Leaving Date]&lt;42461),IF(Table1[Date of Last Assessment]="",Table1[Motivation and Taking Responsibility],Table1[Motivation and Taking Responsibility2]),"")))</f>
        <v/>
      </c>
      <c r="FL161" s="44" t="str">
        <f>IF(Table1[Leaving Date]="","",IF(Table1[Date of Initial Assessment]="","",IF(AND(Table1[Leaving Date]&gt;42094,Table1[Leaving Date]&lt;42461),IF(Table1[Date of Last Assessment]="",Table1[Self-Care and Living Skills],Table1[Self-Care and Living Skills2]),"")))</f>
        <v/>
      </c>
      <c r="FM161" s="44" t="str">
        <f>IF(Table1[Leaving Date]="","",IF(Table1[Date of Initial Assessment]="","",IF(AND(Table1[Leaving Date]&gt;42094,Table1[Leaving Date]&lt;42461),IF(Table1[Date of Last Assessment]="",Table1[Managing Money and Personal Administration],Table1[Managing Money and Personal Administration2]),"")))</f>
        <v/>
      </c>
      <c r="FN161" s="44" t="str">
        <f>IF(Table1[Leaving Date]="","",IF(Table1[Date of Initial Assessment]="","",IF(AND(Table1[Leaving Date]&gt;42094,Table1[Leaving Date]&lt;42461),IF(Table1[Date of Last Assessment]="",Table1[Social Networks and Relationships],Table1[Social Networks and Relationships2]),"")))</f>
        <v/>
      </c>
      <c r="FO161" s="44" t="str">
        <f>IF(Table1[Leaving Date]="","",IF(Table1[Date of Initial Assessment]="","",IF(AND(Table1[Leaving Date]&gt;42094,Table1[Leaving Date]&lt;42461),IF(Table1[Date of Last Assessment]="",Table1[Drug and Alcohol Misuse],Table1[Drug and Alcohol Misuse2]),"")))</f>
        <v/>
      </c>
      <c r="FP161" s="44" t="str">
        <f>IF(Table1[Leaving Date]="","",IF(Table1[Date of Initial Assessment]="","",IF(AND(Table1[Leaving Date]&gt;42094,Table1[Leaving Date]&lt;42461),IF(Table1[Date of Last Assessment]="",Table1[Physical Health],Table1[Physical Health2]),"")))</f>
        <v/>
      </c>
      <c r="FQ161" s="44" t="str">
        <f>IF(Table1[Leaving Date]="","",IF(Table1[Date of Initial Assessment]="","",IF(AND(Table1[Leaving Date]&gt;42094,Table1[Leaving Date]&lt;42461),IF(Table1[Date of Last Assessment]="",Table1[Emotional and Mental Health],Table1[Emotional and Mental Health2]),"")))</f>
        <v/>
      </c>
      <c r="FR161" s="44" t="str">
        <f>IF(Table1[Leaving Date]="","",IF(Table1[Date of Initial Assessment]="","",IF(AND(Table1[Leaving Date]&gt;42094,Table1[Leaving Date]&lt;42461),IF(Table1[Date of Last Assessment]="",Table1[Meaningful Use of Time],Table1[Meaningful Use of Time2]),"")))</f>
        <v/>
      </c>
      <c r="FS161" s="44" t="str">
        <f>IF(Table1[Leaving Date]="","",IF(Table1[Date of Initial Assessment]="","",IF(AND(Table1[Leaving Date]&gt;42094,Table1[Leaving Date]&lt;42461),IF(Table1[Date of Last Assessment]="",Table1[Managing Tenancy and Accommodation],Table1[Managing Tenancy and Accommodation2]),"")))</f>
        <v/>
      </c>
      <c r="FT161" s="44" t="str">
        <f>IF(Table1[Leaving Date]="","",IF(Table1[Date of Initial Assessment]="","",IF(AND(Table1[Leaving Date]&gt;42094,Table1[Leaving Date]&lt;42461),IF(Table1[Date of Last Assessment]="",Table1[Offending],Table1[Offending2]),"")))</f>
        <v/>
      </c>
      <c r="FU161" s="44" t="str">
        <f>IF(Table1[Date of Initial Assessment]="","",IF(AND(Table1[Start Date]&gt;42460,Table1[Start Date]&lt;42826),Table1[Motivation and Taking Responsibility],""))</f>
        <v/>
      </c>
      <c r="FV161" s="44" t="str">
        <f>IF(Table1[Date of Initial Assessment]="","",IF(AND(Table1[Start Date]&gt;42460,Table1[Start Date]&lt;42826),Table1[Self-Care and Living Skills],""))</f>
        <v/>
      </c>
      <c r="FW161" s="44" t="str">
        <f>IF(Table1[Date of Initial Assessment]="","",IF(AND(Table1[Start Date]&gt;42460,Table1[Start Date]&lt;42826),Table1[Managing Money and Personal Administration],""))</f>
        <v/>
      </c>
      <c r="FX161" s="44" t="str">
        <f>IF(Table1[Date of Initial Assessment]="","",IF(AND(Table1[Start Date]&gt;42460,Table1[Start Date]&lt;42826),Table1[Social Networks and Relationships],""))</f>
        <v/>
      </c>
      <c r="FY161" s="44" t="str">
        <f>IF(Table1[Date of Initial Assessment]="","",IF(AND(Table1[Start Date]&gt;42460,Table1[Start Date]&lt;42826),Table1[Drug and Alcohol Misuse],""))</f>
        <v/>
      </c>
      <c r="FZ161" s="44" t="str">
        <f>IF(Table1[Date of Initial Assessment]="","",IF(AND(Table1[Start Date]&gt;42460,Table1[Start Date]&lt;42826),Table1[Physical Health],""))</f>
        <v/>
      </c>
      <c r="GA161" s="44" t="str">
        <f>IF(Table1[Date of Initial Assessment]="","",IF(AND(Table1[Start Date]&gt;42460,Table1[Start Date]&lt;42826),Table1[Emotional and Mental Health],""))</f>
        <v/>
      </c>
      <c r="GB161" s="44" t="str">
        <f>IF(Table1[Date of Initial Assessment]="","",IF(AND(Table1[Start Date]&gt;42460,Table1[Start Date]&lt;42826),Table1[Meaningful Use of Time],""))</f>
        <v/>
      </c>
      <c r="GC161" s="44" t="str">
        <f>IF(Table1[Date of Initial Assessment]="","",IF(AND(Table1[Start Date]&gt;42460,Table1[Start Date]&lt;42826),Table1[Managing Tenancy and Accommodation],""))</f>
        <v/>
      </c>
      <c r="GD161" s="44" t="str">
        <f>IF(Table1[Date of Initial Assessment]="","",IF(AND(Table1[Start Date]&gt;42460,Table1[Start Date]&lt;42826),Table1[Offending],""))</f>
        <v/>
      </c>
      <c r="GE161" s="44" t="str">
        <f>IF(Table1[Leaving Date]="","",IF(AND(Table1[Leaving Date]&gt;42460,Table1[Leaving Date]&lt;42826),IF(Table1[Date of Last Assessment]="",Table1[Motivation and Taking Responsibility],Table1[Motivation and Taking Responsibility2]),""))</f>
        <v/>
      </c>
      <c r="GF161" s="44" t="str">
        <f>IF(Table1[Leaving Date]="","",IF(AND(Table1[Leaving Date]&gt;42460,Table1[Leaving Date]&lt;42826),IF(Table1[Date of Last Assessment]="",Table1[Self-Care and Living Skills],Table1[Self-Care and Living Skills2]),""))</f>
        <v/>
      </c>
      <c r="GG161" s="44" t="str">
        <f>IF(Table1[Leaving Date]="","",IF(AND(Table1[Leaving Date]&gt;42460,Table1[Leaving Date]&lt;42826),IF(Table1[Date of Last Assessment]="",Table1[Managing Money and Personal Administration],Table1[Managing Money and Personal Administration2]),""))</f>
        <v/>
      </c>
      <c r="GH161" s="44" t="str">
        <f>IF(Table1[Leaving Date]="","",IF(AND(Table1[Leaving Date]&gt;42460,Table1[Leaving Date]&lt;42826),IF(Table1[Date of Last Assessment]="",Table1[Social Networks and Relationships],Table1[Social Networks and Relationships2]),""))</f>
        <v/>
      </c>
      <c r="GI161" s="44" t="str">
        <f>IF(Table1[Leaving Date]="","",IF(AND(Table1[Leaving Date]&gt;42460,Table1[Leaving Date]&lt;42826),IF(Table1[Date of Last Assessment]="",Table1[Drug and Alcohol Misuse],Table1[Drug and Alcohol Misuse2]),""))</f>
        <v/>
      </c>
      <c r="GJ161" s="44" t="str">
        <f>IF(Table1[Leaving Date]="","",IF(AND(Table1[Leaving Date]&gt;42460,Table1[Leaving Date]&lt;42826),IF(Table1[Date of Last Assessment]="",Table1[Physical Health],Table1[Physical Health2]),""))</f>
        <v/>
      </c>
      <c r="GK161" s="44" t="str">
        <f>IF(Table1[Leaving Date]="","",IF(AND(Table1[Leaving Date]&gt;42460,Table1[Leaving Date]&lt;42826),IF(Table1[Date of Last Assessment]="",Table1[Emotional and Mental Health],Table1[Emotional and Mental Health2]),""))</f>
        <v/>
      </c>
      <c r="GL161" s="44" t="str">
        <f>IF(Table1[Leaving Date]="","",IF(AND(Table1[Leaving Date]&gt;42460,Table1[Leaving Date]&lt;42826),IF(Table1[Date of Last Assessment]="",Table1[Meaningful Use of Time],Table1[Meaningful Use of Time2]),""))</f>
        <v/>
      </c>
      <c r="GM161" s="44" t="str">
        <f>IF(Table1[Leaving Date]="","",IF(AND(Table1[Leaving Date]&gt;42460,Table1[Leaving Date]&lt;42826),IF(Table1[Date of Last Assessment]="",Table1[Managing Tenancy and Accommodation],Table1[Managing Tenancy and Accommodation2]),""))</f>
        <v/>
      </c>
      <c r="GN161" s="44" t="str">
        <f>IF(Table1[Leaving Date]="","",IF(AND(Table1[Leaving Date]&gt;42460,Table1[Leaving Date]&lt;42826),IF(Table1[Date of Last Assessment]="",Table1[Offending],Table1[Offending2]),""))</f>
        <v/>
      </c>
    </row>
    <row r="162" spans="2:196" ht="20.100000000000001" customHeight="1" x14ac:dyDescent="0.2">
      <c r="B162" s="86">
        <f>+'Service Data'!$C$5:$C$5</f>
        <v>0</v>
      </c>
      <c r="C162" s="86"/>
      <c r="D162" s="86"/>
      <c r="E162" s="86"/>
      <c r="F162" s="86"/>
      <c r="G162" s="86"/>
      <c r="H162" s="6"/>
      <c r="I162" s="99" t="str">
        <f ca="1">IF(Table1[[#This Row],[Date of Birth]]="","",SUM(TODAY()-Table1[[#This Row],[Date of Birth]])/365)</f>
        <v/>
      </c>
      <c r="L162" s="86"/>
      <c r="M162" s="77"/>
      <c r="N162" s="86"/>
      <c r="O162" s="86"/>
      <c r="P162" s="91"/>
      <c r="Q162" s="86"/>
      <c r="R162" s="77"/>
      <c r="S162" s="77"/>
      <c r="T162" s="68"/>
      <c r="U162" s="68"/>
      <c r="V162" s="67"/>
      <c r="W162" s="67"/>
      <c r="X162" s="67"/>
      <c r="Y162" s="67"/>
      <c r="Z162" s="67"/>
      <c r="AA162" s="67"/>
      <c r="AB162" s="67"/>
      <c r="AC162" s="67"/>
      <c r="AD162" s="67"/>
      <c r="AE162" s="67"/>
      <c r="AF162" s="67"/>
      <c r="AG162" s="67"/>
      <c r="AH162" s="67"/>
      <c r="AI162" s="67"/>
      <c r="AJ162" s="67"/>
      <c r="AK162" s="67"/>
      <c r="AL162" s="67"/>
      <c r="AM162" s="67"/>
      <c r="AN162" s="77"/>
      <c r="AO162" s="76"/>
      <c r="AP162" s="77"/>
      <c r="AQ162" s="76"/>
      <c r="AR162" s="76"/>
      <c r="AS162" s="76"/>
      <c r="AT162" s="76"/>
      <c r="AU162" s="76"/>
      <c r="AV162" s="77"/>
      <c r="AW162" s="76"/>
      <c r="AX162" s="77"/>
      <c r="AY162" s="76"/>
      <c r="AZ162" s="76"/>
      <c r="BA162" s="76"/>
      <c r="BB162" s="76"/>
      <c r="BC162" s="76"/>
      <c r="BD162" s="77"/>
      <c r="BE162" s="76"/>
      <c r="BF162" s="77"/>
      <c r="BG162" s="76"/>
      <c r="BH162" s="76"/>
      <c r="BI162" s="76"/>
      <c r="BJ162" s="76"/>
      <c r="BK162" s="76"/>
      <c r="BL162" s="77"/>
      <c r="BM162" s="76"/>
      <c r="BN162" s="77"/>
      <c r="BO162" s="76"/>
      <c r="BP162" s="76"/>
      <c r="BQ162" s="76"/>
      <c r="BR162" s="76"/>
      <c r="BS162" s="76"/>
      <c r="BT162" s="77"/>
      <c r="BU162" s="76"/>
      <c r="BV162" s="77"/>
      <c r="BW162" s="76"/>
      <c r="BX162" s="76"/>
      <c r="BY162" s="76"/>
      <c r="BZ162" s="76"/>
      <c r="CA162" s="76"/>
      <c r="CB162" s="77"/>
      <c r="CC162" s="76"/>
      <c r="CD162" s="77"/>
      <c r="CE162" s="76"/>
      <c r="CF162" s="76"/>
      <c r="CG162" s="76"/>
      <c r="CH162" s="76"/>
      <c r="CI162" s="76"/>
      <c r="CJ162" s="77"/>
      <c r="CK162" s="76"/>
      <c r="CL162" s="77"/>
      <c r="CM162" s="76"/>
      <c r="CN162" s="76"/>
      <c r="CO162" s="76"/>
      <c r="CP162" s="76"/>
      <c r="CQ162" s="76"/>
      <c r="CR162" s="78" t="str">
        <f t="shared" si="47"/>
        <v/>
      </c>
      <c r="CS162" s="79" t="str">
        <f t="shared" si="48"/>
        <v/>
      </c>
      <c r="CT162" s="79" t="str">
        <f t="shared" si="49"/>
        <v/>
      </c>
      <c r="CU162" s="79" t="str">
        <f t="shared" si="50"/>
        <v/>
      </c>
      <c r="CV162" s="79" t="str">
        <f t="shared" si="51"/>
        <v/>
      </c>
      <c r="CW162" s="79" t="str">
        <f t="shared" si="52"/>
        <v/>
      </c>
      <c r="CX162" s="79" t="str">
        <f t="shared" si="53"/>
        <v/>
      </c>
      <c r="CY162" s="79" t="str">
        <f t="shared" si="54"/>
        <v/>
      </c>
      <c r="CZ162" s="79" t="str">
        <f t="shared" si="55"/>
        <v/>
      </c>
      <c r="DA162" s="79" t="str">
        <f t="shared" si="56"/>
        <v/>
      </c>
      <c r="DB162" s="79" t="str">
        <f t="shared" si="57"/>
        <v/>
      </c>
      <c r="DC162" s="79" t="str">
        <f t="shared" si="58"/>
        <v/>
      </c>
      <c r="DD162" s="79" t="str">
        <f t="shared" si="59"/>
        <v/>
      </c>
      <c r="DE162" s="79" t="str">
        <f t="shared" si="60"/>
        <v/>
      </c>
      <c r="DF162" s="79" t="str">
        <f t="shared" si="61"/>
        <v/>
      </c>
      <c r="DG162" s="79" t="str">
        <f t="shared" si="62"/>
        <v/>
      </c>
      <c r="DH162" s="76"/>
      <c r="DI162" s="78"/>
      <c r="DJ162" s="76"/>
      <c r="DK162" s="77"/>
      <c r="DL162" s="77"/>
      <c r="DM162" s="77"/>
      <c r="DN162" s="80"/>
      <c r="DO162" s="80"/>
      <c r="DP162" s="92" t="str">
        <f>IF(Table1[Start Date]="","",IF(Table1[Start Date]&gt;42185,"",IF(AND(Table1[Leaving Date]&gt;1,Table1[Leaving Date]&lt;42095),"",1)))</f>
        <v/>
      </c>
      <c r="DQ162" s="92" t="str">
        <f>IF(Table1[Start Date]="","",IF(Table1[Start Date]&gt;42277,"",IF(AND(Table1[Leaving Date]&gt;1,Table1[Leaving Date]&lt;42186),"",1)))</f>
        <v/>
      </c>
      <c r="DR162" s="92" t="str">
        <f>IF(Table1[Start Date]="","",IF(Table1[Start Date]&gt;42369,"",IF(AND(Table1[Leaving Date]&gt;1,Table1[Leaving Date]&lt;42278),"",1)))</f>
        <v/>
      </c>
      <c r="DS162" s="92" t="str">
        <f>IF(Table1[Start Date]="","",IF(Table1[Start Date]&gt;42460,"",IF(AND(Table1[Leaving Date]&gt;1,Table1[Leaving Date]&lt;42370),"",1)))</f>
        <v/>
      </c>
      <c r="DT162" s="92" t="str">
        <f>IF(Table1[Start Date]="","",IF(Table1[Start Date]&gt;42551,"",IF(AND(Table1[Leaving Date]&gt;1,Table1[Leaving Date]&lt;42461),"",1)))</f>
        <v/>
      </c>
      <c r="DU162" s="92" t="str">
        <f>IF(Table1[Start Date]="","",IF(Table1[Start Date]&gt;42643,"",IF(AND(Table1[Leaving Date]&gt;1,Table1[Leaving Date]&lt;42552),"",1)))</f>
        <v/>
      </c>
      <c r="DV162" s="92" t="str">
        <f>IF(Table1[Start Date]="","",IF(Table1[Start Date]&gt;42735,"",IF(AND(Table1[Leaving Date]&gt;1,Table1[Leaving Date]&lt;42644),"",1)))</f>
        <v/>
      </c>
      <c r="DW162" s="92" t="str">
        <f>IF(Table1[Start Date]="","",IF(Table1[Start Date]&gt;42825,"",IF(AND(Table1[Leaving Date]&gt;1,Table1[Leaving Date]&lt;42736),"",1)))</f>
        <v/>
      </c>
      <c r="DX162"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162" s="44" t="e">
        <f>VLOOKUP(Table1[Referral Source],Lists!$G$2:$H$20,2,FALSE)</f>
        <v>#N/A</v>
      </c>
      <c r="DZ162" s="93" t="e">
        <f>SUM(Table1[Data Referral Quarter]+Table1[Data Referral Source])</f>
        <v>#N/A</v>
      </c>
      <c r="EA162" s="44" t="b">
        <f>IF(Table1[Referral Decision]="Accepted",100,IF(Table1[Referral Decision]="Rejected by Provider",200,IF(Table1[Referral Decision]="Rejected by Applicant",300)))</f>
        <v>0</v>
      </c>
      <c r="EB162" s="44">
        <f>SUM(Table1[Data Referral Quarter]+Table1[Data Referral Decision])</f>
        <v>0</v>
      </c>
      <c r="EC162" s="44" t="b">
        <f>IF(Table1[Start Date]&gt;42735,8000,IF(Table1[Start Date]&gt;42643,7000,IF(Table1[Start Date]&gt;42551,6000,IF(Table1[Start Date]&gt;42460,5000,IF(Table1[Start Date]&gt;42369,4000,IF(Table1[Start Date]&gt;42277,3000,IF(Table1[Start Date]&gt;42185,2000,IF(Table1[Start Date]&gt;42094,1000))))))))</f>
        <v>0</v>
      </c>
      <c r="ED162" s="44" t="str">
        <f>IF(Table1[Start Date]="","",IF(Table1[Current Local Authority]="Swindon",1,"2"))</f>
        <v/>
      </c>
      <c r="EE162" s="44" t="e">
        <f>SUM(Table1[Data Start Date]+Table1[Data Local Authority])</f>
        <v>#VALUE!</v>
      </c>
      <c r="EF162" s="44">
        <f>IF(Table1[Registered with GP]="Yes",1,0)</f>
        <v>0</v>
      </c>
      <c r="EG162" s="44">
        <f>SUM(Table1[Data Start Date]+Table1[Data GP Start])</f>
        <v>0</v>
      </c>
      <c r="EH162" s="44" t="str">
        <f>IF(Table1[EET]="NEET",1,IF(Table1[EET]="Education",2,IF(Table1[EET]="Employment",2,IF(Table1[EET]="Training",2,IF(Table1[EET]="Retired",3,"")))))</f>
        <v/>
      </c>
      <c r="EI162" s="44" t="e">
        <f>Table1[Data Start Date]+Table1[Data EET Start]</f>
        <v>#VALUE!</v>
      </c>
      <c r="EJ162" s="44" t="b">
        <f>IF(Table1[Leaving Date]&gt;42735,8000,IF(Table1[Leaving Date]&gt;42643,7000,IF(Table1[Leaving Date]&gt;42551,6000,IF(Table1[Leaving Date]&gt;42460,5000,IF(Table1[Leaving Date]&gt;42369,4000,IF(Table1[Leaving Date]&gt;42277,3000,IF(Table1[Leaving Date]&gt;42185,2000,IF(Table1[Leaving Date]&gt;42094,1000))))))))</f>
        <v>0</v>
      </c>
      <c r="EK162" s="44" t="e">
        <f>VLOOKUP(Table1[Reason for Leaving],Lists!$T$2:$U$15,2,FALSE)</f>
        <v>#N/A</v>
      </c>
      <c r="EL162" s="44" t="e">
        <f>SUM(Table1[Data Leavers Date]+Table1[Data Move On])</f>
        <v>#N/A</v>
      </c>
      <c r="EM162" s="44" t="b">
        <f>IF(Table1[Registered with GP2]="Yes",1,IF(Table1[Registered with GP2]="No",0,IF(Table1[Registered with GP]="Yes",1,IF(Table1[Registered with GP]="No",0))))</f>
        <v>0</v>
      </c>
      <c r="EN162" s="44">
        <f>SUM(Table1[Data Leavers Date]+Table1[Data GP End])</f>
        <v>0</v>
      </c>
      <c r="EO162" s="44" t="str">
        <f>IF(Table1[EET2]="NEET",1,IF(Table1[EET2]="Employment",2,IF(Table1[EET2]="Education",2,IF(Table1[EET2]="Training",2,IF(Table1[EET2]="Retired",3,IF(Table1[EET]="NEET",1,IF(Table1[EET]="Employment",2,IF(Table1[EET]="Education",2,IF(Table1[EET]="Training",2,IF(Table1[EET]="Retired",3,""))))))))))</f>
        <v/>
      </c>
      <c r="EP162" s="44" t="e">
        <f>+Table1[[#This Row],[Data Leavers Date]]+Table1[[#This Row],[Data EET End]]</f>
        <v>#VALUE!</v>
      </c>
      <c r="EQ162" s="44">
        <f>IF(Table1[Exit Form Received]="Yes",1,0)</f>
        <v>0</v>
      </c>
      <c r="ER162" s="44">
        <f>+Table1[[#This Row],[Data Leavers Date]]+Table1[[#This Row],[Data Exit Forms]]</f>
        <v>0</v>
      </c>
      <c r="ES162" s="44" t="str">
        <f>IF(Table1[Data Leavers Date]=1000,SUM(Table1[Leaving Date]-Table1[Start Date]),"")</f>
        <v/>
      </c>
      <c r="ET162" s="44" t="str">
        <f>IF(Table1[Data Leavers Date]=2000,SUM(Table1[Leaving Date]-Table1[Start Date]),"")</f>
        <v/>
      </c>
      <c r="EU162" s="44" t="str">
        <f>IF(Table1[Data Leavers Date]=3000,SUM(Table1[Leaving Date]-Table1[Start Date]),"")</f>
        <v/>
      </c>
      <c r="EV162" s="44" t="str">
        <f>IF(Table1[Data Leavers Date]=4000,SUM(Table1[Leaving Date]-Table1[Start Date]),"")</f>
        <v/>
      </c>
      <c r="EW162" s="44" t="str">
        <f>IF(Table1[Data Leavers Date]=5000,SUM(Table1[Leaving Date]-Table1[Start Date]),"")</f>
        <v/>
      </c>
      <c r="EX162" s="44" t="str">
        <f>IF(Table1[Data Leavers Date]=6000,SUM(Table1[Leaving Date]-Table1[Start Date]),"")</f>
        <v/>
      </c>
      <c r="EY162" s="44" t="str">
        <f>IF(Table1[Data Leavers Date]=7000,SUM(Table1[Leaving Date]-Table1[Start Date]),"")</f>
        <v/>
      </c>
      <c r="EZ162" s="44" t="str">
        <f>IF(Table1[Data Leavers Date]=8000,SUM(Table1[Leaving Date]-Table1[Start Date]),"")</f>
        <v/>
      </c>
      <c r="FA162" s="44" t="str">
        <f>IF(Table1[Date of Initial Assessment]="","",IF(AND(Table1[Start Date]&gt;42094,Table1[Start Date]&lt;42461),Table1[Motivation and Taking Responsibility],""))</f>
        <v/>
      </c>
      <c r="FB162" s="44" t="str">
        <f>IF(Table1[Date of Initial Assessment]="","",IF(AND(Table1[Start Date]&gt;42094,Table1[Start Date]&lt;42461),Table1[Self-Care and Living Skills],""))</f>
        <v/>
      </c>
      <c r="FC162" s="44" t="str">
        <f>IF(Table1[Date of Initial Assessment]="","",IF(AND(Table1[Start Date]&gt;42094,Table1[Start Date]&lt;42461),Table1[Managing Money and Personal Administration],""))</f>
        <v/>
      </c>
      <c r="FD162" s="44" t="str">
        <f>IF(Table1[Date of Initial Assessment]="","",IF(AND(Table1[Start Date]&gt;42094,Table1[Start Date]&lt;42461),Table1[Social Networks and Relationships],""))</f>
        <v/>
      </c>
      <c r="FE162" s="44" t="str">
        <f>IF(Table1[Date of Initial Assessment]="","",IF(AND(Table1[Start Date]&gt;42094,Table1[Start Date]&lt;42461),Table1[Drug and Alcohol Misuse],""))</f>
        <v/>
      </c>
      <c r="FF162" s="44" t="str">
        <f>IF(Table1[Date of Initial Assessment]="","",IF(AND(Table1[Start Date]&gt;42094,Table1[Start Date]&lt;42461),Table1[Physical Health],""))</f>
        <v/>
      </c>
      <c r="FG162" s="44" t="str">
        <f>IF(Table1[Date of Initial Assessment]="","",IF(AND(Table1[Start Date]&gt;42094,Table1[Start Date]&lt;42461),Table1[Emotional and Mental Health],""))</f>
        <v/>
      </c>
      <c r="FH162" s="44" t="str">
        <f>IF(Table1[Date of Initial Assessment]="","",IF(AND(Table1[Start Date]&gt;42094,Table1[Start Date]&lt;42461),Table1[Meaningful Use of Time],""))</f>
        <v/>
      </c>
      <c r="FI162" s="44" t="str">
        <f>IF(Table1[Date of Initial Assessment]="","",IF(AND(Table1[Start Date]&gt;42094,Table1[Start Date]&lt;42461),Table1[Managing Tenancy and Accommodation],""))</f>
        <v/>
      </c>
      <c r="FJ162" s="44" t="str">
        <f>IF(Table1[Date of Initial Assessment]="","",IF(AND(Table1[Start Date]&gt;42094,Table1[Start Date]&lt;42461),Table1[Offending],""))</f>
        <v/>
      </c>
      <c r="FK162" s="44" t="str">
        <f>IF(Table1[Leaving Date]="","",IF(Table1[Date of Initial Assessment]="","",IF(AND(Table1[Leaving Date]&gt;42094,Table1[Leaving Date]&lt;42461),IF(Table1[Date of Last Assessment]="",Table1[Motivation and Taking Responsibility],Table1[Motivation and Taking Responsibility2]),"")))</f>
        <v/>
      </c>
      <c r="FL162" s="44" t="str">
        <f>IF(Table1[Leaving Date]="","",IF(Table1[Date of Initial Assessment]="","",IF(AND(Table1[Leaving Date]&gt;42094,Table1[Leaving Date]&lt;42461),IF(Table1[Date of Last Assessment]="",Table1[Self-Care and Living Skills],Table1[Self-Care and Living Skills2]),"")))</f>
        <v/>
      </c>
      <c r="FM162" s="44" t="str">
        <f>IF(Table1[Leaving Date]="","",IF(Table1[Date of Initial Assessment]="","",IF(AND(Table1[Leaving Date]&gt;42094,Table1[Leaving Date]&lt;42461),IF(Table1[Date of Last Assessment]="",Table1[Managing Money and Personal Administration],Table1[Managing Money and Personal Administration2]),"")))</f>
        <v/>
      </c>
      <c r="FN162" s="44" t="str">
        <f>IF(Table1[Leaving Date]="","",IF(Table1[Date of Initial Assessment]="","",IF(AND(Table1[Leaving Date]&gt;42094,Table1[Leaving Date]&lt;42461),IF(Table1[Date of Last Assessment]="",Table1[Social Networks and Relationships],Table1[Social Networks and Relationships2]),"")))</f>
        <v/>
      </c>
      <c r="FO162" s="44" t="str">
        <f>IF(Table1[Leaving Date]="","",IF(Table1[Date of Initial Assessment]="","",IF(AND(Table1[Leaving Date]&gt;42094,Table1[Leaving Date]&lt;42461),IF(Table1[Date of Last Assessment]="",Table1[Drug and Alcohol Misuse],Table1[Drug and Alcohol Misuse2]),"")))</f>
        <v/>
      </c>
      <c r="FP162" s="44" t="str">
        <f>IF(Table1[Leaving Date]="","",IF(Table1[Date of Initial Assessment]="","",IF(AND(Table1[Leaving Date]&gt;42094,Table1[Leaving Date]&lt;42461),IF(Table1[Date of Last Assessment]="",Table1[Physical Health],Table1[Physical Health2]),"")))</f>
        <v/>
      </c>
      <c r="FQ162" s="44" t="str">
        <f>IF(Table1[Leaving Date]="","",IF(Table1[Date of Initial Assessment]="","",IF(AND(Table1[Leaving Date]&gt;42094,Table1[Leaving Date]&lt;42461),IF(Table1[Date of Last Assessment]="",Table1[Emotional and Mental Health],Table1[Emotional and Mental Health2]),"")))</f>
        <v/>
      </c>
      <c r="FR162" s="44" t="str">
        <f>IF(Table1[Leaving Date]="","",IF(Table1[Date of Initial Assessment]="","",IF(AND(Table1[Leaving Date]&gt;42094,Table1[Leaving Date]&lt;42461),IF(Table1[Date of Last Assessment]="",Table1[Meaningful Use of Time],Table1[Meaningful Use of Time2]),"")))</f>
        <v/>
      </c>
      <c r="FS162" s="44" t="str">
        <f>IF(Table1[Leaving Date]="","",IF(Table1[Date of Initial Assessment]="","",IF(AND(Table1[Leaving Date]&gt;42094,Table1[Leaving Date]&lt;42461),IF(Table1[Date of Last Assessment]="",Table1[Managing Tenancy and Accommodation],Table1[Managing Tenancy and Accommodation2]),"")))</f>
        <v/>
      </c>
      <c r="FT162" s="44" t="str">
        <f>IF(Table1[Leaving Date]="","",IF(Table1[Date of Initial Assessment]="","",IF(AND(Table1[Leaving Date]&gt;42094,Table1[Leaving Date]&lt;42461),IF(Table1[Date of Last Assessment]="",Table1[Offending],Table1[Offending2]),"")))</f>
        <v/>
      </c>
      <c r="FU162" s="44" t="str">
        <f>IF(Table1[Date of Initial Assessment]="","",IF(AND(Table1[Start Date]&gt;42460,Table1[Start Date]&lt;42826),Table1[Motivation and Taking Responsibility],""))</f>
        <v/>
      </c>
      <c r="FV162" s="44" t="str">
        <f>IF(Table1[Date of Initial Assessment]="","",IF(AND(Table1[Start Date]&gt;42460,Table1[Start Date]&lt;42826),Table1[Self-Care and Living Skills],""))</f>
        <v/>
      </c>
      <c r="FW162" s="44" t="str">
        <f>IF(Table1[Date of Initial Assessment]="","",IF(AND(Table1[Start Date]&gt;42460,Table1[Start Date]&lt;42826),Table1[Managing Money and Personal Administration],""))</f>
        <v/>
      </c>
      <c r="FX162" s="44" t="str">
        <f>IF(Table1[Date of Initial Assessment]="","",IF(AND(Table1[Start Date]&gt;42460,Table1[Start Date]&lt;42826),Table1[Social Networks and Relationships],""))</f>
        <v/>
      </c>
      <c r="FY162" s="44" t="str">
        <f>IF(Table1[Date of Initial Assessment]="","",IF(AND(Table1[Start Date]&gt;42460,Table1[Start Date]&lt;42826),Table1[Drug and Alcohol Misuse],""))</f>
        <v/>
      </c>
      <c r="FZ162" s="44" t="str">
        <f>IF(Table1[Date of Initial Assessment]="","",IF(AND(Table1[Start Date]&gt;42460,Table1[Start Date]&lt;42826),Table1[Physical Health],""))</f>
        <v/>
      </c>
      <c r="GA162" s="44" t="str">
        <f>IF(Table1[Date of Initial Assessment]="","",IF(AND(Table1[Start Date]&gt;42460,Table1[Start Date]&lt;42826),Table1[Emotional and Mental Health],""))</f>
        <v/>
      </c>
      <c r="GB162" s="44" t="str">
        <f>IF(Table1[Date of Initial Assessment]="","",IF(AND(Table1[Start Date]&gt;42460,Table1[Start Date]&lt;42826),Table1[Meaningful Use of Time],""))</f>
        <v/>
      </c>
      <c r="GC162" s="44" t="str">
        <f>IF(Table1[Date of Initial Assessment]="","",IF(AND(Table1[Start Date]&gt;42460,Table1[Start Date]&lt;42826),Table1[Managing Tenancy and Accommodation],""))</f>
        <v/>
      </c>
      <c r="GD162" s="44" t="str">
        <f>IF(Table1[Date of Initial Assessment]="","",IF(AND(Table1[Start Date]&gt;42460,Table1[Start Date]&lt;42826),Table1[Offending],""))</f>
        <v/>
      </c>
      <c r="GE162" s="44" t="str">
        <f>IF(Table1[Leaving Date]="","",IF(AND(Table1[Leaving Date]&gt;42460,Table1[Leaving Date]&lt;42826),IF(Table1[Date of Last Assessment]="",Table1[Motivation and Taking Responsibility],Table1[Motivation and Taking Responsibility2]),""))</f>
        <v/>
      </c>
      <c r="GF162" s="44" t="str">
        <f>IF(Table1[Leaving Date]="","",IF(AND(Table1[Leaving Date]&gt;42460,Table1[Leaving Date]&lt;42826),IF(Table1[Date of Last Assessment]="",Table1[Self-Care and Living Skills],Table1[Self-Care and Living Skills2]),""))</f>
        <v/>
      </c>
      <c r="GG162" s="44" t="str">
        <f>IF(Table1[Leaving Date]="","",IF(AND(Table1[Leaving Date]&gt;42460,Table1[Leaving Date]&lt;42826),IF(Table1[Date of Last Assessment]="",Table1[Managing Money and Personal Administration],Table1[Managing Money and Personal Administration2]),""))</f>
        <v/>
      </c>
      <c r="GH162" s="44" t="str">
        <f>IF(Table1[Leaving Date]="","",IF(AND(Table1[Leaving Date]&gt;42460,Table1[Leaving Date]&lt;42826),IF(Table1[Date of Last Assessment]="",Table1[Social Networks and Relationships],Table1[Social Networks and Relationships2]),""))</f>
        <v/>
      </c>
      <c r="GI162" s="44" t="str">
        <f>IF(Table1[Leaving Date]="","",IF(AND(Table1[Leaving Date]&gt;42460,Table1[Leaving Date]&lt;42826),IF(Table1[Date of Last Assessment]="",Table1[Drug and Alcohol Misuse],Table1[Drug and Alcohol Misuse2]),""))</f>
        <v/>
      </c>
      <c r="GJ162" s="44" t="str">
        <f>IF(Table1[Leaving Date]="","",IF(AND(Table1[Leaving Date]&gt;42460,Table1[Leaving Date]&lt;42826),IF(Table1[Date of Last Assessment]="",Table1[Physical Health],Table1[Physical Health2]),""))</f>
        <v/>
      </c>
      <c r="GK162" s="44" t="str">
        <f>IF(Table1[Leaving Date]="","",IF(AND(Table1[Leaving Date]&gt;42460,Table1[Leaving Date]&lt;42826),IF(Table1[Date of Last Assessment]="",Table1[Emotional and Mental Health],Table1[Emotional and Mental Health2]),""))</f>
        <v/>
      </c>
      <c r="GL162" s="44" t="str">
        <f>IF(Table1[Leaving Date]="","",IF(AND(Table1[Leaving Date]&gt;42460,Table1[Leaving Date]&lt;42826),IF(Table1[Date of Last Assessment]="",Table1[Meaningful Use of Time],Table1[Meaningful Use of Time2]),""))</f>
        <v/>
      </c>
      <c r="GM162" s="44" t="str">
        <f>IF(Table1[Leaving Date]="","",IF(AND(Table1[Leaving Date]&gt;42460,Table1[Leaving Date]&lt;42826),IF(Table1[Date of Last Assessment]="",Table1[Managing Tenancy and Accommodation],Table1[Managing Tenancy and Accommodation2]),""))</f>
        <v/>
      </c>
      <c r="GN162" s="44" t="str">
        <f>IF(Table1[Leaving Date]="","",IF(AND(Table1[Leaving Date]&gt;42460,Table1[Leaving Date]&lt;42826),IF(Table1[Date of Last Assessment]="",Table1[Offending],Table1[Offending2]),""))</f>
        <v/>
      </c>
    </row>
    <row r="163" spans="2:196" ht="20.100000000000001" customHeight="1" x14ac:dyDescent="0.2">
      <c r="B163" s="86">
        <f>+'Service Data'!$C$5:$C$5</f>
        <v>0</v>
      </c>
      <c r="C163" s="86"/>
      <c r="D163" s="86"/>
      <c r="E163" s="86"/>
      <c r="F163" s="86"/>
      <c r="G163" s="86"/>
      <c r="H163" s="6"/>
      <c r="I163" s="99" t="str">
        <f ca="1">IF(Table1[[#This Row],[Date of Birth]]="","",SUM(TODAY()-Table1[[#This Row],[Date of Birth]])/365)</f>
        <v/>
      </c>
      <c r="L163" s="86"/>
      <c r="M163" s="77"/>
      <c r="N163" s="86"/>
      <c r="O163" s="86"/>
      <c r="P163" s="91"/>
      <c r="Q163" s="86"/>
      <c r="R163" s="77"/>
      <c r="S163" s="77"/>
      <c r="T163" s="68"/>
      <c r="U163" s="68"/>
      <c r="V163" s="67"/>
      <c r="W163" s="67"/>
      <c r="X163" s="67"/>
      <c r="Y163" s="67"/>
      <c r="Z163" s="67"/>
      <c r="AA163" s="67"/>
      <c r="AB163" s="67"/>
      <c r="AC163" s="67"/>
      <c r="AD163" s="67"/>
      <c r="AE163" s="67"/>
      <c r="AF163" s="67"/>
      <c r="AG163" s="67"/>
      <c r="AH163" s="67"/>
      <c r="AI163" s="67"/>
      <c r="AJ163" s="67"/>
      <c r="AK163" s="67"/>
      <c r="AL163" s="67"/>
      <c r="AM163" s="67"/>
      <c r="AN163" s="77"/>
      <c r="AO163" s="76"/>
      <c r="AP163" s="77"/>
      <c r="AQ163" s="76"/>
      <c r="AR163" s="76"/>
      <c r="AS163" s="76"/>
      <c r="AT163" s="76"/>
      <c r="AU163" s="76"/>
      <c r="AV163" s="77"/>
      <c r="AW163" s="76"/>
      <c r="AX163" s="77"/>
      <c r="AY163" s="76"/>
      <c r="AZ163" s="76"/>
      <c r="BA163" s="76"/>
      <c r="BB163" s="76"/>
      <c r="BC163" s="76"/>
      <c r="BD163" s="77"/>
      <c r="BE163" s="76"/>
      <c r="BF163" s="77"/>
      <c r="BG163" s="76"/>
      <c r="BH163" s="76"/>
      <c r="BI163" s="76"/>
      <c r="BJ163" s="76"/>
      <c r="BK163" s="76"/>
      <c r="BL163" s="77"/>
      <c r="BM163" s="76"/>
      <c r="BN163" s="77"/>
      <c r="BO163" s="76"/>
      <c r="BP163" s="76"/>
      <c r="BQ163" s="76"/>
      <c r="BR163" s="76"/>
      <c r="BS163" s="76"/>
      <c r="BT163" s="77"/>
      <c r="BU163" s="76"/>
      <c r="BV163" s="77"/>
      <c r="BW163" s="76"/>
      <c r="BX163" s="76"/>
      <c r="BY163" s="76"/>
      <c r="BZ163" s="76"/>
      <c r="CA163" s="76"/>
      <c r="CB163" s="77"/>
      <c r="CC163" s="76"/>
      <c r="CD163" s="77"/>
      <c r="CE163" s="76"/>
      <c r="CF163" s="76"/>
      <c r="CG163" s="76"/>
      <c r="CH163" s="76"/>
      <c r="CI163" s="76"/>
      <c r="CJ163" s="77"/>
      <c r="CK163" s="76"/>
      <c r="CL163" s="77"/>
      <c r="CM163" s="76"/>
      <c r="CN163" s="76"/>
      <c r="CO163" s="76"/>
      <c r="CP163" s="76"/>
      <c r="CQ163" s="76"/>
      <c r="CR163" s="78" t="str">
        <f t="shared" si="47"/>
        <v/>
      </c>
      <c r="CS163" s="79" t="str">
        <f t="shared" si="48"/>
        <v/>
      </c>
      <c r="CT163" s="79" t="str">
        <f t="shared" si="49"/>
        <v/>
      </c>
      <c r="CU163" s="79" t="str">
        <f t="shared" si="50"/>
        <v/>
      </c>
      <c r="CV163" s="79" t="str">
        <f t="shared" si="51"/>
        <v/>
      </c>
      <c r="CW163" s="79" t="str">
        <f t="shared" si="52"/>
        <v/>
      </c>
      <c r="CX163" s="79" t="str">
        <f t="shared" si="53"/>
        <v/>
      </c>
      <c r="CY163" s="79" t="str">
        <f t="shared" si="54"/>
        <v/>
      </c>
      <c r="CZ163" s="79" t="str">
        <f t="shared" si="55"/>
        <v/>
      </c>
      <c r="DA163" s="79" t="str">
        <f t="shared" si="56"/>
        <v/>
      </c>
      <c r="DB163" s="79" t="str">
        <f t="shared" si="57"/>
        <v/>
      </c>
      <c r="DC163" s="79" t="str">
        <f t="shared" si="58"/>
        <v/>
      </c>
      <c r="DD163" s="79" t="str">
        <f t="shared" si="59"/>
        <v/>
      </c>
      <c r="DE163" s="79" t="str">
        <f t="shared" si="60"/>
        <v/>
      </c>
      <c r="DF163" s="79" t="str">
        <f t="shared" si="61"/>
        <v/>
      </c>
      <c r="DG163" s="79" t="str">
        <f t="shared" si="62"/>
        <v/>
      </c>
      <c r="DH163" s="76"/>
      <c r="DI163" s="78"/>
      <c r="DJ163" s="76"/>
      <c r="DK163" s="77"/>
      <c r="DL163" s="77"/>
      <c r="DM163" s="77"/>
      <c r="DN163" s="80"/>
      <c r="DO163" s="80"/>
      <c r="DP163" s="92" t="str">
        <f>IF(Table1[Start Date]="","",IF(Table1[Start Date]&gt;42185,"",IF(AND(Table1[Leaving Date]&gt;1,Table1[Leaving Date]&lt;42095),"",1)))</f>
        <v/>
      </c>
      <c r="DQ163" s="92" t="str">
        <f>IF(Table1[Start Date]="","",IF(Table1[Start Date]&gt;42277,"",IF(AND(Table1[Leaving Date]&gt;1,Table1[Leaving Date]&lt;42186),"",1)))</f>
        <v/>
      </c>
      <c r="DR163" s="92" t="str">
        <f>IF(Table1[Start Date]="","",IF(Table1[Start Date]&gt;42369,"",IF(AND(Table1[Leaving Date]&gt;1,Table1[Leaving Date]&lt;42278),"",1)))</f>
        <v/>
      </c>
      <c r="DS163" s="92" t="str">
        <f>IF(Table1[Start Date]="","",IF(Table1[Start Date]&gt;42460,"",IF(AND(Table1[Leaving Date]&gt;1,Table1[Leaving Date]&lt;42370),"",1)))</f>
        <v/>
      </c>
      <c r="DT163" s="92" t="str">
        <f>IF(Table1[Start Date]="","",IF(Table1[Start Date]&gt;42551,"",IF(AND(Table1[Leaving Date]&gt;1,Table1[Leaving Date]&lt;42461),"",1)))</f>
        <v/>
      </c>
      <c r="DU163" s="92" t="str">
        <f>IF(Table1[Start Date]="","",IF(Table1[Start Date]&gt;42643,"",IF(AND(Table1[Leaving Date]&gt;1,Table1[Leaving Date]&lt;42552),"",1)))</f>
        <v/>
      </c>
      <c r="DV163" s="92" t="str">
        <f>IF(Table1[Start Date]="","",IF(Table1[Start Date]&gt;42735,"",IF(AND(Table1[Leaving Date]&gt;1,Table1[Leaving Date]&lt;42644),"",1)))</f>
        <v/>
      </c>
      <c r="DW163" s="92" t="str">
        <f>IF(Table1[Start Date]="","",IF(Table1[Start Date]&gt;42825,"",IF(AND(Table1[Leaving Date]&gt;1,Table1[Leaving Date]&lt;42736),"",1)))</f>
        <v/>
      </c>
      <c r="DX163"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163" s="44" t="e">
        <f>VLOOKUP(Table1[Referral Source],Lists!$G$2:$H$20,2,FALSE)</f>
        <v>#N/A</v>
      </c>
      <c r="DZ163" s="93" t="e">
        <f>SUM(Table1[Data Referral Quarter]+Table1[Data Referral Source])</f>
        <v>#N/A</v>
      </c>
      <c r="EA163" s="44" t="b">
        <f>IF(Table1[Referral Decision]="Accepted",100,IF(Table1[Referral Decision]="Rejected by Provider",200,IF(Table1[Referral Decision]="Rejected by Applicant",300)))</f>
        <v>0</v>
      </c>
      <c r="EB163" s="44">
        <f>SUM(Table1[Data Referral Quarter]+Table1[Data Referral Decision])</f>
        <v>0</v>
      </c>
      <c r="EC163" s="44" t="b">
        <f>IF(Table1[Start Date]&gt;42735,8000,IF(Table1[Start Date]&gt;42643,7000,IF(Table1[Start Date]&gt;42551,6000,IF(Table1[Start Date]&gt;42460,5000,IF(Table1[Start Date]&gt;42369,4000,IF(Table1[Start Date]&gt;42277,3000,IF(Table1[Start Date]&gt;42185,2000,IF(Table1[Start Date]&gt;42094,1000))))))))</f>
        <v>0</v>
      </c>
      <c r="ED163" s="44" t="str">
        <f>IF(Table1[Start Date]="","",IF(Table1[Current Local Authority]="Swindon",1,"2"))</f>
        <v/>
      </c>
      <c r="EE163" s="44" t="e">
        <f>SUM(Table1[Data Start Date]+Table1[Data Local Authority])</f>
        <v>#VALUE!</v>
      </c>
      <c r="EF163" s="44">
        <f>IF(Table1[Registered with GP]="Yes",1,0)</f>
        <v>0</v>
      </c>
      <c r="EG163" s="44">
        <f>SUM(Table1[Data Start Date]+Table1[Data GP Start])</f>
        <v>0</v>
      </c>
      <c r="EH163" s="44" t="str">
        <f>IF(Table1[EET]="NEET",1,IF(Table1[EET]="Education",2,IF(Table1[EET]="Employment",2,IF(Table1[EET]="Training",2,IF(Table1[EET]="Retired",3,"")))))</f>
        <v/>
      </c>
      <c r="EI163" s="44" t="e">
        <f>Table1[Data Start Date]+Table1[Data EET Start]</f>
        <v>#VALUE!</v>
      </c>
      <c r="EJ163" s="44" t="b">
        <f>IF(Table1[Leaving Date]&gt;42735,8000,IF(Table1[Leaving Date]&gt;42643,7000,IF(Table1[Leaving Date]&gt;42551,6000,IF(Table1[Leaving Date]&gt;42460,5000,IF(Table1[Leaving Date]&gt;42369,4000,IF(Table1[Leaving Date]&gt;42277,3000,IF(Table1[Leaving Date]&gt;42185,2000,IF(Table1[Leaving Date]&gt;42094,1000))))))))</f>
        <v>0</v>
      </c>
      <c r="EK163" s="44" t="e">
        <f>VLOOKUP(Table1[Reason for Leaving],Lists!$T$2:$U$15,2,FALSE)</f>
        <v>#N/A</v>
      </c>
      <c r="EL163" s="44" t="e">
        <f>SUM(Table1[Data Leavers Date]+Table1[Data Move On])</f>
        <v>#N/A</v>
      </c>
      <c r="EM163" s="44" t="b">
        <f>IF(Table1[Registered with GP2]="Yes",1,IF(Table1[Registered with GP2]="No",0,IF(Table1[Registered with GP]="Yes",1,IF(Table1[Registered with GP]="No",0))))</f>
        <v>0</v>
      </c>
      <c r="EN163" s="44">
        <f>SUM(Table1[Data Leavers Date]+Table1[Data GP End])</f>
        <v>0</v>
      </c>
      <c r="EO163" s="44" t="str">
        <f>IF(Table1[EET2]="NEET",1,IF(Table1[EET2]="Employment",2,IF(Table1[EET2]="Education",2,IF(Table1[EET2]="Training",2,IF(Table1[EET2]="Retired",3,IF(Table1[EET]="NEET",1,IF(Table1[EET]="Employment",2,IF(Table1[EET]="Education",2,IF(Table1[EET]="Training",2,IF(Table1[EET]="Retired",3,""))))))))))</f>
        <v/>
      </c>
      <c r="EP163" s="44" t="e">
        <f>+Table1[[#This Row],[Data Leavers Date]]+Table1[[#This Row],[Data EET End]]</f>
        <v>#VALUE!</v>
      </c>
      <c r="EQ163" s="44">
        <f>IF(Table1[Exit Form Received]="Yes",1,0)</f>
        <v>0</v>
      </c>
      <c r="ER163" s="44">
        <f>+Table1[[#This Row],[Data Leavers Date]]+Table1[[#This Row],[Data Exit Forms]]</f>
        <v>0</v>
      </c>
      <c r="ES163" s="44" t="str">
        <f>IF(Table1[Data Leavers Date]=1000,SUM(Table1[Leaving Date]-Table1[Start Date]),"")</f>
        <v/>
      </c>
      <c r="ET163" s="44" t="str">
        <f>IF(Table1[Data Leavers Date]=2000,SUM(Table1[Leaving Date]-Table1[Start Date]),"")</f>
        <v/>
      </c>
      <c r="EU163" s="44" t="str">
        <f>IF(Table1[Data Leavers Date]=3000,SUM(Table1[Leaving Date]-Table1[Start Date]),"")</f>
        <v/>
      </c>
      <c r="EV163" s="44" t="str">
        <f>IF(Table1[Data Leavers Date]=4000,SUM(Table1[Leaving Date]-Table1[Start Date]),"")</f>
        <v/>
      </c>
      <c r="EW163" s="44" t="str">
        <f>IF(Table1[Data Leavers Date]=5000,SUM(Table1[Leaving Date]-Table1[Start Date]),"")</f>
        <v/>
      </c>
      <c r="EX163" s="44" t="str">
        <f>IF(Table1[Data Leavers Date]=6000,SUM(Table1[Leaving Date]-Table1[Start Date]),"")</f>
        <v/>
      </c>
      <c r="EY163" s="44" t="str">
        <f>IF(Table1[Data Leavers Date]=7000,SUM(Table1[Leaving Date]-Table1[Start Date]),"")</f>
        <v/>
      </c>
      <c r="EZ163" s="44" t="str">
        <f>IF(Table1[Data Leavers Date]=8000,SUM(Table1[Leaving Date]-Table1[Start Date]),"")</f>
        <v/>
      </c>
      <c r="FA163" s="44" t="str">
        <f>IF(Table1[Date of Initial Assessment]="","",IF(AND(Table1[Start Date]&gt;42094,Table1[Start Date]&lt;42461),Table1[Motivation and Taking Responsibility],""))</f>
        <v/>
      </c>
      <c r="FB163" s="44" t="str">
        <f>IF(Table1[Date of Initial Assessment]="","",IF(AND(Table1[Start Date]&gt;42094,Table1[Start Date]&lt;42461),Table1[Self-Care and Living Skills],""))</f>
        <v/>
      </c>
      <c r="FC163" s="44" t="str">
        <f>IF(Table1[Date of Initial Assessment]="","",IF(AND(Table1[Start Date]&gt;42094,Table1[Start Date]&lt;42461),Table1[Managing Money and Personal Administration],""))</f>
        <v/>
      </c>
      <c r="FD163" s="44" t="str">
        <f>IF(Table1[Date of Initial Assessment]="","",IF(AND(Table1[Start Date]&gt;42094,Table1[Start Date]&lt;42461),Table1[Social Networks and Relationships],""))</f>
        <v/>
      </c>
      <c r="FE163" s="44" t="str">
        <f>IF(Table1[Date of Initial Assessment]="","",IF(AND(Table1[Start Date]&gt;42094,Table1[Start Date]&lt;42461),Table1[Drug and Alcohol Misuse],""))</f>
        <v/>
      </c>
      <c r="FF163" s="44" t="str">
        <f>IF(Table1[Date of Initial Assessment]="","",IF(AND(Table1[Start Date]&gt;42094,Table1[Start Date]&lt;42461),Table1[Physical Health],""))</f>
        <v/>
      </c>
      <c r="FG163" s="44" t="str">
        <f>IF(Table1[Date of Initial Assessment]="","",IF(AND(Table1[Start Date]&gt;42094,Table1[Start Date]&lt;42461),Table1[Emotional and Mental Health],""))</f>
        <v/>
      </c>
      <c r="FH163" s="44" t="str">
        <f>IF(Table1[Date of Initial Assessment]="","",IF(AND(Table1[Start Date]&gt;42094,Table1[Start Date]&lt;42461),Table1[Meaningful Use of Time],""))</f>
        <v/>
      </c>
      <c r="FI163" s="44" t="str">
        <f>IF(Table1[Date of Initial Assessment]="","",IF(AND(Table1[Start Date]&gt;42094,Table1[Start Date]&lt;42461),Table1[Managing Tenancy and Accommodation],""))</f>
        <v/>
      </c>
      <c r="FJ163" s="44" t="str">
        <f>IF(Table1[Date of Initial Assessment]="","",IF(AND(Table1[Start Date]&gt;42094,Table1[Start Date]&lt;42461),Table1[Offending],""))</f>
        <v/>
      </c>
      <c r="FK163" s="44" t="str">
        <f>IF(Table1[Leaving Date]="","",IF(Table1[Date of Initial Assessment]="","",IF(AND(Table1[Leaving Date]&gt;42094,Table1[Leaving Date]&lt;42461),IF(Table1[Date of Last Assessment]="",Table1[Motivation and Taking Responsibility],Table1[Motivation and Taking Responsibility2]),"")))</f>
        <v/>
      </c>
      <c r="FL163" s="44" t="str">
        <f>IF(Table1[Leaving Date]="","",IF(Table1[Date of Initial Assessment]="","",IF(AND(Table1[Leaving Date]&gt;42094,Table1[Leaving Date]&lt;42461),IF(Table1[Date of Last Assessment]="",Table1[Self-Care and Living Skills],Table1[Self-Care and Living Skills2]),"")))</f>
        <v/>
      </c>
      <c r="FM163" s="44" t="str">
        <f>IF(Table1[Leaving Date]="","",IF(Table1[Date of Initial Assessment]="","",IF(AND(Table1[Leaving Date]&gt;42094,Table1[Leaving Date]&lt;42461),IF(Table1[Date of Last Assessment]="",Table1[Managing Money and Personal Administration],Table1[Managing Money and Personal Administration2]),"")))</f>
        <v/>
      </c>
      <c r="FN163" s="44" t="str">
        <f>IF(Table1[Leaving Date]="","",IF(Table1[Date of Initial Assessment]="","",IF(AND(Table1[Leaving Date]&gt;42094,Table1[Leaving Date]&lt;42461),IF(Table1[Date of Last Assessment]="",Table1[Social Networks and Relationships],Table1[Social Networks and Relationships2]),"")))</f>
        <v/>
      </c>
      <c r="FO163" s="44" t="str">
        <f>IF(Table1[Leaving Date]="","",IF(Table1[Date of Initial Assessment]="","",IF(AND(Table1[Leaving Date]&gt;42094,Table1[Leaving Date]&lt;42461),IF(Table1[Date of Last Assessment]="",Table1[Drug and Alcohol Misuse],Table1[Drug and Alcohol Misuse2]),"")))</f>
        <v/>
      </c>
      <c r="FP163" s="44" t="str">
        <f>IF(Table1[Leaving Date]="","",IF(Table1[Date of Initial Assessment]="","",IF(AND(Table1[Leaving Date]&gt;42094,Table1[Leaving Date]&lt;42461),IF(Table1[Date of Last Assessment]="",Table1[Physical Health],Table1[Physical Health2]),"")))</f>
        <v/>
      </c>
      <c r="FQ163" s="44" t="str">
        <f>IF(Table1[Leaving Date]="","",IF(Table1[Date of Initial Assessment]="","",IF(AND(Table1[Leaving Date]&gt;42094,Table1[Leaving Date]&lt;42461),IF(Table1[Date of Last Assessment]="",Table1[Emotional and Mental Health],Table1[Emotional and Mental Health2]),"")))</f>
        <v/>
      </c>
      <c r="FR163" s="44" t="str">
        <f>IF(Table1[Leaving Date]="","",IF(Table1[Date of Initial Assessment]="","",IF(AND(Table1[Leaving Date]&gt;42094,Table1[Leaving Date]&lt;42461),IF(Table1[Date of Last Assessment]="",Table1[Meaningful Use of Time],Table1[Meaningful Use of Time2]),"")))</f>
        <v/>
      </c>
      <c r="FS163" s="44" t="str">
        <f>IF(Table1[Leaving Date]="","",IF(Table1[Date of Initial Assessment]="","",IF(AND(Table1[Leaving Date]&gt;42094,Table1[Leaving Date]&lt;42461),IF(Table1[Date of Last Assessment]="",Table1[Managing Tenancy and Accommodation],Table1[Managing Tenancy and Accommodation2]),"")))</f>
        <v/>
      </c>
      <c r="FT163" s="44" t="str">
        <f>IF(Table1[Leaving Date]="","",IF(Table1[Date of Initial Assessment]="","",IF(AND(Table1[Leaving Date]&gt;42094,Table1[Leaving Date]&lt;42461),IF(Table1[Date of Last Assessment]="",Table1[Offending],Table1[Offending2]),"")))</f>
        <v/>
      </c>
      <c r="FU163" s="44" t="str">
        <f>IF(Table1[Date of Initial Assessment]="","",IF(AND(Table1[Start Date]&gt;42460,Table1[Start Date]&lt;42826),Table1[Motivation and Taking Responsibility],""))</f>
        <v/>
      </c>
      <c r="FV163" s="44" t="str">
        <f>IF(Table1[Date of Initial Assessment]="","",IF(AND(Table1[Start Date]&gt;42460,Table1[Start Date]&lt;42826),Table1[Self-Care and Living Skills],""))</f>
        <v/>
      </c>
      <c r="FW163" s="44" t="str">
        <f>IF(Table1[Date of Initial Assessment]="","",IF(AND(Table1[Start Date]&gt;42460,Table1[Start Date]&lt;42826),Table1[Managing Money and Personal Administration],""))</f>
        <v/>
      </c>
      <c r="FX163" s="44" t="str">
        <f>IF(Table1[Date of Initial Assessment]="","",IF(AND(Table1[Start Date]&gt;42460,Table1[Start Date]&lt;42826),Table1[Social Networks and Relationships],""))</f>
        <v/>
      </c>
      <c r="FY163" s="44" t="str">
        <f>IF(Table1[Date of Initial Assessment]="","",IF(AND(Table1[Start Date]&gt;42460,Table1[Start Date]&lt;42826),Table1[Drug and Alcohol Misuse],""))</f>
        <v/>
      </c>
      <c r="FZ163" s="44" t="str">
        <f>IF(Table1[Date of Initial Assessment]="","",IF(AND(Table1[Start Date]&gt;42460,Table1[Start Date]&lt;42826),Table1[Physical Health],""))</f>
        <v/>
      </c>
      <c r="GA163" s="44" t="str">
        <f>IF(Table1[Date of Initial Assessment]="","",IF(AND(Table1[Start Date]&gt;42460,Table1[Start Date]&lt;42826),Table1[Emotional and Mental Health],""))</f>
        <v/>
      </c>
      <c r="GB163" s="44" t="str">
        <f>IF(Table1[Date of Initial Assessment]="","",IF(AND(Table1[Start Date]&gt;42460,Table1[Start Date]&lt;42826),Table1[Meaningful Use of Time],""))</f>
        <v/>
      </c>
      <c r="GC163" s="44" t="str">
        <f>IF(Table1[Date of Initial Assessment]="","",IF(AND(Table1[Start Date]&gt;42460,Table1[Start Date]&lt;42826),Table1[Managing Tenancy and Accommodation],""))</f>
        <v/>
      </c>
      <c r="GD163" s="44" t="str">
        <f>IF(Table1[Date of Initial Assessment]="","",IF(AND(Table1[Start Date]&gt;42460,Table1[Start Date]&lt;42826),Table1[Offending],""))</f>
        <v/>
      </c>
      <c r="GE163" s="44" t="str">
        <f>IF(Table1[Leaving Date]="","",IF(AND(Table1[Leaving Date]&gt;42460,Table1[Leaving Date]&lt;42826),IF(Table1[Date of Last Assessment]="",Table1[Motivation and Taking Responsibility],Table1[Motivation and Taking Responsibility2]),""))</f>
        <v/>
      </c>
      <c r="GF163" s="44" t="str">
        <f>IF(Table1[Leaving Date]="","",IF(AND(Table1[Leaving Date]&gt;42460,Table1[Leaving Date]&lt;42826),IF(Table1[Date of Last Assessment]="",Table1[Self-Care and Living Skills],Table1[Self-Care and Living Skills2]),""))</f>
        <v/>
      </c>
      <c r="GG163" s="44" t="str">
        <f>IF(Table1[Leaving Date]="","",IF(AND(Table1[Leaving Date]&gt;42460,Table1[Leaving Date]&lt;42826),IF(Table1[Date of Last Assessment]="",Table1[Managing Money and Personal Administration],Table1[Managing Money and Personal Administration2]),""))</f>
        <v/>
      </c>
      <c r="GH163" s="44" t="str">
        <f>IF(Table1[Leaving Date]="","",IF(AND(Table1[Leaving Date]&gt;42460,Table1[Leaving Date]&lt;42826),IF(Table1[Date of Last Assessment]="",Table1[Social Networks and Relationships],Table1[Social Networks and Relationships2]),""))</f>
        <v/>
      </c>
      <c r="GI163" s="44" t="str">
        <f>IF(Table1[Leaving Date]="","",IF(AND(Table1[Leaving Date]&gt;42460,Table1[Leaving Date]&lt;42826),IF(Table1[Date of Last Assessment]="",Table1[Drug and Alcohol Misuse],Table1[Drug and Alcohol Misuse2]),""))</f>
        <v/>
      </c>
      <c r="GJ163" s="44" t="str">
        <f>IF(Table1[Leaving Date]="","",IF(AND(Table1[Leaving Date]&gt;42460,Table1[Leaving Date]&lt;42826),IF(Table1[Date of Last Assessment]="",Table1[Physical Health],Table1[Physical Health2]),""))</f>
        <v/>
      </c>
      <c r="GK163" s="44" t="str">
        <f>IF(Table1[Leaving Date]="","",IF(AND(Table1[Leaving Date]&gt;42460,Table1[Leaving Date]&lt;42826),IF(Table1[Date of Last Assessment]="",Table1[Emotional and Mental Health],Table1[Emotional and Mental Health2]),""))</f>
        <v/>
      </c>
      <c r="GL163" s="44" t="str">
        <f>IF(Table1[Leaving Date]="","",IF(AND(Table1[Leaving Date]&gt;42460,Table1[Leaving Date]&lt;42826),IF(Table1[Date of Last Assessment]="",Table1[Meaningful Use of Time],Table1[Meaningful Use of Time2]),""))</f>
        <v/>
      </c>
      <c r="GM163" s="44" t="str">
        <f>IF(Table1[Leaving Date]="","",IF(AND(Table1[Leaving Date]&gt;42460,Table1[Leaving Date]&lt;42826),IF(Table1[Date of Last Assessment]="",Table1[Managing Tenancy and Accommodation],Table1[Managing Tenancy and Accommodation2]),""))</f>
        <v/>
      </c>
      <c r="GN163" s="44" t="str">
        <f>IF(Table1[Leaving Date]="","",IF(AND(Table1[Leaving Date]&gt;42460,Table1[Leaving Date]&lt;42826),IF(Table1[Date of Last Assessment]="",Table1[Offending],Table1[Offending2]),""))</f>
        <v/>
      </c>
    </row>
    <row r="164" spans="2:196" ht="20.100000000000001" customHeight="1" x14ac:dyDescent="0.2">
      <c r="B164" s="86">
        <f>+'Service Data'!$C$5:$C$5</f>
        <v>0</v>
      </c>
      <c r="C164" s="86"/>
      <c r="D164" s="86"/>
      <c r="E164" s="86"/>
      <c r="F164" s="86"/>
      <c r="G164" s="86"/>
      <c r="H164" s="6"/>
      <c r="I164" s="99" t="str">
        <f ca="1">IF(Table1[[#This Row],[Date of Birth]]="","",SUM(TODAY()-Table1[[#This Row],[Date of Birth]])/365)</f>
        <v/>
      </c>
      <c r="L164" s="86"/>
      <c r="M164" s="77"/>
      <c r="N164" s="86"/>
      <c r="O164" s="86"/>
      <c r="P164" s="91"/>
      <c r="Q164" s="86"/>
      <c r="R164" s="77"/>
      <c r="S164" s="77"/>
      <c r="T164" s="68"/>
      <c r="U164" s="68"/>
      <c r="V164" s="67"/>
      <c r="W164" s="67"/>
      <c r="X164" s="67"/>
      <c r="Y164" s="67"/>
      <c r="Z164" s="67"/>
      <c r="AA164" s="67"/>
      <c r="AB164" s="67"/>
      <c r="AC164" s="67"/>
      <c r="AD164" s="67"/>
      <c r="AE164" s="67"/>
      <c r="AF164" s="67"/>
      <c r="AG164" s="67"/>
      <c r="AH164" s="67"/>
      <c r="AI164" s="67"/>
      <c r="AJ164" s="67"/>
      <c r="AK164" s="67"/>
      <c r="AL164" s="67"/>
      <c r="AM164" s="67"/>
      <c r="AN164" s="77"/>
      <c r="AO164" s="76"/>
      <c r="AP164" s="77"/>
      <c r="AQ164" s="76"/>
      <c r="AR164" s="76"/>
      <c r="AS164" s="76"/>
      <c r="AT164" s="76"/>
      <c r="AU164" s="76"/>
      <c r="AV164" s="77"/>
      <c r="AW164" s="76"/>
      <c r="AX164" s="77"/>
      <c r="AY164" s="76"/>
      <c r="AZ164" s="76"/>
      <c r="BA164" s="76"/>
      <c r="BB164" s="76"/>
      <c r="BC164" s="76"/>
      <c r="BD164" s="77"/>
      <c r="BE164" s="76"/>
      <c r="BF164" s="77"/>
      <c r="BG164" s="76"/>
      <c r="BH164" s="76"/>
      <c r="BI164" s="76"/>
      <c r="BJ164" s="76"/>
      <c r="BK164" s="76"/>
      <c r="BL164" s="77"/>
      <c r="BM164" s="76"/>
      <c r="BN164" s="77"/>
      <c r="BO164" s="76"/>
      <c r="BP164" s="76"/>
      <c r="BQ164" s="76"/>
      <c r="BR164" s="76"/>
      <c r="BS164" s="76"/>
      <c r="BT164" s="77"/>
      <c r="BU164" s="76"/>
      <c r="BV164" s="77"/>
      <c r="BW164" s="76"/>
      <c r="BX164" s="76"/>
      <c r="BY164" s="76"/>
      <c r="BZ164" s="76"/>
      <c r="CA164" s="76"/>
      <c r="CB164" s="77"/>
      <c r="CC164" s="76"/>
      <c r="CD164" s="77"/>
      <c r="CE164" s="76"/>
      <c r="CF164" s="76"/>
      <c r="CG164" s="76"/>
      <c r="CH164" s="76"/>
      <c r="CI164" s="76"/>
      <c r="CJ164" s="77"/>
      <c r="CK164" s="76"/>
      <c r="CL164" s="77"/>
      <c r="CM164" s="76"/>
      <c r="CN164" s="76"/>
      <c r="CO164" s="76"/>
      <c r="CP164" s="76"/>
      <c r="CQ164" s="76"/>
      <c r="CR164" s="78" t="str">
        <f t="shared" si="47"/>
        <v/>
      </c>
      <c r="CS164" s="79" t="str">
        <f t="shared" si="48"/>
        <v/>
      </c>
      <c r="CT164" s="79" t="str">
        <f t="shared" si="49"/>
        <v/>
      </c>
      <c r="CU164" s="79" t="str">
        <f t="shared" si="50"/>
        <v/>
      </c>
      <c r="CV164" s="79" t="str">
        <f t="shared" si="51"/>
        <v/>
      </c>
      <c r="CW164" s="79" t="str">
        <f t="shared" si="52"/>
        <v/>
      </c>
      <c r="CX164" s="79" t="str">
        <f t="shared" si="53"/>
        <v/>
      </c>
      <c r="CY164" s="79" t="str">
        <f t="shared" si="54"/>
        <v/>
      </c>
      <c r="CZ164" s="79" t="str">
        <f t="shared" si="55"/>
        <v/>
      </c>
      <c r="DA164" s="79" t="str">
        <f t="shared" si="56"/>
        <v/>
      </c>
      <c r="DB164" s="79" t="str">
        <f t="shared" si="57"/>
        <v/>
      </c>
      <c r="DC164" s="79" t="str">
        <f t="shared" si="58"/>
        <v/>
      </c>
      <c r="DD164" s="79" t="str">
        <f t="shared" si="59"/>
        <v/>
      </c>
      <c r="DE164" s="79" t="str">
        <f t="shared" si="60"/>
        <v/>
      </c>
      <c r="DF164" s="79" t="str">
        <f t="shared" si="61"/>
        <v/>
      </c>
      <c r="DG164" s="79" t="str">
        <f t="shared" si="62"/>
        <v/>
      </c>
      <c r="DH164" s="76"/>
      <c r="DI164" s="78"/>
      <c r="DJ164" s="76"/>
      <c r="DK164" s="77"/>
      <c r="DL164" s="77"/>
      <c r="DM164" s="77"/>
      <c r="DN164" s="80"/>
      <c r="DO164" s="80"/>
      <c r="DP164" s="92" t="str">
        <f>IF(Table1[Start Date]="","",IF(Table1[Start Date]&gt;42185,"",IF(AND(Table1[Leaving Date]&gt;1,Table1[Leaving Date]&lt;42095),"",1)))</f>
        <v/>
      </c>
      <c r="DQ164" s="92" t="str">
        <f>IF(Table1[Start Date]="","",IF(Table1[Start Date]&gt;42277,"",IF(AND(Table1[Leaving Date]&gt;1,Table1[Leaving Date]&lt;42186),"",1)))</f>
        <v/>
      </c>
      <c r="DR164" s="92" t="str">
        <f>IF(Table1[Start Date]="","",IF(Table1[Start Date]&gt;42369,"",IF(AND(Table1[Leaving Date]&gt;1,Table1[Leaving Date]&lt;42278),"",1)))</f>
        <v/>
      </c>
      <c r="DS164" s="92" t="str">
        <f>IF(Table1[Start Date]="","",IF(Table1[Start Date]&gt;42460,"",IF(AND(Table1[Leaving Date]&gt;1,Table1[Leaving Date]&lt;42370),"",1)))</f>
        <v/>
      </c>
      <c r="DT164" s="92" t="str">
        <f>IF(Table1[Start Date]="","",IF(Table1[Start Date]&gt;42551,"",IF(AND(Table1[Leaving Date]&gt;1,Table1[Leaving Date]&lt;42461),"",1)))</f>
        <v/>
      </c>
      <c r="DU164" s="92" t="str">
        <f>IF(Table1[Start Date]="","",IF(Table1[Start Date]&gt;42643,"",IF(AND(Table1[Leaving Date]&gt;1,Table1[Leaving Date]&lt;42552),"",1)))</f>
        <v/>
      </c>
      <c r="DV164" s="92" t="str">
        <f>IF(Table1[Start Date]="","",IF(Table1[Start Date]&gt;42735,"",IF(AND(Table1[Leaving Date]&gt;1,Table1[Leaving Date]&lt;42644),"",1)))</f>
        <v/>
      </c>
      <c r="DW164" s="92" t="str">
        <f>IF(Table1[Start Date]="","",IF(Table1[Start Date]&gt;42825,"",IF(AND(Table1[Leaving Date]&gt;1,Table1[Leaving Date]&lt;42736),"",1)))</f>
        <v/>
      </c>
      <c r="DX164"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164" s="44" t="e">
        <f>VLOOKUP(Table1[Referral Source],Lists!$G$2:$H$20,2,FALSE)</f>
        <v>#N/A</v>
      </c>
      <c r="DZ164" s="93" t="e">
        <f>SUM(Table1[Data Referral Quarter]+Table1[Data Referral Source])</f>
        <v>#N/A</v>
      </c>
      <c r="EA164" s="44" t="b">
        <f>IF(Table1[Referral Decision]="Accepted",100,IF(Table1[Referral Decision]="Rejected by Provider",200,IF(Table1[Referral Decision]="Rejected by Applicant",300)))</f>
        <v>0</v>
      </c>
      <c r="EB164" s="44">
        <f>SUM(Table1[Data Referral Quarter]+Table1[Data Referral Decision])</f>
        <v>0</v>
      </c>
      <c r="EC164" s="44" t="b">
        <f>IF(Table1[Start Date]&gt;42735,8000,IF(Table1[Start Date]&gt;42643,7000,IF(Table1[Start Date]&gt;42551,6000,IF(Table1[Start Date]&gt;42460,5000,IF(Table1[Start Date]&gt;42369,4000,IF(Table1[Start Date]&gt;42277,3000,IF(Table1[Start Date]&gt;42185,2000,IF(Table1[Start Date]&gt;42094,1000))))))))</f>
        <v>0</v>
      </c>
      <c r="ED164" s="44" t="str">
        <f>IF(Table1[Start Date]="","",IF(Table1[Current Local Authority]="Swindon",1,"2"))</f>
        <v/>
      </c>
      <c r="EE164" s="44" t="e">
        <f>SUM(Table1[Data Start Date]+Table1[Data Local Authority])</f>
        <v>#VALUE!</v>
      </c>
      <c r="EF164" s="44">
        <f>IF(Table1[Registered with GP]="Yes",1,0)</f>
        <v>0</v>
      </c>
      <c r="EG164" s="44">
        <f>SUM(Table1[Data Start Date]+Table1[Data GP Start])</f>
        <v>0</v>
      </c>
      <c r="EH164" s="44" t="str">
        <f>IF(Table1[EET]="NEET",1,IF(Table1[EET]="Education",2,IF(Table1[EET]="Employment",2,IF(Table1[EET]="Training",2,IF(Table1[EET]="Retired",3,"")))))</f>
        <v/>
      </c>
      <c r="EI164" s="44" t="e">
        <f>Table1[Data Start Date]+Table1[Data EET Start]</f>
        <v>#VALUE!</v>
      </c>
      <c r="EJ164" s="44" t="b">
        <f>IF(Table1[Leaving Date]&gt;42735,8000,IF(Table1[Leaving Date]&gt;42643,7000,IF(Table1[Leaving Date]&gt;42551,6000,IF(Table1[Leaving Date]&gt;42460,5000,IF(Table1[Leaving Date]&gt;42369,4000,IF(Table1[Leaving Date]&gt;42277,3000,IF(Table1[Leaving Date]&gt;42185,2000,IF(Table1[Leaving Date]&gt;42094,1000))))))))</f>
        <v>0</v>
      </c>
      <c r="EK164" s="44" t="e">
        <f>VLOOKUP(Table1[Reason for Leaving],Lists!$T$2:$U$15,2,FALSE)</f>
        <v>#N/A</v>
      </c>
      <c r="EL164" s="44" t="e">
        <f>SUM(Table1[Data Leavers Date]+Table1[Data Move On])</f>
        <v>#N/A</v>
      </c>
      <c r="EM164" s="44" t="b">
        <f>IF(Table1[Registered with GP2]="Yes",1,IF(Table1[Registered with GP2]="No",0,IF(Table1[Registered with GP]="Yes",1,IF(Table1[Registered with GP]="No",0))))</f>
        <v>0</v>
      </c>
      <c r="EN164" s="44">
        <f>SUM(Table1[Data Leavers Date]+Table1[Data GP End])</f>
        <v>0</v>
      </c>
      <c r="EO164" s="44" t="str">
        <f>IF(Table1[EET2]="NEET",1,IF(Table1[EET2]="Employment",2,IF(Table1[EET2]="Education",2,IF(Table1[EET2]="Training",2,IF(Table1[EET2]="Retired",3,IF(Table1[EET]="NEET",1,IF(Table1[EET]="Employment",2,IF(Table1[EET]="Education",2,IF(Table1[EET]="Training",2,IF(Table1[EET]="Retired",3,""))))))))))</f>
        <v/>
      </c>
      <c r="EP164" s="44" t="e">
        <f>+Table1[[#This Row],[Data Leavers Date]]+Table1[[#This Row],[Data EET End]]</f>
        <v>#VALUE!</v>
      </c>
      <c r="EQ164" s="44">
        <f>IF(Table1[Exit Form Received]="Yes",1,0)</f>
        <v>0</v>
      </c>
      <c r="ER164" s="44">
        <f>+Table1[[#This Row],[Data Leavers Date]]+Table1[[#This Row],[Data Exit Forms]]</f>
        <v>0</v>
      </c>
      <c r="ES164" s="44" t="str">
        <f>IF(Table1[Data Leavers Date]=1000,SUM(Table1[Leaving Date]-Table1[Start Date]),"")</f>
        <v/>
      </c>
      <c r="ET164" s="44" t="str">
        <f>IF(Table1[Data Leavers Date]=2000,SUM(Table1[Leaving Date]-Table1[Start Date]),"")</f>
        <v/>
      </c>
      <c r="EU164" s="44" t="str">
        <f>IF(Table1[Data Leavers Date]=3000,SUM(Table1[Leaving Date]-Table1[Start Date]),"")</f>
        <v/>
      </c>
      <c r="EV164" s="44" t="str">
        <f>IF(Table1[Data Leavers Date]=4000,SUM(Table1[Leaving Date]-Table1[Start Date]),"")</f>
        <v/>
      </c>
      <c r="EW164" s="44" t="str">
        <f>IF(Table1[Data Leavers Date]=5000,SUM(Table1[Leaving Date]-Table1[Start Date]),"")</f>
        <v/>
      </c>
      <c r="EX164" s="44" t="str">
        <f>IF(Table1[Data Leavers Date]=6000,SUM(Table1[Leaving Date]-Table1[Start Date]),"")</f>
        <v/>
      </c>
      <c r="EY164" s="44" t="str">
        <f>IF(Table1[Data Leavers Date]=7000,SUM(Table1[Leaving Date]-Table1[Start Date]),"")</f>
        <v/>
      </c>
      <c r="EZ164" s="44" t="str">
        <f>IF(Table1[Data Leavers Date]=8000,SUM(Table1[Leaving Date]-Table1[Start Date]),"")</f>
        <v/>
      </c>
      <c r="FA164" s="44" t="str">
        <f>IF(Table1[Date of Initial Assessment]="","",IF(AND(Table1[Start Date]&gt;42094,Table1[Start Date]&lt;42461),Table1[Motivation and Taking Responsibility],""))</f>
        <v/>
      </c>
      <c r="FB164" s="44" t="str">
        <f>IF(Table1[Date of Initial Assessment]="","",IF(AND(Table1[Start Date]&gt;42094,Table1[Start Date]&lt;42461),Table1[Self-Care and Living Skills],""))</f>
        <v/>
      </c>
      <c r="FC164" s="44" t="str">
        <f>IF(Table1[Date of Initial Assessment]="","",IF(AND(Table1[Start Date]&gt;42094,Table1[Start Date]&lt;42461),Table1[Managing Money and Personal Administration],""))</f>
        <v/>
      </c>
      <c r="FD164" s="44" t="str">
        <f>IF(Table1[Date of Initial Assessment]="","",IF(AND(Table1[Start Date]&gt;42094,Table1[Start Date]&lt;42461),Table1[Social Networks and Relationships],""))</f>
        <v/>
      </c>
      <c r="FE164" s="44" t="str">
        <f>IF(Table1[Date of Initial Assessment]="","",IF(AND(Table1[Start Date]&gt;42094,Table1[Start Date]&lt;42461),Table1[Drug and Alcohol Misuse],""))</f>
        <v/>
      </c>
      <c r="FF164" s="44" t="str">
        <f>IF(Table1[Date of Initial Assessment]="","",IF(AND(Table1[Start Date]&gt;42094,Table1[Start Date]&lt;42461),Table1[Physical Health],""))</f>
        <v/>
      </c>
      <c r="FG164" s="44" t="str">
        <f>IF(Table1[Date of Initial Assessment]="","",IF(AND(Table1[Start Date]&gt;42094,Table1[Start Date]&lt;42461),Table1[Emotional and Mental Health],""))</f>
        <v/>
      </c>
      <c r="FH164" s="44" t="str">
        <f>IF(Table1[Date of Initial Assessment]="","",IF(AND(Table1[Start Date]&gt;42094,Table1[Start Date]&lt;42461),Table1[Meaningful Use of Time],""))</f>
        <v/>
      </c>
      <c r="FI164" s="44" t="str">
        <f>IF(Table1[Date of Initial Assessment]="","",IF(AND(Table1[Start Date]&gt;42094,Table1[Start Date]&lt;42461),Table1[Managing Tenancy and Accommodation],""))</f>
        <v/>
      </c>
      <c r="FJ164" s="44" t="str">
        <f>IF(Table1[Date of Initial Assessment]="","",IF(AND(Table1[Start Date]&gt;42094,Table1[Start Date]&lt;42461),Table1[Offending],""))</f>
        <v/>
      </c>
      <c r="FK164" s="44" t="str">
        <f>IF(Table1[Leaving Date]="","",IF(Table1[Date of Initial Assessment]="","",IF(AND(Table1[Leaving Date]&gt;42094,Table1[Leaving Date]&lt;42461),IF(Table1[Date of Last Assessment]="",Table1[Motivation and Taking Responsibility],Table1[Motivation and Taking Responsibility2]),"")))</f>
        <v/>
      </c>
      <c r="FL164" s="44" t="str">
        <f>IF(Table1[Leaving Date]="","",IF(Table1[Date of Initial Assessment]="","",IF(AND(Table1[Leaving Date]&gt;42094,Table1[Leaving Date]&lt;42461),IF(Table1[Date of Last Assessment]="",Table1[Self-Care and Living Skills],Table1[Self-Care and Living Skills2]),"")))</f>
        <v/>
      </c>
      <c r="FM164" s="44" t="str">
        <f>IF(Table1[Leaving Date]="","",IF(Table1[Date of Initial Assessment]="","",IF(AND(Table1[Leaving Date]&gt;42094,Table1[Leaving Date]&lt;42461),IF(Table1[Date of Last Assessment]="",Table1[Managing Money and Personal Administration],Table1[Managing Money and Personal Administration2]),"")))</f>
        <v/>
      </c>
      <c r="FN164" s="44" t="str">
        <f>IF(Table1[Leaving Date]="","",IF(Table1[Date of Initial Assessment]="","",IF(AND(Table1[Leaving Date]&gt;42094,Table1[Leaving Date]&lt;42461),IF(Table1[Date of Last Assessment]="",Table1[Social Networks and Relationships],Table1[Social Networks and Relationships2]),"")))</f>
        <v/>
      </c>
      <c r="FO164" s="44" t="str">
        <f>IF(Table1[Leaving Date]="","",IF(Table1[Date of Initial Assessment]="","",IF(AND(Table1[Leaving Date]&gt;42094,Table1[Leaving Date]&lt;42461),IF(Table1[Date of Last Assessment]="",Table1[Drug and Alcohol Misuse],Table1[Drug and Alcohol Misuse2]),"")))</f>
        <v/>
      </c>
      <c r="FP164" s="44" t="str">
        <f>IF(Table1[Leaving Date]="","",IF(Table1[Date of Initial Assessment]="","",IF(AND(Table1[Leaving Date]&gt;42094,Table1[Leaving Date]&lt;42461),IF(Table1[Date of Last Assessment]="",Table1[Physical Health],Table1[Physical Health2]),"")))</f>
        <v/>
      </c>
      <c r="FQ164" s="44" t="str">
        <f>IF(Table1[Leaving Date]="","",IF(Table1[Date of Initial Assessment]="","",IF(AND(Table1[Leaving Date]&gt;42094,Table1[Leaving Date]&lt;42461),IF(Table1[Date of Last Assessment]="",Table1[Emotional and Mental Health],Table1[Emotional and Mental Health2]),"")))</f>
        <v/>
      </c>
      <c r="FR164" s="44" t="str">
        <f>IF(Table1[Leaving Date]="","",IF(Table1[Date of Initial Assessment]="","",IF(AND(Table1[Leaving Date]&gt;42094,Table1[Leaving Date]&lt;42461),IF(Table1[Date of Last Assessment]="",Table1[Meaningful Use of Time],Table1[Meaningful Use of Time2]),"")))</f>
        <v/>
      </c>
      <c r="FS164" s="44" t="str">
        <f>IF(Table1[Leaving Date]="","",IF(Table1[Date of Initial Assessment]="","",IF(AND(Table1[Leaving Date]&gt;42094,Table1[Leaving Date]&lt;42461),IF(Table1[Date of Last Assessment]="",Table1[Managing Tenancy and Accommodation],Table1[Managing Tenancy and Accommodation2]),"")))</f>
        <v/>
      </c>
      <c r="FT164" s="44" t="str">
        <f>IF(Table1[Leaving Date]="","",IF(Table1[Date of Initial Assessment]="","",IF(AND(Table1[Leaving Date]&gt;42094,Table1[Leaving Date]&lt;42461),IF(Table1[Date of Last Assessment]="",Table1[Offending],Table1[Offending2]),"")))</f>
        <v/>
      </c>
      <c r="FU164" s="44" t="str">
        <f>IF(Table1[Date of Initial Assessment]="","",IF(AND(Table1[Start Date]&gt;42460,Table1[Start Date]&lt;42826),Table1[Motivation and Taking Responsibility],""))</f>
        <v/>
      </c>
      <c r="FV164" s="44" t="str">
        <f>IF(Table1[Date of Initial Assessment]="","",IF(AND(Table1[Start Date]&gt;42460,Table1[Start Date]&lt;42826),Table1[Self-Care and Living Skills],""))</f>
        <v/>
      </c>
      <c r="FW164" s="44" t="str">
        <f>IF(Table1[Date of Initial Assessment]="","",IF(AND(Table1[Start Date]&gt;42460,Table1[Start Date]&lt;42826),Table1[Managing Money and Personal Administration],""))</f>
        <v/>
      </c>
      <c r="FX164" s="44" t="str">
        <f>IF(Table1[Date of Initial Assessment]="","",IF(AND(Table1[Start Date]&gt;42460,Table1[Start Date]&lt;42826),Table1[Social Networks and Relationships],""))</f>
        <v/>
      </c>
      <c r="FY164" s="44" t="str">
        <f>IF(Table1[Date of Initial Assessment]="","",IF(AND(Table1[Start Date]&gt;42460,Table1[Start Date]&lt;42826),Table1[Drug and Alcohol Misuse],""))</f>
        <v/>
      </c>
      <c r="FZ164" s="44" t="str">
        <f>IF(Table1[Date of Initial Assessment]="","",IF(AND(Table1[Start Date]&gt;42460,Table1[Start Date]&lt;42826),Table1[Physical Health],""))</f>
        <v/>
      </c>
      <c r="GA164" s="44" t="str">
        <f>IF(Table1[Date of Initial Assessment]="","",IF(AND(Table1[Start Date]&gt;42460,Table1[Start Date]&lt;42826),Table1[Emotional and Mental Health],""))</f>
        <v/>
      </c>
      <c r="GB164" s="44" t="str">
        <f>IF(Table1[Date of Initial Assessment]="","",IF(AND(Table1[Start Date]&gt;42460,Table1[Start Date]&lt;42826),Table1[Meaningful Use of Time],""))</f>
        <v/>
      </c>
      <c r="GC164" s="44" t="str">
        <f>IF(Table1[Date of Initial Assessment]="","",IF(AND(Table1[Start Date]&gt;42460,Table1[Start Date]&lt;42826),Table1[Managing Tenancy and Accommodation],""))</f>
        <v/>
      </c>
      <c r="GD164" s="44" t="str">
        <f>IF(Table1[Date of Initial Assessment]="","",IF(AND(Table1[Start Date]&gt;42460,Table1[Start Date]&lt;42826),Table1[Offending],""))</f>
        <v/>
      </c>
      <c r="GE164" s="44" t="str">
        <f>IF(Table1[Leaving Date]="","",IF(AND(Table1[Leaving Date]&gt;42460,Table1[Leaving Date]&lt;42826),IF(Table1[Date of Last Assessment]="",Table1[Motivation and Taking Responsibility],Table1[Motivation and Taking Responsibility2]),""))</f>
        <v/>
      </c>
      <c r="GF164" s="44" t="str">
        <f>IF(Table1[Leaving Date]="","",IF(AND(Table1[Leaving Date]&gt;42460,Table1[Leaving Date]&lt;42826),IF(Table1[Date of Last Assessment]="",Table1[Self-Care and Living Skills],Table1[Self-Care and Living Skills2]),""))</f>
        <v/>
      </c>
      <c r="GG164" s="44" t="str">
        <f>IF(Table1[Leaving Date]="","",IF(AND(Table1[Leaving Date]&gt;42460,Table1[Leaving Date]&lt;42826),IF(Table1[Date of Last Assessment]="",Table1[Managing Money and Personal Administration],Table1[Managing Money and Personal Administration2]),""))</f>
        <v/>
      </c>
      <c r="GH164" s="44" t="str">
        <f>IF(Table1[Leaving Date]="","",IF(AND(Table1[Leaving Date]&gt;42460,Table1[Leaving Date]&lt;42826),IF(Table1[Date of Last Assessment]="",Table1[Social Networks and Relationships],Table1[Social Networks and Relationships2]),""))</f>
        <v/>
      </c>
      <c r="GI164" s="44" t="str">
        <f>IF(Table1[Leaving Date]="","",IF(AND(Table1[Leaving Date]&gt;42460,Table1[Leaving Date]&lt;42826),IF(Table1[Date of Last Assessment]="",Table1[Drug and Alcohol Misuse],Table1[Drug and Alcohol Misuse2]),""))</f>
        <v/>
      </c>
      <c r="GJ164" s="44" t="str">
        <f>IF(Table1[Leaving Date]="","",IF(AND(Table1[Leaving Date]&gt;42460,Table1[Leaving Date]&lt;42826),IF(Table1[Date of Last Assessment]="",Table1[Physical Health],Table1[Physical Health2]),""))</f>
        <v/>
      </c>
      <c r="GK164" s="44" t="str">
        <f>IF(Table1[Leaving Date]="","",IF(AND(Table1[Leaving Date]&gt;42460,Table1[Leaving Date]&lt;42826),IF(Table1[Date of Last Assessment]="",Table1[Emotional and Mental Health],Table1[Emotional and Mental Health2]),""))</f>
        <v/>
      </c>
      <c r="GL164" s="44" t="str">
        <f>IF(Table1[Leaving Date]="","",IF(AND(Table1[Leaving Date]&gt;42460,Table1[Leaving Date]&lt;42826),IF(Table1[Date of Last Assessment]="",Table1[Meaningful Use of Time],Table1[Meaningful Use of Time2]),""))</f>
        <v/>
      </c>
      <c r="GM164" s="44" t="str">
        <f>IF(Table1[Leaving Date]="","",IF(AND(Table1[Leaving Date]&gt;42460,Table1[Leaving Date]&lt;42826),IF(Table1[Date of Last Assessment]="",Table1[Managing Tenancy and Accommodation],Table1[Managing Tenancy and Accommodation2]),""))</f>
        <v/>
      </c>
      <c r="GN164" s="44" t="str">
        <f>IF(Table1[Leaving Date]="","",IF(AND(Table1[Leaving Date]&gt;42460,Table1[Leaving Date]&lt;42826),IF(Table1[Date of Last Assessment]="",Table1[Offending],Table1[Offending2]),""))</f>
        <v/>
      </c>
    </row>
    <row r="165" spans="2:196" ht="20.100000000000001" customHeight="1" x14ac:dyDescent="0.2">
      <c r="B165" s="86">
        <f>+'Service Data'!$C$5:$C$5</f>
        <v>0</v>
      </c>
      <c r="C165" s="86"/>
      <c r="D165" s="86"/>
      <c r="E165" s="86"/>
      <c r="F165" s="86"/>
      <c r="G165" s="86"/>
      <c r="H165" s="6"/>
      <c r="I165" s="99" t="str">
        <f ca="1">IF(Table1[[#This Row],[Date of Birth]]="","",SUM(TODAY()-Table1[[#This Row],[Date of Birth]])/365)</f>
        <v/>
      </c>
      <c r="L165" s="86"/>
      <c r="M165" s="77"/>
      <c r="N165" s="86"/>
      <c r="O165" s="86"/>
      <c r="P165" s="91"/>
      <c r="Q165" s="86"/>
      <c r="R165" s="77"/>
      <c r="S165" s="77"/>
      <c r="T165" s="68"/>
      <c r="U165" s="68"/>
      <c r="V165" s="67"/>
      <c r="W165" s="67"/>
      <c r="X165" s="67"/>
      <c r="Y165" s="67"/>
      <c r="Z165" s="67"/>
      <c r="AA165" s="67"/>
      <c r="AB165" s="67"/>
      <c r="AC165" s="67"/>
      <c r="AD165" s="67"/>
      <c r="AE165" s="67"/>
      <c r="AF165" s="67"/>
      <c r="AG165" s="67"/>
      <c r="AH165" s="67"/>
      <c r="AI165" s="67"/>
      <c r="AJ165" s="67"/>
      <c r="AK165" s="67"/>
      <c r="AL165" s="67"/>
      <c r="AM165" s="67"/>
      <c r="AN165" s="77"/>
      <c r="AO165" s="76"/>
      <c r="AP165" s="77"/>
      <c r="AQ165" s="76"/>
      <c r="AR165" s="76"/>
      <c r="AS165" s="76"/>
      <c r="AT165" s="76"/>
      <c r="AU165" s="76"/>
      <c r="AV165" s="77"/>
      <c r="AW165" s="76"/>
      <c r="AX165" s="77"/>
      <c r="AY165" s="76"/>
      <c r="AZ165" s="76"/>
      <c r="BA165" s="76"/>
      <c r="BB165" s="76"/>
      <c r="BC165" s="76"/>
      <c r="BD165" s="77"/>
      <c r="BE165" s="76"/>
      <c r="BF165" s="77"/>
      <c r="BG165" s="76"/>
      <c r="BH165" s="76"/>
      <c r="BI165" s="76"/>
      <c r="BJ165" s="76"/>
      <c r="BK165" s="76"/>
      <c r="BL165" s="77"/>
      <c r="BM165" s="76"/>
      <c r="BN165" s="77"/>
      <c r="BO165" s="76"/>
      <c r="BP165" s="76"/>
      <c r="BQ165" s="76"/>
      <c r="BR165" s="76"/>
      <c r="BS165" s="76"/>
      <c r="BT165" s="77"/>
      <c r="BU165" s="76"/>
      <c r="BV165" s="77"/>
      <c r="BW165" s="76"/>
      <c r="BX165" s="76"/>
      <c r="BY165" s="76"/>
      <c r="BZ165" s="76"/>
      <c r="CA165" s="76"/>
      <c r="CB165" s="77"/>
      <c r="CC165" s="76"/>
      <c r="CD165" s="77"/>
      <c r="CE165" s="76"/>
      <c r="CF165" s="76"/>
      <c r="CG165" s="76"/>
      <c r="CH165" s="76"/>
      <c r="CI165" s="76"/>
      <c r="CJ165" s="77"/>
      <c r="CK165" s="76"/>
      <c r="CL165" s="77"/>
      <c r="CM165" s="76"/>
      <c r="CN165" s="76"/>
      <c r="CO165" s="76"/>
      <c r="CP165" s="76"/>
      <c r="CQ165" s="76"/>
      <c r="CR165" s="78" t="str">
        <f t="shared" si="47"/>
        <v/>
      </c>
      <c r="CS165" s="79" t="str">
        <f t="shared" si="48"/>
        <v/>
      </c>
      <c r="CT165" s="79" t="str">
        <f t="shared" si="49"/>
        <v/>
      </c>
      <c r="CU165" s="79" t="str">
        <f t="shared" si="50"/>
        <v/>
      </c>
      <c r="CV165" s="79" t="str">
        <f t="shared" si="51"/>
        <v/>
      </c>
      <c r="CW165" s="79" t="str">
        <f t="shared" si="52"/>
        <v/>
      </c>
      <c r="CX165" s="79" t="str">
        <f t="shared" si="53"/>
        <v/>
      </c>
      <c r="CY165" s="79" t="str">
        <f t="shared" si="54"/>
        <v/>
      </c>
      <c r="CZ165" s="79" t="str">
        <f t="shared" si="55"/>
        <v/>
      </c>
      <c r="DA165" s="79" t="str">
        <f t="shared" si="56"/>
        <v/>
      </c>
      <c r="DB165" s="79" t="str">
        <f t="shared" si="57"/>
        <v/>
      </c>
      <c r="DC165" s="79" t="str">
        <f t="shared" si="58"/>
        <v/>
      </c>
      <c r="DD165" s="79" t="str">
        <f t="shared" si="59"/>
        <v/>
      </c>
      <c r="DE165" s="79" t="str">
        <f t="shared" si="60"/>
        <v/>
      </c>
      <c r="DF165" s="79" t="str">
        <f t="shared" si="61"/>
        <v/>
      </c>
      <c r="DG165" s="79" t="str">
        <f t="shared" si="62"/>
        <v/>
      </c>
      <c r="DH165" s="76"/>
      <c r="DI165" s="78"/>
      <c r="DJ165" s="76"/>
      <c r="DK165" s="77"/>
      <c r="DL165" s="77"/>
      <c r="DM165" s="77"/>
      <c r="DN165" s="80"/>
      <c r="DO165" s="80"/>
      <c r="DP165" s="92" t="str">
        <f>IF(Table1[Start Date]="","",IF(Table1[Start Date]&gt;42185,"",IF(AND(Table1[Leaving Date]&gt;1,Table1[Leaving Date]&lt;42095),"",1)))</f>
        <v/>
      </c>
      <c r="DQ165" s="92" t="str">
        <f>IF(Table1[Start Date]="","",IF(Table1[Start Date]&gt;42277,"",IF(AND(Table1[Leaving Date]&gt;1,Table1[Leaving Date]&lt;42186),"",1)))</f>
        <v/>
      </c>
      <c r="DR165" s="92" t="str">
        <f>IF(Table1[Start Date]="","",IF(Table1[Start Date]&gt;42369,"",IF(AND(Table1[Leaving Date]&gt;1,Table1[Leaving Date]&lt;42278),"",1)))</f>
        <v/>
      </c>
      <c r="DS165" s="92" t="str">
        <f>IF(Table1[Start Date]="","",IF(Table1[Start Date]&gt;42460,"",IF(AND(Table1[Leaving Date]&gt;1,Table1[Leaving Date]&lt;42370),"",1)))</f>
        <v/>
      </c>
      <c r="DT165" s="92" t="str">
        <f>IF(Table1[Start Date]="","",IF(Table1[Start Date]&gt;42551,"",IF(AND(Table1[Leaving Date]&gt;1,Table1[Leaving Date]&lt;42461),"",1)))</f>
        <v/>
      </c>
      <c r="DU165" s="92" t="str">
        <f>IF(Table1[Start Date]="","",IF(Table1[Start Date]&gt;42643,"",IF(AND(Table1[Leaving Date]&gt;1,Table1[Leaving Date]&lt;42552),"",1)))</f>
        <v/>
      </c>
      <c r="DV165" s="92" t="str">
        <f>IF(Table1[Start Date]="","",IF(Table1[Start Date]&gt;42735,"",IF(AND(Table1[Leaving Date]&gt;1,Table1[Leaving Date]&lt;42644),"",1)))</f>
        <v/>
      </c>
      <c r="DW165" s="92" t="str">
        <f>IF(Table1[Start Date]="","",IF(Table1[Start Date]&gt;42825,"",IF(AND(Table1[Leaving Date]&gt;1,Table1[Leaving Date]&lt;42736),"",1)))</f>
        <v/>
      </c>
      <c r="DX165"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165" s="44" t="e">
        <f>VLOOKUP(Table1[Referral Source],Lists!$G$2:$H$20,2,FALSE)</f>
        <v>#N/A</v>
      </c>
      <c r="DZ165" s="93" t="e">
        <f>SUM(Table1[Data Referral Quarter]+Table1[Data Referral Source])</f>
        <v>#N/A</v>
      </c>
      <c r="EA165" s="44" t="b">
        <f>IF(Table1[Referral Decision]="Accepted",100,IF(Table1[Referral Decision]="Rejected by Provider",200,IF(Table1[Referral Decision]="Rejected by Applicant",300)))</f>
        <v>0</v>
      </c>
      <c r="EB165" s="44">
        <f>SUM(Table1[Data Referral Quarter]+Table1[Data Referral Decision])</f>
        <v>0</v>
      </c>
      <c r="EC165" s="44" t="b">
        <f>IF(Table1[Start Date]&gt;42735,8000,IF(Table1[Start Date]&gt;42643,7000,IF(Table1[Start Date]&gt;42551,6000,IF(Table1[Start Date]&gt;42460,5000,IF(Table1[Start Date]&gt;42369,4000,IF(Table1[Start Date]&gt;42277,3000,IF(Table1[Start Date]&gt;42185,2000,IF(Table1[Start Date]&gt;42094,1000))))))))</f>
        <v>0</v>
      </c>
      <c r="ED165" s="44" t="str">
        <f>IF(Table1[Start Date]="","",IF(Table1[Current Local Authority]="Swindon",1,"2"))</f>
        <v/>
      </c>
      <c r="EE165" s="44" t="e">
        <f>SUM(Table1[Data Start Date]+Table1[Data Local Authority])</f>
        <v>#VALUE!</v>
      </c>
      <c r="EF165" s="44">
        <f>IF(Table1[Registered with GP]="Yes",1,0)</f>
        <v>0</v>
      </c>
      <c r="EG165" s="44">
        <f>SUM(Table1[Data Start Date]+Table1[Data GP Start])</f>
        <v>0</v>
      </c>
      <c r="EH165" s="44" t="str">
        <f>IF(Table1[EET]="NEET",1,IF(Table1[EET]="Education",2,IF(Table1[EET]="Employment",2,IF(Table1[EET]="Training",2,IF(Table1[EET]="Retired",3,"")))))</f>
        <v/>
      </c>
      <c r="EI165" s="44" t="e">
        <f>Table1[Data Start Date]+Table1[Data EET Start]</f>
        <v>#VALUE!</v>
      </c>
      <c r="EJ165" s="44" t="b">
        <f>IF(Table1[Leaving Date]&gt;42735,8000,IF(Table1[Leaving Date]&gt;42643,7000,IF(Table1[Leaving Date]&gt;42551,6000,IF(Table1[Leaving Date]&gt;42460,5000,IF(Table1[Leaving Date]&gt;42369,4000,IF(Table1[Leaving Date]&gt;42277,3000,IF(Table1[Leaving Date]&gt;42185,2000,IF(Table1[Leaving Date]&gt;42094,1000))))))))</f>
        <v>0</v>
      </c>
      <c r="EK165" s="44" t="e">
        <f>VLOOKUP(Table1[Reason for Leaving],Lists!$T$2:$U$15,2,FALSE)</f>
        <v>#N/A</v>
      </c>
      <c r="EL165" s="44" t="e">
        <f>SUM(Table1[Data Leavers Date]+Table1[Data Move On])</f>
        <v>#N/A</v>
      </c>
      <c r="EM165" s="44" t="b">
        <f>IF(Table1[Registered with GP2]="Yes",1,IF(Table1[Registered with GP2]="No",0,IF(Table1[Registered with GP]="Yes",1,IF(Table1[Registered with GP]="No",0))))</f>
        <v>0</v>
      </c>
      <c r="EN165" s="44">
        <f>SUM(Table1[Data Leavers Date]+Table1[Data GP End])</f>
        <v>0</v>
      </c>
      <c r="EO165" s="44" t="str">
        <f>IF(Table1[EET2]="NEET",1,IF(Table1[EET2]="Employment",2,IF(Table1[EET2]="Education",2,IF(Table1[EET2]="Training",2,IF(Table1[EET2]="Retired",3,IF(Table1[EET]="NEET",1,IF(Table1[EET]="Employment",2,IF(Table1[EET]="Education",2,IF(Table1[EET]="Training",2,IF(Table1[EET]="Retired",3,""))))))))))</f>
        <v/>
      </c>
      <c r="EP165" s="44" t="e">
        <f>+Table1[[#This Row],[Data Leavers Date]]+Table1[[#This Row],[Data EET End]]</f>
        <v>#VALUE!</v>
      </c>
      <c r="EQ165" s="44">
        <f>IF(Table1[Exit Form Received]="Yes",1,0)</f>
        <v>0</v>
      </c>
      <c r="ER165" s="44">
        <f>+Table1[[#This Row],[Data Leavers Date]]+Table1[[#This Row],[Data Exit Forms]]</f>
        <v>0</v>
      </c>
      <c r="ES165" s="44" t="str">
        <f>IF(Table1[Data Leavers Date]=1000,SUM(Table1[Leaving Date]-Table1[Start Date]),"")</f>
        <v/>
      </c>
      <c r="ET165" s="44" t="str">
        <f>IF(Table1[Data Leavers Date]=2000,SUM(Table1[Leaving Date]-Table1[Start Date]),"")</f>
        <v/>
      </c>
      <c r="EU165" s="44" t="str">
        <f>IF(Table1[Data Leavers Date]=3000,SUM(Table1[Leaving Date]-Table1[Start Date]),"")</f>
        <v/>
      </c>
      <c r="EV165" s="44" t="str">
        <f>IF(Table1[Data Leavers Date]=4000,SUM(Table1[Leaving Date]-Table1[Start Date]),"")</f>
        <v/>
      </c>
      <c r="EW165" s="44" t="str">
        <f>IF(Table1[Data Leavers Date]=5000,SUM(Table1[Leaving Date]-Table1[Start Date]),"")</f>
        <v/>
      </c>
      <c r="EX165" s="44" t="str">
        <f>IF(Table1[Data Leavers Date]=6000,SUM(Table1[Leaving Date]-Table1[Start Date]),"")</f>
        <v/>
      </c>
      <c r="EY165" s="44" t="str">
        <f>IF(Table1[Data Leavers Date]=7000,SUM(Table1[Leaving Date]-Table1[Start Date]),"")</f>
        <v/>
      </c>
      <c r="EZ165" s="44" t="str">
        <f>IF(Table1[Data Leavers Date]=8000,SUM(Table1[Leaving Date]-Table1[Start Date]),"")</f>
        <v/>
      </c>
      <c r="FA165" s="44" t="str">
        <f>IF(Table1[Date of Initial Assessment]="","",IF(AND(Table1[Start Date]&gt;42094,Table1[Start Date]&lt;42461),Table1[Motivation and Taking Responsibility],""))</f>
        <v/>
      </c>
      <c r="FB165" s="44" t="str">
        <f>IF(Table1[Date of Initial Assessment]="","",IF(AND(Table1[Start Date]&gt;42094,Table1[Start Date]&lt;42461),Table1[Self-Care and Living Skills],""))</f>
        <v/>
      </c>
      <c r="FC165" s="44" t="str">
        <f>IF(Table1[Date of Initial Assessment]="","",IF(AND(Table1[Start Date]&gt;42094,Table1[Start Date]&lt;42461),Table1[Managing Money and Personal Administration],""))</f>
        <v/>
      </c>
      <c r="FD165" s="44" t="str">
        <f>IF(Table1[Date of Initial Assessment]="","",IF(AND(Table1[Start Date]&gt;42094,Table1[Start Date]&lt;42461),Table1[Social Networks and Relationships],""))</f>
        <v/>
      </c>
      <c r="FE165" s="44" t="str">
        <f>IF(Table1[Date of Initial Assessment]="","",IF(AND(Table1[Start Date]&gt;42094,Table1[Start Date]&lt;42461),Table1[Drug and Alcohol Misuse],""))</f>
        <v/>
      </c>
      <c r="FF165" s="44" t="str">
        <f>IF(Table1[Date of Initial Assessment]="","",IF(AND(Table1[Start Date]&gt;42094,Table1[Start Date]&lt;42461),Table1[Physical Health],""))</f>
        <v/>
      </c>
      <c r="FG165" s="44" t="str">
        <f>IF(Table1[Date of Initial Assessment]="","",IF(AND(Table1[Start Date]&gt;42094,Table1[Start Date]&lt;42461),Table1[Emotional and Mental Health],""))</f>
        <v/>
      </c>
      <c r="FH165" s="44" t="str">
        <f>IF(Table1[Date of Initial Assessment]="","",IF(AND(Table1[Start Date]&gt;42094,Table1[Start Date]&lt;42461),Table1[Meaningful Use of Time],""))</f>
        <v/>
      </c>
      <c r="FI165" s="44" t="str">
        <f>IF(Table1[Date of Initial Assessment]="","",IF(AND(Table1[Start Date]&gt;42094,Table1[Start Date]&lt;42461),Table1[Managing Tenancy and Accommodation],""))</f>
        <v/>
      </c>
      <c r="FJ165" s="44" t="str">
        <f>IF(Table1[Date of Initial Assessment]="","",IF(AND(Table1[Start Date]&gt;42094,Table1[Start Date]&lt;42461),Table1[Offending],""))</f>
        <v/>
      </c>
      <c r="FK165" s="44" t="str">
        <f>IF(Table1[Leaving Date]="","",IF(Table1[Date of Initial Assessment]="","",IF(AND(Table1[Leaving Date]&gt;42094,Table1[Leaving Date]&lt;42461),IF(Table1[Date of Last Assessment]="",Table1[Motivation and Taking Responsibility],Table1[Motivation and Taking Responsibility2]),"")))</f>
        <v/>
      </c>
      <c r="FL165" s="44" t="str">
        <f>IF(Table1[Leaving Date]="","",IF(Table1[Date of Initial Assessment]="","",IF(AND(Table1[Leaving Date]&gt;42094,Table1[Leaving Date]&lt;42461),IF(Table1[Date of Last Assessment]="",Table1[Self-Care and Living Skills],Table1[Self-Care and Living Skills2]),"")))</f>
        <v/>
      </c>
      <c r="FM165" s="44" t="str">
        <f>IF(Table1[Leaving Date]="","",IF(Table1[Date of Initial Assessment]="","",IF(AND(Table1[Leaving Date]&gt;42094,Table1[Leaving Date]&lt;42461),IF(Table1[Date of Last Assessment]="",Table1[Managing Money and Personal Administration],Table1[Managing Money and Personal Administration2]),"")))</f>
        <v/>
      </c>
      <c r="FN165" s="44" t="str">
        <f>IF(Table1[Leaving Date]="","",IF(Table1[Date of Initial Assessment]="","",IF(AND(Table1[Leaving Date]&gt;42094,Table1[Leaving Date]&lt;42461),IF(Table1[Date of Last Assessment]="",Table1[Social Networks and Relationships],Table1[Social Networks and Relationships2]),"")))</f>
        <v/>
      </c>
      <c r="FO165" s="44" t="str">
        <f>IF(Table1[Leaving Date]="","",IF(Table1[Date of Initial Assessment]="","",IF(AND(Table1[Leaving Date]&gt;42094,Table1[Leaving Date]&lt;42461),IF(Table1[Date of Last Assessment]="",Table1[Drug and Alcohol Misuse],Table1[Drug and Alcohol Misuse2]),"")))</f>
        <v/>
      </c>
      <c r="FP165" s="44" t="str">
        <f>IF(Table1[Leaving Date]="","",IF(Table1[Date of Initial Assessment]="","",IF(AND(Table1[Leaving Date]&gt;42094,Table1[Leaving Date]&lt;42461),IF(Table1[Date of Last Assessment]="",Table1[Physical Health],Table1[Physical Health2]),"")))</f>
        <v/>
      </c>
      <c r="FQ165" s="44" t="str">
        <f>IF(Table1[Leaving Date]="","",IF(Table1[Date of Initial Assessment]="","",IF(AND(Table1[Leaving Date]&gt;42094,Table1[Leaving Date]&lt;42461),IF(Table1[Date of Last Assessment]="",Table1[Emotional and Mental Health],Table1[Emotional and Mental Health2]),"")))</f>
        <v/>
      </c>
      <c r="FR165" s="44" t="str">
        <f>IF(Table1[Leaving Date]="","",IF(Table1[Date of Initial Assessment]="","",IF(AND(Table1[Leaving Date]&gt;42094,Table1[Leaving Date]&lt;42461),IF(Table1[Date of Last Assessment]="",Table1[Meaningful Use of Time],Table1[Meaningful Use of Time2]),"")))</f>
        <v/>
      </c>
      <c r="FS165" s="44" t="str">
        <f>IF(Table1[Leaving Date]="","",IF(Table1[Date of Initial Assessment]="","",IF(AND(Table1[Leaving Date]&gt;42094,Table1[Leaving Date]&lt;42461),IF(Table1[Date of Last Assessment]="",Table1[Managing Tenancy and Accommodation],Table1[Managing Tenancy and Accommodation2]),"")))</f>
        <v/>
      </c>
      <c r="FT165" s="44" t="str">
        <f>IF(Table1[Leaving Date]="","",IF(Table1[Date of Initial Assessment]="","",IF(AND(Table1[Leaving Date]&gt;42094,Table1[Leaving Date]&lt;42461),IF(Table1[Date of Last Assessment]="",Table1[Offending],Table1[Offending2]),"")))</f>
        <v/>
      </c>
      <c r="FU165" s="44" t="str">
        <f>IF(Table1[Date of Initial Assessment]="","",IF(AND(Table1[Start Date]&gt;42460,Table1[Start Date]&lt;42826),Table1[Motivation and Taking Responsibility],""))</f>
        <v/>
      </c>
      <c r="FV165" s="44" t="str">
        <f>IF(Table1[Date of Initial Assessment]="","",IF(AND(Table1[Start Date]&gt;42460,Table1[Start Date]&lt;42826),Table1[Self-Care and Living Skills],""))</f>
        <v/>
      </c>
      <c r="FW165" s="44" t="str">
        <f>IF(Table1[Date of Initial Assessment]="","",IF(AND(Table1[Start Date]&gt;42460,Table1[Start Date]&lt;42826),Table1[Managing Money and Personal Administration],""))</f>
        <v/>
      </c>
      <c r="FX165" s="44" t="str">
        <f>IF(Table1[Date of Initial Assessment]="","",IF(AND(Table1[Start Date]&gt;42460,Table1[Start Date]&lt;42826),Table1[Social Networks and Relationships],""))</f>
        <v/>
      </c>
      <c r="FY165" s="44" t="str">
        <f>IF(Table1[Date of Initial Assessment]="","",IF(AND(Table1[Start Date]&gt;42460,Table1[Start Date]&lt;42826),Table1[Drug and Alcohol Misuse],""))</f>
        <v/>
      </c>
      <c r="FZ165" s="44" t="str">
        <f>IF(Table1[Date of Initial Assessment]="","",IF(AND(Table1[Start Date]&gt;42460,Table1[Start Date]&lt;42826),Table1[Physical Health],""))</f>
        <v/>
      </c>
      <c r="GA165" s="44" t="str">
        <f>IF(Table1[Date of Initial Assessment]="","",IF(AND(Table1[Start Date]&gt;42460,Table1[Start Date]&lt;42826),Table1[Emotional and Mental Health],""))</f>
        <v/>
      </c>
      <c r="GB165" s="44" t="str">
        <f>IF(Table1[Date of Initial Assessment]="","",IF(AND(Table1[Start Date]&gt;42460,Table1[Start Date]&lt;42826),Table1[Meaningful Use of Time],""))</f>
        <v/>
      </c>
      <c r="GC165" s="44" t="str">
        <f>IF(Table1[Date of Initial Assessment]="","",IF(AND(Table1[Start Date]&gt;42460,Table1[Start Date]&lt;42826),Table1[Managing Tenancy and Accommodation],""))</f>
        <v/>
      </c>
      <c r="GD165" s="44" t="str">
        <f>IF(Table1[Date of Initial Assessment]="","",IF(AND(Table1[Start Date]&gt;42460,Table1[Start Date]&lt;42826),Table1[Offending],""))</f>
        <v/>
      </c>
      <c r="GE165" s="44" t="str">
        <f>IF(Table1[Leaving Date]="","",IF(AND(Table1[Leaving Date]&gt;42460,Table1[Leaving Date]&lt;42826),IF(Table1[Date of Last Assessment]="",Table1[Motivation and Taking Responsibility],Table1[Motivation and Taking Responsibility2]),""))</f>
        <v/>
      </c>
      <c r="GF165" s="44" t="str">
        <f>IF(Table1[Leaving Date]="","",IF(AND(Table1[Leaving Date]&gt;42460,Table1[Leaving Date]&lt;42826),IF(Table1[Date of Last Assessment]="",Table1[Self-Care and Living Skills],Table1[Self-Care and Living Skills2]),""))</f>
        <v/>
      </c>
      <c r="GG165" s="44" t="str">
        <f>IF(Table1[Leaving Date]="","",IF(AND(Table1[Leaving Date]&gt;42460,Table1[Leaving Date]&lt;42826),IF(Table1[Date of Last Assessment]="",Table1[Managing Money and Personal Administration],Table1[Managing Money and Personal Administration2]),""))</f>
        <v/>
      </c>
      <c r="GH165" s="44" t="str">
        <f>IF(Table1[Leaving Date]="","",IF(AND(Table1[Leaving Date]&gt;42460,Table1[Leaving Date]&lt;42826),IF(Table1[Date of Last Assessment]="",Table1[Social Networks and Relationships],Table1[Social Networks and Relationships2]),""))</f>
        <v/>
      </c>
      <c r="GI165" s="44" t="str">
        <f>IF(Table1[Leaving Date]="","",IF(AND(Table1[Leaving Date]&gt;42460,Table1[Leaving Date]&lt;42826),IF(Table1[Date of Last Assessment]="",Table1[Drug and Alcohol Misuse],Table1[Drug and Alcohol Misuse2]),""))</f>
        <v/>
      </c>
      <c r="GJ165" s="44" t="str">
        <f>IF(Table1[Leaving Date]="","",IF(AND(Table1[Leaving Date]&gt;42460,Table1[Leaving Date]&lt;42826),IF(Table1[Date of Last Assessment]="",Table1[Physical Health],Table1[Physical Health2]),""))</f>
        <v/>
      </c>
      <c r="GK165" s="44" t="str">
        <f>IF(Table1[Leaving Date]="","",IF(AND(Table1[Leaving Date]&gt;42460,Table1[Leaving Date]&lt;42826),IF(Table1[Date of Last Assessment]="",Table1[Emotional and Mental Health],Table1[Emotional and Mental Health2]),""))</f>
        <v/>
      </c>
      <c r="GL165" s="44" t="str">
        <f>IF(Table1[Leaving Date]="","",IF(AND(Table1[Leaving Date]&gt;42460,Table1[Leaving Date]&lt;42826),IF(Table1[Date of Last Assessment]="",Table1[Meaningful Use of Time],Table1[Meaningful Use of Time2]),""))</f>
        <v/>
      </c>
      <c r="GM165" s="44" t="str">
        <f>IF(Table1[Leaving Date]="","",IF(AND(Table1[Leaving Date]&gt;42460,Table1[Leaving Date]&lt;42826),IF(Table1[Date of Last Assessment]="",Table1[Managing Tenancy and Accommodation],Table1[Managing Tenancy and Accommodation2]),""))</f>
        <v/>
      </c>
      <c r="GN165" s="44" t="str">
        <f>IF(Table1[Leaving Date]="","",IF(AND(Table1[Leaving Date]&gt;42460,Table1[Leaving Date]&lt;42826),IF(Table1[Date of Last Assessment]="",Table1[Offending],Table1[Offending2]),""))</f>
        <v/>
      </c>
    </row>
    <row r="166" spans="2:196" ht="20.100000000000001" customHeight="1" x14ac:dyDescent="0.2">
      <c r="B166" s="86">
        <f>+'Service Data'!$C$5:$C$5</f>
        <v>0</v>
      </c>
      <c r="C166" s="86"/>
      <c r="D166" s="86"/>
      <c r="E166" s="86"/>
      <c r="F166" s="86"/>
      <c r="G166" s="86"/>
      <c r="H166" s="6"/>
      <c r="I166" s="99" t="str">
        <f ca="1">IF(Table1[[#This Row],[Date of Birth]]="","",SUM(TODAY()-Table1[[#This Row],[Date of Birth]])/365)</f>
        <v/>
      </c>
      <c r="L166" s="86"/>
      <c r="M166" s="77"/>
      <c r="N166" s="86"/>
      <c r="O166" s="86"/>
      <c r="P166" s="91"/>
      <c r="Q166" s="86"/>
      <c r="R166" s="77"/>
      <c r="S166" s="77"/>
      <c r="T166" s="68"/>
      <c r="U166" s="68"/>
      <c r="V166" s="67"/>
      <c r="W166" s="67"/>
      <c r="X166" s="67"/>
      <c r="Y166" s="67"/>
      <c r="Z166" s="67"/>
      <c r="AA166" s="67"/>
      <c r="AB166" s="67"/>
      <c r="AC166" s="67"/>
      <c r="AD166" s="67"/>
      <c r="AE166" s="67"/>
      <c r="AF166" s="67"/>
      <c r="AG166" s="67"/>
      <c r="AH166" s="67"/>
      <c r="AI166" s="67"/>
      <c r="AJ166" s="67"/>
      <c r="AK166" s="67"/>
      <c r="AL166" s="67"/>
      <c r="AM166" s="67"/>
      <c r="AN166" s="77"/>
      <c r="AO166" s="76"/>
      <c r="AP166" s="77"/>
      <c r="AQ166" s="76"/>
      <c r="AR166" s="76"/>
      <c r="AS166" s="76"/>
      <c r="AT166" s="76"/>
      <c r="AU166" s="76"/>
      <c r="AV166" s="77"/>
      <c r="AW166" s="76"/>
      <c r="AX166" s="77"/>
      <c r="AY166" s="76"/>
      <c r="AZ166" s="76"/>
      <c r="BA166" s="76"/>
      <c r="BB166" s="76"/>
      <c r="BC166" s="76"/>
      <c r="BD166" s="77"/>
      <c r="BE166" s="76"/>
      <c r="BF166" s="77"/>
      <c r="BG166" s="76"/>
      <c r="BH166" s="76"/>
      <c r="BI166" s="76"/>
      <c r="BJ166" s="76"/>
      <c r="BK166" s="76"/>
      <c r="BL166" s="77"/>
      <c r="BM166" s="76"/>
      <c r="BN166" s="77"/>
      <c r="BO166" s="76"/>
      <c r="BP166" s="76"/>
      <c r="BQ166" s="76"/>
      <c r="BR166" s="76"/>
      <c r="BS166" s="76"/>
      <c r="BT166" s="77"/>
      <c r="BU166" s="76"/>
      <c r="BV166" s="77"/>
      <c r="BW166" s="76"/>
      <c r="BX166" s="76"/>
      <c r="BY166" s="76"/>
      <c r="BZ166" s="76"/>
      <c r="CA166" s="76"/>
      <c r="CB166" s="77"/>
      <c r="CC166" s="76"/>
      <c r="CD166" s="77"/>
      <c r="CE166" s="76"/>
      <c r="CF166" s="76"/>
      <c r="CG166" s="76"/>
      <c r="CH166" s="76"/>
      <c r="CI166" s="76"/>
      <c r="CJ166" s="77"/>
      <c r="CK166" s="76"/>
      <c r="CL166" s="77"/>
      <c r="CM166" s="76"/>
      <c r="CN166" s="76"/>
      <c r="CO166" s="76"/>
      <c r="CP166" s="76"/>
      <c r="CQ166" s="76"/>
      <c r="CR166" s="78" t="str">
        <f t="shared" si="47"/>
        <v/>
      </c>
      <c r="CS166" s="79" t="str">
        <f t="shared" si="48"/>
        <v/>
      </c>
      <c r="CT166" s="79" t="str">
        <f t="shared" si="49"/>
        <v/>
      </c>
      <c r="CU166" s="79" t="str">
        <f t="shared" si="50"/>
        <v/>
      </c>
      <c r="CV166" s="79" t="str">
        <f t="shared" si="51"/>
        <v/>
      </c>
      <c r="CW166" s="79" t="str">
        <f t="shared" si="52"/>
        <v/>
      </c>
      <c r="CX166" s="79" t="str">
        <f t="shared" si="53"/>
        <v/>
      </c>
      <c r="CY166" s="79" t="str">
        <f t="shared" si="54"/>
        <v/>
      </c>
      <c r="CZ166" s="79" t="str">
        <f t="shared" si="55"/>
        <v/>
      </c>
      <c r="DA166" s="79" t="str">
        <f t="shared" si="56"/>
        <v/>
      </c>
      <c r="DB166" s="79" t="str">
        <f t="shared" si="57"/>
        <v/>
      </c>
      <c r="DC166" s="79" t="str">
        <f t="shared" si="58"/>
        <v/>
      </c>
      <c r="DD166" s="79" t="str">
        <f t="shared" si="59"/>
        <v/>
      </c>
      <c r="DE166" s="79" t="str">
        <f t="shared" si="60"/>
        <v/>
      </c>
      <c r="DF166" s="79" t="str">
        <f t="shared" si="61"/>
        <v/>
      </c>
      <c r="DG166" s="79" t="str">
        <f t="shared" si="62"/>
        <v/>
      </c>
      <c r="DH166" s="76"/>
      <c r="DI166" s="78"/>
      <c r="DJ166" s="76"/>
      <c r="DK166" s="77"/>
      <c r="DL166" s="77"/>
      <c r="DM166" s="77"/>
      <c r="DN166" s="80"/>
      <c r="DO166" s="80"/>
      <c r="DP166" s="92" t="str">
        <f>IF(Table1[Start Date]="","",IF(Table1[Start Date]&gt;42185,"",IF(AND(Table1[Leaving Date]&gt;1,Table1[Leaving Date]&lt;42095),"",1)))</f>
        <v/>
      </c>
      <c r="DQ166" s="92" t="str">
        <f>IF(Table1[Start Date]="","",IF(Table1[Start Date]&gt;42277,"",IF(AND(Table1[Leaving Date]&gt;1,Table1[Leaving Date]&lt;42186),"",1)))</f>
        <v/>
      </c>
      <c r="DR166" s="92" t="str">
        <f>IF(Table1[Start Date]="","",IF(Table1[Start Date]&gt;42369,"",IF(AND(Table1[Leaving Date]&gt;1,Table1[Leaving Date]&lt;42278),"",1)))</f>
        <v/>
      </c>
      <c r="DS166" s="92" t="str">
        <f>IF(Table1[Start Date]="","",IF(Table1[Start Date]&gt;42460,"",IF(AND(Table1[Leaving Date]&gt;1,Table1[Leaving Date]&lt;42370),"",1)))</f>
        <v/>
      </c>
      <c r="DT166" s="92" t="str">
        <f>IF(Table1[Start Date]="","",IF(Table1[Start Date]&gt;42551,"",IF(AND(Table1[Leaving Date]&gt;1,Table1[Leaving Date]&lt;42461),"",1)))</f>
        <v/>
      </c>
      <c r="DU166" s="92" t="str">
        <f>IF(Table1[Start Date]="","",IF(Table1[Start Date]&gt;42643,"",IF(AND(Table1[Leaving Date]&gt;1,Table1[Leaving Date]&lt;42552),"",1)))</f>
        <v/>
      </c>
      <c r="DV166" s="92" t="str">
        <f>IF(Table1[Start Date]="","",IF(Table1[Start Date]&gt;42735,"",IF(AND(Table1[Leaving Date]&gt;1,Table1[Leaving Date]&lt;42644),"",1)))</f>
        <v/>
      </c>
      <c r="DW166" s="92" t="str">
        <f>IF(Table1[Start Date]="","",IF(Table1[Start Date]&gt;42825,"",IF(AND(Table1[Leaving Date]&gt;1,Table1[Leaving Date]&lt;42736),"",1)))</f>
        <v/>
      </c>
      <c r="DX166"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166" s="44" t="e">
        <f>VLOOKUP(Table1[Referral Source],Lists!$G$2:$H$20,2,FALSE)</f>
        <v>#N/A</v>
      </c>
      <c r="DZ166" s="93" t="e">
        <f>SUM(Table1[Data Referral Quarter]+Table1[Data Referral Source])</f>
        <v>#N/A</v>
      </c>
      <c r="EA166" s="44" t="b">
        <f>IF(Table1[Referral Decision]="Accepted",100,IF(Table1[Referral Decision]="Rejected by Provider",200,IF(Table1[Referral Decision]="Rejected by Applicant",300)))</f>
        <v>0</v>
      </c>
      <c r="EB166" s="44">
        <f>SUM(Table1[Data Referral Quarter]+Table1[Data Referral Decision])</f>
        <v>0</v>
      </c>
      <c r="EC166" s="44" t="b">
        <f>IF(Table1[Start Date]&gt;42735,8000,IF(Table1[Start Date]&gt;42643,7000,IF(Table1[Start Date]&gt;42551,6000,IF(Table1[Start Date]&gt;42460,5000,IF(Table1[Start Date]&gt;42369,4000,IF(Table1[Start Date]&gt;42277,3000,IF(Table1[Start Date]&gt;42185,2000,IF(Table1[Start Date]&gt;42094,1000))))))))</f>
        <v>0</v>
      </c>
      <c r="ED166" s="44" t="str">
        <f>IF(Table1[Start Date]="","",IF(Table1[Current Local Authority]="Swindon",1,"2"))</f>
        <v/>
      </c>
      <c r="EE166" s="44" t="e">
        <f>SUM(Table1[Data Start Date]+Table1[Data Local Authority])</f>
        <v>#VALUE!</v>
      </c>
      <c r="EF166" s="44">
        <f>IF(Table1[Registered with GP]="Yes",1,0)</f>
        <v>0</v>
      </c>
      <c r="EG166" s="44">
        <f>SUM(Table1[Data Start Date]+Table1[Data GP Start])</f>
        <v>0</v>
      </c>
      <c r="EH166" s="44" t="str">
        <f>IF(Table1[EET]="NEET",1,IF(Table1[EET]="Education",2,IF(Table1[EET]="Employment",2,IF(Table1[EET]="Training",2,IF(Table1[EET]="Retired",3,"")))))</f>
        <v/>
      </c>
      <c r="EI166" s="44" t="e">
        <f>Table1[Data Start Date]+Table1[Data EET Start]</f>
        <v>#VALUE!</v>
      </c>
      <c r="EJ166" s="44" t="b">
        <f>IF(Table1[Leaving Date]&gt;42735,8000,IF(Table1[Leaving Date]&gt;42643,7000,IF(Table1[Leaving Date]&gt;42551,6000,IF(Table1[Leaving Date]&gt;42460,5000,IF(Table1[Leaving Date]&gt;42369,4000,IF(Table1[Leaving Date]&gt;42277,3000,IF(Table1[Leaving Date]&gt;42185,2000,IF(Table1[Leaving Date]&gt;42094,1000))))))))</f>
        <v>0</v>
      </c>
      <c r="EK166" s="44" t="e">
        <f>VLOOKUP(Table1[Reason for Leaving],Lists!$T$2:$U$15,2,FALSE)</f>
        <v>#N/A</v>
      </c>
      <c r="EL166" s="44" t="e">
        <f>SUM(Table1[Data Leavers Date]+Table1[Data Move On])</f>
        <v>#N/A</v>
      </c>
      <c r="EM166" s="44" t="b">
        <f>IF(Table1[Registered with GP2]="Yes",1,IF(Table1[Registered with GP2]="No",0,IF(Table1[Registered with GP]="Yes",1,IF(Table1[Registered with GP]="No",0))))</f>
        <v>0</v>
      </c>
      <c r="EN166" s="44">
        <f>SUM(Table1[Data Leavers Date]+Table1[Data GP End])</f>
        <v>0</v>
      </c>
      <c r="EO166" s="44" t="str">
        <f>IF(Table1[EET2]="NEET",1,IF(Table1[EET2]="Employment",2,IF(Table1[EET2]="Education",2,IF(Table1[EET2]="Training",2,IF(Table1[EET2]="Retired",3,IF(Table1[EET]="NEET",1,IF(Table1[EET]="Employment",2,IF(Table1[EET]="Education",2,IF(Table1[EET]="Training",2,IF(Table1[EET]="Retired",3,""))))))))))</f>
        <v/>
      </c>
      <c r="EP166" s="44" t="e">
        <f>+Table1[[#This Row],[Data Leavers Date]]+Table1[[#This Row],[Data EET End]]</f>
        <v>#VALUE!</v>
      </c>
      <c r="EQ166" s="44">
        <f>IF(Table1[Exit Form Received]="Yes",1,0)</f>
        <v>0</v>
      </c>
      <c r="ER166" s="44">
        <f>+Table1[[#This Row],[Data Leavers Date]]+Table1[[#This Row],[Data Exit Forms]]</f>
        <v>0</v>
      </c>
      <c r="ES166" s="44" t="str">
        <f>IF(Table1[Data Leavers Date]=1000,SUM(Table1[Leaving Date]-Table1[Start Date]),"")</f>
        <v/>
      </c>
      <c r="ET166" s="44" t="str">
        <f>IF(Table1[Data Leavers Date]=2000,SUM(Table1[Leaving Date]-Table1[Start Date]),"")</f>
        <v/>
      </c>
      <c r="EU166" s="44" t="str">
        <f>IF(Table1[Data Leavers Date]=3000,SUM(Table1[Leaving Date]-Table1[Start Date]),"")</f>
        <v/>
      </c>
      <c r="EV166" s="44" t="str">
        <f>IF(Table1[Data Leavers Date]=4000,SUM(Table1[Leaving Date]-Table1[Start Date]),"")</f>
        <v/>
      </c>
      <c r="EW166" s="44" t="str">
        <f>IF(Table1[Data Leavers Date]=5000,SUM(Table1[Leaving Date]-Table1[Start Date]),"")</f>
        <v/>
      </c>
      <c r="EX166" s="44" t="str">
        <f>IF(Table1[Data Leavers Date]=6000,SUM(Table1[Leaving Date]-Table1[Start Date]),"")</f>
        <v/>
      </c>
      <c r="EY166" s="44" t="str">
        <f>IF(Table1[Data Leavers Date]=7000,SUM(Table1[Leaving Date]-Table1[Start Date]),"")</f>
        <v/>
      </c>
      <c r="EZ166" s="44" t="str">
        <f>IF(Table1[Data Leavers Date]=8000,SUM(Table1[Leaving Date]-Table1[Start Date]),"")</f>
        <v/>
      </c>
      <c r="FA166" s="44" t="str">
        <f>IF(Table1[Date of Initial Assessment]="","",IF(AND(Table1[Start Date]&gt;42094,Table1[Start Date]&lt;42461),Table1[Motivation and Taking Responsibility],""))</f>
        <v/>
      </c>
      <c r="FB166" s="44" t="str">
        <f>IF(Table1[Date of Initial Assessment]="","",IF(AND(Table1[Start Date]&gt;42094,Table1[Start Date]&lt;42461),Table1[Self-Care and Living Skills],""))</f>
        <v/>
      </c>
      <c r="FC166" s="44" t="str">
        <f>IF(Table1[Date of Initial Assessment]="","",IF(AND(Table1[Start Date]&gt;42094,Table1[Start Date]&lt;42461),Table1[Managing Money and Personal Administration],""))</f>
        <v/>
      </c>
      <c r="FD166" s="44" t="str">
        <f>IF(Table1[Date of Initial Assessment]="","",IF(AND(Table1[Start Date]&gt;42094,Table1[Start Date]&lt;42461),Table1[Social Networks and Relationships],""))</f>
        <v/>
      </c>
      <c r="FE166" s="44" t="str">
        <f>IF(Table1[Date of Initial Assessment]="","",IF(AND(Table1[Start Date]&gt;42094,Table1[Start Date]&lt;42461),Table1[Drug and Alcohol Misuse],""))</f>
        <v/>
      </c>
      <c r="FF166" s="44" t="str">
        <f>IF(Table1[Date of Initial Assessment]="","",IF(AND(Table1[Start Date]&gt;42094,Table1[Start Date]&lt;42461),Table1[Physical Health],""))</f>
        <v/>
      </c>
      <c r="FG166" s="44" t="str">
        <f>IF(Table1[Date of Initial Assessment]="","",IF(AND(Table1[Start Date]&gt;42094,Table1[Start Date]&lt;42461),Table1[Emotional and Mental Health],""))</f>
        <v/>
      </c>
      <c r="FH166" s="44" t="str">
        <f>IF(Table1[Date of Initial Assessment]="","",IF(AND(Table1[Start Date]&gt;42094,Table1[Start Date]&lt;42461),Table1[Meaningful Use of Time],""))</f>
        <v/>
      </c>
      <c r="FI166" s="44" t="str">
        <f>IF(Table1[Date of Initial Assessment]="","",IF(AND(Table1[Start Date]&gt;42094,Table1[Start Date]&lt;42461),Table1[Managing Tenancy and Accommodation],""))</f>
        <v/>
      </c>
      <c r="FJ166" s="44" t="str">
        <f>IF(Table1[Date of Initial Assessment]="","",IF(AND(Table1[Start Date]&gt;42094,Table1[Start Date]&lt;42461),Table1[Offending],""))</f>
        <v/>
      </c>
      <c r="FK166" s="44" t="str">
        <f>IF(Table1[Leaving Date]="","",IF(Table1[Date of Initial Assessment]="","",IF(AND(Table1[Leaving Date]&gt;42094,Table1[Leaving Date]&lt;42461),IF(Table1[Date of Last Assessment]="",Table1[Motivation and Taking Responsibility],Table1[Motivation and Taking Responsibility2]),"")))</f>
        <v/>
      </c>
      <c r="FL166" s="44" t="str">
        <f>IF(Table1[Leaving Date]="","",IF(Table1[Date of Initial Assessment]="","",IF(AND(Table1[Leaving Date]&gt;42094,Table1[Leaving Date]&lt;42461),IF(Table1[Date of Last Assessment]="",Table1[Self-Care and Living Skills],Table1[Self-Care and Living Skills2]),"")))</f>
        <v/>
      </c>
      <c r="FM166" s="44" t="str">
        <f>IF(Table1[Leaving Date]="","",IF(Table1[Date of Initial Assessment]="","",IF(AND(Table1[Leaving Date]&gt;42094,Table1[Leaving Date]&lt;42461),IF(Table1[Date of Last Assessment]="",Table1[Managing Money and Personal Administration],Table1[Managing Money and Personal Administration2]),"")))</f>
        <v/>
      </c>
      <c r="FN166" s="44" t="str">
        <f>IF(Table1[Leaving Date]="","",IF(Table1[Date of Initial Assessment]="","",IF(AND(Table1[Leaving Date]&gt;42094,Table1[Leaving Date]&lt;42461),IF(Table1[Date of Last Assessment]="",Table1[Social Networks and Relationships],Table1[Social Networks and Relationships2]),"")))</f>
        <v/>
      </c>
      <c r="FO166" s="44" t="str">
        <f>IF(Table1[Leaving Date]="","",IF(Table1[Date of Initial Assessment]="","",IF(AND(Table1[Leaving Date]&gt;42094,Table1[Leaving Date]&lt;42461),IF(Table1[Date of Last Assessment]="",Table1[Drug and Alcohol Misuse],Table1[Drug and Alcohol Misuse2]),"")))</f>
        <v/>
      </c>
      <c r="FP166" s="44" t="str">
        <f>IF(Table1[Leaving Date]="","",IF(Table1[Date of Initial Assessment]="","",IF(AND(Table1[Leaving Date]&gt;42094,Table1[Leaving Date]&lt;42461),IF(Table1[Date of Last Assessment]="",Table1[Physical Health],Table1[Physical Health2]),"")))</f>
        <v/>
      </c>
      <c r="FQ166" s="44" t="str">
        <f>IF(Table1[Leaving Date]="","",IF(Table1[Date of Initial Assessment]="","",IF(AND(Table1[Leaving Date]&gt;42094,Table1[Leaving Date]&lt;42461),IF(Table1[Date of Last Assessment]="",Table1[Emotional and Mental Health],Table1[Emotional and Mental Health2]),"")))</f>
        <v/>
      </c>
      <c r="FR166" s="44" t="str">
        <f>IF(Table1[Leaving Date]="","",IF(Table1[Date of Initial Assessment]="","",IF(AND(Table1[Leaving Date]&gt;42094,Table1[Leaving Date]&lt;42461),IF(Table1[Date of Last Assessment]="",Table1[Meaningful Use of Time],Table1[Meaningful Use of Time2]),"")))</f>
        <v/>
      </c>
      <c r="FS166" s="44" t="str">
        <f>IF(Table1[Leaving Date]="","",IF(Table1[Date of Initial Assessment]="","",IF(AND(Table1[Leaving Date]&gt;42094,Table1[Leaving Date]&lt;42461),IF(Table1[Date of Last Assessment]="",Table1[Managing Tenancy and Accommodation],Table1[Managing Tenancy and Accommodation2]),"")))</f>
        <v/>
      </c>
      <c r="FT166" s="44" t="str">
        <f>IF(Table1[Leaving Date]="","",IF(Table1[Date of Initial Assessment]="","",IF(AND(Table1[Leaving Date]&gt;42094,Table1[Leaving Date]&lt;42461),IF(Table1[Date of Last Assessment]="",Table1[Offending],Table1[Offending2]),"")))</f>
        <v/>
      </c>
      <c r="FU166" s="44" t="str">
        <f>IF(Table1[Date of Initial Assessment]="","",IF(AND(Table1[Start Date]&gt;42460,Table1[Start Date]&lt;42826),Table1[Motivation and Taking Responsibility],""))</f>
        <v/>
      </c>
      <c r="FV166" s="44" t="str">
        <f>IF(Table1[Date of Initial Assessment]="","",IF(AND(Table1[Start Date]&gt;42460,Table1[Start Date]&lt;42826),Table1[Self-Care and Living Skills],""))</f>
        <v/>
      </c>
      <c r="FW166" s="44" t="str">
        <f>IF(Table1[Date of Initial Assessment]="","",IF(AND(Table1[Start Date]&gt;42460,Table1[Start Date]&lt;42826),Table1[Managing Money and Personal Administration],""))</f>
        <v/>
      </c>
      <c r="FX166" s="44" t="str">
        <f>IF(Table1[Date of Initial Assessment]="","",IF(AND(Table1[Start Date]&gt;42460,Table1[Start Date]&lt;42826),Table1[Social Networks and Relationships],""))</f>
        <v/>
      </c>
      <c r="FY166" s="44" t="str">
        <f>IF(Table1[Date of Initial Assessment]="","",IF(AND(Table1[Start Date]&gt;42460,Table1[Start Date]&lt;42826),Table1[Drug and Alcohol Misuse],""))</f>
        <v/>
      </c>
      <c r="FZ166" s="44" t="str">
        <f>IF(Table1[Date of Initial Assessment]="","",IF(AND(Table1[Start Date]&gt;42460,Table1[Start Date]&lt;42826),Table1[Physical Health],""))</f>
        <v/>
      </c>
      <c r="GA166" s="44" t="str">
        <f>IF(Table1[Date of Initial Assessment]="","",IF(AND(Table1[Start Date]&gt;42460,Table1[Start Date]&lt;42826),Table1[Emotional and Mental Health],""))</f>
        <v/>
      </c>
      <c r="GB166" s="44" t="str">
        <f>IF(Table1[Date of Initial Assessment]="","",IF(AND(Table1[Start Date]&gt;42460,Table1[Start Date]&lt;42826),Table1[Meaningful Use of Time],""))</f>
        <v/>
      </c>
      <c r="GC166" s="44" t="str">
        <f>IF(Table1[Date of Initial Assessment]="","",IF(AND(Table1[Start Date]&gt;42460,Table1[Start Date]&lt;42826),Table1[Managing Tenancy and Accommodation],""))</f>
        <v/>
      </c>
      <c r="GD166" s="44" t="str">
        <f>IF(Table1[Date of Initial Assessment]="","",IF(AND(Table1[Start Date]&gt;42460,Table1[Start Date]&lt;42826),Table1[Offending],""))</f>
        <v/>
      </c>
      <c r="GE166" s="44" t="str">
        <f>IF(Table1[Leaving Date]="","",IF(AND(Table1[Leaving Date]&gt;42460,Table1[Leaving Date]&lt;42826),IF(Table1[Date of Last Assessment]="",Table1[Motivation and Taking Responsibility],Table1[Motivation and Taking Responsibility2]),""))</f>
        <v/>
      </c>
      <c r="GF166" s="44" t="str">
        <f>IF(Table1[Leaving Date]="","",IF(AND(Table1[Leaving Date]&gt;42460,Table1[Leaving Date]&lt;42826),IF(Table1[Date of Last Assessment]="",Table1[Self-Care and Living Skills],Table1[Self-Care and Living Skills2]),""))</f>
        <v/>
      </c>
      <c r="GG166" s="44" t="str">
        <f>IF(Table1[Leaving Date]="","",IF(AND(Table1[Leaving Date]&gt;42460,Table1[Leaving Date]&lt;42826),IF(Table1[Date of Last Assessment]="",Table1[Managing Money and Personal Administration],Table1[Managing Money and Personal Administration2]),""))</f>
        <v/>
      </c>
      <c r="GH166" s="44" t="str">
        <f>IF(Table1[Leaving Date]="","",IF(AND(Table1[Leaving Date]&gt;42460,Table1[Leaving Date]&lt;42826),IF(Table1[Date of Last Assessment]="",Table1[Social Networks and Relationships],Table1[Social Networks and Relationships2]),""))</f>
        <v/>
      </c>
      <c r="GI166" s="44" t="str">
        <f>IF(Table1[Leaving Date]="","",IF(AND(Table1[Leaving Date]&gt;42460,Table1[Leaving Date]&lt;42826),IF(Table1[Date of Last Assessment]="",Table1[Drug and Alcohol Misuse],Table1[Drug and Alcohol Misuse2]),""))</f>
        <v/>
      </c>
      <c r="GJ166" s="44" t="str">
        <f>IF(Table1[Leaving Date]="","",IF(AND(Table1[Leaving Date]&gt;42460,Table1[Leaving Date]&lt;42826),IF(Table1[Date of Last Assessment]="",Table1[Physical Health],Table1[Physical Health2]),""))</f>
        <v/>
      </c>
      <c r="GK166" s="44" t="str">
        <f>IF(Table1[Leaving Date]="","",IF(AND(Table1[Leaving Date]&gt;42460,Table1[Leaving Date]&lt;42826),IF(Table1[Date of Last Assessment]="",Table1[Emotional and Mental Health],Table1[Emotional and Mental Health2]),""))</f>
        <v/>
      </c>
      <c r="GL166" s="44" t="str">
        <f>IF(Table1[Leaving Date]="","",IF(AND(Table1[Leaving Date]&gt;42460,Table1[Leaving Date]&lt;42826),IF(Table1[Date of Last Assessment]="",Table1[Meaningful Use of Time],Table1[Meaningful Use of Time2]),""))</f>
        <v/>
      </c>
      <c r="GM166" s="44" t="str">
        <f>IF(Table1[Leaving Date]="","",IF(AND(Table1[Leaving Date]&gt;42460,Table1[Leaving Date]&lt;42826),IF(Table1[Date of Last Assessment]="",Table1[Managing Tenancy and Accommodation],Table1[Managing Tenancy and Accommodation2]),""))</f>
        <v/>
      </c>
      <c r="GN166" s="44" t="str">
        <f>IF(Table1[Leaving Date]="","",IF(AND(Table1[Leaving Date]&gt;42460,Table1[Leaving Date]&lt;42826),IF(Table1[Date of Last Assessment]="",Table1[Offending],Table1[Offending2]),""))</f>
        <v/>
      </c>
    </row>
    <row r="167" spans="2:196" ht="20.100000000000001" customHeight="1" x14ac:dyDescent="0.2">
      <c r="B167" s="86">
        <f>+'Service Data'!$C$5:$C$5</f>
        <v>0</v>
      </c>
      <c r="C167" s="86"/>
      <c r="D167" s="86"/>
      <c r="E167" s="86"/>
      <c r="F167" s="86"/>
      <c r="G167" s="86"/>
      <c r="H167" s="6"/>
      <c r="I167" s="99" t="str">
        <f ca="1">IF(Table1[[#This Row],[Date of Birth]]="","",SUM(TODAY()-Table1[[#This Row],[Date of Birth]])/365)</f>
        <v/>
      </c>
      <c r="L167" s="86"/>
      <c r="M167" s="77"/>
      <c r="N167" s="86"/>
      <c r="O167" s="86"/>
      <c r="P167" s="91"/>
      <c r="Q167" s="86"/>
      <c r="R167" s="77"/>
      <c r="S167" s="77"/>
      <c r="T167" s="68"/>
      <c r="U167" s="68"/>
      <c r="V167" s="67"/>
      <c r="W167" s="67"/>
      <c r="X167" s="67"/>
      <c r="Y167" s="67"/>
      <c r="Z167" s="67"/>
      <c r="AA167" s="67"/>
      <c r="AB167" s="67"/>
      <c r="AC167" s="67"/>
      <c r="AD167" s="67"/>
      <c r="AE167" s="67"/>
      <c r="AF167" s="67"/>
      <c r="AG167" s="67"/>
      <c r="AH167" s="67"/>
      <c r="AI167" s="67"/>
      <c r="AJ167" s="67"/>
      <c r="AK167" s="67"/>
      <c r="AL167" s="67"/>
      <c r="AM167" s="67"/>
      <c r="AN167" s="77"/>
      <c r="AO167" s="76"/>
      <c r="AP167" s="77"/>
      <c r="AQ167" s="76"/>
      <c r="AR167" s="76"/>
      <c r="AS167" s="76"/>
      <c r="AT167" s="76"/>
      <c r="AU167" s="76"/>
      <c r="AV167" s="77"/>
      <c r="AW167" s="76"/>
      <c r="AX167" s="77"/>
      <c r="AY167" s="76"/>
      <c r="AZ167" s="76"/>
      <c r="BA167" s="76"/>
      <c r="BB167" s="76"/>
      <c r="BC167" s="76"/>
      <c r="BD167" s="77"/>
      <c r="BE167" s="76"/>
      <c r="BF167" s="77"/>
      <c r="BG167" s="76"/>
      <c r="BH167" s="76"/>
      <c r="BI167" s="76"/>
      <c r="BJ167" s="76"/>
      <c r="BK167" s="76"/>
      <c r="BL167" s="77"/>
      <c r="BM167" s="76"/>
      <c r="BN167" s="77"/>
      <c r="BO167" s="76"/>
      <c r="BP167" s="76"/>
      <c r="BQ167" s="76"/>
      <c r="BR167" s="76"/>
      <c r="BS167" s="76"/>
      <c r="BT167" s="77"/>
      <c r="BU167" s="76"/>
      <c r="BV167" s="77"/>
      <c r="BW167" s="76"/>
      <c r="BX167" s="76"/>
      <c r="BY167" s="76"/>
      <c r="BZ167" s="76"/>
      <c r="CA167" s="76"/>
      <c r="CB167" s="77"/>
      <c r="CC167" s="76"/>
      <c r="CD167" s="77"/>
      <c r="CE167" s="76"/>
      <c r="CF167" s="76"/>
      <c r="CG167" s="76"/>
      <c r="CH167" s="76"/>
      <c r="CI167" s="76"/>
      <c r="CJ167" s="77"/>
      <c r="CK167" s="76"/>
      <c r="CL167" s="77"/>
      <c r="CM167" s="76"/>
      <c r="CN167" s="76"/>
      <c r="CO167" s="76"/>
      <c r="CP167" s="76"/>
      <c r="CQ167" s="76"/>
      <c r="CR167" s="78" t="str">
        <f t="shared" si="47"/>
        <v/>
      </c>
      <c r="CS167" s="79" t="str">
        <f t="shared" si="48"/>
        <v/>
      </c>
      <c r="CT167" s="79" t="str">
        <f t="shared" si="49"/>
        <v/>
      </c>
      <c r="CU167" s="79" t="str">
        <f t="shared" si="50"/>
        <v/>
      </c>
      <c r="CV167" s="79" t="str">
        <f t="shared" si="51"/>
        <v/>
      </c>
      <c r="CW167" s="79" t="str">
        <f t="shared" si="52"/>
        <v/>
      </c>
      <c r="CX167" s="79" t="str">
        <f t="shared" si="53"/>
        <v/>
      </c>
      <c r="CY167" s="79" t="str">
        <f t="shared" si="54"/>
        <v/>
      </c>
      <c r="CZ167" s="79" t="str">
        <f t="shared" si="55"/>
        <v/>
      </c>
      <c r="DA167" s="79" t="str">
        <f t="shared" si="56"/>
        <v/>
      </c>
      <c r="DB167" s="79" t="str">
        <f t="shared" si="57"/>
        <v/>
      </c>
      <c r="DC167" s="79" t="str">
        <f t="shared" si="58"/>
        <v/>
      </c>
      <c r="DD167" s="79" t="str">
        <f t="shared" si="59"/>
        <v/>
      </c>
      <c r="DE167" s="79" t="str">
        <f t="shared" si="60"/>
        <v/>
      </c>
      <c r="DF167" s="79" t="str">
        <f t="shared" si="61"/>
        <v/>
      </c>
      <c r="DG167" s="79" t="str">
        <f t="shared" si="62"/>
        <v/>
      </c>
      <c r="DH167" s="76"/>
      <c r="DI167" s="78"/>
      <c r="DJ167" s="76"/>
      <c r="DK167" s="77"/>
      <c r="DL167" s="77"/>
      <c r="DM167" s="77"/>
      <c r="DN167" s="80"/>
      <c r="DO167" s="80"/>
      <c r="DP167" s="92" t="str">
        <f>IF(Table1[Start Date]="","",IF(Table1[Start Date]&gt;42185,"",IF(AND(Table1[Leaving Date]&gt;1,Table1[Leaving Date]&lt;42095),"",1)))</f>
        <v/>
      </c>
      <c r="DQ167" s="92" t="str">
        <f>IF(Table1[Start Date]="","",IF(Table1[Start Date]&gt;42277,"",IF(AND(Table1[Leaving Date]&gt;1,Table1[Leaving Date]&lt;42186),"",1)))</f>
        <v/>
      </c>
      <c r="DR167" s="92" t="str">
        <f>IF(Table1[Start Date]="","",IF(Table1[Start Date]&gt;42369,"",IF(AND(Table1[Leaving Date]&gt;1,Table1[Leaving Date]&lt;42278),"",1)))</f>
        <v/>
      </c>
      <c r="DS167" s="92" t="str">
        <f>IF(Table1[Start Date]="","",IF(Table1[Start Date]&gt;42460,"",IF(AND(Table1[Leaving Date]&gt;1,Table1[Leaving Date]&lt;42370),"",1)))</f>
        <v/>
      </c>
      <c r="DT167" s="92" t="str">
        <f>IF(Table1[Start Date]="","",IF(Table1[Start Date]&gt;42551,"",IF(AND(Table1[Leaving Date]&gt;1,Table1[Leaving Date]&lt;42461),"",1)))</f>
        <v/>
      </c>
      <c r="DU167" s="92" t="str">
        <f>IF(Table1[Start Date]="","",IF(Table1[Start Date]&gt;42643,"",IF(AND(Table1[Leaving Date]&gt;1,Table1[Leaving Date]&lt;42552),"",1)))</f>
        <v/>
      </c>
      <c r="DV167" s="92" t="str">
        <f>IF(Table1[Start Date]="","",IF(Table1[Start Date]&gt;42735,"",IF(AND(Table1[Leaving Date]&gt;1,Table1[Leaving Date]&lt;42644),"",1)))</f>
        <v/>
      </c>
      <c r="DW167" s="92" t="str">
        <f>IF(Table1[Start Date]="","",IF(Table1[Start Date]&gt;42825,"",IF(AND(Table1[Leaving Date]&gt;1,Table1[Leaving Date]&lt;42736),"",1)))</f>
        <v/>
      </c>
      <c r="DX167"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167" s="44" t="e">
        <f>VLOOKUP(Table1[Referral Source],Lists!$G$2:$H$20,2,FALSE)</f>
        <v>#N/A</v>
      </c>
      <c r="DZ167" s="93" t="e">
        <f>SUM(Table1[Data Referral Quarter]+Table1[Data Referral Source])</f>
        <v>#N/A</v>
      </c>
      <c r="EA167" s="44" t="b">
        <f>IF(Table1[Referral Decision]="Accepted",100,IF(Table1[Referral Decision]="Rejected by Provider",200,IF(Table1[Referral Decision]="Rejected by Applicant",300)))</f>
        <v>0</v>
      </c>
      <c r="EB167" s="44">
        <f>SUM(Table1[Data Referral Quarter]+Table1[Data Referral Decision])</f>
        <v>0</v>
      </c>
      <c r="EC167" s="44" t="b">
        <f>IF(Table1[Start Date]&gt;42735,8000,IF(Table1[Start Date]&gt;42643,7000,IF(Table1[Start Date]&gt;42551,6000,IF(Table1[Start Date]&gt;42460,5000,IF(Table1[Start Date]&gt;42369,4000,IF(Table1[Start Date]&gt;42277,3000,IF(Table1[Start Date]&gt;42185,2000,IF(Table1[Start Date]&gt;42094,1000))))))))</f>
        <v>0</v>
      </c>
      <c r="ED167" s="44" t="str">
        <f>IF(Table1[Start Date]="","",IF(Table1[Current Local Authority]="Swindon",1,"2"))</f>
        <v/>
      </c>
      <c r="EE167" s="44" t="e">
        <f>SUM(Table1[Data Start Date]+Table1[Data Local Authority])</f>
        <v>#VALUE!</v>
      </c>
      <c r="EF167" s="44">
        <f>IF(Table1[Registered with GP]="Yes",1,0)</f>
        <v>0</v>
      </c>
      <c r="EG167" s="44">
        <f>SUM(Table1[Data Start Date]+Table1[Data GP Start])</f>
        <v>0</v>
      </c>
      <c r="EH167" s="44" t="str">
        <f>IF(Table1[EET]="NEET",1,IF(Table1[EET]="Education",2,IF(Table1[EET]="Employment",2,IF(Table1[EET]="Training",2,IF(Table1[EET]="Retired",3,"")))))</f>
        <v/>
      </c>
      <c r="EI167" s="44" t="e">
        <f>Table1[Data Start Date]+Table1[Data EET Start]</f>
        <v>#VALUE!</v>
      </c>
      <c r="EJ167" s="44" t="b">
        <f>IF(Table1[Leaving Date]&gt;42735,8000,IF(Table1[Leaving Date]&gt;42643,7000,IF(Table1[Leaving Date]&gt;42551,6000,IF(Table1[Leaving Date]&gt;42460,5000,IF(Table1[Leaving Date]&gt;42369,4000,IF(Table1[Leaving Date]&gt;42277,3000,IF(Table1[Leaving Date]&gt;42185,2000,IF(Table1[Leaving Date]&gt;42094,1000))))))))</f>
        <v>0</v>
      </c>
      <c r="EK167" s="44" t="e">
        <f>VLOOKUP(Table1[Reason for Leaving],Lists!$T$2:$U$15,2,FALSE)</f>
        <v>#N/A</v>
      </c>
      <c r="EL167" s="44" t="e">
        <f>SUM(Table1[Data Leavers Date]+Table1[Data Move On])</f>
        <v>#N/A</v>
      </c>
      <c r="EM167" s="44" t="b">
        <f>IF(Table1[Registered with GP2]="Yes",1,IF(Table1[Registered with GP2]="No",0,IF(Table1[Registered with GP]="Yes",1,IF(Table1[Registered with GP]="No",0))))</f>
        <v>0</v>
      </c>
      <c r="EN167" s="44">
        <f>SUM(Table1[Data Leavers Date]+Table1[Data GP End])</f>
        <v>0</v>
      </c>
      <c r="EO167" s="44" t="str">
        <f>IF(Table1[EET2]="NEET",1,IF(Table1[EET2]="Employment",2,IF(Table1[EET2]="Education",2,IF(Table1[EET2]="Training",2,IF(Table1[EET2]="Retired",3,IF(Table1[EET]="NEET",1,IF(Table1[EET]="Employment",2,IF(Table1[EET]="Education",2,IF(Table1[EET]="Training",2,IF(Table1[EET]="Retired",3,""))))))))))</f>
        <v/>
      </c>
      <c r="EP167" s="44" t="e">
        <f>+Table1[[#This Row],[Data Leavers Date]]+Table1[[#This Row],[Data EET End]]</f>
        <v>#VALUE!</v>
      </c>
      <c r="EQ167" s="44">
        <f>IF(Table1[Exit Form Received]="Yes",1,0)</f>
        <v>0</v>
      </c>
      <c r="ER167" s="44">
        <f>+Table1[[#This Row],[Data Leavers Date]]+Table1[[#This Row],[Data Exit Forms]]</f>
        <v>0</v>
      </c>
      <c r="ES167" s="44" t="str">
        <f>IF(Table1[Data Leavers Date]=1000,SUM(Table1[Leaving Date]-Table1[Start Date]),"")</f>
        <v/>
      </c>
      <c r="ET167" s="44" t="str">
        <f>IF(Table1[Data Leavers Date]=2000,SUM(Table1[Leaving Date]-Table1[Start Date]),"")</f>
        <v/>
      </c>
      <c r="EU167" s="44" t="str">
        <f>IF(Table1[Data Leavers Date]=3000,SUM(Table1[Leaving Date]-Table1[Start Date]),"")</f>
        <v/>
      </c>
      <c r="EV167" s="44" t="str">
        <f>IF(Table1[Data Leavers Date]=4000,SUM(Table1[Leaving Date]-Table1[Start Date]),"")</f>
        <v/>
      </c>
      <c r="EW167" s="44" t="str">
        <f>IF(Table1[Data Leavers Date]=5000,SUM(Table1[Leaving Date]-Table1[Start Date]),"")</f>
        <v/>
      </c>
      <c r="EX167" s="44" t="str">
        <f>IF(Table1[Data Leavers Date]=6000,SUM(Table1[Leaving Date]-Table1[Start Date]),"")</f>
        <v/>
      </c>
      <c r="EY167" s="44" t="str">
        <f>IF(Table1[Data Leavers Date]=7000,SUM(Table1[Leaving Date]-Table1[Start Date]),"")</f>
        <v/>
      </c>
      <c r="EZ167" s="44" t="str">
        <f>IF(Table1[Data Leavers Date]=8000,SUM(Table1[Leaving Date]-Table1[Start Date]),"")</f>
        <v/>
      </c>
      <c r="FA167" s="44" t="str">
        <f>IF(Table1[Date of Initial Assessment]="","",IF(AND(Table1[Start Date]&gt;42094,Table1[Start Date]&lt;42461),Table1[Motivation and Taking Responsibility],""))</f>
        <v/>
      </c>
      <c r="FB167" s="44" t="str">
        <f>IF(Table1[Date of Initial Assessment]="","",IF(AND(Table1[Start Date]&gt;42094,Table1[Start Date]&lt;42461),Table1[Self-Care and Living Skills],""))</f>
        <v/>
      </c>
      <c r="FC167" s="44" t="str">
        <f>IF(Table1[Date of Initial Assessment]="","",IF(AND(Table1[Start Date]&gt;42094,Table1[Start Date]&lt;42461),Table1[Managing Money and Personal Administration],""))</f>
        <v/>
      </c>
      <c r="FD167" s="44" t="str">
        <f>IF(Table1[Date of Initial Assessment]="","",IF(AND(Table1[Start Date]&gt;42094,Table1[Start Date]&lt;42461),Table1[Social Networks and Relationships],""))</f>
        <v/>
      </c>
      <c r="FE167" s="44" t="str">
        <f>IF(Table1[Date of Initial Assessment]="","",IF(AND(Table1[Start Date]&gt;42094,Table1[Start Date]&lt;42461),Table1[Drug and Alcohol Misuse],""))</f>
        <v/>
      </c>
      <c r="FF167" s="44" t="str">
        <f>IF(Table1[Date of Initial Assessment]="","",IF(AND(Table1[Start Date]&gt;42094,Table1[Start Date]&lt;42461),Table1[Physical Health],""))</f>
        <v/>
      </c>
      <c r="FG167" s="44" t="str">
        <f>IF(Table1[Date of Initial Assessment]="","",IF(AND(Table1[Start Date]&gt;42094,Table1[Start Date]&lt;42461),Table1[Emotional and Mental Health],""))</f>
        <v/>
      </c>
      <c r="FH167" s="44" t="str">
        <f>IF(Table1[Date of Initial Assessment]="","",IF(AND(Table1[Start Date]&gt;42094,Table1[Start Date]&lt;42461),Table1[Meaningful Use of Time],""))</f>
        <v/>
      </c>
      <c r="FI167" s="44" t="str">
        <f>IF(Table1[Date of Initial Assessment]="","",IF(AND(Table1[Start Date]&gt;42094,Table1[Start Date]&lt;42461),Table1[Managing Tenancy and Accommodation],""))</f>
        <v/>
      </c>
      <c r="FJ167" s="44" t="str">
        <f>IF(Table1[Date of Initial Assessment]="","",IF(AND(Table1[Start Date]&gt;42094,Table1[Start Date]&lt;42461),Table1[Offending],""))</f>
        <v/>
      </c>
      <c r="FK167" s="44" t="str">
        <f>IF(Table1[Leaving Date]="","",IF(Table1[Date of Initial Assessment]="","",IF(AND(Table1[Leaving Date]&gt;42094,Table1[Leaving Date]&lt;42461),IF(Table1[Date of Last Assessment]="",Table1[Motivation and Taking Responsibility],Table1[Motivation and Taking Responsibility2]),"")))</f>
        <v/>
      </c>
      <c r="FL167" s="44" t="str">
        <f>IF(Table1[Leaving Date]="","",IF(Table1[Date of Initial Assessment]="","",IF(AND(Table1[Leaving Date]&gt;42094,Table1[Leaving Date]&lt;42461),IF(Table1[Date of Last Assessment]="",Table1[Self-Care and Living Skills],Table1[Self-Care and Living Skills2]),"")))</f>
        <v/>
      </c>
      <c r="FM167" s="44" t="str">
        <f>IF(Table1[Leaving Date]="","",IF(Table1[Date of Initial Assessment]="","",IF(AND(Table1[Leaving Date]&gt;42094,Table1[Leaving Date]&lt;42461),IF(Table1[Date of Last Assessment]="",Table1[Managing Money and Personal Administration],Table1[Managing Money and Personal Administration2]),"")))</f>
        <v/>
      </c>
      <c r="FN167" s="44" t="str">
        <f>IF(Table1[Leaving Date]="","",IF(Table1[Date of Initial Assessment]="","",IF(AND(Table1[Leaving Date]&gt;42094,Table1[Leaving Date]&lt;42461),IF(Table1[Date of Last Assessment]="",Table1[Social Networks and Relationships],Table1[Social Networks and Relationships2]),"")))</f>
        <v/>
      </c>
      <c r="FO167" s="44" t="str">
        <f>IF(Table1[Leaving Date]="","",IF(Table1[Date of Initial Assessment]="","",IF(AND(Table1[Leaving Date]&gt;42094,Table1[Leaving Date]&lt;42461),IF(Table1[Date of Last Assessment]="",Table1[Drug and Alcohol Misuse],Table1[Drug and Alcohol Misuse2]),"")))</f>
        <v/>
      </c>
      <c r="FP167" s="44" t="str">
        <f>IF(Table1[Leaving Date]="","",IF(Table1[Date of Initial Assessment]="","",IF(AND(Table1[Leaving Date]&gt;42094,Table1[Leaving Date]&lt;42461),IF(Table1[Date of Last Assessment]="",Table1[Physical Health],Table1[Physical Health2]),"")))</f>
        <v/>
      </c>
      <c r="FQ167" s="44" t="str">
        <f>IF(Table1[Leaving Date]="","",IF(Table1[Date of Initial Assessment]="","",IF(AND(Table1[Leaving Date]&gt;42094,Table1[Leaving Date]&lt;42461),IF(Table1[Date of Last Assessment]="",Table1[Emotional and Mental Health],Table1[Emotional and Mental Health2]),"")))</f>
        <v/>
      </c>
      <c r="FR167" s="44" t="str">
        <f>IF(Table1[Leaving Date]="","",IF(Table1[Date of Initial Assessment]="","",IF(AND(Table1[Leaving Date]&gt;42094,Table1[Leaving Date]&lt;42461),IF(Table1[Date of Last Assessment]="",Table1[Meaningful Use of Time],Table1[Meaningful Use of Time2]),"")))</f>
        <v/>
      </c>
      <c r="FS167" s="44" t="str">
        <f>IF(Table1[Leaving Date]="","",IF(Table1[Date of Initial Assessment]="","",IF(AND(Table1[Leaving Date]&gt;42094,Table1[Leaving Date]&lt;42461),IF(Table1[Date of Last Assessment]="",Table1[Managing Tenancy and Accommodation],Table1[Managing Tenancy and Accommodation2]),"")))</f>
        <v/>
      </c>
      <c r="FT167" s="44" t="str">
        <f>IF(Table1[Leaving Date]="","",IF(Table1[Date of Initial Assessment]="","",IF(AND(Table1[Leaving Date]&gt;42094,Table1[Leaving Date]&lt;42461),IF(Table1[Date of Last Assessment]="",Table1[Offending],Table1[Offending2]),"")))</f>
        <v/>
      </c>
      <c r="FU167" s="44" t="str">
        <f>IF(Table1[Date of Initial Assessment]="","",IF(AND(Table1[Start Date]&gt;42460,Table1[Start Date]&lt;42826),Table1[Motivation and Taking Responsibility],""))</f>
        <v/>
      </c>
      <c r="FV167" s="44" t="str">
        <f>IF(Table1[Date of Initial Assessment]="","",IF(AND(Table1[Start Date]&gt;42460,Table1[Start Date]&lt;42826),Table1[Self-Care and Living Skills],""))</f>
        <v/>
      </c>
      <c r="FW167" s="44" t="str">
        <f>IF(Table1[Date of Initial Assessment]="","",IF(AND(Table1[Start Date]&gt;42460,Table1[Start Date]&lt;42826),Table1[Managing Money and Personal Administration],""))</f>
        <v/>
      </c>
      <c r="FX167" s="44" t="str">
        <f>IF(Table1[Date of Initial Assessment]="","",IF(AND(Table1[Start Date]&gt;42460,Table1[Start Date]&lt;42826),Table1[Social Networks and Relationships],""))</f>
        <v/>
      </c>
      <c r="FY167" s="44" t="str">
        <f>IF(Table1[Date of Initial Assessment]="","",IF(AND(Table1[Start Date]&gt;42460,Table1[Start Date]&lt;42826),Table1[Drug and Alcohol Misuse],""))</f>
        <v/>
      </c>
      <c r="FZ167" s="44" t="str">
        <f>IF(Table1[Date of Initial Assessment]="","",IF(AND(Table1[Start Date]&gt;42460,Table1[Start Date]&lt;42826),Table1[Physical Health],""))</f>
        <v/>
      </c>
      <c r="GA167" s="44" t="str">
        <f>IF(Table1[Date of Initial Assessment]="","",IF(AND(Table1[Start Date]&gt;42460,Table1[Start Date]&lt;42826),Table1[Emotional and Mental Health],""))</f>
        <v/>
      </c>
      <c r="GB167" s="44" t="str">
        <f>IF(Table1[Date of Initial Assessment]="","",IF(AND(Table1[Start Date]&gt;42460,Table1[Start Date]&lt;42826),Table1[Meaningful Use of Time],""))</f>
        <v/>
      </c>
      <c r="GC167" s="44" t="str">
        <f>IF(Table1[Date of Initial Assessment]="","",IF(AND(Table1[Start Date]&gt;42460,Table1[Start Date]&lt;42826),Table1[Managing Tenancy and Accommodation],""))</f>
        <v/>
      </c>
      <c r="GD167" s="44" t="str">
        <f>IF(Table1[Date of Initial Assessment]="","",IF(AND(Table1[Start Date]&gt;42460,Table1[Start Date]&lt;42826),Table1[Offending],""))</f>
        <v/>
      </c>
      <c r="GE167" s="44" t="str">
        <f>IF(Table1[Leaving Date]="","",IF(AND(Table1[Leaving Date]&gt;42460,Table1[Leaving Date]&lt;42826),IF(Table1[Date of Last Assessment]="",Table1[Motivation and Taking Responsibility],Table1[Motivation and Taking Responsibility2]),""))</f>
        <v/>
      </c>
      <c r="GF167" s="44" t="str">
        <f>IF(Table1[Leaving Date]="","",IF(AND(Table1[Leaving Date]&gt;42460,Table1[Leaving Date]&lt;42826),IF(Table1[Date of Last Assessment]="",Table1[Self-Care and Living Skills],Table1[Self-Care and Living Skills2]),""))</f>
        <v/>
      </c>
      <c r="GG167" s="44" t="str">
        <f>IF(Table1[Leaving Date]="","",IF(AND(Table1[Leaving Date]&gt;42460,Table1[Leaving Date]&lt;42826),IF(Table1[Date of Last Assessment]="",Table1[Managing Money and Personal Administration],Table1[Managing Money and Personal Administration2]),""))</f>
        <v/>
      </c>
      <c r="GH167" s="44" t="str">
        <f>IF(Table1[Leaving Date]="","",IF(AND(Table1[Leaving Date]&gt;42460,Table1[Leaving Date]&lt;42826),IF(Table1[Date of Last Assessment]="",Table1[Social Networks and Relationships],Table1[Social Networks and Relationships2]),""))</f>
        <v/>
      </c>
      <c r="GI167" s="44" t="str">
        <f>IF(Table1[Leaving Date]="","",IF(AND(Table1[Leaving Date]&gt;42460,Table1[Leaving Date]&lt;42826),IF(Table1[Date of Last Assessment]="",Table1[Drug and Alcohol Misuse],Table1[Drug and Alcohol Misuse2]),""))</f>
        <v/>
      </c>
      <c r="GJ167" s="44" t="str">
        <f>IF(Table1[Leaving Date]="","",IF(AND(Table1[Leaving Date]&gt;42460,Table1[Leaving Date]&lt;42826),IF(Table1[Date of Last Assessment]="",Table1[Physical Health],Table1[Physical Health2]),""))</f>
        <v/>
      </c>
      <c r="GK167" s="44" t="str">
        <f>IF(Table1[Leaving Date]="","",IF(AND(Table1[Leaving Date]&gt;42460,Table1[Leaving Date]&lt;42826),IF(Table1[Date of Last Assessment]="",Table1[Emotional and Mental Health],Table1[Emotional and Mental Health2]),""))</f>
        <v/>
      </c>
      <c r="GL167" s="44" t="str">
        <f>IF(Table1[Leaving Date]="","",IF(AND(Table1[Leaving Date]&gt;42460,Table1[Leaving Date]&lt;42826),IF(Table1[Date of Last Assessment]="",Table1[Meaningful Use of Time],Table1[Meaningful Use of Time2]),""))</f>
        <v/>
      </c>
      <c r="GM167" s="44" t="str">
        <f>IF(Table1[Leaving Date]="","",IF(AND(Table1[Leaving Date]&gt;42460,Table1[Leaving Date]&lt;42826),IF(Table1[Date of Last Assessment]="",Table1[Managing Tenancy and Accommodation],Table1[Managing Tenancy and Accommodation2]),""))</f>
        <v/>
      </c>
      <c r="GN167" s="44" t="str">
        <f>IF(Table1[Leaving Date]="","",IF(AND(Table1[Leaving Date]&gt;42460,Table1[Leaving Date]&lt;42826),IF(Table1[Date of Last Assessment]="",Table1[Offending],Table1[Offending2]),""))</f>
        <v/>
      </c>
    </row>
    <row r="168" spans="2:196" ht="20.100000000000001" customHeight="1" x14ac:dyDescent="0.2">
      <c r="B168" s="86">
        <f>+'Service Data'!$C$5:$C$5</f>
        <v>0</v>
      </c>
      <c r="C168" s="86"/>
      <c r="D168" s="86"/>
      <c r="E168" s="86"/>
      <c r="F168" s="86"/>
      <c r="G168" s="86"/>
      <c r="H168" s="6"/>
      <c r="I168" s="99" t="str">
        <f ca="1">IF(Table1[[#This Row],[Date of Birth]]="","",SUM(TODAY()-Table1[[#This Row],[Date of Birth]])/365)</f>
        <v/>
      </c>
      <c r="L168" s="86"/>
      <c r="M168" s="77"/>
      <c r="N168" s="86"/>
      <c r="O168" s="86"/>
      <c r="P168" s="91"/>
      <c r="Q168" s="86"/>
      <c r="R168" s="77"/>
      <c r="S168" s="77"/>
      <c r="T168" s="68"/>
      <c r="U168" s="68"/>
      <c r="V168" s="67"/>
      <c r="W168" s="67"/>
      <c r="X168" s="67"/>
      <c r="Y168" s="67"/>
      <c r="Z168" s="67"/>
      <c r="AA168" s="67"/>
      <c r="AB168" s="67"/>
      <c r="AC168" s="67"/>
      <c r="AD168" s="67"/>
      <c r="AE168" s="67"/>
      <c r="AF168" s="67"/>
      <c r="AG168" s="67"/>
      <c r="AH168" s="67"/>
      <c r="AI168" s="67"/>
      <c r="AJ168" s="67"/>
      <c r="AK168" s="67"/>
      <c r="AL168" s="67"/>
      <c r="AM168" s="67"/>
      <c r="AN168" s="77"/>
      <c r="AO168" s="76"/>
      <c r="AP168" s="77"/>
      <c r="AQ168" s="76"/>
      <c r="AR168" s="76"/>
      <c r="AS168" s="76"/>
      <c r="AT168" s="76"/>
      <c r="AU168" s="76"/>
      <c r="AV168" s="77"/>
      <c r="AW168" s="76"/>
      <c r="AX168" s="77"/>
      <c r="AY168" s="76"/>
      <c r="AZ168" s="76"/>
      <c r="BA168" s="76"/>
      <c r="BB168" s="76"/>
      <c r="BC168" s="76"/>
      <c r="BD168" s="77"/>
      <c r="BE168" s="76"/>
      <c r="BF168" s="77"/>
      <c r="BG168" s="76"/>
      <c r="BH168" s="76"/>
      <c r="BI168" s="76"/>
      <c r="BJ168" s="76"/>
      <c r="BK168" s="76"/>
      <c r="BL168" s="77"/>
      <c r="BM168" s="76"/>
      <c r="BN168" s="77"/>
      <c r="BO168" s="76"/>
      <c r="BP168" s="76"/>
      <c r="BQ168" s="76"/>
      <c r="BR168" s="76"/>
      <c r="BS168" s="76"/>
      <c r="BT168" s="77"/>
      <c r="BU168" s="76"/>
      <c r="BV168" s="77"/>
      <c r="BW168" s="76"/>
      <c r="BX168" s="76"/>
      <c r="BY168" s="76"/>
      <c r="BZ168" s="76"/>
      <c r="CA168" s="76"/>
      <c r="CB168" s="77"/>
      <c r="CC168" s="76"/>
      <c r="CD168" s="77"/>
      <c r="CE168" s="76"/>
      <c r="CF168" s="76"/>
      <c r="CG168" s="76"/>
      <c r="CH168" s="76"/>
      <c r="CI168" s="76"/>
      <c r="CJ168" s="77"/>
      <c r="CK168" s="76"/>
      <c r="CL168" s="77"/>
      <c r="CM168" s="76"/>
      <c r="CN168" s="76"/>
      <c r="CO168" s="76"/>
      <c r="CP168" s="76"/>
      <c r="CQ168" s="76"/>
      <c r="CR168" s="78" t="str">
        <f t="shared" si="47"/>
        <v/>
      </c>
      <c r="CS168" s="79" t="str">
        <f t="shared" si="48"/>
        <v/>
      </c>
      <c r="CT168" s="79" t="str">
        <f t="shared" si="49"/>
        <v/>
      </c>
      <c r="CU168" s="79" t="str">
        <f t="shared" si="50"/>
        <v/>
      </c>
      <c r="CV168" s="79" t="str">
        <f t="shared" si="51"/>
        <v/>
      </c>
      <c r="CW168" s="79" t="str">
        <f t="shared" si="52"/>
        <v/>
      </c>
      <c r="CX168" s="79" t="str">
        <f t="shared" si="53"/>
        <v/>
      </c>
      <c r="CY168" s="79" t="str">
        <f t="shared" si="54"/>
        <v/>
      </c>
      <c r="CZ168" s="79" t="str">
        <f t="shared" si="55"/>
        <v/>
      </c>
      <c r="DA168" s="79" t="str">
        <f t="shared" si="56"/>
        <v/>
      </c>
      <c r="DB168" s="79" t="str">
        <f t="shared" si="57"/>
        <v/>
      </c>
      <c r="DC168" s="79" t="str">
        <f t="shared" si="58"/>
        <v/>
      </c>
      <c r="DD168" s="79" t="str">
        <f t="shared" si="59"/>
        <v/>
      </c>
      <c r="DE168" s="79" t="str">
        <f t="shared" si="60"/>
        <v/>
      </c>
      <c r="DF168" s="79" t="str">
        <f t="shared" si="61"/>
        <v/>
      </c>
      <c r="DG168" s="79" t="str">
        <f t="shared" si="62"/>
        <v/>
      </c>
      <c r="DH168" s="76"/>
      <c r="DI168" s="78"/>
      <c r="DJ168" s="76"/>
      <c r="DK168" s="77"/>
      <c r="DL168" s="77"/>
      <c r="DM168" s="77"/>
      <c r="DN168" s="80"/>
      <c r="DO168" s="80"/>
      <c r="DP168" s="92" t="str">
        <f>IF(Table1[Start Date]="","",IF(Table1[Start Date]&gt;42185,"",IF(AND(Table1[Leaving Date]&gt;1,Table1[Leaving Date]&lt;42095),"",1)))</f>
        <v/>
      </c>
      <c r="DQ168" s="92" t="str">
        <f>IF(Table1[Start Date]="","",IF(Table1[Start Date]&gt;42277,"",IF(AND(Table1[Leaving Date]&gt;1,Table1[Leaving Date]&lt;42186),"",1)))</f>
        <v/>
      </c>
      <c r="DR168" s="92" t="str">
        <f>IF(Table1[Start Date]="","",IF(Table1[Start Date]&gt;42369,"",IF(AND(Table1[Leaving Date]&gt;1,Table1[Leaving Date]&lt;42278),"",1)))</f>
        <v/>
      </c>
      <c r="DS168" s="92" t="str">
        <f>IF(Table1[Start Date]="","",IF(Table1[Start Date]&gt;42460,"",IF(AND(Table1[Leaving Date]&gt;1,Table1[Leaving Date]&lt;42370),"",1)))</f>
        <v/>
      </c>
      <c r="DT168" s="92" t="str">
        <f>IF(Table1[Start Date]="","",IF(Table1[Start Date]&gt;42551,"",IF(AND(Table1[Leaving Date]&gt;1,Table1[Leaving Date]&lt;42461),"",1)))</f>
        <v/>
      </c>
      <c r="DU168" s="92" t="str">
        <f>IF(Table1[Start Date]="","",IF(Table1[Start Date]&gt;42643,"",IF(AND(Table1[Leaving Date]&gt;1,Table1[Leaving Date]&lt;42552),"",1)))</f>
        <v/>
      </c>
      <c r="DV168" s="92" t="str">
        <f>IF(Table1[Start Date]="","",IF(Table1[Start Date]&gt;42735,"",IF(AND(Table1[Leaving Date]&gt;1,Table1[Leaving Date]&lt;42644),"",1)))</f>
        <v/>
      </c>
      <c r="DW168" s="92" t="str">
        <f>IF(Table1[Start Date]="","",IF(Table1[Start Date]&gt;42825,"",IF(AND(Table1[Leaving Date]&gt;1,Table1[Leaving Date]&lt;42736),"",1)))</f>
        <v/>
      </c>
      <c r="DX168"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168" s="44" t="e">
        <f>VLOOKUP(Table1[Referral Source],Lists!$G$2:$H$20,2,FALSE)</f>
        <v>#N/A</v>
      </c>
      <c r="DZ168" s="93" t="e">
        <f>SUM(Table1[Data Referral Quarter]+Table1[Data Referral Source])</f>
        <v>#N/A</v>
      </c>
      <c r="EA168" s="44" t="b">
        <f>IF(Table1[Referral Decision]="Accepted",100,IF(Table1[Referral Decision]="Rejected by Provider",200,IF(Table1[Referral Decision]="Rejected by Applicant",300)))</f>
        <v>0</v>
      </c>
      <c r="EB168" s="44">
        <f>SUM(Table1[Data Referral Quarter]+Table1[Data Referral Decision])</f>
        <v>0</v>
      </c>
      <c r="EC168" s="44" t="b">
        <f>IF(Table1[Start Date]&gt;42735,8000,IF(Table1[Start Date]&gt;42643,7000,IF(Table1[Start Date]&gt;42551,6000,IF(Table1[Start Date]&gt;42460,5000,IF(Table1[Start Date]&gt;42369,4000,IF(Table1[Start Date]&gt;42277,3000,IF(Table1[Start Date]&gt;42185,2000,IF(Table1[Start Date]&gt;42094,1000))))))))</f>
        <v>0</v>
      </c>
      <c r="ED168" s="44" t="str">
        <f>IF(Table1[Start Date]="","",IF(Table1[Current Local Authority]="Swindon",1,"2"))</f>
        <v/>
      </c>
      <c r="EE168" s="44" t="e">
        <f>SUM(Table1[Data Start Date]+Table1[Data Local Authority])</f>
        <v>#VALUE!</v>
      </c>
      <c r="EF168" s="44">
        <f>IF(Table1[Registered with GP]="Yes",1,0)</f>
        <v>0</v>
      </c>
      <c r="EG168" s="44">
        <f>SUM(Table1[Data Start Date]+Table1[Data GP Start])</f>
        <v>0</v>
      </c>
      <c r="EH168" s="44" t="str">
        <f>IF(Table1[EET]="NEET",1,IF(Table1[EET]="Education",2,IF(Table1[EET]="Employment",2,IF(Table1[EET]="Training",2,IF(Table1[EET]="Retired",3,"")))))</f>
        <v/>
      </c>
      <c r="EI168" s="44" t="e">
        <f>Table1[Data Start Date]+Table1[Data EET Start]</f>
        <v>#VALUE!</v>
      </c>
      <c r="EJ168" s="44" t="b">
        <f>IF(Table1[Leaving Date]&gt;42735,8000,IF(Table1[Leaving Date]&gt;42643,7000,IF(Table1[Leaving Date]&gt;42551,6000,IF(Table1[Leaving Date]&gt;42460,5000,IF(Table1[Leaving Date]&gt;42369,4000,IF(Table1[Leaving Date]&gt;42277,3000,IF(Table1[Leaving Date]&gt;42185,2000,IF(Table1[Leaving Date]&gt;42094,1000))))))))</f>
        <v>0</v>
      </c>
      <c r="EK168" s="44" t="e">
        <f>VLOOKUP(Table1[Reason for Leaving],Lists!$T$2:$U$15,2,FALSE)</f>
        <v>#N/A</v>
      </c>
      <c r="EL168" s="44" t="e">
        <f>SUM(Table1[Data Leavers Date]+Table1[Data Move On])</f>
        <v>#N/A</v>
      </c>
      <c r="EM168" s="44" t="b">
        <f>IF(Table1[Registered with GP2]="Yes",1,IF(Table1[Registered with GP2]="No",0,IF(Table1[Registered with GP]="Yes",1,IF(Table1[Registered with GP]="No",0))))</f>
        <v>0</v>
      </c>
      <c r="EN168" s="44">
        <f>SUM(Table1[Data Leavers Date]+Table1[Data GP End])</f>
        <v>0</v>
      </c>
      <c r="EO168" s="44" t="str">
        <f>IF(Table1[EET2]="NEET",1,IF(Table1[EET2]="Employment",2,IF(Table1[EET2]="Education",2,IF(Table1[EET2]="Training",2,IF(Table1[EET2]="Retired",3,IF(Table1[EET]="NEET",1,IF(Table1[EET]="Employment",2,IF(Table1[EET]="Education",2,IF(Table1[EET]="Training",2,IF(Table1[EET]="Retired",3,""))))))))))</f>
        <v/>
      </c>
      <c r="EP168" s="44" t="e">
        <f>+Table1[[#This Row],[Data Leavers Date]]+Table1[[#This Row],[Data EET End]]</f>
        <v>#VALUE!</v>
      </c>
      <c r="EQ168" s="44">
        <f>IF(Table1[Exit Form Received]="Yes",1,0)</f>
        <v>0</v>
      </c>
      <c r="ER168" s="44">
        <f>+Table1[[#This Row],[Data Leavers Date]]+Table1[[#This Row],[Data Exit Forms]]</f>
        <v>0</v>
      </c>
      <c r="ES168" s="44" t="str">
        <f>IF(Table1[Data Leavers Date]=1000,SUM(Table1[Leaving Date]-Table1[Start Date]),"")</f>
        <v/>
      </c>
      <c r="ET168" s="44" t="str">
        <f>IF(Table1[Data Leavers Date]=2000,SUM(Table1[Leaving Date]-Table1[Start Date]),"")</f>
        <v/>
      </c>
      <c r="EU168" s="44" t="str">
        <f>IF(Table1[Data Leavers Date]=3000,SUM(Table1[Leaving Date]-Table1[Start Date]),"")</f>
        <v/>
      </c>
      <c r="EV168" s="44" t="str">
        <f>IF(Table1[Data Leavers Date]=4000,SUM(Table1[Leaving Date]-Table1[Start Date]),"")</f>
        <v/>
      </c>
      <c r="EW168" s="44" t="str">
        <f>IF(Table1[Data Leavers Date]=5000,SUM(Table1[Leaving Date]-Table1[Start Date]),"")</f>
        <v/>
      </c>
      <c r="EX168" s="44" t="str">
        <f>IF(Table1[Data Leavers Date]=6000,SUM(Table1[Leaving Date]-Table1[Start Date]),"")</f>
        <v/>
      </c>
      <c r="EY168" s="44" t="str">
        <f>IF(Table1[Data Leavers Date]=7000,SUM(Table1[Leaving Date]-Table1[Start Date]),"")</f>
        <v/>
      </c>
      <c r="EZ168" s="44" t="str">
        <f>IF(Table1[Data Leavers Date]=8000,SUM(Table1[Leaving Date]-Table1[Start Date]),"")</f>
        <v/>
      </c>
      <c r="FA168" s="44" t="str">
        <f>IF(Table1[Date of Initial Assessment]="","",IF(AND(Table1[Start Date]&gt;42094,Table1[Start Date]&lt;42461),Table1[Motivation and Taking Responsibility],""))</f>
        <v/>
      </c>
      <c r="FB168" s="44" t="str">
        <f>IF(Table1[Date of Initial Assessment]="","",IF(AND(Table1[Start Date]&gt;42094,Table1[Start Date]&lt;42461),Table1[Self-Care and Living Skills],""))</f>
        <v/>
      </c>
      <c r="FC168" s="44" t="str">
        <f>IF(Table1[Date of Initial Assessment]="","",IF(AND(Table1[Start Date]&gt;42094,Table1[Start Date]&lt;42461),Table1[Managing Money and Personal Administration],""))</f>
        <v/>
      </c>
      <c r="FD168" s="44" t="str">
        <f>IF(Table1[Date of Initial Assessment]="","",IF(AND(Table1[Start Date]&gt;42094,Table1[Start Date]&lt;42461),Table1[Social Networks and Relationships],""))</f>
        <v/>
      </c>
      <c r="FE168" s="44" t="str">
        <f>IF(Table1[Date of Initial Assessment]="","",IF(AND(Table1[Start Date]&gt;42094,Table1[Start Date]&lt;42461),Table1[Drug and Alcohol Misuse],""))</f>
        <v/>
      </c>
      <c r="FF168" s="44" t="str">
        <f>IF(Table1[Date of Initial Assessment]="","",IF(AND(Table1[Start Date]&gt;42094,Table1[Start Date]&lt;42461),Table1[Physical Health],""))</f>
        <v/>
      </c>
      <c r="FG168" s="44" t="str">
        <f>IF(Table1[Date of Initial Assessment]="","",IF(AND(Table1[Start Date]&gt;42094,Table1[Start Date]&lt;42461),Table1[Emotional and Mental Health],""))</f>
        <v/>
      </c>
      <c r="FH168" s="44" t="str">
        <f>IF(Table1[Date of Initial Assessment]="","",IF(AND(Table1[Start Date]&gt;42094,Table1[Start Date]&lt;42461),Table1[Meaningful Use of Time],""))</f>
        <v/>
      </c>
      <c r="FI168" s="44" t="str">
        <f>IF(Table1[Date of Initial Assessment]="","",IF(AND(Table1[Start Date]&gt;42094,Table1[Start Date]&lt;42461),Table1[Managing Tenancy and Accommodation],""))</f>
        <v/>
      </c>
      <c r="FJ168" s="44" t="str">
        <f>IF(Table1[Date of Initial Assessment]="","",IF(AND(Table1[Start Date]&gt;42094,Table1[Start Date]&lt;42461),Table1[Offending],""))</f>
        <v/>
      </c>
      <c r="FK168" s="44" t="str">
        <f>IF(Table1[Leaving Date]="","",IF(Table1[Date of Initial Assessment]="","",IF(AND(Table1[Leaving Date]&gt;42094,Table1[Leaving Date]&lt;42461),IF(Table1[Date of Last Assessment]="",Table1[Motivation and Taking Responsibility],Table1[Motivation and Taking Responsibility2]),"")))</f>
        <v/>
      </c>
      <c r="FL168" s="44" t="str">
        <f>IF(Table1[Leaving Date]="","",IF(Table1[Date of Initial Assessment]="","",IF(AND(Table1[Leaving Date]&gt;42094,Table1[Leaving Date]&lt;42461),IF(Table1[Date of Last Assessment]="",Table1[Self-Care and Living Skills],Table1[Self-Care and Living Skills2]),"")))</f>
        <v/>
      </c>
      <c r="FM168" s="44" t="str">
        <f>IF(Table1[Leaving Date]="","",IF(Table1[Date of Initial Assessment]="","",IF(AND(Table1[Leaving Date]&gt;42094,Table1[Leaving Date]&lt;42461),IF(Table1[Date of Last Assessment]="",Table1[Managing Money and Personal Administration],Table1[Managing Money and Personal Administration2]),"")))</f>
        <v/>
      </c>
      <c r="FN168" s="44" t="str">
        <f>IF(Table1[Leaving Date]="","",IF(Table1[Date of Initial Assessment]="","",IF(AND(Table1[Leaving Date]&gt;42094,Table1[Leaving Date]&lt;42461),IF(Table1[Date of Last Assessment]="",Table1[Social Networks and Relationships],Table1[Social Networks and Relationships2]),"")))</f>
        <v/>
      </c>
      <c r="FO168" s="44" t="str">
        <f>IF(Table1[Leaving Date]="","",IF(Table1[Date of Initial Assessment]="","",IF(AND(Table1[Leaving Date]&gt;42094,Table1[Leaving Date]&lt;42461),IF(Table1[Date of Last Assessment]="",Table1[Drug and Alcohol Misuse],Table1[Drug and Alcohol Misuse2]),"")))</f>
        <v/>
      </c>
      <c r="FP168" s="44" t="str">
        <f>IF(Table1[Leaving Date]="","",IF(Table1[Date of Initial Assessment]="","",IF(AND(Table1[Leaving Date]&gt;42094,Table1[Leaving Date]&lt;42461),IF(Table1[Date of Last Assessment]="",Table1[Physical Health],Table1[Physical Health2]),"")))</f>
        <v/>
      </c>
      <c r="FQ168" s="44" t="str">
        <f>IF(Table1[Leaving Date]="","",IF(Table1[Date of Initial Assessment]="","",IF(AND(Table1[Leaving Date]&gt;42094,Table1[Leaving Date]&lt;42461),IF(Table1[Date of Last Assessment]="",Table1[Emotional and Mental Health],Table1[Emotional and Mental Health2]),"")))</f>
        <v/>
      </c>
      <c r="FR168" s="44" t="str">
        <f>IF(Table1[Leaving Date]="","",IF(Table1[Date of Initial Assessment]="","",IF(AND(Table1[Leaving Date]&gt;42094,Table1[Leaving Date]&lt;42461),IF(Table1[Date of Last Assessment]="",Table1[Meaningful Use of Time],Table1[Meaningful Use of Time2]),"")))</f>
        <v/>
      </c>
      <c r="FS168" s="44" t="str">
        <f>IF(Table1[Leaving Date]="","",IF(Table1[Date of Initial Assessment]="","",IF(AND(Table1[Leaving Date]&gt;42094,Table1[Leaving Date]&lt;42461),IF(Table1[Date of Last Assessment]="",Table1[Managing Tenancy and Accommodation],Table1[Managing Tenancy and Accommodation2]),"")))</f>
        <v/>
      </c>
      <c r="FT168" s="44" t="str">
        <f>IF(Table1[Leaving Date]="","",IF(Table1[Date of Initial Assessment]="","",IF(AND(Table1[Leaving Date]&gt;42094,Table1[Leaving Date]&lt;42461),IF(Table1[Date of Last Assessment]="",Table1[Offending],Table1[Offending2]),"")))</f>
        <v/>
      </c>
      <c r="FU168" s="44" t="str">
        <f>IF(Table1[Date of Initial Assessment]="","",IF(AND(Table1[Start Date]&gt;42460,Table1[Start Date]&lt;42826),Table1[Motivation and Taking Responsibility],""))</f>
        <v/>
      </c>
      <c r="FV168" s="44" t="str">
        <f>IF(Table1[Date of Initial Assessment]="","",IF(AND(Table1[Start Date]&gt;42460,Table1[Start Date]&lt;42826),Table1[Self-Care and Living Skills],""))</f>
        <v/>
      </c>
      <c r="FW168" s="44" t="str">
        <f>IF(Table1[Date of Initial Assessment]="","",IF(AND(Table1[Start Date]&gt;42460,Table1[Start Date]&lt;42826),Table1[Managing Money and Personal Administration],""))</f>
        <v/>
      </c>
      <c r="FX168" s="44" t="str">
        <f>IF(Table1[Date of Initial Assessment]="","",IF(AND(Table1[Start Date]&gt;42460,Table1[Start Date]&lt;42826),Table1[Social Networks and Relationships],""))</f>
        <v/>
      </c>
      <c r="FY168" s="44" t="str">
        <f>IF(Table1[Date of Initial Assessment]="","",IF(AND(Table1[Start Date]&gt;42460,Table1[Start Date]&lt;42826),Table1[Drug and Alcohol Misuse],""))</f>
        <v/>
      </c>
      <c r="FZ168" s="44" t="str">
        <f>IF(Table1[Date of Initial Assessment]="","",IF(AND(Table1[Start Date]&gt;42460,Table1[Start Date]&lt;42826),Table1[Physical Health],""))</f>
        <v/>
      </c>
      <c r="GA168" s="44" t="str">
        <f>IF(Table1[Date of Initial Assessment]="","",IF(AND(Table1[Start Date]&gt;42460,Table1[Start Date]&lt;42826),Table1[Emotional and Mental Health],""))</f>
        <v/>
      </c>
      <c r="GB168" s="44" t="str">
        <f>IF(Table1[Date of Initial Assessment]="","",IF(AND(Table1[Start Date]&gt;42460,Table1[Start Date]&lt;42826),Table1[Meaningful Use of Time],""))</f>
        <v/>
      </c>
      <c r="GC168" s="44" t="str">
        <f>IF(Table1[Date of Initial Assessment]="","",IF(AND(Table1[Start Date]&gt;42460,Table1[Start Date]&lt;42826),Table1[Managing Tenancy and Accommodation],""))</f>
        <v/>
      </c>
      <c r="GD168" s="44" t="str">
        <f>IF(Table1[Date of Initial Assessment]="","",IF(AND(Table1[Start Date]&gt;42460,Table1[Start Date]&lt;42826),Table1[Offending],""))</f>
        <v/>
      </c>
      <c r="GE168" s="44" t="str">
        <f>IF(Table1[Leaving Date]="","",IF(AND(Table1[Leaving Date]&gt;42460,Table1[Leaving Date]&lt;42826),IF(Table1[Date of Last Assessment]="",Table1[Motivation and Taking Responsibility],Table1[Motivation and Taking Responsibility2]),""))</f>
        <v/>
      </c>
      <c r="GF168" s="44" t="str">
        <f>IF(Table1[Leaving Date]="","",IF(AND(Table1[Leaving Date]&gt;42460,Table1[Leaving Date]&lt;42826),IF(Table1[Date of Last Assessment]="",Table1[Self-Care and Living Skills],Table1[Self-Care and Living Skills2]),""))</f>
        <v/>
      </c>
      <c r="GG168" s="44" t="str">
        <f>IF(Table1[Leaving Date]="","",IF(AND(Table1[Leaving Date]&gt;42460,Table1[Leaving Date]&lt;42826),IF(Table1[Date of Last Assessment]="",Table1[Managing Money and Personal Administration],Table1[Managing Money and Personal Administration2]),""))</f>
        <v/>
      </c>
      <c r="GH168" s="44" t="str">
        <f>IF(Table1[Leaving Date]="","",IF(AND(Table1[Leaving Date]&gt;42460,Table1[Leaving Date]&lt;42826),IF(Table1[Date of Last Assessment]="",Table1[Social Networks and Relationships],Table1[Social Networks and Relationships2]),""))</f>
        <v/>
      </c>
      <c r="GI168" s="44" t="str">
        <f>IF(Table1[Leaving Date]="","",IF(AND(Table1[Leaving Date]&gt;42460,Table1[Leaving Date]&lt;42826),IF(Table1[Date of Last Assessment]="",Table1[Drug and Alcohol Misuse],Table1[Drug and Alcohol Misuse2]),""))</f>
        <v/>
      </c>
      <c r="GJ168" s="44" t="str">
        <f>IF(Table1[Leaving Date]="","",IF(AND(Table1[Leaving Date]&gt;42460,Table1[Leaving Date]&lt;42826),IF(Table1[Date of Last Assessment]="",Table1[Physical Health],Table1[Physical Health2]),""))</f>
        <v/>
      </c>
      <c r="GK168" s="44" t="str">
        <f>IF(Table1[Leaving Date]="","",IF(AND(Table1[Leaving Date]&gt;42460,Table1[Leaving Date]&lt;42826),IF(Table1[Date of Last Assessment]="",Table1[Emotional and Mental Health],Table1[Emotional and Mental Health2]),""))</f>
        <v/>
      </c>
      <c r="GL168" s="44" t="str">
        <f>IF(Table1[Leaving Date]="","",IF(AND(Table1[Leaving Date]&gt;42460,Table1[Leaving Date]&lt;42826),IF(Table1[Date of Last Assessment]="",Table1[Meaningful Use of Time],Table1[Meaningful Use of Time2]),""))</f>
        <v/>
      </c>
      <c r="GM168" s="44" t="str">
        <f>IF(Table1[Leaving Date]="","",IF(AND(Table1[Leaving Date]&gt;42460,Table1[Leaving Date]&lt;42826),IF(Table1[Date of Last Assessment]="",Table1[Managing Tenancy and Accommodation],Table1[Managing Tenancy and Accommodation2]),""))</f>
        <v/>
      </c>
      <c r="GN168" s="44" t="str">
        <f>IF(Table1[Leaving Date]="","",IF(AND(Table1[Leaving Date]&gt;42460,Table1[Leaving Date]&lt;42826),IF(Table1[Date of Last Assessment]="",Table1[Offending],Table1[Offending2]),""))</f>
        <v/>
      </c>
    </row>
    <row r="169" spans="2:196" ht="20.100000000000001" customHeight="1" x14ac:dyDescent="0.2">
      <c r="B169" s="86">
        <f>+'Service Data'!$C$5:$C$5</f>
        <v>0</v>
      </c>
      <c r="C169" s="86"/>
      <c r="D169" s="86"/>
      <c r="E169" s="86"/>
      <c r="F169" s="86"/>
      <c r="G169" s="86"/>
      <c r="H169" s="6"/>
      <c r="I169" s="99" t="str">
        <f ca="1">IF(Table1[[#This Row],[Date of Birth]]="","",SUM(TODAY()-Table1[[#This Row],[Date of Birth]])/365)</f>
        <v/>
      </c>
      <c r="L169" s="86"/>
      <c r="M169" s="77"/>
      <c r="N169" s="86"/>
      <c r="O169" s="86"/>
      <c r="P169" s="91"/>
      <c r="Q169" s="86"/>
      <c r="R169" s="77"/>
      <c r="S169" s="77"/>
      <c r="T169" s="68"/>
      <c r="U169" s="68"/>
      <c r="V169" s="67"/>
      <c r="W169" s="67"/>
      <c r="X169" s="67"/>
      <c r="Y169" s="67"/>
      <c r="Z169" s="67"/>
      <c r="AA169" s="67"/>
      <c r="AB169" s="67"/>
      <c r="AC169" s="67"/>
      <c r="AD169" s="67"/>
      <c r="AE169" s="67"/>
      <c r="AF169" s="67"/>
      <c r="AG169" s="67"/>
      <c r="AH169" s="67"/>
      <c r="AI169" s="67"/>
      <c r="AJ169" s="67"/>
      <c r="AK169" s="67"/>
      <c r="AL169" s="67"/>
      <c r="AM169" s="67"/>
      <c r="AN169" s="77"/>
      <c r="AO169" s="76"/>
      <c r="AP169" s="77"/>
      <c r="AQ169" s="76"/>
      <c r="AR169" s="76"/>
      <c r="AS169" s="76"/>
      <c r="AT169" s="76"/>
      <c r="AU169" s="76"/>
      <c r="AV169" s="77"/>
      <c r="AW169" s="76"/>
      <c r="AX169" s="77"/>
      <c r="AY169" s="76"/>
      <c r="AZ169" s="76"/>
      <c r="BA169" s="76"/>
      <c r="BB169" s="76"/>
      <c r="BC169" s="76"/>
      <c r="BD169" s="77"/>
      <c r="BE169" s="76"/>
      <c r="BF169" s="77"/>
      <c r="BG169" s="76"/>
      <c r="BH169" s="76"/>
      <c r="BI169" s="76"/>
      <c r="BJ169" s="76"/>
      <c r="BK169" s="76"/>
      <c r="BL169" s="77"/>
      <c r="BM169" s="76"/>
      <c r="BN169" s="77"/>
      <c r="BO169" s="76"/>
      <c r="BP169" s="76"/>
      <c r="BQ169" s="76"/>
      <c r="BR169" s="76"/>
      <c r="BS169" s="76"/>
      <c r="BT169" s="77"/>
      <c r="BU169" s="76"/>
      <c r="BV169" s="77"/>
      <c r="BW169" s="76"/>
      <c r="BX169" s="76"/>
      <c r="BY169" s="76"/>
      <c r="BZ169" s="76"/>
      <c r="CA169" s="76"/>
      <c r="CB169" s="77"/>
      <c r="CC169" s="76"/>
      <c r="CD169" s="77"/>
      <c r="CE169" s="76"/>
      <c r="CF169" s="76"/>
      <c r="CG169" s="76"/>
      <c r="CH169" s="76"/>
      <c r="CI169" s="76"/>
      <c r="CJ169" s="77"/>
      <c r="CK169" s="76"/>
      <c r="CL169" s="77"/>
      <c r="CM169" s="76"/>
      <c r="CN169" s="76"/>
      <c r="CO169" s="76"/>
      <c r="CP169" s="76"/>
      <c r="CQ169" s="76"/>
      <c r="CR169" s="78" t="str">
        <f t="shared" si="47"/>
        <v/>
      </c>
      <c r="CS169" s="79" t="str">
        <f t="shared" si="48"/>
        <v/>
      </c>
      <c r="CT169" s="79" t="str">
        <f t="shared" si="49"/>
        <v/>
      </c>
      <c r="CU169" s="79" t="str">
        <f t="shared" si="50"/>
        <v/>
      </c>
      <c r="CV169" s="79" t="str">
        <f t="shared" si="51"/>
        <v/>
      </c>
      <c r="CW169" s="79" t="str">
        <f t="shared" si="52"/>
        <v/>
      </c>
      <c r="CX169" s="79" t="str">
        <f t="shared" si="53"/>
        <v/>
      </c>
      <c r="CY169" s="79" t="str">
        <f t="shared" si="54"/>
        <v/>
      </c>
      <c r="CZ169" s="79" t="str">
        <f t="shared" si="55"/>
        <v/>
      </c>
      <c r="DA169" s="79" t="str">
        <f t="shared" si="56"/>
        <v/>
      </c>
      <c r="DB169" s="79" t="str">
        <f t="shared" si="57"/>
        <v/>
      </c>
      <c r="DC169" s="79" t="str">
        <f t="shared" si="58"/>
        <v/>
      </c>
      <c r="DD169" s="79" t="str">
        <f t="shared" si="59"/>
        <v/>
      </c>
      <c r="DE169" s="79" t="str">
        <f t="shared" si="60"/>
        <v/>
      </c>
      <c r="DF169" s="79" t="str">
        <f t="shared" si="61"/>
        <v/>
      </c>
      <c r="DG169" s="79" t="str">
        <f t="shared" si="62"/>
        <v/>
      </c>
      <c r="DH169" s="76"/>
      <c r="DI169" s="78"/>
      <c r="DJ169" s="76"/>
      <c r="DK169" s="77"/>
      <c r="DL169" s="77"/>
      <c r="DM169" s="77"/>
      <c r="DN169" s="80"/>
      <c r="DO169" s="80"/>
      <c r="DP169" s="92" t="str">
        <f>IF(Table1[Start Date]="","",IF(Table1[Start Date]&gt;42185,"",IF(AND(Table1[Leaving Date]&gt;1,Table1[Leaving Date]&lt;42095),"",1)))</f>
        <v/>
      </c>
      <c r="DQ169" s="92" t="str">
        <f>IF(Table1[Start Date]="","",IF(Table1[Start Date]&gt;42277,"",IF(AND(Table1[Leaving Date]&gt;1,Table1[Leaving Date]&lt;42186),"",1)))</f>
        <v/>
      </c>
      <c r="DR169" s="92" t="str">
        <f>IF(Table1[Start Date]="","",IF(Table1[Start Date]&gt;42369,"",IF(AND(Table1[Leaving Date]&gt;1,Table1[Leaving Date]&lt;42278),"",1)))</f>
        <v/>
      </c>
      <c r="DS169" s="92" t="str">
        <f>IF(Table1[Start Date]="","",IF(Table1[Start Date]&gt;42460,"",IF(AND(Table1[Leaving Date]&gt;1,Table1[Leaving Date]&lt;42370),"",1)))</f>
        <v/>
      </c>
      <c r="DT169" s="92" t="str">
        <f>IF(Table1[Start Date]="","",IF(Table1[Start Date]&gt;42551,"",IF(AND(Table1[Leaving Date]&gt;1,Table1[Leaving Date]&lt;42461),"",1)))</f>
        <v/>
      </c>
      <c r="DU169" s="92" t="str">
        <f>IF(Table1[Start Date]="","",IF(Table1[Start Date]&gt;42643,"",IF(AND(Table1[Leaving Date]&gt;1,Table1[Leaving Date]&lt;42552),"",1)))</f>
        <v/>
      </c>
      <c r="DV169" s="92" t="str">
        <f>IF(Table1[Start Date]="","",IF(Table1[Start Date]&gt;42735,"",IF(AND(Table1[Leaving Date]&gt;1,Table1[Leaving Date]&lt;42644),"",1)))</f>
        <v/>
      </c>
      <c r="DW169" s="92" t="str">
        <f>IF(Table1[Start Date]="","",IF(Table1[Start Date]&gt;42825,"",IF(AND(Table1[Leaving Date]&gt;1,Table1[Leaving Date]&lt;42736),"",1)))</f>
        <v/>
      </c>
      <c r="DX169"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169" s="44" t="e">
        <f>VLOOKUP(Table1[Referral Source],Lists!$G$2:$H$20,2,FALSE)</f>
        <v>#N/A</v>
      </c>
      <c r="DZ169" s="93" t="e">
        <f>SUM(Table1[Data Referral Quarter]+Table1[Data Referral Source])</f>
        <v>#N/A</v>
      </c>
      <c r="EA169" s="44" t="b">
        <f>IF(Table1[Referral Decision]="Accepted",100,IF(Table1[Referral Decision]="Rejected by Provider",200,IF(Table1[Referral Decision]="Rejected by Applicant",300)))</f>
        <v>0</v>
      </c>
      <c r="EB169" s="44">
        <f>SUM(Table1[Data Referral Quarter]+Table1[Data Referral Decision])</f>
        <v>0</v>
      </c>
      <c r="EC169" s="44" t="b">
        <f>IF(Table1[Start Date]&gt;42735,8000,IF(Table1[Start Date]&gt;42643,7000,IF(Table1[Start Date]&gt;42551,6000,IF(Table1[Start Date]&gt;42460,5000,IF(Table1[Start Date]&gt;42369,4000,IF(Table1[Start Date]&gt;42277,3000,IF(Table1[Start Date]&gt;42185,2000,IF(Table1[Start Date]&gt;42094,1000))))))))</f>
        <v>0</v>
      </c>
      <c r="ED169" s="44" t="str">
        <f>IF(Table1[Start Date]="","",IF(Table1[Current Local Authority]="Swindon",1,"2"))</f>
        <v/>
      </c>
      <c r="EE169" s="44" t="e">
        <f>SUM(Table1[Data Start Date]+Table1[Data Local Authority])</f>
        <v>#VALUE!</v>
      </c>
      <c r="EF169" s="44">
        <f>IF(Table1[Registered with GP]="Yes",1,0)</f>
        <v>0</v>
      </c>
      <c r="EG169" s="44">
        <f>SUM(Table1[Data Start Date]+Table1[Data GP Start])</f>
        <v>0</v>
      </c>
      <c r="EH169" s="44" t="str">
        <f>IF(Table1[EET]="NEET",1,IF(Table1[EET]="Education",2,IF(Table1[EET]="Employment",2,IF(Table1[EET]="Training",2,IF(Table1[EET]="Retired",3,"")))))</f>
        <v/>
      </c>
      <c r="EI169" s="44" t="e">
        <f>Table1[Data Start Date]+Table1[Data EET Start]</f>
        <v>#VALUE!</v>
      </c>
      <c r="EJ169" s="44" t="b">
        <f>IF(Table1[Leaving Date]&gt;42735,8000,IF(Table1[Leaving Date]&gt;42643,7000,IF(Table1[Leaving Date]&gt;42551,6000,IF(Table1[Leaving Date]&gt;42460,5000,IF(Table1[Leaving Date]&gt;42369,4000,IF(Table1[Leaving Date]&gt;42277,3000,IF(Table1[Leaving Date]&gt;42185,2000,IF(Table1[Leaving Date]&gt;42094,1000))))))))</f>
        <v>0</v>
      </c>
      <c r="EK169" s="44" t="e">
        <f>VLOOKUP(Table1[Reason for Leaving],Lists!$T$2:$U$15,2,FALSE)</f>
        <v>#N/A</v>
      </c>
      <c r="EL169" s="44" t="e">
        <f>SUM(Table1[Data Leavers Date]+Table1[Data Move On])</f>
        <v>#N/A</v>
      </c>
      <c r="EM169" s="44" t="b">
        <f>IF(Table1[Registered with GP2]="Yes",1,IF(Table1[Registered with GP2]="No",0,IF(Table1[Registered with GP]="Yes",1,IF(Table1[Registered with GP]="No",0))))</f>
        <v>0</v>
      </c>
      <c r="EN169" s="44">
        <f>SUM(Table1[Data Leavers Date]+Table1[Data GP End])</f>
        <v>0</v>
      </c>
      <c r="EO169" s="44" t="str">
        <f>IF(Table1[EET2]="NEET",1,IF(Table1[EET2]="Employment",2,IF(Table1[EET2]="Education",2,IF(Table1[EET2]="Training",2,IF(Table1[EET2]="Retired",3,IF(Table1[EET]="NEET",1,IF(Table1[EET]="Employment",2,IF(Table1[EET]="Education",2,IF(Table1[EET]="Training",2,IF(Table1[EET]="Retired",3,""))))))))))</f>
        <v/>
      </c>
      <c r="EP169" s="44" t="e">
        <f>+Table1[[#This Row],[Data Leavers Date]]+Table1[[#This Row],[Data EET End]]</f>
        <v>#VALUE!</v>
      </c>
      <c r="EQ169" s="44">
        <f>IF(Table1[Exit Form Received]="Yes",1,0)</f>
        <v>0</v>
      </c>
      <c r="ER169" s="44">
        <f>+Table1[[#This Row],[Data Leavers Date]]+Table1[[#This Row],[Data Exit Forms]]</f>
        <v>0</v>
      </c>
      <c r="ES169" s="44" t="str">
        <f>IF(Table1[Data Leavers Date]=1000,SUM(Table1[Leaving Date]-Table1[Start Date]),"")</f>
        <v/>
      </c>
      <c r="ET169" s="44" t="str">
        <f>IF(Table1[Data Leavers Date]=2000,SUM(Table1[Leaving Date]-Table1[Start Date]),"")</f>
        <v/>
      </c>
      <c r="EU169" s="44" t="str">
        <f>IF(Table1[Data Leavers Date]=3000,SUM(Table1[Leaving Date]-Table1[Start Date]),"")</f>
        <v/>
      </c>
      <c r="EV169" s="44" t="str">
        <f>IF(Table1[Data Leavers Date]=4000,SUM(Table1[Leaving Date]-Table1[Start Date]),"")</f>
        <v/>
      </c>
      <c r="EW169" s="44" t="str">
        <f>IF(Table1[Data Leavers Date]=5000,SUM(Table1[Leaving Date]-Table1[Start Date]),"")</f>
        <v/>
      </c>
      <c r="EX169" s="44" t="str">
        <f>IF(Table1[Data Leavers Date]=6000,SUM(Table1[Leaving Date]-Table1[Start Date]),"")</f>
        <v/>
      </c>
      <c r="EY169" s="44" t="str">
        <f>IF(Table1[Data Leavers Date]=7000,SUM(Table1[Leaving Date]-Table1[Start Date]),"")</f>
        <v/>
      </c>
      <c r="EZ169" s="44" t="str">
        <f>IF(Table1[Data Leavers Date]=8000,SUM(Table1[Leaving Date]-Table1[Start Date]),"")</f>
        <v/>
      </c>
      <c r="FA169" s="44" t="str">
        <f>IF(Table1[Date of Initial Assessment]="","",IF(AND(Table1[Start Date]&gt;42094,Table1[Start Date]&lt;42461),Table1[Motivation and Taking Responsibility],""))</f>
        <v/>
      </c>
      <c r="FB169" s="44" t="str">
        <f>IF(Table1[Date of Initial Assessment]="","",IF(AND(Table1[Start Date]&gt;42094,Table1[Start Date]&lt;42461),Table1[Self-Care and Living Skills],""))</f>
        <v/>
      </c>
      <c r="FC169" s="44" t="str">
        <f>IF(Table1[Date of Initial Assessment]="","",IF(AND(Table1[Start Date]&gt;42094,Table1[Start Date]&lt;42461),Table1[Managing Money and Personal Administration],""))</f>
        <v/>
      </c>
      <c r="FD169" s="44" t="str">
        <f>IF(Table1[Date of Initial Assessment]="","",IF(AND(Table1[Start Date]&gt;42094,Table1[Start Date]&lt;42461),Table1[Social Networks and Relationships],""))</f>
        <v/>
      </c>
      <c r="FE169" s="44" t="str">
        <f>IF(Table1[Date of Initial Assessment]="","",IF(AND(Table1[Start Date]&gt;42094,Table1[Start Date]&lt;42461),Table1[Drug and Alcohol Misuse],""))</f>
        <v/>
      </c>
      <c r="FF169" s="44" t="str">
        <f>IF(Table1[Date of Initial Assessment]="","",IF(AND(Table1[Start Date]&gt;42094,Table1[Start Date]&lt;42461),Table1[Physical Health],""))</f>
        <v/>
      </c>
      <c r="FG169" s="44" t="str">
        <f>IF(Table1[Date of Initial Assessment]="","",IF(AND(Table1[Start Date]&gt;42094,Table1[Start Date]&lt;42461),Table1[Emotional and Mental Health],""))</f>
        <v/>
      </c>
      <c r="FH169" s="44" t="str">
        <f>IF(Table1[Date of Initial Assessment]="","",IF(AND(Table1[Start Date]&gt;42094,Table1[Start Date]&lt;42461),Table1[Meaningful Use of Time],""))</f>
        <v/>
      </c>
      <c r="FI169" s="44" t="str">
        <f>IF(Table1[Date of Initial Assessment]="","",IF(AND(Table1[Start Date]&gt;42094,Table1[Start Date]&lt;42461),Table1[Managing Tenancy and Accommodation],""))</f>
        <v/>
      </c>
      <c r="FJ169" s="44" t="str">
        <f>IF(Table1[Date of Initial Assessment]="","",IF(AND(Table1[Start Date]&gt;42094,Table1[Start Date]&lt;42461),Table1[Offending],""))</f>
        <v/>
      </c>
      <c r="FK169" s="44" t="str">
        <f>IF(Table1[Leaving Date]="","",IF(Table1[Date of Initial Assessment]="","",IF(AND(Table1[Leaving Date]&gt;42094,Table1[Leaving Date]&lt;42461),IF(Table1[Date of Last Assessment]="",Table1[Motivation and Taking Responsibility],Table1[Motivation and Taking Responsibility2]),"")))</f>
        <v/>
      </c>
      <c r="FL169" s="44" t="str">
        <f>IF(Table1[Leaving Date]="","",IF(Table1[Date of Initial Assessment]="","",IF(AND(Table1[Leaving Date]&gt;42094,Table1[Leaving Date]&lt;42461),IF(Table1[Date of Last Assessment]="",Table1[Self-Care and Living Skills],Table1[Self-Care and Living Skills2]),"")))</f>
        <v/>
      </c>
      <c r="FM169" s="44" t="str">
        <f>IF(Table1[Leaving Date]="","",IF(Table1[Date of Initial Assessment]="","",IF(AND(Table1[Leaving Date]&gt;42094,Table1[Leaving Date]&lt;42461),IF(Table1[Date of Last Assessment]="",Table1[Managing Money and Personal Administration],Table1[Managing Money and Personal Administration2]),"")))</f>
        <v/>
      </c>
      <c r="FN169" s="44" t="str">
        <f>IF(Table1[Leaving Date]="","",IF(Table1[Date of Initial Assessment]="","",IF(AND(Table1[Leaving Date]&gt;42094,Table1[Leaving Date]&lt;42461),IF(Table1[Date of Last Assessment]="",Table1[Social Networks and Relationships],Table1[Social Networks and Relationships2]),"")))</f>
        <v/>
      </c>
      <c r="FO169" s="44" t="str">
        <f>IF(Table1[Leaving Date]="","",IF(Table1[Date of Initial Assessment]="","",IF(AND(Table1[Leaving Date]&gt;42094,Table1[Leaving Date]&lt;42461),IF(Table1[Date of Last Assessment]="",Table1[Drug and Alcohol Misuse],Table1[Drug and Alcohol Misuse2]),"")))</f>
        <v/>
      </c>
      <c r="FP169" s="44" t="str">
        <f>IF(Table1[Leaving Date]="","",IF(Table1[Date of Initial Assessment]="","",IF(AND(Table1[Leaving Date]&gt;42094,Table1[Leaving Date]&lt;42461),IF(Table1[Date of Last Assessment]="",Table1[Physical Health],Table1[Physical Health2]),"")))</f>
        <v/>
      </c>
      <c r="FQ169" s="44" t="str">
        <f>IF(Table1[Leaving Date]="","",IF(Table1[Date of Initial Assessment]="","",IF(AND(Table1[Leaving Date]&gt;42094,Table1[Leaving Date]&lt;42461),IF(Table1[Date of Last Assessment]="",Table1[Emotional and Mental Health],Table1[Emotional and Mental Health2]),"")))</f>
        <v/>
      </c>
      <c r="FR169" s="44" t="str">
        <f>IF(Table1[Leaving Date]="","",IF(Table1[Date of Initial Assessment]="","",IF(AND(Table1[Leaving Date]&gt;42094,Table1[Leaving Date]&lt;42461),IF(Table1[Date of Last Assessment]="",Table1[Meaningful Use of Time],Table1[Meaningful Use of Time2]),"")))</f>
        <v/>
      </c>
      <c r="FS169" s="44" t="str">
        <f>IF(Table1[Leaving Date]="","",IF(Table1[Date of Initial Assessment]="","",IF(AND(Table1[Leaving Date]&gt;42094,Table1[Leaving Date]&lt;42461),IF(Table1[Date of Last Assessment]="",Table1[Managing Tenancy and Accommodation],Table1[Managing Tenancy and Accommodation2]),"")))</f>
        <v/>
      </c>
      <c r="FT169" s="44" t="str">
        <f>IF(Table1[Leaving Date]="","",IF(Table1[Date of Initial Assessment]="","",IF(AND(Table1[Leaving Date]&gt;42094,Table1[Leaving Date]&lt;42461),IF(Table1[Date of Last Assessment]="",Table1[Offending],Table1[Offending2]),"")))</f>
        <v/>
      </c>
      <c r="FU169" s="44" t="str">
        <f>IF(Table1[Date of Initial Assessment]="","",IF(AND(Table1[Start Date]&gt;42460,Table1[Start Date]&lt;42826),Table1[Motivation and Taking Responsibility],""))</f>
        <v/>
      </c>
      <c r="FV169" s="44" t="str">
        <f>IF(Table1[Date of Initial Assessment]="","",IF(AND(Table1[Start Date]&gt;42460,Table1[Start Date]&lt;42826),Table1[Self-Care and Living Skills],""))</f>
        <v/>
      </c>
      <c r="FW169" s="44" t="str">
        <f>IF(Table1[Date of Initial Assessment]="","",IF(AND(Table1[Start Date]&gt;42460,Table1[Start Date]&lt;42826),Table1[Managing Money and Personal Administration],""))</f>
        <v/>
      </c>
      <c r="FX169" s="44" t="str">
        <f>IF(Table1[Date of Initial Assessment]="","",IF(AND(Table1[Start Date]&gt;42460,Table1[Start Date]&lt;42826),Table1[Social Networks and Relationships],""))</f>
        <v/>
      </c>
      <c r="FY169" s="44" t="str">
        <f>IF(Table1[Date of Initial Assessment]="","",IF(AND(Table1[Start Date]&gt;42460,Table1[Start Date]&lt;42826),Table1[Drug and Alcohol Misuse],""))</f>
        <v/>
      </c>
      <c r="FZ169" s="44" t="str">
        <f>IF(Table1[Date of Initial Assessment]="","",IF(AND(Table1[Start Date]&gt;42460,Table1[Start Date]&lt;42826),Table1[Physical Health],""))</f>
        <v/>
      </c>
      <c r="GA169" s="44" t="str">
        <f>IF(Table1[Date of Initial Assessment]="","",IF(AND(Table1[Start Date]&gt;42460,Table1[Start Date]&lt;42826),Table1[Emotional and Mental Health],""))</f>
        <v/>
      </c>
      <c r="GB169" s="44" t="str">
        <f>IF(Table1[Date of Initial Assessment]="","",IF(AND(Table1[Start Date]&gt;42460,Table1[Start Date]&lt;42826),Table1[Meaningful Use of Time],""))</f>
        <v/>
      </c>
      <c r="GC169" s="44" t="str">
        <f>IF(Table1[Date of Initial Assessment]="","",IF(AND(Table1[Start Date]&gt;42460,Table1[Start Date]&lt;42826),Table1[Managing Tenancy and Accommodation],""))</f>
        <v/>
      </c>
      <c r="GD169" s="44" t="str">
        <f>IF(Table1[Date of Initial Assessment]="","",IF(AND(Table1[Start Date]&gt;42460,Table1[Start Date]&lt;42826),Table1[Offending],""))</f>
        <v/>
      </c>
      <c r="GE169" s="44" t="str">
        <f>IF(Table1[Leaving Date]="","",IF(AND(Table1[Leaving Date]&gt;42460,Table1[Leaving Date]&lt;42826),IF(Table1[Date of Last Assessment]="",Table1[Motivation and Taking Responsibility],Table1[Motivation and Taking Responsibility2]),""))</f>
        <v/>
      </c>
      <c r="GF169" s="44" t="str">
        <f>IF(Table1[Leaving Date]="","",IF(AND(Table1[Leaving Date]&gt;42460,Table1[Leaving Date]&lt;42826),IF(Table1[Date of Last Assessment]="",Table1[Self-Care and Living Skills],Table1[Self-Care and Living Skills2]),""))</f>
        <v/>
      </c>
      <c r="GG169" s="44" t="str">
        <f>IF(Table1[Leaving Date]="","",IF(AND(Table1[Leaving Date]&gt;42460,Table1[Leaving Date]&lt;42826),IF(Table1[Date of Last Assessment]="",Table1[Managing Money and Personal Administration],Table1[Managing Money and Personal Administration2]),""))</f>
        <v/>
      </c>
      <c r="GH169" s="44" t="str">
        <f>IF(Table1[Leaving Date]="","",IF(AND(Table1[Leaving Date]&gt;42460,Table1[Leaving Date]&lt;42826),IF(Table1[Date of Last Assessment]="",Table1[Social Networks and Relationships],Table1[Social Networks and Relationships2]),""))</f>
        <v/>
      </c>
      <c r="GI169" s="44" t="str">
        <f>IF(Table1[Leaving Date]="","",IF(AND(Table1[Leaving Date]&gt;42460,Table1[Leaving Date]&lt;42826),IF(Table1[Date of Last Assessment]="",Table1[Drug and Alcohol Misuse],Table1[Drug and Alcohol Misuse2]),""))</f>
        <v/>
      </c>
      <c r="GJ169" s="44" t="str">
        <f>IF(Table1[Leaving Date]="","",IF(AND(Table1[Leaving Date]&gt;42460,Table1[Leaving Date]&lt;42826),IF(Table1[Date of Last Assessment]="",Table1[Physical Health],Table1[Physical Health2]),""))</f>
        <v/>
      </c>
      <c r="GK169" s="44" t="str">
        <f>IF(Table1[Leaving Date]="","",IF(AND(Table1[Leaving Date]&gt;42460,Table1[Leaving Date]&lt;42826),IF(Table1[Date of Last Assessment]="",Table1[Emotional and Mental Health],Table1[Emotional and Mental Health2]),""))</f>
        <v/>
      </c>
      <c r="GL169" s="44" t="str">
        <f>IF(Table1[Leaving Date]="","",IF(AND(Table1[Leaving Date]&gt;42460,Table1[Leaving Date]&lt;42826),IF(Table1[Date of Last Assessment]="",Table1[Meaningful Use of Time],Table1[Meaningful Use of Time2]),""))</f>
        <v/>
      </c>
      <c r="GM169" s="44" t="str">
        <f>IF(Table1[Leaving Date]="","",IF(AND(Table1[Leaving Date]&gt;42460,Table1[Leaving Date]&lt;42826),IF(Table1[Date of Last Assessment]="",Table1[Managing Tenancy and Accommodation],Table1[Managing Tenancy and Accommodation2]),""))</f>
        <v/>
      </c>
      <c r="GN169" s="44" t="str">
        <f>IF(Table1[Leaving Date]="","",IF(AND(Table1[Leaving Date]&gt;42460,Table1[Leaving Date]&lt;42826),IF(Table1[Date of Last Assessment]="",Table1[Offending],Table1[Offending2]),""))</f>
        <v/>
      </c>
    </row>
    <row r="170" spans="2:196" ht="20.100000000000001" customHeight="1" x14ac:dyDescent="0.2">
      <c r="B170" s="86">
        <f>+'Service Data'!$C$5:$C$5</f>
        <v>0</v>
      </c>
      <c r="C170" s="86"/>
      <c r="D170" s="86"/>
      <c r="E170" s="86"/>
      <c r="F170" s="86"/>
      <c r="G170" s="86"/>
      <c r="H170" s="6"/>
      <c r="I170" s="99" t="str">
        <f ca="1">IF(Table1[[#This Row],[Date of Birth]]="","",SUM(TODAY()-Table1[[#This Row],[Date of Birth]])/365)</f>
        <v/>
      </c>
      <c r="L170" s="86"/>
      <c r="M170" s="77"/>
      <c r="N170" s="86"/>
      <c r="O170" s="86"/>
      <c r="P170" s="91"/>
      <c r="Q170" s="86"/>
      <c r="R170" s="77"/>
      <c r="S170" s="77"/>
      <c r="T170" s="68"/>
      <c r="U170" s="68"/>
      <c r="V170" s="67"/>
      <c r="W170" s="67"/>
      <c r="X170" s="67"/>
      <c r="Y170" s="67"/>
      <c r="Z170" s="67"/>
      <c r="AA170" s="67"/>
      <c r="AB170" s="67"/>
      <c r="AC170" s="67"/>
      <c r="AD170" s="67"/>
      <c r="AE170" s="67"/>
      <c r="AF170" s="67"/>
      <c r="AG170" s="67"/>
      <c r="AH170" s="67"/>
      <c r="AI170" s="67"/>
      <c r="AJ170" s="67"/>
      <c r="AK170" s="67"/>
      <c r="AL170" s="67"/>
      <c r="AM170" s="67"/>
      <c r="AN170" s="77"/>
      <c r="AO170" s="76"/>
      <c r="AP170" s="77"/>
      <c r="AQ170" s="76"/>
      <c r="AR170" s="76"/>
      <c r="AS170" s="76"/>
      <c r="AT170" s="76"/>
      <c r="AU170" s="76"/>
      <c r="AV170" s="77"/>
      <c r="AW170" s="76"/>
      <c r="AX170" s="77"/>
      <c r="AY170" s="76"/>
      <c r="AZ170" s="76"/>
      <c r="BA170" s="76"/>
      <c r="BB170" s="76"/>
      <c r="BC170" s="76"/>
      <c r="BD170" s="77"/>
      <c r="BE170" s="76"/>
      <c r="BF170" s="77"/>
      <c r="BG170" s="76"/>
      <c r="BH170" s="76"/>
      <c r="BI170" s="76"/>
      <c r="BJ170" s="76"/>
      <c r="BK170" s="76"/>
      <c r="BL170" s="77"/>
      <c r="BM170" s="76"/>
      <c r="BN170" s="77"/>
      <c r="BO170" s="76"/>
      <c r="BP170" s="76"/>
      <c r="BQ170" s="76"/>
      <c r="BR170" s="76"/>
      <c r="BS170" s="76"/>
      <c r="BT170" s="77"/>
      <c r="BU170" s="76"/>
      <c r="BV170" s="77"/>
      <c r="BW170" s="76"/>
      <c r="BX170" s="76"/>
      <c r="BY170" s="76"/>
      <c r="BZ170" s="76"/>
      <c r="CA170" s="76"/>
      <c r="CB170" s="77"/>
      <c r="CC170" s="76"/>
      <c r="CD170" s="77"/>
      <c r="CE170" s="76"/>
      <c r="CF170" s="76"/>
      <c r="CG170" s="76"/>
      <c r="CH170" s="76"/>
      <c r="CI170" s="76"/>
      <c r="CJ170" s="77"/>
      <c r="CK170" s="76"/>
      <c r="CL170" s="77"/>
      <c r="CM170" s="76"/>
      <c r="CN170" s="76"/>
      <c r="CO170" s="76"/>
      <c r="CP170" s="76"/>
      <c r="CQ170" s="76"/>
      <c r="CR170" s="78" t="str">
        <f t="shared" si="47"/>
        <v/>
      </c>
      <c r="CS170" s="79" t="str">
        <f t="shared" si="48"/>
        <v/>
      </c>
      <c r="CT170" s="79" t="str">
        <f t="shared" si="49"/>
        <v/>
      </c>
      <c r="CU170" s="79" t="str">
        <f t="shared" si="50"/>
        <v/>
      </c>
      <c r="CV170" s="79" t="str">
        <f t="shared" si="51"/>
        <v/>
      </c>
      <c r="CW170" s="79" t="str">
        <f t="shared" si="52"/>
        <v/>
      </c>
      <c r="CX170" s="79" t="str">
        <f t="shared" si="53"/>
        <v/>
      </c>
      <c r="CY170" s="79" t="str">
        <f t="shared" si="54"/>
        <v/>
      </c>
      <c r="CZ170" s="79" t="str">
        <f t="shared" si="55"/>
        <v/>
      </c>
      <c r="DA170" s="79" t="str">
        <f t="shared" si="56"/>
        <v/>
      </c>
      <c r="DB170" s="79" t="str">
        <f t="shared" si="57"/>
        <v/>
      </c>
      <c r="DC170" s="79" t="str">
        <f t="shared" si="58"/>
        <v/>
      </c>
      <c r="DD170" s="79" t="str">
        <f t="shared" si="59"/>
        <v/>
      </c>
      <c r="DE170" s="79" t="str">
        <f t="shared" si="60"/>
        <v/>
      </c>
      <c r="DF170" s="79" t="str">
        <f t="shared" si="61"/>
        <v/>
      </c>
      <c r="DG170" s="79" t="str">
        <f t="shared" si="62"/>
        <v/>
      </c>
      <c r="DH170" s="76"/>
      <c r="DI170" s="78"/>
      <c r="DJ170" s="76"/>
      <c r="DK170" s="77"/>
      <c r="DL170" s="77"/>
      <c r="DM170" s="77"/>
      <c r="DN170" s="80"/>
      <c r="DO170" s="80"/>
      <c r="DP170" s="92" t="str">
        <f>IF(Table1[Start Date]="","",IF(Table1[Start Date]&gt;42185,"",IF(AND(Table1[Leaving Date]&gt;1,Table1[Leaving Date]&lt;42095),"",1)))</f>
        <v/>
      </c>
      <c r="DQ170" s="92" t="str">
        <f>IF(Table1[Start Date]="","",IF(Table1[Start Date]&gt;42277,"",IF(AND(Table1[Leaving Date]&gt;1,Table1[Leaving Date]&lt;42186),"",1)))</f>
        <v/>
      </c>
      <c r="DR170" s="92" t="str">
        <f>IF(Table1[Start Date]="","",IF(Table1[Start Date]&gt;42369,"",IF(AND(Table1[Leaving Date]&gt;1,Table1[Leaving Date]&lt;42278),"",1)))</f>
        <v/>
      </c>
      <c r="DS170" s="92" t="str">
        <f>IF(Table1[Start Date]="","",IF(Table1[Start Date]&gt;42460,"",IF(AND(Table1[Leaving Date]&gt;1,Table1[Leaving Date]&lt;42370),"",1)))</f>
        <v/>
      </c>
      <c r="DT170" s="92" t="str">
        <f>IF(Table1[Start Date]="","",IF(Table1[Start Date]&gt;42551,"",IF(AND(Table1[Leaving Date]&gt;1,Table1[Leaving Date]&lt;42461),"",1)))</f>
        <v/>
      </c>
      <c r="DU170" s="92" t="str">
        <f>IF(Table1[Start Date]="","",IF(Table1[Start Date]&gt;42643,"",IF(AND(Table1[Leaving Date]&gt;1,Table1[Leaving Date]&lt;42552),"",1)))</f>
        <v/>
      </c>
      <c r="DV170" s="92" t="str">
        <f>IF(Table1[Start Date]="","",IF(Table1[Start Date]&gt;42735,"",IF(AND(Table1[Leaving Date]&gt;1,Table1[Leaving Date]&lt;42644),"",1)))</f>
        <v/>
      </c>
      <c r="DW170" s="92" t="str">
        <f>IF(Table1[Start Date]="","",IF(Table1[Start Date]&gt;42825,"",IF(AND(Table1[Leaving Date]&gt;1,Table1[Leaving Date]&lt;42736),"",1)))</f>
        <v/>
      </c>
      <c r="DX170"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170" s="44" t="e">
        <f>VLOOKUP(Table1[Referral Source],Lists!$G$2:$H$20,2,FALSE)</f>
        <v>#N/A</v>
      </c>
      <c r="DZ170" s="93" t="e">
        <f>SUM(Table1[Data Referral Quarter]+Table1[Data Referral Source])</f>
        <v>#N/A</v>
      </c>
      <c r="EA170" s="44" t="b">
        <f>IF(Table1[Referral Decision]="Accepted",100,IF(Table1[Referral Decision]="Rejected by Provider",200,IF(Table1[Referral Decision]="Rejected by Applicant",300)))</f>
        <v>0</v>
      </c>
      <c r="EB170" s="44">
        <f>SUM(Table1[Data Referral Quarter]+Table1[Data Referral Decision])</f>
        <v>0</v>
      </c>
      <c r="EC170" s="44" t="b">
        <f>IF(Table1[Start Date]&gt;42735,8000,IF(Table1[Start Date]&gt;42643,7000,IF(Table1[Start Date]&gt;42551,6000,IF(Table1[Start Date]&gt;42460,5000,IF(Table1[Start Date]&gt;42369,4000,IF(Table1[Start Date]&gt;42277,3000,IF(Table1[Start Date]&gt;42185,2000,IF(Table1[Start Date]&gt;42094,1000))))))))</f>
        <v>0</v>
      </c>
      <c r="ED170" s="44" t="str">
        <f>IF(Table1[Start Date]="","",IF(Table1[Current Local Authority]="Swindon",1,"2"))</f>
        <v/>
      </c>
      <c r="EE170" s="44" t="e">
        <f>SUM(Table1[Data Start Date]+Table1[Data Local Authority])</f>
        <v>#VALUE!</v>
      </c>
      <c r="EF170" s="44">
        <f>IF(Table1[Registered with GP]="Yes",1,0)</f>
        <v>0</v>
      </c>
      <c r="EG170" s="44">
        <f>SUM(Table1[Data Start Date]+Table1[Data GP Start])</f>
        <v>0</v>
      </c>
      <c r="EH170" s="44" t="str">
        <f>IF(Table1[EET]="NEET",1,IF(Table1[EET]="Education",2,IF(Table1[EET]="Employment",2,IF(Table1[EET]="Training",2,IF(Table1[EET]="Retired",3,"")))))</f>
        <v/>
      </c>
      <c r="EI170" s="44" t="e">
        <f>Table1[Data Start Date]+Table1[Data EET Start]</f>
        <v>#VALUE!</v>
      </c>
      <c r="EJ170" s="44" t="b">
        <f>IF(Table1[Leaving Date]&gt;42735,8000,IF(Table1[Leaving Date]&gt;42643,7000,IF(Table1[Leaving Date]&gt;42551,6000,IF(Table1[Leaving Date]&gt;42460,5000,IF(Table1[Leaving Date]&gt;42369,4000,IF(Table1[Leaving Date]&gt;42277,3000,IF(Table1[Leaving Date]&gt;42185,2000,IF(Table1[Leaving Date]&gt;42094,1000))))))))</f>
        <v>0</v>
      </c>
      <c r="EK170" s="44" t="e">
        <f>VLOOKUP(Table1[Reason for Leaving],Lists!$T$2:$U$15,2,FALSE)</f>
        <v>#N/A</v>
      </c>
      <c r="EL170" s="44" t="e">
        <f>SUM(Table1[Data Leavers Date]+Table1[Data Move On])</f>
        <v>#N/A</v>
      </c>
      <c r="EM170" s="44" t="b">
        <f>IF(Table1[Registered with GP2]="Yes",1,IF(Table1[Registered with GP2]="No",0,IF(Table1[Registered with GP]="Yes",1,IF(Table1[Registered with GP]="No",0))))</f>
        <v>0</v>
      </c>
      <c r="EN170" s="44">
        <f>SUM(Table1[Data Leavers Date]+Table1[Data GP End])</f>
        <v>0</v>
      </c>
      <c r="EO170" s="44" t="str">
        <f>IF(Table1[EET2]="NEET",1,IF(Table1[EET2]="Employment",2,IF(Table1[EET2]="Education",2,IF(Table1[EET2]="Training",2,IF(Table1[EET2]="Retired",3,IF(Table1[EET]="NEET",1,IF(Table1[EET]="Employment",2,IF(Table1[EET]="Education",2,IF(Table1[EET]="Training",2,IF(Table1[EET]="Retired",3,""))))))))))</f>
        <v/>
      </c>
      <c r="EP170" s="44" t="e">
        <f>+Table1[[#This Row],[Data Leavers Date]]+Table1[[#This Row],[Data EET End]]</f>
        <v>#VALUE!</v>
      </c>
      <c r="EQ170" s="44">
        <f>IF(Table1[Exit Form Received]="Yes",1,0)</f>
        <v>0</v>
      </c>
      <c r="ER170" s="44">
        <f>+Table1[[#This Row],[Data Leavers Date]]+Table1[[#This Row],[Data Exit Forms]]</f>
        <v>0</v>
      </c>
      <c r="ES170" s="44" t="str">
        <f>IF(Table1[Data Leavers Date]=1000,SUM(Table1[Leaving Date]-Table1[Start Date]),"")</f>
        <v/>
      </c>
      <c r="ET170" s="44" t="str">
        <f>IF(Table1[Data Leavers Date]=2000,SUM(Table1[Leaving Date]-Table1[Start Date]),"")</f>
        <v/>
      </c>
      <c r="EU170" s="44" t="str">
        <f>IF(Table1[Data Leavers Date]=3000,SUM(Table1[Leaving Date]-Table1[Start Date]),"")</f>
        <v/>
      </c>
      <c r="EV170" s="44" t="str">
        <f>IF(Table1[Data Leavers Date]=4000,SUM(Table1[Leaving Date]-Table1[Start Date]),"")</f>
        <v/>
      </c>
      <c r="EW170" s="44" t="str">
        <f>IF(Table1[Data Leavers Date]=5000,SUM(Table1[Leaving Date]-Table1[Start Date]),"")</f>
        <v/>
      </c>
      <c r="EX170" s="44" t="str">
        <f>IF(Table1[Data Leavers Date]=6000,SUM(Table1[Leaving Date]-Table1[Start Date]),"")</f>
        <v/>
      </c>
      <c r="EY170" s="44" t="str">
        <f>IF(Table1[Data Leavers Date]=7000,SUM(Table1[Leaving Date]-Table1[Start Date]),"")</f>
        <v/>
      </c>
      <c r="EZ170" s="44" t="str">
        <f>IF(Table1[Data Leavers Date]=8000,SUM(Table1[Leaving Date]-Table1[Start Date]),"")</f>
        <v/>
      </c>
      <c r="FA170" s="44" t="str">
        <f>IF(Table1[Date of Initial Assessment]="","",IF(AND(Table1[Start Date]&gt;42094,Table1[Start Date]&lt;42461),Table1[Motivation and Taking Responsibility],""))</f>
        <v/>
      </c>
      <c r="FB170" s="44" t="str">
        <f>IF(Table1[Date of Initial Assessment]="","",IF(AND(Table1[Start Date]&gt;42094,Table1[Start Date]&lt;42461),Table1[Self-Care and Living Skills],""))</f>
        <v/>
      </c>
      <c r="FC170" s="44" t="str">
        <f>IF(Table1[Date of Initial Assessment]="","",IF(AND(Table1[Start Date]&gt;42094,Table1[Start Date]&lt;42461),Table1[Managing Money and Personal Administration],""))</f>
        <v/>
      </c>
      <c r="FD170" s="44" t="str">
        <f>IF(Table1[Date of Initial Assessment]="","",IF(AND(Table1[Start Date]&gt;42094,Table1[Start Date]&lt;42461),Table1[Social Networks and Relationships],""))</f>
        <v/>
      </c>
      <c r="FE170" s="44" t="str">
        <f>IF(Table1[Date of Initial Assessment]="","",IF(AND(Table1[Start Date]&gt;42094,Table1[Start Date]&lt;42461),Table1[Drug and Alcohol Misuse],""))</f>
        <v/>
      </c>
      <c r="FF170" s="44" t="str">
        <f>IF(Table1[Date of Initial Assessment]="","",IF(AND(Table1[Start Date]&gt;42094,Table1[Start Date]&lt;42461),Table1[Physical Health],""))</f>
        <v/>
      </c>
      <c r="FG170" s="44" t="str">
        <f>IF(Table1[Date of Initial Assessment]="","",IF(AND(Table1[Start Date]&gt;42094,Table1[Start Date]&lt;42461),Table1[Emotional and Mental Health],""))</f>
        <v/>
      </c>
      <c r="FH170" s="44" t="str">
        <f>IF(Table1[Date of Initial Assessment]="","",IF(AND(Table1[Start Date]&gt;42094,Table1[Start Date]&lt;42461),Table1[Meaningful Use of Time],""))</f>
        <v/>
      </c>
      <c r="FI170" s="44" t="str">
        <f>IF(Table1[Date of Initial Assessment]="","",IF(AND(Table1[Start Date]&gt;42094,Table1[Start Date]&lt;42461),Table1[Managing Tenancy and Accommodation],""))</f>
        <v/>
      </c>
      <c r="FJ170" s="44" t="str">
        <f>IF(Table1[Date of Initial Assessment]="","",IF(AND(Table1[Start Date]&gt;42094,Table1[Start Date]&lt;42461),Table1[Offending],""))</f>
        <v/>
      </c>
      <c r="FK170" s="44" t="str">
        <f>IF(Table1[Leaving Date]="","",IF(Table1[Date of Initial Assessment]="","",IF(AND(Table1[Leaving Date]&gt;42094,Table1[Leaving Date]&lt;42461),IF(Table1[Date of Last Assessment]="",Table1[Motivation and Taking Responsibility],Table1[Motivation and Taking Responsibility2]),"")))</f>
        <v/>
      </c>
      <c r="FL170" s="44" t="str">
        <f>IF(Table1[Leaving Date]="","",IF(Table1[Date of Initial Assessment]="","",IF(AND(Table1[Leaving Date]&gt;42094,Table1[Leaving Date]&lt;42461),IF(Table1[Date of Last Assessment]="",Table1[Self-Care and Living Skills],Table1[Self-Care and Living Skills2]),"")))</f>
        <v/>
      </c>
      <c r="FM170" s="44" t="str">
        <f>IF(Table1[Leaving Date]="","",IF(Table1[Date of Initial Assessment]="","",IF(AND(Table1[Leaving Date]&gt;42094,Table1[Leaving Date]&lt;42461),IF(Table1[Date of Last Assessment]="",Table1[Managing Money and Personal Administration],Table1[Managing Money and Personal Administration2]),"")))</f>
        <v/>
      </c>
      <c r="FN170" s="44" t="str">
        <f>IF(Table1[Leaving Date]="","",IF(Table1[Date of Initial Assessment]="","",IF(AND(Table1[Leaving Date]&gt;42094,Table1[Leaving Date]&lt;42461),IF(Table1[Date of Last Assessment]="",Table1[Social Networks and Relationships],Table1[Social Networks and Relationships2]),"")))</f>
        <v/>
      </c>
      <c r="FO170" s="44" t="str">
        <f>IF(Table1[Leaving Date]="","",IF(Table1[Date of Initial Assessment]="","",IF(AND(Table1[Leaving Date]&gt;42094,Table1[Leaving Date]&lt;42461),IF(Table1[Date of Last Assessment]="",Table1[Drug and Alcohol Misuse],Table1[Drug and Alcohol Misuse2]),"")))</f>
        <v/>
      </c>
      <c r="FP170" s="44" t="str">
        <f>IF(Table1[Leaving Date]="","",IF(Table1[Date of Initial Assessment]="","",IF(AND(Table1[Leaving Date]&gt;42094,Table1[Leaving Date]&lt;42461),IF(Table1[Date of Last Assessment]="",Table1[Physical Health],Table1[Physical Health2]),"")))</f>
        <v/>
      </c>
      <c r="FQ170" s="44" t="str">
        <f>IF(Table1[Leaving Date]="","",IF(Table1[Date of Initial Assessment]="","",IF(AND(Table1[Leaving Date]&gt;42094,Table1[Leaving Date]&lt;42461),IF(Table1[Date of Last Assessment]="",Table1[Emotional and Mental Health],Table1[Emotional and Mental Health2]),"")))</f>
        <v/>
      </c>
      <c r="FR170" s="44" t="str">
        <f>IF(Table1[Leaving Date]="","",IF(Table1[Date of Initial Assessment]="","",IF(AND(Table1[Leaving Date]&gt;42094,Table1[Leaving Date]&lt;42461),IF(Table1[Date of Last Assessment]="",Table1[Meaningful Use of Time],Table1[Meaningful Use of Time2]),"")))</f>
        <v/>
      </c>
      <c r="FS170" s="44" t="str">
        <f>IF(Table1[Leaving Date]="","",IF(Table1[Date of Initial Assessment]="","",IF(AND(Table1[Leaving Date]&gt;42094,Table1[Leaving Date]&lt;42461),IF(Table1[Date of Last Assessment]="",Table1[Managing Tenancy and Accommodation],Table1[Managing Tenancy and Accommodation2]),"")))</f>
        <v/>
      </c>
      <c r="FT170" s="44" t="str">
        <f>IF(Table1[Leaving Date]="","",IF(Table1[Date of Initial Assessment]="","",IF(AND(Table1[Leaving Date]&gt;42094,Table1[Leaving Date]&lt;42461),IF(Table1[Date of Last Assessment]="",Table1[Offending],Table1[Offending2]),"")))</f>
        <v/>
      </c>
      <c r="FU170" s="44" t="str">
        <f>IF(Table1[Date of Initial Assessment]="","",IF(AND(Table1[Start Date]&gt;42460,Table1[Start Date]&lt;42826),Table1[Motivation and Taking Responsibility],""))</f>
        <v/>
      </c>
      <c r="FV170" s="44" t="str">
        <f>IF(Table1[Date of Initial Assessment]="","",IF(AND(Table1[Start Date]&gt;42460,Table1[Start Date]&lt;42826),Table1[Self-Care and Living Skills],""))</f>
        <v/>
      </c>
      <c r="FW170" s="44" t="str">
        <f>IF(Table1[Date of Initial Assessment]="","",IF(AND(Table1[Start Date]&gt;42460,Table1[Start Date]&lt;42826),Table1[Managing Money and Personal Administration],""))</f>
        <v/>
      </c>
      <c r="FX170" s="44" t="str">
        <f>IF(Table1[Date of Initial Assessment]="","",IF(AND(Table1[Start Date]&gt;42460,Table1[Start Date]&lt;42826),Table1[Social Networks and Relationships],""))</f>
        <v/>
      </c>
      <c r="FY170" s="44" t="str">
        <f>IF(Table1[Date of Initial Assessment]="","",IF(AND(Table1[Start Date]&gt;42460,Table1[Start Date]&lt;42826),Table1[Drug and Alcohol Misuse],""))</f>
        <v/>
      </c>
      <c r="FZ170" s="44" t="str">
        <f>IF(Table1[Date of Initial Assessment]="","",IF(AND(Table1[Start Date]&gt;42460,Table1[Start Date]&lt;42826),Table1[Physical Health],""))</f>
        <v/>
      </c>
      <c r="GA170" s="44" t="str">
        <f>IF(Table1[Date of Initial Assessment]="","",IF(AND(Table1[Start Date]&gt;42460,Table1[Start Date]&lt;42826),Table1[Emotional and Mental Health],""))</f>
        <v/>
      </c>
      <c r="GB170" s="44" t="str">
        <f>IF(Table1[Date of Initial Assessment]="","",IF(AND(Table1[Start Date]&gt;42460,Table1[Start Date]&lt;42826),Table1[Meaningful Use of Time],""))</f>
        <v/>
      </c>
      <c r="GC170" s="44" t="str">
        <f>IF(Table1[Date of Initial Assessment]="","",IF(AND(Table1[Start Date]&gt;42460,Table1[Start Date]&lt;42826),Table1[Managing Tenancy and Accommodation],""))</f>
        <v/>
      </c>
      <c r="GD170" s="44" t="str">
        <f>IF(Table1[Date of Initial Assessment]="","",IF(AND(Table1[Start Date]&gt;42460,Table1[Start Date]&lt;42826),Table1[Offending],""))</f>
        <v/>
      </c>
      <c r="GE170" s="44" t="str">
        <f>IF(Table1[Leaving Date]="","",IF(AND(Table1[Leaving Date]&gt;42460,Table1[Leaving Date]&lt;42826),IF(Table1[Date of Last Assessment]="",Table1[Motivation and Taking Responsibility],Table1[Motivation and Taking Responsibility2]),""))</f>
        <v/>
      </c>
      <c r="GF170" s="44" t="str">
        <f>IF(Table1[Leaving Date]="","",IF(AND(Table1[Leaving Date]&gt;42460,Table1[Leaving Date]&lt;42826),IF(Table1[Date of Last Assessment]="",Table1[Self-Care and Living Skills],Table1[Self-Care and Living Skills2]),""))</f>
        <v/>
      </c>
      <c r="GG170" s="44" t="str">
        <f>IF(Table1[Leaving Date]="","",IF(AND(Table1[Leaving Date]&gt;42460,Table1[Leaving Date]&lt;42826),IF(Table1[Date of Last Assessment]="",Table1[Managing Money and Personal Administration],Table1[Managing Money and Personal Administration2]),""))</f>
        <v/>
      </c>
      <c r="GH170" s="44" t="str">
        <f>IF(Table1[Leaving Date]="","",IF(AND(Table1[Leaving Date]&gt;42460,Table1[Leaving Date]&lt;42826),IF(Table1[Date of Last Assessment]="",Table1[Social Networks and Relationships],Table1[Social Networks and Relationships2]),""))</f>
        <v/>
      </c>
      <c r="GI170" s="44" t="str">
        <f>IF(Table1[Leaving Date]="","",IF(AND(Table1[Leaving Date]&gt;42460,Table1[Leaving Date]&lt;42826),IF(Table1[Date of Last Assessment]="",Table1[Drug and Alcohol Misuse],Table1[Drug and Alcohol Misuse2]),""))</f>
        <v/>
      </c>
      <c r="GJ170" s="44" t="str">
        <f>IF(Table1[Leaving Date]="","",IF(AND(Table1[Leaving Date]&gt;42460,Table1[Leaving Date]&lt;42826),IF(Table1[Date of Last Assessment]="",Table1[Physical Health],Table1[Physical Health2]),""))</f>
        <v/>
      </c>
      <c r="GK170" s="44" t="str">
        <f>IF(Table1[Leaving Date]="","",IF(AND(Table1[Leaving Date]&gt;42460,Table1[Leaving Date]&lt;42826),IF(Table1[Date of Last Assessment]="",Table1[Emotional and Mental Health],Table1[Emotional and Mental Health2]),""))</f>
        <v/>
      </c>
      <c r="GL170" s="44" t="str">
        <f>IF(Table1[Leaving Date]="","",IF(AND(Table1[Leaving Date]&gt;42460,Table1[Leaving Date]&lt;42826),IF(Table1[Date of Last Assessment]="",Table1[Meaningful Use of Time],Table1[Meaningful Use of Time2]),""))</f>
        <v/>
      </c>
      <c r="GM170" s="44" t="str">
        <f>IF(Table1[Leaving Date]="","",IF(AND(Table1[Leaving Date]&gt;42460,Table1[Leaving Date]&lt;42826),IF(Table1[Date of Last Assessment]="",Table1[Managing Tenancy and Accommodation],Table1[Managing Tenancy and Accommodation2]),""))</f>
        <v/>
      </c>
      <c r="GN170" s="44" t="str">
        <f>IF(Table1[Leaving Date]="","",IF(AND(Table1[Leaving Date]&gt;42460,Table1[Leaving Date]&lt;42826),IF(Table1[Date of Last Assessment]="",Table1[Offending],Table1[Offending2]),""))</f>
        <v/>
      </c>
    </row>
    <row r="171" spans="2:196" ht="20.100000000000001" customHeight="1" x14ac:dyDescent="0.2">
      <c r="B171" s="86">
        <f>+'Service Data'!$C$5:$C$5</f>
        <v>0</v>
      </c>
      <c r="C171" s="86"/>
      <c r="D171" s="86"/>
      <c r="E171" s="86"/>
      <c r="F171" s="86"/>
      <c r="G171" s="86"/>
      <c r="H171" s="6"/>
      <c r="I171" s="99" t="str">
        <f ca="1">IF(Table1[[#This Row],[Date of Birth]]="","",SUM(TODAY()-Table1[[#This Row],[Date of Birth]])/365)</f>
        <v/>
      </c>
      <c r="L171" s="86"/>
      <c r="M171" s="77"/>
      <c r="N171" s="86"/>
      <c r="O171" s="86"/>
      <c r="P171" s="91"/>
      <c r="Q171" s="86"/>
      <c r="R171" s="77"/>
      <c r="S171" s="77"/>
      <c r="T171" s="68"/>
      <c r="U171" s="68"/>
      <c r="V171" s="67"/>
      <c r="W171" s="67"/>
      <c r="X171" s="67"/>
      <c r="Y171" s="67"/>
      <c r="Z171" s="67"/>
      <c r="AA171" s="67"/>
      <c r="AB171" s="67"/>
      <c r="AC171" s="67"/>
      <c r="AD171" s="67"/>
      <c r="AE171" s="67"/>
      <c r="AF171" s="67"/>
      <c r="AG171" s="67"/>
      <c r="AH171" s="67"/>
      <c r="AI171" s="67"/>
      <c r="AJ171" s="67"/>
      <c r="AK171" s="67"/>
      <c r="AL171" s="67"/>
      <c r="AM171" s="67"/>
      <c r="AN171" s="77"/>
      <c r="AO171" s="76"/>
      <c r="AP171" s="77"/>
      <c r="AQ171" s="76"/>
      <c r="AR171" s="76"/>
      <c r="AS171" s="76"/>
      <c r="AT171" s="76"/>
      <c r="AU171" s="76"/>
      <c r="AV171" s="77"/>
      <c r="AW171" s="76"/>
      <c r="AX171" s="77"/>
      <c r="AY171" s="76"/>
      <c r="AZ171" s="76"/>
      <c r="BA171" s="76"/>
      <c r="BB171" s="76"/>
      <c r="BC171" s="76"/>
      <c r="BD171" s="77"/>
      <c r="BE171" s="76"/>
      <c r="BF171" s="77"/>
      <c r="BG171" s="76"/>
      <c r="BH171" s="76"/>
      <c r="BI171" s="76"/>
      <c r="BJ171" s="76"/>
      <c r="BK171" s="76"/>
      <c r="BL171" s="77"/>
      <c r="BM171" s="76"/>
      <c r="BN171" s="77"/>
      <c r="BO171" s="76"/>
      <c r="BP171" s="76"/>
      <c r="BQ171" s="76"/>
      <c r="BR171" s="76"/>
      <c r="BS171" s="76"/>
      <c r="BT171" s="77"/>
      <c r="BU171" s="76"/>
      <c r="BV171" s="77"/>
      <c r="BW171" s="76"/>
      <c r="BX171" s="76"/>
      <c r="BY171" s="76"/>
      <c r="BZ171" s="76"/>
      <c r="CA171" s="76"/>
      <c r="CB171" s="77"/>
      <c r="CC171" s="76"/>
      <c r="CD171" s="77"/>
      <c r="CE171" s="76"/>
      <c r="CF171" s="76"/>
      <c r="CG171" s="76"/>
      <c r="CH171" s="76"/>
      <c r="CI171" s="76"/>
      <c r="CJ171" s="77"/>
      <c r="CK171" s="76"/>
      <c r="CL171" s="77"/>
      <c r="CM171" s="76"/>
      <c r="CN171" s="76"/>
      <c r="CO171" s="76"/>
      <c r="CP171" s="76"/>
      <c r="CQ171" s="76"/>
      <c r="CR171" s="78" t="str">
        <f t="shared" si="47"/>
        <v/>
      </c>
      <c r="CS171" s="79" t="str">
        <f t="shared" si="48"/>
        <v/>
      </c>
      <c r="CT171" s="79" t="str">
        <f t="shared" si="49"/>
        <v/>
      </c>
      <c r="CU171" s="79" t="str">
        <f t="shared" si="50"/>
        <v/>
      </c>
      <c r="CV171" s="79" t="str">
        <f t="shared" si="51"/>
        <v/>
      </c>
      <c r="CW171" s="79" t="str">
        <f t="shared" si="52"/>
        <v/>
      </c>
      <c r="CX171" s="79" t="str">
        <f t="shared" si="53"/>
        <v/>
      </c>
      <c r="CY171" s="79" t="str">
        <f t="shared" si="54"/>
        <v/>
      </c>
      <c r="CZ171" s="79" t="str">
        <f t="shared" si="55"/>
        <v/>
      </c>
      <c r="DA171" s="79" t="str">
        <f t="shared" si="56"/>
        <v/>
      </c>
      <c r="DB171" s="79" t="str">
        <f t="shared" si="57"/>
        <v/>
      </c>
      <c r="DC171" s="79" t="str">
        <f t="shared" si="58"/>
        <v/>
      </c>
      <c r="DD171" s="79" t="str">
        <f t="shared" si="59"/>
        <v/>
      </c>
      <c r="DE171" s="79" t="str">
        <f t="shared" si="60"/>
        <v/>
      </c>
      <c r="DF171" s="79" t="str">
        <f t="shared" si="61"/>
        <v/>
      </c>
      <c r="DG171" s="79" t="str">
        <f t="shared" si="62"/>
        <v/>
      </c>
      <c r="DH171" s="76"/>
      <c r="DI171" s="78"/>
      <c r="DJ171" s="76"/>
      <c r="DK171" s="77"/>
      <c r="DL171" s="77"/>
      <c r="DM171" s="77"/>
      <c r="DN171" s="80"/>
      <c r="DO171" s="80"/>
      <c r="DP171" s="92" t="str">
        <f>IF(Table1[Start Date]="","",IF(Table1[Start Date]&gt;42185,"",IF(AND(Table1[Leaving Date]&gt;1,Table1[Leaving Date]&lt;42095),"",1)))</f>
        <v/>
      </c>
      <c r="DQ171" s="92" t="str">
        <f>IF(Table1[Start Date]="","",IF(Table1[Start Date]&gt;42277,"",IF(AND(Table1[Leaving Date]&gt;1,Table1[Leaving Date]&lt;42186),"",1)))</f>
        <v/>
      </c>
      <c r="DR171" s="92" t="str">
        <f>IF(Table1[Start Date]="","",IF(Table1[Start Date]&gt;42369,"",IF(AND(Table1[Leaving Date]&gt;1,Table1[Leaving Date]&lt;42278),"",1)))</f>
        <v/>
      </c>
      <c r="DS171" s="92" t="str">
        <f>IF(Table1[Start Date]="","",IF(Table1[Start Date]&gt;42460,"",IF(AND(Table1[Leaving Date]&gt;1,Table1[Leaving Date]&lt;42370),"",1)))</f>
        <v/>
      </c>
      <c r="DT171" s="92" t="str">
        <f>IF(Table1[Start Date]="","",IF(Table1[Start Date]&gt;42551,"",IF(AND(Table1[Leaving Date]&gt;1,Table1[Leaving Date]&lt;42461),"",1)))</f>
        <v/>
      </c>
      <c r="DU171" s="92" t="str">
        <f>IF(Table1[Start Date]="","",IF(Table1[Start Date]&gt;42643,"",IF(AND(Table1[Leaving Date]&gt;1,Table1[Leaving Date]&lt;42552),"",1)))</f>
        <v/>
      </c>
      <c r="DV171" s="92" t="str">
        <f>IF(Table1[Start Date]="","",IF(Table1[Start Date]&gt;42735,"",IF(AND(Table1[Leaving Date]&gt;1,Table1[Leaving Date]&lt;42644),"",1)))</f>
        <v/>
      </c>
      <c r="DW171" s="92" t="str">
        <f>IF(Table1[Start Date]="","",IF(Table1[Start Date]&gt;42825,"",IF(AND(Table1[Leaving Date]&gt;1,Table1[Leaving Date]&lt;42736),"",1)))</f>
        <v/>
      </c>
      <c r="DX171"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171" s="44" t="e">
        <f>VLOOKUP(Table1[Referral Source],Lists!$G$2:$H$20,2,FALSE)</f>
        <v>#N/A</v>
      </c>
      <c r="DZ171" s="93" t="e">
        <f>SUM(Table1[Data Referral Quarter]+Table1[Data Referral Source])</f>
        <v>#N/A</v>
      </c>
      <c r="EA171" s="44" t="b">
        <f>IF(Table1[Referral Decision]="Accepted",100,IF(Table1[Referral Decision]="Rejected by Provider",200,IF(Table1[Referral Decision]="Rejected by Applicant",300)))</f>
        <v>0</v>
      </c>
      <c r="EB171" s="44">
        <f>SUM(Table1[Data Referral Quarter]+Table1[Data Referral Decision])</f>
        <v>0</v>
      </c>
      <c r="EC171" s="44" t="b">
        <f>IF(Table1[Start Date]&gt;42735,8000,IF(Table1[Start Date]&gt;42643,7000,IF(Table1[Start Date]&gt;42551,6000,IF(Table1[Start Date]&gt;42460,5000,IF(Table1[Start Date]&gt;42369,4000,IF(Table1[Start Date]&gt;42277,3000,IF(Table1[Start Date]&gt;42185,2000,IF(Table1[Start Date]&gt;42094,1000))))))))</f>
        <v>0</v>
      </c>
      <c r="ED171" s="44" t="str">
        <f>IF(Table1[Start Date]="","",IF(Table1[Current Local Authority]="Swindon",1,"2"))</f>
        <v/>
      </c>
      <c r="EE171" s="44" t="e">
        <f>SUM(Table1[Data Start Date]+Table1[Data Local Authority])</f>
        <v>#VALUE!</v>
      </c>
      <c r="EF171" s="44">
        <f>IF(Table1[Registered with GP]="Yes",1,0)</f>
        <v>0</v>
      </c>
      <c r="EG171" s="44">
        <f>SUM(Table1[Data Start Date]+Table1[Data GP Start])</f>
        <v>0</v>
      </c>
      <c r="EH171" s="44" t="str">
        <f>IF(Table1[EET]="NEET",1,IF(Table1[EET]="Education",2,IF(Table1[EET]="Employment",2,IF(Table1[EET]="Training",2,IF(Table1[EET]="Retired",3,"")))))</f>
        <v/>
      </c>
      <c r="EI171" s="44" t="e">
        <f>Table1[Data Start Date]+Table1[Data EET Start]</f>
        <v>#VALUE!</v>
      </c>
      <c r="EJ171" s="44" t="b">
        <f>IF(Table1[Leaving Date]&gt;42735,8000,IF(Table1[Leaving Date]&gt;42643,7000,IF(Table1[Leaving Date]&gt;42551,6000,IF(Table1[Leaving Date]&gt;42460,5000,IF(Table1[Leaving Date]&gt;42369,4000,IF(Table1[Leaving Date]&gt;42277,3000,IF(Table1[Leaving Date]&gt;42185,2000,IF(Table1[Leaving Date]&gt;42094,1000))))))))</f>
        <v>0</v>
      </c>
      <c r="EK171" s="44" t="e">
        <f>VLOOKUP(Table1[Reason for Leaving],Lists!$T$2:$U$15,2,FALSE)</f>
        <v>#N/A</v>
      </c>
      <c r="EL171" s="44" t="e">
        <f>SUM(Table1[Data Leavers Date]+Table1[Data Move On])</f>
        <v>#N/A</v>
      </c>
      <c r="EM171" s="44" t="b">
        <f>IF(Table1[Registered with GP2]="Yes",1,IF(Table1[Registered with GP2]="No",0,IF(Table1[Registered with GP]="Yes",1,IF(Table1[Registered with GP]="No",0))))</f>
        <v>0</v>
      </c>
      <c r="EN171" s="44">
        <f>SUM(Table1[Data Leavers Date]+Table1[Data GP End])</f>
        <v>0</v>
      </c>
      <c r="EO171" s="44" t="str">
        <f>IF(Table1[EET2]="NEET",1,IF(Table1[EET2]="Employment",2,IF(Table1[EET2]="Education",2,IF(Table1[EET2]="Training",2,IF(Table1[EET2]="Retired",3,IF(Table1[EET]="NEET",1,IF(Table1[EET]="Employment",2,IF(Table1[EET]="Education",2,IF(Table1[EET]="Training",2,IF(Table1[EET]="Retired",3,""))))))))))</f>
        <v/>
      </c>
      <c r="EP171" s="44" t="e">
        <f>+Table1[[#This Row],[Data Leavers Date]]+Table1[[#This Row],[Data EET End]]</f>
        <v>#VALUE!</v>
      </c>
      <c r="EQ171" s="44">
        <f>IF(Table1[Exit Form Received]="Yes",1,0)</f>
        <v>0</v>
      </c>
      <c r="ER171" s="44">
        <f>+Table1[[#This Row],[Data Leavers Date]]+Table1[[#This Row],[Data Exit Forms]]</f>
        <v>0</v>
      </c>
      <c r="ES171" s="44" t="str">
        <f>IF(Table1[Data Leavers Date]=1000,SUM(Table1[Leaving Date]-Table1[Start Date]),"")</f>
        <v/>
      </c>
      <c r="ET171" s="44" t="str">
        <f>IF(Table1[Data Leavers Date]=2000,SUM(Table1[Leaving Date]-Table1[Start Date]),"")</f>
        <v/>
      </c>
      <c r="EU171" s="44" t="str">
        <f>IF(Table1[Data Leavers Date]=3000,SUM(Table1[Leaving Date]-Table1[Start Date]),"")</f>
        <v/>
      </c>
      <c r="EV171" s="44" t="str">
        <f>IF(Table1[Data Leavers Date]=4000,SUM(Table1[Leaving Date]-Table1[Start Date]),"")</f>
        <v/>
      </c>
      <c r="EW171" s="44" t="str">
        <f>IF(Table1[Data Leavers Date]=5000,SUM(Table1[Leaving Date]-Table1[Start Date]),"")</f>
        <v/>
      </c>
      <c r="EX171" s="44" t="str">
        <f>IF(Table1[Data Leavers Date]=6000,SUM(Table1[Leaving Date]-Table1[Start Date]),"")</f>
        <v/>
      </c>
      <c r="EY171" s="44" t="str">
        <f>IF(Table1[Data Leavers Date]=7000,SUM(Table1[Leaving Date]-Table1[Start Date]),"")</f>
        <v/>
      </c>
      <c r="EZ171" s="44" t="str">
        <f>IF(Table1[Data Leavers Date]=8000,SUM(Table1[Leaving Date]-Table1[Start Date]),"")</f>
        <v/>
      </c>
      <c r="FA171" s="44" t="str">
        <f>IF(Table1[Date of Initial Assessment]="","",IF(AND(Table1[Start Date]&gt;42094,Table1[Start Date]&lt;42461),Table1[Motivation and Taking Responsibility],""))</f>
        <v/>
      </c>
      <c r="FB171" s="44" t="str">
        <f>IF(Table1[Date of Initial Assessment]="","",IF(AND(Table1[Start Date]&gt;42094,Table1[Start Date]&lt;42461),Table1[Self-Care and Living Skills],""))</f>
        <v/>
      </c>
      <c r="FC171" s="44" t="str">
        <f>IF(Table1[Date of Initial Assessment]="","",IF(AND(Table1[Start Date]&gt;42094,Table1[Start Date]&lt;42461),Table1[Managing Money and Personal Administration],""))</f>
        <v/>
      </c>
      <c r="FD171" s="44" t="str">
        <f>IF(Table1[Date of Initial Assessment]="","",IF(AND(Table1[Start Date]&gt;42094,Table1[Start Date]&lt;42461),Table1[Social Networks and Relationships],""))</f>
        <v/>
      </c>
      <c r="FE171" s="44" t="str">
        <f>IF(Table1[Date of Initial Assessment]="","",IF(AND(Table1[Start Date]&gt;42094,Table1[Start Date]&lt;42461),Table1[Drug and Alcohol Misuse],""))</f>
        <v/>
      </c>
      <c r="FF171" s="44" t="str">
        <f>IF(Table1[Date of Initial Assessment]="","",IF(AND(Table1[Start Date]&gt;42094,Table1[Start Date]&lt;42461),Table1[Physical Health],""))</f>
        <v/>
      </c>
      <c r="FG171" s="44" t="str">
        <f>IF(Table1[Date of Initial Assessment]="","",IF(AND(Table1[Start Date]&gt;42094,Table1[Start Date]&lt;42461),Table1[Emotional and Mental Health],""))</f>
        <v/>
      </c>
      <c r="FH171" s="44" t="str">
        <f>IF(Table1[Date of Initial Assessment]="","",IF(AND(Table1[Start Date]&gt;42094,Table1[Start Date]&lt;42461),Table1[Meaningful Use of Time],""))</f>
        <v/>
      </c>
      <c r="FI171" s="44" t="str">
        <f>IF(Table1[Date of Initial Assessment]="","",IF(AND(Table1[Start Date]&gt;42094,Table1[Start Date]&lt;42461),Table1[Managing Tenancy and Accommodation],""))</f>
        <v/>
      </c>
      <c r="FJ171" s="44" t="str">
        <f>IF(Table1[Date of Initial Assessment]="","",IF(AND(Table1[Start Date]&gt;42094,Table1[Start Date]&lt;42461),Table1[Offending],""))</f>
        <v/>
      </c>
      <c r="FK171" s="44" t="str">
        <f>IF(Table1[Leaving Date]="","",IF(Table1[Date of Initial Assessment]="","",IF(AND(Table1[Leaving Date]&gt;42094,Table1[Leaving Date]&lt;42461),IF(Table1[Date of Last Assessment]="",Table1[Motivation and Taking Responsibility],Table1[Motivation and Taking Responsibility2]),"")))</f>
        <v/>
      </c>
      <c r="FL171" s="44" t="str">
        <f>IF(Table1[Leaving Date]="","",IF(Table1[Date of Initial Assessment]="","",IF(AND(Table1[Leaving Date]&gt;42094,Table1[Leaving Date]&lt;42461),IF(Table1[Date of Last Assessment]="",Table1[Self-Care and Living Skills],Table1[Self-Care and Living Skills2]),"")))</f>
        <v/>
      </c>
      <c r="FM171" s="44" t="str">
        <f>IF(Table1[Leaving Date]="","",IF(Table1[Date of Initial Assessment]="","",IF(AND(Table1[Leaving Date]&gt;42094,Table1[Leaving Date]&lt;42461),IF(Table1[Date of Last Assessment]="",Table1[Managing Money and Personal Administration],Table1[Managing Money and Personal Administration2]),"")))</f>
        <v/>
      </c>
      <c r="FN171" s="44" t="str">
        <f>IF(Table1[Leaving Date]="","",IF(Table1[Date of Initial Assessment]="","",IF(AND(Table1[Leaving Date]&gt;42094,Table1[Leaving Date]&lt;42461),IF(Table1[Date of Last Assessment]="",Table1[Social Networks and Relationships],Table1[Social Networks and Relationships2]),"")))</f>
        <v/>
      </c>
      <c r="FO171" s="44" t="str">
        <f>IF(Table1[Leaving Date]="","",IF(Table1[Date of Initial Assessment]="","",IF(AND(Table1[Leaving Date]&gt;42094,Table1[Leaving Date]&lt;42461),IF(Table1[Date of Last Assessment]="",Table1[Drug and Alcohol Misuse],Table1[Drug and Alcohol Misuse2]),"")))</f>
        <v/>
      </c>
      <c r="FP171" s="44" t="str">
        <f>IF(Table1[Leaving Date]="","",IF(Table1[Date of Initial Assessment]="","",IF(AND(Table1[Leaving Date]&gt;42094,Table1[Leaving Date]&lt;42461),IF(Table1[Date of Last Assessment]="",Table1[Physical Health],Table1[Physical Health2]),"")))</f>
        <v/>
      </c>
      <c r="FQ171" s="44" t="str">
        <f>IF(Table1[Leaving Date]="","",IF(Table1[Date of Initial Assessment]="","",IF(AND(Table1[Leaving Date]&gt;42094,Table1[Leaving Date]&lt;42461),IF(Table1[Date of Last Assessment]="",Table1[Emotional and Mental Health],Table1[Emotional and Mental Health2]),"")))</f>
        <v/>
      </c>
      <c r="FR171" s="44" t="str">
        <f>IF(Table1[Leaving Date]="","",IF(Table1[Date of Initial Assessment]="","",IF(AND(Table1[Leaving Date]&gt;42094,Table1[Leaving Date]&lt;42461),IF(Table1[Date of Last Assessment]="",Table1[Meaningful Use of Time],Table1[Meaningful Use of Time2]),"")))</f>
        <v/>
      </c>
      <c r="FS171" s="44" t="str">
        <f>IF(Table1[Leaving Date]="","",IF(Table1[Date of Initial Assessment]="","",IF(AND(Table1[Leaving Date]&gt;42094,Table1[Leaving Date]&lt;42461),IF(Table1[Date of Last Assessment]="",Table1[Managing Tenancy and Accommodation],Table1[Managing Tenancy and Accommodation2]),"")))</f>
        <v/>
      </c>
      <c r="FT171" s="44" t="str">
        <f>IF(Table1[Leaving Date]="","",IF(Table1[Date of Initial Assessment]="","",IF(AND(Table1[Leaving Date]&gt;42094,Table1[Leaving Date]&lt;42461),IF(Table1[Date of Last Assessment]="",Table1[Offending],Table1[Offending2]),"")))</f>
        <v/>
      </c>
      <c r="FU171" s="44" t="str">
        <f>IF(Table1[Date of Initial Assessment]="","",IF(AND(Table1[Start Date]&gt;42460,Table1[Start Date]&lt;42826),Table1[Motivation and Taking Responsibility],""))</f>
        <v/>
      </c>
      <c r="FV171" s="44" t="str">
        <f>IF(Table1[Date of Initial Assessment]="","",IF(AND(Table1[Start Date]&gt;42460,Table1[Start Date]&lt;42826),Table1[Self-Care and Living Skills],""))</f>
        <v/>
      </c>
      <c r="FW171" s="44" t="str">
        <f>IF(Table1[Date of Initial Assessment]="","",IF(AND(Table1[Start Date]&gt;42460,Table1[Start Date]&lt;42826),Table1[Managing Money and Personal Administration],""))</f>
        <v/>
      </c>
      <c r="FX171" s="44" t="str">
        <f>IF(Table1[Date of Initial Assessment]="","",IF(AND(Table1[Start Date]&gt;42460,Table1[Start Date]&lt;42826),Table1[Social Networks and Relationships],""))</f>
        <v/>
      </c>
      <c r="FY171" s="44" t="str">
        <f>IF(Table1[Date of Initial Assessment]="","",IF(AND(Table1[Start Date]&gt;42460,Table1[Start Date]&lt;42826),Table1[Drug and Alcohol Misuse],""))</f>
        <v/>
      </c>
      <c r="FZ171" s="44" t="str">
        <f>IF(Table1[Date of Initial Assessment]="","",IF(AND(Table1[Start Date]&gt;42460,Table1[Start Date]&lt;42826),Table1[Physical Health],""))</f>
        <v/>
      </c>
      <c r="GA171" s="44" t="str">
        <f>IF(Table1[Date of Initial Assessment]="","",IF(AND(Table1[Start Date]&gt;42460,Table1[Start Date]&lt;42826),Table1[Emotional and Mental Health],""))</f>
        <v/>
      </c>
      <c r="GB171" s="44" t="str">
        <f>IF(Table1[Date of Initial Assessment]="","",IF(AND(Table1[Start Date]&gt;42460,Table1[Start Date]&lt;42826),Table1[Meaningful Use of Time],""))</f>
        <v/>
      </c>
      <c r="GC171" s="44" t="str">
        <f>IF(Table1[Date of Initial Assessment]="","",IF(AND(Table1[Start Date]&gt;42460,Table1[Start Date]&lt;42826),Table1[Managing Tenancy and Accommodation],""))</f>
        <v/>
      </c>
      <c r="GD171" s="44" t="str">
        <f>IF(Table1[Date of Initial Assessment]="","",IF(AND(Table1[Start Date]&gt;42460,Table1[Start Date]&lt;42826),Table1[Offending],""))</f>
        <v/>
      </c>
      <c r="GE171" s="44" t="str">
        <f>IF(Table1[Leaving Date]="","",IF(AND(Table1[Leaving Date]&gt;42460,Table1[Leaving Date]&lt;42826),IF(Table1[Date of Last Assessment]="",Table1[Motivation and Taking Responsibility],Table1[Motivation and Taking Responsibility2]),""))</f>
        <v/>
      </c>
      <c r="GF171" s="44" t="str">
        <f>IF(Table1[Leaving Date]="","",IF(AND(Table1[Leaving Date]&gt;42460,Table1[Leaving Date]&lt;42826),IF(Table1[Date of Last Assessment]="",Table1[Self-Care and Living Skills],Table1[Self-Care and Living Skills2]),""))</f>
        <v/>
      </c>
      <c r="GG171" s="44" t="str">
        <f>IF(Table1[Leaving Date]="","",IF(AND(Table1[Leaving Date]&gt;42460,Table1[Leaving Date]&lt;42826),IF(Table1[Date of Last Assessment]="",Table1[Managing Money and Personal Administration],Table1[Managing Money and Personal Administration2]),""))</f>
        <v/>
      </c>
      <c r="GH171" s="44" t="str">
        <f>IF(Table1[Leaving Date]="","",IF(AND(Table1[Leaving Date]&gt;42460,Table1[Leaving Date]&lt;42826),IF(Table1[Date of Last Assessment]="",Table1[Social Networks and Relationships],Table1[Social Networks and Relationships2]),""))</f>
        <v/>
      </c>
      <c r="GI171" s="44" t="str">
        <f>IF(Table1[Leaving Date]="","",IF(AND(Table1[Leaving Date]&gt;42460,Table1[Leaving Date]&lt;42826),IF(Table1[Date of Last Assessment]="",Table1[Drug and Alcohol Misuse],Table1[Drug and Alcohol Misuse2]),""))</f>
        <v/>
      </c>
      <c r="GJ171" s="44" t="str">
        <f>IF(Table1[Leaving Date]="","",IF(AND(Table1[Leaving Date]&gt;42460,Table1[Leaving Date]&lt;42826),IF(Table1[Date of Last Assessment]="",Table1[Physical Health],Table1[Physical Health2]),""))</f>
        <v/>
      </c>
      <c r="GK171" s="44" t="str">
        <f>IF(Table1[Leaving Date]="","",IF(AND(Table1[Leaving Date]&gt;42460,Table1[Leaving Date]&lt;42826),IF(Table1[Date of Last Assessment]="",Table1[Emotional and Mental Health],Table1[Emotional and Mental Health2]),""))</f>
        <v/>
      </c>
      <c r="GL171" s="44" t="str">
        <f>IF(Table1[Leaving Date]="","",IF(AND(Table1[Leaving Date]&gt;42460,Table1[Leaving Date]&lt;42826),IF(Table1[Date of Last Assessment]="",Table1[Meaningful Use of Time],Table1[Meaningful Use of Time2]),""))</f>
        <v/>
      </c>
      <c r="GM171" s="44" t="str">
        <f>IF(Table1[Leaving Date]="","",IF(AND(Table1[Leaving Date]&gt;42460,Table1[Leaving Date]&lt;42826),IF(Table1[Date of Last Assessment]="",Table1[Managing Tenancy and Accommodation],Table1[Managing Tenancy and Accommodation2]),""))</f>
        <v/>
      </c>
      <c r="GN171" s="44" t="str">
        <f>IF(Table1[Leaving Date]="","",IF(AND(Table1[Leaving Date]&gt;42460,Table1[Leaving Date]&lt;42826),IF(Table1[Date of Last Assessment]="",Table1[Offending],Table1[Offending2]),""))</f>
        <v/>
      </c>
    </row>
    <row r="172" spans="2:196" ht="20.100000000000001" customHeight="1" x14ac:dyDescent="0.2">
      <c r="B172" s="86">
        <f>+'Service Data'!$C$5:$C$5</f>
        <v>0</v>
      </c>
      <c r="C172" s="86"/>
      <c r="D172" s="86"/>
      <c r="E172" s="86"/>
      <c r="F172" s="86"/>
      <c r="G172" s="86"/>
      <c r="H172" s="6"/>
      <c r="I172" s="99" t="str">
        <f ca="1">IF(Table1[[#This Row],[Date of Birth]]="","",SUM(TODAY()-Table1[[#This Row],[Date of Birth]])/365)</f>
        <v/>
      </c>
      <c r="L172" s="86"/>
      <c r="M172" s="77"/>
      <c r="N172" s="86"/>
      <c r="O172" s="86"/>
      <c r="P172" s="91"/>
      <c r="Q172" s="86"/>
      <c r="R172" s="77"/>
      <c r="S172" s="77"/>
      <c r="T172" s="68"/>
      <c r="U172" s="68"/>
      <c r="V172" s="67"/>
      <c r="W172" s="67"/>
      <c r="X172" s="67"/>
      <c r="Y172" s="67"/>
      <c r="Z172" s="67"/>
      <c r="AA172" s="67"/>
      <c r="AB172" s="67"/>
      <c r="AC172" s="67"/>
      <c r="AD172" s="67"/>
      <c r="AE172" s="67"/>
      <c r="AF172" s="67"/>
      <c r="AG172" s="67"/>
      <c r="AH172" s="67"/>
      <c r="AI172" s="67"/>
      <c r="AJ172" s="67"/>
      <c r="AK172" s="67"/>
      <c r="AL172" s="67"/>
      <c r="AM172" s="67"/>
      <c r="AN172" s="77"/>
      <c r="AO172" s="76"/>
      <c r="AP172" s="77"/>
      <c r="AQ172" s="76"/>
      <c r="AR172" s="76"/>
      <c r="AS172" s="76"/>
      <c r="AT172" s="76"/>
      <c r="AU172" s="76"/>
      <c r="AV172" s="77"/>
      <c r="AW172" s="76"/>
      <c r="AX172" s="77"/>
      <c r="AY172" s="76"/>
      <c r="AZ172" s="76"/>
      <c r="BA172" s="76"/>
      <c r="BB172" s="76"/>
      <c r="BC172" s="76"/>
      <c r="BD172" s="77"/>
      <c r="BE172" s="76"/>
      <c r="BF172" s="77"/>
      <c r="BG172" s="76"/>
      <c r="BH172" s="76"/>
      <c r="BI172" s="76"/>
      <c r="BJ172" s="76"/>
      <c r="BK172" s="76"/>
      <c r="BL172" s="77"/>
      <c r="BM172" s="76"/>
      <c r="BN172" s="77"/>
      <c r="BO172" s="76"/>
      <c r="BP172" s="76"/>
      <c r="BQ172" s="76"/>
      <c r="BR172" s="76"/>
      <c r="BS172" s="76"/>
      <c r="BT172" s="77"/>
      <c r="BU172" s="76"/>
      <c r="BV172" s="77"/>
      <c r="BW172" s="76"/>
      <c r="BX172" s="76"/>
      <c r="BY172" s="76"/>
      <c r="BZ172" s="76"/>
      <c r="CA172" s="76"/>
      <c r="CB172" s="77"/>
      <c r="CC172" s="76"/>
      <c r="CD172" s="77"/>
      <c r="CE172" s="76"/>
      <c r="CF172" s="76"/>
      <c r="CG172" s="76"/>
      <c r="CH172" s="76"/>
      <c r="CI172" s="76"/>
      <c r="CJ172" s="77"/>
      <c r="CK172" s="76"/>
      <c r="CL172" s="77"/>
      <c r="CM172" s="76"/>
      <c r="CN172" s="76"/>
      <c r="CO172" s="76"/>
      <c r="CP172" s="76"/>
      <c r="CQ172" s="76"/>
      <c r="CR172" s="78" t="str">
        <f t="shared" si="47"/>
        <v/>
      </c>
      <c r="CS172" s="79" t="str">
        <f t="shared" si="48"/>
        <v/>
      </c>
      <c r="CT172" s="79" t="str">
        <f t="shared" si="49"/>
        <v/>
      </c>
      <c r="CU172" s="79" t="str">
        <f t="shared" si="50"/>
        <v/>
      </c>
      <c r="CV172" s="79" t="str">
        <f t="shared" si="51"/>
        <v/>
      </c>
      <c r="CW172" s="79" t="str">
        <f t="shared" si="52"/>
        <v/>
      </c>
      <c r="CX172" s="79" t="str">
        <f t="shared" si="53"/>
        <v/>
      </c>
      <c r="CY172" s="79" t="str">
        <f t="shared" si="54"/>
        <v/>
      </c>
      <c r="CZ172" s="79" t="str">
        <f t="shared" si="55"/>
        <v/>
      </c>
      <c r="DA172" s="79" t="str">
        <f t="shared" si="56"/>
        <v/>
      </c>
      <c r="DB172" s="79" t="str">
        <f t="shared" si="57"/>
        <v/>
      </c>
      <c r="DC172" s="79" t="str">
        <f t="shared" si="58"/>
        <v/>
      </c>
      <c r="DD172" s="79" t="str">
        <f t="shared" si="59"/>
        <v/>
      </c>
      <c r="DE172" s="79" t="str">
        <f t="shared" si="60"/>
        <v/>
      </c>
      <c r="DF172" s="79" t="str">
        <f t="shared" si="61"/>
        <v/>
      </c>
      <c r="DG172" s="79" t="str">
        <f t="shared" si="62"/>
        <v/>
      </c>
      <c r="DH172" s="76"/>
      <c r="DI172" s="78"/>
      <c r="DJ172" s="76"/>
      <c r="DK172" s="77"/>
      <c r="DL172" s="77"/>
      <c r="DM172" s="77"/>
      <c r="DN172" s="80"/>
      <c r="DO172" s="80"/>
      <c r="DP172" s="92" t="str">
        <f>IF(Table1[Start Date]="","",IF(Table1[Start Date]&gt;42185,"",IF(AND(Table1[Leaving Date]&gt;1,Table1[Leaving Date]&lt;42095),"",1)))</f>
        <v/>
      </c>
      <c r="DQ172" s="92" t="str">
        <f>IF(Table1[Start Date]="","",IF(Table1[Start Date]&gt;42277,"",IF(AND(Table1[Leaving Date]&gt;1,Table1[Leaving Date]&lt;42186),"",1)))</f>
        <v/>
      </c>
      <c r="DR172" s="92" t="str">
        <f>IF(Table1[Start Date]="","",IF(Table1[Start Date]&gt;42369,"",IF(AND(Table1[Leaving Date]&gt;1,Table1[Leaving Date]&lt;42278),"",1)))</f>
        <v/>
      </c>
      <c r="DS172" s="92" t="str">
        <f>IF(Table1[Start Date]="","",IF(Table1[Start Date]&gt;42460,"",IF(AND(Table1[Leaving Date]&gt;1,Table1[Leaving Date]&lt;42370),"",1)))</f>
        <v/>
      </c>
      <c r="DT172" s="92" t="str">
        <f>IF(Table1[Start Date]="","",IF(Table1[Start Date]&gt;42551,"",IF(AND(Table1[Leaving Date]&gt;1,Table1[Leaving Date]&lt;42461),"",1)))</f>
        <v/>
      </c>
      <c r="DU172" s="92" t="str">
        <f>IF(Table1[Start Date]="","",IF(Table1[Start Date]&gt;42643,"",IF(AND(Table1[Leaving Date]&gt;1,Table1[Leaving Date]&lt;42552),"",1)))</f>
        <v/>
      </c>
      <c r="DV172" s="92" t="str">
        <f>IF(Table1[Start Date]="","",IF(Table1[Start Date]&gt;42735,"",IF(AND(Table1[Leaving Date]&gt;1,Table1[Leaving Date]&lt;42644),"",1)))</f>
        <v/>
      </c>
      <c r="DW172" s="92" t="str">
        <f>IF(Table1[Start Date]="","",IF(Table1[Start Date]&gt;42825,"",IF(AND(Table1[Leaving Date]&gt;1,Table1[Leaving Date]&lt;42736),"",1)))</f>
        <v/>
      </c>
      <c r="DX172"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172" s="44" t="e">
        <f>VLOOKUP(Table1[Referral Source],Lists!$G$2:$H$20,2,FALSE)</f>
        <v>#N/A</v>
      </c>
      <c r="DZ172" s="93" t="e">
        <f>SUM(Table1[Data Referral Quarter]+Table1[Data Referral Source])</f>
        <v>#N/A</v>
      </c>
      <c r="EA172" s="44" t="b">
        <f>IF(Table1[Referral Decision]="Accepted",100,IF(Table1[Referral Decision]="Rejected by Provider",200,IF(Table1[Referral Decision]="Rejected by Applicant",300)))</f>
        <v>0</v>
      </c>
      <c r="EB172" s="44">
        <f>SUM(Table1[Data Referral Quarter]+Table1[Data Referral Decision])</f>
        <v>0</v>
      </c>
      <c r="EC172" s="44" t="b">
        <f>IF(Table1[Start Date]&gt;42735,8000,IF(Table1[Start Date]&gt;42643,7000,IF(Table1[Start Date]&gt;42551,6000,IF(Table1[Start Date]&gt;42460,5000,IF(Table1[Start Date]&gt;42369,4000,IF(Table1[Start Date]&gt;42277,3000,IF(Table1[Start Date]&gt;42185,2000,IF(Table1[Start Date]&gt;42094,1000))))))))</f>
        <v>0</v>
      </c>
      <c r="ED172" s="44" t="str">
        <f>IF(Table1[Start Date]="","",IF(Table1[Current Local Authority]="Swindon",1,"2"))</f>
        <v/>
      </c>
      <c r="EE172" s="44" t="e">
        <f>SUM(Table1[Data Start Date]+Table1[Data Local Authority])</f>
        <v>#VALUE!</v>
      </c>
      <c r="EF172" s="44">
        <f>IF(Table1[Registered with GP]="Yes",1,0)</f>
        <v>0</v>
      </c>
      <c r="EG172" s="44">
        <f>SUM(Table1[Data Start Date]+Table1[Data GP Start])</f>
        <v>0</v>
      </c>
      <c r="EH172" s="44" t="str">
        <f>IF(Table1[EET]="NEET",1,IF(Table1[EET]="Education",2,IF(Table1[EET]="Employment",2,IF(Table1[EET]="Training",2,IF(Table1[EET]="Retired",3,"")))))</f>
        <v/>
      </c>
      <c r="EI172" s="44" t="e">
        <f>Table1[Data Start Date]+Table1[Data EET Start]</f>
        <v>#VALUE!</v>
      </c>
      <c r="EJ172" s="44" t="b">
        <f>IF(Table1[Leaving Date]&gt;42735,8000,IF(Table1[Leaving Date]&gt;42643,7000,IF(Table1[Leaving Date]&gt;42551,6000,IF(Table1[Leaving Date]&gt;42460,5000,IF(Table1[Leaving Date]&gt;42369,4000,IF(Table1[Leaving Date]&gt;42277,3000,IF(Table1[Leaving Date]&gt;42185,2000,IF(Table1[Leaving Date]&gt;42094,1000))))))))</f>
        <v>0</v>
      </c>
      <c r="EK172" s="44" t="e">
        <f>VLOOKUP(Table1[Reason for Leaving],Lists!$T$2:$U$15,2,FALSE)</f>
        <v>#N/A</v>
      </c>
      <c r="EL172" s="44" t="e">
        <f>SUM(Table1[Data Leavers Date]+Table1[Data Move On])</f>
        <v>#N/A</v>
      </c>
      <c r="EM172" s="44" t="b">
        <f>IF(Table1[Registered with GP2]="Yes",1,IF(Table1[Registered with GP2]="No",0,IF(Table1[Registered with GP]="Yes",1,IF(Table1[Registered with GP]="No",0))))</f>
        <v>0</v>
      </c>
      <c r="EN172" s="44">
        <f>SUM(Table1[Data Leavers Date]+Table1[Data GP End])</f>
        <v>0</v>
      </c>
      <c r="EO172" s="44" t="str">
        <f>IF(Table1[EET2]="NEET",1,IF(Table1[EET2]="Employment",2,IF(Table1[EET2]="Education",2,IF(Table1[EET2]="Training",2,IF(Table1[EET2]="Retired",3,IF(Table1[EET]="NEET",1,IF(Table1[EET]="Employment",2,IF(Table1[EET]="Education",2,IF(Table1[EET]="Training",2,IF(Table1[EET]="Retired",3,""))))))))))</f>
        <v/>
      </c>
      <c r="EP172" s="44" t="e">
        <f>+Table1[[#This Row],[Data Leavers Date]]+Table1[[#This Row],[Data EET End]]</f>
        <v>#VALUE!</v>
      </c>
      <c r="EQ172" s="44">
        <f>IF(Table1[Exit Form Received]="Yes",1,0)</f>
        <v>0</v>
      </c>
      <c r="ER172" s="44">
        <f>+Table1[[#This Row],[Data Leavers Date]]+Table1[[#This Row],[Data Exit Forms]]</f>
        <v>0</v>
      </c>
      <c r="ES172" s="44" t="str">
        <f>IF(Table1[Data Leavers Date]=1000,SUM(Table1[Leaving Date]-Table1[Start Date]),"")</f>
        <v/>
      </c>
      <c r="ET172" s="44" t="str">
        <f>IF(Table1[Data Leavers Date]=2000,SUM(Table1[Leaving Date]-Table1[Start Date]),"")</f>
        <v/>
      </c>
      <c r="EU172" s="44" t="str">
        <f>IF(Table1[Data Leavers Date]=3000,SUM(Table1[Leaving Date]-Table1[Start Date]),"")</f>
        <v/>
      </c>
      <c r="EV172" s="44" t="str">
        <f>IF(Table1[Data Leavers Date]=4000,SUM(Table1[Leaving Date]-Table1[Start Date]),"")</f>
        <v/>
      </c>
      <c r="EW172" s="44" t="str">
        <f>IF(Table1[Data Leavers Date]=5000,SUM(Table1[Leaving Date]-Table1[Start Date]),"")</f>
        <v/>
      </c>
      <c r="EX172" s="44" t="str">
        <f>IF(Table1[Data Leavers Date]=6000,SUM(Table1[Leaving Date]-Table1[Start Date]),"")</f>
        <v/>
      </c>
      <c r="EY172" s="44" t="str">
        <f>IF(Table1[Data Leavers Date]=7000,SUM(Table1[Leaving Date]-Table1[Start Date]),"")</f>
        <v/>
      </c>
      <c r="EZ172" s="44" t="str">
        <f>IF(Table1[Data Leavers Date]=8000,SUM(Table1[Leaving Date]-Table1[Start Date]),"")</f>
        <v/>
      </c>
      <c r="FA172" s="44" t="str">
        <f>IF(Table1[Date of Initial Assessment]="","",IF(AND(Table1[Start Date]&gt;42094,Table1[Start Date]&lt;42461),Table1[Motivation and Taking Responsibility],""))</f>
        <v/>
      </c>
      <c r="FB172" s="44" t="str">
        <f>IF(Table1[Date of Initial Assessment]="","",IF(AND(Table1[Start Date]&gt;42094,Table1[Start Date]&lt;42461),Table1[Self-Care and Living Skills],""))</f>
        <v/>
      </c>
      <c r="FC172" s="44" t="str">
        <f>IF(Table1[Date of Initial Assessment]="","",IF(AND(Table1[Start Date]&gt;42094,Table1[Start Date]&lt;42461),Table1[Managing Money and Personal Administration],""))</f>
        <v/>
      </c>
      <c r="FD172" s="44" t="str">
        <f>IF(Table1[Date of Initial Assessment]="","",IF(AND(Table1[Start Date]&gt;42094,Table1[Start Date]&lt;42461),Table1[Social Networks and Relationships],""))</f>
        <v/>
      </c>
      <c r="FE172" s="44" t="str">
        <f>IF(Table1[Date of Initial Assessment]="","",IF(AND(Table1[Start Date]&gt;42094,Table1[Start Date]&lt;42461),Table1[Drug and Alcohol Misuse],""))</f>
        <v/>
      </c>
      <c r="FF172" s="44" t="str">
        <f>IF(Table1[Date of Initial Assessment]="","",IF(AND(Table1[Start Date]&gt;42094,Table1[Start Date]&lt;42461),Table1[Physical Health],""))</f>
        <v/>
      </c>
      <c r="FG172" s="44" t="str">
        <f>IF(Table1[Date of Initial Assessment]="","",IF(AND(Table1[Start Date]&gt;42094,Table1[Start Date]&lt;42461),Table1[Emotional and Mental Health],""))</f>
        <v/>
      </c>
      <c r="FH172" s="44" t="str">
        <f>IF(Table1[Date of Initial Assessment]="","",IF(AND(Table1[Start Date]&gt;42094,Table1[Start Date]&lt;42461),Table1[Meaningful Use of Time],""))</f>
        <v/>
      </c>
      <c r="FI172" s="44" t="str">
        <f>IF(Table1[Date of Initial Assessment]="","",IF(AND(Table1[Start Date]&gt;42094,Table1[Start Date]&lt;42461),Table1[Managing Tenancy and Accommodation],""))</f>
        <v/>
      </c>
      <c r="FJ172" s="44" t="str">
        <f>IF(Table1[Date of Initial Assessment]="","",IF(AND(Table1[Start Date]&gt;42094,Table1[Start Date]&lt;42461),Table1[Offending],""))</f>
        <v/>
      </c>
      <c r="FK172" s="44" t="str">
        <f>IF(Table1[Leaving Date]="","",IF(Table1[Date of Initial Assessment]="","",IF(AND(Table1[Leaving Date]&gt;42094,Table1[Leaving Date]&lt;42461),IF(Table1[Date of Last Assessment]="",Table1[Motivation and Taking Responsibility],Table1[Motivation and Taking Responsibility2]),"")))</f>
        <v/>
      </c>
      <c r="FL172" s="44" t="str">
        <f>IF(Table1[Leaving Date]="","",IF(Table1[Date of Initial Assessment]="","",IF(AND(Table1[Leaving Date]&gt;42094,Table1[Leaving Date]&lt;42461),IF(Table1[Date of Last Assessment]="",Table1[Self-Care and Living Skills],Table1[Self-Care and Living Skills2]),"")))</f>
        <v/>
      </c>
      <c r="FM172" s="44" t="str">
        <f>IF(Table1[Leaving Date]="","",IF(Table1[Date of Initial Assessment]="","",IF(AND(Table1[Leaving Date]&gt;42094,Table1[Leaving Date]&lt;42461),IF(Table1[Date of Last Assessment]="",Table1[Managing Money and Personal Administration],Table1[Managing Money and Personal Administration2]),"")))</f>
        <v/>
      </c>
      <c r="FN172" s="44" t="str">
        <f>IF(Table1[Leaving Date]="","",IF(Table1[Date of Initial Assessment]="","",IF(AND(Table1[Leaving Date]&gt;42094,Table1[Leaving Date]&lt;42461),IF(Table1[Date of Last Assessment]="",Table1[Social Networks and Relationships],Table1[Social Networks and Relationships2]),"")))</f>
        <v/>
      </c>
      <c r="FO172" s="44" t="str">
        <f>IF(Table1[Leaving Date]="","",IF(Table1[Date of Initial Assessment]="","",IF(AND(Table1[Leaving Date]&gt;42094,Table1[Leaving Date]&lt;42461),IF(Table1[Date of Last Assessment]="",Table1[Drug and Alcohol Misuse],Table1[Drug and Alcohol Misuse2]),"")))</f>
        <v/>
      </c>
      <c r="FP172" s="44" t="str">
        <f>IF(Table1[Leaving Date]="","",IF(Table1[Date of Initial Assessment]="","",IF(AND(Table1[Leaving Date]&gt;42094,Table1[Leaving Date]&lt;42461),IF(Table1[Date of Last Assessment]="",Table1[Physical Health],Table1[Physical Health2]),"")))</f>
        <v/>
      </c>
      <c r="FQ172" s="44" t="str">
        <f>IF(Table1[Leaving Date]="","",IF(Table1[Date of Initial Assessment]="","",IF(AND(Table1[Leaving Date]&gt;42094,Table1[Leaving Date]&lt;42461),IF(Table1[Date of Last Assessment]="",Table1[Emotional and Mental Health],Table1[Emotional and Mental Health2]),"")))</f>
        <v/>
      </c>
      <c r="FR172" s="44" t="str">
        <f>IF(Table1[Leaving Date]="","",IF(Table1[Date of Initial Assessment]="","",IF(AND(Table1[Leaving Date]&gt;42094,Table1[Leaving Date]&lt;42461),IF(Table1[Date of Last Assessment]="",Table1[Meaningful Use of Time],Table1[Meaningful Use of Time2]),"")))</f>
        <v/>
      </c>
      <c r="FS172" s="44" t="str">
        <f>IF(Table1[Leaving Date]="","",IF(Table1[Date of Initial Assessment]="","",IF(AND(Table1[Leaving Date]&gt;42094,Table1[Leaving Date]&lt;42461),IF(Table1[Date of Last Assessment]="",Table1[Managing Tenancy and Accommodation],Table1[Managing Tenancy and Accommodation2]),"")))</f>
        <v/>
      </c>
      <c r="FT172" s="44" t="str">
        <f>IF(Table1[Leaving Date]="","",IF(Table1[Date of Initial Assessment]="","",IF(AND(Table1[Leaving Date]&gt;42094,Table1[Leaving Date]&lt;42461),IF(Table1[Date of Last Assessment]="",Table1[Offending],Table1[Offending2]),"")))</f>
        <v/>
      </c>
      <c r="FU172" s="44" t="str">
        <f>IF(Table1[Date of Initial Assessment]="","",IF(AND(Table1[Start Date]&gt;42460,Table1[Start Date]&lt;42826),Table1[Motivation and Taking Responsibility],""))</f>
        <v/>
      </c>
      <c r="FV172" s="44" t="str">
        <f>IF(Table1[Date of Initial Assessment]="","",IF(AND(Table1[Start Date]&gt;42460,Table1[Start Date]&lt;42826),Table1[Self-Care and Living Skills],""))</f>
        <v/>
      </c>
      <c r="FW172" s="44" t="str">
        <f>IF(Table1[Date of Initial Assessment]="","",IF(AND(Table1[Start Date]&gt;42460,Table1[Start Date]&lt;42826),Table1[Managing Money and Personal Administration],""))</f>
        <v/>
      </c>
      <c r="FX172" s="44" t="str">
        <f>IF(Table1[Date of Initial Assessment]="","",IF(AND(Table1[Start Date]&gt;42460,Table1[Start Date]&lt;42826),Table1[Social Networks and Relationships],""))</f>
        <v/>
      </c>
      <c r="FY172" s="44" t="str">
        <f>IF(Table1[Date of Initial Assessment]="","",IF(AND(Table1[Start Date]&gt;42460,Table1[Start Date]&lt;42826),Table1[Drug and Alcohol Misuse],""))</f>
        <v/>
      </c>
      <c r="FZ172" s="44" t="str">
        <f>IF(Table1[Date of Initial Assessment]="","",IF(AND(Table1[Start Date]&gt;42460,Table1[Start Date]&lt;42826),Table1[Physical Health],""))</f>
        <v/>
      </c>
      <c r="GA172" s="44" t="str">
        <f>IF(Table1[Date of Initial Assessment]="","",IF(AND(Table1[Start Date]&gt;42460,Table1[Start Date]&lt;42826),Table1[Emotional and Mental Health],""))</f>
        <v/>
      </c>
      <c r="GB172" s="44" t="str">
        <f>IF(Table1[Date of Initial Assessment]="","",IF(AND(Table1[Start Date]&gt;42460,Table1[Start Date]&lt;42826),Table1[Meaningful Use of Time],""))</f>
        <v/>
      </c>
      <c r="GC172" s="44" t="str">
        <f>IF(Table1[Date of Initial Assessment]="","",IF(AND(Table1[Start Date]&gt;42460,Table1[Start Date]&lt;42826),Table1[Managing Tenancy and Accommodation],""))</f>
        <v/>
      </c>
      <c r="GD172" s="44" t="str">
        <f>IF(Table1[Date of Initial Assessment]="","",IF(AND(Table1[Start Date]&gt;42460,Table1[Start Date]&lt;42826),Table1[Offending],""))</f>
        <v/>
      </c>
      <c r="GE172" s="44" t="str">
        <f>IF(Table1[Leaving Date]="","",IF(AND(Table1[Leaving Date]&gt;42460,Table1[Leaving Date]&lt;42826),IF(Table1[Date of Last Assessment]="",Table1[Motivation and Taking Responsibility],Table1[Motivation and Taking Responsibility2]),""))</f>
        <v/>
      </c>
      <c r="GF172" s="44" t="str">
        <f>IF(Table1[Leaving Date]="","",IF(AND(Table1[Leaving Date]&gt;42460,Table1[Leaving Date]&lt;42826),IF(Table1[Date of Last Assessment]="",Table1[Self-Care and Living Skills],Table1[Self-Care and Living Skills2]),""))</f>
        <v/>
      </c>
      <c r="GG172" s="44" t="str">
        <f>IF(Table1[Leaving Date]="","",IF(AND(Table1[Leaving Date]&gt;42460,Table1[Leaving Date]&lt;42826),IF(Table1[Date of Last Assessment]="",Table1[Managing Money and Personal Administration],Table1[Managing Money and Personal Administration2]),""))</f>
        <v/>
      </c>
      <c r="GH172" s="44" t="str">
        <f>IF(Table1[Leaving Date]="","",IF(AND(Table1[Leaving Date]&gt;42460,Table1[Leaving Date]&lt;42826),IF(Table1[Date of Last Assessment]="",Table1[Social Networks and Relationships],Table1[Social Networks and Relationships2]),""))</f>
        <v/>
      </c>
      <c r="GI172" s="44" t="str">
        <f>IF(Table1[Leaving Date]="","",IF(AND(Table1[Leaving Date]&gt;42460,Table1[Leaving Date]&lt;42826),IF(Table1[Date of Last Assessment]="",Table1[Drug and Alcohol Misuse],Table1[Drug and Alcohol Misuse2]),""))</f>
        <v/>
      </c>
      <c r="GJ172" s="44" t="str">
        <f>IF(Table1[Leaving Date]="","",IF(AND(Table1[Leaving Date]&gt;42460,Table1[Leaving Date]&lt;42826),IF(Table1[Date of Last Assessment]="",Table1[Physical Health],Table1[Physical Health2]),""))</f>
        <v/>
      </c>
      <c r="GK172" s="44" t="str">
        <f>IF(Table1[Leaving Date]="","",IF(AND(Table1[Leaving Date]&gt;42460,Table1[Leaving Date]&lt;42826),IF(Table1[Date of Last Assessment]="",Table1[Emotional and Mental Health],Table1[Emotional and Mental Health2]),""))</f>
        <v/>
      </c>
      <c r="GL172" s="44" t="str">
        <f>IF(Table1[Leaving Date]="","",IF(AND(Table1[Leaving Date]&gt;42460,Table1[Leaving Date]&lt;42826),IF(Table1[Date of Last Assessment]="",Table1[Meaningful Use of Time],Table1[Meaningful Use of Time2]),""))</f>
        <v/>
      </c>
      <c r="GM172" s="44" t="str">
        <f>IF(Table1[Leaving Date]="","",IF(AND(Table1[Leaving Date]&gt;42460,Table1[Leaving Date]&lt;42826),IF(Table1[Date of Last Assessment]="",Table1[Managing Tenancy and Accommodation],Table1[Managing Tenancy and Accommodation2]),""))</f>
        <v/>
      </c>
      <c r="GN172" s="44" t="str">
        <f>IF(Table1[Leaving Date]="","",IF(AND(Table1[Leaving Date]&gt;42460,Table1[Leaving Date]&lt;42826),IF(Table1[Date of Last Assessment]="",Table1[Offending],Table1[Offending2]),""))</f>
        <v/>
      </c>
    </row>
    <row r="173" spans="2:196" ht="20.100000000000001" customHeight="1" x14ac:dyDescent="0.2">
      <c r="B173" s="86">
        <f>+'Service Data'!$C$5:$C$5</f>
        <v>0</v>
      </c>
      <c r="C173" s="86"/>
      <c r="D173" s="86"/>
      <c r="E173" s="86"/>
      <c r="F173" s="86"/>
      <c r="G173" s="86"/>
      <c r="H173" s="6"/>
      <c r="I173" s="99" t="str">
        <f ca="1">IF(Table1[[#This Row],[Date of Birth]]="","",SUM(TODAY()-Table1[[#This Row],[Date of Birth]])/365)</f>
        <v/>
      </c>
      <c r="L173" s="86"/>
      <c r="M173" s="77"/>
      <c r="N173" s="86"/>
      <c r="O173" s="86"/>
      <c r="P173" s="91"/>
      <c r="Q173" s="86"/>
      <c r="R173" s="77"/>
      <c r="S173" s="77"/>
      <c r="T173" s="68"/>
      <c r="U173" s="68"/>
      <c r="V173" s="67"/>
      <c r="W173" s="67"/>
      <c r="X173" s="67"/>
      <c r="Y173" s="67"/>
      <c r="Z173" s="67"/>
      <c r="AA173" s="67"/>
      <c r="AB173" s="67"/>
      <c r="AC173" s="67"/>
      <c r="AD173" s="67"/>
      <c r="AE173" s="67"/>
      <c r="AF173" s="67"/>
      <c r="AG173" s="67"/>
      <c r="AH173" s="67"/>
      <c r="AI173" s="67"/>
      <c r="AJ173" s="67"/>
      <c r="AK173" s="67"/>
      <c r="AL173" s="67"/>
      <c r="AM173" s="67"/>
      <c r="AN173" s="77"/>
      <c r="AO173" s="76"/>
      <c r="AP173" s="77"/>
      <c r="AQ173" s="76"/>
      <c r="AR173" s="76"/>
      <c r="AS173" s="76"/>
      <c r="AT173" s="76"/>
      <c r="AU173" s="76"/>
      <c r="AV173" s="77"/>
      <c r="AW173" s="76"/>
      <c r="AX173" s="77"/>
      <c r="AY173" s="76"/>
      <c r="AZ173" s="76"/>
      <c r="BA173" s="76"/>
      <c r="BB173" s="76"/>
      <c r="BC173" s="76"/>
      <c r="BD173" s="77"/>
      <c r="BE173" s="76"/>
      <c r="BF173" s="77"/>
      <c r="BG173" s="76"/>
      <c r="BH173" s="76"/>
      <c r="BI173" s="76"/>
      <c r="BJ173" s="76"/>
      <c r="BK173" s="76"/>
      <c r="BL173" s="77"/>
      <c r="BM173" s="76"/>
      <c r="BN173" s="77"/>
      <c r="BO173" s="76"/>
      <c r="BP173" s="76"/>
      <c r="BQ173" s="76"/>
      <c r="BR173" s="76"/>
      <c r="BS173" s="76"/>
      <c r="BT173" s="77"/>
      <c r="BU173" s="76"/>
      <c r="BV173" s="77"/>
      <c r="BW173" s="76"/>
      <c r="BX173" s="76"/>
      <c r="BY173" s="76"/>
      <c r="BZ173" s="76"/>
      <c r="CA173" s="76"/>
      <c r="CB173" s="77"/>
      <c r="CC173" s="76"/>
      <c r="CD173" s="77"/>
      <c r="CE173" s="76"/>
      <c r="CF173" s="76"/>
      <c r="CG173" s="76"/>
      <c r="CH173" s="76"/>
      <c r="CI173" s="76"/>
      <c r="CJ173" s="77"/>
      <c r="CK173" s="76"/>
      <c r="CL173" s="77"/>
      <c r="CM173" s="76"/>
      <c r="CN173" s="76"/>
      <c r="CO173" s="76"/>
      <c r="CP173" s="76"/>
      <c r="CQ173" s="76"/>
      <c r="CR173" s="78" t="str">
        <f t="shared" si="47"/>
        <v/>
      </c>
      <c r="CS173" s="79" t="str">
        <f t="shared" si="48"/>
        <v/>
      </c>
      <c r="CT173" s="79" t="str">
        <f t="shared" si="49"/>
        <v/>
      </c>
      <c r="CU173" s="79" t="str">
        <f t="shared" si="50"/>
        <v/>
      </c>
      <c r="CV173" s="79" t="str">
        <f t="shared" si="51"/>
        <v/>
      </c>
      <c r="CW173" s="79" t="str">
        <f t="shared" si="52"/>
        <v/>
      </c>
      <c r="CX173" s="79" t="str">
        <f t="shared" si="53"/>
        <v/>
      </c>
      <c r="CY173" s="79" t="str">
        <f t="shared" si="54"/>
        <v/>
      </c>
      <c r="CZ173" s="79" t="str">
        <f t="shared" si="55"/>
        <v/>
      </c>
      <c r="DA173" s="79" t="str">
        <f t="shared" si="56"/>
        <v/>
      </c>
      <c r="DB173" s="79" t="str">
        <f t="shared" si="57"/>
        <v/>
      </c>
      <c r="DC173" s="79" t="str">
        <f t="shared" si="58"/>
        <v/>
      </c>
      <c r="DD173" s="79" t="str">
        <f t="shared" si="59"/>
        <v/>
      </c>
      <c r="DE173" s="79" t="str">
        <f t="shared" si="60"/>
        <v/>
      </c>
      <c r="DF173" s="79" t="str">
        <f t="shared" si="61"/>
        <v/>
      </c>
      <c r="DG173" s="79" t="str">
        <f t="shared" si="62"/>
        <v/>
      </c>
      <c r="DH173" s="76"/>
      <c r="DI173" s="78"/>
      <c r="DJ173" s="76"/>
      <c r="DK173" s="77"/>
      <c r="DL173" s="77"/>
      <c r="DM173" s="77"/>
      <c r="DN173" s="80"/>
      <c r="DO173" s="80"/>
      <c r="DP173" s="92" t="str">
        <f>IF(Table1[Start Date]="","",IF(Table1[Start Date]&gt;42185,"",IF(AND(Table1[Leaving Date]&gt;1,Table1[Leaving Date]&lt;42095),"",1)))</f>
        <v/>
      </c>
      <c r="DQ173" s="92" t="str">
        <f>IF(Table1[Start Date]="","",IF(Table1[Start Date]&gt;42277,"",IF(AND(Table1[Leaving Date]&gt;1,Table1[Leaving Date]&lt;42186),"",1)))</f>
        <v/>
      </c>
      <c r="DR173" s="92" t="str">
        <f>IF(Table1[Start Date]="","",IF(Table1[Start Date]&gt;42369,"",IF(AND(Table1[Leaving Date]&gt;1,Table1[Leaving Date]&lt;42278),"",1)))</f>
        <v/>
      </c>
      <c r="DS173" s="92" t="str">
        <f>IF(Table1[Start Date]="","",IF(Table1[Start Date]&gt;42460,"",IF(AND(Table1[Leaving Date]&gt;1,Table1[Leaving Date]&lt;42370),"",1)))</f>
        <v/>
      </c>
      <c r="DT173" s="92" t="str">
        <f>IF(Table1[Start Date]="","",IF(Table1[Start Date]&gt;42551,"",IF(AND(Table1[Leaving Date]&gt;1,Table1[Leaving Date]&lt;42461),"",1)))</f>
        <v/>
      </c>
      <c r="DU173" s="92" t="str">
        <f>IF(Table1[Start Date]="","",IF(Table1[Start Date]&gt;42643,"",IF(AND(Table1[Leaving Date]&gt;1,Table1[Leaving Date]&lt;42552),"",1)))</f>
        <v/>
      </c>
      <c r="DV173" s="92" t="str">
        <f>IF(Table1[Start Date]="","",IF(Table1[Start Date]&gt;42735,"",IF(AND(Table1[Leaving Date]&gt;1,Table1[Leaving Date]&lt;42644),"",1)))</f>
        <v/>
      </c>
      <c r="DW173" s="92" t="str">
        <f>IF(Table1[Start Date]="","",IF(Table1[Start Date]&gt;42825,"",IF(AND(Table1[Leaving Date]&gt;1,Table1[Leaving Date]&lt;42736),"",1)))</f>
        <v/>
      </c>
      <c r="DX173"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173" s="44" t="e">
        <f>VLOOKUP(Table1[Referral Source],Lists!$G$2:$H$20,2,FALSE)</f>
        <v>#N/A</v>
      </c>
      <c r="DZ173" s="93" t="e">
        <f>SUM(Table1[Data Referral Quarter]+Table1[Data Referral Source])</f>
        <v>#N/A</v>
      </c>
      <c r="EA173" s="44" t="b">
        <f>IF(Table1[Referral Decision]="Accepted",100,IF(Table1[Referral Decision]="Rejected by Provider",200,IF(Table1[Referral Decision]="Rejected by Applicant",300)))</f>
        <v>0</v>
      </c>
      <c r="EB173" s="44">
        <f>SUM(Table1[Data Referral Quarter]+Table1[Data Referral Decision])</f>
        <v>0</v>
      </c>
      <c r="EC173" s="44" t="b">
        <f>IF(Table1[Start Date]&gt;42735,8000,IF(Table1[Start Date]&gt;42643,7000,IF(Table1[Start Date]&gt;42551,6000,IF(Table1[Start Date]&gt;42460,5000,IF(Table1[Start Date]&gt;42369,4000,IF(Table1[Start Date]&gt;42277,3000,IF(Table1[Start Date]&gt;42185,2000,IF(Table1[Start Date]&gt;42094,1000))))))))</f>
        <v>0</v>
      </c>
      <c r="ED173" s="44" t="str">
        <f>IF(Table1[Start Date]="","",IF(Table1[Current Local Authority]="Swindon",1,"2"))</f>
        <v/>
      </c>
      <c r="EE173" s="44" t="e">
        <f>SUM(Table1[Data Start Date]+Table1[Data Local Authority])</f>
        <v>#VALUE!</v>
      </c>
      <c r="EF173" s="44">
        <f>IF(Table1[Registered with GP]="Yes",1,0)</f>
        <v>0</v>
      </c>
      <c r="EG173" s="44">
        <f>SUM(Table1[Data Start Date]+Table1[Data GP Start])</f>
        <v>0</v>
      </c>
      <c r="EH173" s="44" t="str">
        <f>IF(Table1[EET]="NEET",1,IF(Table1[EET]="Education",2,IF(Table1[EET]="Employment",2,IF(Table1[EET]="Training",2,IF(Table1[EET]="Retired",3,"")))))</f>
        <v/>
      </c>
      <c r="EI173" s="44" t="e">
        <f>Table1[Data Start Date]+Table1[Data EET Start]</f>
        <v>#VALUE!</v>
      </c>
      <c r="EJ173" s="44" t="b">
        <f>IF(Table1[Leaving Date]&gt;42735,8000,IF(Table1[Leaving Date]&gt;42643,7000,IF(Table1[Leaving Date]&gt;42551,6000,IF(Table1[Leaving Date]&gt;42460,5000,IF(Table1[Leaving Date]&gt;42369,4000,IF(Table1[Leaving Date]&gt;42277,3000,IF(Table1[Leaving Date]&gt;42185,2000,IF(Table1[Leaving Date]&gt;42094,1000))))))))</f>
        <v>0</v>
      </c>
      <c r="EK173" s="44" t="e">
        <f>VLOOKUP(Table1[Reason for Leaving],Lists!$T$2:$U$15,2,FALSE)</f>
        <v>#N/A</v>
      </c>
      <c r="EL173" s="44" t="e">
        <f>SUM(Table1[Data Leavers Date]+Table1[Data Move On])</f>
        <v>#N/A</v>
      </c>
      <c r="EM173" s="44" t="b">
        <f>IF(Table1[Registered with GP2]="Yes",1,IF(Table1[Registered with GP2]="No",0,IF(Table1[Registered with GP]="Yes",1,IF(Table1[Registered with GP]="No",0))))</f>
        <v>0</v>
      </c>
      <c r="EN173" s="44">
        <f>SUM(Table1[Data Leavers Date]+Table1[Data GP End])</f>
        <v>0</v>
      </c>
      <c r="EO173" s="44" t="str">
        <f>IF(Table1[EET2]="NEET",1,IF(Table1[EET2]="Employment",2,IF(Table1[EET2]="Education",2,IF(Table1[EET2]="Training",2,IF(Table1[EET2]="Retired",3,IF(Table1[EET]="NEET",1,IF(Table1[EET]="Employment",2,IF(Table1[EET]="Education",2,IF(Table1[EET]="Training",2,IF(Table1[EET]="Retired",3,""))))))))))</f>
        <v/>
      </c>
      <c r="EP173" s="44" t="e">
        <f>+Table1[[#This Row],[Data Leavers Date]]+Table1[[#This Row],[Data EET End]]</f>
        <v>#VALUE!</v>
      </c>
      <c r="EQ173" s="44">
        <f>IF(Table1[Exit Form Received]="Yes",1,0)</f>
        <v>0</v>
      </c>
      <c r="ER173" s="44">
        <f>+Table1[[#This Row],[Data Leavers Date]]+Table1[[#This Row],[Data Exit Forms]]</f>
        <v>0</v>
      </c>
      <c r="ES173" s="44" t="str">
        <f>IF(Table1[Data Leavers Date]=1000,SUM(Table1[Leaving Date]-Table1[Start Date]),"")</f>
        <v/>
      </c>
      <c r="ET173" s="44" t="str">
        <f>IF(Table1[Data Leavers Date]=2000,SUM(Table1[Leaving Date]-Table1[Start Date]),"")</f>
        <v/>
      </c>
      <c r="EU173" s="44" t="str">
        <f>IF(Table1[Data Leavers Date]=3000,SUM(Table1[Leaving Date]-Table1[Start Date]),"")</f>
        <v/>
      </c>
      <c r="EV173" s="44" t="str">
        <f>IF(Table1[Data Leavers Date]=4000,SUM(Table1[Leaving Date]-Table1[Start Date]),"")</f>
        <v/>
      </c>
      <c r="EW173" s="44" t="str">
        <f>IF(Table1[Data Leavers Date]=5000,SUM(Table1[Leaving Date]-Table1[Start Date]),"")</f>
        <v/>
      </c>
      <c r="EX173" s="44" t="str">
        <f>IF(Table1[Data Leavers Date]=6000,SUM(Table1[Leaving Date]-Table1[Start Date]),"")</f>
        <v/>
      </c>
      <c r="EY173" s="44" t="str">
        <f>IF(Table1[Data Leavers Date]=7000,SUM(Table1[Leaving Date]-Table1[Start Date]),"")</f>
        <v/>
      </c>
      <c r="EZ173" s="44" t="str">
        <f>IF(Table1[Data Leavers Date]=8000,SUM(Table1[Leaving Date]-Table1[Start Date]),"")</f>
        <v/>
      </c>
      <c r="FA173" s="44" t="str">
        <f>IF(Table1[Date of Initial Assessment]="","",IF(AND(Table1[Start Date]&gt;42094,Table1[Start Date]&lt;42461),Table1[Motivation and Taking Responsibility],""))</f>
        <v/>
      </c>
      <c r="FB173" s="44" t="str">
        <f>IF(Table1[Date of Initial Assessment]="","",IF(AND(Table1[Start Date]&gt;42094,Table1[Start Date]&lt;42461),Table1[Self-Care and Living Skills],""))</f>
        <v/>
      </c>
      <c r="FC173" s="44" t="str">
        <f>IF(Table1[Date of Initial Assessment]="","",IF(AND(Table1[Start Date]&gt;42094,Table1[Start Date]&lt;42461),Table1[Managing Money and Personal Administration],""))</f>
        <v/>
      </c>
      <c r="FD173" s="44" t="str">
        <f>IF(Table1[Date of Initial Assessment]="","",IF(AND(Table1[Start Date]&gt;42094,Table1[Start Date]&lt;42461),Table1[Social Networks and Relationships],""))</f>
        <v/>
      </c>
      <c r="FE173" s="44" t="str">
        <f>IF(Table1[Date of Initial Assessment]="","",IF(AND(Table1[Start Date]&gt;42094,Table1[Start Date]&lt;42461),Table1[Drug and Alcohol Misuse],""))</f>
        <v/>
      </c>
      <c r="FF173" s="44" t="str">
        <f>IF(Table1[Date of Initial Assessment]="","",IF(AND(Table1[Start Date]&gt;42094,Table1[Start Date]&lt;42461),Table1[Physical Health],""))</f>
        <v/>
      </c>
      <c r="FG173" s="44" t="str">
        <f>IF(Table1[Date of Initial Assessment]="","",IF(AND(Table1[Start Date]&gt;42094,Table1[Start Date]&lt;42461),Table1[Emotional and Mental Health],""))</f>
        <v/>
      </c>
      <c r="FH173" s="44" t="str">
        <f>IF(Table1[Date of Initial Assessment]="","",IF(AND(Table1[Start Date]&gt;42094,Table1[Start Date]&lt;42461),Table1[Meaningful Use of Time],""))</f>
        <v/>
      </c>
      <c r="FI173" s="44" t="str">
        <f>IF(Table1[Date of Initial Assessment]="","",IF(AND(Table1[Start Date]&gt;42094,Table1[Start Date]&lt;42461),Table1[Managing Tenancy and Accommodation],""))</f>
        <v/>
      </c>
      <c r="FJ173" s="44" t="str">
        <f>IF(Table1[Date of Initial Assessment]="","",IF(AND(Table1[Start Date]&gt;42094,Table1[Start Date]&lt;42461),Table1[Offending],""))</f>
        <v/>
      </c>
      <c r="FK173" s="44" t="str">
        <f>IF(Table1[Leaving Date]="","",IF(Table1[Date of Initial Assessment]="","",IF(AND(Table1[Leaving Date]&gt;42094,Table1[Leaving Date]&lt;42461),IF(Table1[Date of Last Assessment]="",Table1[Motivation and Taking Responsibility],Table1[Motivation and Taking Responsibility2]),"")))</f>
        <v/>
      </c>
      <c r="FL173" s="44" t="str">
        <f>IF(Table1[Leaving Date]="","",IF(Table1[Date of Initial Assessment]="","",IF(AND(Table1[Leaving Date]&gt;42094,Table1[Leaving Date]&lt;42461),IF(Table1[Date of Last Assessment]="",Table1[Self-Care and Living Skills],Table1[Self-Care and Living Skills2]),"")))</f>
        <v/>
      </c>
      <c r="FM173" s="44" t="str">
        <f>IF(Table1[Leaving Date]="","",IF(Table1[Date of Initial Assessment]="","",IF(AND(Table1[Leaving Date]&gt;42094,Table1[Leaving Date]&lt;42461),IF(Table1[Date of Last Assessment]="",Table1[Managing Money and Personal Administration],Table1[Managing Money and Personal Administration2]),"")))</f>
        <v/>
      </c>
      <c r="FN173" s="44" t="str">
        <f>IF(Table1[Leaving Date]="","",IF(Table1[Date of Initial Assessment]="","",IF(AND(Table1[Leaving Date]&gt;42094,Table1[Leaving Date]&lt;42461),IF(Table1[Date of Last Assessment]="",Table1[Social Networks and Relationships],Table1[Social Networks and Relationships2]),"")))</f>
        <v/>
      </c>
      <c r="FO173" s="44" t="str">
        <f>IF(Table1[Leaving Date]="","",IF(Table1[Date of Initial Assessment]="","",IF(AND(Table1[Leaving Date]&gt;42094,Table1[Leaving Date]&lt;42461),IF(Table1[Date of Last Assessment]="",Table1[Drug and Alcohol Misuse],Table1[Drug and Alcohol Misuse2]),"")))</f>
        <v/>
      </c>
      <c r="FP173" s="44" t="str">
        <f>IF(Table1[Leaving Date]="","",IF(Table1[Date of Initial Assessment]="","",IF(AND(Table1[Leaving Date]&gt;42094,Table1[Leaving Date]&lt;42461),IF(Table1[Date of Last Assessment]="",Table1[Physical Health],Table1[Physical Health2]),"")))</f>
        <v/>
      </c>
      <c r="FQ173" s="44" t="str">
        <f>IF(Table1[Leaving Date]="","",IF(Table1[Date of Initial Assessment]="","",IF(AND(Table1[Leaving Date]&gt;42094,Table1[Leaving Date]&lt;42461),IF(Table1[Date of Last Assessment]="",Table1[Emotional and Mental Health],Table1[Emotional and Mental Health2]),"")))</f>
        <v/>
      </c>
      <c r="FR173" s="44" t="str">
        <f>IF(Table1[Leaving Date]="","",IF(Table1[Date of Initial Assessment]="","",IF(AND(Table1[Leaving Date]&gt;42094,Table1[Leaving Date]&lt;42461),IF(Table1[Date of Last Assessment]="",Table1[Meaningful Use of Time],Table1[Meaningful Use of Time2]),"")))</f>
        <v/>
      </c>
      <c r="FS173" s="44" t="str">
        <f>IF(Table1[Leaving Date]="","",IF(Table1[Date of Initial Assessment]="","",IF(AND(Table1[Leaving Date]&gt;42094,Table1[Leaving Date]&lt;42461),IF(Table1[Date of Last Assessment]="",Table1[Managing Tenancy and Accommodation],Table1[Managing Tenancy and Accommodation2]),"")))</f>
        <v/>
      </c>
      <c r="FT173" s="44" t="str">
        <f>IF(Table1[Leaving Date]="","",IF(Table1[Date of Initial Assessment]="","",IF(AND(Table1[Leaving Date]&gt;42094,Table1[Leaving Date]&lt;42461),IF(Table1[Date of Last Assessment]="",Table1[Offending],Table1[Offending2]),"")))</f>
        <v/>
      </c>
      <c r="FU173" s="44" t="str">
        <f>IF(Table1[Date of Initial Assessment]="","",IF(AND(Table1[Start Date]&gt;42460,Table1[Start Date]&lt;42826),Table1[Motivation and Taking Responsibility],""))</f>
        <v/>
      </c>
      <c r="FV173" s="44" t="str">
        <f>IF(Table1[Date of Initial Assessment]="","",IF(AND(Table1[Start Date]&gt;42460,Table1[Start Date]&lt;42826),Table1[Self-Care and Living Skills],""))</f>
        <v/>
      </c>
      <c r="FW173" s="44" t="str">
        <f>IF(Table1[Date of Initial Assessment]="","",IF(AND(Table1[Start Date]&gt;42460,Table1[Start Date]&lt;42826),Table1[Managing Money and Personal Administration],""))</f>
        <v/>
      </c>
      <c r="FX173" s="44" t="str">
        <f>IF(Table1[Date of Initial Assessment]="","",IF(AND(Table1[Start Date]&gt;42460,Table1[Start Date]&lt;42826),Table1[Social Networks and Relationships],""))</f>
        <v/>
      </c>
      <c r="FY173" s="44" t="str">
        <f>IF(Table1[Date of Initial Assessment]="","",IF(AND(Table1[Start Date]&gt;42460,Table1[Start Date]&lt;42826),Table1[Drug and Alcohol Misuse],""))</f>
        <v/>
      </c>
      <c r="FZ173" s="44" t="str">
        <f>IF(Table1[Date of Initial Assessment]="","",IF(AND(Table1[Start Date]&gt;42460,Table1[Start Date]&lt;42826),Table1[Physical Health],""))</f>
        <v/>
      </c>
      <c r="GA173" s="44" t="str">
        <f>IF(Table1[Date of Initial Assessment]="","",IF(AND(Table1[Start Date]&gt;42460,Table1[Start Date]&lt;42826),Table1[Emotional and Mental Health],""))</f>
        <v/>
      </c>
      <c r="GB173" s="44" t="str">
        <f>IF(Table1[Date of Initial Assessment]="","",IF(AND(Table1[Start Date]&gt;42460,Table1[Start Date]&lt;42826),Table1[Meaningful Use of Time],""))</f>
        <v/>
      </c>
      <c r="GC173" s="44" t="str">
        <f>IF(Table1[Date of Initial Assessment]="","",IF(AND(Table1[Start Date]&gt;42460,Table1[Start Date]&lt;42826),Table1[Managing Tenancy and Accommodation],""))</f>
        <v/>
      </c>
      <c r="GD173" s="44" t="str">
        <f>IF(Table1[Date of Initial Assessment]="","",IF(AND(Table1[Start Date]&gt;42460,Table1[Start Date]&lt;42826),Table1[Offending],""))</f>
        <v/>
      </c>
      <c r="GE173" s="44" t="str">
        <f>IF(Table1[Leaving Date]="","",IF(AND(Table1[Leaving Date]&gt;42460,Table1[Leaving Date]&lt;42826),IF(Table1[Date of Last Assessment]="",Table1[Motivation and Taking Responsibility],Table1[Motivation and Taking Responsibility2]),""))</f>
        <v/>
      </c>
      <c r="GF173" s="44" t="str">
        <f>IF(Table1[Leaving Date]="","",IF(AND(Table1[Leaving Date]&gt;42460,Table1[Leaving Date]&lt;42826),IF(Table1[Date of Last Assessment]="",Table1[Self-Care and Living Skills],Table1[Self-Care and Living Skills2]),""))</f>
        <v/>
      </c>
      <c r="GG173" s="44" t="str">
        <f>IF(Table1[Leaving Date]="","",IF(AND(Table1[Leaving Date]&gt;42460,Table1[Leaving Date]&lt;42826),IF(Table1[Date of Last Assessment]="",Table1[Managing Money and Personal Administration],Table1[Managing Money and Personal Administration2]),""))</f>
        <v/>
      </c>
      <c r="GH173" s="44" t="str">
        <f>IF(Table1[Leaving Date]="","",IF(AND(Table1[Leaving Date]&gt;42460,Table1[Leaving Date]&lt;42826),IF(Table1[Date of Last Assessment]="",Table1[Social Networks and Relationships],Table1[Social Networks and Relationships2]),""))</f>
        <v/>
      </c>
      <c r="GI173" s="44" t="str">
        <f>IF(Table1[Leaving Date]="","",IF(AND(Table1[Leaving Date]&gt;42460,Table1[Leaving Date]&lt;42826),IF(Table1[Date of Last Assessment]="",Table1[Drug and Alcohol Misuse],Table1[Drug and Alcohol Misuse2]),""))</f>
        <v/>
      </c>
      <c r="GJ173" s="44" t="str">
        <f>IF(Table1[Leaving Date]="","",IF(AND(Table1[Leaving Date]&gt;42460,Table1[Leaving Date]&lt;42826),IF(Table1[Date of Last Assessment]="",Table1[Physical Health],Table1[Physical Health2]),""))</f>
        <v/>
      </c>
      <c r="GK173" s="44" t="str">
        <f>IF(Table1[Leaving Date]="","",IF(AND(Table1[Leaving Date]&gt;42460,Table1[Leaving Date]&lt;42826),IF(Table1[Date of Last Assessment]="",Table1[Emotional and Mental Health],Table1[Emotional and Mental Health2]),""))</f>
        <v/>
      </c>
      <c r="GL173" s="44" t="str">
        <f>IF(Table1[Leaving Date]="","",IF(AND(Table1[Leaving Date]&gt;42460,Table1[Leaving Date]&lt;42826),IF(Table1[Date of Last Assessment]="",Table1[Meaningful Use of Time],Table1[Meaningful Use of Time2]),""))</f>
        <v/>
      </c>
      <c r="GM173" s="44" t="str">
        <f>IF(Table1[Leaving Date]="","",IF(AND(Table1[Leaving Date]&gt;42460,Table1[Leaving Date]&lt;42826),IF(Table1[Date of Last Assessment]="",Table1[Managing Tenancy and Accommodation],Table1[Managing Tenancy and Accommodation2]),""))</f>
        <v/>
      </c>
      <c r="GN173" s="44" t="str">
        <f>IF(Table1[Leaving Date]="","",IF(AND(Table1[Leaving Date]&gt;42460,Table1[Leaving Date]&lt;42826),IF(Table1[Date of Last Assessment]="",Table1[Offending],Table1[Offending2]),""))</f>
        <v/>
      </c>
    </row>
    <row r="174" spans="2:196" ht="20.100000000000001" customHeight="1" x14ac:dyDescent="0.2">
      <c r="B174" s="86">
        <f>+'Service Data'!$C$5:$C$5</f>
        <v>0</v>
      </c>
      <c r="C174" s="86"/>
      <c r="D174" s="86"/>
      <c r="E174" s="86"/>
      <c r="F174" s="86"/>
      <c r="G174" s="86"/>
      <c r="H174" s="6"/>
      <c r="I174" s="99" t="str">
        <f ca="1">IF(Table1[[#This Row],[Date of Birth]]="","",SUM(TODAY()-Table1[[#This Row],[Date of Birth]])/365)</f>
        <v/>
      </c>
      <c r="L174" s="86"/>
      <c r="M174" s="77"/>
      <c r="N174" s="86"/>
      <c r="O174" s="86"/>
      <c r="P174" s="91"/>
      <c r="Q174" s="86"/>
      <c r="R174" s="77"/>
      <c r="S174" s="77"/>
      <c r="T174" s="68"/>
      <c r="U174" s="68"/>
      <c r="V174" s="67"/>
      <c r="W174" s="67"/>
      <c r="X174" s="67"/>
      <c r="Y174" s="67"/>
      <c r="Z174" s="67"/>
      <c r="AA174" s="67"/>
      <c r="AB174" s="67"/>
      <c r="AC174" s="67"/>
      <c r="AD174" s="67"/>
      <c r="AE174" s="67"/>
      <c r="AF174" s="67"/>
      <c r="AG174" s="67"/>
      <c r="AH174" s="67"/>
      <c r="AI174" s="67"/>
      <c r="AJ174" s="67"/>
      <c r="AK174" s="67"/>
      <c r="AL174" s="67"/>
      <c r="AM174" s="67"/>
      <c r="AN174" s="77"/>
      <c r="AO174" s="76"/>
      <c r="AP174" s="77"/>
      <c r="AQ174" s="76"/>
      <c r="AR174" s="76"/>
      <c r="AS174" s="76"/>
      <c r="AT174" s="76"/>
      <c r="AU174" s="76"/>
      <c r="AV174" s="77"/>
      <c r="AW174" s="76"/>
      <c r="AX174" s="77"/>
      <c r="AY174" s="76"/>
      <c r="AZ174" s="76"/>
      <c r="BA174" s="76"/>
      <c r="BB174" s="76"/>
      <c r="BC174" s="76"/>
      <c r="BD174" s="77"/>
      <c r="BE174" s="76"/>
      <c r="BF174" s="77"/>
      <c r="BG174" s="76"/>
      <c r="BH174" s="76"/>
      <c r="BI174" s="76"/>
      <c r="BJ174" s="76"/>
      <c r="BK174" s="76"/>
      <c r="BL174" s="77"/>
      <c r="BM174" s="76"/>
      <c r="BN174" s="77"/>
      <c r="BO174" s="76"/>
      <c r="BP174" s="76"/>
      <c r="BQ174" s="76"/>
      <c r="BR174" s="76"/>
      <c r="BS174" s="76"/>
      <c r="BT174" s="77"/>
      <c r="BU174" s="76"/>
      <c r="BV174" s="77"/>
      <c r="BW174" s="76"/>
      <c r="BX174" s="76"/>
      <c r="BY174" s="76"/>
      <c r="BZ174" s="76"/>
      <c r="CA174" s="76"/>
      <c r="CB174" s="77"/>
      <c r="CC174" s="76"/>
      <c r="CD174" s="77"/>
      <c r="CE174" s="76"/>
      <c r="CF174" s="76"/>
      <c r="CG174" s="76"/>
      <c r="CH174" s="76"/>
      <c r="CI174" s="76"/>
      <c r="CJ174" s="77"/>
      <c r="CK174" s="76"/>
      <c r="CL174" s="77"/>
      <c r="CM174" s="76"/>
      <c r="CN174" s="76"/>
      <c r="CO174" s="76"/>
      <c r="CP174" s="76"/>
      <c r="CQ174" s="76"/>
      <c r="CR174" s="78" t="str">
        <f t="shared" si="47"/>
        <v/>
      </c>
      <c r="CS174" s="79" t="str">
        <f t="shared" si="48"/>
        <v/>
      </c>
      <c r="CT174" s="79" t="str">
        <f t="shared" si="49"/>
        <v/>
      </c>
      <c r="CU174" s="79" t="str">
        <f t="shared" si="50"/>
        <v/>
      </c>
      <c r="CV174" s="79" t="str">
        <f t="shared" si="51"/>
        <v/>
      </c>
      <c r="CW174" s="79" t="str">
        <f t="shared" si="52"/>
        <v/>
      </c>
      <c r="CX174" s="79" t="str">
        <f t="shared" si="53"/>
        <v/>
      </c>
      <c r="CY174" s="79" t="str">
        <f t="shared" si="54"/>
        <v/>
      </c>
      <c r="CZ174" s="79" t="str">
        <f t="shared" si="55"/>
        <v/>
      </c>
      <c r="DA174" s="79" t="str">
        <f t="shared" si="56"/>
        <v/>
      </c>
      <c r="DB174" s="79" t="str">
        <f t="shared" si="57"/>
        <v/>
      </c>
      <c r="DC174" s="79" t="str">
        <f t="shared" si="58"/>
        <v/>
      </c>
      <c r="DD174" s="79" t="str">
        <f t="shared" si="59"/>
        <v/>
      </c>
      <c r="DE174" s="79" t="str">
        <f t="shared" si="60"/>
        <v/>
      </c>
      <c r="DF174" s="79" t="str">
        <f t="shared" si="61"/>
        <v/>
      </c>
      <c r="DG174" s="79" t="str">
        <f t="shared" si="62"/>
        <v/>
      </c>
      <c r="DH174" s="76"/>
      <c r="DI174" s="78"/>
      <c r="DJ174" s="76"/>
      <c r="DK174" s="77"/>
      <c r="DL174" s="77"/>
      <c r="DM174" s="77"/>
      <c r="DN174" s="80"/>
      <c r="DO174" s="80"/>
      <c r="DP174" s="92" t="str">
        <f>IF(Table1[Start Date]="","",IF(Table1[Start Date]&gt;42185,"",IF(AND(Table1[Leaving Date]&gt;1,Table1[Leaving Date]&lt;42095),"",1)))</f>
        <v/>
      </c>
      <c r="DQ174" s="92" t="str">
        <f>IF(Table1[Start Date]="","",IF(Table1[Start Date]&gt;42277,"",IF(AND(Table1[Leaving Date]&gt;1,Table1[Leaving Date]&lt;42186),"",1)))</f>
        <v/>
      </c>
      <c r="DR174" s="92" t="str">
        <f>IF(Table1[Start Date]="","",IF(Table1[Start Date]&gt;42369,"",IF(AND(Table1[Leaving Date]&gt;1,Table1[Leaving Date]&lt;42278),"",1)))</f>
        <v/>
      </c>
      <c r="DS174" s="92" t="str">
        <f>IF(Table1[Start Date]="","",IF(Table1[Start Date]&gt;42460,"",IF(AND(Table1[Leaving Date]&gt;1,Table1[Leaving Date]&lt;42370),"",1)))</f>
        <v/>
      </c>
      <c r="DT174" s="92" t="str">
        <f>IF(Table1[Start Date]="","",IF(Table1[Start Date]&gt;42551,"",IF(AND(Table1[Leaving Date]&gt;1,Table1[Leaving Date]&lt;42461),"",1)))</f>
        <v/>
      </c>
      <c r="DU174" s="92" t="str">
        <f>IF(Table1[Start Date]="","",IF(Table1[Start Date]&gt;42643,"",IF(AND(Table1[Leaving Date]&gt;1,Table1[Leaving Date]&lt;42552),"",1)))</f>
        <v/>
      </c>
      <c r="DV174" s="92" t="str">
        <f>IF(Table1[Start Date]="","",IF(Table1[Start Date]&gt;42735,"",IF(AND(Table1[Leaving Date]&gt;1,Table1[Leaving Date]&lt;42644),"",1)))</f>
        <v/>
      </c>
      <c r="DW174" s="92" t="str">
        <f>IF(Table1[Start Date]="","",IF(Table1[Start Date]&gt;42825,"",IF(AND(Table1[Leaving Date]&gt;1,Table1[Leaving Date]&lt;42736),"",1)))</f>
        <v/>
      </c>
      <c r="DX174"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174" s="44" t="e">
        <f>VLOOKUP(Table1[Referral Source],Lists!$G$2:$H$20,2,FALSE)</f>
        <v>#N/A</v>
      </c>
      <c r="DZ174" s="93" t="e">
        <f>SUM(Table1[Data Referral Quarter]+Table1[Data Referral Source])</f>
        <v>#N/A</v>
      </c>
      <c r="EA174" s="44" t="b">
        <f>IF(Table1[Referral Decision]="Accepted",100,IF(Table1[Referral Decision]="Rejected by Provider",200,IF(Table1[Referral Decision]="Rejected by Applicant",300)))</f>
        <v>0</v>
      </c>
      <c r="EB174" s="44">
        <f>SUM(Table1[Data Referral Quarter]+Table1[Data Referral Decision])</f>
        <v>0</v>
      </c>
      <c r="EC174" s="44" t="b">
        <f>IF(Table1[Start Date]&gt;42735,8000,IF(Table1[Start Date]&gt;42643,7000,IF(Table1[Start Date]&gt;42551,6000,IF(Table1[Start Date]&gt;42460,5000,IF(Table1[Start Date]&gt;42369,4000,IF(Table1[Start Date]&gt;42277,3000,IF(Table1[Start Date]&gt;42185,2000,IF(Table1[Start Date]&gt;42094,1000))))))))</f>
        <v>0</v>
      </c>
      <c r="ED174" s="44" t="str">
        <f>IF(Table1[Start Date]="","",IF(Table1[Current Local Authority]="Swindon",1,"2"))</f>
        <v/>
      </c>
      <c r="EE174" s="44" t="e">
        <f>SUM(Table1[Data Start Date]+Table1[Data Local Authority])</f>
        <v>#VALUE!</v>
      </c>
      <c r="EF174" s="44">
        <f>IF(Table1[Registered with GP]="Yes",1,0)</f>
        <v>0</v>
      </c>
      <c r="EG174" s="44">
        <f>SUM(Table1[Data Start Date]+Table1[Data GP Start])</f>
        <v>0</v>
      </c>
      <c r="EH174" s="44" t="str">
        <f>IF(Table1[EET]="NEET",1,IF(Table1[EET]="Education",2,IF(Table1[EET]="Employment",2,IF(Table1[EET]="Training",2,IF(Table1[EET]="Retired",3,"")))))</f>
        <v/>
      </c>
      <c r="EI174" s="44" t="e">
        <f>Table1[Data Start Date]+Table1[Data EET Start]</f>
        <v>#VALUE!</v>
      </c>
      <c r="EJ174" s="44" t="b">
        <f>IF(Table1[Leaving Date]&gt;42735,8000,IF(Table1[Leaving Date]&gt;42643,7000,IF(Table1[Leaving Date]&gt;42551,6000,IF(Table1[Leaving Date]&gt;42460,5000,IF(Table1[Leaving Date]&gt;42369,4000,IF(Table1[Leaving Date]&gt;42277,3000,IF(Table1[Leaving Date]&gt;42185,2000,IF(Table1[Leaving Date]&gt;42094,1000))))))))</f>
        <v>0</v>
      </c>
      <c r="EK174" s="44" t="e">
        <f>VLOOKUP(Table1[Reason for Leaving],Lists!$T$2:$U$15,2,FALSE)</f>
        <v>#N/A</v>
      </c>
      <c r="EL174" s="44" t="e">
        <f>SUM(Table1[Data Leavers Date]+Table1[Data Move On])</f>
        <v>#N/A</v>
      </c>
      <c r="EM174" s="44" t="b">
        <f>IF(Table1[Registered with GP2]="Yes",1,IF(Table1[Registered with GP2]="No",0,IF(Table1[Registered with GP]="Yes",1,IF(Table1[Registered with GP]="No",0))))</f>
        <v>0</v>
      </c>
      <c r="EN174" s="44">
        <f>SUM(Table1[Data Leavers Date]+Table1[Data GP End])</f>
        <v>0</v>
      </c>
      <c r="EO174" s="44" t="str">
        <f>IF(Table1[EET2]="NEET",1,IF(Table1[EET2]="Employment",2,IF(Table1[EET2]="Education",2,IF(Table1[EET2]="Training",2,IF(Table1[EET2]="Retired",3,IF(Table1[EET]="NEET",1,IF(Table1[EET]="Employment",2,IF(Table1[EET]="Education",2,IF(Table1[EET]="Training",2,IF(Table1[EET]="Retired",3,""))))))))))</f>
        <v/>
      </c>
      <c r="EP174" s="44" t="e">
        <f>+Table1[[#This Row],[Data Leavers Date]]+Table1[[#This Row],[Data EET End]]</f>
        <v>#VALUE!</v>
      </c>
      <c r="EQ174" s="44">
        <f>IF(Table1[Exit Form Received]="Yes",1,0)</f>
        <v>0</v>
      </c>
      <c r="ER174" s="44">
        <f>+Table1[[#This Row],[Data Leavers Date]]+Table1[[#This Row],[Data Exit Forms]]</f>
        <v>0</v>
      </c>
      <c r="ES174" s="44" t="str">
        <f>IF(Table1[Data Leavers Date]=1000,SUM(Table1[Leaving Date]-Table1[Start Date]),"")</f>
        <v/>
      </c>
      <c r="ET174" s="44" t="str">
        <f>IF(Table1[Data Leavers Date]=2000,SUM(Table1[Leaving Date]-Table1[Start Date]),"")</f>
        <v/>
      </c>
      <c r="EU174" s="44" t="str">
        <f>IF(Table1[Data Leavers Date]=3000,SUM(Table1[Leaving Date]-Table1[Start Date]),"")</f>
        <v/>
      </c>
      <c r="EV174" s="44" t="str">
        <f>IF(Table1[Data Leavers Date]=4000,SUM(Table1[Leaving Date]-Table1[Start Date]),"")</f>
        <v/>
      </c>
      <c r="EW174" s="44" t="str">
        <f>IF(Table1[Data Leavers Date]=5000,SUM(Table1[Leaving Date]-Table1[Start Date]),"")</f>
        <v/>
      </c>
      <c r="EX174" s="44" t="str">
        <f>IF(Table1[Data Leavers Date]=6000,SUM(Table1[Leaving Date]-Table1[Start Date]),"")</f>
        <v/>
      </c>
      <c r="EY174" s="44" t="str">
        <f>IF(Table1[Data Leavers Date]=7000,SUM(Table1[Leaving Date]-Table1[Start Date]),"")</f>
        <v/>
      </c>
      <c r="EZ174" s="44" t="str">
        <f>IF(Table1[Data Leavers Date]=8000,SUM(Table1[Leaving Date]-Table1[Start Date]),"")</f>
        <v/>
      </c>
      <c r="FA174" s="44" t="str">
        <f>IF(Table1[Date of Initial Assessment]="","",IF(AND(Table1[Start Date]&gt;42094,Table1[Start Date]&lt;42461),Table1[Motivation and Taking Responsibility],""))</f>
        <v/>
      </c>
      <c r="FB174" s="44" t="str">
        <f>IF(Table1[Date of Initial Assessment]="","",IF(AND(Table1[Start Date]&gt;42094,Table1[Start Date]&lt;42461),Table1[Self-Care and Living Skills],""))</f>
        <v/>
      </c>
      <c r="FC174" s="44" t="str">
        <f>IF(Table1[Date of Initial Assessment]="","",IF(AND(Table1[Start Date]&gt;42094,Table1[Start Date]&lt;42461),Table1[Managing Money and Personal Administration],""))</f>
        <v/>
      </c>
      <c r="FD174" s="44" t="str">
        <f>IF(Table1[Date of Initial Assessment]="","",IF(AND(Table1[Start Date]&gt;42094,Table1[Start Date]&lt;42461),Table1[Social Networks and Relationships],""))</f>
        <v/>
      </c>
      <c r="FE174" s="44" t="str">
        <f>IF(Table1[Date of Initial Assessment]="","",IF(AND(Table1[Start Date]&gt;42094,Table1[Start Date]&lt;42461),Table1[Drug and Alcohol Misuse],""))</f>
        <v/>
      </c>
      <c r="FF174" s="44" t="str">
        <f>IF(Table1[Date of Initial Assessment]="","",IF(AND(Table1[Start Date]&gt;42094,Table1[Start Date]&lt;42461),Table1[Physical Health],""))</f>
        <v/>
      </c>
      <c r="FG174" s="44" t="str">
        <f>IF(Table1[Date of Initial Assessment]="","",IF(AND(Table1[Start Date]&gt;42094,Table1[Start Date]&lt;42461),Table1[Emotional and Mental Health],""))</f>
        <v/>
      </c>
      <c r="FH174" s="44" t="str">
        <f>IF(Table1[Date of Initial Assessment]="","",IF(AND(Table1[Start Date]&gt;42094,Table1[Start Date]&lt;42461),Table1[Meaningful Use of Time],""))</f>
        <v/>
      </c>
      <c r="FI174" s="44" t="str">
        <f>IF(Table1[Date of Initial Assessment]="","",IF(AND(Table1[Start Date]&gt;42094,Table1[Start Date]&lt;42461),Table1[Managing Tenancy and Accommodation],""))</f>
        <v/>
      </c>
      <c r="FJ174" s="44" t="str">
        <f>IF(Table1[Date of Initial Assessment]="","",IF(AND(Table1[Start Date]&gt;42094,Table1[Start Date]&lt;42461),Table1[Offending],""))</f>
        <v/>
      </c>
      <c r="FK174" s="44" t="str">
        <f>IF(Table1[Leaving Date]="","",IF(Table1[Date of Initial Assessment]="","",IF(AND(Table1[Leaving Date]&gt;42094,Table1[Leaving Date]&lt;42461),IF(Table1[Date of Last Assessment]="",Table1[Motivation and Taking Responsibility],Table1[Motivation and Taking Responsibility2]),"")))</f>
        <v/>
      </c>
      <c r="FL174" s="44" t="str">
        <f>IF(Table1[Leaving Date]="","",IF(Table1[Date of Initial Assessment]="","",IF(AND(Table1[Leaving Date]&gt;42094,Table1[Leaving Date]&lt;42461),IF(Table1[Date of Last Assessment]="",Table1[Self-Care and Living Skills],Table1[Self-Care and Living Skills2]),"")))</f>
        <v/>
      </c>
      <c r="FM174" s="44" t="str">
        <f>IF(Table1[Leaving Date]="","",IF(Table1[Date of Initial Assessment]="","",IF(AND(Table1[Leaving Date]&gt;42094,Table1[Leaving Date]&lt;42461),IF(Table1[Date of Last Assessment]="",Table1[Managing Money and Personal Administration],Table1[Managing Money and Personal Administration2]),"")))</f>
        <v/>
      </c>
      <c r="FN174" s="44" t="str">
        <f>IF(Table1[Leaving Date]="","",IF(Table1[Date of Initial Assessment]="","",IF(AND(Table1[Leaving Date]&gt;42094,Table1[Leaving Date]&lt;42461),IF(Table1[Date of Last Assessment]="",Table1[Social Networks and Relationships],Table1[Social Networks and Relationships2]),"")))</f>
        <v/>
      </c>
      <c r="FO174" s="44" t="str">
        <f>IF(Table1[Leaving Date]="","",IF(Table1[Date of Initial Assessment]="","",IF(AND(Table1[Leaving Date]&gt;42094,Table1[Leaving Date]&lt;42461),IF(Table1[Date of Last Assessment]="",Table1[Drug and Alcohol Misuse],Table1[Drug and Alcohol Misuse2]),"")))</f>
        <v/>
      </c>
      <c r="FP174" s="44" t="str">
        <f>IF(Table1[Leaving Date]="","",IF(Table1[Date of Initial Assessment]="","",IF(AND(Table1[Leaving Date]&gt;42094,Table1[Leaving Date]&lt;42461),IF(Table1[Date of Last Assessment]="",Table1[Physical Health],Table1[Physical Health2]),"")))</f>
        <v/>
      </c>
      <c r="FQ174" s="44" t="str">
        <f>IF(Table1[Leaving Date]="","",IF(Table1[Date of Initial Assessment]="","",IF(AND(Table1[Leaving Date]&gt;42094,Table1[Leaving Date]&lt;42461),IF(Table1[Date of Last Assessment]="",Table1[Emotional and Mental Health],Table1[Emotional and Mental Health2]),"")))</f>
        <v/>
      </c>
      <c r="FR174" s="44" t="str">
        <f>IF(Table1[Leaving Date]="","",IF(Table1[Date of Initial Assessment]="","",IF(AND(Table1[Leaving Date]&gt;42094,Table1[Leaving Date]&lt;42461),IF(Table1[Date of Last Assessment]="",Table1[Meaningful Use of Time],Table1[Meaningful Use of Time2]),"")))</f>
        <v/>
      </c>
      <c r="FS174" s="44" t="str">
        <f>IF(Table1[Leaving Date]="","",IF(Table1[Date of Initial Assessment]="","",IF(AND(Table1[Leaving Date]&gt;42094,Table1[Leaving Date]&lt;42461),IF(Table1[Date of Last Assessment]="",Table1[Managing Tenancy and Accommodation],Table1[Managing Tenancy and Accommodation2]),"")))</f>
        <v/>
      </c>
      <c r="FT174" s="44" t="str">
        <f>IF(Table1[Leaving Date]="","",IF(Table1[Date of Initial Assessment]="","",IF(AND(Table1[Leaving Date]&gt;42094,Table1[Leaving Date]&lt;42461),IF(Table1[Date of Last Assessment]="",Table1[Offending],Table1[Offending2]),"")))</f>
        <v/>
      </c>
      <c r="FU174" s="44" t="str">
        <f>IF(Table1[Date of Initial Assessment]="","",IF(AND(Table1[Start Date]&gt;42460,Table1[Start Date]&lt;42826),Table1[Motivation and Taking Responsibility],""))</f>
        <v/>
      </c>
      <c r="FV174" s="44" t="str">
        <f>IF(Table1[Date of Initial Assessment]="","",IF(AND(Table1[Start Date]&gt;42460,Table1[Start Date]&lt;42826),Table1[Self-Care and Living Skills],""))</f>
        <v/>
      </c>
      <c r="FW174" s="44" t="str">
        <f>IF(Table1[Date of Initial Assessment]="","",IF(AND(Table1[Start Date]&gt;42460,Table1[Start Date]&lt;42826),Table1[Managing Money and Personal Administration],""))</f>
        <v/>
      </c>
      <c r="FX174" s="44" t="str">
        <f>IF(Table1[Date of Initial Assessment]="","",IF(AND(Table1[Start Date]&gt;42460,Table1[Start Date]&lt;42826),Table1[Social Networks and Relationships],""))</f>
        <v/>
      </c>
      <c r="FY174" s="44" t="str">
        <f>IF(Table1[Date of Initial Assessment]="","",IF(AND(Table1[Start Date]&gt;42460,Table1[Start Date]&lt;42826),Table1[Drug and Alcohol Misuse],""))</f>
        <v/>
      </c>
      <c r="FZ174" s="44" t="str">
        <f>IF(Table1[Date of Initial Assessment]="","",IF(AND(Table1[Start Date]&gt;42460,Table1[Start Date]&lt;42826),Table1[Physical Health],""))</f>
        <v/>
      </c>
      <c r="GA174" s="44" t="str">
        <f>IF(Table1[Date of Initial Assessment]="","",IF(AND(Table1[Start Date]&gt;42460,Table1[Start Date]&lt;42826),Table1[Emotional and Mental Health],""))</f>
        <v/>
      </c>
      <c r="GB174" s="44" t="str">
        <f>IF(Table1[Date of Initial Assessment]="","",IF(AND(Table1[Start Date]&gt;42460,Table1[Start Date]&lt;42826),Table1[Meaningful Use of Time],""))</f>
        <v/>
      </c>
      <c r="GC174" s="44" t="str">
        <f>IF(Table1[Date of Initial Assessment]="","",IF(AND(Table1[Start Date]&gt;42460,Table1[Start Date]&lt;42826),Table1[Managing Tenancy and Accommodation],""))</f>
        <v/>
      </c>
      <c r="GD174" s="44" t="str">
        <f>IF(Table1[Date of Initial Assessment]="","",IF(AND(Table1[Start Date]&gt;42460,Table1[Start Date]&lt;42826),Table1[Offending],""))</f>
        <v/>
      </c>
      <c r="GE174" s="44" t="str">
        <f>IF(Table1[Leaving Date]="","",IF(AND(Table1[Leaving Date]&gt;42460,Table1[Leaving Date]&lt;42826),IF(Table1[Date of Last Assessment]="",Table1[Motivation and Taking Responsibility],Table1[Motivation and Taking Responsibility2]),""))</f>
        <v/>
      </c>
      <c r="GF174" s="44" t="str">
        <f>IF(Table1[Leaving Date]="","",IF(AND(Table1[Leaving Date]&gt;42460,Table1[Leaving Date]&lt;42826),IF(Table1[Date of Last Assessment]="",Table1[Self-Care and Living Skills],Table1[Self-Care and Living Skills2]),""))</f>
        <v/>
      </c>
      <c r="GG174" s="44" t="str">
        <f>IF(Table1[Leaving Date]="","",IF(AND(Table1[Leaving Date]&gt;42460,Table1[Leaving Date]&lt;42826),IF(Table1[Date of Last Assessment]="",Table1[Managing Money and Personal Administration],Table1[Managing Money and Personal Administration2]),""))</f>
        <v/>
      </c>
      <c r="GH174" s="44" t="str">
        <f>IF(Table1[Leaving Date]="","",IF(AND(Table1[Leaving Date]&gt;42460,Table1[Leaving Date]&lt;42826),IF(Table1[Date of Last Assessment]="",Table1[Social Networks and Relationships],Table1[Social Networks and Relationships2]),""))</f>
        <v/>
      </c>
      <c r="GI174" s="44" t="str">
        <f>IF(Table1[Leaving Date]="","",IF(AND(Table1[Leaving Date]&gt;42460,Table1[Leaving Date]&lt;42826),IF(Table1[Date of Last Assessment]="",Table1[Drug and Alcohol Misuse],Table1[Drug and Alcohol Misuse2]),""))</f>
        <v/>
      </c>
      <c r="GJ174" s="44" t="str">
        <f>IF(Table1[Leaving Date]="","",IF(AND(Table1[Leaving Date]&gt;42460,Table1[Leaving Date]&lt;42826),IF(Table1[Date of Last Assessment]="",Table1[Physical Health],Table1[Physical Health2]),""))</f>
        <v/>
      </c>
      <c r="GK174" s="44" t="str">
        <f>IF(Table1[Leaving Date]="","",IF(AND(Table1[Leaving Date]&gt;42460,Table1[Leaving Date]&lt;42826),IF(Table1[Date of Last Assessment]="",Table1[Emotional and Mental Health],Table1[Emotional and Mental Health2]),""))</f>
        <v/>
      </c>
      <c r="GL174" s="44" t="str">
        <f>IF(Table1[Leaving Date]="","",IF(AND(Table1[Leaving Date]&gt;42460,Table1[Leaving Date]&lt;42826),IF(Table1[Date of Last Assessment]="",Table1[Meaningful Use of Time],Table1[Meaningful Use of Time2]),""))</f>
        <v/>
      </c>
      <c r="GM174" s="44" t="str">
        <f>IF(Table1[Leaving Date]="","",IF(AND(Table1[Leaving Date]&gt;42460,Table1[Leaving Date]&lt;42826),IF(Table1[Date of Last Assessment]="",Table1[Managing Tenancy and Accommodation],Table1[Managing Tenancy and Accommodation2]),""))</f>
        <v/>
      </c>
      <c r="GN174" s="44" t="str">
        <f>IF(Table1[Leaving Date]="","",IF(AND(Table1[Leaving Date]&gt;42460,Table1[Leaving Date]&lt;42826),IF(Table1[Date of Last Assessment]="",Table1[Offending],Table1[Offending2]),""))</f>
        <v/>
      </c>
    </row>
    <row r="175" spans="2:196" ht="20.100000000000001" customHeight="1" x14ac:dyDescent="0.2">
      <c r="B175" s="86">
        <f>+'Service Data'!$C$5:$C$5</f>
        <v>0</v>
      </c>
      <c r="C175" s="86"/>
      <c r="D175" s="86"/>
      <c r="E175" s="86"/>
      <c r="F175" s="86"/>
      <c r="G175" s="86"/>
      <c r="H175" s="6"/>
      <c r="I175" s="99" t="str">
        <f ca="1">IF(Table1[[#This Row],[Date of Birth]]="","",SUM(TODAY()-Table1[[#This Row],[Date of Birth]])/365)</f>
        <v/>
      </c>
      <c r="L175" s="86"/>
      <c r="M175" s="77"/>
      <c r="N175" s="86"/>
      <c r="O175" s="86"/>
      <c r="P175" s="91"/>
      <c r="Q175" s="86"/>
      <c r="R175" s="77"/>
      <c r="S175" s="77"/>
      <c r="T175" s="68"/>
      <c r="U175" s="68"/>
      <c r="V175" s="67"/>
      <c r="W175" s="67"/>
      <c r="X175" s="67"/>
      <c r="Y175" s="67"/>
      <c r="Z175" s="67"/>
      <c r="AA175" s="67"/>
      <c r="AB175" s="67"/>
      <c r="AC175" s="67"/>
      <c r="AD175" s="67"/>
      <c r="AE175" s="67"/>
      <c r="AF175" s="67"/>
      <c r="AG175" s="67"/>
      <c r="AH175" s="67"/>
      <c r="AI175" s="67"/>
      <c r="AJ175" s="67"/>
      <c r="AK175" s="67"/>
      <c r="AL175" s="67"/>
      <c r="AM175" s="67"/>
      <c r="AN175" s="77"/>
      <c r="AO175" s="76"/>
      <c r="AP175" s="77"/>
      <c r="AQ175" s="76"/>
      <c r="AR175" s="76"/>
      <c r="AS175" s="76"/>
      <c r="AT175" s="76"/>
      <c r="AU175" s="76"/>
      <c r="AV175" s="77"/>
      <c r="AW175" s="76"/>
      <c r="AX175" s="77"/>
      <c r="AY175" s="76"/>
      <c r="AZ175" s="76"/>
      <c r="BA175" s="76"/>
      <c r="BB175" s="76"/>
      <c r="BC175" s="76"/>
      <c r="BD175" s="77"/>
      <c r="BE175" s="76"/>
      <c r="BF175" s="77"/>
      <c r="BG175" s="76"/>
      <c r="BH175" s="76"/>
      <c r="BI175" s="76"/>
      <c r="BJ175" s="76"/>
      <c r="BK175" s="76"/>
      <c r="BL175" s="77"/>
      <c r="BM175" s="76"/>
      <c r="BN175" s="77"/>
      <c r="BO175" s="76"/>
      <c r="BP175" s="76"/>
      <c r="BQ175" s="76"/>
      <c r="BR175" s="76"/>
      <c r="BS175" s="76"/>
      <c r="BT175" s="77"/>
      <c r="BU175" s="76"/>
      <c r="BV175" s="77"/>
      <c r="BW175" s="76"/>
      <c r="BX175" s="76"/>
      <c r="BY175" s="76"/>
      <c r="BZ175" s="76"/>
      <c r="CA175" s="76"/>
      <c r="CB175" s="77"/>
      <c r="CC175" s="76"/>
      <c r="CD175" s="77"/>
      <c r="CE175" s="76"/>
      <c r="CF175" s="76"/>
      <c r="CG175" s="76"/>
      <c r="CH175" s="76"/>
      <c r="CI175" s="76"/>
      <c r="CJ175" s="77"/>
      <c r="CK175" s="76"/>
      <c r="CL175" s="77"/>
      <c r="CM175" s="76"/>
      <c r="CN175" s="76"/>
      <c r="CO175" s="76"/>
      <c r="CP175" s="76"/>
      <c r="CQ175" s="76"/>
      <c r="CR175" s="78" t="str">
        <f t="shared" si="47"/>
        <v/>
      </c>
      <c r="CS175" s="79" t="str">
        <f t="shared" si="48"/>
        <v/>
      </c>
      <c r="CT175" s="79" t="str">
        <f t="shared" si="49"/>
        <v/>
      </c>
      <c r="CU175" s="79" t="str">
        <f t="shared" si="50"/>
        <v/>
      </c>
      <c r="CV175" s="79" t="str">
        <f t="shared" si="51"/>
        <v/>
      </c>
      <c r="CW175" s="79" t="str">
        <f t="shared" si="52"/>
        <v/>
      </c>
      <c r="CX175" s="79" t="str">
        <f t="shared" si="53"/>
        <v/>
      </c>
      <c r="CY175" s="79" t="str">
        <f t="shared" si="54"/>
        <v/>
      </c>
      <c r="CZ175" s="79" t="str">
        <f t="shared" si="55"/>
        <v/>
      </c>
      <c r="DA175" s="79" t="str">
        <f t="shared" si="56"/>
        <v/>
      </c>
      <c r="DB175" s="79" t="str">
        <f t="shared" si="57"/>
        <v/>
      </c>
      <c r="DC175" s="79" t="str">
        <f t="shared" si="58"/>
        <v/>
      </c>
      <c r="DD175" s="79" t="str">
        <f t="shared" si="59"/>
        <v/>
      </c>
      <c r="DE175" s="79" t="str">
        <f t="shared" si="60"/>
        <v/>
      </c>
      <c r="DF175" s="79" t="str">
        <f t="shared" si="61"/>
        <v/>
      </c>
      <c r="DG175" s="79" t="str">
        <f t="shared" si="62"/>
        <v/>
      </c>
      <c r="DH175" s="76"/>
      <c r="DI175" s="78"/>
      <c r="DJ175" s="76"/>
      <c r="DK175" s="77"/>
      <c r="DL175" s="77"/>
      <c r="DM175" s="77"/>
      <c r="DN175" s="80"/>
      <c r="DO175" s="80"/>
      <c r="DP175" s="92" t="str">
        <f>IF(Table1[Start Date]="","",IF(Table1[Start Date]&gt;42185,"",IF(AND(Table1[Leaving Date]&gt;1,Table1[Leaving Date]&lt;42095),"",1)))</f>
        <v/>
      </c>
      <c r="DQ175" s="92" t="str">
        <f>IF(Table1[Start Date]="","",IF(Table1[Start Date]&gt;42277,"",IF(AND(Table1[Leaving Date]&gt;1,Table1[Leaving Date]&lt;42186),"",1)))</f>
        <v/>
      </c>
      <c r="DR175" s="92" t="str">
        <f>IF(Table1[Start Date]="","",IF(Table1[Start Date]&gt;42369,"",IF(AND(Table1[Leaving Date]&gt;1,Table1[Leaving Date]&lt;42278),"",1)))</f>
        <v/>
      </c>
      <c r="DS175" s="92" t="str">
        <f>IF(Table1[Start Date]="","",IF(Table1[Start Date]&gt;42460,"",IF(AND(Table1[Leaving Date]&gt;1,Table1[Leaving Date]&lt;42370),"",1)))</f>
        <v/>
      </c>
      <c r="DT175" s="92" t="str">
        <f>IF(Table1[Start Date]="","",IF(Table1[Start Date]&gt;42551,"",IF(AND(Table1[Leaving Date]&gt;1,Table1[Leaving Date]&lt;42461),"",1)))</f>
        <v/>
      </c>
      <c r="DU175" s="92" t="str">
        <f>IF(Table1[Start Date]="","",IF(Table1[Start Date]&gt;42643,"",IF(AND(Table1[Leaving Date]&gt;1,Table1[Leaving Date]&lt;42552),"",1)))</f>
        <v/>
      </c>
      <c r="DV175" s="92" t="str">
        <f>IF(Table1[Start Date]="","",IF(Table1[Start Date]&gt;42735,"",IF(AND(Table1[Leaving Date]&gt;1,Table1[Leaving Date]&lt;42644),"",1)))</f>
        <v/>
      </c>
      <c r="DW175" s="92" t="str">
        <f>IF(Table1[Start Date]="","",IF(Table1[Start Date]&gt;42825,"",IF(AND(Table1[Leaving Date]&gt;1,Table1[Leaving Date]&lt;42736),"",1)))</f>
        <v/>
      </c>
      <c r="DX175"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175" s="44" t="e">
        <f>VLOOKUP(Table1[Referral Source],Lists!$G$2:$H$20,2,FALSE)</f>
        <v>#N/A</v>
      </c>
      <c r="DZ175" s="93" t="e">
        <f>SUM(Table1[Data Referral Quarter]+Table1[Data Referral Source])</f>
        <v>#N/A</v>
      </c>
      <c r="EA175" s="44" t="b">
        <f>IF(Table1[Referral Decision]="Accepted",100,IF(Table1[Referral Decision]="Rejected by Provider",200,IF(Table1[Referral Decision]="Rejected by Applicant",300)))</f>
        <v>0</v>
      </c>
      <c r="EB175" s="44">
        <f>SUM(Table1[Data Referral Quarter]+Table1[Data Referral Decision])</f>
        <v>0</v>
      </c>
      <c r="EC175" s="44" t="b">
        <f>IF(Table1[Start Date]&gt;42735,8000,IF(Table1[Start Date]&gt;42643,7000,IF(Table1[Start Date]&gt;42551,6000,IF(Table1[Start Date]&gt;42460,5000,IF(Table1[Start Date]&gt;42369,4000,IF(Table1[Start Date]&gt;42277,3000,IF(Table1[Start Date]&gt;42185,2000,IF(Table1[Start Date]&gt;42094,1000))))))))</f>
        <v>0</v>
      </c>
      <c r="ED175" s="44" t="str">
        <f>IF(Table1[Start Date]="","",IF(Table1[Current Local Authority]="Swindon",1,"2"))</f>
        <v/>
      </c>
      <c r="EE175" s="44" t="e">
        <f>SUM(Table1[Data Start Date]+Table1[Data Local Authority])</f>
        <v>#VALUE!</v>
      </c>
      <c r="EF175" s="44">
        <f>IF(Table1[Registered with GP]="Yes",1,0)</f>
        <v>0</v>
      </c>
      <c r="EG175" s="44">
        <f>SUM(Table1[Data Start Date]+Table1[Data GP Start])</f>
        <v>0</v>
      </c>
      <c r="EH175" s="44" t="str">
        <f>IF(Table1[EET]="NEET",1,IF(Table1[EET]="Education",2,IF(Table1[EET]="Employment",2,IF(Table1[EET]="Training",2,IF(Table1[EET]="Retired",3,"")))))</f>
        <v/>
      </c>
      <c r="EI175" s="44" t="e">
        <f>Table1[Data Start Date]+Table1[Data EET Start]</f>
        <v>#VALUE!</v>
      </c>
      <c r="EJ175" s="44" t="b">
        <f>IF(Table1[Leaving Date]&gt;42735,8000,IF(Table1[Leaving Date]&gt;42643,7000,IF(Table1[Leaving Date]&gt;42551,6000,IF(Table1[Leaving Date]&gt;42460,5000,IF(Table1[Leaving Date]&gt;42369,4000,IF(Table1[Leaving Date]&gt;42277,3000,IF(Table1[Leaving Date]&gt;42185,2000,IF(Table1[Leaving Date]&gt;42094,1000))))))))</f>
        <v>0</v>
      </c>
      <c r="EK175" s="44" t="e">
        <f>VLOOKUP(Table1[Reason for Leaving],Lists!$T$2:$U$15,2,FALSE)</f>
        <v>#N/A</v>
      </c>
      <c r="EL175" s="44" t="e">
        <f>SUM(Table1[Data Leavers Date]+Table1[Data Move On])</f>
        <v>#N/A</v>
      </c>
      <c r="EM175" s="44" t="b">
        <f>IF(Table1[Registered with GP2]="Yes",1,IF(Table1[Registered with GP2]="No",0,IF(Table1[Registered with GP]="Yes",1,IF(Table1[Registered with GP]="No",0))))</f>
        <v>0</v>
      </c>
      <c r="EN175" s="44">
        <f>SUM(Table1[Data Leavers Date]+Table1[Data GP End])</f>
        <v>0</v>
      </c>
      <c r="EO175" s="44" t="str">
        <f>IF(Table1[EET2]="NEET",1,IF(Table1[EET2]="Employment",2,IF(Table1[EET2]="Education",2,IF(Table1[EET2]="Training",2,IF(Table1[EET2]="Retired",3,IF(Table1[EET]="NEET",1,IF(Table1[EET]="Employment",2,IF(Table1[EET]="Education",2,IF(Table1[EET]="Training",2,IF(Table1[EET]="Retired",3,""))))))))))</f>
        <v/>
      </c>
      <c r="EP175" s="44" t="e">
        <f>+Table1[[#This Row],[Data Leavers Date]]+Table1[[#This Row],[Data EET End]]</f>
        <v>#VALUE!</v>
      </c>
      <c r="EQ175" s="44">
        <f>IF(Table1[Exit Form Received]="Yes",1,0)</f>
        <v>0</v>
      </c>
      <c r="ER175" s="44">
        <f>+Table1[[#This Row],[Data Leavers Date]]+Table1[[#This Row],[Data Exit Forms]]</f>
        <v>0</v>
      </c>
      <c r="ES175" s="44" t="str">
        <f>IF(Table1[Data Leavers Date]=1000,SUM(Table1[Leaving Date]-Table1[Start Date]),"")</f>
        <v/>
      </c>
      <c r="ET175" s="44" t="str">
        <f>IF(Table1[Data Leavers Date]=2000,SUM(Table1[Leaving Date]-Table1[Start Date]),"")</f>
        <v/>
      </c>
      <c r="EU175" s="44" t="str">
        <f>IF(Table1[Data Leavers Date]=3000,SUM(Table1[Leaving Date]-Table1[Start Date]),"")</f>
        <v/>
      </c>
      <c r="EV175" s="44" t="str">
        <f>IF(Table1[Data Leavers Date]=4000,SUM(Table1[Leaving Date]-Table1[Start Date]),"")</f>
        <v/>
      </c>
      <c r="EW175" s="44" t="str">
        <f>IF(Table1[Data Leavers Date]=5000,SUM(Table1[Leaving Date]-Table1[Start Date]),"")</f>
        <v/>
      </c>
      <c r="EX175" s="44" t="str">
        <f>IF(Table1[Data Leavers Date]=6000,SUM(Table1[Leaving Date]-Table1[Start Date]),"")</f>
        <v/>
      </c>
      <c r="EY175" s="44" t="str">
        <f>IF(Table1[Data Leavers Date]=7000,SUM(Table1[Leaving Date]-Table1[Start Date]),"")</f>
        <v/>
      </c>
      <c r="EZ175" s="44" t="str">
        <f>IF(Table1[Data Leavers Date]=8000,SUM(Table1[Leaving Date]-Table1[Start Date]),"")</f>
        <v/>
      </c>
      <c r="FA175" s="44" t="str">
        <f>IF(Table1[Date of Initial Assessment]="","",IF(AND(Table1[Start Date]&gt;42094,Table1[Start Date]&lt;42461),Table1[Motivation and Taking Responsibility],""))</f>
        <v/>
      </c>
      <c r="FB175" s="44" t="str">
        <f>IF(Table1[Date of Initial Assessment]="","",IF(AND(Table1[Start Date]&gt;42094,Table1[Start Date]&lt;42461),Table1[Self-Care and Living Skills],""))</f>
        <v/>
      </c>
      <c r="FC175" s="44" t="str">
        <f>IF(Table1[Date of Initial Assessment]="","",IF(AND(Table1[Start Date]&gt;42094,Table1[Start Date]&lt;42461),Table1[Managing Money and Personal Administration],""))</f>
        <v/>
      </c>
      <c r="FD175" s="44" t="str">
        <f>IF(Table1[Date of Initial Assessment]="","",IF(AND(Table1[Start Date]&gt;42094,Table1[Start Date]&lt;42461),Table1[Social Networks and Relationships],""))</f>
        <v/>
      </c>
      <c r="FE175" s="44" t="str">
        <f>IF(Table1[Date of Initial Assessment]="","",IF(AND(Table1[Start Date]&gt;42094,Table1[Start Date]&lt;42461),Table1[Drug and Alcohol Misuse],""))</f>
        <v/>
      </c>
      <c r="FF175" s="44" t="str">
        <f>IF(Table1[Date of Initial Assessment]="","",IF(AND(Table1[Start Date]&gt;42094,Table1[Start Date]&lt;42461),Table1[Physical Health],""))</f>
        <v/>
      </c>
      <c r="FG175" s="44" t="str">
        <f>IF(Table1[Date of Initial Assessment]="","",IF(AND(Table1[Start Date]&gt;42094,Table1[Start Date]&lt;42461),Table1[Emotional and Mental Health],""))</f>
        <v/>
      </c>
      <c r="FH175" s="44" t="str">
        <f>IF(Table1[Date of Initial Assessment]="","",IF(AND(Table1[Start Date]&gt;42094,Table1[Start Date]&lt;42461),Table1[Meaningful Use of Time],""))</f>
        <v/>
      </c>
      <c r="FI175" s="44" t="str">
        <f>IF(Table1[Date of Initial Assessment]="","",IF(AND(Table1[Start Date]&gt;42094,Table1[Start Date]&lt;42461),Table1[Managing Tenancy and Accommodation],""))</f>
        <v/>
      </c>
      <c r="FJ175" s="44" t="str">
        <f>IF(Table1[Date of Initial Assessment]="","",IF(AND(Table1[Start Date]&gt;42094,Table1[Start Date]&lt;42461),Table1[Offending],""))</f>
        <v/>
      </c>
      <c r="FK175" s="44" t="str">
        <f>IF(Table1[Leaving Date]="","",IF(Table1[Date of Initial Assessment]="","",IF(AND(Table1[Leaving Date]&gt;42094,Table1[Leaving Date]&lt;42461),IF(Table1[Date of Last Assessment]="",Table1[Motivation and Taking Responsibility],Table1[Motivation and Taking Responsibility2]),"")))</f>
        <v/>
      </c>
      <c r="FL175" s="44" t="str">
        <f>IF(Table1[Leaving Date]="","",IF(Table1[Date of Initial Assessment]="","",IF(AND(Table1[Leaving Date]&gt;42094,Table1[Leaving Date]&lt;42461),IF(Table1[Date of Last Assessment]="",Table1[Self-Care and Living Skills],Table1[Self-Care and Living Skills2]),"")))</f>
        <v/>
      </c>
      <c r="FM175" s="44" t="str">
        <f>IF(Table1[Leaving Date]="","",IF(Table1[Date of Initial Assessment]="","",IF(AND(Table1[Leaving Date]&gt;42094,Table1[Leaving Date]&lt;42461),IF(Table1[Date of Last Assessment]="",Table1[Managing Money and Personal Administration],Table1[Managing Money and Personal Administration2]),"")))</f>
        <v/>
      </c>
      <c r="FN175" s="44" t="str">
        <f>IF(Table1[Leaving Date]="","",IF(Table1[Date of Initial Assessment]="","",IF(AND(Table1[Leaving Date]&gt;42094,Table1[Leaving Date]&lt;42461),IF(Table1[Date of Last Assessment]="",Table1[Social Networks and Relationships],Table1[Social Networks and Relationships2]),"")))</f>
        <v/>
      </c>
      <c r="FO175" s="44" t="str">
        <f>IF(Table1[Leaving Date]="","",IF(Table1[Date of Initial Assessment]="","",IF(AND(Table1[Leaving Date]&gt;42094,Table1[Leaving Date]&lt;42461),IF(Table1[Date of Last Assessment]="",Table1[Drug and Alcohol Misuse],Table1[Drug and Alcohol Misuse2]),"")))</f>
        <v/>
      </c>
      <c r="FP175" s="44" t="str">
        <f>IF(Table1[Leaving Date]="","",IF(Table1[Date of Initial Assessment]="","",IF(AND(Table1[Leaving Date]&gt;42094,Table1[Leaving Date]&lt;42461),IF(Table1[Date of Last Assessment]="",Table1[Physical Health],Table1[Physical Health2]),"")))</f>
        <v/>
      </c>
      <c r="FQ175" s="44" t="str">
        <f>IF(Table1[Leaving Date]="","",IF(Table1[Date of Initial Assessment]="","",IF(AND(Table1[Leaving Date]&gt;42094,Table1[Leaving Date]&lt;42461),IF(Table1[Date of Last Assessment]="",Table1[Emotional and Mental Health],Table1[Emotional and Mental Health2]),"")))</f>
        <v/>
      </c>
      <c r="FR175" s="44" t="str">
        <f>IF(Table1[Leaving Date]="","",IF(Table1[Date of Initial Assessment]="","",IF(AND(Table1[Leaving Date]&gt;42094,Table1[Leaving Date]&lt;42461),IF(Table1[Date of Last Assessment]="",Table1[Meaningful Use of Time],Table1[Meaningful Use of Time2]),"")))</f>
        <v/>
      </c>
      <c r="FS175" s="44" t="str">
        <f>IF(Table1[Leaving Date]="","",IF(Table1[Date of Initial Assessment]="","",IF(AND(Table1[Leaving Date]&gt;42094,Table1[Leaving Date]&lt;42461),IF(Table1[Date of Last Assessment]="",Table1[Managing Tenancy and Accommodation],Table1[Managing Tenancy and Accommodation2]),"")))</f>
        <v/>
      </c>
      <c r="FT175" s="44" t="str">
        <f>IF(Table1[Leaving Date]="","",IF(Table1[Date of Initial Assessment]="","",IF(AND(Table1[Leaving Date]&gt;42094,Table1[Leaving Date]&lt;42461),IF(Table1[Date of Last Assessment]="",Table1[Offending],Table1[Offending2]),"")))</f>
        <v/>
      </c>
      <c r="FU175" s="44" t="str">
        <f>IF(Table1[Date of Initial Assessment]="","",IF(AND(Table1[Start Date]&gt;42460,Table1[Start Date]&lt;42826),Table1[Motivation and Taking Responsibility],""))</f>
        <v/>
      </c>
      <c r="FV175" s="44" t="str">
        <f>IF(Table1[Date of Initial Assessment]="","",IF(AND(Table1[Start Date]&gt;42460,Table1[Start Date]&lt;42826),Table1[Self-Care and Living Skills],""))</f>
        <v/>
      </c>
      <c r="FW175" s="44" t="str">
        <f>IF(Table1[Date of Initial Assessment]="","",IF(AND(Table1[Start Date]&gt;42460,Table1[Start Date]&lt;42826),Table1[Managing Money and Personal Administration],""))</f>
        <v/>
      </c>
      <c r="FX175" s="44" t="str">
        <f>IF(Table1[Date of Initial Assessment]="","",IF(AND(Table1[Start Date]&gt;42460,Table1[Start Date]&lt;42826),Table1[Social Networks and Relationships],""))</f>
        <v/>
      </c>
      <c r="FY175" s="44" t="str">
        <f>IF(Table1[Date of Initial Assessment]="","",IF(AND(Table1[Start Date]&gt;42460,Table1[Start Date]&lt;42826),Table1[Drug and Alcohol Misuse],""))</f>
        <v/>
      </c>
      <c r="FZ175" s="44" t="str">
        <f>IF(Table1[Date of Initial Assessment]="","",IF(AND(Table1[Start Date]&gt;42460,Table1[Start Date]&lt;42826),Table1[Physical Health],""))</f>
        <v/>
      </c>
      <c r="GA175" s="44" t="str">
        <f>IF(Table1[Date of Initial Assessment]="","",IF(AND(Table1[Start Date]&gt;42460,Table1[Start Date]&lt;42826),Table1[Emotional and Mental Health],""))</f>
        <v/>
      </c>
      <c r="GB175" s="44" t="str">
        <f>IF(Table1[Date of Initial Assessment]="","",IF(AND(Table1[Start Date]&gt;42460,Table1[Start Date]&lt;42826),Table1[Meaningful Use of Time],""))</f>
        <v/>
      </c>
      <c r="GC175" s="44" t="str">
        <f>IF(Table1[Date of Initial Assessment]="","",IF(AND(Table1[Start Date]&gt;42460,Table1[Start Date]&lt;42826),Table1[Managing Tenancy and Accommodation],""))</f>
        <v/>
      </c>
      <c r="GD175" s="44" t="str">
        <f>IF(Table1[Date of Initial Assessment]="","",IF(AND(Table1[Start Date]&gt;42460,Table1[Start Date]&lt;42826),Table1[Offending],""))</f>
        <v/>
      </c>
      <c r="GE175" s="44" t="str">
        <f>IF(Table1[Leaving Date]="","",IF(AND(Table1[Leaving Date]&gt;42460,Table1[Leaving Date]&lt;42826),IF(Table1[Date of Last Assessment]="",Table1[Motivation and Taking Responsibility],Table1[Motivation and Taking Responsibility2]),""))</f>
        <v/>
      </c>
      <c r="GF175" s="44" t="str">
        <f>IF(Table1[Leaving Date]="","",IF(AND(Table1[Leaving Date]&gt;42460,Table1[Leaving Date]&lt;42826),IF(Table1[Date of Last Assessment]="",Table1[Self-Care and Living Skills],Table1[Self-Care and Living Skills2]),""))</f>
        <v/>
      </c>
      <c r="GG175" s="44" t="str">
        <f>IF(Table1[Leaving Date]="","",IF(AND(Table1[Leaving Date]&gt;42460,Table1[Leaving Date]&lt;42826),IF(Table1[Date of Last Assessment]="",Table1[Managing Money and Personal Administration],Table1[Managing Money and Personal Administration2]),""))</f>
        <v/>
      </c>
      <c r="GH175" s="44" t="str">
        <f>IF(Table1[Leaving Date]="","",IF(AND(Table1[Leaving Date]&gt;42460,Table1[Leaving Date]&lt;42826),IF(Table1[Date of Last Assessment]="",Table1[Social Networks and Relationships],Table1[Social Networks and Relationships2]),""))</f>
        <v/>
      </c>
      <c r="GI175" s="44" t="str">
        <f>IF(Table1[Leaving Date]="","",IF(AND(Table1[Leaving Date]&gt;42460,Table1[Leaving Date]&lt;42826),IF(Table1[Date of Last Assessment]="",Table1[Drug and Alcohol Misuse],Table1[Drug and Alcohol Misuse2]),""))</f>
        <v/>
      </c>
      <c r="GJ175" s="44" t="str">
        <f>IF(Table1[Leaving Date]="","",IF(AND(Table1[Leaving Date]&gt;42460,Table1[Leaving Date]&lt;42826),IF(Table1[Date of Last Assessment]="",Table1[Physical Health],Table1[Physical Health2]),""))</f>
        <v/>
      </c>
      <c r="GK175" s="44" t="str">
        <f>IF(Table1[Leaving Date]="","",IF(AND(Table1[Leaving Date]&gt;42460,Table1[Leaving Date]&lt;42826),IF(Table1[Date of Last Assessment]="",Table1[Emotional and Mental Health],Table1[Emotional and Mental Health2]),""))</f>
        <v/>
      </c>
      <c r="GL175" s="44" t="str">
        <f>IF(Table1[Leaving Date]="","",IF(AND(Table1[Leaving Date]&gt;42460,Table1[Leaving Date]&lt;42826),IF(Table1[Date of Last Assessment]="",Table1[Meaningful Use of Time],Table1[Meaningful Use of Time2]),""))</f>
        <v/>
      </c>
      <c r="GM175" s="44" t="str">
        <f>IF(Table1[Leaving Date]="","",IF(AND(Table1[Leaving Date]&gt;42460,Table1[Leaving Date]&lt;42826),IF(Table1[Date of Last Assessment]="",Table1[Managing Tenancy and Accommodation],Table1[Managing Tenancy and Accommodation2]),""))</f>
        <v/>
      </c>
      <c r="GN175" s="44" t="str">
        <f>IF(Table1[Leaving Date]="","",IF(AND(Table1[Leaving Date]&gt;42460,Table1[Leaving Date]&lt;42826),IF(Table1[Date of Last Assessment]="",Table1[Offending],Table1[Offending2]),""))</f>
        <v/>
      </c>
    </row>
    <row r="176" spans="2:196" ht="20.100000000000001" customHeight="1" x14ac:dyDescent="0.2">
      <c r="B176" s="86">
        <f>+'Service Data'!$C$5:$C$5</f>
        <v>0</v>
      </c>
      <c r="C176" s="86"/>
      <c r="D176" s="86"/>
      <c r="E176" s="86"/>
      <c r="F176" s="86"/>
      <c r="G176" s="86"/>
      <c r="H176" s="6"/>
      <c r="I176" s="99" t="str">
        <f ca="1">IF(Table1[[#This Row],[Date of Birth]]="","",SUM(TODAY()-Table1[[#This Row],[Date of Birth]])/365)</f>
        <v/>
      </c>
      <c r="L176" s="86"/>
      <c r="M176" s="77"/>
      <c r="N176" s="86"/>
      <c r="O176" s="86"/>
      <c r="P176" s="91"/>
      <c r="Q176" s="86"/>
      <c r="R176" s="77"/>
      <c r="S176" s="77"/>
      <c r="T176" s="68"/>
      <c r="U176" s="68"/>
      <c r="V176" s="67"/>
      <c r="W176" s="67"/>
      <c r="X176" s="67"/>
      <c r="Y176" s="67"/>
      <c r="Z176" s="67"/>
      <c r="AA176" s="67"/>
      <c r="AB176" s="67"/>
      <c r="AC176" s="67"/>
      <c r="AD176" s="67"/>
      <c r="AE176" s="67"/>
      <c r="AF176" s="67"/>
      <c r="AG176" s="67"/>
      <c r="AH176" s="67"/>
      <c r="AI176" s="67"/>
      <c r="AJ176" s="67"/>
      <c r="AK176" s="67"/>
      <c r="AL176" s="67"/>
      <c r="AM176" s="67"/>
      <c r="AN176" s="77"/>
      <c r="AO176" s="76"/>
      <c r="AP176" s="77"/>
      <c r="AQ176" s="76"/>
      <c r="AR176" s="76"/>
      <c r="AS176" s="76"/>
      <c r="AT176" s="76"/>
      <c r="AU176" s="76"/>
      <c r="AV176" s="77"/>
      <c r="AW176" s="76"/>
      <c r="AX176" s="77"/>
      <c r="AY176" s="76"/>
      <c r="AZ176" s="76"/>
      <c r="BA176" s="76"/>
      <c r="BB176" s="76"/>
      <c r="BC176" s="76"/>
      <c r="BD176" s="77"/>
      <c r="BE176" s="76"/>
      <c r="BF176" s="77"/>
      <c r="BG176" s="76"/>
      <c r="BH176" s="76"/>
      <c r="BI176" s="76"/>
      <c r="BJ176" s="76"/>
      <c r="BK176" s="76"/>
      <c r="BL176" s="77"/>
      <c r="BM176" s="76"/>
      <c r="BN176" s="77"/>
      <c r="BO176" s="76"/>
      <c r="BP176" s="76"/>
      <c r="BQ176" s="76"/>
      <c r="BR176" s="76"/>
      <c r="BS176" s="76"/>
      <c r="BT176" s="77"/>
      <c r="BU176" s="76"/>
      <c r="BV176" s="77"/>
      <c r="BW176" s="76"/>
      <c r="BX176" s="76"/>
      <c r="BY176" s="76"/>
      <c r="BZ176" s="76"/>
      <c r="CA176" s="76"/>
      <c r="CB176" s="77"/>
      <c r="CC176" s="76"/>
      <c r="CD176" s="77"/>
      <c r="CE176" s="76"/>
      <c r="CF176" s="76"/>
      <c r="CG176" s="76"/>
      <c r="CH176" s="76"/>
      <c r="CI176" s="76"/>
      <c r="CJ176" s="77"/>
      <c r="CK176" s="76"/>
      <c r="CL176" s="77"/>
      <c r="CM176" s="76"/>
      <c r="CN176" s="76"/>
      <c r="CO176" s="76"/>
      <c r="CP176" s="76"/>
      <c r="CQ176" s="76"/>
      <c r="CR176" s="78" t="str">
        <f t="shared" si="47"/>
        <v/>
      </c>
      <c r="CS176" s="79" t="str">
        <f t="shared" si="48"/>
        <v/>
      </c>
      <c r="CT176" s="79" t="str">
        <f t="shared" si="49"/>
        <v/>
      </c>
      <c r="CU176" s="79" t="str">
        <f t="shared" si="50"/>
        <v/>
      </c>
      <c r="CV176" s="79" t="str">
        <f t="shared" si="51"/>
        <v/>
      </c>
      <c r="CW176" s="79" t="str">
        <f t="shared" si="52"/>
        <v/>
      </c>
      <c r="CX176" s="79" t="str">
        <f t="shared" si="53"/>
        <v/>
      </c>
      <c r="CY176" s="79" t="str">
        <f t="shared" si="54"/>
        <v/>
      </c>
      <c r="CZ176" s="79" t="str">
        <f t="shared" si="55"/>
        <v/>
      </c>
      <c r="DA176" s="79" t="str">
        <f t="shared" si="56"/>
        <v/>
      </c>
      <c r="DB176" s="79" t="str">
        <f t="shared" si="57"/>
        <v/>
      </c>
      <c r="DC176" s="79" t="str">
        <f t="shared" si="58"/>
        <v/>
      </c>
      <c r="DD176" s="79" t="str">
        <f t="shared" si="59"/>
        <v/>
      </c>
      <c r="DE176" s="79" t="str">
        <f t="shared" si="60"/>
        <v/>
      </c>
      <c r="DF176" s="79" t="str">
        <f t="shared" si="61"/>
        <v/>
      </c>
      <c r="DG176" s="79" t="str">
        <f t="shared" si="62"/>
        <v/>
      </c>
      <c r="DH176" s="76"/>
      <c r="DI176" s="78"/>
      <c r="DJ176" s="76"/>
      <c r="DK176" s="77"/>
      <c r="DL176" s="77"/>
      <c r="DM176" s="77"/>
      <c r="DN176" s="80"/>
      <c r="DO176" s="80"/>
      <c r="DP176" s="92" t="str">
        <f>IF(Table1[Start Date]="","",IF(Table1[Start Date]&gt;42185,"",IF(AND(Table1[Leaving Date]&gt;1,Table1[Leaving Date]&lt;42095),"",1)))</f>
        <v/>
      </c>
      <c r="DQ176" s="92" t="str">
        <f>IF(Table1[Start Date]="","",IF(Table1[Start Date]&gt;42277,"",IF(AND(Table1[Leaving Date]&gt;1,Table1[Leaving Date]&lt;42186),"",1)))</f>
        <v/>
      </c>
      <c r="DR176" s="92" t="str">
        <f>IF(Table1[Start Date]="","",IF(Table1[Start Date]&gt;42369,"",IF(AND(Table1[Leaving Date]&gt;1,Table1[Leaving Date]&lt;42278),"",1)))</f>
        <v/>
      </c>
      <c r="DS176" s="92" t="str">
        <f>IF(Table1[Start Date]="","",IF(Table1[Start Date]&gt;42460,"",IF(AND(Table1[Leaving Date]&gt;1,Table1[Leaving Date]&lt;42370),"",1)))</f>
        <v/>
      </c>
      <c r="DT176" s="92" t="str">
        <f>IF(Table1[Start Date]="","",IF(Table1[Start Date]&gt;42551,"",IF(AND(Table1[Leaving Date]&gt;1,Table1[Leaving Date]&lt;42461),"",1)))</f>
        <v/>
      </c>
      <c r="DU176" s="92" t="str">
        <f>IF(Table1[Start Date]="","",IF(Table1[Start Date]&gt;42643,"",IF(AND(Table1[Leaving Date]&gt;1,Table1[Leaving Date]&lt;42552),"",1)))</f>
        <v/>
      </c>
      <c r="DV176" s="92" t="str">
        <f>IF(Table1[Start Date]="","",IF(Table1[Start Date]&gt;42735,"",IF(AND(Table1[Leaving Date]&gt;1,Table1[Leaving Date]&lt;42644),"",1)))</f>
        <v/>
      </c>
      <c r="DW176" s="92" t="str">
        <f>IF(Table1[Start Date]="","",IF(Table1[Start Date]&gt;42825,"",IF(AND(Table1[Leaving Date]&gt;1,Table1[Leaving Date]&lt;42736),"",1)))</f>
        <v/>
      </c>
      <c r="DX176"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176" s="44" t="e">
        <f>VLOOKUP(Table1[Referral Source],Lists!$G$2:$H$20,2,FALSE)</f>
        <v>#N/A</v>
      </c>
      <c r="DZ176" s="93" t="e">
        <f>SUM(Table1[Data Referral Quarter]+Table1[Data Referral Source])</f>
        <v>#N/A</v>
      </c>
      <c r="EA176" s="44" t="b">
        <f>IF(Table1[Referral Decision]="Accepted",100,IF(Table1[Referral Decision]="Rejected by Provider",200,IF(Table1[Referral Decision]="Rejected by Applicant",300)))</f>
        <v>0</v>
      </c>
      <c r="EB176" s="44">
        <f>SUM(Table1[Data Referral Quarter]+Table1[Data Referral Decision])</f>
        <v>0</v>
      </c>
      <c r="EC176" s="44" t="b">
        <f>IF(Table1[Start Date]&gt;42735,8000,IF(Table1[Start Date]&gt;42643,7000,IF(Table1[Start Date]&gt;42551,6000,IF(Table1[Start Date]&gt;42460,5000,IF(Table1[Start Date]&gt;42369,4000,IF(Table1[Start Date]&gt;42277,3000,IF(Table1[Start Date]&gt;42185,2000,IF(Table1[Start Date]&gt;42094,1000))))))))</f>
        <v>0</v>
      </c>
      <c r="ED176" s="44" t="str">
        <f>IF(Table1[Start Date]="","",IF(Table1[Current Local Authority]="Swindon",1,"2"))</f>
        <v/>
      </c>
      <c r="EE176" s="44" t="e">
        <f>SUM(Table1[Data Start Date]+Table1[Data Local Authority])</f>
        <v>#VALUE!</v>
      </c>
      <c r="EF176" s="44">
        <f>IF(Table1[Registered with GP]="Yes",1,0)</f>
        <v>0</v>
      </c>
      <c r="EG176" s="44">
        <f>SUM(Table1[Data Start Date]+Table1[Data GP Start])</f>
        <v>0</v>
      </c>
      <c r="EH176" s="44" t="str">
        <f>IF(Table1[EET]="NEET",1,IF(Table1[EET]="Education",2,IF(Table1[EET]="Employment",2,IF(Table1[EET]="Training",2,IF(Table1[EET]="Retired",3,"")))))</f>
        <v/>
      </c>
      <c r="EI176" s="44" t="e">
        <f>Table1[Data Start Date]+Table1[Data EET Start]</f>
        <v>#VALUE!</v>
      </c>
      <c r="EJ176" s="44" t="b">
        <f>IF(Table1[Leaving Date]&gt;42735,8000,IF(Table1[Leaving Date]&gt;42643,7000,IF(Table1[Leaving Date]&gt;42551,6000,IF(Table1[Leaving Date]&gt;42460,5000,IF(Table1[Leaving Date]&gt;42369,4000,IF(Table1[Leaving Date]&gt;42277,3000,IF(Table1[Leaving Date]&gt;42185,2000,IF(Table1[Leaving Date]&gt;42094,1000))))))))</f>
        <v>0</v>
      </c>
      <c r="EK176" s="44" t="e">
        <f>VLOOKUP(Table1[Reason for Leaving],Lists!$T$2:$U$15,2,FALSE)</f>
        <v>#N/A</v>
      </c>
      <c r="EL176" s="44" t="e">
        <f>SUM(Table1[Data Leavers Date]+Table1[Data Move On])</f>
        <v>#N/A</v>
      </c>
      <c r="EM176" s="44" t="b">
        <f>IF(Table1[Registered with GP2]="Yes",1,IF(Table1[Registered with GP2]="No",0,IF(Table1[Registered with GP]="Yes",1,IF(Table1[Registered with GP]="No",0))))</f>
        <v>0</v>
      </c>
      <c r="EN176" s="44">
        <f>SUM(Table1[Data Leavers Date]+Table1[Data GP End])</f>
        <v>0</v>
      </c>
      <c r="EO176" s="44" t="str">
        <f>IF(Table1[EET2]="NEET",1,IF(Table1[EET2]="Employment",2,IF(Table1[EET2]="Education",2,IF(Table1[EET2]="Training",2,IF(Table1[EET2]="Retired",3,IF(Table1[EET]="NEET",1,IF(Table1[EET]="Employment",2,IF(Table1[EET]="Education",2,IF(Table1[EET]="Training",2,IF(Table1[EET]="Retired",3,""))))))))))</f>
        <v/>
      </c>
      <c r="EP176" s="44" t="e">
        <f>+Table1[[#This Row],[Data Leavers Date]]+Table1[[#This Row],[Data EET End]]</f>
        <v>#VALUE!</v>
      </c>
      <c r="EQ176" s="44">
        <f>IF(Table1[Exit Form Received]="Yes",1,0)</f>
        <v>0</v>
      </c>
      <c r="ER176" s="44">
        <f>+Table1[[#This Row],[Data Leavers Date]]+Table1[[#This Row],[Data Exit Forms]]</f>
        <v>0</v>
      </c>
      <c r="ES176" s="44" t="str">
        <f>IF(Table1[Data Leavers Date]=1000,SUM(Table1[Leaving Date]-Table1[Start Date]),"")</f>
        <v/>
      </c>
      <c r="ET176" s="44" t="str">
        <f>IF(Table1[Data Leavers Date]=2000,SUM(Table1[Leaving Date]-Table1[Start Date]),"")</f>
        <v/>
      </c>
      <c r="EU176" s="44" t="str">
        <f>IF(Table1[Data Leavers Date]=3000,SUM(Table1[Leaving Date]-Table1[Start Date]),"")</f>
        <v/>
      </c>
      <c r="EV176" s="44" t="str">
        <f>IF(Table1[Data Leavers Date]=4000,SUM(Table1[Leaving Date]-Table1[Start Date]),"")</f>
        <v/>
      </c>
      <c r="EW176" s="44" t="str">
        <f>IF(Table1[Data Leavers Date]=5000,SUM(Table1[Leaving Date]-Table1[Start Date]),"")</f>
        <v/>
      </c>
      <c r="EX176" s="44" t="str">
        <f>IF(Table1[Data Leavers Date]=6000,SUM(Table1[Leaving Date]-Table1[Start Date]),"")</f>
        <v/>
      </c>
      <c r="EY176" s="44" t="str">
        <f>IF(Table1[Data Leavers Date]=7000,SUM(Table1[Leaving Date]-Table1[Start Date]),"")</f>
        <v/>
      </c>
      <c r="EZ176" s="44" t="str">
        <f>IF(Table1[Data Leavers Date]=8000,SUM(Table1[Leaving Date]-Table1[Start Date]),"")</f>
        <v/>
      </c>
      <c r="FA176" s="44" t="str">
        <f>IF(Table1[Date of Initial Assessment]="","",IF(AND(Table1[Start Date]&gt;42094,Table1[Start Date]&lt;42461),Table1[Motivation and Taking Responsibility],""))</f>
        <v/>
      </c>
      <c r="FB176" s="44" t="str">
        <f>IF(Table1[Date of Initial Assessment]="","",IF(AND(Table1[Start Date]&gt;42094,Table1[Start Date]&lt;42461),Table1[Self-Care and Living Skills],""))</f>
        <v/>
      </c>
      <c r="FC176" s="44" t="str">
        <f>IF(Table1[Date of Initial Assessment]="","",IF(AND(Table1[Start Date]&gt;42094,Table1[Start Date]&lt;42461),Table1[Managing Money and Personal Administration],""))</f>
        <v/>
      </c>
      <c r="FD176" s="44" t="str">
        <f>IF(Table1[Date of Initial Assessment]="","",IF(AND(Table1[Start Date]&gt;42094,Table1[Start Date]&lt;42461),Table1[Social Networks and Relationships],""))</f>
        <v/>
      </c>
      <c r="FE176" s="44" t="str">
        <f>IF(Table1[Date of Initial Assessment]="","",IF(AND(Table1[Start Date]&gt;42094,Table1[Start Date]&lt;42461),Table1[Drug and Alcohol Misuse],""))</f>
        <v/>
      </c>
      <c r="FF176" s="44" t="str">
        <f>IF(Table1[Date of Initial Assessment]="","",IF(AND(Table1[Start Date]&gt;42094,Table1[Start Date]&lt;42461),Table1[Physical Health],""))</f>
        <v/>
      </c>
      <c r="FG176" s="44" t="str">
        <f>IF(Table1[Date of Initial Assessment]="","",IF(AND(Table1[Start Date]&gt;42094,Table1[Start Date]&lt;42461),Table1[Emotional and Mental Health],""))</f>
        <v/>
      </c>
      <c r="FH176" s="44" t="str">
        <f>IF(Table1[Date of Initial Assessment]="","",IF(AND(Table1[Start Date]&gt;42094,Table1[Start Date]&lt;42461),Table1[Meaningful Use of Time],""))</f>
        <v/>
      </c>
      <c r="FI176" s="44" t="str">
        <f>IF(Table1[Date of Initial Assessment]="","",IF(AND(Table1[Start Date]&gt;42094,Table1[Start Date]&lt;42461),Table1[Managing Tenancy and Accommodation],""))</f>
        <v/>
      </c>
      <c r="FJ176" s="44" t="str">
        <f>IF(Table1[Date of Initial Assessment]="","",IF(AND(Table1[Start Date]&gt;42094,Table1[Start Date]&lt;42461),Table1[Offending],""))</f>
        <v/>
      </c>
      <c r="FK176" s="44" t="str">
        <f>IF(Table1[Leaving Date]="","",IF(Table1[Date of Initial Assessment]="","",IF(AND(Table1[Leaving Date]&gt;42094,Table1[Leaving Date]&lt;42461),IF(Table1[Date of Last Assessment]="",Table1[Motivation and Taking Responsibility],Table1[Motivation and Taking Responsibility2]),"")))</f>
        <v/>
      </c>
      <c r="FL176" s="44" t="str">
        <f>IF(Table1[Leaving Date]="","",IF(Table1[Date of Initial Assessment]="","",IF(AND(Table1[Leaving Date]&gt;42094,Table1[Leaving Date]&lt;42461),IF(Table1[Date of Last Assessment]="",Table1[Self-Care and Living Skills],Table1[Self-Care and Living Skills2]),"")))</f>
        <v/>
      </c>
      <c r="FM176" s="44" t="str">
        <f>IF(Table1[Leaving Date]="","",IF(Table1[Date of Initial Assessment]="","",IF(AND(Table1[Leaving Date]&gt;42094,Table1[Leaving Date]&lt;42461),IF(Table1[Date of Last Assessment]="",Table1[Managing Money and Personal Administration],Table1[Managing Money and Personal Administration2]),"")))</f>
        <v/>
      </c>
      <c r="FN176" s="44" t="str">
        <f>IF(Table1[Leaving Date]="","",IF(Table1[Date of Initial Assessment]="","",IF(AND(Table1[Leaving Date]&gt;42094,Table1[Leaving Date]&lt;42461),IF(Table1[Date of Last Assessment]="",Table1[Social Networks and Relationships],Table1[Social Networks and Relationships2]),"")))</f>
        <v/>
      </c>
      <c r="FO176" s="44" t="str">
        <f>IF(Table1[Leaving Date]="","",IF(Table1[Date of Initial Assessment]="","",IF(AND(Table1[Leaving Date]&gt;42094,Table1[Leaving Date]&lt;42461),IF(Table1[Date of Last Assessment]="",Table1[Drug and Alcohol Misuse],Table1[Drug and Alcohol Misuse2]),"")))</f>
        <v/>
      </c>
      <c r="FP176" s="44" t="str">
        <f>IF(Table1[Leaving Date]="","",IF(Table1[Date of Initial Assessment]="","",IF(AND(Table1[Leaving Date]&gt;42094,Table1[Leaving Date]&lt;42461),IF(Table1[Date of Last Assessment]="",Table1[Physical Health],Table1[Physical Health2]),"")))</f>
        <v/>
      </c>
      <c r="FQ176" s="44" t="str">
        <f>IF(Table1[Leaving Date]="","",IF(Table1[Date of Initial Assessment]="","",IF(AND(Table1[Leaving Date]&gt;42094,Table1[Leaving Date]&lt;42461),IF(Table1[Date of Last Assessment]="",Table1[Emotional and Mental Health],Table1[Emotional and Mental Health2]),"")))</f>
        <v/>
      </c>
      <c r="FR176" s="44" t="str">
        <f>IF(Table1[Leaving Date]="","",IF(Table1[Date of Initial Assessment]="","",IF(AND(Table1[Leaving Date]&gt;42094,Table1[Leaving Date]&lt;42461),IF(Table1[Date of Last Assessment]="",Table1[Meaningful Use of Time],Table1[Meaningful Use of Time2]),"")))</f>
        <v/>
      </c>
      <c r="FS176" s="44" t="str">
        <f>IF(Table1[Leaving Date]="","",IF(Table1[Date of Initial Assessment]="","",IF(AND(Table1[Leaving Date]&gt;42094,Table1[Leaving Date]&lt;42461),IF(Table1[Date of Last Assessment]="",Table1[Managing Tenancy and Accommodation],Table1[Managing Tenancy and Accommodation2]),"")))</f>
        <v/>
      </c>
      <c r="FT176" s="44" t="str">
        <f>IF(Table1[Leaving Date]="","",IF(Table1[Date of Initial Assessment]="","",IF(AND(Table1[Leaving Date]&gt;42094,Table1[Leaving Date]&lt;42461),IF(Table1[Date of Last Assessment]="",Table1[Offending],Table1[Offending2]),"")))</f>
        <v/>
      </c>
      <c r="FU176" s="44" t="str">
        <f>IF(Table1[Date of Initial Assessment]="","",IF(AND(Table1[Start Date]&gt;42460,Table1[Start Date]&lt;42826),Table1[Motivation and Taking Responsibility],""))</f>
        <v/>
      </c>
      <c r="FV176" s="44" t="str">
        <f>IF(Table1[Date of Initial Assessment]="","",IF(AND(Table1[Start Date]&gt;42460,Table1[Start Date]&lt;42826),Table1[Self-Care and Living Skills],""))</f>
        <v/>
      </c>
      <c r="FW176" s="44" t="str">
        <f>IF(Table1[Date of Initial Assessment]="","",IF(AND(Table1[Start Date]&gt;42460,Table1[Start Date]&lt;42826),Table1[Managing Money and Personal Administration],""))</f>
        <v/>
      </c>
      <c r="FX176" s="44" t="str">
        <f>IF(Table1[Date of Initial Assessment]="","",IF(AND(Table1[Start Date]&gt;42460,Table1[Start Date]&lt;42826),Table1[Social Networks and Relationships],""))</f>
        <v/>
      </c>
      <c r="FY176" s="44" t="str">
        <f>IF(Table1[Date of Initial Assessment]="","",IF(AND(Table1[Start Date]&gt;42460,Table1[Start Date]&lt;42826),Table1[Drug and Alcohol Misuse],""))</f>
        <v/>
      </c>
      <c r="FZ176" s="44" t="str">
        <f>IF(Table1[Date of Initial Assessment]="","",IF(AND(Table1[Start Date]&gt;42460,Table1[Start Date]&lt;42826),Table1[Physical Health],""))</f>
        <v/>
      </c>
      <c r="GA176" s="44" t="str">
        <f>IF(Table1[Date of Initial Assessment]="","",IF(AND(Table1[Start Date]&gt;42460,Table1[Start Date]&lt;42826),Table1[Emotional and Mental Health],""))</f>
        <v/>
      </c>
      <c r="GB176" s="44" t="str">
        <f>IF(Table1[Date of Initial Assessment]="","",IF(AND(Table1[Start Date]&gt;42460,Table1[Start Date]&lt;42826),Table1[Meaningful Use of Time],""))</f>
        <v/>
      </c>
      <c r="GC176" s="44" t="str">
        <f>IF(Table1[Date of Initial Assessment]="","",IF(AND(Table1[Start Date]&gt;42460,Table1[Start Date]&lt;42826),Table1[Managing Tenancy and Accommodation],""))</f>
        <v/>
      </c>
      <c r="GD176" s="44" t="str">
        <f>IF(Table1[Date of Initial Assessment]="","",IF(AND(Table1[Start Date]&gt;42460,Table1[Start Date]&lt;42826),Table1[Offending],""))</f>
        <v/>
      </c>
      <c r="GE176" s="44" t="str">
        <f>IF(Table1[Leaving Date]="","",IF(AND(Table1[Leaving Date]&gt;42460,Table1[Leaving Date]&lt;42826),IF(Table1[Date of Last Assessment]="",Table1[Motivation and Taking Responsibility],Table1[Motivation and Taking Responsibility2]),""))</f>
        <v/>
      </c>
      <c r="GF176" s="44" t="str">
        <f>IF(Table1[Leaving Date]="","",IF(AND(Table1[Leaving Date]&gt;42460,Table1[Leaving Date]&lt;42826),IF(Table1[Date of Last Assessment]="",Table1[Self-Care and Living Skills],Table1[Self-Care and Living Skills2]),""))</f>
        <v/>
      </c>
      <c r="GG176" s="44" t="str">
        <f>IF(Table1[Leaving Date]="","",IF(AND(Table1[Leaving Date]&gt;42460,Table1[Leaving Date]&lt;42826),IF(Table1[Date of Last Assessment]="",Table1[Managing Money and Personal Administration],Table1[Managing Money and Personal Administration2]),""))</f>
        <v/>
      </c>
      <c r="GH176" s="44" t="str">
        <f>IF(Table1[Leaving Date]="","",IF(AND(Table1[Leaving Date]&gt;42460,Table1[Leaving Date]&lt;42826),IF(Table1[Date of Last Assessment]="",Table1[Social Networks and Relationships],Table1[Social Networks and Relationships2]),""))</f>
        <v/>
      </c>
      <c r="GI176" s="44" t="str">
        <f>IF(Table1[Leaving Date]="","",IF(AND(Table1[Leaving Date]&gt;42460,Table1[Leaving Date]&lt;42826),IF(Table1[Date of Last Assessment]="",Table1[Drug and Alcohol Misuse],Table1[Drug and Alcohol Misuse2]),""))</f>
        <v/>
      </c>
      <c r="GJ176" s="44" t="str">
        <f>IF(Table1[Leaving Date]="","",IF(AND(Table1[Leaving Date]&gt;42460,Table1[Leaving Date]&lt;42826),IF(Table1[Date of Last Assessment]="",Table1[Physical Health],Table1[Physical Health2]),""))</f>
        <v/>
      </c>
      <c r="GK176" s="44" t="str">
        <f>IF(Table1[Leaving Date]="","",IF(AND(Table1[Leaving Date]&gt;42460,Table1[Leaving Date]&lt;42826),IF(Table1[Date of Last Assessment]="",Table1[Emotional and Mental Health],Table1[Emotional and Mental Health2]),""))</f>
        <v/>
      </c>
      <c r="GL176" s="44" t="str">
        <f>IF(Table1[Leaving Date]="","",IF(AND(Table1[Leaving Date]&gt;42460,Table1[Leaving Date]&lt;42826),IF(Table1[Date of Last Assessment]="",Table1[Meaningful Use of Time],Table1[Meaningful Use of Time2]),""))</f>
        <v/>
      </c>
      <c r="GM176" s="44" t="str">
        <f>IF(Table1[Leaving Date]="","",IF(AND(Table1[Leaving Date]&gt;42460,Table1[Leaving Date]&lt;42826),IF(Table1[Date of Last Assessment]="",Table1[Managing Tenancy and Accommodation],Table1[Managing Tenancy and Accommodation2]),""))</f>
        <v/>
      </c>
      <c r="GN176" s="44" t="str">
        <f>IF(Table1[Leaving Date]="","",IF(AND(Table1[Leaving Date]&gt;42460,Table1[Leaving Date]&lt;42826),IF(Table1[Date of Last Assessment]="",Table1[Offending],Table1[Offending2]),""))</f>
        <v/>
      </c>
    </row>
    <row r="177" spans="2:196" ht="20.100000000000001" customHeight="1" x14ac:dyDescent="0.2">
      <c r="B177" s="86">
        <f>+'Service Data'!$C$5:$C$5</f>
        <v>0</v>
      </c>
      <c r="C177" s="86"/>
      <c r="D177" s="86"/>
      <c r="E177" s="86"/>
      <c r="F177" s="86"/>
      <c r="G177" s="86"/>
      <c r="H177" s="6"/>
      <c r="I177" s="99" t="str">
        <f ca="1">IF(Table1[[#This Row],[Date of Birth]]="","",SUM(TODAY()-Table1[[#This Row],[Date of Birth]])/365)</f>
        <v/>
      </c>
      <c r="L177" s="86"/>
      <c r="M177" s="77"/>
      <c r="N177" s="86"/>
      <c r="O177" s="86"/>
      <c r="P177" s="91"/>
      <c r="Q177" s="86"/>
      <c r="R177" s="77"/>
      <c r="S177" s="77"/>
      <c r="T177" s="68"/>
      <c r="U177" s="68"/>
      <c r="V177" s="67"/>
      <c r="W177" s="67"/>
      <c r="X177" s="67"/>
      <c r="Y177" s="67"/>
      <c r="Z177" s="67"/>
      <c r="AA177" s="67"/>
      <c r="AB177" s="67"/>
      <c r="AC177" s="67"/>
      <c r="AD177" s="67"/>
      <c r="AE177" s="67"/>
      <c r="AF177" s="67"/>
      <c r="AG177" s="67"/>
      <c r="AH177" s="67"/>
      <c r="AI177" s="67"/>
      <c r="AJ177" s="67"/>
      <c r="AK177" s="67"/>
      <c r="AL177" s="67"/>
      <c r="AM177" s="67"/>
      <c r="AN177" s="77"/>
      <c r="AO177" s="76"/>
      <c r="AP177" s="77"/>
      <c r="AQ177" s="76"/>
      <c r="AR177" s="76"/>
      <c r="AS177" s="76"/>
      <c r="AT177" s="76"/>
      <c r="AU177" s="76"/>
      <c r="AV177" s="77"/>
      <c r="AW177" s="76"/>
      <c r="AX177" s="77"/>
      <c r="AY177" s="76"/>
      <c r="AZ177" s="76"/>
      <c r="BA177" s="76"/>
      <c r="BB177" s="76"/>
      <c r="BC177" s="76"/>
      <c r="BD177" s="77"/>
      <c r="BE177" s="76"/>
      <c r="BF177" s="77"/>
      <c r="BG177" s="76"/>
      <c r="BH177" s="76"/>
      <c r="BI177" s="76"/>
      <c r="BJ177" s="76"/>
      <c r="BK177" s="76"/>
      <c r="BL177" s="77"/>
      <c r="BM177" s="76"/>
      <c r="BN177" s="77"/>
      <c r="BO177" s="76"/>
      <c r="BP177" s="76"/>
      <c r="BQ177" s="76"/>
      <c r="BR177" s="76"/>
      <c r="BS177" s="76"/>
      <c r="BT177" s="77"/>
      <c r="BU177" s="76"/>
      <c r="BV177" s="77"/>
      <c r="BW177" s="76"/>
      <c r="BX177" s="76"/>
      <c r="BY177" s="76"/>
      <c r="BZ177" s="76"/>
      <c r="CA177" s="76"/>
      <c r="CB177" s="77"/>
      <c r="CC177" s="76"/>
      <c r="CD177" s="77"/>
      <c r="CE177" s="76"/>
      <c r="CF177" s="76"/>
      <c r="CG177" s="76"/>
      <c r="CH177" s="76"/>
      <c r="CI177" s="76"/>
      <c r="CJ177" s="77"/>
      <c r="CK177" s="76"/>
      <c r="CL177" s="77"/>
      <c r="CM177" s="76"/>
      <c r="CN177" s="76"/>
      <c r="CO177" s="76"/>
      <c r="CP177" s="76"/>
      <c r="CQ177" s="76"/>
      <c r="CR177" s="78" t="str">
        <f t="shared" si="47"/>
        <v/>
      </c>
      <c r="CS177" s="79" t="str">
        <f t="shared" si="48"/>
        <v/>
      </c>
      <c r="CT177" s="79" t="str">
        <f t="shared" si="49"/>
        <v/>
      </c>
      <c r="CU177" s="79" t="str">
        <f t="shared" si="50"/>
        <v/>
      </c>
      <c r="CV177" s="79" t="str">
        <f t="shared" si="51"/>
        <v/>
      </c>
      <c r="CW177" s="79" t="str">
        <f t="shared" si="52"/>
        <v/>
      </c>
      <c r="CX177" s="79" t="str">
        <f t="shared" si="53"/>
        <v/>
      </c>
      <c r="CY177" s="79" t="str">
        <f t="shared" si="54"/>
        <v/>
      </c>
      <c r="CZ177" s="79" t="str">
        <f t="shared" si="55"/>
        <v/>
      </c>
      <c r="DA177" s="79" t="str">
        <f t="shared" si="56"/>
        <v/>
      </c>
      <c r="DB177" s="79" t="str">
        <f t="shared" si="57"/>
        <v/>
      </c>
      <c r="DC177" s="79" t="str">
        <f t="shared" si="58"/>
        <v/>
      </c>
      <c r="DD177" s="79" t="str">
        <f t="shared" si="59"/>
        <v/>
      </c>
      <c r="DE177" s="79" t="str">
        <f t="shared" si="60"/>
        <v/>
      </c>
      <c r="DF177" s="79" t="str">
        <f t="shared" si="61"/>
        <v/>
      </c>
      <c r="DG177" s="79" t="str">
        <f t="shared" si="62"/>
        <v/>
      </c>
      <c r="DH177" s="76"/>
      <c r="DI177" s="78"/>
      <c r="DJ177" s="76"/>
      <c r="DK177" s="77"/>
      <c r="DL177" s="77"/>
      <c r="DM177" s="77"/>
      <c r="DN177" s="80"/>
      <c r="DO177" s="80"/>
      <c r="DP177" s="92" t="str">
        <f>IF(Table1[Start Date]="","",IF(Table1[Start Date]&gt;42185,"",IF(AND(Table1[Leaving Date]&gt;1,Table1[Leaving Date]&lt;42095),"",1)))</f>
        <v/>
      </c>
      <c r="DQ177" s="92" t="str">
        <f>IF(Table1[Start Date]="","",IF(Table1[Start Date]&gt;42277,"",IF(AND(Table1[Leaving Date]&gt;1,Table1[Leaving Date]&lt;42186),"",1)))</f>
        <v/>
      </c>
      <c r="DR177" s="92" t="str">
        <f>IF(Table1[Start Date]="","",IF(Table1[Start Date]&gt;42369,"",IF(AND(Table1[Leaving Date]&gt;1,Table1[Leaving Date]&lt;42278),"",1)))</f>
        <v/>
      </c>
      <c r="DS177" s="92" t="str">
        <f>IF(Table1[Start Date]="","",IF(Table1[Start Date]&gt;42460,"",IF(AND(Table1[Leaving Date]&gt;1,Table1[Leaving Date]&lt;42370),"",1)))</f>
        <v/>
      </c>
      <c r="DT177" s="92" t="str">
        <f>IF(Table1[Start Date]="","",IF(Table1[Start Date]&gt;42551,"",IF(AND(Table1[Leaving Date]&gt;1,Table1[Leaving Date]&lt;42461),"",1)))</f>
        <v/>
      </c>
      <c r="DU177" s="92" t="str">
        <f>IF(Table1[Start Date]="","",IF(Table1[Start Date]&gt;42643,"",IF(AND(Table1[Leaving Date]&gt;1,Table1[Leaving Date]&lt;42552),"",1)))</f>
        <v/>
      </c>
      <c r="DV177" s="92" t="str">
        <f>IF(Table1[Start Date]="","",IF(Table1[Start Date]&gt;42735,"",IF(AND(Table1[Leaving Date]&gt;1,Table1[Leaving Date]&lt;42644),"",1)))</f>
        <v/>
      </c>
      <c r="DW177" s="92" t="str">
        <f>IF(Table1[Start Date]="","",IF(Table1[Start Date]&gt;42825,"",IF(AND(Table1[Leaving Date]&gt;1,Table1[Leaving Date]&lt;42736),"",1)))</f>
        <v/>
      </c>
      <c r="DX177"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177" s="44" t="e">
        <f>VLOOKUP(Table1[Referral Source],Lists!$G$2:$H$20,2,FALSE)</f>
        <v>#N/A</v>
      </c>
      <c r="DZ177" s="93" t="e">
        <f>SUM(Table1[Data Referral Quarter]+Table1[Data Referral Source])</f>
        <v>#N/A</v>
      </c>
      <c r="EA177" s="44" t="b">
        <f>IF(Table1[Referral Decision]="Accepted",100,IF(Table1[Referral Decision]="Rejected by Provider",200,IF(Table1[Referral Decision]="Rejected by Applicant",300)))</f>
        <v>0</v>
      </c>
      <c r="EB177" s="44">
        <f>SUM(Table1[Data Referral Quarter]+Table1[Data Referral Decision])</f>
        <v>0</v>
      </c>
      <c r="EC177" s="44" t="b">
        <f>IF(Table1[Start Date]&gt;42735,8000,IF(Table1[Start Date]&gt;42643,7000,IF(Table1[Start Date]&gt;42551,6000,IF(Table1[Start Date]&gt;42460,5000,IF(Table1[Start Date]&gt;42369,4000,IF(Table1[Start Date]&gt;42277,3000,IF(Table1[Start Date]&gt;42185,2000,IF(Table1[Start Date]&gt;42094,1000))))))))</f>
        <v>0</v>
      </c>
      <c r="ED177" s="44" t="str">
        <f>IF(Table1[Start Date]="","",IF(Table1[Current Local Authority]="Swindon",1,"2"))</f>
        <v/>
      </c>
      <c r="EE177" s="44" t="e">
        <f>SUM(Table1[Data Start Date]+Table1[Data Local Authority])</f>
        <v>#VALUE!</v>
      </c>
      <c r="EF177" s="44">
        <f>IF(Table1[Registered with GP]="Yes",1,0)</f>
        <v>0</v>
      </c>
      <c r="EG177" s="44">
        <f>SUM(Table1[Data Start Date]+Table1[Data GP Start])</f>
        <v>0</v>
      </c>
      <c r="EH177" s="44" t="str">
        <f>IF(Table1[EET]="NEET",1,IF(Table1[EET]="Education",2,IF(Table1[EET]="Employment",2,IF(Table1[EET]="Training",2,IF(Table1[EET]="Retired",3,"")))))</f>
        <v/>
      </c>
      <c r="EI177" s="44" t="e">
        <f>Table1[Data Start Date]+Table1[Data EET Start]</f>
        <v>#VALUE!</v>
      </c>
      <c r="EJ177" s="44" t="b">
        <f>IF(Table1[Leaving Date]&gt;42735,8000,IF(Table1[Leaving Date]&gt;42643,7000,IF(Table1[Leaving Date]&gt;42551,6000,IF(Table1[Leaving Date]&gt;42460,5000,IF(Table1[Leaving Date]&gt;42369,4000,IF(Table1[Leaving Date]&gt;42277,3000,IF(Table1[Leaving Date]&gt;42185,2000,IF(Table1[Leaving Date]&gt;42094,1000))))))))</f>
        <v>0</v>
      </c>
      <c r="EK177" s="44" t="e">
        <f>VLOOKUP(Table1[Reason for Leaving],Lists!$T$2:$U$15,2,FALSE)</f>
        <v>#N/A</v>
      </c>
      <c r="EL177" s="44" t="e">
        <f>SUM(Table1[Data Leavers Date]+Table1[Data Move On])</f>
        <v>#N/A</v>
      </c>
      <c r="EM177" s="44" t="b">
        <f>IF(Table1[Registered with GP2]="Yes",1,IF(Table1[Registered with GP2]="No",0,IF(Table1[Registered with GP]="Yes",1,IF(Table1[Registered with GP]="No",0))))</f>
        <v>0</v>
      </c>
      <c r="EN177" s="44">
        <f>SUM(Table1[Data Leavers Date]+Table1[Data GP End])</f>
        <v>0</v>
      </c>
      <c r="EO177" s="44" t="str">
        <f>IF(Table1[EET2]="NEET",1,IF(Table1[EET2]="Employment",2,IF(Table1[EET2]="Education",2,IF(Table1[EET2]="Training",2,IF(Table1[EET2]="Retired",3,IF(Table1[EET]="NEET",1,IF(Table1[EET]="Employment",2,IF(Table1[EET]="Education",2,IF(Table1[EET]="Training",2,IF(Table1[EET]="Retired",3,""))))))))))</f>
        <v/>
      </c>
      <c r="EP177" s="44" t="e">
        <f>+Table1[[#This Row],[Data Leavers Date]]+Table1[[#This Row],[Data EET End]]</f>
        <v>#VALUE!</v>
      </c>
      <c r="EQ177" s="44">
        <f>IF(Table1[Exit Form Received]="Yes",1,0)</f>
        <v>0</v>
      </c>
      <c r="ER177" s="44">
        <f>+Table1[[#This Row],[Data Leavers Date]]+Table1[[#This Row],[Data Exit Forms]]</f>
        <v>0</v>
      </c>
      <c r="ES177" s="44" t="str">
        <f>IF(Table1[Data Leavers Date]=1000,SUM(Table1[Leaving Date]-Table1[Start Date]),"")</f>
        <v/>
      </c>
      <c r="ET177" s="44" t="str">
        <f>IF(Table1[Data Leavers Date]=2000,SUM(Table1[Leaving Date]-Table1[Start Date]),"")</f>
        <v/>
      </c>
      <c r="EU177" s="44" t="str">
        <f>IF(Table1[Data Leavers Date]=3000,SUM(Table1[Leaving Date]-Table1[Start Date]),"")</f>
        <v/>
      </c>
      <c r="EV177" s="44" t="str">
        <f>IF(Table1[Data Leavers Date]=4000,SUM(Table1[Leaving Date]-Table1[Start Date]),"")</f>
        <v/>
      </c>
      <c r="EW177" s="44" t="str">
        <f>IF(Table1[Data Leavers Date]=5000,SUM(Table1[Leaving Date]-Table1[Start Date]),"")</f>
        <v/>
      </c>
      <c r="EX177" s="44" t="str">
        <f>IF(Table1[Data Leavers Date]=6000,SUM(Table1[Leaving Date]-Table1[Start Date]),"")</f>
        <v/>
      </c>
      <c r="EY177" s="44" t="str">
        <f>IF(Table1[Data Leavers Date]=7000,SUM(Table1[Leaving Date]-Table1[Start Date]),"")</f>
        <v/>
      </c>
      <c r="EZ177" s="44" t="str">
        <f>IF(Table1[Data Leavers Date]=8000,SUM(Table1[Leaving Date]-Table1[Start Date]),"")</f>
        <v/>
      </c>
      <c r="FA177" s="44" t="str">
        <f>IF(Table1[Date of Initial Assessment]="","",IF(AND(Table1[Start Date]&gt;42094,Table1[Start Date]&lt;42461),Table1[Motivation and Taking Responsibility],""))</f>
        <v/>
      </c>
      <c r="FB177" s="44" t="str">
        <f>IF(Table1[Date of Initial Assessment]="","",IF(AND(Table1[Start Date]&gt;42094,Table1[Start Date]&lt;42461),Table1[Self-Care and Living Skills],""))</f>
        <v/>
      </c>
      <c r="FC177" s="44" t="str">
        <f>IF(Table1[Date of Initial Assessment]="","",IF(AND(Table1[Start Date]&gt;42094,Table1[Start Date]&lt;42461),Table1[Managing Money and Personal Administration],""))</f>
        <v/>
      </c>
      <c r="FD177" s="44" t="str">
        <f>IF(Table1[Date of Initial Assessment]="","",IF(AND(Table1[Start Date]&gt;42094,Table1[Start Date]&lt;42461),Table1[Social Networks and Relationships],""))</f>
        <v/>
      </c>
      <c r="FE177" s="44" t="str">
        <f>IF(Table1[Date of Initial Assessment]="","",IF(AND(Table1[Start Date]&gt;42094,Table1[Start Date]&lt;42461),Table1[Drug and Alcohol Misuse],""))</f>
        <v/>
      </c>
      <c r="FF177" s="44" t="str">
        <f>IF(Table1[Date of Initial Assessment]="","",IF(AND(Table1[Start Date]&gt;42094,Table1[Start Date]&lt;42461),Table1[Physical Health],""))</f>
        <v/>
      </c>
      <c r="FG177" s="44" t="str">
        <f>IF(Table1[Date of Initial Assessment]="","",IF(AND(Table1[Start Date]&gt;42094,Table1[Start Date]&lt;42461),Table1[Emotional and Mental Health],""))</f>
        <v/>
      </c>
      <c r="FH177" s="44" t="str">
        <f>IF(Table1[Date of Initial Assessment]="","",IF(AND(Table1[Start Date]&gt;42094,Table1[Start Date]&lt;42461),Table1[Meaningful Use of Time],""))</f>
        <v/>
      </c>
      <c r="FI177" s="44" t="str">
        <f>IF(Table1[Date of Initial Assessment]="","",IF(AND(Table1[Start Date]&gt;42094,Table1[Start Date]&lt;42461),Table1[Managing Tenancy and Accommodation],""))</f>
        <v/>
      </c>
      <c r="FJ177" s="44" t="str">
        <f>IF(Table1[Date of Initial Assessment]="","",IF(AND(Table1[Start Date]&gt;42094,Table1[Start Date]&lt;42461),Table1[Offending],""))</f>
        <v/>
      </c>
      <c r="FK177" s="44" t="str">
        <f>IF(Table1[Leaving Date]="","",IF(Table1[Date of Initial Assessment]="","",IF(AND(Table1[Leaving Date]&gt;42094,Table1[Leaving Date]&lt;42461),IF(Table1[Date of Last Assessment]="",Table1[Motivation and Taking Responsibility],Table1[Motivation and Taking Responsibility2]),"")))</f>
        <v/>
      </c>
      <c r="FL177" s="44" t="str">
        <f>IF(Table1[Leaving Date]="","",IF(Table1[Date of Initial Assessment]="","",IF(AND(Table1[Leaving Date]&gt;42094,Table1[Leaving Date]&lt;42461),IF(Table1[Date of Last Assessment]="",Table1[Self-Care and Living Skills],Table1[Self-Care and Living Skills2]),"")))</f>
        <v/>
      </c>
      <c r="FM177" s="44" t="str">
        <f>IF(Table1[Leaving Date]="","",IF(Table1[Date of Initial Assessment]="","",IF(AND(Table1[Leaving Date]&gt;42094,Table1[Leaving Date]&lt;42461),IF(Table1[Date of Last Assessment]="",Table1[Managing Money and Personal Administration],Table1[Managing Money and Personal Administration2]),"")))</f>
        <v/>
      </c>
      <c r="FN177" s="44" t="str">
        <f>IF(Table1[Leaving Date]="","",IF(Table1[Date of Initial Assessment]="","",IF(AND(Table1[Leaving Date]&gt;42094,Table1[Leaving Date]&lt;42461),IF(Table1[Date of Last Assessment]="",Table1[Social Networks and Relationships],Table1[Social Networks and Relationships2]),"")))</f>
        <v/>
      </c>
      <c r="FO177" s="44" t="str">
        <f>IF(Table1[Leaving Date]="","",IF(Table1[Date of Initial Assessment]="","",IF(AND(Table1[Leaving Date]&gt;42094,Table1[Leaving Date]&lt;42461),IF(Table1[Date of Last Assessment]="",Table1[Drug and Alcohol Misuse],Table1[Drug and Alcohol Misuse2]),"")))</f>
        <v/>
      </c>
      <c r="FP177" s="44" t="str">
        <f>IF(Table1[Leaving Date]="","",IF(Table1[Date of Initial Assessment]="","",IF(AND(Table1[Leaving Date]&gt;42094,Table1[Leaving Date]&lt;42461),IF(Table1[Date of Last Assessment]="",Table1[Physical Health],Table1[Physical Health2]),"")))</f>
        <v/>
      </c>
      <c r="FQ177" s="44" t="str">
        <f>IF(Table1[Leaving Date]="","",IF(Table1[Date of Initial Assessment]="","",IF(AND(Table1[Leaving Date]&gt;42094,Table1[Leaving Date]&lt;42461),IF(Table1[Date of Last Assessment]="",Table1[Emotional and Mental Health],Table1[Emotional and Mental Health2]),"")))</f>
        <v/>
      </c>
      <c r="FR177" s="44" t="str">
        <f>IF(Table1[Leaving Date]="","",IF(Table1[Date of Initial Assessment]="","",IF(AND(Table1[Leaving Date]&gt;42094,Table1[Leaving Date]&lt;42461),IF(Table1[Date of Last Assessment]="",Table1[Meaningful Use of Time],Table1[Meaningful Use of Time2]),"")))</f>
        <v/>
      </c>
      <c r="FS177" s="44" t="str">
        <f>IF(Table1[Leaving Date]="","",IF(Table1[Date of Initial Assessment]="","",IF(AND(Table1[Leaving Date]&gt;42094,Table1[Leaving Date]&lt;42461),IF(Table1[Date of Last Assessment]="",Table1[Managing Tenancy and Accommodation],Table1[Managing Tenancy and Accommodation2]),"")))</f>
        <v/>
      </c>
      <c r="FT177" s="44" t="str">
        <f>IF(Table1[Leaving Date]="","",IF(Table1[Date of Initial Assessment]="","",IF(AND(Table1[Leaving Date]&gt;42094,Table1[Leaving Date]&lt;42461),IF(Table1[Date of Last Assessment]="",Table1[Offending],Table1[Offending2]),"")))</f>
        <v/>
      </c>
      <c r="FU177" s="44" t="str">
        <f>IF(Table1[Date of Initial Assessment]="","",IF(AND(Table1[Start Date]&gt;42460,Table1[Start Date]&lt;42826),Table1[Motivation and Taking Responsibility],""))</f>
        <v/>
      </c>
      <c r="FV177" s="44" t="str">
        <f>IF(Table1[Date of Initial Assessment]="","",IF(AND(Table1[Start Date]&gt;42460,Table1[Start Date]&lt;42826),Table1[Self-Care and Living Skills],""))</f>
        <v/>
      </c>
      <c r="FW177" s="44" t="str">
        <f>IF(Table1[Date of Initial Assessment]="","",IF(AND(Table1[Start Date]&gt;42460,Table1[Start Date]&lt;42826),Table1[Managing Money and Personal Administration],""))</f>
        <v/>
      </c>
      <c r="FX177" s="44" t="str">
        <f>IF(Table1[Date of Initial Assessment]="","",IF(AND(Table1[Start Date]&gt;42460,Table1[Start Date]&lt;42826),Table1[Social Networks and Relationships],""))</f>
        <v/>
      </c>
      <c r="FY177" s="44" t="str">
        <f>IF(Table1[Date of Initial Assessment]="","",IF(AND(Table1[Start Date]&gt;42460,Table1[Start Date]&lt;42826),Table1[Drug and Alcohol Misuse],""))</f>
        <v/>
      </c>
      <c r="FZ177" s="44" t="str">
        <f>IF(Table1[Date of Initial Assessment]="","",IF(AND(Table1[Start Date]&gt;42460,Table1[Start Date]&lt;42826),Table1[Physical Health],""))</f>
        <v/>
      </c>
      <c r="GA177" s="44" t="str">
        <f>IF(Table1[Date of Initial Assessment]="","",IF(AND(Table1[Start Date]&gt;42460,Table1[Start Date]&lt;42826),Table1[Emotional and Mental Health],""))</f>
        <v/>
      </c>
      <c r="GB177" s="44" t="str">
        <f>IF(Table1[Date of Initial Assessment]="","",IF(AND(Table1[Start Date]&gt;42460,Table1[Start Date]&lt;42826),Table1[Meaningful Use of Time],""))</f>
        <v/>
      </c>
      <c r="GC177" s="44" t="str">
        <f>IF(Table1[Date of Initial Assessment]="","",IF(AND(Table1[Start Date]&gt;42460,Table1[Start Date]&lt;42826),Table1[Managing Tenancy and Accommodation],""))</f>
        <v/>
      </c>
      <c r="GD177" s="44" t="str">
        <f>IF(Table1[Date of Initial Assessment]="","",IF(AND(Table1[Start Date]&gt;42460,Table1[Start Date]&lt;42826),Table1[Offending],""))</f>
        <v/>
      </c>
      <c r="GE177" s="44" t="str">
        <f>IF(Table1[Leaving Date]="","",IF(AND(Table1[Leaving Date]&gt;42460,Table1[Leaving Date]&lt;42826),IF(Table1[Date of Last Assessment]="",Table1[Motivation and Taking Responsibility],Table1[Motivation and Taking Responsibility2]),""))</f>
        <v/>
      </c>
      <c r="GF177" s="44" t="str">
        <f>IF(Table1[Leaving Date]="","",IF(AND(Table1[Leaving Date]&gt;42460,Table1[Leaving Date]&lt;42826),IF(Table1[Date of Last Assessment]="",Table1[Self-Care and Living Skills],Table1[Self-Care and Living Skills2]),""))</f>
        <v/>
      </c>
      <c r="GG177" s="44" t="str">
        <f>IF(Table1[Leaving Date]="","",IF(AND(Table1[Leaving Date]&gt;42460,Table1[Leaving Date]&lt;42826),IF(Table1[Date of Last Assessment]="",Table1[Managing Money and Personal Administration],Table1[Managing Money and Personal Administration2]),""))</f>
        <v/>
      </c>
      <c r="GH177" s="44" t="str">
        <f>IF(Table1[Leaving Date]="","",IF(AND(Table1[Leaving Date]&gt;42460,Table1[Leaving Date]&lt;42826),IF(Table1[Date of Last Assessment]="",Table1[Social Networks and Relationships],Table1[Social Networks and Relationships2]),""))</f>
        <v/>
      </c>
      <c r="GI177" s="44" t="str">
        <f>IF(Table1[Leaving Date]="","",IF(AND(Table1[Leaving Date]&gt;42460,Table1[Leaving Date]&lt;42826),IF(Table1[Date of Last Assessment]="",Table1[Drug and Alcohol Misuse],Table1[Drug and Alcohol Misuse2]),""))</f>
        <v/>
      </c>
      <c r="GJ177" s="44" t="str">
        <f>IF(Table1[Leaving Date]="","",IF(AND(Table1[Leaving Date]&gt;42460,Table1[Leaving Date]&lt;42826),IF(Table1[Date of Last Assessment]="",Table1[Physical Health],Table1[Physical Health2]),""))</f>
        <v/>
      </c>
      <c r="GK177" s="44" t="str">
        <f>IF(Table1[Leaving Date]="","",IF(AND(Table1[Leaving Date]&gt;42460,Table1[Leaving Date]&lt;42826),IF(Table1[Date of Last Assessment]="",Table1[Emotional and Mental Health],Table1[Emotional and Mental Health2]),""))</f>
        <v/>
      </c>
      <c r="GL177" s="44" t="str">
        <f>IF(Table1[Leaving Date]="","",IF(AND(Table1[Leaving Date]&gt;42460,Table1[Leaving Date]&lt;42826),IF(Table1[Date of Last Assessment]="",Table1[Meaningful Use of Time],Table1[Meaningful Use of Time2]),""))</f>
        <v/>
      </c>
      <c r="GM177" s="44" t="str">
        <f>IF(Table1[Leaving Date]="","",IF(AND(Table1[Leaving Date]&gt;42460,Table1[Leaving Date]&lt;42826),IF(Table1[Date of Last Assessment]="",Table1[Managing Tenancy and Accommodation],Table1[Managing Tenancy and Accommodation2]),""))</f>
        <v/>
      </c>
      <c r="GN177" s="44" t="str">
        <f>IF(Table1[Leaving Date]="","",IF(AND(Table1[Leaving Date]&gt;42460,Table1[Leaving Date]&lt;42826),IF(Table1[Date of Last Assessment]="",Table1[Offending],Table1[Offending2]),""))</f>
        <v/>
      </c>
    </row>
    <row r="178" spans="2:196" ht="20.100000000000001" customHeight="1" x14ac:dyDescent="0.2">
      <c r="B178" s="86">
        <f>+'Service Data'!$C$5:$C$5</f>
        <v>0</v>
      </c>
      <c r="C178" s="86"/>
      <c r="D178" s="86"/>
      <c r="E178" s="86"/>
      <c r="F178" s="86"/>
      <c r="G178" s="86"/>
      <c r="H178" s="6"/>
      <c r="I178" s="99" t="str">
        <f ca="1">IF(Table1[[#This Row],[Date of Birth]]="","",SUM(TODAY()-Table1[[#This Row],[Date of Birth]])/365)</f>
        <v/>
      </c>
      <c r="L178" s="86"/>
      <c r="M178" s="77"/>
      <c r="N178" s="86"/>
      <c r="O178" s="86"/>
      <c r="P178" s="91"/>
      <c r="Q178" s="86"/>
      <c r="R178" s="77"/>
      <c r="S178" s="77"/>
      <c r="T178" s="68"/>
      <c r="U178" s="68"/>
      <c r="V178" s="67"/>
      <c r="W178" s="67"/>
      <c r="X178" s="67"/>
      <c r="Y178" s="67"/>
      <c r="Z178" s="67"/>
      <c r="AA178" s="67"/>
      <c r="AB178" s="67"/>
      <c r="AC178" s="67"/>
      <c r="AD178" s="67"/>
      <c r="AE178" s="67"/>
      <c r="AF178" s="67"/>
      <c r="AG178" s="67"/>
      <c r="AH178" s="67"/>
      <c r="AI178" s="67"/>
      <c r="AJ178" s="67"/>
      <c r="AK178" s="67"/>
      <c r="AL178" s="67"/>
      <c r="AM178" s="67"/>
      <c r="AN178" s="77"/>
      <c r="AO178" s="76"/>
      <c r="AP178" s="77"/>
      <c r="AQ178" s="76"/>
      <c r="AR178" s="76"/>
      <c r="AS178" s="76"/>
      <c r="AT178" s="76"/>
      <c r="AU178" s="76"/>
      <c r="AV178" s="77"/>
      <c r="AW178" s="76"/>
      <c r="AX178" s="77"/>
      <c r="AY178" s="76"/>
      <c r="AZ178" s="76"/>
      <c r="BA178" s="76"/>
      <c r="BB178" s="76"/>
      <c r="BC178" s="76"/>
      <c r="BD178" s="77"/>
      <c r="BE178" s="76"/>
      <c r="BF178" s="77"/>
      <c r="BG178" s="76"/>
      <c r="BH178" s="76"/>
      <c r="BI178" s="76"/>
      <c r="BJ178" s="76"/>
      <c r="BK178" s="76"/>
      <c r="BL178" s="77"/>
      <c r="BM178" s="76"/>
      <c r="BN178" s="77"/>
      <c r="BO178" s="76"/>
      <c r="BP178" s="76"/>
      <c r="BQ178" s="76"/>
      <c r="BR178" s="76"/>
      <c r="BS178" s="76"/>
      <c r="BT178" s="77"/>
      <c r="BU178" s="76"/>
      <c r="BV178" s="77"/>
      <c r="BW178" s="76"/>
      <c r="BX178" s="76"/>
      <c r="BY178" s="76"/>
      <c r="BZ178" s="76"/>
      <c r="CA178" s="76"/>
      <c r="CB178" s="77"/>
      <c r="CC178" s="76"/>
      <c r="CD178" s="77"/>
      <c r="CE178" s="76"/>
      <c r="CF178" s="76"/>
      <c r="CG178" s="76"/>
      <c r="CH178" s="76"/>
      <c r="CI178" s="76"/>
      <c r="CJ178" s="77"/>
      <c r="CK178" s="76"/>
      <c r="CL178" s="77"/>
      <c r="CM178" s="76"/>
      <c r="CN178" s="76"/>
      <c r="CO178" s="76"/>
      <c r="CP178" s="76"/>
      <c r="CQ178" s="76"/>
      <c r="CR178" s="78" t="str">
        <f t="shared" si="47"/>
        <v/>
      </c>
      <c r="CS178" s="79" t="str">
        <f t="shared" si="48"/>
        <v/>
      </c>
      <c r="CT178" s="79" t="str">
        <f t="shared" si="49"/>
        <v/>
      </c>
      <c r="CU178" s="79" t="str">
        <f t="shared" si="50"/>
        <v/>
      </c>
      <c r="CV178" s="79" t="str">
        <f t="shared" si="51"/>
        <v/>
      </c>
      <c r="CW178" s="79" t="str">
        <f t="shared" si="52"/>
        <v/>
      </c>
      <c r="CX178" s="79" t="str">
        <f t="shared" si="53"/>
        <v/>
      </c>
      <c r="CY178" s="79" t="str">
        <f t="shared" si="54"/>
        <v/>
      </c>
      <c r="CZ178" s="79" t="str">
        <f t="shared" si="55"/>
        <v/>
      </c>
      <c r="DA178" s="79" t="str">
        <f t="shared" si="56"/>
        <v/>
      </c>
      <c r="DB178" s="79" t="str">
        <f t="shared" si="57"/>
        <v/>
      </c>
      <c r="DC178" s="79" t="str">
        <f t="shared" si="58"/>
        <v/>
      </c>
      <c r="DD178" s="79" t="str">
        <f t="shared" si="59"/>
        <v/>
      </c>
      <c r="DE178" s="79" t="str">
        <f t="shared" si="60"/>
        <v/>
      </c>
      <c r="DF178" s="79" t="str">
        <f t="shared" si="61"/>
        <v/>
      </c>
      <c r="DG178" s="79" t="str">
        <f t="shared" si="62"/>
        <v/>
      </c>
      <c r="DH178" s="76"/>
      <c r="DI178" s="78"/>
      <c r="DJ178" s="76"/>
      <c r="DK178" s="77"/>
      <c r="DL178" s="77"/>
      <c r="DM178" s="77"/>
      <c r="DN178" s="80"/>
      <c r="DO178" s="80"/>
      <c r="DP178" s="92" t="str">
        <f>IF(Table1[Start Date]="","",IF(Table1[Start Date]&gt;42185,"",IF(AND(Table1[Leaving Date]&gt;1,Table1[Leaving Date]&lt;42095),"",1)))</f>
        <v/>
      </c>
      <c r="DQ178" s="92" t="str">
        <f>IF(Table1[Start Date]="","",IF(Table1[Start Date]&gt;42277,"",IF(AND(Table1[Leaving Date]&gt;1,Table1[Leaving Date]&lt;42186),"",1)))</f>
        <v/>
      </c>
      <c r="DR178" s="92" t="str">
        <f>IF(Table1[Start Date]="","",IF(Table1[Start Date]&gt;42369,"",IF(AND(Table1[Leaving Date]&gt;1,Table1[Leaving Date]&lt;42278),"",1)))</f>
        <v/>
      </c>
      <c r="DS178" s="92" t="str">
        <f>IF(Table1[Start Date]="","",IF(Table1[Start Date]&gt;42460,"",IF(AND(Table1[Leaving Date]&gt;1,Table1[Leaving Date]&lt;42370),"",1)))</f>
        <v/>
      </c>
      <c r="DT178" s="92" t="str">
        <f>IF(Table1[Start Date]="","",IF(Table1[Start Date]&gt;42551,"",IF(AND(Table1[Leaving Date]&gt;1,Table1[Leaving Date]&lt;42461),"",1)))</f>
        <v/>
      </c>
      <c r="DU178" s="92" t="str">
        <f>IF(Table1[Start Date]="","",IF(Table1[Start Date]&gt;42643,"",IF(AND(Table1[Leaving Date]&gt;1,Table1[Leaving Date]&lt;42552),"",1)))</f>
        <v/>
      </c>
      <c r="DV178" s="92" t="str">
        <f>IF(Table1[Start Date]="","",IF(Table1[Start Date]&gt;42735,"",IF(AND(Table1[Leaving Date]&gt;1,Table1[Leaving Date]&lt;42644),"",1)))</f>
        <v/>
      </c>
      <c r="DW178" s="92" t="str">
        <f>IF(Table1[Start Date]="","",IF(Table1[Start Date]&gt;42825,"",IF(AND(Table1[Leaving Date]&gt;1,Table1[Leaving Date]&lt;42736),"",1)))</f>
        <v/>
      </c>
      <c r="DX178"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178" s="44" t="e">
        <f>VLOOKUP(Table1[Referral Source],Lists!$G$2:$H$20,2,FALSE)</f>
        <v>#N/A</v>
      </c>
      <c r="DZ178" s="93" t="e">
        <f>SUM(Table1[Data Referral Quarter]+Table1[Data Referral Source])</f>
        <v>#N/A</v>
      </c>
      <c r="EA178" s="44" t="b">
        <f>IF(Table1[Referral Decision]="Accepted",100,IF(Table1[Referral Decision]="Rejected by Provider",200,IF(Table1[Referral Decision]="Rejected by Applicant",300)))</f>
        <v>0</v>
      </c>
      <c r="EB178" s="44">
        <f>SUM(Table1[Data Referral Quarter]+Table1[Data Referral Decision])</f>
        <v>0</v>
      </c>
      <c r="EC178" s="44" t="b">
        <f>IF(Table1[Start Date]&gt;42735,8000,IF(Table1[Start Date]&gt;42643,7000,IF(Table1[Start Date]&gt;42551,6000,IF(Table1[Start Date]&gt;42460,5000,IF(Table1[Start Date]&gt;42369,4000,IF(Table1[Start Date]&gt;42277,3000,IF(Table1[Start Date]&gt;42185,2000,IF(Table1[Start Date]&gt;42094,1000))))))))</f>
        <v>0</v>
      </c>
      <c r="ED178" s="44" t="str">
        <f>IF(Table1[Start Date]="","",IF(Table1[Current Local Authority]="Swindon",1,"2"))</f>
        <v/>
      </c>
      <c r="EE178" s="44" t="e">
        <f>SUM(Table1[Data Start Date]+Table1[Data Local Authority])</f>
        <v>#VALUE!</v>
      </c>
      <c r="EF178" s="44">
        <f>IF(Table1[Registered with GP]="Yes",1,0)</f>
        <v>0</v>
      </c>
      <c r="EG178" s="44">
        <f>SUM(Table1[Data Start Date]+Table1[Data GP Start])</f>
        <v>0</v>
      </c>
      <c r="EH178" s="44" t="str">
        <f>IF(Table1[EET]="NEET",1,IF(Table1[EET]="Education",2,IF(Table1[EET]="Employment",2,IF(Table1[EET]="Training",2,IF(Table1[EET]="Retired",3,"")))))</f>
        <v/>
      </c>
      <c r="EI178" s="44" t="e">
        <f>Table1[Data Start Date]+Table1[Data EET Start]</f>
        <v>#VALUE!</v>
      </c>
      <c r="EJ178" s="44" t="b">
        <f>IF(Table1[Leaving Date]&gt;42735,8000,IF(Table1[Leaving Date]&gt;42643,7000,IF(Table1[Leaving Date]&gt;42551,6000,IF(Table1[Leaving Date]&gt;42460,5000,IF(Table1[Leaving Date]&gt;42369,4000,IF(Table1[Leaving Date]&gt;42277,3000,IF(Table1[Leaving Date]&gt;42185,2000,IF(Table1[Leaving Date]&gt;42094,1000))))))))</f>
        <v>0</v>
      </c>
      <c r="EK178" s="44" t="e">
        <f>VLOOKUP(Table1[Reason for Leaving],Lists!$T$2:$U$15,2,FALSE)</f>
        <v>#N/A</v>
      </c>
      <c r="EL178" s="44" t="e">
        <f>SUM(Table1[Data Leavers Date]+Table1[Data Move On])</f>
        <v>#N/A</v>
      </c>
      <c r="EM178" s="44" t="b">
        <f>IF(Table1[Registered with GP2]="Yes",1,IF(Table1[Registered with GP2]="No",0,IF(Table1[Registered with GP]="Yes",1,IF(Table1[Registered with GP]="No",0))))</f>
        <v>0</v>
      </c>
      <c r="EN178" s="44">
        <f>SUM(Table1[Data Leavers Date]+Table1[Data GP End])</f>
        <v>0</v>
      </c>
      <c r="EO178" s="44" t="str">
        <f>IF(Table1[EET2]="NEET",1,IF(Table1[EET2]="Employment",2,IF(Table1[EET2]="Education",2,IF(Table1[EET2]="Training",2,IF(Table1[EET2]="Retired",3,IF(Table1[EET]="NEET",1,IF(Table1[EET]="Employment",2,IF(Table1[EET]="Education",2,IF(Table1[EET]="Training",2,IF(Table1[EET]="Retired",3,""))))))))))</f>
        <v/>
      </c>
      <c r="EP178" s="44" t="e">
        <f>+Table1[[#This Row],[Data Leavers Date]]+Table1[[#This Row],[Data EET End]]</f>
        <v>#VALUE!</v>
      </c>
      <c r="EQ178" s="44">
        <f>IF(Table1[Exit Form Received]="Yes",1,0)</f>
        <v>0</v>
      </c>
      <c r="ER178" s="44">
        <f>+Table1[[#This Row],[Data Leavers Date]]+Table1[[#This Row],[Data Exit Forms]]</f>
        <v>0</v>
      </c>
      <c r="ES178" s="44" t="str">
        <f>IF(Table1[Data Leavers Date]=1000,SUM(Table1[Leaving Date]-Table1[Start Date]),"")</f>
        <v/>
      </c>
      <c r="ET178" s="44" t="str">
        <f>IF(Table1[Data Leavers Date]=2000,SUM(Table1[Leaving Date]-Table1[Start Date]),"")</f>
        <v/>
      </c>
      <c r="EU178" s="44" t="str">
        <f>IF(Table1[Data Leavers Date]=3000,SUM(Table1[Leaving Date]-Table1[Start Date]),"")</f>
        <v/>
      </c>
      <c r="EV178" s="44" t="str">
        <f>IF(Table1[Data Leavers Date]=4000,SUM(Table1[Leaving Date]-Table1[Start Date]),"")</f>
        <v/>
      </c>
      <c r="EW178" s="44" t="str">
        <f>IF(Table1[Data Leavers Date]=5000,SUM(Table1[Leaving Date]-Table1[Start Date]),"")</f>
        <v/>
      </c>
      <c r="EX178" s="44" t="str">
        <f>IF(Table1[Data Leavers Date]=6000,SUM(Table1[Leaving Date]-Table1[Start Date]),"")</f>
        <v/>
      </c>
      <c r="EY178" s="44" t="str">
        <f>IF(Table1[Data Leavers Date]=7000,SUM(Table1[Leaving Date]-Table1[Start Date]),"")</f>
        <v/>
      </c>
      <c r="EZ178" s="44" t="str">
        <f>IF(Table1[Data Leavers Date]=8000,SUM(Table1[Leaving Date]-Table1[Start Date]),"")</f>
        <v/>
      </c>
      <c r="FA178" s="44" t="str">
        <f>IF(Table1[Date of Initial Assessment]="","",IF(AND(Table1[Start Date]&gt;42094,Table1[Start Date]&lt;42461),Table1[Motivation and Taking Responsibility],""))</f>
        <v/>
      </c>
      <c r="FB178" s="44" t="str">
        <f>IF(Table1[Date of Initial Assessment]="","",IF(AND(Table1[Start Date]&gt;42094,Table1[Start Date]&lt;42461),Table1[Self-Care and Living Skills],""))</f>
        <v/>
      </c>
      <c r="FC178" s="44" t="str">
        <f>IF(Table1[Date of Initial Assessment]="","",IF(AND(Table1[Start Date]&gt;42094,Table1[Start Date]&lt;42461),Table1[Managing Money and Personal Administration],""))</f>
        <v/>
      </c>
      <c r="FD178" s="44" t="str">
        <f>IF(Table1[Date of Initial Assessment]="","",IF(AND(Table1[Start Date]&gt;42094,Table1[Start Date]&lt;42461),Table1[Social Networks and Relationships],""))</f>
        <v/>
      </c>
      <c r="FE178" s="44" t="str">
        <f>IF(Table1[Date of Initial Assessment]="","",IF(AND(Table1[Start Date]&gt;42094,Table1[Start Date]&lt;42461),Table1[Drug and Alcohol Misuse],""))</f>
        <v/>
      </c>
      <c r="FF178" s="44" t="str">
        <f>IF(Table1[Date of Initial Assessment]="","",IF(AND(Table1[Start Date]&gt;42094,Table1[Start Date]&lt;42461),Table1[Physical Health],""))</f>
        <v/>
      </c>
      <c r="FG178" s="44" t="str">
        <f>IF(Table1[Date of Initial Assessment]="","",IF(AND(Table1[Start Date]&gt;42094,Table1[Start Date]&lt;42461),Table1[Emotional and Mental Health],""))</f>
        <v/>
      </c>
      <c r="FH178" s="44" t="str">
        <f>IF(Table1[Date of Initial Assessment]="","",IF(AND(Table1[Start Date]&gt;42094,Table1[Start Date]&lt;42461),Table1[Meaningful Use of Time],""))</f>
        <v/>
      </c>
      <c r="FI178" s="44" t="str">
        <f>IF(Table1[Date of Initial Assessment]="","",IF(AND(Table1[Start Date]&gt;42094,Table1[Start Date]&lt;42461),Table1[Managing Tenancy and Accommodation],""))</f>
        <v/>
      </c>
      <c r="FJ178" s="44" t="str">
        <f>IF(Table1[Date of Initial Assessment]="","",IF(AND(Table1[Start Date]&gt;42094,Table1[Start Date]&lt;42461),Table1[Offending],""))</f>
        <v/>
      </c>
      <c r="FK178" s="44" t="str">
        <f>IF(Table1[Leaving Date]="","",IF(Table1[Date of Initial Assessment]="","",IF(AND(Table1[Leaving Date]&gt;42094,Table1[Leaving Date]&lt;42461),IF(Table1[Date of Last Assessment]="",Table1[Motivation and Taking Responsibility],Table1[Motivation and Taking Responsibility2]),"")))</f>
        <v/>
      </c>
      <c r="FL178" s="44" t="str">
        <f>IF(Table1[Leaving Date]="","",IF(Table1[Date of Initial Assessment]="","",IF(AND(Table1[Leaving Date]&gt;42094,Table1[Leaving Date]&lt;42461),IF(Table1[Date of Last Assessment]="",Table1[Self-Care and Living Skills],Table1[Self-Care and Living Skills2]),"")))</f>
        <v/>
      </c>
      <c r="FM178" s="44" t="str">
        <f>IF(Table1[Leaving Date]="","",IF(Table1[Date of Initial Assessment]="","",IF(AND(Table1[Leaving Date]&gt;42094,Table1[Leaving Date]&lt;42461),IF(Table1[Date of Last Assessment]="",Table1[Managing Money and Personal Administration],Table1[Managing Money and Personal Administration2]),"")))</f>
        <v/>
      </c>
      <c r="FN178" s="44" t="str">
        <f>IF(Table1[Leaving Date]="","",IF(Table1[Date of Initial Assessment]="","",IF(AND(Table1[Leaving Date]&gt;42094,Table1[Leaving Date]&lt;42461),IF(Table1[Date of Last Assessment]="",Table1[Social Networks and Relationships],Table1[Social Networks and Relationships2]),"")))</f>
        <v/>
      </c>
      <c r="FO178" s="44" t="str">
        <f>IF(Table1[Leaving Date]="","",IF(Table1[Date of Initial Assessment]="","",IF(AND(Table1[Leaving Date]&gt;42094,Table1[Leaving Date]&lt;42461),IF(Table1[Date of Last Assessment]="",Table1[Drug and Alcohol Misuse],Table1[Drug and Alcohol Misuse2]),"")))</f>
        <v/>
      </c>
      <c r="FP178" s="44" t="str">
        <f>IF(Table1[Leaving Date]="","",IF(Table1[Date of Initial Assessment]="","",IF(AND(Table1[Leaving Date]&gt;42094,Table1[Leaving Date]&lt;42461),IF(Table1[Date of Last Assessment]="",Table1[Physical Health],Table1[Physical Health2]),"")))</f>
        <v/>
      </c>
      <c r="FQ178" s="44" t="str">
        <f>IF(Table1[Leaving Date]="","",IF(Table1[Date of Initial Assessment]="","",IF(AND(Table1[Leaving Date]&gt;42094,Table1[Leaving Date]&lt;42461),IF(Table1[Date of Last Assessment]="",Table1[Emotional and Mental Health],Table1[Emotional and Mental Health2]),"")))</f>
        <v/>
      </c>
      <c r="FR178" s="44" t="str">
        <f>IF(Table1[Leaving Date]="","",IF(Table1[Date of Initial Assessment]="","",IF(AND(Table1[Leaving Date]&gt;42094,Table1[Leaving Date]&lt;42461),IF(Table1[Date of Last Assessment]="",Table1[Meaningful Use of Time],Table1[Meaningful Use of Time2]),"")))</f>
        <v/>
      </c>
      <c r="FS178" s="44" t="str">
        <f>IF(Table1[Leaving Date]="","",IF(Table1[Date of Initial Assessment]="","",IF(AND(Table1[Leaving Date]&gt;42094,Table1[Leaving Date]&lt;42461),IF(Table1[Date of Last Assessment]="",Table1[Managing Tenancy and Accommodation],Table1[Managing Tenancy and Accommodation2]),"")))</f>
        <v/>
      </c>
      <c r="FT178" s="44" t="str">
        <f>IF(Table1[Leaving Date]="","",IF(Table1[Date of Initial Assessment]="","",IF(AND(Table1[Leaving Date]&gt;42094,Table1[Leaving Date]&lt;42461),IF(Table1[Date of Last Assessment]="",Table1[Offending],Table1[Offending2]),"")))</f>
        <v/>
      </c>
      <c r="FU178" s="44" t="str">
        <f>IF(Table1[Date of Initial Assessment]="","",IF(AND(Table1[Start Date]&gt;42460,Table1[Start Date]&lt;42826),Table1[Motivation and Taking Responsibility],""))</f>
        <v/>
      </c>
      <c r="FV178" s="44" t="str">
        <f>IF(Table1[Date of Initial Assessment]="","",IF(AND(Table1[Start Date]&gt;42460,Table1[Start Date]&lt;42826),Table1[Self-Care and Living Skills],""))</f>
        <v/>
      </c>
      <c r="FW178" s="44" t="str">
        <f>IF(Table1[Date of Initial Assessment]="","",IF(AND(Table1[Start Date]&gt;42460,Table1[Start Date]&lt;42826),Table1[Managing Money and Personal Administration],""))</f>
        <v/>
      </c>
      <c r="FX178" s="44" t="str">
        <f>IF(Table1[Date of Initial Assessment]="","",IF(AND(Table1[Start Date]&gt;42460,Table1[Start Date]&lt;42826),Table1[Social Networks and Relationships],""))</f>
        <v/>
      </c>
      <c r="FY178" s="44" t="str">
        <f>IF(Table1[Date of Initial Assessment]="","",IF(AND(Table1[Start Date]&gt;42460,Table1[Start Date]&lt;42826),Table1[Drug and Alcohol Misuse],""))</f>
        <v/>
      </c>
      <c r="FZ178" s="44" t="str">
        <f>IF(Table1[Date of Initial Assessment]="","",IF(AND(Table1[Start Date]&gt;42460,Table1[Start Date]&lt;42826),Table1[Physical Health],""))</f>
        <v/>
      </c>
      <c r="GA178" s="44" t="str">
        <f>IF(Table1[Date of Initial Assessment]="","",IF(AND(Table1[Start Date]&gt;42460,Table1[Start Date]&lt;42826),Table1[Emotional and Mental Health],""))</f>
        <v/>
      </c>
      <c r="GB178" s="44" t="str">
        <f>IF(Table1[Date of Initial Assessment]="","",IF(AND(Table1[Start Date]&gt;42460,Table1[Start Date]&lt;42826),Table1[Meaningful Use of Time],""))</f>
        <v/>
      </c>
      <c r="GC178" s="44" t="str">
        <f>IF(Table1[Date of Initial Assessment]="","",IF(AND(Table1[Start Date]&gt;42460,Table1[Start Date]&lt;42826),Table1[Managing Tenancy and Accommodation],""))</f>
        <v/>
      </c>
      <c r="GD178" s="44" t="str">
        <f>IF(Table1[Date of Initial Assessment]="","",IF(AND(Table1[Start Date]&gt;42460,Table1[Start Date]&lt;42826),Table1[Offending],""))</f>
        <v/>
      </c>
      <c r="GE178" s="44" t="str">
        <f>IF(Table1[Leaving Date]="","",IF(AND(Table1[Leaving Date]&gt;42460,Table1[Leaving Date]&lt;42826),IF(Table1[Date of Last Assessment]="",Table1[Motivation and Taking Responsibility],Table1[Motivation and Taking Responsibility2]),""))</f>
        <v/>
      </c>
      <c r="GF178" s="44" t="str">
        <f>IF(Table1[Leaving Date]="","",IF(AND(Table1[Leaving Date]&gt;42460,Table1[Leaving Date]&lt;42826),IF(Table1[Date of Last Assessment]="",Table1[Self-Care and Living Skills],Table1[Self-Care and Living Skills2]),""))</f>
        <v/>
      </c>
      <c r="GG178" s="44" t="str">
        <f>IF(Table1[Leaving Date]="","",IF(AND(Table1[Leaving Date]&gt;42460,Table1[Leaving Date]&lt;42826),IF(Table1[Date of Last Assessment]="",Table1[Managing Money and Personal Administration],Table1[Managing Money and Personal Administration2]),""))</f>
        <v/>
      </c>
      <c r="GH178" s="44" t="str">
        <f>IF(Table1[Leaving Date]="","",IF(AND(Table1[Leaving Date]&gt;42460,Table1[Leaving Date]&lt;42826),IF(Table1[Date of Last Assessment]="",Table1[Social Networks and Relationships],Table1[Social Networks and Relationships2]),""))</f>
        <v/>
      </c>
      <c r="GI178" s="44" t="str">
        <f>IF(Table1[Leaving Date]="","",IF(AND(Table1[Leaving Date]&gt;42460,Table1[Leaving Date]&lt;42826),IF(Table1[Date of Last Assessment]="",Table1[Drug and Alcohol Misuse],Table1[Drug and Alcohol Misuse2]),""))</f>
        <v/>
      </c>
      <c r="GJ178" s="44" t="str">
        <f>IF(Table1[Leaving Date]="","",IF(AND(Table1[Leaving Date]&gt;42460,Table1[Leaving Date]&lt;42826),IF(Table1[Date of Last Assessment]="",Table1[Physical Health],Table1[Physical Health2]),""))</f>
        <v/>
      </c>
      <c r="GK178" s="44" t="str">
        <f>IF(Table1[Leaving Date]="","",IF(AND(Table1[Leaving Date]&gt;42460,Table1[Leaving Date]&lt;42826),IF(Table1[Date of Last Assessment]="",Table1[Emotional and Mental Health],Table1[Emotional and Mental Health2]),""))</f>
        <v/>
      </c>
      <c r="GL178" s="44" t="str">
        <f>IF(Table1[Leaving Date]="","",IF(AND(Table1[Leaving Date]&gt;42460,Table1[Leaving Date]&lt;42826),IF(Table1[Date of Last Assessment]="",Table1[Meaningful Use of Time],Table1[Meaningful Use of Time2]),""))</f>
        <v/>
      </c>
      <c r="GM178" s="44" t="str">
        <f>IF(Table1[Leaving Date]="","",IF(AND(Table1[Leaving Date]&gt;42460,Table1[Leaving Date]&lt;42826),IF(Table1[Date of Last Assessment]="",Table1[Managing Tenancy and Accommodation],Table1[Managing Tenancy and Accommodation2]),""))</f>
        <v/>
      </c>
      <c r="GN178" s="44" t="str">
        <f>IF(Table1[Leaving Date]="","",IF(AND(Table1[Leaving Date]&gt;42460,Table1[Leaving Date]&lt;42826),IF(Table1[Date of Last Assessment]="",Table1[Offending],Table1[Offending2]),""))</f>
        <v/>
      </c>
    </row>
    <row r="179" spans="2:196" ht="20.100000000000001" customHeight="1" x14ac:dyDescent="0.2">
      <c r="B179" s="86">
        <f>+'Service Data'!$C$5:$C$5</f>
        <v>0</v>
      </c>
      <c r="C179" s="86"/>
      <c r="D179" s="86"/>
      <c r="E179" s="86"/>
      <c r="F179" s="86"/>
      <c r="G179" s="86"/>
      <c r="H179" s="6"/>
      <c r="I179" s="99" t="str">
        <f ca="1">IF(Table1[[#This Row],[Date of Birth]]="","",SUM(TODAY()-Table1[[#This Row],[Date of Birth]])/365)</f>
        <v/>
      </c>
      <c r="L179" s="86"/>
      <c r="M179" s="77"/>
      <c r="N179" s="86"/>
      <c r="O179" s="86"/>
      <c r="P179" s="91"/>
      <c r="Q179" s="86"/>
      <c r="R179" s="77"/>
      <c r="S179" s="77"/>
      <c r="T179" s="68"/>
      <c r="U179" s="68"/>
      <c r="V179" s="67"/>
      <c r="W179" s="67"/>
      <c r="X179" s="67"/>
      <c r="Y179" s="67"/>
      <c r="Z179" s="67"/>
      <c r="AA179" s="67"/>
      <c r="AB179" s="67"/>
      <c r="AC179" s="67"/>
      <c r="AD179" s="67"/>
      <c r="AE179" s="67"/>
      <c r="AF179" s="67"/>
      <c r="AG179" s="67"/>
      <c r="AH179" s="67"/>
      <c r="AI179" s="67"/>
      <c r="AJ179" s="67"/>
      <c r="AK179" s="67"/>
      <c r="AL179" s="67"/>
      <c r="AM179" s="67"/>
      <c r="AN179" s="77"/>
      <c r="AO179" s="76"/>
      <c r="AP179" s="77"/>
      <c r="AQ179" s="76"/>
      <c r="AR179" s="76"/>
      <c r="AS179" s="76"/>
      <c r="AT179" s="76"/>
      <c r="AU179" s="76"/>
      <c r="AV179" s="77"/>
      <c r="AW179" s="76"/>
      <c r="AX179" s="77"/>
      <c r="AY179" s="76"/>
      <c r="AZ179" s="76"/>
      <c r="BA179" s="76"/>
      <c r="BB179" s="76"/>
      <c r="BC179" s="76"/>
      <c r="BD179" s="77"/>
      <c r="BE179" s="76"/>
      <c r="BF179" s="77"/>
      <c r="BG179" s="76"/>
      <c r="BH179" s="76"/>
      <c r="BI179" s="76"/>
      <c r="BJ179" s="76"/>
      <c r="BK179" s="76"/>
      <c r="BL179" s="77"/>
      <c r="BM179" s="76"/>
      <c r="BN179" s="77"/>
      <c r="BO179" s="76"/>
      <c r="BP179" s="76"/>
      <c r="BQ179" s="76"/>
      <c r="BR179" s="76"/>
      <c r="BS179" s="76"/>
      <c r="BT179" s="77"/>
      <c r="BU179" s="76"/>
      <c r="BV179" s="77"/>
      <c r="BW179" s="76"/>
      <c r="BX179" s="76"/>
      <c r="BY179" s="76"/>
      <c r="BZ179" s="76"/>
      <c r="CA179" s="76"/>
      <c r="CB179" s="77"/>
      <c r="CC179" s="76"/>
      <c r="CD179" s="77"/>
      <c r="CE179" s="76"/>
      <c r="CF179" s="76"/>
      <c r="CG179" s="76"/>
      <c r="CH179" s="76"/>
      <c r="CI179" s="76"/>
      <c r="CJ179" s="77"/>
      <c r="CK179" s="76"/>
      <c r="CL179" s="77"/>
      <c r="CM179" s="76"/>
      <c r="CN179" s="76"/>
      <c r="CO179" s="76"/>
      <c r="CP179" s="76"/>
      <c r="CQ179" s="76"/>
      <c r="CR179" s="78" t="str">
        <f t="shared" si="47"/>
        <v/>
      </c>
      <c r="CS179" s="79" t="str">
        <f t="shared" si="48"/>
        <v/>
      </c>
      <c r="CT179" s="79" t="str">
        <f t="shared" si="49"/>
        <v/>
      </c>
      <c r="CU179" s="79" t="str">
        <f t="shared" si="50"/>
        <v/>
      </c>
      <c r="CV179" s="79" t="str">
        <f t="shared" si="51"/>
        <v/>
      </c>
      <c r="CW179" s="79" t="str">
        <f t="shared" si="52"/>
        <v/>
      </c>
      <c r="CX179" s="79" t="str">
        <f t="shared" si="53"/>
        <v/>
      </c>
      <c r="CY179" s="79" t="str">
        <f t="shared" si="54"/>
        <v/>
      </c>
      <c r="CZ179" s="79" t="str">
        <f t="shared" si="55"/>
        <v/>
      </c>
      <c r="DA179" s="79" t="str">
        <f t="shared" si="56"/>
        <v/>
      </c>
      <c r="DB179" s="79" t="str">
        <f t="shared" si="57"/>
        <v/>
      </c>
      <c r="DC179" s="79" t="str">
        <f t="shared" si="58"/>
        <v/>
      </c>
      <c r="DD179" s="79" t="str">
        <f t="shared" si="59"/>
        <v/>
      </c>
      <c r="DE179" s="79" t="str">
        <f t="shared" si="60"/>
        <v/>
      </c>
      <c r="DF179" s="79" t="str">
        <f t="shared" si="61"/>
        <v/>
      </c>
      <c r="DG179" s="79" t="str">
        <f t="shared" si="62"/>
        <v/>
      </c>
      <c r="DH179" s="76"/>
      <c r="DI179" s="78"/>
      <c r="DJ179" s="76"/>
      <c r="DK179" s="77"/>
      <c r="DL179" s="77"/>
      <c r="DM179" s="77"/>
      <c r="DN179" s="80"/>
      <c r="DO179" s="80"/>
      <c r="DP179" s="92" t="str">
        <f>IF(Table1[Start Date]="","",IF(Table1[Start Date]&gt;42185,"",IF(AND(Table1[Leaving Date]&gt;1,Table1[Leaving Date]&lt;42095),"",1)))</f>
        <v/>
      </c>
      <c r="DQ179" s="92" t="str">
        <f>IF(Table1[Start Date]="","",IF(Table1[Start Date]&gt;42277,"",IF(AND(Table1[Leaving Date]&gt;1,Table1[Leaving Date]&lt;42186),"",1)))</f>
        <v/>
      </c>
      <c r="DR179" s="92" t="str">
        <f>IF(Table1[Start Date]="","",IF(Table1[Start Date]&gt;42369,"",IF(AND(Table1[Leaving Date]&gt;1,Table1[Leaving Date]&lt;42278),"",1)))</f>
        <v/>
      </c>
      <c r="DS179" s="92" t="str">
        <f>IF(Table1[Start Date]="","",IF(Table1[Start Date]&gt;42460,"",IF(AND(Table1[Leaving Date]&gt;1,Table1[Leaving Date]&lt;42370),"",1)))</f>
        <v/>
      </c>
      <c r="DT179" s="92" t="str">
        <f>IF(Table1[Start Date]="","",IF(Table1[Start Date]&gt;42551,"",IF(AND(Table1[Leaving Date]&gt;1,Table1[Leaving Date]&lt;42461),"",1)))</f>
        <v/>
      </c>
      <c r="DU179" s="92" t="str">
        <f>IF(Table1[Start Date]="","",IF(Table1[Start Date]&gt;42643,"",IF(AND(Table1[Leaving Date]&gt;1,Table1[Leaving Date]&lt;42552),"",1)))</f>
        <v/>
      </c>
      <c r="DV179" s="92" t="str">
        <f>IF(Table1[Start Date]="","",IF(Table1[Start Date]&gt;42735,"",IF(AND(Table1[Leaving Date]&gt;1,Table1[Leaving Date]&lt;42644),"",1)))</f>
        <v/>
      </c>
      <c r="DW179" s="92" t="str">
        <f>IF(Table1[Start Date]="","",IF(Table1[Start Date]&gt;42825,"",IF(AND(Table1[Leaving Date]&gt;1,Table1[Leaving Date]&lt;42736),"",1)))</f>
        <v/>
      </c>
      <c r="DX179"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179" s="44" t="e">
        <f>VLOOKUP(Table1[Referral Source],Lists!$G$2:$H$20,2,FALSE)</f>
        <v>#N/A</v>
      </c>
      <c r="DZ179" s="93" t="e">
        <f>SUM(Table1[Data Referral Quarter]+Table1[Data Referral Source])</f>
        <v>#N/A</v>
      </c>
      <c r="EA179" s="44" t="b">
        <f>IF(Table1[Referral Decision]="Accepted",100,IF(Table1[Referral Decision]="Rejected by Provider",200,IF(Table1[Referral Decision]="Rejected by Applicant",300)))</f>
        <v>0</v>
      </c>
      <c r="EB179" s="44">
        <f>SUM(Table1[Data Referral Quarter]+Table1[Data Referral Decision])</f>
        <v>0</v>
      </c>
      <c r="EC179" s="44" t="b">
        <f>IF(Table1[Start Date]&gt;42735,8000,IF(Table1[Start Date]&gt;42643,7000,IF(Table1[Start Date]&gt;42551,6000,IF(Table1[Start Date]&gt;42460,5000,IF(Table1[Start Date]&gt;42369,4000,IF(Table1[Start Date]&gt;42277,3000,IF(Table1[Start Date]&gt;42185,2000,IF(Table1[Start Date]&gt;42094,1000))))))))</f>
        <v>0</v>
      </c>
      <c r="ED179" s="44" t="str">
        <f>IF(Table1[Start Date]="","",IF(Table1[Current Local Authority]="Swindon",1,"2"))</f>
        <v/>
      </c>
      <c r="EE179" s="44" t="e">
        <f>SUM(Table1[Data Start Date]+Table1[Data Local Authority])</f>
        <v>#VALUE!</v>
      </c>
      <c r="EF179" s="44">
        <f>IF(Table1[Registered with GP]="Yes",1,0)</f>
        <v>0</v>
      </c>
      <c r="EG179" s="44">
        <f>SUM(Table1[Data Start Date]+Table1[Data GP Start])</f>
        <v>0</v>
      </c>
      <c r="EH179" s="44" t="str">
        <f>IF(Table1[EET]="NEET",1,IF(Table1[EET]="Education",2,IF(Table1[EET]="Employment",2,IF(Table1[EET]="Training",2,IF(Table1[EET]="Retired",3,"")))))</f>
        <v/>
      </c>
      <c r="EI179" s="44" t="e">
        <f>Table1[Data Start Date]+Table1[Data EET Start]</f>
        <v>#VALUE!</v>
      </c>
      <c r="EJ179" s="44" t="b">
        <f>IF(Table1[Leaving Date]&gt;42735,8000,IF(Table1[Leaving Date]&gt;42643,7000,IF(Table1[Leaving Date]&gt;42551,6000,IF(Table1[Leaving Date]&gt;42460,5000,IF(Table1[Leaving Date]&gt;42369,4000,IF(Table1[Leaving Date]&gt;42277,3000,IF(Table1[Leaving Date]&gt;42185,2000,IF(Table1[Leaving Date]&gt;42094,1000))))))))</f>
        <v>0</v>
      </c>
      <c r="EK179" s="44" t="e">
        <f>VLOOKUP(Table1[Reason for Leaving],Lists!$T$2:$U$15,2,FALSE)</f>
        <v>#N/A</v>
      </c>
      <c r="EL179" s="44" t="e">
        <f>SUM(Table1[Data Leavers Date]+Table1[Data Move On])</f>
        <v>#N/A</v>
      </c>
      <c r="EM179" s="44" t="b">
        <f>IF(Table1[Registered with GP2]="Yes",1,IF(Table1[Registered with GP2]="No",0,IF(Table1[Registered with GP]="Yes",1,IF(Table1[Registered with GP]="No",0))))</f>
        <v>0</v>
      </c>
      <c r="EN179" s="44">
        <f>SUM(Table1[Data Leavers Date]+Table1[Data GP End])</f>
        <v>0</v>
      </c>
      <c r="EO179" s="44" t="str">
        <f>IF(Table1[EET2]="NEET",1,IF(Table1[EET2]="Employment",2,IF(Table1[EET2]="Education",2,IF(Table1[EET2]="Training",2,IF(Table1[EET2]="Retired",3,IF(Table1[EET]="NEET",1,IF(Table1[EET]="Employment",2,IF(Table1[EET]="Education",2,IF(Table1[EET]="Training",2,IF(Table1[EET]="Retired",3,""))))))))))</f>
        <v/>
      </c>
      <c r="EP179" s="44" t="e">
        <f>+Table1[[#This Row],[Data Leavers Date]]+Table1[[#This Row],[Data EET End]]</f>
        <v>#VALUE!</v>
      </c>
      <c r="EQ179" s="44">
        <f>IF(Table1[Exit Form Received]="Yes",1,0)</f>
        <v>0</v>
      </c>
      <c r="ER179" s="44">
        <f>+Table1[[#This Row],[Data Leavers Date]]+Table1[[#This Row],[Data Exit Forms]]</f>
        <v>0</v>
      </c>
      <c r="ES179" s="44" t="str">
        <f>IF(Table1[Data Leavers Date]=1000,SUM(Table1[Leaving Date]-Table1[Start Date]),"")</f>
        <v/>
      </c>
      <c r="ET179" s="44" t="str">
        <f>IF(Table1[Data Leavers Date]=2000,SUM(Table1[Leaving Date]-Table1[Start Date]),"")</f>
        <v/>
      </c>
      <c r="EU179" s="44" t="str">
        <f>IF(Table1[Data Leavers Date]=3000,SUM(Table1[Leaving Date]-Table1[Start Date]),"")</f>
        <v/>
      </c>
      <c r="EV179" s="44" t="str">
        <f>IF(Table1[Data Leavers Date]=4000,SUM(Table1[Leaving Date]-Table1[Start Date]),"")</f>
        <v/>
      </c>
      <c r="EW179" s="44" t="str">
        <f>IF(Table1[Data Leavers Date]=5000,SUM(Table1[Leaving Date]-Table1[Start Date]),"")</f>
        <v/>
      </c>
      <c r="EX179" s="44" t="str">
        <f>IF(Table1[Data Leavers Date]=6000,SUM(Table1[Leaving Date]-Table1[Start Date]),"")</f>
        <v/>
      </c>
      <c r="EY179" s="44" t="str">
        <f>IF(Table1[Data Leavers Date]=7000,SUM(Table1[Leaving Date]-Table1[Start Date]),"")</f>
        <v/>
      </c>
      <c r="EZ179" s="44" t="str">
        <f>IF(Table1[Data Leavers Date]=8000,SUM(Table1[Leaving Date]-Table1[Start Date]),"")</f>
        <v/>
      </c>
      <c r="FA179" s="44" t="str">
        <f>IF(Table1[Date of Initial Assessment]="","",IF(AND(Table1[Start Date]&gt;42094,Table1[Start Date]&lt;42461),Table1[Motivation and Taking Responsibility],""))</f>
        <v/>
      </c>
      <c r="FB179" s="44" t="str">
        <f>IF(Table1[Date of Initial Assessment]="","",IF(AND(Table1[Start Date]&gt;42094,Table1[Start Date]&lt;42461),Table1[Self-Care and Living Skills],""))</f>
        <v/>
      </c>
      <c r="FC179" s="44" t="str">
        <f>IF(Table1[Date of Initial Assessment]="","",IF(AND(Table1[Start Date]&gt;42094,Table1[Start Date]&lt;42461),Table1[Managing Money and Personal Administration],""))</f>
        <v/>
      </c>
      <c r="FD179" s="44" t="str">
        <f>IF(Table1[Date of Initial Assessment]="","",IF(AND(Table1[Start Date]&gt;42094,Table1[Start Date]&lt;42461),Table1[Social Networks and Relationships],""))</f>
        <v/>
      </c>
      <c r="FE179" s="44" t="str">
        <f>IF(Table1[Date of Initial Assessment]="","",IF(AND(Table1[Start Date]&gt;42094,Table1[Start Date]&lt;42461),Table1[Drug and Alcohol Misuse],""))</f>
        <v/>
      </c>
      <c r="FF179" s="44" t="str">
        <f>IF(Table1[Date of Initial Assessment]="","",IF(AND(Table1[Start Date]&gt;42094,Table1[Start Date]&lt;42461),Table1[Physical Health],""))</f>
        <v/>
      </c>
      <c r="FG179" s="44" t="str">
        <f>IF(Table1[Date of Initial Assessment]="","",IF(AND(Table1[Start Date]&gt;42094,Table1[Start Date]&lt;42461),Table1[Emotional and Mental Health],""))</f>
        <v/>
      </c>
      <c r="FH179" s="44" t="str">
        <f>IF(Table1[Date of Initial Assessment]="","",IF(AND(Table1[Start Date]&gt;42094,Table1[Start Date]&lt;42461),Table1[Meaningful Use of Time],""))</f>
        <v/>
      </c>
      <c r="FI179" s="44" t="str">
        <f>IF(Table1[Date of Initial Assessment]="","",IF(AND(Table1[Start Date]&gt;42094,Table1[Start Date]&lt;42461),Table1[Managing Tenancy and Accommodation],""))</f>
        <v/>
      </c>
      <c r="FJ179" s="44" t="str">
        <f>IF(Table1[Date of Initial Assessment]="","",IF(AND(Table1[Start Date]&gt;42094,Table1[Start Date]&lt;42461),Table1[Offending],""))</f>
        <v/>
      </c>
      <c r="FK179" s="44" t="str">
        <f>IF(Table1[Leaving Date]="","",IF(Table1[Date of Initial Assessment]="","",IF(AND(Table1[Leaving Date]&gt;42094,Table1[Leaving Date]&lt;42461),IF(Table1[Date of Last Assessment]="",Table1[Motivation and Taking Responsibility],Table1[Motivation and Taking Responsibility2]),"")))</f>
        <v/>
      </c>
      <c r="FL179" s="44" t="str">
        <f>IF(Table1[Leaving Date]="","",IF(Table1[Date of Initial Assessment]="","",IF(AND(Table1[Leaving Date]&gt;42094,Table1[Leaving Date]&lt;42461),IF(Table1[Date of Last Assessment]="",Table1[Self-Care and Living Skills],Table1[Self-Care and Living Skills2]),"")))</f>
        <v/>
      </c>
      <c r="FM179" s="44" t="str">
        <f>IF(Table1[Leaving Date]="","",IF(Table1[Date of Initial Assessment]="","",IF(AND(Table1[Leaving Date]&gt;42094,Table1[Leaving Date]&lt;42461),IF(Table1[Date of Last Assessment]="",Table1[Managing Money and Personal Administration],Table1[Managing Money and Personal Administration2]),"")))</f>
        <v/>
      </c>
      <c r="FN179" s="44" t="str">
        <f>IF(Table1[Leaving Date]="","",IF(Table1[Date of Initial Assessment]="","",IF(AND(Table1[Leaving Date]&gt;42094,Table1[Leaving Date]&lt;42461),IF(Table1[Date of Last Assessment]="",Table1[Social Networks and Relationships],Table1[Social Networks and Relationships2]),"")))</f>
        <v/>
      </c>
      <c r="FO179" s="44" t="str">
        <f>IF(Table1[Leaving Date]="","",IF(Table1[Date of Initial Assessment]="","",IF(AND(Table1[Leaving Date]&gt;42094,Table1[Leaving Date]&lt;42461),IF(Table1[Date of Last Assessment]="",Table1[Drug and Alcohol Misuse],Table1[Drug and Alcohol Misuse2]),"")))</f>
        <v/>
      </c>
      <c r="FP179" s="44" t="str">
        <f>IF(Table1[Leaving Date]="","",IF(Table1[Date of Initial Assessment]="","",IF(AND(Table1[Leaving Date]&gt;42094,Table1[Leaving Date]&lt;42461),IF(Table1[Date of Last Assessment]="",Table1[Physical Health],Table1[Physical Health2]),"")))</f>
        <v/>
      </c>
      <c r="FQ179" s="44" t="str">
        <f>IF(Table1[Leaving Date]="","",IF(Table1[Date of Initial Assessment]="","",IF(AND(Table1[Leaving Date]&gt;42094,Table1[Leaving Date]&lt;42461),IF(Table1[Date of Last Assessment]="",Table1[Emotional and Mental Health],Table1[Emotional and Mental Health2]),"")))</f>
        <v/>
      </c>
      <c r="FR179" s="44" t="str">
        <f>IF(Table1[Leaving Date]="","",IF(Table1[Date of Initial Assessment]="","",IF(AND(Table1[Leaving Date]&gt;42094,Table1[Leaving Date]&lt;42461),IF(Table1[Date of Last Assessment]="",Table1[Meaningful Use of Time],Table1[Meaningful Use of Time2]),"")))</f>
        <v/>
      </c>
      <c r="FS179" s="44" t="str">
        <f>IF(Table1[Leaving Date]="","",IF(Table1[Date of Initial Assessment]="","",IF(AND(Table1[Leaving Date]&gt;42094,Table1[Leaving Date]&lt;42461),IF(Table1[Date of Last Assessment]="",Table1[Managing Tenancy and Accommodation],Table1[Managing Tenancy and Accommodation2]),"")))</f>
        <v/>
      </c>
      <c r="FT179" s="44" t="str">
        <f>IF(Table1[Leaving Date]="","",IF(Table1[Date of Initial Assessment]="","",IF(AND(Table1[Leaving Date]&gt;42094,Table1[Leaving Date]&lt;42461),IF(Table1[Date of Last Assessment]="",Table1[Offending],Table1[Offending2]),"")))</f>
        <v/>
      </c>
      <c r="FU179" s="44" t="str">
        <f>IF(Table1[Date of Initial Assessment]="","",IF(AND(Table1[Start Date]&gt;42460,Table1[Start Date]&lt;42826),Table1[Motivation and Taking Responsibility],""))</f>
        <v/>
      </c>
      <c r="FV179" s="44" t="str">
        <f>IF(Table1[Date of Initial Assessment]="","",IF(AND(Table1[Start Date]&gt;42460,Table1[Start Date]&lt;42826),Table1[Self-Care and Living Skills],""))</f>
        <v/>
      </c>
      <c r="FW179" s="44" t="str">
        <f>IF(Table1[Date of Initial Assessment]="","",IF(AND(Table1[Start Date]&gt;42460,Table1[Start Date]&lt;42826),Table1[Managing Money and Personal Administration],""))</f>
        <v/>
      </c>
      <c r="FX179" s="44" t="str">
        <f>IF(Table1[Date of Initial Assessment]="","",IF(AND(Table1[Start Date]&gt;42460,Table1[Start Date]&lt;42826),Table1[Social Networks and Relationships],""))</f>
        <v/>
      </c>
      <c r="FY179" s="44" t="str">
        <f>IF(Table1[Date of Initial Assessment]="","",IF(AND(Table1[Start Date]&gt;42460,Table1[Start Date]&lt;42826),Table1[Drug and Alcohol Misuse],""))</f>
        <v/>
      </c>
      <c r="FZ179" s="44" t="str">
        <f>IF(Table1[Date of Initial Assessment]="","",IF(AND(Table1[Start Date]&gt;42460,Table1[Start Date]&lt;42826),Table1[Physical Health],""))</f>
        <v/>
      </c>
      <c r="GA179" s="44" t="str">
        <f>IF(Table1[Date of Initial Assessment]="","",IF(AND(Table1[Start Date]&gt;42460,Table1[Start Date]&lt;42826),Table1[Emotional and Mental Health],""))</f>
        <v/>
      </c>
      <c r="GB179" s="44" t="str">
        <f>IF(Table1[Date of Initial Assessment]="","",IF(AND(Table1[Start Date]&gt;42460,Table1[Start Date]&lt;42826),Table1[Meaningful Use of Time],""))</f>
        <v/>
      </c>
      <c r="GC179" s="44" t="str">
        <f>IF(Table1[Date of Initial Assessment]="","",IF(AND(Table1[Start Date]&gt;42460,Table1[Start Date]&lt;42826),Table1[Managing Tenancy and Accommodation],""))</f>
        <v/>
      </c>
      <c r="GD179" s="44" t="str">
        <f>IF(Table1[Date of Initial Assessment]="","",IF(AND(Table1[Start Date]&gt;42460,Table1[Start Date]&lt;42826),Table1[Offending],""))</f>
        <v/>
      </c>
      <c r="GE179" s="44" t="str">
        <f>IF(Table1[Leaving Date]="","",IF(AND(Table1[Leaving Date]&gt;42460,Table1[Leaving Date]&lt;42826),IF(Table1[Date of Last Assessment]="",Table1[Motivation and Taking Responsibility],Table1[Motivation and Taking Responsibility2]),""))</f>
        <v/>
      </c>
      <c r="GF179" s="44" t="str">
        <f>IF(Table1[Leaving Date]="","",IF(AND(Table1[Leaving Date]&gt;42460,Table1[Leaving Date]&lt;42826),IF(Table1[Date of Last Assessment]="",Table1[Self-Care and Living Skills],Table1[Self-Care and Living Skills2]),""))</f>
        <v/>
      </c>
      <c r="GG179" s="44" t="str">
        <f>IF(Table1[Leaving Date]="","",IF(AND(Table1[Leaving Date]&gt;42460,Table1[Leaving Date]&lt;42826),IF(Table1[Date of Last Assessment]="",Table1[Managing Money and Personal Administration],Table1[Managing Money and Personal Administration2]),""))</f>
        <v/>
      </c>
      <c r="GH179" s="44" t="str">
        <f>IF(Table1[Leaving Date]="","",IF(AND(Table1[Leaving Date]&gt;42460,Table1[Leaving Date]&lt;42826),IF(Table1[Date of Last Assessment]="",Table1[Social Networks and Relationships],Table1[Social Networks and Relationships2]),""))</f>
        <v/>
      </c>
      <c r="GI179" s="44" t="str">
        <f>IF(Table1[Leaving Date]="","",IF(AND(Table1[Leaving Date]&gt;42460,Table1[Leaving Date]&lt;42826),IF(Table1[Date of Last Assessment]="",Table1[Drug and Alcohol Misuse],Table1[Drug and Alcohol Misuse2]),""))</f>
        <v/>
      </c>
      <c r="GJ179" s="44" t="str">
        <f>IF(Table1[Leaving Date]="","",IF(AND(Table1[Leaving Date]&gt;42460,Table1[Leaving Date]&lt;42826),IF(Table1[Date of Last Assessment]="",Table1[Physical Health],Table1[Physical Health2]),""))</f>
        <v/>
      </c>
      <c r="GK179" s="44" t="str">
        <f>IF(Table1[Leaving Date]="","",IF(AND(Table1[Leaving Date]&gt;42460,Table1[Leaving Date]&lt;42826),IF(Table1[Date of Last Assessment]="",Table1[Emotional and Mental Health],Table1[Emotional and Mental Health2]),""))</f>
        <v/>
      </c>
      <c r="GL179" s="44" t="str">
        <f>IF(Table1[Leaving Date]="","",IF(AND(Table1[Leaving Date]&gt;42460,Table1[Leaving Date]&lt;42826),IF(Table1[Date of Last Assessment]="",Table1[Meaningful Use of Time],Table1[Meaningful Use of Time2]),""))</f>
        <v/>
      </c>
      <c r="GM179" s="44" t="str">
        <f>IF(Table1[Leaving Date]="","",IF(AND(Table1[Leaving Date]&gt;42460,Table1[Leaving Date]&lt;42826),IF(Table1[Date of Last Assessment]="",Table1[Managing Tenancy and Accommodation],Table1[Managing Tenancy and Accommodation2]),""))</f>
        <v/>
      </c>
      <c r="GN179" s="44" t="str">
        <f>IF(Table1[Leaving Date]="","",IF(AND(Table1[Leaving Date]&gt;42460,Table1[Leaving Date]&lt;42826),IF(Table1[Date of Last Assessment]="",Table1[Offending],Table1[Offending2]),""))</f>
        <v/>
      </c>
    </row>
    <row r="180" spans="2:196" ht="20.100000000000001" customHeight="1" x14ac:dyDescent="0.2">
      <c r="B180" s="86">
        <f>+'Service Data'!$C$5:$C$5</f>
        <v>0</v>
      </c>
      <c r="C180" s="86"/>
      <c r="D180" s="86"/>
      <c r="E180" s="86"/>
      <c r="F180" s="86"/>
      <c r="G180" s="86"/>
      <c r="H180" s="6"/>
      <c r="I180" s="99" t="str">
        <f ca="1">IF(Table1[[#This Row],[Date of Birth]]="","",SUM(TODAY()-Table1[[#This Row],[Date of Birth]])/365)</f>
        <v/>
      </c>
      <c r="L180" s="86"/>
      <c r="M180" s="77"/>
      <c r="N180" s="86"/>
      <c r="O180" s="86"/>
      <c r="P180" s="91"/>
      <c r="Q180" s="86"/>
      <c r="R180" s="77"/>
      <c r="S180" s="77"/>
      <c r="T180" s="68"/>
      <c r="U180" s="68"/>
      <c r="V180" s="67"/>
      <c r="W180" s="67"/>
      <c r="X180" s="67"/>
      <c r="Y180" s="67"/>
      <c r="Z180" s="67"/>
      <c r="AA180" s="67"/>
      <c r="AB180" s="67"/>
      <c r="AC180" s="67"/>
      <c r="AD180" s="67"/>
      <c r="AE180" s="67"/>
      <c r="AF180" s="67"/>
      <c r="AG180" s="67"/>
      <c r="AH180" s="67"/>
      <c r="AI180" s="67"/>
      <c r="AJ180" s="67"/>
      <c r="AK180" s="67"/>
      <c r="AL180" s="67"/>
      <c r="AM180" s="67"/>
      <c r="AN180" s="77"/>
      <c r="AO180" s="76"/>
      <c r="AP180" s="77"/>
      <c r="AQ180" s="76"/>
      <c r="AR180" s="76"/>
      <c r="AS180" s="76"/>
      <c r="AT180" s="76"/>
      <c r="AU180" s="76"/>
      <c r="AV180" s="77"/>
      <c r="AW180" s="76"/>
      <c r="AX180" s="77"/>
      <c r="AY180" s="76"/>
      <c r="AZ180" s="76"/>
      <c r="BA180" s="76"/>
      <c r="BB180" s="76"/>
      <c r="BC180" s="76"/>
      <c r="BD180" s="77"/>
      <c r="BE180" s="76"/>
      <c r="BF180" s="77"/>
      <c r="BG180" s="76"/>
      <c r="BH180" s="76"/>
      <c r="BI180" s="76"/>
      <c r="BJ180" s="76"/>
      <c r="BK180" s="76"/>
      <c r="BL180" s="77"/>
      <c r="BM180" s="76"/>
      <c r="BN180" s="77"/>
      <c r="BO180" s="76"/>
      <c r="BP180" s="76"/>
      <c r="BQ180" s="76"/>
      <c r="BR180" s="76"/>
      <c r="BS180" s="76"/>
      <c r="BT180" s="77"/>
      <c r="BU180" s="76"/>
      <c r="BV180" s="77"/>
      <c r="BW180" s="76"/>
      <c r="BX180" s="76"/>
      <c r="BY180" s="76"/>
      <c r="BZ180" s="76"/>
      <c r="CA180" s="76"/>
      <c r="CB180" s="77"/>
      <c r="CC180" s="76"/>
      <c r="CD180" s="77"/>
      <c r="CE180" s="76"/>
      <c r="CF180" s="76"/>
      <c r="CG180" s="76"/>
      <c r="CH180" s="76"/>
      <c r="CI180" s="76"/>
      <c r="CJ180" s="77"/>
      <c r="CK180" s="76"/>
      <c r="CL180" s="77"/>
      <c r="CM180" s="76"/>
      <c r="CN180" s="76"/>
      <c r="CO180" s="76"/>
      <c r="CP180" s="76"/>
      <c r="CQ180" s="76"/>
      <c r="CR180" s="78" t="str">
        <f t="shared" si="47"/>
        <v/>
      </c>
      <c r="CS180" s="79" t="str">
        <f t="shared" si="48"/>
        <v/>
      </c>
      <c r="CT180" s="79" t="str">
        <f t="shared" si="49"/>
        <v/>
      </c>
      <c r="CU180" s="79" t="str">
        <f t="shared" si="50"/>
        <v/>
      </c>
      <c r="CV180" s="79" t="str">
        <f t="shared" si="51"/>
        <v/>
      </c>
      <c r="CW180" s="79" t="str">
        <f t="shared" si="52"/>
        <v/>
      </c>
      <c r="CX180" s="79" t="str">
        <f t="shared" si="53"/>
        <v/>
      </c>
      <c r="CY180" s="79" t="str">
        <f t="shared" si="54"/>
        <v/>
      </c>
      <c r="CZ180" s="79" t="str">
        <f t="shared" si="55"/>
        <v/>
      </c>
      <c r="DA180" s="79" t="str">
        <f t="shared" si="56"/>
        <v/>
      </c>
      <c r="DB180" s="79" t="str">
        <f t="shared" si="57"/>
        <v/>
      </c>
      <c r="DC180" s="79" t="str">
        <f t="shared" si="58"/>
        <v/>
      </c>
      <c r="DD180" s="79" t="str">
        <f t="shared" si="59"/>
        <v/>
      </c>
      <c r="DE180" s="79" t="str">
        <f t="shared" si="60"/>
        <v/>
      </c>
      <c r="DF180" s="79" t="str">
        <f t="shared" si="61"/>
        <v/>
      </c>
      <c r="DG180" s="79" t="str">
        <f t="shared" si="62"/>
        <v/>
      </c>
      <c r="DH180" s="76"/>
      <c r="DI180" s="78"/>
      <c r="DJ180" s="76"/>
      <c r="DK180" s="77"/>
      <c r="DL180" s="77"/>
      <c r="DM180" s="77"/>
      <c r="DN180" s="80"/>
      <c r="DO180" s="80"/>
      <c r="DP180" s="92" t="str">
        <f>IF(Table1[Start Date]="","",IF(Table1[Start Date]&gt;42185,"",IF(AND(Table1[Leaving Date]&gt;1,Table1[Leaving Date]&lt;42095),"",1)))</f>
        <v/>
      </c>
      <c r="DQ180" s="92" t="str">
        <f>IF(Table1[Start Date]="","",IF(Table1[Start Date]&gt;42277,"",IF(AND(Table1[Leaving Date]&gt;1,Table1[Leaving Date]&lt;42186),"",1)))</f>
        <v/>
      </c>
      <c r="DR180" s="92" t="str">
        <f>IF(Table1[Start Date]="","",IF(Table1[Start Date]&gt;42369,"",IF(AND(Table1[Leaving Date]&gt;1,Table1[Leaving Date]&lt;42278),"",1)))</f>
        <v/>
      </c>
      <c r="DS180" s="92" t="str">
        <f>IF(Table1[Start Date]="","",IF(Table1[Start Date]&gt;42460,"",IF(AND(Table1[Leaving Date]&gt;1,Table1[Leaving Date]&lt;42370),"",1)))</f>
        <v/>
      </c>
      <c r="DT180" s="92" t="str">
        <f>IF(Table1[Start Date]="","",IF(Table1[Start Date]&gt;42551,"",IF(AND(Table1[Leaving Date]&gt;1,Table1[Leaving Date]&lt;42461),"",1)))</f>
        <v/>
      </c>
      <c r="DU180" s="92" t="str">
        <f>IF(Table1[Start Date]="","",IF(Table1[Start Date]&gt;42643,"",IF(AND(Table1[Leaving Date]&gt;1,Table1[Leaving Date]&lt;42552),"",1)))</f>
        <v/>
      </c>
      <c r="DV180" s="92" t="str">
        <f>IF(Table1[Start Date]="","",IF(Table1[Start Date]&gt;42735,"",IF(AND(Table1[Leaving Date]&gt;1,Table1[Leaving Date]&lt;42644),"",1)))</f>
        <v/>
      </c>
      <c r="DW180" s="92" t="str">
        <f>IF(Table1[Start Date]="","",IF(Table1[Start Date]&gt;42825,"",IF(AND(Table1[Leaving Date]&gt;1,Table1[Leaving Date]&lt;42736),"",1)))</f>
        <v/>
      </c>
      <c r="DX180"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180" s="44" t="e">
        <f>VLOOKUP(Table1[Referral Source],Lists!$G$2:$H$20,2,FALSE)</f>
        <v>#N/A</v>
      </c>
      <c r="DZ180" s="93" t="e">
        <f>SUM(Table1[Data Referral Quarter]+Table1[Data Referral Source])</f>
        <v>#N/A</v>
      </c>
      <c r="EA180" s="44" t="b">
        <f>IF(Table1[Referral Decision]="Accepted",100,IF(Table1[Referral Decision]="Rejected by Provider",200,IF(Table1[Referral Decision]="Rejected by Applicant",300)))</f>
        <v>0</v>
      </c>
      <c r="EB180" s="44">
        <f>SUM(Table1[Data Referral Quarter]+Table1[Data Referral Decision])</f>
        <v>0</v>
      </c>
      <c r="EC180" s="44" t="b">
        <f>IF(Table1[Start Date]&gt;42735,8000,IF(Table1[Start Date]&gt;42643,7000,IF(Table1[Start Date]&gt;42551,6000,IF(Table1[Start Date]&gt;42460,5000,IF(Table1[Start Date]&gt;42369,4000,IF(Table1[Start Date]&gt;42277,3000,IF(Table1[Start Date]&gt;42185,2000,IF(Table1[Start Date]&gt;42094,1000))))))))</f>
        <v>0</v>
      </c>
      <c r="ED180" s="44" t="str">
        <f>IF(Table1[Start Date]="","",IF(Table1[Current Local Authority]="Swindon",1,"2"))</f>
        <v/>
      </c>
      <c r="EE180" s="44" t="e">
        <f>SUM(Table1[Data Start Date]+Table1[Data Local Authority])</f>
        <v>#VALUE!</v>
      </c>
      <c r="EF180" s="44">
        <f>IF(Table1[Registered with GP]="Yes",1,0)</f>
        <v>0</v>
      </c>
      <c r="EG180" s="44">
        <f>SUM(Table1[Data Start Date]+Table1[Data GP Start])</f>
        <v>0</v>
      </c>
      <c r="EH180" s="44" t="str">
        <f>IF(Table1[EET]="NEET",1,IF(Table1[EET]="Education",2,IF(Table1[EET]="Employment",2,IF(Table1[EET]="Training",2,IF(Table1[EET]="Retired",3,"")))))</f>
        <v/>
      </c>
      <c r="EI180" s="44" t="e">
        <f>Table1[Data Start Date]+Table1[Data EET Start]</f>
        <v>#VALUE!</v>
      </c>
      <c r="EJ180" s="44" t="b">
        <f>IF(Table1[Leaving Date]&gt;42735,8000,IF(Table1[Leaving Date]&gt;42643,7000,IF(Table1[Leaving Date]&gt;42551,6000,IF(Table1[Leaving Date]&gt;42460,5000,IF(Table1[Leaving Date]&gt;42369,4000,IF(Table1[Leaving Date]&gt;42277,3000,IF(Table1[Leaving Date]&gt;42185,2000,IF(Table1[Leaving Date]&gt;42094,1000))))))))</f>
        <v>0</v>
      </c>
      <c r="EK180" s="44" t="e">
        <f>VLOOKUP(Table1[Reason for Leaving],Lists!$T$2:$U$15,2,FALSE)</f>
        <v>#N/A</v>
      </c>
      <c r="EL180" s="44" t="e">
        <f>SUM(Table1[Data Leavers Date]+Table1[Data Move On])</f>
        <v>#N/A</v>
      </c>
      <c r="EM180" s="44" t="b">
        <f>IF(Table1[Registered with GP2]="Yes",1,IF(Table1[Registered with GP2]="No",0,IF(Table1[Registered with GP]="Yes",1,IF(Table1[Registered with GP]="No",0))))</f>
        <v>0</v>
      </c>
      <c r="EN180" s="44">
        <f>SUM(Table1[Data Leavers Date]+Table1[Data GP End])</f>
        <v>0</v>
      </c>
      <c r="EO180" s="44" t="str">
        <f>IF(Table1[EET2]="NEET",1,IF(Table1[EET2]="Employment",2,IF(Table1[EET2]="Education",2,IF(Table1[EET2]="Training",2,IF(Table1[EET2]="Retired",3,IF(Table1[EET]="NEET",1,IF(Table1[EET]="Employment",2,IF(Table1[EET]="Education",2,IF(Table1[EET]="Training",2,IF(Table1[EET]="Retired",3,""))))))))))</f>
        <v/>
      </c>
      <c r="EP180" s="44" t="e">
        <f>+Table1[[#This Row],[Data Leavers Date]]+Table1[[#This Row],[Data EET End]]</f>
        <v>#VALUE!</v>
      </c>
      <c r="EQ180" s="44">
        <f>IF(Table1[Exit Form Received]="Yes",1,0)</f>
        <v>0</v>
      </c>
      <c r="ER180" s="44">
        <f>+Table1[[#This Row],[Data Leavers Date]]+Table1[[#This Row],[Data Exit Forms]]</f>
        <v>0</v>
      </c>
      <c r="ES180" s="44" t="str">
        <f>IF(Table1[Data Leavers Date]=1000,SUM(Table1[Leaving Date]-Table1[Start Date]),"")</f>
        <v/>
      </c>
      <c r="ET180" s="44" t="str">
        <f>IF(Table1[Data Leavers Date]=2000,SUM(Table1[Leaving Date]-Table1[Start Date]),"")</f>
        <v/>
      </c>
      <c r="EU180" s="44" t="str">
        <f>IF(Table1[Data Leavers Date]=3000,SUM(Table1[Leaving Date]-Table1[Start Date]),"")</f>
        <v/>
      </c>
      <c r="EV180" s="44" t="str">
        <f>IF(Table1[Data Leavers Date]=4000,SUM(Table1[Leaving Date]-Table1[Start Date]),"")</f>
        <v/>
      </c>
      <c r="EW180" s="44" t="str">
        <f>IF(Table1[Data Leavers Date]=5000,SUM(Table1[Leaving Date]-Table1[Start Date]),"")</f>
        <v/>
      </c>
      <c r="EX180" s="44" t="str">
        <f>IF(Table1[Data Leavers Date]=6000,SUM(Table1[Leaving Date]-Table1[Start Date]),"")</f>
        <v/>
      </c>
      <c r="EY180" s="44" t="str">
        <f>IF(Table1[Data Leavers Date]=7000,SUM(Table1[Leaving Date]-Table1[Start Date]),"")</f>
        <v/>
      </c>
      <c r="EZ180" s="44" t="str">
        <f>IF(Table1[Data Leavers Date]=8000,SUM(Table1[Leaving Date]-Table1[Start Date]),"")</f>
        <v/>
      </c>
      <c r="FA180" s="44" t="str">
        <f>IF(Table1[Date of Initial Assessment]="","",IF(AND(Table1[Start Date]&gt;42094,Table1[Start Date]&lt;42461),Table1[Motivation and Taking Responsibility],""))</f>
        <v/>
      </c>
      <c r="FB180" s="44" t="str">
        <f>IF(Table1[Date of Initial Assessment]="","",IF(AND(Table1[Start Date]&gt;42094,Table1[Start Date]&lt;42461),Table1[Self-Care and Living Skills],""))</f>
        <v/>
      </c>
      <c r="FC180" s="44" t="str">
        <f>IF(Table1[Date of Initial Assessment]="","",IF(AND(Table1[Start Date]&gt;42094,Table1[Start Date]&lt;42461),Table1[Managing Money and Personal Administration],""))</f>
        <v/>
      </c>
      <c r="FD180" s="44" t="str">
        <f>IF(Table1[Date of Initial Assessment]="","",IF(AND(Table1[Start Date]&gt;42094,Table1[Start Date]&lt;42461),Table1[Social Networks and Relationships],""))</f>
        <v/>
      </c>
      <c r="FE180" s="44" t="str">
        <f>IF(Table1[Date of Initial Assessment]="","",IF(AND(Table1[Start Date]&gt;42094,Table1[Start Date]&lt;42461),Table1[Drug and Alcohol Misuse],""))</f>
        <v/>
      </c>
      <c r="FF180" s="44" t="str">
        <f>IF(Table1[Date of Initial Assessment]="","",IF(AND(Table1[Start Date]&gt;42094,Table1[Start Date]&lt;42461),Table1[Physical Health],""))</f>
        <v/>
      </c>
      <c r="FG180" s="44" t="str">
        <f>IF(Table1[Date of Initial Assessment]="","",IF(AND(Table1[Start Date]&gt;42094,Table1[Start Date]&lt;42461),Table1[Emotional and Mental Health],""))</f>
        <v/>
      </c>
      <c r="FH180" s="44" t="str">
        <f>IF(Table1[Date of Initial Assessment]="","",IF(AND(Table1[Start Date]&gt;42094,Table1[Start Date]&lt;42461),Table1[Meaningful Use of Time],""))</f>
        <v/>
      </c>
      <c r="FI180" s="44" t="str">
        <f>IF(Table1[Date of Initial Assessment]="","",IF(AND(Table1[Start Date]&gt;42094,Table1[Start Date]&lt;42461),Table1[Managing Tenancy and Accommodation],""))</f>
        <v/>
      </c>
      <c r="FJ180" s="44" t="str">
        <f>IF(Table1[Date of Initial Assessment]="","",IF(AND(Table1[Start Date]&gt;42094,Table1[Start Date]&lt;42461),Table1[Offending],""))</f>
        <v/>
      </c>
      <c r="FK180" s="44" t="str">
        <f>IF(Table1[Leaving Date]="","",IF(Table1[Date of Initial Assessment]="","",IF(AND(Table1[Leaving Date]&gt;42094,Table1[Leaving Date]&lt;42461),IF(Table1[Date of Last Assessment]="",Table1[Motivation and Taking Responsibility],Table1[Motivation and Taking Responsibility2]),"")))</f>
        <v/>
      </c>
      <c r="FL180" s="44" t="str">
        <f>IF(Table1[Leaving Date]="","",IF(Table1[Date of Initial Assessment]="","",IF(AND(Table1[Leaving Date]&gt;42094,Table1[Leaving Date]&lt;42461),IF(Table1[Date of Last Assessment]="",Table1[Self-Care and Living Skills],Table1[Self-Care and Living Skills2]),"")))</f>
        <v/>
      </c>
      <c r="FM180" s="44" t="str">
        <f>IF(Table1[Leaving Date]="","",IF(Table1[Date of Initial Assessment]="","",IF(AND(Table1[Leaving Date]&gt;42094,Table1[Leaving Date]&lt;42461),IF(Table1[Date of Last Assessment]="",Table1[Managing Money and Personal Administration],Table1[Managing Money and Personal Administration2]),"")))</f>
        <v/>
      </c>
      <c r="FN180" s="44" t="str">
        <f>IF(Table1[Leaving Date]="","",IF(Table1[Date of Initial Assessment]="","",IF(AND(Table1[Leaving Date]&gt;42094,Table1[Leaving Date]&lt;42461),IF(Table1[Date of Last Assessment]="",Table1[Social Networks and Relationships],Table1[Social Networks and Relationships2]),"")))</f>
        <v/>
      </c>
      <c r="FO180" s="44" t="str">
        <f>IF(Table1[Leaving Date]="","",IF(Table1[Date of Initial Assessment]="","",IF(AND(Table1[Leaving Date]&gt;42094,Table1[Leaving Date]&lt;42461),IF(Table1[Date of Last Assessment]="",Table1[Drug and Alcohol Misuse],Table1[Drug and Alcohol Misuse2]),"")))</f>
        <v/>
      </c>
      <c r="FP180" s="44" t="str">
        <f>IF(Table1[Leaving Date]="","",IF(Table1[Date of Initial Assessment]="","",IF(AND(Table1[Leaving Date]&gt;42094,Table1[Leaving Date]&lt;42461),IF(Table1[Date of Last Assessment]="",Table1[Physical Health],Table1[Physical Health2]),"")))</f>
        <v/>
      </c>
      <c r="FQ180" s="44" t="str">
        <f>IF(Table1[Leaving Date]="","",IF(Table1[Date of Initial Assessment]="","",IF(AND(Table1[Leaving Date]&gt;42094,Table1[Leaving Date]&lt;42461),IF(Table1[Date of Last Assessment]="",Table1[Emotional and Mental Health],Table1[Emotional and Mental Health2]),"")))</f>
        <v/>
      </c>
      <c r="FR180" s="44" t="str">
        <f>IF(Table1[Leaving Date]="","",IF(Table1[Date of Initial Assessment]="","",IF(AND(Table1[Leaving Date]&gt;42094,Table1[Leaving Date]&lt;42461),IF(Table1[Date of Last Assessment]="",Table1[Meaningful Use of Time],Table1[Meaningful Use of Time2]),"")))</f>
        <v/>
      </c>
      <c r="FS180" s="44" t="str">
        <f>IF(Table1[Leaving Date]="","",IF(Table1[Date of Initial Assessment]="","",IF(AND(Table1[Leaving Date]&gt;42094,Table1[Leaving Date]&lt;42461),IF(Table1[Date of Last Assessment]="",Table1[Managing Tenancy and Accommodation],Table1[Managing Tenancy and Accommodation2]),"")))</f>
        <v/>
      </c>
      <c r="FT180" s="44" t="str">
        <f>IF(Table1[Leaving Date]="","",IF(Table1[Date of Initial Assessment]="","",IF(AND(Table1[Leaving Date]&gt;42094,Table1[Leaving Date]&lt;42461),IF(Table1[Date of Last Assessment]="",Table1[Offending],Table1[Offending2]),"")))</f>
        <v/>
      </c>
      <c r="FU180" s="44" t="str">
        <f>IF(Table1[Date of Initial Assessment]="","",IF(AND(Table1[Start Date]&gt;42460,Table1[Start Date]&lt;42826),Table1[Motivation and Taking Responsibility],""))</f>
        <v/>
      </c>
      <c r="FV180" s="44" t="str">
        <f>IF(Table1[Date of Initial Assessment]="","",IF(AND(Table1[Start Date]&gt;42460,Table1[Start Date]&lt;42826),Table1[Self-Care and Living Skills],""))</f>
        <v/>
      </c>
      <c r="FW180" s="44" t="str">
        <f>IF(Table1[Date of Initial Assessment]="","",IF(AND(Table1[Start Date]&gt;42460,Table1[Start Date]&lt;42826),Table1[Managing Money and Personal Administration],""))</f>
        <v/>
      </c>
      <c r="FX180" s="44" t="str">
        <f>IF(Table1[Date of Initial Assessment]="","",IF(AND(Table1[Start Date]&gt;42460,Table1[Start Date]&lt;42826),Table1[Social Networks and Relationships],""))</f>
        <v/>
      </c>
      <c r="FY180" s="44" t="str">
        <f>IF(Table1[Date of Initial Assessment]="","",IF(AND(Table1[Start Date]&gt;42460,Table1[Start Date]&lt;42826),Table1[Drug and Alcohol Misuse],""))</f>
        <v/>
      </c>
      <c r="FZ180" s="44" t="str">
        <f>IF(Table1[Date of Initial Assessment]="","",IF(AND(Table1[Start Date]&gt;42460,Table1[Start Date]&lt;42826),Table1[Physical Health],""))</f>
        <v/>
      </c>
      <c r="GA180" s="44" t="str">
        <f>IF(Table1[Date of Initial Assessment]="","",IF(AND(Table1[Start Date]&gt;42460,Table1[Start Date]&lt;42826),Table1[Emotional and Mental Health],""))</f>
        <v/>
      </c>
      <c r="GB180" s="44" t="str">
        <f>IF(Table1[Date of Initial Assessment]="","",IF(AND(Table1[Start Date]&gt;42460,Table1[Start Date]&lt;42826),Table1[Meaningful Use of Time],""))</f>
        <v/>
      </c>
      <c r="GC180" s="44" t="str">
        <f>IF(Table1[Date of Initial Assessment]="","",IF(AND(Table1[Start Date]&gt;42460,Table1[Start Date]&lt;42826),Table1[Managing Tenancy and Accommodation],""))</f>
        <v/>
      </c>
      <c r="GD180" s="44" t="str">
        <f>IF(Table1[Date of Initial Assessment]="","",IF(AND(Table1[Start Date]&gt;42460,Table1[Start Date]&lt;42826),Table1[Offending],""))</f>
        <v/>
      </c>
      <c r="GE180" s="44" t="str">
        <f>IF(Table1[Leaving Date]="","",IF(AND(Table1[Leaving Date]&gt;42460,Table1[Leaving Date]&lt;42826),IF(Table1[Date of Last Assessment]="",Table1[Motivation and Taking Responsibility],Table1[Motivation and Taking Responsibility2]),""))</f>
        <v/>
      </c>
      <c r="GF180" s="44" t="str">
        <f>IF(Table1[Leaving Date]="","",IF(AND(Table1[Leaving Date]&gt;42460,Table1[Leaving Date]&lt;42826),IF(Table1[Date of Last Assessment]="",Table1[Self-Care and Living Skills],Table1[Self-Care and Living Skills2]),""))</f>
        <v/>
      </c>
      <c r="GG180" s="44" t="str">
        <f>IF(Table1[Leaving Date]="","",IF(AND(Table1[Leaving Date]&gt;42460,Table1[Leaving Date]&lt;42826),IF(Table1[Date of Last Assessment]="",Table1[Managing Money and Personal Administration],Table1[Managing Money and Personal Administration2]),""))</f>
        <v/>
      </c>
      <c r="GH180" s="44" t="str">
        <f>IF(Table1[Leaving Date]="","",IF(AND(Table1[Leaving Date]&gt;42460,Table1[Leaving Date]&lt;42826),IF(Table1[Date of Last Assessment]="",Table1[Social Networks and Relationships],Table1[Social Networks and Relationships2]),""))</f>
        <v/>
      </c>
      <c r="GI180" s="44" t="str">
        <f>IF(Table1[Leaving Date]="","",IF(AND(Table1[Leaving Date]&gt;42460,Table1[Leaving Date]&lt;42826),IF(Table1[Date of Last Assessment]="",Table1[Drug and Alcohol Misuse],Table1[Drug and Alcohol Misuse2]),""))</f>
        <v/>
      </c>
      <c r="GJ180" s="44" t="str">
        <f>IF(Table1[Leaving Date]="","",IF(AND(Table1[Leaving Date]&gt;42460,Table1[Leaving Date]&lt;42826),IF(Table1[Date of Last Assessment]="",Table1[Physical Health],Table1[Physical Health2]),""))</f>
        <v/>
      </c>
      <c r="GK180" s="44" t="str">
        <f>IF(Table1[Leaving Date]="","",IF(AND(Table1[Leaving Date]&gt;42460,Table1[Leaving Date]&lt;42826),IF(Table1[Date of Last Assessment]="",Table1[Emotional and Mental Health],Table1[Emotional and Mental Health2]),""))</f>
        <v/>
      </c>
      <c r="GL180" s="44" t="str">
        <f>IF(Table1[Leaving Date]="","",IF(AND(Table1[Leaving Date]&gt;42460,Table1[Leaving Date]&lt;42826),IF(Table1[Date of Last Assessment]="",Table1[Meaningful Use of Time],Table1[Meaningful Use of Time2]),""))</f>
        <v/>
      </c>
      <c r="GM180" s="44" t="str">
        <f>IF(Table1[Leaving Date]="","",IF(AND(Table1[Leaving Date]&gt;42460,Table1[Leaving Date]&lt;42826),IF(Table1[Date of Last Assessment]="",Table1[Managing Tenancy and Accommodation],Table1[Managing Tenancy and Accommodation2]),""))</f>
        <v/>
      </c>
      <c r="GN180" s="44" t="str">
        <f>IF(Table1[Leaving Date]="","",IF(AND(Table1[Leaving Date]&gt;42460,Table1[Leaving Date]&lt;42826),IF(Table1[Date of Last Assessment]="",Table1[Offending],Table1[Offending2]),""))</f>
        <v/>
      </c>
    </row>
    <row r="181" spans="2:196" ht="20.100000000000001" customHeight="1" x14ac:dyDescent="0.2">
      <c r="B181" s="86">
        <f>+'Service Data'!$C$5:$C$5</f>
        <v>0</v>
      </c>
      <c r="C181" s="86"/>
      <c r="D181" s="86"/>
      <c r="E181" s="86"/>
      <c r="F181" s="86"/>
      <c r="G181" s="86"/>
      <c r="H181" s="6"/>
      <c r="I181" s="99" t="str">
        <f ca="1">IF(Table1[[#This Row],[Date of Birth]]="","",SUM(TODAY()-Table1[[#This Row],[Date of Birth]])/365)</f>
        <v/>
      </c>
      <c r="L181" s="86"/>
      <c r="M181" s="77"/>
      <c r="N181" s="86"/>
      <c r="O181" s="86"/>
      <c r="P181" s="91"/>
      <c r="Q181" s="86"/>
      <c r="R181" s="77"/>
      <c r="S181" s="77"/>
      <c r="T181" s="68"/>
      <c r="U181" s="68"/>
      <c r="V181" s="67"/>
      <c r="W181" s="67"/>
      <c r="X181" s="67"/>
      <c r="Y181" s="67"/>
      <c r="Z181" s="67"/>
      <c r="AA181" s="67"/>
      <c r="AB181" s="67"/>
      <c r="AC181" s="67"/>
      <c r="AD181" s="67"/>
      <c r="AE181" s="67"/>
      <c r="AF181" s="67"/>
      <c r="AG181" s="67"/>
      <c r="AH181" s="67"/>
      <c r="AI181" s="67"/>
      <c r="AJ181" s="67"/>
      <c r="AK181" s="67"/>
      <c r="AL181" s="67"/>
      <c r="AM181" s="67"/>
      <c r="AN181" s="77"/>
      <c r="AO181" s="76"/>
      <c r="AP181" s="77"/>
      <c r="AQ181" s="76"/>
      <c r="AR181" s="76"/>
      <c r="AS181" s="76"/>
      <c r="AT181" s="76"/>
      <c r="AU181" s="76"/>
      <c r="AV181" s="77"/>
      <c r="AW181" s="76"/>
      <c r="AX181" s="77"/>
      <c r="AY181" s="76"/>
      <c r="AZ181" s="76"/>
      <c r="BA181" s="76"/>
      <c r="BB181" s="76"/>
      <c r="BC181" s="76"/>
      <c r="BD181" s="77"/>
      <c r="BE181" s="76"/>
      <c r="BF181" s="77"/>
      <c r="BG181" s="76"/>
      <c r="BH181" s="76"/>
      <c r="BI181" s="76"/>
      <c r="BJ181" s="76"/>
      <c r="BK181" s="76"/>
      <c r="BL181" s="77"/>
      <c r="BM181" s="76"/>
      <c r="BN181" s="77"/>
      <c r="BO181" s="76"/>
      <c r="BP181" s="76"/>
      <c r="BQ181" s="76"/>
      <c r="BR181" s="76"/>
      <c r="BS181" s="76"/>
      <c r="BT181" s="77"/>
      <c r="BU181" s="76"/>
      <c r="BV181" s="77"/>
      <c r="BW181" s="76"/>
      <c r="BX181" s="76"/>
      <c r="BY181" s="76"/>
      <c r="BZ181" s="76"/>
      <c r="CA181" s="76"/>
      <c r="CB181" s="77"/>
      <c r="CC181" s="76"/>
      <c r="CD181" s="77"/>
      <c r="CE181" s="76"/>
      <c r="CF181" s="76"/>
      <c r="CG181" s="76"/>
      <c r="CH181" s="76"/>
      <c r="CI181" s="76"/>
      <c r="CJ181" s="77"/>
      <c r="CK181" s="76"/>
      <c r="CL181" s="77"/>
      <c r="CM181" s="76"/>
      <c r="CN181" s="76"/>
      <c r="CO181" s="76"/>
      <c r="CP181" s="76"/>
      <c r="CQ181" s="76"/>
      <c r="CR181" s="78" t="str">
        <f t="shared" si="47"/>
        <v/>
      </c>
      <c r="CS181" s="79" t="str">
        <f t="shared" si="48"/>
        <v/>
      </c>
      <c r="CT181" s="79" t="str">
        <f t="shared" si="49"/>
        <v/>
      </c>
      <c r="CU181" s="79" t="str">
        <f t="shared" si="50"/>
        <v/>
      </c>
      <c r="CV181" s="79" t="str">
        <f t="shared" si="51"/>
        <v/>
      </c>
      <c r="CW181" s="79" t="str">
        <f t="shared" si="52"/>
        <v/>
      </c>
      <c r="CX181" s="79" t="str">
        <f t="shared" si="53"/>
        <v/>
      </c>
      <c r="CY181" s="79" t="str">
        <f t="shared" si="54"/>
        <v/>
      </c>
      <c r="CZ181" s="79" t="str">
        <f t="shared" si="55"/>
        <v/>
      </c>
      <c r="DA181" s="79" t="str">
        <f t="shared" si="56"/>
        <v/>
      </c>
      <c r="DB181" s="79" t="str">
        <f t="shared" si="57"/>
        <v/>
      </c>
      <c r="DC181" s="79" t="str">
        <f t="shared" si="58"/>
        <v/>
      </c>
      <c r="DD181" s="79" t="str">
        <f t="shared" si="59"/>
        <v/>
      </c>
      <c r="DE181" s="79" t="str">
        <f t="shared" si="60"/>
        <v/>
      </c>
      <c r="DF181" s="79" t="str">
        <f t="shared" si="61"/>
        <v/>
      </c>
      <c r="DG181" s="79" t="str">
        <f t="shared" si="62"/>
        <v/>
      </c>
      <c r="DH181" s="76"/>
      <c r="DI181" s="78"/>
      <c r="DJ181" s="76"/>
      <c r="DK181" s="77"/>
      <c r="DL181" s="77"/>
      <c r="DM181" s="77"/>
      <c r="DN181" s="80"/>
      <c r="DO181" s="80"/>
      <c r="DP181" s="92" t="str">
        <f>IF(Table1[Start Date]="","",IF(Table1[Start Date]&gt;42185,"",IF(AND(Table1[Leaving Date]&gt;1,Table1[Leaving Date]&lt;42095),"",1)))</f>
        <v/>
      </c>
      <c r="DQ181" s="92" t="str">
        <f>IF(Table1[Start Date]="","",IF(Table1[Start Date]&gt;42277,"",IF(AND(Table1[Leaving Date]&gt;1,Table1[Leaving Date]&lt;42186),"",1)))</f>
        <v/>
      </c>
      <c r="DR181" s="92" t="str">
        <f>IF(Table1[Start Date]="","",IF(Table1[Start Date]&gt;42369,"",IF(AND(Table1[Leaving Date]&gt;1,Table1[Leaving Date]&lt;42278),"",1)))</f>
        <v/>
      </c>
      <c r="DS181" s="92" t="str">
        <f>IF(Table1[Start Date]="","",IF(Table1[Start Date]&gt;42460,"",IF(AND(Table1[Leaving Date]&gt;1,Table1[Leaving Date]&lt;42370),"",1)))</f>
        <v/>
      </c>
      <c r="DT181" s="92" t="str">
        <f>IF(Table1[Start Date]="","",IF(Table1[Start Date]&gt;42551,"",IF(AND(Table1[Leaving Date]&gt;1,Table1[Leaving Date]&lt;42461),"",1)))</f>
        <v/>
      </c>
      <c r="DU181" s="92" t="str">
        <f>IF(Table1[Start Date]="","",IF(Table1[Start Date]&gt;42643,"",IF(AND(Table1[Leaving Date]&gt;1,Table1[Leaving Date]&lt;42552),"",1)))</f>
        <v/>
      </c>
      <c r="DV181" s="92" t="str">
        <f>IF(Table1[Start Date]="","",IF(Table1[Start Date]&gt;42735,"",IF(AND(Table1[Leaving Date]&gt;1,Table1[Leaving Date]&lt;42644),"",1)))</f>
        <v/>
      </c>
      <c r="DW181" s="92" t="str">
        <f>IF(Table1[Start Date]="","",IF(Table1[Start Date]&gt;42825,"",IF(AND(Table1[Leaving Date]&gt;1,Table1[Leaving Date]&lt;42736),"",1)))</f>
        <v/>
      </c>
      <c r="DX181"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181" s="44" t="e">
        <f>VLOOKUP(Table1[Referral Source],Lists!$G$2:$H$20,2,FALSE)</f>
        <v>#N/A</v>
      </c>
      <c r="DZ181" s="93" t="e">
        <f>SUM(Table1[Data Referral Quarter]+Table1[Data Referral Source])</f>
        <v>#N/A</v>
      </c>
      <c r="EA181" s="44" t="b">
        <f>IF(Table1[Referral Decision]="Accepted",100,IF(Table1[Referral Decision]="Rejected by Provider",200,IF(Table1[Referral Decision]="Rejected by Applicant",300)))</f>
        <v>0</v>
      </c>
      <c r="EB181" s="44">
        <f>SUM(Table1[Data Referral Quarter]+Table1[Data Referral Decision])</f>
        <v>0</v>
      </c>
      <c r="EC181" s="44" t="b">
        <f>IF(Table1[Start Date]&gt;42735,8000,IF(Table1[Start Date]&gt;42643,7000,IF(Table1[Start Date]&gt;42551,6000,IF(Table1[Start Date]&gt;42460,5000,IF(Table1[Start Date]&gt;42369,4000,IF(Table1[Start Date]&gt;42277,3000,IF(Table1[Start Date]&gt;42185,2000,IF(Table1[Start Date]&gt;42094,1000))))))))</f>
        <v>0</v>
      </c>
      <c r="ED181" s="44" t="str">
        <f>IF(Table1[Start Date]="","",IF(Table1[Current Local Authority]="Swindon",1,"2"))</f>
        <v/>
      </c>
      <c r="EE181" s="44" t="e">
        <f>SUM(Table1[Data Start Date]+Table1[Data Local Authority])</f>
        <v>#VALUE!</v>
      </c>
      <c r="EF181" s="44">
        <f>IF(Table1[Registered with GP]="Yes",1,0)</f>
        <v>0</v>
      </c>
      <c r="EG181" s="44">
        <f>SUM(Table1[Data Start Date]+Table1[Data GP Start])</f>
        <v>0</v>
      </c>
      <c r="EH181" s="44" t="str">
        <f>IF(Table1[EET]="NEET",1,IF(Table1[EET]="Education",2,IF(Table1[EET]="Employment",2,IF(Table1[EET]="Training",2,IF(Table1[EET]="Retired",3,"")))))</f>
        <v/>
      </c>
      <c r="EI181" s="44" t="e">
        <f>Table1[Data Start Date]+Table1[Data EET Start]</f>
        <v>#VALUE!</v>
      </c>
      <c r="EJ181" s="44" t="b">
        <f>IF(Table1[Leaving Date]&gt;42735,8000,IF(Table1[Leaving Date]&gt;42643,7000,IF(Table1[Leaving Date]&gt;42551,6000,IF(Table1[Leaving Date]&gt;42460,5000,IF(Table1[Leaving Date]&gt;42369,4000,IF(Table1[Leaving Date]&gt;42277,3000,IF(Table1[Leaving Date]&gt;42185,2000,IF(Table1[Leaving Date]&gt;42094,1000))))))))</f>
        <v>0</v>
      </c>
      <c r="EK181" s="44" t="e">
        <f>VLOOKUP(Table1[Reason for Leaving],Lists!$T$2:$U$15,2,FALSE)</f>
        <v>#N/A</v>
      </c>
      <c r="EL181" s="44" t="e">
        <f>SUM(Table1[Data Leavers Date]+Table1[Data Move On])</f>
        <v>#N/A</v>
      </c>
      <c r="EM181" s="44" t="b">
        <f>IF(Table1[Registered with GP2]="Yes",1,IF(Table1[Registered with GP2]="No",0,IF(Table1[Registered with GP]="Yes",1,IF(Table1[Registered with GP]="No",0))))</f>
        <v>0</v>
      </c>
      <c r="EN181" s="44">
        <f>SUM(Table1[Data Leavers Date]+Table1[Data GP End])</f>
        <v>0</v>
      </c>
      <c r="EO181" s="44" t="str">
        <f>IF(Table1[EET2]="NEET",1,IF(Table1[EET2]="Employment",2,IF(Table1[EET2]="Education",2,IF(Table1[EET2]="Training",2,IF(Table1[EET2]="Retired",3,IF(Table1[EET]="NEET",1,IF(Table1[EET]="Employment",2,IF(Table1[EET]="Education",2,IF(Table1[EET]="Training",2,IF(Table1[EET]="Retired",3,""))))))))))</f>
        <v/>
      </c>
      <c r="EP181" s="44" t="e">
        <f>+Table1[[#This Row],[Data Leavers Date]]+Table1[[#This Row],[Data EET End]]</f>
        <v>#VALUE!</v>
      </c>
      <c r="EQ181" s="44">
        <f>IF(Table1[Exit Form Received]="Yes",1,0)</f>
        <v>0</v>
      </c>
      <c r="ER181" s="44">
        <f>+Table1[[#This Row],[Data Leavers Date]]+Table1[[#This Row],[Data Exit Forms]]</f>
        <v>0</v>
      </c>
      <c r="ES181" s="44" t="str">
        <f>IF(Table1[Data Leavers Date]=1000,SUM(Table1[Leaving Date]-Table1[Start Date]),"")</f>
        <v/>
      </c>
      <c r="ET181" s="44" t="str">
        <f>IF(Table1[Data Leavers Date]=2000,SUM(Table1[Leaving Date]-Table1[Start Date]),"")</f>
        <v/>
      </c>
      <c r="EU181" s="44" t="str">
        <f>IF(Table1[Data Leavers Date]=3000,SUM(Table1[Leaving Date]-Table1[Start Date]),"")</f>
        <v/>
      </c>
      <c r="EV181" s="44" t="str">
        <f>IF(Table1[Data Leavers Date]=4000,SUM(Table1[Leaving Date]-Table1[Start Date]),"")</f>
        <v/>
      </c>
      <c r="EW181" s="44" t="str">
        <f>IF(Table1[Data Leavers Date]=5000,SUM(Table1[Leaving Date]-Table1[Start Date]),"")</f>
        <v/>
      </c>
      <c r="EX181" s="44" t="str">
        <f>IF(Table1[Data Leavers Date]=6000,SUM(Table1[Leaving Date]-Table1[Start Date]),"")</f>
        <v/>
      </c>
      <c r="EY181" s="44" t="str">
        <f>IF(Table1[Data Leavers Date]=7000,SUM(Table1[Leaving Date]-Table1[Start Date]),"")</f>
        <v/>
      </c>
      <c r="EZ181" s="44" t="str">
        <f>IF(Table1[Data Leavers Date]=8000,SUM(Table1[Leaving Date]-Table1[Start Date]),"")</f>
        <v/>
      </c>
      <c r="FA181" s="44" t="str">
        <f>IF(Table1[Date of Initial Assessment]="","",IF(AND(Table1[Start Date]&gt;42094,Table1[Start Date]&lt;42461),Table1[Motivation and Taking Responsibility],""))</f>
        <v/>
      </c>
      <c r="FB181" s="44" t="str">
        <f>IF(Table1[Date of Initial Assessment]="","",IF(AND(Table1[Start Date]&gt;42094,Table1[Start Date]&lt;42461),Table1[Self-Care and Living Skills],""))</f>
        <v/>
      </c>
      <c r="FC181" s="44" t="str">
        <f>IF(Table1[Date of Initial Assessment]="","",IF(AND(Table1[Start Date]&gt;42094,Table1[Start Date]&lt;42461),Table1[Managing Money and Personal Administration],""))</f>
        <v/>
      </c>
      <c r="FD181" s="44" t="str">
        <f>IF(Table1[Date of Initial Assessment]="","",IF(AND(Table1[Start Date]&gt;42094,Table1[Start Date]&lt;42461),Table1[Social Networks and Relationships],""))</f>
        <v/>
      </c>
      <c r="FE181" s="44" t="str">
        <f>IF(Table1[Date of Initial Assessment]="","",IF(AND(Table1[Start Date]&gt;42094,Table1[Start Date]&lt;42461),Table1[Drug and Alcohol Misuse],""))</f>
        <v/>
      </c>
      <c r="FF181" s="44" t="str">
        <f>IF(Table1[Date of Initial Assessment]="","",IF(AND(Table1[Start Date]&gt;42094,Table1[Start Date]&lt;42461),Table1[Physical Health],""))</f>
        <v/>
      </c>
      <c r="FG181" s="44" t="str">
        <f>IF(Table1[Date of Initial Assessment]="","",IF(AND(Table1[Start Date]&gt;42094,Table1[Start Date]&lt;42461),Table1[Emotional and Mental Health],""))</f>
        <v/>
      </c>
      <c r="FH181" s="44" t="str">
        <f>IF(Table1[Date of Initial Assessment]="","",IF(AND(Table1[Start Date]&gt;42094,Table1[Start Date]&lt;42461),Table1[Meaningful Use of Time],""))</f>
        <v/>
      </c>
      <c r="FI181" s="44" t="str">
        <f>IF(Table1[Date of Initial Assessment]="","",IF(AND(Table1[Start Date]&gt;42094,Table1[Start Date]&lt;42461),Table1[Managing Tenancy and Accommodation],""))</f>
        <v/>
      </c>
      <c r="FJ181" s="44" t="str">
        <f>IF(Table1[Date of Initial Assessment]="","",IF(AND(Table1[Start Date]&gt;42094,Table1[Start Date]&lt;42461),Table1[Offending],""))</f>
        <v/>
      </c>
      <c r="FK181" s="44" t="str">
        <f>IF(Table1[Leaving Date]="","",IF(Table1[Date of Initial Assessment]="","",IF(AND(Table1[Leaving Date]&gt;42094,Table1[Leaving Date]&lt;42461),IF(Table1[Date of Last Assessment]="",Table1[Motivation and Taking Responsibility],Table1[Motivation and Taking Responsibility2]),"")))</f>
        <v/>
      </c>
      <c r="FL181" s="44" t="str">
        <f>IF(Table1[Leaving Date]="","",IF(Table1[Date of Initial Assessment]="","",IF(AND(Table1[Leaving Date]&gt;42094,Table1[Leaving Date]&lt;42461),IF(Table1[Date of Last Assessment]="",Table1[Self-Care and Living Skills],Table1[Self-Care and Living Skills2]),"")))</f>
        <v/>
      </c>
      <c r="FM181" s="44" t="str">
        <f>IF(Table1[Leaving Date]="","",IF(Table1[Date of Initial Assessment]="","",IF(AND(Table1[Leaving Date]&gt;42094,Table1[Leaving Date]&lt;42461),IF(Table1[Date of Last Assessment]="",Table1[Managing Money and Personal Administration],Table1[Managing Money and Personal Administration2]),"")))</f>
        <v/>
      </c>
      <c r="FN181" s="44" t="str">
        <f>IF(Table1[Leaving Date]="","",IF(Table1[Date of Initial Assessment]="","",IF(AND(Table1[Leaving Date]&gt;42094,Table1[Leaving Date]&lt;42461),IF(Table1[Date of Last Assessment]="",Table1[Social Networks and Relationships],Table1[Social Networks and Relationships2]),"")))</f>
        <v/>
      </c>
      <c r="FO181" s="44" t="str">
        <f>IF(Table1[Leaving Date]="","",IF(Table1[Date of Initial Assessment]="","",IF(AND(Table1[Leaving Date]&gt;42094,Table1[Leaving Date]&lt;42461),IF(Table1[Date of Last Assessment]="",Table1[Drug and Alcohol Misuse],Table1[Drug and Alcohol Misuse2]),"")))</f>
        <v/>
      </c>
      <c r="FP181" s="44" t="str">
        <f>IF(Table1[Leaving Date]="","",IF(Table1[Date of Initial Assessment]="","",IF(AND(Table1[Leaving Date]&gt;42094,Table1[Leaving Date]&lt;42461),IF(Table1[Date of Last Assessment]="",Table1[Physical Health],Table1[Physical Health2]),"")))</f>
        <v/>
      </c>
      <c r="FQ181" s="44" t="str">
        <f>IF(Table1[Leaving Date]="","",IF(Table1[Date of Initial Assessment]="","",IF(AND(Table1[Leaving Date]&gt;42094,Table1[Leaving Date]&lt;42461),IF(Table1[Date of Last Assessment]="",Table1[Emotional and Mental Health],Table1[Emotional and Mental Health2]),"")))</f>
        <v/>
      </c>
      <c r="FR181" s="44" t="str">
        <f>IF(Table1[Leaving Date]="","",IF(Table1[Date of Initial Assessment]="","",IF(AND(Table1[Leaving Date]&gt;42094,Table1[Leaving Date]&lt;42461),IF(Table1[Date of Last Assessment]="",Table1[Meaningful Use of Time],Table1[Meaningful Use of Time2]),"")))</f>
        <v/>
      </c>
      <c r="FS181" s="44" t="str">
        <f>IF(Table1[Leaving Date]="","",IF(Table1[Date of Initial Assessment]="","",IF(AND(Table1[Leaving Date]&gt;42094,Table1[Leaving Date]&lt;42461),IF(Table1[Date of Last Assessment]="",Table1[Managing Tenancy and Accommodation],Table1[Managing Tenancy and Accommodation2]),"")))</f>
        <v/>
      </c>
      <c r="FT181" s="44" t="str">
        <f>IF(Table1[Leaving Date]="","",IF(Table1[Date of Initial Assessment]="","",IF(AND(Table1[Leaving Date]&gt;42094,Table1[Leaving Date]&lt;42461),IF(Table1[Date of Last Assessment]="",Table1[Offending],Table1[Offending2]),"")))</f>
        <v/>
      </c>
      <c r="FU181" s="44" t="str">
        <f>IF(Table1[Date of Initial Assessment]="","",IF(AND(Table1[Start Date]&gt;42460,Table1[Start Date]&lt;42826),Table1[Motivation and Taking Responsibility],""))</f>
        <v/>
      </c>
      <c r="FV181" s="44" t="str">
        <f>IF(Table1[Date of Initial Assessment]="","",IF(AND(Table1[Start Date]&gt;42460,Table1[Start Date]&lt;42826),Table1[Self-Care and Living Skills],""))</f>
        <v/>
      </c>
      <c r="FW181" s="44" t="str">
        <f>IF(Table1[Date of Initial Assessment]="","",IF(AND(Table1[Start Date]&gt;42460,Table1[Start Date]&lt;42826),Table1[Managing Money and Personal Administration],""))</f>
        <v/>
      </c>
      <c r="FX181" s="44" t="str">
        <f>IF(Table1[Date of Initial Assessment]="","",IF(AND(Table1[Start Date]&gt;42460,Table1[Start Date]&lt;42826),Table1[Social Networks and Relationships],""))</f>
        <v/>
      </c>
      <c r="FY181" s="44" t="str">
        <f>IF(Table1[Date of Initial Assessment]="","",IF(AND(Table1[Start Date]&gt;42460,Table1[Start Date]&lt;42826),Table1[Drug and Alcohol Misuse],""))</f>
        <v/>
      </c>
      <c r="FZ181" s="44" t="str">
        <f>IF(Table1[Date of Initial Assessment]="","",IF(AND(Table1[Start Date]&gt;42460,Table1[Start Date]&lt;42826),Table1[Physical Health],""))</f>
        <v/>
      </c>
      <c r="GA181" s="44" t="str">
        <f>IF(Table1[Date of Initial Assessment]="","",IF(AND(Table1[Start Date]&gt;42460,Table1[Start Date]&lt;42826),Table1[Emotional and Mental Health],""))</f>
        <v/>
      </c>
      <c r="GB181" s="44" t="str">
        <f>IF(Table1[Date of Initial Assessment]="","",IF(AND(Table1[Start Date]&gt;42460,Table1[Start Date]&lt;42826),Table1[Meaningful Use of Time],""))</f>
        <v/>
      </c>
      <c r="GC181" s="44" t="str">
        <f>IF(Table1[Date of Initial Assessment]="","",IF(AND(Table1[Start Date]&gt;42460,Table1[Start Date]&lt;42826),Table1[Managing Tenancy and Accommodation],""))</f>
        <v/>
      </c>
      <c r="GD181" s="44" t="str">
        <f>IF(Table1[Date of Initial Assessment]="","",IF(AND(Table1[Start Date]&gt;42460,Table1[Start Date]&lt;42826),Table1[Offending],""))</f>
        <v/>
      </c>
      <c r="GE181" s="44" t="str">
        <f>IF(Table1[Leaving Date]="","",IF(AND(Table1[Leaving Date]&gt;42460,Table1[Leaving Date]&lt;42826),IF(Table1[Date of Last Assessment]="",Table1[Motivation and Taking Responsibility],Table1[Motivation and Taking Responsibility2]),""))</f>
        <v/>
      </c>
      <c r="GF181" s="44" t="str">
        <f>IF(Table1[Leaving Date]="","",IF(AND(Table1[Leaving Date]&gt;42460,Table1[Leaving Date]&lt;42826),IF(Table1[Date of Last Assessment]="",Table1[Self-Care and Living Skills],Table1[Self-Care and Living Skills2]),""))</f>
        <v/>
      </c>
      <c r="GG181" s="44" t="str">
        <f>IF(Table1[Leaving Date]="","",IF(AND(Table1[Leaving Date]&gt;42460,Table1[Leaving Date]&lt;42826),IF(Table1[Date of Last Assessment]="",Table1[Managing Money and Personal Administration],Table1[Managing Money and Personal Administration2]),""))</f>
        <v/>
      </c>
      <c r="GH181" s="44" t="str">
        <f>IF(Table1[Leaving Date]="","",IF(AND(Table1[Leaving Date]&gt;42460,Table1[Leaving Date]&lt;42826),IF(Table1[Date of Last Assessment]="",Table1[Social Networks and Relationships],Table1[Social Networks and Relationships2]),""))</f>
        <v/>
      </c>
      <c r="GI181" s="44" t="str">
        <f>IF(Table1[Leaving Date]="","",IF(AND(Table1[Leaving Date]&gt;42460,Table1[Leaving Date]&lt;42826),IF(Table1[Date of Last Assessment]="",Table1[Drug and Alcohol Misuse],Table1[Drug and Alcohol Misuse2]),""))</f>
        <v/>
      </c>
      <c r="GJ181" s="44" t="str">
        <f>IF(Table1[Leaving Date]="","",IF(AND(Table1[Leaving Date]&gt;42460,Table1[Leaving Date]&lt;42826),IF(Table1[Date of Last Assessment]="",Table1[Physical Health],Table1[Physical Health2]),""))</f>
        <v/>
      </c>
      <c r="GK181" s="44" t="str">
        <f>IF(Table1[Leaving Date]="","",IF(AND(Table1[Leaving Date]&gt;42460,Table1[Leaving Date]&lt;42826),IF(Table1[Date of Last Assessment]="",Table1[Emotional and Mental Health],Table1[Emotional and Mental Health2]),""))</f>
        <v/>
      </c>
      <c r="GL181" s="44" t="str">
        <f>IF(Table1[Leaving Date]="","",IF(AND(Table1[Leaving Date]&gt;42460,Table1[Leaving Date]&lt;42826),IF(Table1[Date of Last Assessment]="",Table1[Meaningful Use of Time],Table1[Meaningful Use of Time2]),""))</f>
        <v/>
      </c>
      <c r="GM181" s="44" t="str">
        <f>IF(Table1[Leaving Date]="","",IF(AND(Table1[Leaving Date]&gt;42460,Table1[Leaving Date]&lt;42826),IF(Table1[Date of Last Assessment]="",Table1[Managing Tenancy and Accommodation],Table1[Managing Tenancy and Accommodation2]),""))</f>
        <v/>
      </c>
      <c r="GN181" s="44" t="str">
        <f>IF(Table1[Leaving Date]="","",IF(AND(Table1[Leaving Date]&gt;42460,Table1[Leaving Date]&lt;42826),IF(Table1[Date of Last Assessment]="",Table1[Offending],Table1[Offending2]),""))</f>
        <v/>
      </c>
    </row>
    <row r="182" spans="2:196" ht="20.100000000000001" customHeight="1" x14ac:dyDescent="0.2">
      <c r="B182" s="86">
        <f>+'Service Data'!$C$5:$C$5</f>
        <v>0</v>
      </c>
      <c r="C182" s="86"/>
      <c r="D182" s="86"/>
      <c r="E182" s="86"/>
      <c r="F182" s="86"/>
      <c r="G182" s="86"/>
      <c r="H182" s="6"/>
      <c r="I182" s="99" t="str">
        <f ca="1">IF(Table1[[#This Row],[Date of Birth]]="","",SUM(TODAY()-Table1[[#This Row],[Date of Birth]])/365)</f>
        <v/>
      </c>
      <c r="L182" s="86"/>
      <c r="M182" s="77"/>
      <c r="N182" s="86"/>
      <c r="O182" s="86"/>
      <c r="P182" s="91"/>
      <c r="Q182" s="86"/>
      <c r="R182" s="77"/>
      <c r="S182" s="77"/>
      <c r="T182" s="68"/>
      <c r="U182" s="68"/>
      <c r="V182" s="67"/>
      <c r="W182" s="67"/>
      <c r="X182" s="67"/>
      <c r="Y182" s="67"/>
      <c r="Z182" s="67"/>
      <c r="AA182" s="67"/>
      <c r="AB182" s="67"/>
      <c r="AC182" s="67"/>
      <c r="AD182" s="67"/>
      <c r="AE182" s="67"/>
      <c r="AF182" s="67"/>
      <c r="AG182" s="67"/>
      <c r="AH182" s="67"/>
      <c r="AI182" s="67"/>
      <c r="AJ182" s="67"/>
      <c r="AK182" s="67"/>
      <c r="AL182" s="67"/>
      <c r="AM182" s="67"/>
      <c r="AN182" s="77"/>
      <c r="AO182" s="76"/>
      <c r="AP182" s="77"/>
      <c r="AQ182" s="76"/>
      <c r="AR182" s="76"/>
      <c r="AS182" s="76"/>
      <c r="AT182" s="76"/>
      <c r="AU182" s="76"/>
      <c r="AV182" s="77"/>
      <c r="AW182" s="76"/>
      <c r="AX182" s="77"/>
      <c r="AY182" s="76"/>
      <c r="AZ182" s="76"/>
      <c r="BA182" s="76"/>
      <c r="BB182" s="76"/>
      <c r="BC182" s="76"/>
      <c r="BD182" s="77"/>
      <c r="BE182" s="76"/>
      <c r="BF182" s="77"/>
      <c r="BG182" s="76"/>
      <c r="BH182" s="76"/>
      <c r="BI182" s="76"/>
      <c r="BJ182" s="76"/>
      <c r="BK182" s="76"/>
      <c r="BL182" s="77"/>
      <c r="BM182" s="76"/>
      <c r="BN182" s="77"/>
      <c r="BO182" s="76"/>
      <c r="BP182" s="76"/>
      <c r="BQ182" s="76"/>
      <c r="BR182" s="76"/>
      <c r="BS182" s="76"/>
      <c r="BT182" s="77"/>
      <c r="BU182" s="76"/>
      <c r="BV182" s="77"/>
      <c r="BW182" s="76"/>
      <c r="BX182" s="76"/>
      <c r="BY182" s="76"/>
      <c r="BZ182" s="76"/>
      <c r="CA182" s="76"/>
      <c r="CB182" s="77"/>
      <c r="CC182" s="76"/>
      <c r="CD182" s="77"/>
      <c r="CE182" s="76"/>
      <c r="CF182" s="76"/>
      <c r="CG182" s="76"/>
      <c r="CH182" s="76"/>
      <c r="CI182" s="76"/>
      <c r="CJ182" s="77"/>
      <c r="CK182" s="76"/>
      <c r="CL182" s="77"/>
      <c r="CM182" s="76"/>
      <c r="CN182" s="76"/>
      <c r="CO182" s="76"/>
      <c r="CP182" s="76"/>
      <c r="CQ182" s="76"/>
      <c r="CR182" s="78" t="str">
        <f t="shared" si="47"/>
        <v/>
      </c>
      <c r="CS182" s="79" t="str">
        <f t="shared" si="48"/>
        <v/>
      </c>
      <c r="CT182" s="79" t="str">
        <f t="shared" si="49"/>
        <v/>
      </c>
      <c r="CU182" s="79" t="str">
        <f t="shared" si="50"/>
        <v/>
      </c>
      <c r="CV182" s="79" t="str">
        <f t="shared" si="51"/>
        <v/>
      </c>
      <c r="CW182" s="79" t="str">
        <f t="shared" si="52"/>
        <v/>
      </c>
      <c r="CX182" s="79" t="str">
        <f t="shared" si="53"/>
        <v/>
      </c>
      <c r="CY182" s="79" t="str">
        <f t="shared" si="54"/>
        <v/>
      </c>
      <c r="CZ182" s="79" t="str">
        <f t="shared" si="55"/>
        <v/>
      </c>
      <c r="DA182" s="79" t="str">
        <f t="shared" si="56"/>
        <v/>
      </c>
      <c r="DB182" s="79" t="str">
        <f t="shared" si="57"/>
        <v/>
      </c>
      <c r="DC182" s="79" t="str">
        <f t="shared" si="58"/>
        <v/>
      </c>
      <c r="DD182" s="79" t="str">
        <f t="shared" si="59"/>
        <v/>
      </c>
      <c r="DE182" s="79" t="str">
        <f t="shared" si="60"/>
        <v/>
      </c>
      <c r="DF182" s="79" t="str">
        <f t="shared" si="61"/>
        <v/>
      </c>
      <c r="DG182" s="79" t="str">
        <f t="shared" si="62"/>
        <v/>
      </c>
      <c r="DH182" s="76"/>
      <c r="DI182" s="78"/>
      <c r="DJ182" s="76"/>
      <c r="DK182" s="77"/>
      <c r="DL182" s="77"/>
      <c r="DM182" s="77"/>
      <c r="DN182" s="80"/>
      <c r="DO182" s="80"/>
      <c r="DP182" s="92" t="str">
        <f>IF(Table1[Start Date]="","",IF(Table1[Start Date]&gt;42185,"",IF(AND(Table1[Leaving Date]&gt;1,Table1[Leaving Date]&lt;42095),"",1)))</f>
        <v/>
      </c>
      <c r="DQ182" s="92" t="str">
        <f>IF(Table1[Start Date]="","",IF(Table1[Start Date]&gt;42277,"",IF(AND(Table1[Leaving Date]&gt;1,Table1[Leaving Date]&lt;42186),"",1)))</f>
        <v/>
      </c>
      <c r="DR182" s="92" t="str">
        <f>IF(Table1[Start Date]="","",IF(Table1[Start Date]&gt;42369,"",IF(AND(Table1[Leaving Date]&gt;1,Table1[Leaving Date]&lt;42278),"",1)))</f>
        <v/>
      </c>
      <c r="DS182" s="92" t="str">
        <f>IF(Table1[Start Date]="","",IF(Table1[Start Date]&gt;42460,"",IF(AND(Table1[Leaving Date]&gt;1,Table1[Leaving Date]&lt;42370),"",1)))</f>
        <v/>
      </c>
      <c r="DT182" s="92" t="str">
        <f>IF(Table1[Start Date]="","",IF(Table1[Start Date]&gt;42551,"",IF(AND(Table1[Leaving Date]&gt;1,Table1[Leaving Date]&lt;42461),"",1)))</f>
        <v/>
      </c>
      <c r="DU182" s="92" t="str">
        <f>IF(Table1[Start Date]="","",IF(Table1[Start Date]&gt;42643,"",IF(AND(Table1[Leaving Date]&gt;1,Table1[Leaving Date]&lt;42552),"",1)))</f>
        <v/>
      </c>
      <c r="DV182" s="92" t="str">
        <f>IF(Table1[Start Date]="","",IF(Table1[Start Date]&gt;42735,"",IF(AND(Table1[Leaving Date]&gt;1,Table1[Leaving Date]&lt;42644),"",1)))</f>
        <v/>
      </c>
      <c r="DW182" s="92" t="str">
        <f>IF(Table1[Start Date]="","",IF(Table1[Start Date]&gt;42825,"",IF(AND(Table1[Leaving Date]&gt;1,Table1[Leaving Date]&lt;42736),"",1)))</f>
        <v/>
      </c>
      <c r="DX182"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182" s="44" t="e">
        <f>VLOOKUP(Table1[Referral Source],Lists!$G$2:$H$20,2,FALSE)</f>
        <v>#N/A</v>
      </c>
      <c r="DZ182" s="93" t="e">
        <f>SUM(Table1[Data Referral Quarter]+Table1[Data Referral Source])</f>
        <v>#N/A</v>
      </c>
      <c r="EA182" s="44" t="b">
        <f>IF(Table1[Referral Decision]="Accepted",100,IF(Table1[Referral Decision]="Rejected by Provider",200,IF(Table1[Referral Decision]="Rejected by Applicant",300)))</f>
        <v>0</v>
      </c>
      <c r="EB182" s="44">
        <f>SUM(Table1[Data Referral Quarter]+Table1[Data Referral Decision])</f>
        <v>0</v>
      </c>
      <c r="EC182" s="44" t="b">
        <f>IF(Table1[Start Date]&gt;42735,8000,IF(Table1[Start Date]&gt;42643,7000,IF(Table1[Start Date]&gt;42551,6000,IF(Table1[Start Date]&gt;42460,5000,IF(Table1[Start Date]&gt;42369,4000,IF(Table1[Start Date]&gt;42277,3000,IF(Table1[Start Date]&gt;42185,2000,IF(Table1[Start Date]&gt;42094,1000))))))))</f>
        <v>0</v>
      </c>
      <c r="ED182" s="44" t="str">
        <f>IF(Table1[Start Date]="","",IF(Table1[Current Local Authority]="Swindon",1,"2"))</f>
        <v/>
      </c>
      <c r="EE182" s="44" t="e">
        <f>SUM(Table1[Data Start Date]+Table1[Data Local Authority])</f>
        <v>#VALUE!</v>
      </c>
      <c r="EF182" s="44">
        <f>IF(Table1[Registered with GP]="Yes",1,0)</f>
        <v>0</v>
      </c>
      <c r="EG182" s="44">
        <f>SUM(Table1[Data Start Date]+Table1[Data GP Start])</f>
        <v>0</v>
      </c>
      <c r="EH182" s="44" t="str">
        <f>IF(Table1[EET]="NEET",1,IF(Table1[EET]="Education",2,IF(Table1[EET]="Employment",2,IF(Table1[EET]="Training",2,IF(Table1[EET]="Retired",3,"")))))</f>
        <v/>
      </c>
      <c r="EI182" s="44" t="e">
        <f>Table1[Data Start Date]+Table1[Data EET Start]</f>
        <v>#VALUE!</v>
      </c>
      <c r="EJ182" s="44" t="b">
        <f>IF(Table1[Leaving Date]&gt;42735,8000,IF(Table1[Leaving Date]&gt;42643,7000,IF(Table1[Leaving Date]&gt;42551,6000,IF(Table1[Leaving Date]&gt;42460,5000,IF(Table1[Leaving Date]&gt;42369,4000,IF(Table1[Leaving Date]&gt;42277,3000,IF(Table1[Leaving Date]&gt;42185,2000,IF(Table1[Leaving Date]&gt;42094,1000))))))))</f>
        <v>0</v>
      </c>
      <c r="EK182" s="44" t="e">
        <f>VLOOKUP(Table1[Reason for Leaving],Lists!$T$2:$U$15,2,FALSE)</f>
        <v>#N/A</v>
      </c>
      <c r="EL182" s="44" t="e">
        <f>SUM(Table1[Data Leavers Date]+Table1[Data Move On])</f>
        <v>#N/A</v>
      </c>
      <c r="EM182" s="44" t="b">
        <f>IF(Table1[Registered with GP2]="Yes",1,IF(Table1[Registered with GP2]="No",0,IF(Table1[Registered with GP]="Yes",1,IF(Table1[Registered with GP]="No",0))))</f>
        <v>0</v>
      </c>
      <c r="EN182" s="44">
        <f>SUM(Table1[Data Leavers Date]+Table1[Data GP End])</f>
        <v>0</v>
      </c>
      <c r="EO182" s="44" t="str">
        <f>IF(Table1[EET2]="NEET",1,IF(Table1[EET2]="Employment",2,IF(Table1[EET2]="Education",2,IF(Table1[EET2]="Training",2,IF(Table1[EET2]="Retired",3,IF(Table1[EET]="NEET",1,IF(Table1[EET]="Employment",2,IF(Table1[EET]="Education",2,IF(Table1[EET]="Training",2,IF(Table1[EET]="Retired",3,""))))))))))</f>
        <v/>
      </c>
      <c r="EP182" s="44" t="e">
        <f>+Table1[[#This Row],[Data Leavers Date]]+Table1[[#This Row],[Data EET End]]</f>
        <v>#VALUE!</v>
      </c>
      <c r="EQ182" s="44">
        <f>IF(Table1[Exit Form Received]="Yes",1,0)</f>
        <v>0</v>
      </c>
      <c r="ER182" s="44">
        <f>+Table1[[#This Row],[Data Leavers Date]]+Table1[[#This Row],[Data Exit Forms]]</f>
        <v>0</v>
      </c>
      <c r="ES182" s="44" t="str">
        <f>IF(Table1[Data Leavers Date]=1000,SUM(Table1[Leaving Date]-Table1[Start Date]),"")</f>
        <v/>
      </c>
      <c r="ET182" s="44" t="str">
        <f>IF(Table1[Data Leavers Date]=2000,SUM(Table1[Leaving Date]-Table1[Start Date]),"")</f>
        <v/>
      </c>
      <c r="EU182" s="44" t="str">
        <f>IF(Table1[Data Leavers Date]=3000,SUM(Table1[Leaving Date]-Table1[Start Date]),"")</f>
        <v/>
      </c>
      <c r="EV182" s="44" t="str">
        <f>IF(Table1[Data Leavers Date]=4000,SUM(Table1[Leaving Date]-Table1[Start Date]),"")</f>
        <v/>
      </c>
      <c r="EW182" s="44" t="str">
        <f>IF(Table1[Data Leavers Date]=5000,SUM(Table1[Leaving Date]-Table1[Start Date]),"")</f>
        <v/>
      </c>
      <c r="EX182" s="44" t="str">
        <f>IF(Table1[Data Leavers Date]=6000,SUM(Table1[Leaving Date]-Table1[Start Date]),"")</f>
        <v/>
      </c>
      <c r="EY182" s="44" t="str">
        <f>IF(Table1[Data Leavers Date]=7000,SUM(Table1[Leaving Date]-Table1[Start Date]),"")</f>
        <v/>
      </c>
      <c r="EZ182" s="44" t="str">
        <f>IF(Table1[Data Leavers Date]=8000,SUM(Table1[Leaving Date]-Table1[Start Date]),"")</f>
        <v/>
      </c>
      <c r="FA182" s="44" t="str">
        <f>IF(Table1[Date of Initial Assessment]="","",IF(AND(Table1[Start Date]&gt;42094,Table1[Start Date]&lt;42461),Table1[Motivation and Taking Responsibility],""))</f>
        <v/>
      </c>
      <c r="FB182" s="44" t="str">
        <f>IF(Table1[Date of Initial Assessment]="","",IF(AND(Table1[Start Date]&gt;42094,Table1[Start Date]&lt;42461),Table1[Self-Care and Living Skills],""))</f>
        <v/>
      </c>
      <c r="FC182" s="44" t="str">
        <f>IF(Table1[Date of Initial Assessment]="","",IF(AND(Table1[Start Date]&gt;42094,Table1[Start Date]&lt;42461),Table1[Managing Money and Personal Administration],""))</f>
        <v/>
      </c>
      <c r="FD182" s="44" t="str">
        <f>IF(Table1[Date of Initial Assessment]="","",IF(AND(Table1[Start Date]&gt;42094,Table1[Start Date]&lt;42461),Table1[Social Networks and Relationships],""))</f>
        <v/>
      </c>
      <c r="FE182" s="44" t="str">
        <f>IF(Table1[Date of Initial Assessment]="","",IF(AND(Table1[Start Date]&gt;42094,Table1[Start Date]&lt;42461),Table1[Drug and Alcohol Misuse],""))</f>
        <v/>
      </c>
      <c r="FF182" s="44" t="str">
        <f>IF(Table1[Date of Initial Assessment]="","",IF(AND(Table1[Start Date]&gt;42094,Table1[Start Date]&lt;42461),Table1[Physical Health],""))</f>
        <v/>
      </c>
      <c r="FG182" s="44" t="str">
        <f>IF(Table1[Date of Initial Assessment]="","",IF(AND(Table1[Start Date]&gt;42094,Table1[Start Date]&lt;42461),Table1[Emotional and Mental Health],""))</f>
        <v/>
      </c>
      <c r="FH182" s="44" t="str">
        <f>IF(Table1[Date of Initial Assessment]="","",IF(AND(Table1[Start Date]&gt;42094,Table1[Start Date]&lt;42461),Table1[Meaningful Use of Time],""))</f>
        <v/>
      </c>
      <c r="FI182" s="44" t="str">
        <f>IF(Table1[Date of Initial Assessment]="","",IF(AND(Table1[Start Date]&gt;42094,Table1[Start Date]&lt;42461),Table1[Managing Tenancy and Accommodation],""))</f>
        <v/>
      </c>
      <c r="FJ182" s="44" t="str">
        <f>IF(Table1[Date of Initial Assessment]="","",IF(AND(Table1[Start Date]&gt;42094,Table1[Start Date]&lt;42461),Table1[Offending],""))</f>
        <v/>
      </c>
      <c r="FK182" s="44" t="str">
        <f>IF(Table1[Leaving Date]="","",IF(Table1[Date of Initial Assessment]="","",IF(AND(Table1[Leaving Date]&gt;42094,Table1[Leaving Date]&lt;42461),IF(Table1[Date of Last Assessment]="",Table1[Motivation and Taking Responsibility],Table1[Motivation and Taking Responsibility2]),"")))</f>
        <v/>
      </c>
      <c r="FL182" s="44" t="str">
        <f>IF(Table1[Leaving Date]="","",IF(Table1[Date of Initial Assessment]="","",IF(AND(Table1[Leaving Date]&gt;42094,Table1[Leaving Date]&lt;42461),IF(Table1[Date of Last Assessment]="",Table1[Self-Care and Living Skills],Table1[Self-Care and Living Skills2]),"")))</f>
        <v/>
      </c>
      <c r="FM182" s="44" t="str">
        <f>IF(Table1[Leaving Date]="","",IF(Table1[Date of Initial Assessment]="","",IF(AND(Table1[Leaving Date]&gt;42094,Table1[Leaving Date]&lt;42461),IF(Table1[Date of Last Assessment]="",Table1[Managing Money and Personal Administration],Table1[Managing Money and Personal Administration2]),"")))</f>
        <v/>
      </c>
      <c r="FN182" s="44" t="str">
        <f>IF(Table1[Leaving Date]="","",IF(Table1[Date of Initial Assessment]="","",IF(AND(Table1[Leaving Date]&gt;42094,Table1[Leaving Date]&lt;42461),IF(Table1[Date of Last Assessment]="",Table1[Social Networks and Relationships],Table1[Social Networks and Relationships2]),"")))</f>
        <v/>
      </c>
      <c r="FO182" s="44" t="str">
        <f>IF(Table1[Leaving Date]="","",IF(Table1[Date of Initial Assessment]="","",IF(AND(Table1[Leaving Date]&gt;42094,Table1[Leaving Date]&lt;42461),IF(Table1[Date of Last Assessment]="",Table1[Drug and Alcohol Misuse],Table1[Drug and Alcohol Misuse2]),"")))</f>
        <v/>
      </c>
      <c r="FP182" s="44" t="str">
        <f>IF(Table1[Leaving Date]="","",IF(Table1[Date of Initial Assessment]="","",IF(AND(Table1[Leaving Date]&gt;42094,Table1[Leaving Date]&lt;42461),IF(Table1[Date of Last Assessment]="",Table1[Physical Health],Table1[Physical Health2]),"")))</f>
        <v/>
      </c>
      <c r="FQ182" s="44" t="str">
        <f>IF(Table1[Leaving Date]="","",IF(Table1[Date of Initial Assessment]="","",IF(AND(Table1[Leaving Date]&gt;42094,Table1[Leaving Date]&lt;42461),IF(Table1[Date of Last Assessment]="",Table1[Emotional and Mental Health],Table1[Emotional and Mental Health2]),"")))</f>
        <v/>
      </c>
      <c r="FR182" s="44" t="str">
        <f>IF(Table1[Leaving Date]="","",IF(Table1[Date of Initial Assessment]="","",IF(AND(Table1[Leaving Date]&gt;42094,Table1[Leaving Date]&lt;42461),IF(Table1[Date of Last Assessment]="",Table1[Meaningful Use of Time],Table1[Meaningful Use of Time2]),"")))</f>
        <v/>
      </c>
      <c r="FS182" s="44" t="str">
        <f>IF(Table1[Leaving Date]="","",IF(Table1[Date of Initial Assessment]="","",IF(AND(Table1[Leaving Date]&gt;42094,Table1[Leaving Date]&lt;42461),IF(Table1[Date of Last Assessment]="",Table1[Managing Tenancy and Accommodation],Table1[Managing Tenancy and Accommodation2]),"")))</f>
        <v/>
      </c>
      <c r="FT182" s="44" t="str">
        <f>IF(Table1[Leaving Date]="","",IF(Table1[Date of Initial Assessment]="","",IF(AND(Table1[Leaving Date]&gt;42094,Table1[Leaving Date]&lt;42461),IF(Table1[Date of Last Assessment]="",Table1[Offending],Table1[Offending2]),"")))</f>
        <v/>
      </c>
      <c r="FU182" s="44" t="str">
        <f>IF(Table1[Date of Initial Assessment]="","",IF(AND(Table1[Start Date]&gt;42460,Table1[Start Date]&lt;42826),Table1[Motivation and Taking Responsibility],""))</f>
        <v/>
      </c>
      <c r="FV182" s="44" t="str">
        <f>IF(Table1[Date of Initial Assessment]="","",IF(AND(Table1[Start Date]&gt;42460,Table1[Start Date]&lt;42826),Table1[Self-Care and Living Skills],""))</f>
        <v/>
      </c>
      <c r="FW182" s="44" t="str">
        <f>IF(Table1[Date of Initial Assessment]="","",IF(AND(Table1[Start Date]&gt;42460,Table1[Start Date]&lt;42826),Table1[Managing Money and Personal Administration],""))</f>
        <v/>
      </c>
      <c r="FX182" s="44" t="str">
        <f>IF(Table1[Date of Initial Assessment]="","",IF(AND(Table1[Start Date]&gt;42460,Table1[Start Date]&lt;42826),Table1[Social Networks and Relationships],""))</f>
        <v/>
      </c>
      <c r="FY182" s="44" t="str">
        <f>IF(Table1[Date of Initial Assessment]="","",IF(AND(Table1[Start Date]&gt;42460,Table1[Start Date]&lt;42826),Table1[Drug and Alcohol Misuse],""))</f>
        <v/>
      </c>
      <c r="FZ182" s="44" t="str">
        <f>IF(Table1[Date of Initial Assessment]="","",IF(AND(Table1[Start Date]&gt;42460,Table1[Start Date]&lt;42826),Table1[Physical Health],""))</f>
        <v/>
      </c>
      <c r="GA182" s="44" t="str">
        <f>IF(Table1[Date of Initial Assessment]="","",IF(AND(Table1[Start Date]&gt;42460,Table1[Start Date]&lt;42826),Table1[Emotional and Mental Health],""))</f>
        <v/>
      </c>
      <c r="GB182" s="44" t="str">
        <f>IF(Table1[Date of Initial Assessment]="","",IF(AND(Table1[Start Date]&gt;42460,Table1[Start Date]&lt;42826),Table1[Meaningful Use of Time],""))</f>
        <v/>
      </c>
      <c r="GC182" s="44" t="str">
        <f>IF(Table1[Date of Initial Assessment]="","",IF(AND(Table1[Start Date]&gt;42460,Table1[Start Date]&lt;42826),Table1[Managing Tenancy and Accommodation],""))</f>
        <v/>
      </c>
      <c r="GD182" s="44" t="str">
        <f>IF(Table1[Date of Initial Assessment]="","",IF(AND(Table1[Start Date]&gt;42460,Table1[Start Date]&lt;42826),Table1[Offending],""))</f>
        <v/>
      </c>
      <c r="GE182" s="44" t="str">
        <f>IF(Table1[Leaving Date]="","",IF(AND(Table1[Leaving Date]&gt;42460,Table1[Leaving Date]&lt;42826),IF(Table1[Date of Last Assessment]="",Table1[Motivation and Taking Responsibility],Table1[Motivation and Taking Responsibility2]),""))</f>
        <v/>
      </c>
      <c r="GF182" s="44" t="str">
        <f>IF(Table1[Leaving Date]="","",IF(AND(Table1[Leaving Date]&gt;42460,Table1[Leaving Date]&lt;42826),IF(Table1[Date of Last Assessment]="",Table1[Self-Care and Living Skills],Table1[Self-Care and Living Skills2]),""))</f>
        <v/>
      </c>
      <c r="GG182" s="44" t="str">
        <f>IF(Table1[Leaving Date]="","",IF(AND(Table1[Leaving Date]&gt;42460,Table1[Leaving Date]&lt;42826),IF(Table1[Date of Last Assessment]="",Table1[Managing Money and Personal Administration],Table1[Managing Money and Personal Administration2]),""))</f>
        <v/>
      </c>
      <c r="GH182" s="44" t="str">
        <f>IF(Table1[Leaving Date]="","",IF(AND(Table1[Leaving Date]&gt;42460,Table1[Leaving Date]&lt;42826),IF(Table1[Date of Last Assessment]="",Table1[Social Networks and Relationships],Table1[Social Networks and Relationships2]),""))</f>
        <v/>
      </c>
      <c r="GI182" s="44" t="str">
        <f>IF(Table1[Leaving Date]="","",IF(AND(Table1[Leaving Date]&gt;42460,Table1[Leaving Date]&lt;42826),IF(Table1[Date of Last Assessment]="",Table1[Drug and Alcohol Misuse],Table1[Drug and Alcohol Misuse2]),""))</f>
        <v/>
      </c>
      <c r="GJ182" s="44" t="str">
        <f>IF(Table1[Leaving Date]="","",IF(AND(Table1[Leaving Date]&gt;42460,Table1[Leaving Date]&lt;42826),IF(Table1[Date of Last Assessment]="",Table1[Physical Health],Table1[Physical Health2]),""))</f>
        <v/>
      </c>
      <c r="GK182" s="44" t="str">
        <f>IF(Table1[Leaving Date]="","",IF(AND(Table1[Leaving Date]&gt;42460,Table1[Leaving Date]&lt;42826),IF(Table1[Date of Last Assessment]="",Table1[Emotional and Mental Health],Table1[Emotional and Mental Health2]),""))</f>
        <v/>
      </c>
      <c r="GL182" s="44" t="str">
        <f>IF(Table1[Leaving Date]="","",IF(AND(Table1[Leaving Date]&gt;42460,Table1[Leaving Date]&lt;42826),IF(Table1[Date of Last Assessment]="",Table1[Meaningful Use of Time],Table1[Meaningful Use of Time2]),""))</f>
        <v/>
      </c>
      <c r="GM182" s="44" t="str">
        <f>IF(Table1[Leaving Date]="","",IF(AND(Table1[Leaving Date]&gt;42460,Table1[Leaving Date]&lt;42826),IF(Table1[Date of Last Assessment]="",Table1[Managing Tenancy and Accommodation],Table1[Managing Tenancy and Accommodation2]),""))</f>
        <v/>
      </c>
      <c r="GN182" s="44" t="str">
        <f>IF(Table1[Leaving Date]="","",IF(AND(Table1[Leaving Date]&gt;42460,Table1[Leaving Date]&lt;42826),IF(Table1[Date of Last Assessment]="",Table1[Offending],Table1[Offending2]),""))</f>
        <v/>
      </c>
    </row>
    <row r="183" spans="2:196" ht="20.100000000000001" customHeight="1" x14ac:dyDescent="0.2">
      <c r="B183" s="86">
        <f>+'Service Data'!$C$5:$C$5</f>
        <v>0</v>
      </c>
      <c r="C183" s="86"/>
      <c r="D183" s="86"/>
      <c r="E183" s="86"/>
      <c r="F183" s="86"/>
      <c r="G183" s="86"/>
      <c r="H183" s="6"/>
      <c r="I183" s="99" t="str">
        <f ca="1">IF(Table1[[#This Row],[Date of Birth]]="","",SUM(TODAY()-Table1[[#This Row],[Date of Birth]])/365)</f>
        <v/>
      </c>
      <c r="L183" s="86"/>
      <c r="M183" s="77"/>
      <c r="N183" s="86"/>
      <c r="O183" s="86"/>
      <c r="P183" s="91"/>
      <c r="Q183" s="86"/>
      <c r="R183" s="77"/>
      <c r="S183" s="77"/>
      <c r="T183" s="68"/>
      <c r="U183" s="68"/>
      <c r="V183" s="67"/>
      <c r="W183" s="67"/>
      <c r="X183" s="67"/>
      <c r="Y183" s="67"/>
      <c r="Z183" s="67"/>
      <c r="AA183" s="67"/>
      <c r="AB183" s="67"/>
      <c r="AC183" s="67"/>
      <c r="AD183" s="67"/>
      <c r="AE183" s="67"/>
      <c r="AF183" s="67"/>
      <c r="AG183" s="67"/>
      <c r="AH183" s="67"/>
      <c r="AI183" s="67"/>
      <c r="AJ183" s="67"/>
      <c r="AK183" s="67"/>
      <c r="AL183" s="67"/>
      <c r="AM183" s="67"/>
      <c r="AN183" s="77"/>
      <c r="AO183" s="76"/>
      <c r="AP183" s="77"/>
      <c r="AQ183" s="76"/>
      <c r="AR183" s="76"/>
      <c r="AS183" s="76"/>
      <c r="AT183" s="76"/>
      <c r="AU183" s="76"/>
      <c r="AV183" s="77"/>
      <c r="AW183" s="76"/>
      <c r="AX183" s="77"/>
      <c r="AY183" s="76"/>
      <c r="AZ183" s="76"/>
      <c r="BA183" s="76"/>
      <c r="BB183" s="76"/>
      <c r="BC183" s="76"/>
      <c r="BD183" s="77"/>
      <c r="BE183" s="76"/>
      <c r="BF183" s="77"/>
      <c r="BG183" s="76"/>
      <c r="BH183" s="76"/>
      <c r="BI183" s="76"/>
      <c r="BJ183" s="76"/>
      <c r="BK183" s="76"/>
      <c r="BL183" s="77"/>
      <c r="BM183" s="76"/>
      <c r="BN183" s="77"/>
      <c r="BO183" s="76"/>
      <c r="BP183" s="76"/>
      <c r="BQ183" s="76"/>
      <c r="BR183" s="76"/>
      <c r="BS183" s="76"/>
      <c r="BT183" s="77"/>
      <c r="BU183" s="76"/>
      <c r="BV183" s="77"/>
      <c r="BW183" s="76"/>
      <c r="BX183" s="76"/>
      <c r="BY183" s="76"/>
      <c r="BZ183" s="76"/>
      <c r="CA183" s="76"/>
      <c r="CB183" s="77"/>
      <c r="CC183" s="76"/>
      <c r="CD183" s="77"/>
      <c r="CE183" s="76"/>
      <c r="CF183" s="76"/>
      <c r="CG183" s="76"/>
      <c r="CH183" s="76"/>
      <c r="CI183" s="76"/>
      <c r="CJ183" s="77"/>
      <c r="CK183" s="76"/>
      <c r="CL183" s="77"/>
      <c r="CM183" s="76"/>
      <c r="CN183" s="76"/>
      <c r="CO183" s="76"/>
      <c r="CP183" s="76"/>
      <c r="CQ183" s="76"/>
      <c r="CR183" s="78" t="str">
        <f t="shared" si="47"/>
        <v/>
      </c>
      <c r="CS183" s="79" t="str">
        <f t="shared" si="48"/>
        <v/>
      </c>
      <c r="CT183" s="79" t="str">
        <f t="shared" si="49"/>
        <v/>
      </c>
      <c r="CU183" s="79" t="str">
        <f t="shared" si="50"/>
        <v/>
      </c>
      <c r="CV183" s="79" t="str">
        <f t="shared" si="51"/>
        <v/>
      </c>
      <c r="CW183" s="79" t="str">
        <f t="shared" si="52"/>
        <v/>
      </c>
      <c r="CX183" s="79" t="str">
        <f t="shared" si="53"/>
        <v/>
      </c>
      <c r="CY183" s="79" t="str">
        <f t="shared" si="54"/>
        <v/>
      </c>
      <c r="CZ183" s="79" t="str">
        <f t="shared" si="55"/>
        <v/>
      </c>
      <c r="DA183" s="79" t="str">
        <f t="shared" si="56"/>
        <v/>
      </c>
      <c r="DB183" s="79" t="str">
        <f t="shared" si="57"/>
        <v/>
      </c>
      <c r="DC183" s="79" t="str">
        <f t="shared" si="58"/>
        <v/>
      </c>
      <c r="DD183" s="79" t="str">
        <f t="shared" si="59"/>
        <v/>
      </c>
      <c r="DE183" s="79" t="str">
        <f t="shared" si="60"/>
        <v/>
      </c>
      <c r="DF183" s="79" t="str">
        <f t="shared" si="61"/>
        <v/>
      </c>
      <c r="DG183" s="79" t="str">
        <f t="shared" si="62"/>
        <v/>
      </c>
      <c r="DH183" s="76"/>
      <c r="DI183" s="78"/>
      <c r="DJ183" s="76"/>
      <c r="DK183" s="77"/>
      <c r="DL183" s="77"/>
      <c r="DM183" s="77"/>
      <c r="DN183" s="80"/>
      <c r="DO183" s="80"/>
      <c r="DP183" s="92" t="str">
        <f>IF(Table1[Start Date]="","",IF(Table1[Start Date]&gt;42185,"",IF(AND(Table1[Leaving Date]&gt;1,Table1[Leaving Date]&lt;42095),"",1)))</f>
        <v/>
      </c>
      <c r="DQ183" s="92" t="str">
        <f>IF(Table1[Start Date]="","",IF(Table1[Start Date]&gt;42277,"",IF(AND(Table1[Leaving Date]&gt;1,Table1[Leaving Date]&lt;42186),"",1)))</f>
        <v/>
      </c>
      <c r="DR183" s="92" t="str">
        <f>IF(Table1[Start Date]="","",IF(Table1[Start Date]&gt;42369,"",IF(AND(Table1[Leaving Date]&gt;1,Table1[Leaving Date]&lt;42278),"",1)))</f>
        <v/>
      </c>
      <c r="DS183" s="92" t="str">
        <f>IF(Table1[Start Date]="","",IF(Table1[Start Date]&gt;42460,"",IF(AND(Table1[Leaving Date]&gt;1,Table1[Leaving Date]&lt;42370),"",1)))</f>
        <v/>
      </c>
      <c r="DT183" s="92" t="str">
        <f>IF(Table1[Start Date]="","",IF(Table1[Start Date]&gt;42551,"",IF(AND(Table1[Leaving Date]&gt;1,Table1[Leaving Date]&lt;42461),"",1)))</f>
        <v/>
      </c>
      <c r="DU183" s="92" t="str">
        <f>IF(Table1[Start Date]="","",IF(Table1[Start Date]&gt;42643,"",IF(AND(Table1[Leaving Date]&gt;1,Table1[Leaving Date]&lt;42552),"",1)))</f>
        <v/>
      </c>
      <c r="DV183" s="92" t="str">
        <f>IF(Table1[Start Date]="","",IF(Table1[Start Date]&gt;42735,"",IF(AND(Table1[Leaving Date]&gt;1,Table1[Leaving Date]&lt;42644),"",1)))</f>
        <v/>
      </c>
      <c r="DW183" s="92" t="str">
        <f>IF(Table1[Start Date]="","",IF(Table1[Start Date]&gt;42825,"",IF(AND(Table1[Leaving Date]&gt;1,Table1[Leaving Date]&lt;42736),"",1)))</f>
        <v/>
      </c>
      <c r="DX183"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183" s="44" t="e">
        <f>VLOOKUP(Table1[Referral Source],Lists!$G$2:$H$20,2,FALSE)</f>
        <v>#N/A</v>
      </c>
      <c r="DZ183" s="93" t="e">
        <f>SUM(Table1[Data Referral Quarter]+Table1[Data Referral Source])</f>
        <v>#N/A</v>
      </c>
      <c r="EA183" s="44" t="b">
        <f>IF(Table1[Referral Decision]="Accepted",100,IF(Table1[Referral Decision]="Rejected by Provider",200,IF(Table1[Referral Decision]="Rejected by Applicant",300)))</f>
        <v>0</v>
      </c>
      <c r="EB183" s="44">
        <f>SUM(Table1[Data Referral Quarter]+Table1[Data Referral Decision])</f>
        <v>0</v>
      </c>
      <c r="EC183" s="44" t="b">
        <f>IF(Table1[Start Date]&gt;42735,8000,IF(Table1[Start Date]&gt;42643,7000,IF(Table1[Start Date]&gt;42551,6000,IF(Table1[Start Date]&gt;42460,5000,IF(Table1[Start Date]&gt;42369,4000,IF(Table1[Start Date]&gt;42277,3000,IF(Table1[Start Date]&gt;42185,2000,IF(Table1[Start Date]&gt;42094,1000))))))))</f>
        <v>0</v>
      </c>
      <c r="ED183" s="44" t="str">
        <f>IF(Table1[Start Date]="","",IF(Table1[Current Local Authority]="Swindon",1,"2"))</f>
        <v/>
      </c>
      <c r="EE183" s="44" t="e">
        <f>SUM(Table1[Data Start Date]+Table1[Data Local Authority])</f>
        <v>#VALUE!</v>
      </c>
      <c r="EF183" s="44">
        <f>IF(Table1[Registered with GP]="Yes",1,0)</f>
        <v>0</v>
      </c>
      <c r="EG183" s="44">
        <f>SUM(Table1[Data Start Date]+Table1[Data GP Start])</f>
        <v>0</v>
      </c>
      <c r="EH183" s="44" t="str">
        <f>IF(Table1[EET]="NEET",1,IF(Table1[EET]="Education",2,IF(Table1[EET]="Employment",2,IF(Table1[EET]="Training",2,IF(Table1[EET]="Retired",3,"")))))</f>
        <v/>
      </c>
      <c r="EI183" s="44" t="e">
        <f>Table1[Data Start Date]+Table1[Data EET Start]</f>
        <v>#VALUE!</v>
      </c>
      <c r="EJ183" s="44" t="b">
        <f>IF(Table1[Leaving Date]&gt;42735,8000,IF(Table1[Leaving Date]&gt;42643,7000,IF(Table1[Leaving Date]&gt;42551,6000,IF(Table1[Leaving Date]&gt;42460,5000,IF(Table1[Leaving Date]&gt;42369,4000,IF(Table1[Leaving Date]&gt;42277,3000,IF(Table1[Leaving Date]&gt;42185,2000,IF(Table1[Leaving Date]&gt;42094,1000))))))))</f>
        <v>0</v>
      </c>
      <c r="EK183" s="44" t="e">
        <f>VLOOKUP(Table1[Reason for Leaving],Lists!$T$2:$U$15,2,FALSE)</f>
        <v>#N/A</v>
      </c>
      <c r="EL183" s="44" t="e">
        <f>SUM(Table1[Data Leavers Date]+Table1[Data Move On])</f>
        <v>#N/A</v>
      </c>
      <c r="EM183" s="44" t="b">
        <f>IF(Table1[Registered with GP2]="Yes",1,IF(Table1[Registered with GP2]="No",0,IF(Table1[Registered with GP]="Yes",1,IF(Table1[Registered with GP]="No",0))))</f>
        <v>0</v>
      </c>
      <c r="EN183" s="44">
        <f>SUM(Table1[Data Leavers Date]+Table1[Data GP End])</f>
        <v>0</v>
      </c>
      <c r="EO183" s="44" t="str">
        <f>IF(Table1[EET2]="NEET",1,IF(Table1[EET2]="Employment",2,IF(Table1[EET2]="Education",2,IF(Table1[EET2]="Training",2,IF(Table1[EET2]="Retired",3,IF(Table1[EET]="NEET",1,IF(Table1[EET]="Employment",2,IF(Table1[EET]="Education",2,IF(Table1[EET]="Training",2,IF(Table1[EET]="Retired",3,""))))))))))</f>
        <v/>
      </c>
      <c r="EP183" s="44" t="e">
        <f>+Table1[[#This Row],[Data Leavers Date]]+Table1[[#This Row],[Data EET End]]</f>
        <v>#VALUE!</v>
      </c>
      <c r="EQ183" s="44">
        <f>IF(Table1[Exit Form Received]="Yes",1,0)</f>
        <v>0</v>
      </c>
      <c r="ER183" s="44">
        <f>+Table1[[#This Row],[Data Leavers Date]]+Table1[[#This Row],[Data Exit Forms]]</f>
        <v>0</v>
      </c>
      <c r="ES183" s="44" t="str">
        <f>IF(Table1[Data Leavers Date]=1000,SUM(Table1[Leaving Date]-Table1[Start Date]),"")</f>
        <v/>
      </c>
      <c r="ET183" s="44" t="str">
        <f>IF(Table1[Data Leavers Date]=2000,SUM(Table1[Leaving Date]-Table1[Start Date]),"")</f>
        <v/>
      </c>
      <c r="EU183" s="44" t="str">
        <f>IF(Table1[Data Leavers Date]=3000,SUM(Table1[Leaving Date]-Table1[Start Date]),"")</f>
        <v/>
      </c>
      <c r="EV183" s="44" t="str">
        <f>IF(Table1[Data Leavers Date]=4000,SUM(Table1[Leaving Date]-Table1[Start Date]),"")</f>
        <v/>
      </c>
      <c r="EW183" s="44" t="str">
        <f>IF(Table1[Data Leavers Date]=5000,SUM(Table1[Leaving Date]-Table1[Start Date]),"")</f>
        <v/>
      </c>
      <c r="EX183" s="44" t="str">
        <f>IF(Table1[Data Leavers Date]=6000,SUM(Table1[Leaving Date]-Table1[Start Date]),"")</f>
        <v/>
      </c>
      <c r="EY183" s="44" t="str">
        <f>IF(Table1[Data Leavers Date]=7000,SUM(Table1[Leaving Date]-Table1[Start Date]),"")</f>
        <v/>
      </c>
      <c r="EZ183" s="44" t="str">
        <f>IF(Table1[Data Leavers Date]=8000,SUM(Table1[Leaving Date]-Table1[Start Date]),"")</f>
        <v/>
      </c>
      <c r="FA183" s="44" t="str">
        <f>IF(Table1[Date of Initial Assessment]="","",IF(AND(Table1[Start Date]&gt;42094,Table1[Start Date]&lt;42461),Table1[Motivation and Taking Responsibility],""))</f>
        <v/>
      </c>
      <c r="FB183" s="44" t="str">
        <f>IF(Table1[Date of Initial Assessment]="","",IF(AND(Table1[Start Date]&gt;42094,Table1[Start Date]&lt;42461),Table1[Self-Care and Living Skills],""))</f>
        <v/>
      </c>
      <c r="FC183" s="44" t="str">
        <f>IF(Table1[Date of Initial Assessment]="","",IF(AND(Table1[Start Date]&gt;42094,Table1[Start Date]&lt;42461),Table1[Managing Money and Personal Administration],""))</f>
        <v/>
      </c>
      <c r="FD183" s="44" t="str">
        <f>IF(Table1[Date of Initial Assessment]="","",IF(AND(Table1[Start Date]&gt;42094,Table1[Start Date]&lt;42461),Table1[Social Networks and Relationships],""))</f>
        <v/>
      </c>
      <c r="FE183" s="44" t="str">
        <f>IF(Table1[Date of Initial Assessment]="","",IF(AND(Table1[Start Date]&gt;42094,Table1[Start Date]&lt;42461),Table1[Drug and Alcohol Misuse],""))</f>
        <v/>
      </c>
      <c r="FF183" s="44" t="str">
        <f>IF(Table1[Date of Initial Assessment]="","",IF(AND(Table1[Start Date]&gt;42094,Table1[Start Date]&lt;42461),Table1[Physical Health],""))</f>
        <v/>
      </c>
      <c r="FG183" s="44" t="str">
        <f>IF(Table1[Date of Initial Assessment]="","",IF(AND(Table1[Start Date]&gt;42094,Table1[Start Date]&lt;42461),Table1[Emotional and Mental Health],""))</f>
        <v/>
      </c>
      <c r="FH183" s="44" t="str">
        <f>IF(Table1[Date of Initial Assessment]="","",IF(AND(Table1[Start Date]&gt;42094,Table1[Start Date]&lt;42461),Table1[Meaningful Use of Time],""))</f>
        <v/>
      </c>
      <c r="FI183" s="44" t="str">
        <f>IF(Table1[Date of Initial Assessment]="","",IF(AND(Table1[Start Date]&gt;42094,Table1[Start Date]&lt;42461),Table1[Managing Tenancy and Accommodation],""))</f>
        <v/>
      </c>
      <c r="FJ183" s="44" t="str">
        <f>IF(Table1[Date of Initial Assessment]="","",IF(AND(Table1[Start Date]&gt;42094,Table1[Start Date]&lt;42461),Table1[Offending],""))</f>
        <v/>
      </c>
      <c r="FK183" s="44" t="str">
        <f>IF(Table1[Leaving Date]="","",IF(Table1[Date of Initial Assessment]="","",IF(AND(Table1[Leaving Date]&gt;42094,Table1[Leaving Date]&lt;42461),IF(Table1[Date of Last Assessment]="",Table1[Motivation and Taking Responsibility],Table1[Motivation and Taking Responsibility2]),"")))</f>
        <v/>
      </c>
      <c r="FL183" s="44" t="str">
        <f>IF(Table1[Leaving Date]="","",IF(Table1[Date of Initial Assessment]="","",IF(AND(Table1[Leaving Date]&gt;42094,Table1[Leaving Date]&lt;42461),IF(Table1[Date of Last Assessment]="",Table1[Self-Care and Living Skills],Table1[Self-Care and Living Skills2]),"")))</f>
        <v/>
      </c>
      <c r="FM183" s="44" t="str">
        <f>IF(Table1[Leaving Date]="","",IF(Table1[Date of Initial Assessment]="","",IF(AND(Table1[Leaving Date]&gt;42094,Table1[Leaving Date]&lt;42461),IF(Table1[Date of Last Assessment]="",Table1[Managing Money and Personal Administration],Table1[Managing Money and Personal Administration2]),"")))</f>
        <v/>
      </c>
      <c r="FN183" s="44" t="str">
        <f>IF(Table1[Leaving Date]="","",IF(Table1[Date of Initial Assessment]="","",IF(AND(Table1[Leaving Date]&gt;42094,Table1[Leaving Date]&lt;42461),IF(Table1[Date of Last Assessment]="",Table1[Social Networks and Relationships],Table1[Social Networks and Relationships2]),"")))</f>
        <v/>
      </c>
      <c r="FO183" s="44" t="str">
        <f>IF(Table1[Leaving Date]="","",IF(Table1[Date of Initial Assessment]="","",IF(AND(Table1[Leaving Date]&gt;42094,Table1[Leaving Date]&lt;42461),IF(Table1[Date of Last Assessment]="",Table1[Drug and Alcohol Misuse],Table1[Drug and Alcohol Misuse2]),"")))</f>
        <v/>
      </c>
      <c r="FP183" s="44" t="str">
        <f>IF(Table1[Leaving Date]="","",IF(Table1[Date of Initial Assessment]="","",IF(AND(Table1[Leaving Date]&gt;42094,Table1[Leaving Date]&lt;42461),IF(Table1[Date of Last Assessment]="",Table1[Physical Health],Table1[Physical Health2]),"")))</f>
        <v/>
      </c>
      <c r="FQ183" s="44" t="str">
        <f>IF(Table1[Leaving Date]="","",IF(Table1[Date of Initial Assessment]="","",IF(AND(Table1[Leaving Date]&gt;42094,Table1[Leaving Date]&lt;42461),IF(Table1[Date of Last Assessment]="",Table1[Emotional and Mental Health],Table1[Emotional and Mental Health2]),"")))</f>
        <v/>
      </c>
      <c r="FR183" s="44" t="str">
        <f>IF(Table1[Leaving Date]="","",IF(Table1[Date of Initial Assessment]="","",IF(AND(Table1[Leaving Date]&gt;42094,Table1[Leaving Date]&lt;42461),IF(Table1[Date of Last Assessment]="",Table1[Meaningful Use of Time],Table1[Meaningful Use of Time2]),"")))</f>
        <v/>
      </c>
      <c r="FS183" s="44" t="str">
        <f>IF(Table1[Leaving Date]="","",IF(Table1[Date of Initial Assessment]="","",IF(AND(Table1[Leaving Date]&gt;42094,Table1[Leaving Date]&lt;42461),IF(Table1[Date of Last Assessment]="",Table1[Managing Tenancy and Accommodation],Table1[Managing Tenancy and Accommodation2]),"")))</f>
        <v/>
      </c>
      <c r="FT183" s="44" t="str">
        <f>IF(Table1[Leaving Date]="","",IF(Table1[Date of Initial Assessment]="","",IF(AND(Table1[Leaving Date]&gt;42094,Table1[Leaving Date]&lt;42461),IF(Table1[Date of Last Assessment]="",Table1[Offending],Table1[Offending2]),"")))</f>
        <v/>
      </c>
      <c r="FU183" s="44" t="str">
        <f>IF(Table1[Date of Initial Assessment]="","",IF(AND(Table1[Start Date]&gt;42460,Table1[Start Date]&lt;42826),Table1[Motivation and Taking Responsibility],""))</f>
        <v/>
      </c>
      <c r="FV183" s="44" t="str">
        <f>IF(Table1[Date of Initial Assessment]="","",IF(AND(Table1[Start Date]&gt;42460,Table1[Start Date]&lt;42826),Table1[Self-Care and Living Skills],""))</f>
        <v/>
      </c>
      <c r="FW183" s="44" t="str">
        <f>IF(Table1[Date of Initial Assessment]="","",IF(AND(Table1[Start Date]&gt;42460,Table1[Start Date]&lt;42826),Table1[Managing Money and Personal Administration],""))</f>
        <v/>
      </c>
      <c r="FX183" s="44" t="str">
        <f>IF(Table1[Date of Initial Assessment]="","",IF(AND(Table1[Start Date]&gt;42460,Table1[Start Date]&lt;42826),Table1[Social Networks and Relationships],""))</f>
        <v/>
      </c>
      <c r="FY183" s="44" t="str">
        <f>IF(Table1[Date of Initial Assessment]="","",IF(AND(Table1[Start Date]&gt;42460,Table1[Start Date]&lt;42826),Table1[Drug and Alcohol Misuse],""))</f>
        <v/>
      </c>
      <c r="FZ183" s="44" t="str">
        <f>IF(Table1[Date of Initial Assessment]="","",IF(AND(Table1[Start Date]&gt;42460,Table1[Start Date]&lt;42826),Table1[Physical Health],""))</f>
        <v/>
      </c>
      <c r="GA183" s="44" t="str">
        <f>IF(Table1[Date of Initial Assessment]="","",IF(AND(Table1[Start Date]&gt;42460,Table1[Start Date]&lt;42826),Table1[Emotional and Mental Health],""))</f>
        <v/>
      </c>
      <c r="GB183" s="44" t="str">
        <f>IF(Table1[Date of Initial Assessment]="","",IF(AND(Table1[Start Date]&gt;42460,Table1[Start Date]&lt;42826),Table1[Meaningful Use of Time],""))</f>
        <v/>
      </c>
      <c r="GC183" s="44" t="str">
        <f>IF(Table1[Date of Initial Assessment]="","",IF(AND(Table1[Start Date]&gt;42460,Table1[Start Date]&lt;42826),Table1[Managing Tenancy and Accommodation],""))</f>
        <v/>
      </c>
      <c r="GD183" s="44" t="str">
        <f>IF(Table1[Date of Initial Assessment]="","",IF(AND(Table1[Start Date]&gt;42460,Table1[Start Date]&lt;42826),Table1[Offending],""))</f>
        <v/>
      </c>
      <c r="GE183" s="44" t="str">
        <f>IF(Table1[Leaving Date]="","",IF(AND(Table1[Leaving Date]&gt;42460,Table1[Leaving Date]&lt;42826),IF(Table1[Date of Last Assessment]="",Table1[Motivation and Taking Responsibility],Table1[Motivation and Taking Responsibility2]),""))</f>
        <v/>
      </c>
      <c r="GF183" s="44" t="str">
        <f>IF(Table1[Leaving Date]="","",IF(AND(Table1[Leaving Date]&gt;42460,Table1[Leaving Date]&lt;42826),IF(Table1[Date of Last Assessment]="",Table1[Self-Care and Living Skills],Table1[Self-Care and Living Skills2]),""))</f>
        <v/>
      </c>
      <c r="GG183" s="44" t="str">
        <f>IF(Table1[Leaving Date]="","",IF(AND(Table1[Leaving Date]&gt;42460,Table1[Leaving Date]&lt;42826),IF(Table1[Date of Last Assessment]="",Table1[Managing Money and Personal Administration],Table1[Managing Money and Personal Administration2]),""))</f>
        <v/>
      </c>
      <c r="GH183" s="44" t="str">
        <f>IF(Table1[Leaving Date]="","",IF(AND(Table1[Leaving Date]&gt;42460,Table1[Leaving Date]&lt;42826),IF(Table1[Date of Last Assessment]="",Table1[Social Networks and Relationships],Table1[Social Networks and Relationships2]),""))</f>
        <v/>
      </c>
      <c r="GI183" s="44" t="str">
        <f>IF(Table1[Leaving Date]="","",IF(AND(Table1[Leaving Date]&gt;42460,Table1[Leaving Date]&lt;42826),IF(Table1[Date of Last Assessment]="",Table1[Drug and Alcohol Misuse],Table1[Drug and Alcohol Misuse2]),""))</f>
        <v/>
      </c>
      <c r="GJ183" s="44" t="str">
        <f>IF(Table1[Leaving Date]="","",IF(AND(Table1[Leaving Date]&gt;42460,Table1[Leaving Date]&lt;42826),IF(Table1[Date of Last Assessment]="",Table1[Physical Health],Table1[Physical Health2]),""))</f>
        <v/>
      </c>
      <c r="GK183" s="44" t="str">
        <f>IF(Table1[Leaving Date]="","",IF(AND(Table1[Leaving Date]&gt;42460,Table1[Leaving Date]&lt;42826),IF(Table1[Date of Last Assessment]="",Table1[Emotional and Mental Health],Table1[Emotional and Mental Health2]),""))</f>
        <v/>
      </c>
      <c r="GL183" s="44" t="str">
        <f>IF(Table1[Leaving Date]="","",IF(AND(Table1[Leaving Date]&gt;42460,Table1[Leaving Date]&lt;42826),IF(Table1[Date of Last Assessment]="",Table1[Meaningful Use of Time],Table1[Meaningful Use of Time2]),""))</f>
        <v/>
      </c>
      <c r="GM183" s="44" t="str">
        <f>IF(Table1[Leaving Date]="","",IF(AND(Table1[Leaving Date]&gt;42460,Table1[Leaving Date]&lt;42826),IF(Table1[Date of Last Assessment]="",Table1[Managing Tenancy and Accommodation],Table1[Managing Tenancy and Accommodation2]),""))</f>
        <v/>
      </c>
      <c r="GN183" s="44" t="str">
        <f>IF(Table1[Leaving Date]="","",IF(AND(Table1[Leaving Date]&gt;42460,Table1[Leaving Date]&lt;42826),IF(Table1[Date of Last Assessment]="",Table1[Offending],Table1[Offending2]),""))</f>
        <v/>
      </c>
    </row>
    <row r="184" spans="2:196" ht="20.100000000000001" customHeight="1" x14ac:dyDescent="0.2">
      <c r="B184" s="86">
        <f>+'Service Data'!$C$5:$C$5</f>
        <v>0</v>
      </c>
      <c r="C184" s="86"/>
      <c r="D184" s="86"/>
      <c r="E184" s="86"/>
      <c r="F184" s="86"/>
      <c r="G184" s="86"/>
      <c r="H184" s="6"/>
      <c r="I184" s="99" t="str">
        <f ca="1">IF(Table1[[#This Row],[Date of Birth]]="","",SUM(TODAY()-Table1[[#This Row],[Date of Birth]])/365)</f>
        <v/>
      </c>
      <c r="L184" s="86"/>
      <c r="M184" s="77"/>
      <c r="N184" s="86"/>
      <c r="O184" s="86"/>
      <c r="P184" s="91"/>
      <c r="Q184" s="86"/>
      <c r="R184" s="77"/>
      <c r="S184" s="77"/>
      <c r="T184" s="68"/>
      <c r="U184" s="68"/>
      <c r="V184" s="67"/>
      <c r="W184" s="67"/>
      <c r="X184" s="67"/>
      <c r="Y184" s="67"/>
      <c r="Z184" s="67"/>
      <c r="AA184" s="67"/>
      <c r="AB184" s="67"/>
      <c r="AC184" s="67"/>
      <c r="AD184" s="67"/>
      <c r="AE184" s="67"/>
      <c r="AF184" s="67"/>
      <c r="AG184" s="67"/>
      <c r="AH184" s="67"/>
      <c r="AI184" s="67"/>
      <c r="AJ184" s="67"/>
      <c r="AK184" s="67"/>
      <c r="AL184" s="67"/>
      <c r="AM184" s="67"/>
      <c r="AN184" s="77"/>
      <c r="AO184" s="76"/>
      <c r="AP184" s="77"/>
      <c r="AQ184" s="76"/>
      <c r="AR184" s="76"/>
      <c r="AS184" s="76"/>
      <c r="AT184" s="76"/>
      <c r="AU184" s="76"/>
      <c r="AV184" s="77"/>
      <c r="AW184" s="76"/>
      <c r="AX184" s="77"/>
      <c r="AY184" s="76"/>
      <c r="AZ184" s="76"/>
      <c r="BA184" s="76"/>
      <c r="BB184" s="76"/>
      <c r="BC184" s="76"/>
      <c r="BD184" s="77"/>
      <c r="BE184" s="76"/>
      <c r="BF184" s="77"/>
      <c r="BG184" s="76"/>
      <c r="BH184" s="76"/>
      <c r="BI184" s="76"/>
      <c r="BJ184" s="76"/>
      <c r="BK184" s="76"/>
      <c r="BL184" s="77"/>
      <c r="BM184" s="76"/>
      <c r="BN184" s="77"/>
      <c r="BO184" s="76"/>
      <c r="BP184" s="76"/>
      <c r="BQ184" s="76"/>
      <c r="BR184" s="76"/>
      <c r="BS184" s="76"/>
      <c r="BT184" s="77"/>
      <c r="BU184" s="76"/>
      <c r="BV184" s="77"/>
      <c r="BW184" s="76"/>
      <c r="BX184" s="76"/>
      <c r="BY184" s="76"/>
      <c r="BZ184" s="76"/>
      <c r="CA184" s="76"/>
      <c r="CB184" s="77"/>
      <c r="CC184" s="76"/>
      <c r="CD184" s="77"/>
      <c r="CE184" s="76"/>
      <c r="CF184" s="76"/>
      <c r="CG184" s="76"/>
      <c r="CH184" s="76"/>
      <c r="CI184" s="76"/>
      <c r="CJ184" s="77"/>
      <c r="CK184" s="76"/>
      <c r="CL184" s="77"/>
      <c r="CM184" s="76"/>
      <c r="CN184" s="76"/>
      <c r="CO184" s="76"/>
      <c r="CP184" s="76"/>
      <c r="CQ184" s="76"/>
      <c r="CR184" s="78" t="str">
        <f t="shared" si="47"/>
        <v/>
      </c>
      <c r="CS184" s="79" t="str">
        <f t="shared" si="48"/>
        <v/>
      </c>
      <c r="CT184" s="79" t="str">
        <f t="shared" si="49"/>
        <v/>
      </c>
      <c r="CU184" s="79" t="str">
        <f t="shared" si="50"/>
        <v/>
      </c>
      <c r="CV184" s="79" t="str">
        <f t="shared" si="51"/>
        <v/>
      </c>
      <c r="CW184" s="79" t="str">
        <f t="shared" si="52"/>
        <v/>
      </c>
      <c r="CX184" s="79" t="str">
        <f t="shared" si="53"/>
        <v/>
      </c>
      <c r="CY184" s="79" t="str">
        <f t="shared" si="54"/>
        <v/>
      </c>
      <c r="CZ184" s="79" t="str">
        <f t="shared" si="55"/>
        <v/>
      </c>
      <c r="DA184" s="79" t="str">
        <f t="shared" si="56"/>
        <v/>
      </c>
      <c r="DB184" s="79" t="str">
        <f t="shared" si="57"/>
        <v/>
      </c>
      <c r="DC184" s="79" t="str">
        <f t="shared" si="58"/>
        <v/>
      </c>
      <c r="DD184" s="79" t="str">
        <f t="shared" si="59"/>
        <v/>
      </c>
      <c r="DE184" s="79" t="str">
        <f t="shared" si="60"/>
        <v/>
      </c>
      <c r="DF184" s="79" t="str">
        <f t="shared" si="61"/>
        <v/>
      </c>
      <c r="DG184" s="79" t="str">
        <f t="shared" si="62"/>
        <v/>
      </c>
      <c r="DH184" s="76"/>
      <c r="DI184" s="78"/>
      <c r="DJ184" s="76"/>
      <c r="DK184" s="77"/>
      <c r="DL184" s="77"/>
      <c r="DM184" s="77"/>
      <c r="DN184" s="80"/>
      <c r="DO184" s="80"/>
      <c r="DP184" s="92" t="str">
        <f>IF(Table1[Start Date]="","",IF(Table1[Start Date]&gt;42185,"",IF(AND(Table1[Leaving Date]&gt;1,Table1[Leaving Date]&lt;42095),"",1)))</f>
        <v/>
      </c>
      <c r="DQ184" s="92" t="str">
        <f>IF(Table1[Start Date]="","",IF(Table1[Start Date]&gt;42277,"",IF(AND(Table1[Leaving Date]&gt;1,Table1[Leaving Date]&lt;42186),"",1)))</f>
        <v/>
      </c>
      <c r="DR184" s="92" t="str">
        <f>IF(Table1[Start Date]="","",IF(Table1[Start Date]&gt;42369,"",IF(AND(Table1[Leaving Date]&gt;1,Table1[Leaving Date]&lt;42278),"",1)))</f>
        <v/>
      </c>
      <c r="DS184" s="92" t="str">
        <f>IF(Table1[Start Date]="","",IF(Table1[Start Date]&gt;42460,"",IF(AND(Table1[Leaving Date]&gt;1,Table1[Leaving Date]&lt;42370),"",1)))</f>
        <v/>
      </c>
      <c r="DT184" s="92" t="str">
        <f>IF(Table1[Start Date]="","",IF(Table1[Start Date]&gt;42551,"",IF(AND(Table1[Leaving Date]&gt;1,Table1[Leaving Date]&lt;42461),"",1)))</f>
        <v/>
      </c>
      <c r="DU184" s="92" t="str">
        <f>IF(Table1[Start Date]="","",IF(Table1[Start Date]&gt;42643,"",IF(AND(Table1[Leaving Date]&gt;1,Table1[Leaving Date]&lt;42552),"",1)))</f>
        <v/>
      </c>
      <c r="DV184" s="92" t="str">
        <f>IF(Table1[Start Date]="","",IF(Table1[Start Date]&gt;42735,"",IF(AND(Table1[Leaving Date]&gt;1,Table1[Leaving Date]&lt;42644),"",1)))</f>
        <v/>
      </c>
      <c r="DW184" s="92" t="str">
        <f>IF(Table1[Start Date]="","",IF(Table1[Start Date]&gt;42825,"",IF(AND(Table1[Leaving Date]&gt;1,Table1[Leaving Date]&lt;42736),"",1)))</f>
        <v/>
      </c>
      <c r="DX184"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184" s="44" t="e">
        <f>VLOOKUP(Table1[Referral Source],Lists!$G$2:$H$20,2,FALSE)</f>
        <v>#N/A</v>
      </c>
      <c r="DZ184" s="93" t="e">
        <f>SUM(Table1[Data Referral Quarter]+Table1[Data Referral Source])</f>
        <v>#N/A</v>
      </c>
      <c r="EA184" s="44" t="b">
        <f>IF(Table1[Referral Decision]="Accepted",100,IF(Table1[Referral Decision]="Rejected by Provider",200,IF(Table1[Referral Decision]="Rejected by Applicant",300)))</f>
        <v>0</v>
      </c>
      <c r="EB184" s="44">
        <f>SUM(Table1[Data Referral Quarter]+Table1[Data Referral Decision])</f>
        <v>0</v>
      </c>
      <c r="EC184" s="44" t="b">
        <f>IF(Table1[Start Date]&gt;42735,8000,IF(Table1[Start Date]&gt;42643,7000,IF(Table1[Start Date]&gt;42551,6000,IF(Table1[Start Date]&gt;42460,5000,IF(Table1[Start Date]&gt;42369,4000,IF(Table1[Start Date]&gt;42277,3000,IF(Table1[Start Date]&gt;42185,2000,IF(Table1[Start Date]&gt;42094,1000))))))))</f>
        <v>0</v>
      </c>
      <c r="ED184" s="44" t="str">
        <f>IF(Table1[Start Date]="","",IF(Table1[Current Local Authority]="Swindon",1,"2"))</f>
        <v/>
      </c>
      <c r="EE184" s="44" t="e">
        <f>SUM(Table1[Data Start Date]+Table1[Data Local Authority])</f>
        <v>#VALUE!</v>
      </c>
      <c r="EF184" s="44">
        <f>IF(Table1[Registered with GP]="Yes",1,0)</f>
        <v>0</v>
      </c>
      <c r="EG184" s="44">
        <f>SUM(Table1[Data Start Date]+Table1[Data GP Start])</f>
        <v>0</v>
      </c>
      <c r="EH184" s="44" t="str">
        <f>IF(Table1[EET]="NEET",1,IF(Table1[EET]="Education",2,IF(Table1[EET]="Employment",2,IF(Table1[EET]="Training",2,IF(Table1[EET]="Retired",3,"")))))</f>
        <v/>
      </c>
      <c r="EI184" s="44" t="e">
        <f>Table1[Data Start Date]+Table1[Data EET Start]</f>
        <v>#VALUE!</v>
      </c>
      <c r="EJ184" s="44" t="b">
        <f>IF(Table1[Leaving Date]&gt;42735,8000,IF(Table1[Leaving Date]&gt;42643,7000,IF(Table1[Leaving Date]&gt;42551,6000,IF(Table1[Leaving Date]&gt;42460,5000,IF(Table1[Leaving Date]&gt;42369,4000,IF(Table1[Leaving Date]&gt;42277,3000,IF(Table1[Leaving Date]&gt;42185,2000,IF(Table1[Leaving Date]&gt;42094,1000))))))))</f>
        <v>0</v>
      </c>
      <c r="EK184" s="44" t="e">
        <f>VLOOKUP(Table1[Reason for Leaving],Lists!$T$2:$U$15,2,FALSE)</f>
        <v>#N/A</v>
      </c>
      <c r="EL184" s="44" t="e">
        <f>SUM(Table1[Data Leavers Date]+Table1[Data Move On])</f>
        <v>#N/A</v>
      </c>
      <c r="EM184" s="44" t="b">
        <f>IF(Table1[Registered with GP2]="Yes",1,IF(Table1[Registered with GP2]="No",0,IF(Table1[Registered with GP]="Yes",1,IF(Table1[Registered with GP]="No",0))))</f>
        <v>0</v>
      </c>
      <c r="EN184" s="44">
        <f>SUM(Table1[Data Leavers Date]+Table1[Data GP End])</f>
        <v>0</v>
      </c>
      <c r="EO184" s="44" t="str">
        <f>IF(Table1[EET2]="NEET",1,IF(Table1[EET2]="Employment",2,IF(Table1[EET2]="Education",2,IF(Table1[EET2]="Training",2,IF(Table1[EET2]="Retired",3,IF(Table1[EET]="NEET",1,IF(Table1[EET]="Employment",2,IF(Table1[EET]="Education",2,IF(Table1[EET]="Training",2,IF(Table1[EET]="Retired",3,""))))))))))</f>
        <v/>
      </c>
      <c r="EP184" s="44" t="e">
        <f>+Table1[[#This Row],[Data Leavers Date]]+Table1[[#This Row],[Data EET End]]</f>
        <v>#VALUE!</v>
      </c>
      <c r="EQ184" s="44">
        <f>IF(Table1[Exit Form Received]="Yes",1,0)</f>
        <v>0</v>
      </c>
      <c r="ER184" s="44">
        <f>+Table1[[#This Row],[Data Leavers Date]]+Table1[[#This Row],[Data Exit Forms]]</f>
        <v>0</v>
      </c>
      <c r="ES184" s="44" t="str">
        <f>IF(Table1[Data Leavers Date]=1000,SUM(Table1[Leaving Date]-Table1[Start Date]),"")</f>
        <v/>
      </c>
      <c r="ET184" s="44" t="str">
        <f>IF(Table1[Data Leavers Date]=2000,SUM(Table1[Leaving Date]-Table1[Start Date]),"")</f>
        <v/>
      </c>
      <c r="EU184" s="44" t="str">
        <f>IF(Table1[Data Leavers Date]=3000,SUM(Table1[Leaving Date]-Table1[Start Date]),"")</f>
        <v/>
      </c>
      <c r="EV184" s="44" t="str">
        <f>IF(Table1[Data Leavers Date]=4000,SUM(Table1[Leaving Date]-Table1[Start Date]),"")</f>
        <v/>
      </c>
      <c r="EW184" s="44" t="str">
        <f>IF(Table1[Data Leavers Date]=5000,SUM(Table1[Leaving Date]-Table1[Start Date]),"")</f>
        <v/>
      </c>
      <c r="EX184" s="44" t="str">
        <f>IF(Table1[Data Leavers Date]=6000,SUM(Table1[Leaving Date]-Table1[Start Date]),"")</f>
        <v/>
      </c>
      <c r="EY184" s="44" t="str">
        <f>IF(Table1[Data Leavers Date]=7000,SUM(Table1[Leaving Date]-Table1[Start Date]),"")</f>
        <v/>
      </c>
      <c r="EZ184" s="44" t="str">
        <f>IF(Table1[Data Leavers Date]=8000,SUM(Table1[Leaving Date]-Table1[Start Date]),"")</f>
        <v/>
      </c>
      <c r="FA184" s="44" t="str">
        <f>IF(Table1[Date of Initial Assessment]="","",IF(AND(Table1[Start Date]&gt;42094,Table1[Start Date]&lt;42461),Table1[Motivation and Taking Responsibility],""))</f>
        <v/>
      </c>
      <c r="FB184" s="44" t="str">
        <f>IF(Table1[Date of Initial Assessment]="","",IF(AND(Table1[Start Date]&gt;42094,Table1[Start Date]&lt;42461),Table1[Self-Care and Living Skills],""))</f>
        <v/>
      </c>
      <c r="FC184" s="44" t="str">
        <f>IF(Table1[Date of Initial Assessment]="","",IF(AND(Table1[Start Date]&gt;42094,Table1[Start Date]&lt;42461),Table1[Managing Money and Personal Administration],""))</f>
        <v/>
      </c>
      <c r="FD184" s="44" t="str">
        <f>IF(Table1[Date of Initial Assessment]="","",IF(AND(Table1[Start Date]&gt;42094,Table1[Start Date]&lt;42461),Table1[Social Networks and Relationships],""))</f>
        <v/>
      </c>
      <c r="FE184" s="44" t="str">
        <f>IF(Table1[Date of Initial Assessment]="","",IF(AND(Table1[Start Date]&gt;42094,Table1[Start Date]&lt;42461),Table1[Drug and Alcohol Misuse],""))</f>
        <v/>
      </c>
      <c r="FF184" s="44" t="str">
        <f>IF(Table1[Date of Initial Assessment]="","",IF(AND(Table1[Start Date]&gt;42094,Table1[Start Date]&lt;42461),Table1[Physical Health],""))</f>
        <v/>
      </c>
      <c r="FG184" s="44" t="str">
        <f>IF(Table1[Date of Initial Assessment]="","",IF(AND(Table1[Start Date]&gt;42094,Table1[Start Date]&lt;42461),Table1[Emotional and Mental Health],""))</f>
        <v/>
      </c>
      <c r="FH184" s="44" t="str">
        <f>IF(Table1[Date of Initial Assessment]="","",IF(AND(Table1[Start Date]&gt;42094,Table1[Start Date]&lt;42461),Table1[Meaningful Use of Time],""))</f>
        <v/>
      </c>
      <c r="FI184" s="44" t="str">
        <f>IF(Table1[Date of Initial Assessment]="","",IF(AND(Table1[Start Date]&gt;42094,Table1[Start Date]&lt;42461),Table1[Managing Tenancy and Accommodation],""))</f>
        <v/>
      </c>
      <c r="FJ184" s="44" t="str">
        <f>IF(Table1[Date of Initial Assessment]="","",IF(AND(Table1[Start Date]&gt;42094,Table1[Start Date]&lt;42461),Table1[Offending],""))</f>
        <v/>
      </c>
      <c r="FK184" s="44" t="str">
        <f>IF(Table1[Leaving Date]="","",IF(Table1[Date of Initial Assessment]="","",IF(AND(Table1[Leaving Date]&gt;42094,Table1[Leaving Date]&lt;42461),IF(Table1[Date of Last Assessment]="",Table1[Motivation and Taking Responsibility],Table1[Motivation and Taking Responsibility2]),"")))</f>
        <v/>
      </c>
      <c r="FL184" s="44" t="str">
        <f>IF(Table1[Leaving Date]="","",IF(Table1[Date of Initial Assessment]="","",IF(AND(Table1[Leaving Date]&gt;42094,Table1[Leaving Date]&lt;42461),IF(Table1[Date of Last Assessment]="",Table1[Self-Care and Living Skills],Table1[Self-Care and Living Skills2]),"")))</f>
        <v/>
      </c>
      <c r="FM184" s="44" t="str">
        <f>IF(Table1[Leaving Date]="","",IF(Table1[Date of Initial Assessment]="","",IF(AND(Table1[Leaving Date]&gt;42094,Table1[Leaving Date]&lt;42461),IF(Table1[Date of Last Assessment]="",Table1[Managing Money and Personal Administration],Table1[Managing Money and Personal Administration2]),"")))</f>
        <v/>
      </c>
      <c r="FN184" s="44" t="str">
        <f>IF(Table1[Leaving Date]="","",IF(Table1[Date of Initial Assessment]="","",IF(AND(Table1[Leaving Date]&gt;42094,Table1[Leaving Date]&lt;42461),IF(Table1[Date of Last Assessment]="",Table1[Social Networks and Relationships],Table1[Social Networks and Relationships2]),"")))</f>
        <v/>
      </c>
      <c r="FO184" s="44" t="str">
        <f>IF(Table1[Leaving Date]="","",IF(Table1[Date of Initial Assessment]="","",IF(AND(Table1[Leaving Date]&gt;42094,Table1[Leaving Date]&lt;42461),IF(Table1[Date of Last Assessment]="",Table1[Drug and Alcohol Misuse],Table1[Drug and Alcohol Misuse2]),"")))</f>
        <v/>
      </c>
      <c r="FP184" s="44" t="str">
        <f>IF(Table1[Leaving Date]="","",IF(Table1[Date of Initial Assessment]="","",IF(AND(Table1[Leaving Date]&gt;42094,Table1[Leaving Date]&lt;42461),IF(Table1[Date of Last Assessment]="",Table1[Physical Health],Table1[Physical Health2]),"")))</f>
        <v/>
      </c>
      <c r="FQ184" s="44" t="str">
        <f>IF(Table1[Leaving Date]="","",IF(Table1[Date of Initial Assessment]="","",IF(AND(Table1[Leaving Date]&gt;42094,Table1[Leaving Date]&lt;42461),IF(Table1[Date of Last Assessment]="",Table1[Emotional and Mental Health],Table1[Emotional and Mental Health2]),"")))</f>
        <v/>
      </c>
      <c r="FR184" s="44" t="str">
        <f>IF(Table1[Leaving Date]="","",IF(Table1[Date of Initial Assessment]="","",IF(AND(Table1[Leaving Date]&gt;42094,Table1[Leaving Date]&lt;42461),IF(Table1[Date of Last Assessment]="",Table1[Meaningful Use of Time],Table1[Meaningful Use of Time2]),"")))</f>
        <v/>
      </c>
      <c r="FS184" s="44" t="str">
        <f>IF(Table1[Leaving Date]="","",IF(Table1[Date of Initial Assessment]="","",IF(AND(Table1[Leaving Date]&gt;42094,Table1[Leaving Date]&lt;42461),IF(Table1[Date of Last Assessment]="",Table1[Managing Tenancy and Accommodation],Table1[Managing Tenancy and Accommodation2]),"")))</f>
        <v/>
      </c>
      <c r="FT184" s="44" t="str">
        <f>IF(Table1[Leaving Date]="","",IF(Table1[Date of Initial Assessment]="","",IF(AND(Table1[Leaving Date]&gt;42094,Table1[Leaving Date]&lt;42461),IF(Table1[Date of Last Assessment]="",Table1[Offending],Table1[Offending2]),"")))</f>
        <v/>
      </c>
      <c r="FU184" s="44" t="str">
        <f>IF(Table1[Date of Initial Assessment]="","",IF(AND(Table1[Start Date]&gt;42460,Table1[Start Date]&lt;42826),Table1[Motivation and Taking Responsibility],""))</f>
        <v/>
      </c>
      <c r="FV184" s="44" t="str">
        <f>IF(Table1[Date of Initial Assessment]="","",IF(AND(Table1[Start Date]&gt;42460,Table1[Start Date]&lt;42826),Table1[Self-Care and Living Skills],""))</f>
        <v/>
      </c>
      <c r="FW184" s="44" t="str">
        <f>IF(Table1[Date of Initial Assessment]="","",IF(AND(Table1[Start Date]&gt;42460,Table1[Start Date]&lt;42826),Table1[Managing Money and Personal Administration],""))</f>
        <v/>
      </c>
      <c r="FX184" s="44" t="str">
        <f>IF(Table1[Date of Initial Assessment]="","",IF(AND(Table1[Start Date]&gt;42460,Table1[Start Date]&lt;42826),Table1[Social Networks and Relationships],""))</f>
        <v/>
      </c>
      <c r="FY184" s="44" t="str">
        <f>IF(Table1[Date of Initial Assessment]="","",IF(AND(Table1[Start Date]&gt;42460,Table1[Start Date]&lt;42826),Table1[Drug and Alcohol Misuse],""))</f>
        <v/>
      </c>
      <c r="FZ184" s="44" t="str">
        <f>IF(Table1[Date of Initial Assessment]="","",IF(AND(Table1[Start Date]&gt;42460,Table1[Start Date]&lt;42826),Table1[Physical Health],""))</f>
        <v/>
      </c>
      <c r="GA184" s="44" t="str">
        <f>IF(Table1[Date of Initial Assessment]="","",IF(AND(Table1[Start Date]&gt;42460,Table1[Start Date]&lt;42826),Table1[Emotional and Mental Health],""))</f>
        <v/>
      </c>
      <c r="GB184" s="44" t="str">
        <f>IF(Table1[Date of Initial Assessment]="","",IF(AND(Table1[Start Date]&gt;42460,Table1[Start Date]&lt;42826),Table1[Meaningful Use of Time],""))</f>
        <v/>
      </c>
      <c r="GC184" s="44" t="str">
        <f>IF(Table1[Date of Initial Assessment]="","",IF(AND(Table1[Start Date]&gt;42460,Table1[Start Date]&lt;42826),Table1[Managing Tenancy and Accommodation],""))</f>
        <v/>
      </c>
      <c r="GD184" s="44" t="str">
        <f>IF(Table1[Date of Initial Assessment]="","",IF(AND(Table1[Start Date]&gt;42460,Table1[Start Date]&lt;42826),Table1[Offending],""))</f>
        <v/>
      </c>
      <c r="GE184" s="44" t="str">
        <f>IF(Table1[Leaving Date]="","",IF(AND(Table1[Leaving Date]&gt;42460,Table1[Leaving Date]&lt;42826),IF(Table1[Date of Last Assessment]="",Table1[Motivation and Taking Responsibility],Table1[Motivation and Taking Responsibility2]),""))</f>
        <v/>
      </c>
      <c r="GF184" s="44" t="str">
        <f>IF(Table1[Leaving Date]="","",IF(AND(Table1[Leaving Date]&gt;42460,Table1[Leaving Date]&lt;42826),IF(Table1[Date of Last Assessment]="",Table1[Self-Care and Living Skills],Table1[Self-Care and Living Skills2]),""))</f>
        <v/>
      </c>
      <c r="GG184" s="44" t="str">
        <f>IF(Table1[Leaving Date]="","",IF(AND(Table1[Leaving Date]&gt;42460,Table1[Leaving Date]&lt;42826),IF(Table1[Date of Last Assessment]="",Table1[Managing Money and Personal Administration],Table1[Managing Money and Personal Administration2]),""))</f>
        <v/>
      </c>
      <c r="GH184" s="44" t="str">
        <f>IF(Table1[Leaving Date]="","",IF(AND(Table1[Leaving Date]&gt;42460,Table1[Leaving Date]&lt;42826),IF(Table1[Date of Last Assessment]="",Table1[Social Networks and Relationships],Table1[Social Networks and Relationships2]),""))</f>
        <v/>
      </c>
      <c r="GI184" s="44" t="str">
        <f>IF(Table1[Leaving Date]="","",IF(AND(Table1[Leaving Date]&gt;42460,Table1[Leaving Date]&lt;42826),IF(Table1[Date of Last Assessment]="",Table1[Drug and Alcohol Misuse],Table1[Drug and Alcohol Misuse2]),""))</f>
        <v/>
      </c>
      <c r="GJ184" s="44" t="str">
        <f>IF(Table1[Leaving Date]="","",IF(AND(Table1[Leaving Date]&gt;42460,Table1[Leaving Date]&lt;42826),IF(Table1[Date of Last Assessment]="",Table1[Physical Health],Table1[Physical Health2]),""))</f>
        <v/>
      </c>
      <c r="GK184" s="44" t="str">
        <f>IF(Table1[Leaving Date]="","",IF(AND(Table1[Leaving Date]&gt;42460,Table1[Leaving Date]&lt;42826),IF(Table1[Date of Last Assessment]="",Table1[Emotional and Mental Health],Table1[Emotional and Mental Health2]),""))</f>
        <v/>
      </c>
      <c r="GL184" s="44" t="str">
        <f>IF(Table1[Leaving Date]="","",IF(AND(Table1[Leaving Date]&gt;42460,Table1[Leaving Date]&lt;42826),IF(Table1[Date of Last Assessment]="",Table1[Meaningful Use of Time],Table1[Meaningful Use of Time2]),""))</f>
        <v/>
      </c>
      <c r="GM184" s="44" t="str">
        <f>IF(Table1[Leaving Date]="","",IF(AND(Table1[Leaving Date]&gt;42460,Table1[Leaving Date]&lt;42826),IF(Table1[Date of Last Assessment]="",Table1[Managing Tenancy and Accommodation],Table1[Managing Tenancy and Accommodation2]),""))</f>
        <v/>
      </c>
      <c r="GN184" s="44" t="str">
        <f>IF(Table1[Leaving Date]="","",IF(AND(Table1[Leaving Date]&gt;42460,Table1[Leaving Date]&lt;42826),IF(Table1[Date of Last Assessment]="",Table1[Offending],Table1[Offending2]),""))</f>
        <v/>
      </c>
    </row>
    <row r="185" spans="2:196" ht="20.100000000000001" customHeight="1" x14ac:dyDescent="0.2">
      <c r="B185" s="86">
        <f>+'Service Data'!$C$5:$C$5</f>
        <v>0</v>
      </c>
      <c r="C185" s="86"/>
      <c r="D185" s="86"/>
      <c r="E185" s="86"/>
      <c r="F185" s="86"/>
      <c r="G185" s="86"/>
      <c r="H185" s="6"/>
      <c r="I185" s="99" t="str">
        <f ca="1">IF(Table1[[#This Row],[Date of Birth]]="","",SUM(TODAY()-Table1[[#This Row],[Date of Birth]])/365)</f>
        <v/>
      </c>
      <c r="L185" s="86"/>
      <c r="M185" s="77"/>
      <c r="N185" s="86"/>
      <c r="O185" s="86"/>
      <c r="P185" s="91"/>
      <c r="Q185" s="86"/>
      <c r="R185" s="77"/>
      <c r="S185" s="77"/>
      <c r="T185" s="68"/>
      <c r="U185" s="68"/>
      <c r="V185" s="67"/>
      <c r="W185" s="67"/>
      <c r="X185" s="67"/>
      <c r="Y185" s="67"/>
      <c r="Z185" s="67"/>
      <c r="AA185" s="67"/>
      <c r="AB185" s="67"/>
      <c r="AC185" s="67"/>
      <c r="AD185" s="67"/>
      <c r="AE185" s="67"/>
      <c r="AF185" s="67"/>
      <c r="AG185" s="67"/>
      <c r="AH185" s="67"/>
      <c r="AI185" s="67"/>
      <c r="AJ185" s="67"/>
      <c r="AK185" s="67"/>
      <c r="AL185" s="67"/>
      <c r="AM185" s="67"/>
      <c r="AN185" s="77"/>
      <c r="AO185" s="76"/>
      <c r="AP185" s="77"/>
      <c r="AQ185" s="76"/>
      <c r="AR185" s="76"/>
      <c r="AS185" s="76"/>
      <c r="AT185" s="76"/>
      <c r="AU185" s="76"/>
      <c r="AV185" s="77"/>
      <c r="AW185" s="76"/>
      <c r="AX185" s="77"/>
      <c r="AY185" s="76"/>
      <c r="AZ185" s="76"/>
      <c r="BA185" s="76"/>
      <c r="BB185" s="76"/>
      <c r="BC185" s="76"/>
      <c r="BD185" s="77"/>
      <c r="BE185" s="76"/>
      <c r="BF185" s="77"/>
      <c r="BG185" s="76"/>
      <c r="BH185" s="76"/>
      <c r="BI185" s="76"/>
      <c r="BJ185" s="76"/>
      <c r="BK185" s="76"/>
      <c r="BL185" s="77"/>
      <c r="BM185" s="76"/>
      <c r="BN185" s="77"/>
      <c r="BO185" s="76"/>
      <c r="BP185" s="76"/>
      <c r="BQ185" s="76"/>
      <c r="BR185" s="76"/>
      <c r="BS185" s="76"/>
      <c r="BT185" s="77"/>
      <c r="BU185" s="76"/>
      <c r="BV185" s="77"/>
      <c r="BW185" s="76"/>
      <c r="BX185" s="76"/>
      <c r="BY185" s="76"/>
      <c r="BZ185" s="76"/>
      <c r="CA185" s="76"/>
      <c r="CB185" s="77"/>
      <c r="CC185" s="76"/>
      <c r="CD185" s="77"/>
      <c r="CE185" s="76"/>
      <c r="CF185" s="76"/>
      <c r="CG185" s="76"/>
      <c r="CH185" s="76"/>
      <c r="CI185" s="76"/>
      <c r="CJ185" s="77"/>
      <c r="CK185" s="76"/>
      <c r="CL185" s="77"/>
      <c r="CM185" s="76"/>
      <c r="CN185" s="76"/>
      <c r="CO185" s="76"/>
      <c r="CP185" s="76"/>
      <c r="CQ185" s="76"/>
      <c r="CR185" s="78" t="str">
        <f t="shared" si="47"/>
        <v/>
      </c>
      <c r="CS185" s="79" t="str">
        <f t="shared" si="48"/>
        <v/>
      </c>
      <c r="CT185" s="79" t="str">
        <f t="shared" si="49"/>
        <v/>
      </c>
      <c r="CU185" s="79" t="str">
        <f t="shared" si="50"/>
        <v/>
      </c>
      <c r="CV185" s="79" t="str">
        <f t="shared" si="51"/>
        <v/>
      </c>
      <c r="CW185" s="79" t="str">
        <f t="shared" si="52"/>
        <v/>
      </c>
      <c r="CX185" s="79" t="str">
        <f t="shared" si="53"/>
        <v/>
      </c>
      <c r="CY185" s="79" t="str">
        <f t="shared" si="54"/>
        <v/>
      </c>
      <c r="CZ185" s="79" t="str">
        <f t="shared" si="55"/>
        <v/>
      </c>
      <c r="DA185" s="79" t="str">
        <f t="shared" si="56"/>
        <v/>
      </c>
      <c r="DB185" s="79" t="str">
        <f t="shared" si="57"/>
        <v/>
      </c>
      <c r="DC185" s="79" t="str">
        <f t="shared" si="58"/>
        <v/>
      </c>
      <c r="DD185" s="79" t="str">
        <f t="shared" si="59"/>
        <v/>
      </c>
      <c r="DE185" s="79" t="str">
        <f t="shared" si="60"/>
        <v/>
      </c>
      <c r="DF185" s="79" t="str">
        <f t="shared" si="61"/>
        <v/>
      </c>
      <c r="DG185" s="79" t="str">
        <f t="shared" si="62"/>
        <v/>
      </c>
      <c r="DH185" s="76"/>
      <c r="DI185" s="78"/>
      <c r="DJ185" s="76"/>
      <c r="DK185" s="77"/>
      <c r="DL185" s="77"/>
      <c r="DM185" s="77"/>
      <c r="DN185" s="80"/>
      <c r="DO185" s="80"/>
      <c r="DP185" s="92" t="str">
        <f>IF(Table1[Start Date]="","",IF(Table1[Start Date]&gt;42185,"",IF(AND(Table1[Leaving Date]&gt;1,Table1[Leaving Date]&lt;42095),"",1)))</f>
        <v/>
      </c>
      <c r="DQ185" s="92" t="str">
        <f>IF(Table1[Start Date]="","",IF(Table1[Start Date]&gt;42277,"",IF(AND(Table1[Leaving Date]&gt;1,Table1[Leaving Date]&lt;42186),"",1)))</f>
        <v/>
      </c>
      <c r="DR185" s="92" t="str">
        <f>IF(Table1[Start Date]="","",IF(Table1[Start Date]&gt;42369,"",IF(AND(Table1[Leaving Date]&gt;1,Table1[Leaving Date]&lt;42278),"",1)))</f>
        <v/>
      </c>
      <c r="DS185" s="92" t="str">
        <f>IF(Table1[Start Date]="","",IF(Table1[Start Date]&gt;42460,"",IF(AND(Table1[Leaving Date]&gt;1,Table1[Leaving Date]&lt;42370),"",1)))</f>
        <v/>
      </c>
      <c r="DT185" s="92" t="str">
        <f>IF(Table1[Start Date]="","",IF(Table1[Start Date]&gt;42551,"",IF(AND(Table1[Leaving Date]&gt;1,Table1[Leaving Date]&lt;42461),"",1)))</f>
        <v/>
      </c>
      <c r="DU185" s="92" t="str">
        <f>IF(Table1[Start Date]="","",IF(Table1[Start Date]&gt;42643,"",IF(AND(Table1[Leaving Date]&gt;1,Table1[Leaving Date]&lt;42552),"",1)))</f>
        <v/>
      </c>
      <c r="DV185" s="92" t="str">
        <f>IF(Table1[Start Date]="","",IF(Table1[Start Date]&gt;42735,"",IF(AND(Table1[Leaving Date]&gt;1,Table1[Leaving Date]&lt;42644),"",1)))</f>
        <v/>
      </c>
      <c r="DW185" s="92" t="str">
        <f>IF(Table1[Start Date]="","",IF(Table1[Start Date]&gt;42825,"",IF(AND(Table1[Leaving Date]&gt;1,Table1[Leaving Date]&lt;42736),"",1)))</f>
        <v/>
      </c>
      <c r="DX185"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185" s="44" t="e">
        <f>VLOOKUP(Table1[Referral Source],Lists!$G$2:$H$20,2,FALSE)</f>
        <v>#N/A</v>
      </c>
      <c r="DZ185" s="93" t="e">
        <f>SUM(Table1[Data Referral Quarter]+Table1[Data Referral Source])</f>
        <v>#N/A</v>
      </c>
      <c r="EA185" s="44" t="b">
        <f>IF(Table1[Referral Decision]="Accepted",100,IF(Table1[Referral Decision]="Rejected by Provider",200,IF(Table1[Referral Decision]="Rejected by Applicant",300)))</f>
        <v>0</v>
      </c>
      <c r="EB185" s="44">
        <f>SUM(Table1[Data Referral Quarter]+Table1[Data Referral Decision])</f>
        <v>0</v>
      </c>
      <c r="EC185" s="44" t="b">
        <f>IF(Table1[Start Date]&gt;42735,8000,IF(Table1[Start Date]&gt;42643,7000,IF(Table1[Start Date]&gt;42551,6000,IF(Table1[Start Date]&gt;42460,5000,IF(Table1[Start Date]&gt;42369,4000,IF(Table1[Start Date]&gt;42277,3000,IF(Table1[Start Date]&gt;42185,2000,IF(Table1[Start Date]&gt;42094,1000))))))))</f>
        <v>0</v>
      </c>
      <c r="ED185" s="44" t="str">
        <f>IF(Table1[Start Date]="","",IF(Table1[Current Local Authority]="Swindon",1,"2"))</f>
        <v/>
      </c>
      <c r="EE185" s="44" t="e">
        <f>SUM(Table1[Data Start Date]+Table1[Data Local Authority])</f>
        <v>#VALUE!</v>
      </c>
      <c r="EF185" s="44">
        <f>IF(Table1[Registered with GP]="Yes",1,0)</f>
        <v>0</v>
      </c>
      <c r="EG185" s="44">
        <f>SUM(Table1[Data Start Date]+Table1[Data GP Start])</f>
        <v>0</v>
      </c>
      <c r="EH185" s="44" t="str">
        <f>IF(Table1[EET]="NEET",1,IF(Table1[EET]="Education",2,IF(Table1[EET]="Employment",2,IF(Table1[EET]="Training",2,IF(Table1[EET]="Retired",3,"")))))</f>
        <v/>
      </c>
      <c r="EI185" s="44" t="e">
        <f>Table1[Data Start Date]+Table1[Data EET Start]</f>
        <v>#VALUE!</v>
      </c>
      <c r="EJ185" s="44" t="b">
        <f>IF(Table1[Leaving Date]&gt;42735,8000,IF(Table1[Leaving Date]&gt;42643,7000,IF(Table1[Leaving Date]&gt;42551,6000,IF(Table1[Leaving Date]&gt;42460,5000,IF(Table1[Leaving Date]&gt;42369,4000,IF(Table1[Leaving Date]&gt;42277,3000,IF(Table1[Leaving Date]&gt;42185,2000,IF(Table1[Leaving Date]&gt;42094,1000))))))))</f>
        <v>0</v>
      </c>
      <c r="EK185" s="44" t="e">
        <f>VLOOKUP(Table1[Reason for Leaving],Lists!$T$2:$U$15,2,FALSE)</f>
        <v>#N/A</v>
      </c>
      <c r="EL185" s="44" t="e">
        <f>SUM(Table1[Data Leavers Date]+Table1[Data Move On])</f>
        <v>#N/A</v>
      </c>
      <c r="EM185" s="44" t="b">
        <f>IF(Table1[Registered with GP2]="Yes",1,IF(Table1[Registered with GP2]="No",0,IF(Table1[Registered with GP]="Yes",1,IF(Table1[Registered with GP]="No",0))))</f>
        <v>0</v>
      </c>
      <c r="EN185" s="44">
        <f>SUM(Table1[Data Leavers Date]+Table1[Data GP End])</f>
        <v>0</v>
      </c>
      <c r="EO185" s="44" t="str">
        <f>IF(Table1[EET2]="NEET",1,IF(Table1[EET2]="Employment",2,IF(Table1[EET2]="Education",2,IF(Table1[EET2]="Training",2,IF(Table1[EET2]="Retired",3,IF(Table1[EET]="NEET",1,IF(Table1[EET]="Employment",2,IF(Table1[EET]="Education",2,IF(Table1[EET]="Training",2,IF(Table1[EET]="Retired",3,""))))))))))</f>
        <v/>
      </c>
      <c r="EP185" s="44" t="e">
        <f>+Table1[[#This Row],[Data Leavers Date]]+Table1[[#This Row],[Data EET End]]</f>
        <v>#VALUE!</v>
      </c>
      <c r="EQ185" s="44">
        <f>IF(Table1[Exit Form Received]="Yes",1,0)</f>
        <v>0</v>
      </c>
      <c r="ER185" s="44">
        <f>+Table1[[#This Row],[Data Leavers Date]]+Table1[[#This Row],[Data Exit Forms]]</f>
        <v>0</v>
      </c>
      <c r="ES185" s="44" t="str">
        <f>IF(Table1[Data Leavers Date]=1000,SUM(Table1[Leaving Date]-Table1[Start Date]),"")</f>
        <v/>
      </c>
      <c r="ET185" s="44" t="str">
        <f>IF(Table1[Data Leavers Date]=2000,SUM(Table1[Leaving Date]-Table1[Start Date]),"")</f>
        <v/>
      </c>
      <c r="EU185" s="44" t="str">
        <f>IF(Table1[Data Leavers Date]=3000,SUM(Table1[Leaving Date]-Table1[Start Date]),"")</f>
        <v/>
      </c>
      <c r="EV185" s="44" t="str">
        <f>IF(Table1[Data Leavers Date]=4000,SUM(Table1[Leaving Date]-Table1[Start Date]),"")</f>
        <v/>
      </c>
      <c r="EW185" s="44" t="str">
        <f>IF(Table1[Data Leavers Date]=5000,SUM(Table1[Leaving Date]-Table1[Start Date]),"")</f>
        <v/>
      </c>
      <c r="EX185" s="44" t="str">
        <f>IF(Table1[Data Leavers Date]=6000,SUM(Table1[Leaving Date]-Table1[Start Date]),"")</f>
        <v/>
      </c>
      <c r="EY185" s="44" t="str">
        <f>IF(Table1[Data Leavers Date]=7000,SUM(Table1[Leaving Date]-Table1[Start Date]),"")</f>
        <v/>
      </c>
      <c r="EZ185" s="44" t="str">
        <f>IF(Table1[Data Leavers Date]=8000,SUM(Table1[Leaving Date]-Table1[Start Date]),"")</f>
        <v/>
      </c>
      <c r="FA185" s="44" t="str">
        <f>IF(Table1[Date of Initial Assessment]="","",IF(AND(Table1[Start Date]&gt;42094,Table1[Start Date]&lt;42461),Table1[Motivation and Taking Responsibility],""))</f>
        <v/>
      </c>
      <c r="FB185" s="44" t="str">
        <f>IF(Table1[Date of Initial Assessment]="","",IF(AND(Table1[Start Date]&gt;42094,Table1[Start Date]&lt;42461),Table1[Self-Care and Living Skills],""))</f>
        <v/>
      </c>
      <c r="FC185" s="44" t="str">
        <f>IF(Table1[Date of Initial Assessment]="","",IF(AND(Table1[Start Date]&gt;42094,Table1[Start Date]&lt;42461),Table1[Managing Money and Personal Administration],""))</f>
        <v/>
      </c>
      <c r="FD185" s="44" t="str">
        <f>IF(Table1[Date of Initial Assessment]="","",IF(AND(Table1[Start Date]&gt;42094,Table1[Start Date]&lt;42461),Table1[Social Networks and Relationships],""))</f>
        <v/>
      </c>
      <c r="FE185" s="44" t="str">
        <f>IF(Table1[Date of Initial Assessment]="","",IF(AND(Table1[Start Date]&gt;42094,Table1[Start Date]&lt;42461),Table1[Drug and Alcohol Misuse],""))</f>
        <v/>
      </c>
      <c r="FF185" s="44" t="str">
        <f>IF(Table1[Date of Initial Assessment]="","",IF(AND(Table1[Start Date]&gt;42094,Table1[Start Date]&lt;42461),Table1[Physical Health],""))</f>
        <v/>
      </c>
      <c r="FG185" s="44" t="str">
        <f>IF(Table1[Date of Initial Assessment]="","",IF(AND(Table1[Start Date]&gt;42094,Table1[Start Date]&lt;42461),Table1[Emotional and Mental Health],""))</f>
        <v/>
      </c>
      <c r="FH185" s="44" t="str">
        <f>IF(Table1[Date of Initial Assessment]="","",IF(AND(Table1[Start Date]&gt;42094,Table1[Start Date]&lt;42461),Table1[Meaningful Use of Time],""))</f>
        <v/>
      </c>
      <c r="FI185" s="44" t="str">
        <f>IF(Table1[Date of Initial Assessment]="","",IF(AND(Table1[Start Date]&gt;42094,Table1[Start Date]&lt;42461),Table1[Managing Tenancy and Accommodation],""))</f>
        <v/>
      </c>
      <c r="FJ185" s="44" t="str">
        <f>IF(Table1[Date of Initial Assessment]="","",IF(AND(Table1[Start Date]&gt;42094,Table1[Start Date]&lt;42461),Table1[Offending],""))</f>
        <v/>
      </c>
      <c r="FK185" s="44" t="str">
        <f>IF(Table1[Leaving Date]="","",IF(Table1[Date of Initial Assessment]="","",IF(AND(Table1[Leaving Date]&gt;42094,Table1[Leaving Date]&lt;42461),IF(Table1[Date of Last Assessment]="",Table1[Motivation and Taking Responsibility],Table1[Motivation and Taking Responsibility2]),"")))</f>
        <v/>
      </c>
      <c r="FL185" s="44" t="str">
        <f>IF(Table1[Leaving Date]="","",IF(Table1[Date of Initial Assessment]="","",IF(AND(Table1[Leaving Date]&gt;42094,Table1[Leaving Date]&lt;42461),IF(Table1[Date of Last Assessment]="",Table1[Self-Care and Living Skills],Table1[Self-Care and Living Skills2]),"")))</f>
        <v/>
      </c>
      <c r="FM185" s="44" t="str">
        <f>IF(Table1[Leaving Date]="","",IF(Table1[Date of Initial Assessment]="","",IF(AND(Table1[Leaving Date]&gt;42094,Table1[Leaving Date]&lt;42461),IF(Table1[Date of Last Assessment]="",Table1[Managing Money and Personal Administration],Table1[Managing Money and Personal Administration2]),"")))</f>
        <v/>
      </c>
      <c r="FN185" s="44" t="str">
        <f>IF(Table1[Leaving Date]="","",IF(Table1[Date of Initial Assessment]="","",IF(AND(Table1[Leaving Date]&gt;42094,Table1[Leaving Date]&lt;42461),IF(Table1[Date of Last Assessment]="",Table1[Social Networks and Relationships],Table1[Social Networks and Relationships2]),"")))</f>
        <v/>
      </c>
      <c r="FO185" s="44" t="str">
        <f>IF(Table1[Leaving Date]="","",IF(Table1[Date of Initial Assessment]="","",IF(AND(Table1[Leaving Date]&gt;42094,Table1[Leaving Date]&lt;42461),IF(Table1[Date of Last Assessment]="",Table1[Drug and Alcohol Misuse],Table1[Drug and Alcohol Misuse2]),"")))</f>
        <v/>
      </c>
      <c r="FP185" s="44" t="str">
        <f>IF(Table1[Leaving Date]="","",IF(Table1[Date of Initial Assessment]="","",IF(AND(Table1[Leaving Date]&gt;42094,Table1[Leaving Date]&lt;42461),IF(Table1[Date of Last Assessment]="",Table1[Physical Health],Table1[Physical Health2]),"")))</f>
        <v/>
      </c>
      <c r="FQ185" s="44" t="str">
        <f>IF(Table1[Leaving Date]="","",IF(Table1[Date of Initial Assessment]="","",IF(AND(Table1[Leaving Date]&gt;42094,Table1[Leaving Date]&lt;42461),IF(Table1[Date of Last Assessment]="",Table1[Emotional and Mental Health],Table1[Emotional and Mental Health2]),"")))</f>
        <v/>
      </c>
      <c r="FR185" s="44" t="str">
        <f>IF(Table1[Leaving Date]="","",IF(Table1[Date of Initial Assessment]="","",IF(AND(Table1[Leaving Date]&gt;42094,Table1[Leaving Date]&lt;42461),IF(Table1[Date of Last Assessment]="",Table1[Meaningful Use of Time],Table1[Meaningful Use of Time2]),"")))</f>
        <v/>
      </c>
      <c r="FS185" s="44" t="str">
        <f>IF(Table1[Leaving Date]="","",IF(Table1[Date of Initial Assessment]="","",IF(AND(Table1[Leaving Date]&gt;42094,Table1[Leaving Date]&lt;42461),IF(Table1[Date of Last Assessment]="",Table1[Managing Tenancy and Accommodation],Table1[Managing Tenancy and Accommodation2]),"")))</f>
        <v/>
      </c>
      <c r="FT185" s="44" t="str">
        <f>IF(Table1[Leaving Date]="","",IF(Table1[Date of Initial Assessment]="","",IF(AND(Table1[Leaving Date]&gt;42094,Table1[Leaving Date]&lt;42461),IF(Table1[Date of Last Assessment]="",Table1[Offending],Table1[Offending2]),"")))</f>
        <v/>
      </c>
      <c r="FU185" s="44" t="str">
        <f>IF(Table1[Date of Initial Assessment]="","",IF(AND(Table1[Start Date]&gt;42460,Table1[Start Date]&lt;42826),Table1[Motivation and Taking Responsibility],""))</f>
        <v/>
      </c>
      <c r="FV185" s="44" t="str">
        <f>IF(Table1[Date of Initial Assessment]="","",IF(AND(Table1[Start Date]&gt;42460,Table1[Start Date]&lt;42826),Table1[Self-Care and Living Skills],""))</f>
        <v/>
      </c>
      <c r="FW185" s="44" t="str">
        <f>IF(Table1[Date of Initial Assessment]="","",IF(AND(Table1[Start Date]&gt;42460,Table1[Start Date]&lt;42826),Table1[Managing Money and Personal Administration],""))</f>
        <v/>
      </c>
      <c r="FX185" s="44" t="str">
        <f>IF(Table1[Date of Initial Assessment]="","",IF(AND(Table1[Start Date]&gt;42460,Table1[Start Date]&lt;42826),Table1[Social Networks and Relationships],""))</f>
        <v/>
      </c>
      <c r="FY185" s="44" t="str">
        <f>IF(Table1[Date of Initial Assessment]="","",IF(AND(Table1[Start Date]&gt;42460,Table1[Start Date]&lt;42826),Table1[Drug and Alcohol Misuse],""))</f>
        <v/>
      </c>
      <c r="FZ185" s="44" t="str">
        <f>IF(Table1[Date of Initial Assessment]="","",IF(AND(Table1[Start Date]&gt;42460,Table1[Start Date]&lt;42826),Table1[Physical Health],""))</f>
        <v/>
      </c>
      <c r="GA185" s="44" t="str">
        <f>IF(Table1[Date of Initial Assessment]="","",IF(AND(Table1[Start Date]&gt;42460,Table1[Start Date]&lt;42826),Table1[Emotional and Mental Health],""))</f>
        <v/>
      </c>
      <c r="GB185" s="44" t="str">
        <f>IF(Table1[Date of Initial Assessment]="","",IF(AND(Table1[Start Date]&gt;42460,Table1[Start Date]&lt;42826),Table1[Meaningful Use of Time],""))</f>
        <v/>
      </c>
      <c r="GC185" s="44" t="str">
        <f>IF(Table1[Date of Initial Assessment]="","",IF(AND(Table1[Start Date]&gt;42460,Table1[Start Date]&lt;42826),Table1[Managing Tenancy and Accommodation],""))</f>
        <v/>
      </c>
      <c r="GD185" s="44" t="str">
        <f>IF(Table1[Date of Initial Assessment]="","",IF(AND(Table1[Start Date]&gt;42460,Table1[Start Date]&lt;42826),Table1[Offending],""))</f>
        <v/>
      </c>
      <c r="GE185" s="44" t="str">
        <f>IF(Table1[Leaving Date]="","",IF(AND(Table1[Leaving Date]&gt;42460,Table1[Leaving Date]&lt;42826),IF(Table1[Date of Last Assessment]="",Table1[Motivation and Taking Responsibility],Table1[Motivation and Taking Responsibility2]),""))</f>
        <v/>
      </c>
      <c r="GF185" s="44" t="str">
        <f>IF(Table1[Leaving Date]="","",IF(AND(Table1[Leaving Date]&gt;42460,Table1[Leaving Date]&lt;42826),IF(Table1[Date of Last Assessment]="",Table1[Self-Care and Living Skills],Table1[Self-Care and Living Skills2]),""))</f>
        <v/>
      </c>
      <c r="GG185" s="44" t="str">
        <f>IF(Table1[Leaving Date]="","",IF(AND(Table1[Leaving Date]&gt;42460,Table1[Leaving Date]&lt;42826),IF(Table1[Date of Last Assessment]="",Table1[Managing Money and Personal Administration],Table1[Managing Money and Personal Administration2]),""))</f>
        <v/>
      </c>
      <c r="GH185" s="44" t="str">
        <f>IF(Table1[Leaving Date]="","",IF(AND(Table1[Leaving Date]&gt;42460,Table1[Leaving Date]&lt;42826),IF(Table1[Date of Last Assessment]="",Table1[Social Networks and Relationships],Table1[Social Networks and Relationships2]),""))</f>
        <v/>
      </c>
      <c r="GI185" s="44" t="str">
        <f>IF(Table1[Leaving Date]="","",IF(AND(Table1[Leaving Date]&gt;42460,Table1[Leaving Date]&lt;42826),IF(Table1[Date of Last Assessment]="",Table1[Drug and Alcohol Misuse],Table1[Drug and Alcohol Misuse2]),""))</f>
        <v/>
      </c>
      <c r="GJ185" s="44" t="str">
        <f>IF(Table1[Leaving Date]="","",IF(AND(Table1[Leaving Date]&gt;42460,Table1[Leaving Date]&lt;42826),IF(Table1[Date of Last Assessment]="",Table1[Physical Health],Table1[Physical Health2]),""))</f>
        <v/>
      </c>
      <c r="GK185" s="44" t="str">
        <f>IF(Table1[Leaving Date]="","",IF(AND(Table1[Leaving Date]&gt;42460,Table1[Leaving Date]&lt;42826),IF(Table1[Date of Last Assessment]="",Table1[Emotional and Mental Health],Table1[Emotional and Mental Health2]),""))</f>
        <v/>
      </c>
      <c r="GL185" s="44" t="str">
        <f>IF(Table1[Leaving Date]="","",IF(AND(Table1[Leaving Date]&gt;42460,Table1[Leaving Date]&lt;42826),IF(Table1[Date of Last Assessment]="",Table1[Meaningful Use of Time],Table1[Meaningful Use of Time2]),""))</f>
        <v/>
      </c>
      <c r="GM185" s="44" t="str">
        <f>IF(Table1[Leaving Date]="","",IF(AND(Table1[Leaving Date]&gt;42460,Table1[Leaving Date]&lt;42826),IF(Table1[Date of Last Assessment]="",Table1[Managing Tenancy and Accommodation],Table1[Managing Tenancy and Accommodation2]),""))</f>
        <v/>
      </c>
      <c r="GN185" s="44" t="str">
        <f>IF(Table1[Leaving Date]="","",IF(AND(Table1[Leaving Date]&gt;42460,Table1[Leaving Date]&lt;42826),IF(Table1[Date of Last Assessment]="",Table1[Offending],Table1[Offending2]),""))</f>
        <v/>
      </c>
    </row>
    <row r="186" spans="2:196" ht="20.100000000000001" customHeight="1" x14ac:dyDescent="0.2">
      <c r="B186" s="86">
        <f>+'Service Data'!$C$5:$C$5</f>
        <v>0</v>
      </c>
      <c r="C186" s="86"/>
      <c r="D186" s="86"/>
      <c r="E186" s="86"/>
      <c r="F186" s="86"/>
      <c r="G186" s="86"/>
      <c r="H186" s="6"/>
      <c r="I186" s="99" t="str">
        <f ca="1">IF(Table1[[#This Row],[Date of Birth]]="","",SUM(TODAY()-Table1[[#This Row],[Date of Birth]])/365)</f>
        <v/>
      </c>
      <c r="L186" s="86"/>
      <c r="M186" s="77"/>
      <c r="N186" s="86"/>
      <c r="O186" s="86"/>
      <c r="P186" s="91"/>
      <c r="Q186" s="86"/>
      <c r="R186" s="77"/>
      <c r="S186" s="77"/>
      <c r="T186" s="68"/>
      <c r="U186" s="68"/>
      <c r="V186" s="67"/>
      <c r="W186" s="67"/>
      <c r="X186" s="67"/>
      <c r="Y186" s="67"/>
      <c r="Z186" s="67"/>
      <c r="AA186" s="67"/>
      <c r="AB186" s="67"/>
      <c r="AC186" s="67"/>
      <c r="AD186" s="67"/>
      <c r="AE186" s="67"/>
      <c r="AF186" s="67"/>
      <c r="AG186" s="67"/>
      <c r="AH186" s="67"/>
      <c r="AI186" s="67"/>
      <c r="AJ186" s="67"/>
      <c r="AK186" s="67"/>
      <c r="AL186" s="67"/>
      <c r="AM186" s="67"/>
      <c r="AN186" s="77"/>
      <c r="AO186" s="76"/>
      <c r="AP186" s="77"/>
      <c r="AQ186" s="76"/>
      <c r="AR186" s="76"/>
      <c r="AS186" s="76"/>
      <c r="AT186" s="76"/>
      <c r="AU186" s="76"/>
      <c r="AV186" s="77"/>
      <c r="AW186" s="76"/>
      <c r="AX186" s="77"/>
      <c r="AY186" s="76"/>
      <c r="AZ186" s="76"/>
      <c r="BA186" s="76"/>
      <c r="BB186" s="76"/>
      <c r="BC186" s="76"/>
      <c r="BD186" s="77"/>
      <c r="BE186" s="76"/>
      <c r="BF186" s="77"/>
      <c r="BG186" s="76"/>
      <c r="BH186" s="76"/>
      <c r="BI186" s="76"/>
      <c r="BJ186" s="76"/>
      <c r="BK186" s="76"/>
      <c r="BL186" s="77"/>
      <c r="BM186" s="76"/>
      <c r="BN186" s="77"/>
      <c r="BO186" s="76"/>
      <c r="BP186" s="76"/>
      <c r="BQ186" s="76"/>
      <c r="BR186" s="76"/>
      <c r="BS186" s="76"/>
      <c r="BT186" s="77"/>
      <c r="BU186" s="76"/>
      <c r="BV186" s="77"/>
      <c r="BW186" s="76"/>
      <c r="BX186" s="76"/>
      <c r="BY186" s="76"/>
      <c r="BZ186" s="76"/>
      <c r="CA186" s="76"/>
      <c r="CB186" s="77"/>
      <c r="CC186" s="76"/>
      <c r="CD186" s="77"/>
      <c r="CE186" s="76"/>
      <c r="CF186" s="76"/>
      <c r="CG186" s="76"/>
      <c r="CH186" s="76"/>
      <c r="CI186" s="76"/>
      <c r="CJ186" s="77"/>
      <c r="CK186" s="76"/>
      <c r="CL186" s="77"/>
      <c r="CM186" s="76"/>
      <c r="CN186" s="76"/>
      <c r="CO186" s="76"/>
      <c r="CP186" s="76"/>
      <c r="CQ186" s="76"/>
      <c r="CR186" s="78" t="str">
        <f t="shared" si="47"/>
        <v/>
      </c>
      <c r="CS186" s="79" t="str">
        <f t="shared" si="48"/>
        <v/>
      </c>
      <c r="CT186" s="79" t="str">
        <f t="shared" si="49"/>
        <v/>
      </c>
      <c r="CU186" s="79" t="str">
        <f t="shared" si="50"/>
        <v/>
      </c>
      <c r="CV186" s="79" t="str">
        <f t="shared" si="51"/>
        <v/>
      </c>
      <c r="CW186" s="79" t="str">
        <f t="shared" si="52"/>
        <v/>
      </c>
      <c r="CX186" s="79" t="str">
        <f t="shared" si="53"/>
        <v/>
      </c>
      <c r="CY186" s="79" t="str">
        <f t="shared" si="54"/>
        <v/>
      </c>
      <c r="CZ186" s="79" t="str">
        <f t="shared" si="55"/>
        <v/>
      </c>
      <c r="DA186" s="79" t="str">
        <f t="shared" si="56"/>
        <v/>
      </c>
      <c r="DB186" s="79" t="str">
        <f t="shared" si="57"/>
        <v/>
      </c>
      <c r="DC186" s="79" t="str">
        <f t="shared" si="58"/>
        <v/>
      </c>
      <c r="DD186" s="79" t="str">
        <f t="shared" si="59"/>
        <v/>
      </c>
      <c r="DE186" s="79" t="str">
        <f t="shared" si="60"/>
        <v/>
      </c>
      <c r="DF186" s="79" t="str">
        <f t="shared" si="61"/>
        <v/>
      </c>
      <c r="DG186" s="79" t="str">
        <f t="shared" si="62"/>
        <v/>
      </c>
      <c r="DH186" s="76"/>
      <c r="DI186" s="78"/>
      <c r="DJ186" s="76"/>
      <c r="DK186" s="77"/>
      <c r="DL186" s="77"/>
      <c r="DM186" s="77"/>
      <c r="DN186" s="80"/>
      <c r="DO186" s="80"/>
      <c r="DP186" s="92" t="str">
        <f>IF(Table1[Start Date]="","",IF(Table1[Start Date]&gt;42185,"",IF(AND(Table1[Leaving Date]&gt;1,Table1[Leaving Date]&lt;42095),"",1)))</f>
        <v/>
      </c>
      <c r="DQ186" s="92" t="str">
        <f>IF(Table1[Start Date]="","",IF(Table1[Start Date]&gt;42277,"",IF(AND(Table1[Leaving Date]&gt;1,Table1[Leaving Date]&lt;42186),"",1)))</f>
        <v/>
      </c>
      <c r="DR186" s="92" t="str">
        <f>IF(Table1[Start Date]="","",IF(Table1[Start Date]&gt;42369,"",IF(AND(Table1[Leaving Date]&gt;1,Table1[Leaving Date]&lt;42278),"",1)))</f>
        <v/>
      </c>
      <c r="DS186" s="92" t="str">
        <f>IF(Table1[Start Date]="","",IF(Table1[Start Date]&gt;42460,"",IF(AND(Table1[Leaving Date]&gt;1,Table1[Leaving Date]&lt;42370),"",1)))</f>
        <v/>
      </c>
      <c r="DT186" s="92" t="str">
        <f>IF(Table1[Start Date]="","",IF(Table1[Start Date]&gt;42551,"",IF(AND(Table1[Leaving Date]&gt;1,Table1[Leaving Date]&lt;42461),"",1)))</f>
        <v/>
      </c>
      <c r="DU186" s="92" t="str">
        <f>IF(Table1[Start Date]="","",IF(Table1[Start Date]&gt;42643,"",IF(AND(Table1[Leaving Date]&gt;1,Table1[Leaving Date]&lt;42552),"",1)))</f>
        <v/>
      </c>
      <c r="DV186" s="92" t="str">
        <f>IF(Table1[Start Date]="","",IF(Table1[Start Date]&gt;42735,"",IF(AND(Table1[Leaving Date]&gt;1,Table1[Leaving Date]&lt;42644),"",1)))</f>
        <v/>
      </c>
      <c r="DW186" s="92" t="str">
        <f>IF(Table1[Start Date]="","",IF(Table1[Start Date]&gt;42825,"",IF(AND(Table1[Leaving Date]&gt;1,Table1[Leaving Date]&lt;42736),"",1)))</f>
        <v/>
      </c>
      <c r="DX186"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186" s="44" t="e">
        <f>VLOOKUP(Table1[Referral Source],Lists!$G$2:$H$20,2,FALSE)</f>
        <v>#N/A</v>
      </c>
      <c r="DZ186" s="93" t="e">
        <f>SUM(Table1[Data Referral Quarter]+Table1[Data Referral Source])</f>
        <v>#N/A</v>
      </c>
      <c r="EA186" s="44" t="b">
        <f>IF(Table1[Referral Decision]="Accepted",100,IF(Table1[Referral Decision]="Rejected by Provider",200,IF(Table1[Referral Decision]="Rejected by Applicant",300)))</f>
        <v>0</v>
      </c>
      <c r="EB186" s="44">
        <f>SUM(Table1[Data Referral Quarter]+Table1[Data Referral Decision])</f>
        <v>0</v>
      </c>
      <c r="EC186" s="44" t="b">
        <f>IF(Table1[Start Date]&gt;42735,8000,IF(Table1[Start Date]&gt;42643,7000,IF(Table1[Start Date]&gt;42551,6000,IF(Table1[Start Date]&gt;42460,5000,IF(Table1[Start Date]&gt;42369,4000,IF(Table1[Start Date]&gt;42277,3000,IF(Table1[Start Date]&gt;42185,2000,IF(Table1[Start Date]&gt;42094,1000))))))))</f>
        <v>0</v>
      </c>
      <c r="ED186" s="44" t="str">
        <f>IF(Table1[Start Date]="","",IF(Table1[Current Local Authority]="Swindon",1,"2"))</f>
        <v/>
      </c>
      <c r="EE186" s="44" t="e">
        <f>SUM(Table1[Data Start Date]+Table1[Data Local Authority])</f>
        <v>#VALUE!</v>
      </c>
      <c r="EF186" s="44">
        <f>IF(Table1[Registered with GP]="Yes",1,0)</f>
        <v>0</v>
      </c>
      <c r="EG186" s="44">
        <f>SUM(Table1[Data Start Date]+Table1[Data GP Start])</f>
        <v>0</v>
      </c>
      <c r="EH186" s="44" t="str">
        <f>IF(Table1[EET]="NEET",1,IF(Table1[EET]="Education",2,IF(Table1[EET]="Employment",2,IF(Table1[EET]="Training",2,IF(Table1[EET]="Retired",3,"")))))</f>
        <v/>
      </c>
      <c r="EI186" s="44" t="e">
        <f>Table1[Data Start Date]+Table1[Data EET Start]</f>
        <v>#VALUE!</v>
      </c>
      <c r="EJ186" s="44" t="b">
        <f>IF(Table1[Leaving Date]&gt;42735,8000,IF(Table1[Leaving Date]&gt;42643,7000,IF(Table1[Leaving Date]&gt;42551,6000,IF(Table1[Leaving Date]&gt;42460,5000,IF(Table1[Leaving Date]&gt;42369,4000,IF(Table1[Leaving Date]&gt;42277,3000,IF(Table1[Leaving Date]&gt;42185,2000,IF(Table1[Leaving Date]&gt;42094,1000))))))))</f>
        <v>0</v>
      </c>
      <c r="EK186" s="44" t="e">
        <f>VLOOKUP(Table1[Reason for Leaving],Lists!$T$2:$U$15,2,FALSE)</f>
        <v>#N/A</v>
      </c>
      <c r="EL186" s="44" t="e">
        <f>SUM(Table1[Data Leavers Date]+Table1[Data Move On])</f>
        <v>#N/A</v>
      </c>
      <c r="EM186" s="44" t="b">
        <f>IF(Table1[Registered with GP2]="Yes",1,IF(Table1[Registered with GP2]="No",0,IF(Table1[Registered with GP]="Yes",1,IF(Table1[Registered with GP]="No",0))))</f>
        <v>0</v>
      </c>
      <c r="EN186" s="44">
        <f>SUM(Table1[Data Leavers Date]+Table1[Data GP End])</f>
        <v>0</v>
      </c>
      <c r="EO186" s="44" t="str">
        <f>IF(Table1[EET2]="NEET",1,IF(Table1[EET2]="Employment",2,IF(Table1[EET2]="Education",2,IF(Table1[EET2]="Training",2,IF(Table1[EET2]="Retired",3,IF(Table1[EET]="NEET",1,IF(Table1[EET]="Employment",2,IF(Table1[EET]="Education",2,IF(Table1[EET]="Training",2,IF(Table1[EET]="Retired",3,""))))))))))</f>
        <v/>
      </c>
      <c r="EP186" s="44" t="e">
        <f>+Table1[[#This Row],[Data Leavers Date]]+Table1[[#This Row],[Data EET End]]</f>
        <v>#VALUE!</v>
      </c>
      <c r="EQ186" s="44">
        <f>IF(Table1[Exit Form Received]="Yes",1,0)</f>
        <v>0</v>
      </c>
      <c r="ER186" s="44">
        <f>+Table1[[#This Row],[Data Leavers Date]]+Table1[[#This Row],[Data Exit Forms]]</f>
        <v>0</v>
      </c>
      <c r="ES186" s="44" t="str">
        <f>IF(Table1[Data Leavers Date]=1000,SUM(Table1[Leaving Date]-Table1[Start Date]),"")</f>
        <v/>
      </c>
      <c r="ET186" s="44" t="str">
        <f>IF(Table1[Data Leavers Date]=2000,SUM(Table1[Leaving Date]-Table1[Start Date]),"")</f>
        <v/>
      </c>
      <c r="EU186" s="44" t="str">
        <f>IF(Table1[Data Leavers Date]=3000,SUM(Table1[Leaving Date]-Table1[Start Date]),"")</f>
        <v/>
      </c>
      <c r="EV186" s="44" t="str">
        <f>IF(Table1[Data Leavers Date]=4000,SUM(Table1[Leaving Date]-Table1[Start Date]),"")</f>
        <v/>
      </c>
      <c r="EW186" s="44" t="str">
        <f>IF(Table1[Data Leavers Date]=5000,SUM(Table1[Leaving Date]-Table1[Start Date]),"")</f>
        <v/>
      </c>
      <c r="EX186" s="44" t="str">
        <f>IF(Table1[Data Leavers Date]=6000,SUM(Table1[Leaving Date]-Table1[Start Date]),"")</f>
        <v/>
      </c>
      <c r="EY186" s="44" t="str">
        <f>IF(Table1[Data Leavers Date]=7000,SUM(Table1[Leaving Date]-Table1[Start Date]),"")</f>
        <v/>
      </c>
      <c r="EZ186" s="44" t="str">
        <f>IF(Table1[Data Leavers Date]=8000,SUM(Table1[Leaving Date]-Table1[Start Date]),"")</f>
        <v/>
      </c>
      <c r="FA186" s="44" t="str">
        <f>IF(Table1[Date of Initial Assessment]="","",IF(AND(Table1[Start Date]&gt;42094,Table1[Start Date]&lt;42461),Table1[Motivation and Taking Responsibility],""))</f>
        <v/>
      </c>
      <c r="FB186" s="44" t="str">
        <f>IF(Table1[Date of Initial Assessment]="","",IF(AND(Table1[Start Date]&gt;42094,Table1[Start Date]&lt;42461),Table1[Self-Care and Living Skills],""))</f>
        <v/>
      </c>
      <c r="FC186" s="44" t="str">
        <f>IF(Table1[Date of Initial Assessment]="","",IF(AND(Table1[Start Date]&gt;42094,Table1[Start Date]&lt;42461),Table1[Managing Money and Personal Administration],""))</f>
        <v/>
      </c>
      <c r="FD186" s="44" t="str">
        <f>IF(Table1[Date of Initial Assessment]="","",IF(AND(Table1[Start Date]&gt;42094,Table1[Start Date]&lt;42461),Table1[Social Networks and Relationships],""))</f>
        <v/>
      </c>
      <c r="FE186" s="44" t="str">
        <f>IF(Table1[Date of Initial Assessment]="","",IF(AND(Table1[Start Date]&gt;42094,Table1[Start Date]&lt;42461),Table1[Drug and Alcohol Misuse],""))</f>
        <v/>
      </c>
      <c r="FF186" s="44" t="str">
        <f>IF(Table1[Date of Initial Assessment]="","",IF(AND(Table1[Start Date]&gt;42094,Table1[Start Date]&lt;42461),Table1[Physical Health],""))</f>
        <v/>
      </c>
      <c r="FG186" s="44" t="str">
        <f>IF(Table1[Date of Initial Assessment]="","",IF(AND(Table1[Start Date]&gt;42094,Table1[Start Date]&lt;42461),Table1[Emotional and Mental Health],""))</f>
        <v/>
      </c>
      <c r="FH186" s="44" t="str">
        <f>IF(Table1[Date of Initial Assessment]="","",IF(AND(Table1[Start Date]&gt;42094,Table1[Start Date]&lt;42461),Table1[Meaningful Use of Time],""))</f>
        <v/>
      </c>
      <c r="FI186" s="44" t="str">
        <f>IF(Table1[Date of Initial Assessment]="","",IF(AND(Table1[Start Date]&gt;42094,Table1[Start Date]&lt;42461),Table1[Managing Tenancy and Accommodation],""))</f>
        <v/>
      </c>
      <c r="FJ186" s="44" t="str">
        <f>IF(Table1[Date of Initial Assessment]="","",IF(AND(Table1[Start Date]&gt;42094,Table1[Start Date]&lt;42461),Table1[Offending],""))</f>
        <v/>
      </c>
      <c r="FK186" s="44" t="str">
        <f>IF(Table1[Leaving Date]="","",IF(Table1[Date of Initial Assessment]="","",IF(AND(Table1[Leaving Date]&gt;42094,Table1[Leaving Date]&lt;42461),IF(Table1[Date of Last Assessment]="",Table1[Motivation and Taking Responsibility],Table1[Motivation and Taking Responsibility2]),"")))</f>
        <v/>
      </c>
      <c r="FL186" s="44" t="str">
        <f>IF(Table1[Leaving Date]="","",IF(Table1[Date of Initial Assessment]="","",IF(AND(Table1[Leaving Date]&gt;42094,Table1[Leaving Date]&lt;42461),IF(Table1[Date of Last Assessment]="",Table1[Self-Care and Living Skills],Table1[Self-Care and Living Skills2]),"")))</f>
        <v/>
      </c>
      <c r="FM186" s="44" t="str">
        <f>IF(Table1[Leaving Date]="","",IF(Table1[Date of Initial Assessment]="","",IF(AND(Table1[Leaving Date]&gt;42094,Table1[Leaving Date]&lt;42461),IF(Table1[Date of Last Assessment]="",Table1[Managing Money and Personal Administration],Table1[Managing Money and Personal Administration2]),"")))</f>
        <v/>
      </c>
      <c r="FN186" s="44" t="str">
        <f>IF(Table1[Leaving Date]="","",IF(Table1[Date of Initial Assessment]="","",IF(AND(Table1[Leaving Date]&gt;42094,Table1[Leaving Date]&lt;42461),IF(Table1[Date of Last Assessment]="",Table1[Social Networks and Relationships],Table1[Social Networks and Relationships2]),"")))</f>
        <v/>
      </c>
      <c r="FO186" s="44" t="str">
        <f>IF(Table1[Leaving Date]="","",IF(Table1[Date of Initial Assessment]="","",IF(AND(Table1[Leaving Date]&gt;42094,Table1[Leaving Date]&lt;42461),IF(Table1[Date of Last Assessment]="",Table1[Drug and Alcohol Misuse],Table1[Drug and Alcohol Misuse2]),"")))</f>
        <v/>
      </c>
      <c r="FP186" s="44" t="str">
        <f>IF(Table1[Leaving Date]="","",IF(Table1[Date of Initial Assessment]="","",IF(AND(Table1[Leaving Date]&gt;42094,Table1[Leaving Date]&lt;42461),IF(Table1[Date of Last Assessment]="",Table1[Physical Health],Table1[Physical Health2]),"")))</f>
        <v/>
      </c>
      <c r="FQ186" s="44" t="str">
        <f>IF(Table1[Leaving Date]="","",IF(Table1[Date of Initial Assessment]="","",IF(AND(Table1[Leaving Date]&gt;42094,Table1[Leaving Date]&lt;42461),IF(Table1[Date of Last Assessment]="",Table1[Emotional and Mental Health],Table1[Emotional and Mental Health2]),"")))</f>
        <v/>
      </c>
      <c r="FR186" s="44" t="str">
        <f>IF(Table1[Leaving Date]="","",IF(Table1[Date of Initial Assessment]="","",IF(AND(Table1[Leaving Date]&gt;42094,Table1[Leaving Date]&lt;42461),IF(Table1[Date of Last Assessment]="",Table1[Meaningful Use of Time],Table1[Meaningful Use of Time2]),"")))</f>
        <v/>
      </c>
      <c r="FS186" s="44" t="str">
        <f>IF(Table1[Leaving Date]="","",IF(Table1[Date of Initial Assessment]="","",IF(AND(Table1[Leaving Date]&gt;42094,Table1[Leaving Date]&lt;42461),IF(Table1[Date of Last Assessment]="",Table1[Managing Tenancy and Accommodation],Table1[Managing Tenancy and Accommodation2]),"")))</f>
        <v/>
      </c>
      <c r="FT186" s="44" t="str">
        <f>IF(Table1[Leaving Date]="","",IF(Table1[Date of Initial Assessment]="","",IF(AND(Table1[Leaving Date]&gt;42094,Table1[Leaving Date]&lt;42461),IF(Table1[Date of Last Assessment]="",Table1[Offending],Table1[Offending2]),"")))</f>
        <v/>
      </c>
      <c r="FU186" s="44" t="str">
        <f>IF(Table1[Date of Initial Assessment]="","",IF(AND(Table1[Start Date]&gt;42460,Table1[Start Date]&lt;42826),Table1[Motivation and Taking Responsibility],""))</f>
        <v/>
      </c>
      <c r="FV186" s="44" t="str">
        <f>IF(Table1[Date of Initial Assessment]="","",IF(AND(Table1[Start Date]&gt;42460,Table1[Start Date]&lt;42826),Table1[Self-Care and Living Skills],""))</f>
        <v/>
      </c>
      <c r="FW186" s="44" t="str">
        <f>IF(Table1[Date of Initial Assessment]="","",IF(AND(Table1[Start Date]&gt;42460,Table1[Start Date]&lt;42826),Table1[Managing Money and Personal Administration],""))</f>
        <v/>
      </c>
      <c r="FX186" s="44" t="str">
        <f>IF(Table1[Date of Initial Assessment]="","",IF(AND(Table1[Start Date]&gt;42460,Table1[Start Date]&lt;42826),Table1[Social Networks and Relationships],""))</f>
        <v/>
      </c>
      <c r="FY186" s="44" t="str">
        <f>IF(Table1[Date of Initial Assessment]="","",IF(AND(Table1[Start Date]&gt;42460,Table1[Start Date]&lt;42826),Table1[Drug and Alcohol Misuse],""))</f>
        <v/>
      </c>
      <c r="FZ186" s="44" t="str">
        <f>IF(Table1[Date of Initial Assessment]="","",IF(AND(Table1[Start Date]&gt;42460,Table1[Start Date]&lt;42826),Table1[Physical Health],""))</f>
        <v/>
      </c>
      <c r="GA186" s="44" t="str">
        <f>IF(Table1[Date of Initial Assessment]="","",IF(AND(Table1[Start Date]&gt;42460,Table1[Start Date]&lt;42826),Table1[Emotional and Mental Health],""))</f>
        <v/>
      </c>
      <c r="GB186" s="44" t="str">
        <f>IF(Table1[Date of Initial Assessment]="","",IF(AND(Table1[Start Date]&gt;42460,Table1[Start Date]&lt;42826),Table1[Meaningful Use of Time],""))</f>
        <v/>
      </c>
      <c r="GC186" s="44" t="str">
        <f>IF(Table1[Date of Initial Assessment]="","",IF(AND(Table1[Start Date]&gt;42460,Table1[Start Date]&lt;42826),Table1[Managing Tenancy and Accommodation],""))</f>
        <v/>
      </c>
      <c r="GD186" s="44" t="str">
        <f>IF(Table1[Date of Initial Assessment]="","",IF(AND(Table1[Start Date]&gt;42460,Table1[Start Date]&lt;42826),Table1[Offending],""))</f>
        <v/>
      </c>
      <c r="GE186" s="44" t="str">
        <f>IF(Table1[Leaving Date]="","",IF(AND(Table1[Leaving Date]&gt;42460,Table1[Leaving Date]&lt;42826),IF(Table1[Date of Last Assessment]="",Table1[Motivation and Taking Responsibility],Table1[Motivation and Taking Responsibility2]),""))</f>
        <v/>
      </c>
      <c r="GF186" s="44" t="str">
        <f>IF(Table1[Leaving Date]="","",IF(AND(Table1[Leaving Date]&gt;42460,Table1[Leaving Date]&lt;42826),IF(Table1[Date of Last Assessment]="",Table1[Self-Care and Living Skills],Table1[Self-Care and Living Skills2]),""))</f>
        <v/>
      </c>
      <c r="GG186" s="44" t="str">
        <f>IF(Table1[Leaving Date]="","",IF(AND(Table1[Leaving Date]&gt;42460,Table1[Leaving Date]&lt;42826),IF(Table1[Date of Last Assessment]="",Table1[Managing Money and Personal Administration],Table1[Managing Money and Personal Administration2]),""))</f>
        <v/>
      </c>
      <c r="GH186" s="44" t="str">
        <f>IF(Table1[Leaving Date]="","",IF(AND(Table1[Leaving Date]&gt;42460,Table1[Leaving Date]&lt;42826),IF(Table1[Date of Last Assessment]="",Table1[Social Networks and Relationships],Table1[Social Networks and Relationships2]),""))</f>
        <v/>
      </c>
      <c r="GI186" s="44" t="str">
        <f>IF(Table1[Leaving Date]="","",IF(AND(Table1[Leaving Date]&gt;42460,Table1[Leaving Date]&lt;42826),IF(Table1[Date of Last Assessment]="",Table1[Drug and Alcohol Misuse],Table1[Drug and Alcohol Misuse2]),""))</f>
        <v/>
      </c>
      <c r="GJ186" s="44" t="str">
        <f>IF(Table1[Leaving Date]="","",IF(AND(Table1[Leaving Date]&gt;42460,Table1[Leaving Date]&lt;42826),IF(Table1[Date of Last Assessment]="",Table1[Physical Health],Table1[Physical Health2]),""))</f>
        <v/>
      </c>
      <c r="GK186" s="44" t="str">
        <f>IF(Table1[Leaving Date]="","",IF(AND(Table1[Leaving Date]&gt;42460,Table1[Leaving Date]&lt;42826),IF(Table1[Date of Last Assessment]="",Table1[Emotional and Mental Health],Table1[Emotional and Mental Health2]),""))</f>
        <v/>
      </c>
      <c r="GL186" s="44" t="str">
        <f>IF(Table1[Leaving Date]="","",IF(AND(Table1[Leaving Date]&gt;42460,Table1[Leaving Date]&lt;42826),IF(Table1[Date of Last Assessment]="",Table1[Meaningful Use of Time],Table1[Meaningful Use of Time2]),""))</f>
        <v/>
      </c>
      <c r="GM186" s="44" t="str">
        <f>IF(Table1[Leaving Date]="","",IF(AND(Table1[Leaving Date]&gt;42460,Table1[Leaving Date]&lt;42826),IF(Table1[Date of Last Assessment]="",Table1[Managing Tenancy and Accommodation],Table1[Managing Tenancy and Accommodation2]),""))</f>
        <v/>
      </c>
      <c r="GN186" s="44" t="str">
        <f>IF(Table1[Leaving Date]="","",IF(AND(Table1[Leaving Date]&gt;42460,Table1[Leaving Date]&lt;42826),IF(Table1[Date of Last Assessment]="",Table1[Offending],Table1[Offending2]),""))</f>
        <v/>
      </c>
    </row>
    <row r="187" spans="2:196" ht="20.100000000000001" customHeight="1" x14ac:dyDescent="0.2">
      <c r="B187" s="86">
        <f>+'Service Data'!$C$5:$C$5</f>
        <v>0</v>
      </c>
      <c r="C187" s="86"/>
      <c r="D187" s="86"/>
      <c r="E187" s="86"/>
      <c r="F187" s="86"/>
      <c r="G187" s="86"/>
      <c r="H187" s="6"/>
      <c r="I187" s="99" t="str">
        <f ca="1">IF(Table1[[#This Row],[Date of Birth]]="","",SUM(TODAY()-Table1[[#This Row],[Date of Birth]])/365)</f>
        <v/>
      </c>
      <c r="L187" s="86"/>
      <c r="M187" s="77"/>
      <c r="N187" s="86"/>
      <c r="O187" s="86"/>
      <c r="P187" s="91"/>
      <c r="Q187" s="86"/>
      <c r="R187" s="77"/>
      <c r="S187" s="77"/>
      <c r="T187" s="68"/>
      <c r="U187" s="68"/>
      <c r="V187" s="67"/>
      <c r="W187" s="67"/>
      <c r="X187" s="67"/>
      <c r="Y187" s="67"/>
      <c r="Z187" s="67"/>
      <c r="AA187" s="67"/>
      <c r="AB187" s="67"/>
      <c r="AC187" s="67"/>
      <c r="AD187" s="67"/>
      <c r="AE187" s="67"/>
      <c r="AF187" s="67"/>
      <c r="AG187" s="67"/>
      <c r="AH187" s="67"/>
      <c r="AI187" s="67"/>
      <c r="AJ187" s="67"/>
      <c r="AK187" s="67"/>
      <c r="AL187" s="67"/>
      <c r="AM187" s="67"/>
      <c r="AN187" s="77"/>
      <c r="AO187" s="76"/>
      <c r="AP187" s="77"/>
      <c r="AQ187" s="76"/>
      <c r="AR187" s="76"/>
      <c r="AS187" s="76"/>
      <c r="AT187" s="76"/>
      <c r="AU187" s="76"/>
      <c r="AV187" s="77"/>
      <c r="AW187" s="76"/>
      <c r="AX187" s="77"/>
      <c r="AY187" s="76"/>
      <c r="AZ187" s="76"/>
      <c r="BA187" s="76"/>
      <c r="BB187" s="76"/>
      <c r="BC187" s="76"/>
      <c r="BD187" s="77"/>
      <c r="BE187" s="76"/>
      <c r="BF187" s="77"/>
      <c r="BG187" s="76"/>
      <c r="BH187" s="76"/>
      <c r="BI187" s="76"/>
      <c r="BJ187" s="76"/>
      <c r="BK187" s="76"/>
      <c r="BL187" s="77"/>
      <c r="BM187" s="76"/>
      <c r="BN187" s="77"/>
      <c r="BO187" s="76"/>
      <c r="BP187" s="76"/>
      <c r="BQ187" s="76"/>
      <c r="BR187" s="76"/>
      <c r="BS187" s="76"/>
      <c r="BT187" s="77"/>
      <c r="BU187" s="76"/>
      <c r="BV187" s="77"/>
      <c r="BW187" s="76"/>
      <c r="BX187" s="76"/>
      <c r="BY187" s="76"/>
      <c r="BZ187" s="76"/>
      <c r="CA187" s="76"/>
      <c r="CB187" s="77"/>
      <c r="CC187" s="76"/>
      <c r="CD187" s="77"/>
      <c r="CE187" s="76"/>
      <c r="CF187" s="76"/>
      <c r="CG187" s="76"/>
      <c r="CH187" s="76"/>
      <c r="CI187" s="76"/>
      <c r="CJ187" s="77"/>
      <c r="CK187" s="76"/>
      <c r="CL187" s="77"/>
      <c r="CM187" s="76"/>
      <c r="CN187" s="76"/>
      <c r="CO187" s="76"/>
      <c r="CP187" s="76"/>
      <c r="CQ187" s="76"/>
      <c r="CR187" s="78" t="str">
        <f t="shared" si="47"/>
        <v/>
      </c>
      <c r="CS187" s="79" t="str">
        <f t="shared" si="48"/>
        <v/>
      </c>
      <c r="CT187" s="79" t="str">
        <f t="shared" si="49"/>
        <v/>
      </c>
      <c r="CU187" s="79" t="str">
        <f t="shared" si="50"/>
        <v/>
      </c>
      <c r="CV187" s="79" t="str">
        <f t="shared" si="51"/>
        <v/>
      </c>
      <c r="CW187" s="79" t="str">
        <f t="shared" si="52"/>
        <v/>
      </c>
      <c r="CX187" s="79" t="str">
        <f t="shared" si="53"/>
        <v/>
      </c>
      <c r="CY187" s="79" t="str">
        <f t="shared" si="54"/>
        <v/>
      </c>
      <c r="CZ187" s="79" t="str">
        <f t="shared" si="55"/>
        <v/>
      </c>
      <c r="DA187" s="79" t="str">
        <f t="shared" si="56"/>
        <v/>
      </c>
      <c r="DB187" s="79" t="str">
        <f t="shared" si="57"/>
        <v/>
      </c>
      <c r="DC187" s="79" t="str">
        <f t="shared" si="58"/>
        <v/>
      </c>
      <c r="DD187" s="79" t="str">
        <f t="shared" si="59"/>
        <v/>
      </c>
      <c r="DE187" s="79" t="str">
        <f t="shared" si="60"/>
        <v/>
      </c>
      <c r="DF187" s="79" t="str">
        <f t="shared" si="61"/>
        <v/>
      </c>
      <c r="DG187" s="79" t="str">
        <f t="shared" si="62"/>
        <v/>
      </c>
      <c r="DH187" s="76"/>
      <c r="DI187" s="78"/>
      <c r="DJ187" s="76"/>
      <c r="DK187" s="77"/>
      <c r="DL187" s="77"/>
      <c r="DM187" s="77"/>
      <c r="DN187" s="80"/>
      <c r="DO187" s="80"/>
      <c r="DP187" s="92" t="str">
        <f>IF(Table1[Start Date]="","",IF(Table1[Start Date]&gt;42185,"",IF(AND(Table1[Leaving Date]&gt;1,Table1[Leaving Date]&lt;42095),"",1)))</f>
        <v/>
      </c>
      <c r="DQ187" s="92" t="str">
        <f>IF(Table1[Start Date]="","",IF(Table1[Start Date]&gt;42277,"",IF(AND(Table1[Leaving Date]&gt;1,Table1[Leaving Date]&lt;42186),"",1)))</f>
        <v/>
      </c>
      <c r="DR187" s="92" t="str">
        <f>IF(Table1[Start Date]="","",IF(Table1[Start Date]&gt;42369,"",IF(AND(Table1[Leaving Date]&gt;1,Table1[Leaving Date]&lt;42278),"",1)))</f>
        <v/>
      </c>
      <c r="DS187" s="92" t="str">
        <f>IF(Table1[Start Date]="","",IF(Table1[Start Date]&gt;42460,"",IF(AND(Table1[Leaving Date]&gt;1,Table1[Leaving Date]&lt;42370),"",1)))</f>
        <v/>
      </c>
      <c r="DT187" s="92" t="str">
        <f>IF(Table1[Start Date]="","",IF(Table1[Start Date]&gt;42551,"",IF(AND(Table1[Leaving Date]&gt;1,Table1[Leaving Date]&lt;42461),"",1)))</f>
        <v/>
      </c>
      <c r="DU187" s="92" t="str">
        <f>IF(Table1[Start Date]="","",IF(Table1[Start Date]&gt;42643,"",IF(AND(Table1[Leaving Date]&gt;1,Table1[Leaving Date]&lt;42552),"",1)))</f>
        <v/>
      </c>
      <c r="DV187" s="92" t="str">
        <f>IF(Table1[Start Date]="","",IF(Table1[Start Date]&gt;42735,"",IF(AND(Table1[Leaving Date]&gt;1,Table1[Leaving Date]&lt;42644),"",1)))</f>
        <v/>
      </c>
      <c r="DW187" s="92" t="str">
        <f>IF(Table1[Start Date]="","",IF(Table1[Start Date]&gt;42825,"",IF(AND(Table1[Leaving Date]&gt;1,Table1[Leaving Date]&lt;42736),"",1)))</f>
        <v/>
      </c>
      <c r="DX187"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187" s="44" t="e">
        <f>VLOOKUP(Table1[Referral Source],Lists!$G$2:$H$20,2,FALSE)</f>
        <v>#N/A</v>
      </c>
      <c r="DZ187" s="93" t="e">
        <f>SUM(Table1[Data Referral Quarter]+Table1[Data Referral Source])</f>
        <v>#N/A</v>
      </c>
      <c r="EA187" s="44" t="b">
        <f>IF(Table1[Referral Decision]="Accepted",100,IF(Table1[Referral Decision]="Rejected by Provider",200,IF(Table1[Referral Decision]="Rejected by Applicant",300)))</f>
        <v>0</v>
      </c>
      <c r="EB187" s="44">
        <f>SUM(Table1[Data Referral Quarter]+Table1[Data Referral Decision])</f>
        <v>0</v>
      </c>
      <c r="EC187" s="44" t="b">
        <f>IF(Table1[Start Date]&gt;42735,8000,IF(Table1[Start Date]&gt;42643,7000,IF(Table1[Start Date]&gt;42551,6000,IF(Table1[Start Date]&gt;42460,5000,IF(Table1[Start Date]&gt;42369,4000,IF(Table1[Start Date]&gt;42277,3000,IF(Table1[Start Date]&gt;42185,2000,IF(Table1[Start Date]&gt;42094,1000))))))))</f>
        <v>0</v>
      </c>
      <c r="ED187" s="44" t="str">
        <f>IF(Table1[Start Date]="","",IF(Table1[Current Local Authority]="Swindon",1,"2"))</f>
        <v/>
      </c>
      <c r="EE187" s="44" t="e">
        <f>SUM(Table1[Data Start Date]+Table1[Data Local Authority])</f>
        <v>#VALUE!</v>
      </c>
      <c r="EF187" s="44">
        <f>IF(Table1[Registered with GP]="Yes",1,0)</f>
        <v>0</v>
      </c>
      <c r="EG187" s="44">
        <f>SUM(Table1[Data Start Date]+Table1[Data GP Start])</f>
        <v>0</v>
      </c>
      <c r="EH187" s="44" t="str">
        <f>IF(Table1[EET]="NEET",1,IF(Table1[EET]="Education",2,IF(Table1[EET]="Employment",2,IF(Table1[EET]="Training",2,IF(Table1[EET]="Retired",3,"")))))</f>
        <v/>
      </c>
      <c r="EI187" s="44" t="e">
        <f>Table1[Data Start Date]+Table1[Data EET Start]</f>
        <v>#VALUE!</v>
      </c>
      <c r="EJ187" s="44" t="b">
        <f>IF(Table1[Leaving Date]&gt;42735,8000,IF(Table1[Leaving Date]&gt;42643,7000,IF(Table1[Leaving Date]&gt;42551,6000,IF(Table1[Leaving Date]&gt;42460,5000,IF(Table1[Leaving Date]&gt;42369,4000,IF(Table1[Leaving Date]&gt;42277,3000,IF(Table1[Leaving Date]&gt;42185,2000,IF(Table1[Leaving Date]&gt;42094,1000))))))))</f>
        <v>0</v>
      </c>
      <c r="EK187" s="44" t="e">
        <f>VLOOKUP(Table1[Reason for Leaving],Lists!$T$2:$U$15,2,FALSE)</f>
        <v>#N/A</v>
      </c>
      <c r="EL187" s="44" t="e">
        <f>SUM(Table1[Data Leavers Date]+Table1[Data Move On])</f>
        <v>#N/A</v>
      </c>
      <c r="EM187" s="44" t="b">
        <f>IF(Table1[Registered with GP2]="Yes",1,IF(Table1[Registered with GP2]="No",0,IF(Table1[Registered with GP]="Yes",1,IF(Table1[Registered with GP]="No",0))))</f>
        <v>0</v>
      </c>
      <c r="EN187" s="44">
        <f>SUM(Table1[Data Leavers Date]+Table1[Data GP End])</f>
        <v>0</v>
      </c>
      <c r="EO187" s="44" t="str">
        <f>IF(Table1[EET2]="NEET",1,IF(Table1[EET2]="Employment",2,IF(Table1[EET2]="Education",2,IF(Table1[EET2]="Training",2,IF(Table1[EET2]="Retired",3,IF(Table1[EET]="NEET",1,IF(Table1[EET]="Employment",2,IF(Table1[EET]="Education",2,IF(Table1[EET]="Training",2,IF(Table1[EET]="Retired",3,""))))))))))</f>
        <v/>
      </c>
      <c r="EP187" s="44" t="e">
        <f>+Table1[[#This Row],[Data Leavers Date]]+Table1[[#This Row],[Data EET End]]</f>
        <v>#VALUE!</v>
      </c>
      <c r="EQ187" s="44">
        <f>IF(Table1[Exit Form Received]="Yes",1,0)</f>
        <v>0</v>
      </c>
      <c r="ER187" s="44">
        <f>+Table1[[#This Row],[Data Leavers Date]]+Table1[[#This Row],[Data Exit Forms]]</f>
        <v>0</v>
      </c>
      <c r="ES187" s="44" t="str">
        <f>IF(Table1[Data Leavers Date]=1000,SUM(Table1[Leaving Date]-Table1[Start Date]),"")</f>
        <v/>
      </c>
      <c r="ET187" s="44" t="str">
        <f>IF(Table1[Data Leavers Date]=2000,SUM(Table1[Leaving Date]-Table1[Start Date]),"")</f>
        <v/>
      </c>
      <c r="EU187" s="44" t="str">
        <f>IF(Table1[Data Leavers Date]=3000,SUM(Table1[Leaving Date]-Table1[Start Date]),"")</f>
        <v/>
      </c>
      <c r="EV187" s="44" t="str">
        <f>IF(Table1[Data Leavers Date]=4000,SUM(Table1[Leaving Date]-Table1[Start Date]),"")</f>
        <v/>
      </c>
      <c r="EW187" s="44" t="str">
        <f>IF(Table1[Data Leavers Date]=5000,SUM(Table1[Leaving Date]-Table1[Start Date]),"")</f>
        <v/>
      </c>
      <c r="EX187" s="44" t="str">
        <f>IF(Table1[Data Leavers Date]=6000,SUM(Table1[Leaving Date]-Table1[Start Date]),"")</f>
        <v/>
      </c>
      <c r="EY187" s="44" t="str">
        <f>IF(Table1[Data Leavers Date]=7000,SUM(Table1[Leaving Date]-Table1[Start Date]),"")</f>
        <v/>
      </c>
      <c r="EZ187" s="44" t="str">
        <f>IF(Table1[Data Leavers Date]=8000,SUM(Table1[Leaving Date]-Table1[Start Date]),"")</f>
        <v/>
      </c>
      <c r="FA187" s="44" t="str">
        <f>IF(Table1[Date of Initial Assessment]="","",IF(AND(Table1[Start Date]&gt;42094,Table1[Start Date]&lt;42461),Table1[Motivation and Taking Responsibility],""))</f>
        <v/>
      </c>
      <c r="FB187" s="44" t="str">
        <f>IF(Table1[Date of Initial Assessment]="","",IF(AND(Table1[Start Date]&gt;42094,Table1[Start Date]&lt;42461),Table1[Self-Care and Living Skills],""))</f>
        <v/>
      </c>
      <c r="FC187" s="44" t="str">
        <f>IF(Table1[Date of Initial Assessment]="","",IF(AND(Table1[Start Date]&gt;42094,Table1[Start Date]&lt;42461),Table1[Managing Money and Personal Administration],""))</f>
        <v/>
      </c>
      <c r="FD187" s="44" t="str">
        <f>IF(Table1[Date of Initial Assessment]="","",IF(AND(Table1[Start Date]&gt;42094,Table1[Start Date]&lt;42461),Table1[Social Networks and Relationships],""))</f>
        <v/>
      </c>
      <c r="FE187" s="44" t="str">
        <f>IF(Table1[Date of Initial Assessment]="","",IF(AND(Table1[Start Date]&gt;42094,Table1[Start Date]&lt;42461),Table1[Drug and Alcohol Misuse],""))</f>
        <v/>
      </c>
      <c r="FF187" s="44" t="str">
        <f>IF(Table1[Date of Initial Assessment]="","",IF(AND(Table1[Start Date]&gt;42094,Table1[Start Date]&lt;42461),Table1[Physical Health],""))</f>
        <v/>
      </c>
      <c r="FG187" s="44" t="str">
        <f>IF(Table1[Date of Initial Assessment]="","",IF(AND(Table1[Start Date]&gt;42094,Table1[Start Date]&lt;42461),Table1[Emotional and Mental Health],""))</f>
        <v/>
      </c>
      <c r="FH187" s="44" t="str">
        <f>IF(Table1[Date of Initial Assessment]="","",IF(AND(Table1[Start Date]&gt;42094,Table1[Start Date]&lt;42461),Table1[Meaningful Use of Time],""))</f>
        <v/>
      </c>
      <c r="FI187" s="44" t="str">
        <f>IF(Table1[Date of Initial Assessment]="","",IF(AND(Table1[Start Date]&gt;42094,Table1[Start Date]&lt;42461),Table1[Managing Tenancy and Accommodation],""))</f>
        <v/>
      </c>
      <c r="FJ187" s="44" t="str">
        <f>IF(Table1[Date of Initial Assessment]="","",IF(AND(Table1[Start Date]&gt;42094,Table1[Start Date]&lt;42461),Table1[Offending],""))</f>
        <v/>
      </c>
      <c r="FK187" s="44" t="str">
        <f>IF(Table1[Leaving Date]="","",IF(Table1[Date of Initial Assessment]="","",IF(AND(Table1[Leaving Date]&gt;42094,Table1[Leaving Date]&lt;42461),IF(Table1[Date of Last Assessment]="",Table1[Motivation and Taking Responsibility],Table1[Motivation and Taking Responsibility2]),"")))</f>
        <v/>
      </c>
      <c r="FL187" s="44" t="str">
        <f>IF(Table1[Leaving Date]="","",IF(Table1[Date of Initial Assessment]="","",IF(AND(Table1[Leaving Date]&gt;42094,Table1[Leaving Date]&lt;42461),IF(Table1[Date of Last Assessment]="",Table1[Self-Care and Living Skills],Table1[Self-Care and Living Skills2]),"")))</f>
        <v/>
      </c>
      <c r="FM187" s="44" t="str">
        <f>IF(Table1[Leaving Date]="","",IF(Table1[Date of Initial Assessment]="","",IF(AND(Table1[Leaving Date]&gt;42094,Table1[Leaving Date]&lt;42461),IF(Table1[Date of Last Assessment]="",Table1[Managing Money and Personal Administration],Table1[Managing Money and Personal Administration2]),"")))</f>
        <v/>
      </c>
      <c r="FN187" s="44" t="str">
        <f>IF(Table1[Leaving Date]="","",IF(Table1[Date of Initial Assessment]="","",IF(AND(Table1[Leaving Date]&gt;42094,Table1[Leaving Date]&lt;42461),IF(Table1[Date of Last Assessment]="",Table1[Social Networks and Relationships],Table1[Social Networks and Relationships2]),"")))</f>
        <v/>
      </c>
      <c r="FO187" s="44" t="str">
        <f>IF(Table1[Leaving Date]="","",IF(Table1[Date of Initial Assessment]="","",IF(AND(Table1[Leaving Date]&gt;42094,Table1[Leaving Date]&lt;42461),IF(Table1[Date of Last Assessment]="",Table1[Drug and Alcohol Misuse],Table1[Drug and Alcohol Misuse2]),"")))</f>
        <v/>
      </c>
      <c r="FP187" s="44" t="str">
        <f>IF(Table1[Leaving Date]="","",IF(Table1[Date of Initial Assessment]="","",IF(AND(Table1[Leaving Date]&gt;42094,Table1[Leaving Date]&lt;42461),IF(Table1[Date of Last Assessment]="",Table1[Physical Health],Table1[Physical Health2]),"")))</f>
        <v/>
      </c>
      <c r="FQ187" s="44" t="str">
        <f>IF(Table1[Leaving Date]="","",IF(Table1[Date of Initial Assessment]="","",IF(AND(Table1[Leaving Date]&gt;42094,Table1[Leaving Date]&lt;42461),IF(Table1[Date of Last Assessment]="",Table1[Emotional and Mental Health],Table1[Emotional and Mental Health2]),"")))</f>
        <v/>
      </c>
      <c r="FR187" s="44" t="str">
        <f>IF(Table1[Leaving Date]="","",IF(Table1[Date of Initial Assessment]="","",IF(AND(Table1[Leaving Date]&gt;42094,Table1[Leaving Date]&lt;42461),IF(Table1[Date of Last Assessment]="",Table1[Meaningful Use of Time],Table1[Meaningful Use of Time2]),"")))</f>
        <v/>
      </c>
      <c r="FS187" s="44" t="str">
        <f>IF(Table1[Leaving Date]="","",IF(Table1[Date of Initial Assessment]="","",IF(AND(Table1[Leaving Date]&gt;42094,Table1[Leaving Date]&lt;42461),IF(Table1[Date of Last Assessment]="",Table1[Managing Tenancy and Accommodation],Table1[Managing Tenancy and Accommodation2]),"")))</f>
        <v/>
      </c>
      <c r="FT187" s="44" t="str">
        <f>IF(Table1[Leaving Date]="","",IF(Table1[Date of Initial Assessment]="","",IF(AND(Table1[Leaving Date]&gt;42094,Table1[Leaving Date]&lt;42461),IF(Table1[Date of Last Assessment]="",Table1[Offending],Table1[Offending2]),"")))</f>
        <v/>
      </c>
      <c r="FU187" s="44" t="str">
        <f>IF(Table1[Date of Initial Assessment]="","",IF(AND(Table1[Start Date]&gt;42460,Table1[Start Date]&lt;42826),Table1[Motivation and Taking Responsibility],""))</f>
        <v/>
      </c>
      <c r="FV187" s="44" t="str">
        <f>IF(Table1[Date of Initial Assessment]="","",IF(AND(Table1[Start Date]&gt;42460,Table1[Start Date]&lt;42826),Table1[Self-Care and Living Skills],""))</f>
        <v/>
      </c>
      <c r="FW187" s="44" t="str">
        <f>IF(Table1[Date of Initial Assessment]="","",IF(AND(Table1[Start Date]&gt;42460,Table1[Start Date]&lt;42826),Table1[Managing Money and Personal Administration],""))</f>
        <v/>
      </c>
      <c r="FX187" s="44" t="str">
        <f>IF(Table1[Date of Initial Assessment]="","",IF(AND(Table1[Start Date]&gt;42460,Table1[Start Date]&lt;42826),Table1[Social Networks and Relationships],""))</f>
        <v/>
      </c>
      <c r="FY187" s="44" t="str">
        <f>IF(Table1[Date of Initial Assessment]="","",IF(AND(Table1[Start Date]&gt;42460,Table1[Start Date]&lt;42826),Table1[Drug and Alcohol Misuse],""))</f>
        <v/>
      </c>
      <c r="FZ187" s="44" t="str">
        <f>IF(Table1[Date of Initial Assessment]="","",IF(AND(Table1[Start Date]&gt;42460,Table1[Start Date]&lt;42826),Table1[Physical Health],""))</f>
        <v/>
      </c>
      <c r="GA187" s="44" t="str">
        <f>IF(Table1[Date of Initial Assessment]="","",IF(AND(Table1[Start Date]&gt;42460,Table1[Start Date]&lt;42826),Table1[Emotional and Mental Health],""))</f>
        <v/>
      </c>
      <c r="GB187" s="44" t="str">
        <f>IF(Table1[Date of Initial Assessment]="","",IF(AND(Table1[Start Date]&gt;42460,Table1[Start Date]&lt;42826),Table1[Meaningful Use of Time],""))</f>
        <v/>
      </c>
      <c r="GC187" s="44" t="str">
        <f>IF(Table1[Date of Initial Assessment]="","",IF(AND(Table1[Start Date]&gt;42460,Table1[Start Date]&lt;42826),Table1[Managing Tenancy and Accommodation],""))</f>
        <v/>
      </c>
      <c r="GD187" s="44" t="str">
        <f>IF(Table1[Date of Initial Assessment]="","",IF(AND(Table1[Start Date]&gt;42460,Table1[Start Date]&lt;42826),Table1[Offending],""))</f>
        <v/>
      </c>
      <c r="GE187" s="44" t="str">
        <f>IF(Table1[Leaving Date]="","",IF(AND(Table1[Leaving Date]&gt;42460,Table1[Leaving Date]&lt;42826),IF(Table1[Date of Last Assessment]="",Table1[Motivation and Taking Responsibility],Table1[Motivation and Taking Responsibility2]),""))</f>
        <v/>
      </c>
      <c r="GF187" s="44" t="str">
        <f>IF(Table1[Leaving Date]="","",IF(AND(Table1[Leaving Date]&gt;42460,Table1[Leaving Date]&lt;42826),IF(Table1[Date of Last Assessment]="",Table1[Self-Care and Living Skills],Table1[Self-Care and Living Skills2]),""))</f>
        <v/>
      </c>
      <c r="GG187" s="44" t="str">
        <f>IF(Table1[Leaving Date]="","",IF(AND(Table1[Leaving Date]&gt;42460,Table1[Leaving Date]&lt;42826),IF(Table1[Date of Last Assessment]="",Table1[Managing Money and Personal Administration],Table1[Managing Money and Personal Administration2]),""))</f>
        <v/>
      </c>
      <c r="GH187" s="44" t="str">
        <f>IF(Table1[Leaving Date]="","",IF(AND(Table1[Leaving Date]&gt;42460,Table1[Leaving Date]&lt;42826),IF(Table1[Date of Last Assessment]="",Table1[Social Networks and Relationships],Table1[Social Networks and Relationships2]),""))</f>
        <v/>
      </c>
      <c r="GI187" s="44" t="str">
        <f>IF(Table1[Leaving Date]="","",IF(AND(Table1[Leaving Date]&gt;42460,Table1[Leaving Date]&lt;42826),IF(Table1[Date of Last Assessment]="",Table1[Drug and Alcohol Misuse],Table1[Drug and Alcohol Misuse2]),""))</f>
        <v/>
      </c>
      <c r="GJ187" s="44" t="str">
        <f>IF(Table1[Leaving Date]="","",IF(AND(Table1[Leaving Date]&gt;42460,Table1[Leaving Date]&lt;42826),IF(Table1[Date of Last Assessment]="",Table1[Physical Health],Table1[Physical Health2]),""))</f>
        <v/>
      </c>
      <c r="GK187" s="44" t="str">
        <f>IF(Table1[Leaving Date]="","",IF(AND(Table1[Leaving Date]&gt;42460,Table1[Leaving Date]&lt;42826),IF(Table1[Date of Last Assessment]="",Table1[Emotional and Mental Health],Table1[Emotional and Mental Health2]),""))</f>
        <v/>
      </c>
      <c r="GL187" s="44" t="str">
        <f>IF(Table1[Leaving Date]="","",IF(AND(Table1[Leaving Date]&gt;42460,Table1[Leaving Date]&lt;42826),IF(Table1[Date of Last Assessment]="",Table1[Meaningful Use of Time],Table1[Meaningful Use of Time2]),""))</f>
        <v/>
      </c>
      <c r="GM187" s="44" t="str">
        <f>IF(Table1[Leaving Date]="","",IF(AND(Table1[Leaving Date]&gt;42460,Table1[Leaving Date]&lt;42826),IF(Table1[Date of Last Assessment]="",Table1[Managing Tenancy and Accommodation],Table1[Managing Tenancy and Accommodation2]),""))</f>
        <v/>
      </c>
      <c r="GN187" s="44" t="str">
        <f>IF(Table1[Leaving Date]="","",IF(AND(Table1[Leaving Date]&gt;42460,Table1[Leaving Date]&lt;42826),IF(Table1[Date of Last Assessment]="",Table1[Offending],Table1[Offending2]),""))</f>
        <v/>
      </c>
    </row>
    <row r="188" spans="2:196" ht="20.100000000000001" customHeight="1" x14ac:dyDescent="0.2">
      <c r="B188" s="86">
        <f>+'Service Data'!$C$5:$C$5</f>
        <v>0</v>
      </c>
      <c r="C188" s="86"/>
      <c r="D188" s="86"/>
      <c r="E188" s="86"/>
      <c r="F188" s="86"/>
      <c r="G188" s="86"/>
      <c r="H188" s="6"/>
      <c r="I188" s="99" t="str">
        <f ca="1">IF(Table1[[#This Row],[Date of Birth]]="","",SUM(TODAY()-Table1[[#This Row],[Date of Birth]])/365)</f>
        <v/>
      </c>
      <c r="L188" s="86"/>
      <c r="M188" s="77"/>
      <c r="N188" s="86"/>
      <c r="O188" s="86"/>
      <c r="P188" s="91"/>
      <c r="Q188" s="86"/>
      <c r="R188" s="77"/>
      <c r="S188" s="77"/>
      <c r="T188" s="68"/>
      <c r="U188" s="68"/>
      <c r="V188" s="67"/>
      <c r="W188" s="67"/>
      <c r="X188" s="67"/>
      <c r="Y188" s="67"/>
      <c r="Z188" s="67"/>
      <c r="AA188" s="67"/>
      <c r="AB188" s="67"/>
      <c r="AC188" s="67"/>
      <c r="AD188" s="67"/>
      <c r="AE188" s="67"/>
      <c r="AF188" s="67"/>
      <c r="AG188" s="67"/>
      <c r="AH188" s="67"/>
      <c r="AI188" s="67"/>
      <c r="AJ188" s="67"/>
      <c r="AK188" s="67"/>
      <c r="AL188" s="67"/>
      <c r="AM188" s="67"/>
      <c r="AN188" s="77"/>
      <c r="AO188" s="76"/>
      <c r="AP188" s="77"/>
      <c r="AQ188" s="76"/>
      <c r="AR188" s="76"/>
      <c r="AS188" s="76"/>
      <c r="AT188" s="76"/>
      <c r="AU188" s="76"/>
      <c r="AV188" s="77"/>
      <c r="AW188" s="76"/>
      <c r="AX188" s="77"/>
      <c r="AY188" s="76"/>
      <c r="AZ188" s="76"/>
      <c r="BA188" s="76"/>
      <c r="BB188" s="76"/>
      <c r="BC188" s="76"/>
      <c r="BD188" s="77"/>
      <c r="BE188" s="76"/>
      <c r="BF188" s="77"/>
      <c r="BG188" s="76"/>
      <c r="BH188" s="76"/>
      <c r="BI188" s="76"/>
      <c r="BJ188" s="76"/>
      <c r="BK188" s="76"/>
      <c r="BL188" s="77"/>
      <c r="BM188" s="76"/>
      <c r="BN188" s="77"/>
      <c r="BO188" s="76"/>
      <c r="BP188" s="76"/>
      <c r="BQ188" s="76"/>
      <c r="BR188" s="76"/>
      <c r="BS188" s="76"/>
      <c r="BT188" s="77"/>
      <c r="BU188" s="76"/>
      <c r="BV188" s="77"/>
      <c r="BW188" s="76"/>
      <c r="BX188" s="76"/>
      <c r="BY188" s="76"/>
      <c r="BZ188" s="76"/>
      <c r="CA188" s="76"/>
      <c r="CB188" s="77"/>
      <c r="CC188" s="76"/>
      <c r="CD188" s="77"/>
      <c r="CE188" s="76"/>
      <c r="CF188" s="76"/>
      <c r="CG188" s="76"/>
      <c r="CH188" s="76"/>
      <c r="CI188" s="76"/>
      <c r="CJ188" s="77"/>
      <c r="CK188" s="76"/>
      <c r="CL188" s="77"/>
      <c r="CM188" s="76"/>
      <c r="CN188" s="76"/>
      <c r="CO188" s="76"/>
      <c r="CP188" s="76"/>
      <c r="CQ188" s="76"/>
      <c r="CR188" s="78" t="str">
        <f t="shared" si="47"/>
        <v/>
      </c>
      <c r="CS188" s="79" t="str">
        <f t="shared" si="48"/>
        <v/>
      </c>
      <c r="CT188" s="79" t="str">
        <f t="shared" si="49"/>
        <v/>
      </c>
      <c r="CU188" s="79" t="str">
        <f t="shared" si="50"/>
        <v/>
      </c>
      <c r="CV188" s="79" t="str">
        <f t="shared" si="51"/>
        <v/>
      </c>
      <c r="CW188" s="79" t="str">
        <f t="shared" si="52"/>
        <v/>
      </c>
      <c r="CX188" s="79" t="str">
        <f t="shared" si="53"/>
        <v/>
      </c>
      <c r="CY188" s="79" t="str">
        <f t="shared" si="54"/>
        <v/>
      </c>
      <c r="CZ188" s="79" t="str">
        <f t="shared" si="55"/>
        <v/>
      </c>
      <c r="DA188" s="79" t="str">
        <f t="shared" si="56"/>
        <v/>
      </c>
      <c r="DB188" s="79" t="str">
        <f t="shared" si="57"/>
        <v/>
      </c>
      <c r="DC188" s="79" t="str">
        <f t="shared" si="58"/>
        <v/>
      </c>
      <c r="DD188" s="79" t="str">
        <f t="shared" si="59"/>
        <v/>
      </c>
      <c r="DE188" s="79" t="str">
        <f t="shared" si="60"/>
        <v/>
      </c>
      <c r="DF188" s="79" t="str">
        <f t="shared" si="61"/>
        <v/>
      </c>
      <c r="DG188" s="79" t="str">
        <f t="shared" si="62"/>
        <v/>
      </c>
      <c r="DH188" s="76"/>
      <c r="DI188" s="78"/>
      <c r="DJ188" s="76"/>
      <c r="DK188" s="77"/>
      <c r="DL188" s="77"/>
      <c r="DM188" s="77"/>
      <c r="DN188" s="80"/>
      <c r="DO188" s="80"/>
      <c r="DP188" s="92" t="str">
        <f>IF(Table1[Start Date]="","",IF(Table1[Start Date]&gt;42185,"",IF(AND(Table1[Leaving Date]&gt;1,Table1[Leaving Date]&lt;42095),"",1)))</f>
        <v/>
      </c>
      <c r="DQ188" s="92" t="str">
        <f>IF(Table1[Start Date]="","",IF(Table1[Start Date]&gt;42277,"",IF(AND(Table1[Leaving Date]&gt;1,Table1[Leaving Date]&lt;42186),"",1)))</f>
        <v/>
      </c>
      <c r="DR188" s="92" t="str">
        <f>IF(Table1[Start Date]="","",IF(Table1[Start Date]&gt;42369,"",IF(AND(Table1[Leaving Date]&gt;1,Table1[Leaving Date]&lt;42278),"",1)))</f>
        <v/>
      </c>
      <c r="DS188" s="92" t="str">
        <f>IF(Table1[Start Date]="","",IF(Table1[Start Date]&gt;42460,"",IF(AND(Table1[Leaving Date]&gt;1,Table1[Leaving Date]&lt;42370),"",1)))</f>
        <v/>
      </c>
      <c r="DT188" s="92" t="str">
        <f>IF(Table1[Start Date]="","",IF(Table1[Start Date]&gt;42551,"",IF(AND(Table1[Leaving Date]&gt;1,Table1[Leaving Date]&lt;42461),"",1)))</f>
        <v/>
      </c>
      <c r="DU188" s="92" t="str">
        <f>IF(Table1[Start Date]="","",IF(Table1[Start Date]&gt;42643,"",IF(AND(Table1[Leaving Date]&gt;1,Table1[Leaving Date]&lt;42552),"",1)))</f>
        <v/>
      </c>
      <c r="DV188" s="92" t="str">
        <f>IF(Table1[Start Date]="","",IF(Table1[Start Date]&gt;42735,"",IF(AND(Table1[Leaving Date]&gt;1,Table1[Leaving Date]&lt;42644),"",1)))</f>
        <v/>
      </c>
      <c r="DW188" s="92" t="str">
        <f>IF(Table1[Start Date]="","",IF(Table1[Start Date]&gt;42825,"",IF(AND(Table1[Leaving Date]&gt;1,Table1[Leaving Date]&lt;42736),"",1)))</f>
        <v/>
      </c>
      <c r="DX188"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188" s="44" t="e">
        <f>VLOOKUP(Table1[Referral Source],Lists!$G$2:$H$20,2,FALSE)</f>
        <v>#N/A</v>
      </c>
      <c r="DZ188" s="93" t="e">
        <f>SUM(Table1[Data Referral Quarter]+Table1[Data Referral Source])</f>
        <v>#N/A</v>
      </c>
      <c r="EA188" s="44" t="b">
        <f>IF(Table1[Referral Decision]="Accepted",100,IF(Table1[Referral Decision]="Rejected by Provider",200,IF(Table1[Referral Decision]="Rejected by Applicant",300)))</f>
        <v>0</v>
      </c>
      <c r="EB188" s="44">
        <f>SUM(Table1[Data Referral Quarter]+Table1[Data Referral Decision])</f>
        <v>0</v>
      </c>
      <c r="EC188" s="44" t="b">
        <f>IF(Table1[Start Date]&gt;42735,8000,IF(Table1[Start Date]&gt;42643,7000,IF(Table1[Start Date]&gt;42551,6000,IF(Table1[Start Date]&gt;42460,5000,IF(Table1[Start Date]&gt;42369,4000,IF(Table1[Start Date]&gt;42277,3000,IF(Table1[Start Date]&gt;42185,2000,IF(Table1[Start Date]&gt;42094,1000))))))))</f>
        <v>0</v>
      </c>
      <c r="ED188" s="44" t="str">
        <f>IF(Table1[Start Date]="","",IF(Table1[Current Local Authority]="Swindon",1,"2"))</f>
        <v/>
      </c>
      <c r="EE188" s="44" t="e">
        <f>SUM(Table1[Data Start Date]+Table1[Data Local Authority])</f>
        <v>#VALUE!</v>
      </c>
      <c r="EF188" s="44">
        <f>IF(Table1[Registered with GP]="Yes",1,0)</f>
        <v>0</v>
      </c>
      <c r="EG188" s="44">
        <f>SUM(Table1[Data Start Date]+Table1[Data GP Start])</f>
        <v>0</v>
      </c>
      <c r="EH188" s="44" t="str">
        <f>IF(Table1[EET]="NEET",1,IF(Table1[EET]="Education",2,IF(Table1[EET]="Employment",2,IF(Table1[EET]="Training",2,IF(Table1[EET]="Retired",3,"")))))</f>
        <v/>
      </c>
      <c r="EI188" s="44" t="e">
        <f>Table1[Data Start Date]+Table1[Data EET Start]</f>
        <v>#VALUE!</v>
      </c>
      <c r="EJ188" s="44" t="b">
        <f>IF(Table1[Leaving Date]&gt;42735,8000,IF(Table1[Leaving Date]&gt;42643,7000,IF(Table1[Leaving Date]&gt;42551,6000,IF(Table1[Leaving Date]&gt;42460,5000,IF(Table1[Leaving Date]&gt;42369,4000,IF(Table1[Leaving Date]&gt;42277,3000,IF(Table1[Leaving Date]&gt;42185,2000,IF(Table1[Leaving Date]&gt;42094,1000))))))))</f>
        <v>0</v>
      </c>
      <c r="EK188" s="44" t="e">
        <f>VLOOKUP(Table1[Reason for Leaving],Lists!$T$2:$U$15,2,FALSE)</f>
        <v>#N/A</v>
      </c>
      <c r="EL188" s="44" t="e">
        <f>SUM(Table1[Data Leavers Date]+Table1[Data Move On])</f>
        <v>#N/A</v>
      </c>
      <c r="EM188" s="44" t="b">
        <f>IF(Table1[Registered with GP2]="Yes",1,IF(Table1[Registered with GP2]="No",0,IF(Table1[Registered with GP]="Yes",1,IF(Table1[Registered with GP]="No",0))))</f>
        <v>0</v>
      </c>
      <c r="EN188" s="44">
        <f>SUM(Table1[Data Leavers Date]+Table1[Data GP End])</f>
        <v>0</v>
      </c>
      <c r="EO188" s="44" t="str">
        <f>IF(Table1[EET2]="NEET",1,IF(Table1[EET2]="Employment",2,IF(Table1[EET2]="Education",2,IF(Table1[EET2]="Training",2,IF(Table1[EET2]="Retired",3,IF(Table1[EET]="NEET",1,IF(Table1[EET]="Employment",2,IF(Table1[EET]="Education",2,IF(Table1[EET]="Training",2,IF(Table1[EET]="Retired",3,""))))))))))</f>
        <v/>
      </c>
      <c r="EP188" s="44" t="e">
        <f>+Table1[[#This Row],[Data Leavers Date]]+Table1[[#This Row],[Data EET End]]</f>
        <v>#VALUE!</v>
      </c>
      <c r="EQ188" s="44">
        <f>IF(Table1[Exit Form Received]="Yes",1,0)</f>
        <v>0</v>
      </c>
      <c r="ER188" s="44">
        <f>+Table1[[#This Row],[Data Leavers Date]]+Table1[[#This Row],[Data Exit Forms]]</f>
        <v>0</v>
      </c>
      <c r="ES188" s="44" t="str">
        <f>IF(Table1[Data Leavers Date]=1000,SUM(Table1[Leaving Date]-Table1[Start Date]),"")</f>
        <v/>
      </c>
      <c r="ET188" s="44" t="str">
        <f>IF(Table1[Data Leavers Date]=2000,SUM(Table1[Leaving Date]-Table1[Start Date]),"")</f>
        <v/>
      </c>
      <c r="EU188" s="44" t="str">
        <f>IF(Table1[Data Leavers Date]=3000,SUM(Table1[Leaving Date]-Table1[Start Date]),"")</f>
        <v/>
      </c>
      <c r="EV188" s="44" t="str">
        <f>IF(Table1[Data Leavers Date]=4000,SUM(Table1[Leaving Date]-Table1[Start Date]),"")</f>
        <v/>
      </c>
      <c r="EW188" s="44" t="str">
        <f>IF(Table1[Data Leavers Date]=5000,SUM(Table1[Leaving Date]-Table1[Start Date]),"")</f>
        <v/>
      </c>
      <c r="EX188" s="44" t="str">
        <f>IF(Table1[Data Leavers Date]=6000,SUM(Table1[Leaving Date]-Table1[Start Date]),"")</f>
        <v/>
      </c>
      <c r="EY188" s="44" t="str">
        <f>IF(Table1[Data Leavers Date]=7000,SUM(Table1[Leaving Date]-Table1[Start Date]),"")</f>
        <v/>
      </c>
      <c r="EZ188" s="44" t="str">
        <f>IF(Table1[Data Leavers Date]=8000,SUM(Table1[Leaving Date]-Table1[Start Date]),"")</f>
        <v/>
      </c>
      <c r="FA188" s="44" t="str">
        <f>IF(Table1[Date of Initial Assessment]="","",IF(AND(Table1[Start Date]&gt;42094,Table1[Start Date]&lt;42461),Table1[Motivation and Taking Responsibility],""))</f>
        <v/>
      </c>
      <c r="FB188" s="44" t="str">
        <f>IF(Table1[Date of Initial Assessment]="","",IF(AND(Table1[Start Date]&gt;42094,Table1[Start Date]&lt;42461),Table1[Self-Care and Living Skills],""))</f>
        <v/>
      </c>
      <c r="FC188" s="44" t="str">
        <f>IF(Table1[Date of Initial Assessment]="","",IF(AND(Table1[Start Date]&gt;42094,Table1[Start Date]&lt;42461),Table1[Managing Money and Personal Administration],""))</f>
        <v/>
      </c>
      <c r="FD188" s="44" t="str">
        <f>IF(Table1[Date of Initial Assessment]="","",IF(AND(Table1[Start Date]&gt;42094,Table1[Start Date]&lt;42461),Table1[Social Networks and Relationships],""))</f>
        <v/>
      </c>
      <c r="FE188" s="44" t="str">
        <f>IF(Table1[Date of Initial Assessment]="","",IF(AND(Table1[Start Date]&gt;42094,Table1[Start Date]&lt;42461),Table1[Drug and Alcohol Misuse],""))</f>
        <v/>
      </c>
      <c r="FF188" s="44" t="str">
        <f>IF(Table1[Date of Initial Assessment]="","",IF(AND(Table1[Start Date]&gt;42094,Table1[Start Date]&lt;42461),Table1[Physical Health],""))</f>
        <v/>
      </c>
      <c r="FG188" s="44" t="str">
        <f>IF(Table1[Date of Initial Assessment]="","",IF(AND(Table1[Start Date]&gt;42094,Table1[Start Date]&lt;42461),Table1[Emotional and Mental Health],""))</f>
        <v/>
      </c>
      <c r="FH188" s="44" t="str">
        <f>IF(Table1[Date of Initial Assessment]="","",IF(AND(Table1[Start Date]&gt;42094,Table1[Start Date]&lt;42461),Table1[Meaningful Use of Time],""))</f>
        <v/>
      </c>
      <c r="FI188" s="44" t="str">
        <f>IF(Table1[Date of Initial Assessment]="","",IF(AND(Table1[Start Date]&gt;42094,Table1[Start Date]&lt;42461),Table1[Managing Tenancy and Accommodation],""))</f>
        <v/>
      </c>
      <c r="FJ188" s="44" t="str">
        <f>IF(Table1[Date of Initial Assessment]="","",IF(AND(Table1[Start Date]&gt;42094,Table1[Start Date]&lt;42461),Table1[Offending],""))</f>
        <v/>
      </c>
      <c r="FK188" s="44" t="str">
        <f>IF(Table1[Leaving Date]="","",IF(Table1[Date of Initial Assessment]="","",IF(AND(Table1[Leaving Date]&gt;42094,Table1[Leaving Date]&lt;42461),IF(Table1[Date of Last Assessment]="",Table1[Motivation and Taking Responsibility],Table1[Motivation and Taking Responsibility2]),"")))</f>
        <v/>
      </c>
      <c r="FL188" s="44" t="str">
        <f>IF(Table1[Leaving Date]="","",IF(Table1[Date of Initial Assessment]="","",IF(AND(Table1[Leaving Date]&gt;42094,Table1[Leaving Date]&lt;42461),IF(Table1[Date of Last Assessment]="",Table1[Self-Care and Living Skills],Table1[Self-Care and Living Skills2]),"")))</f>
        <v/>
      </c>
      <c r="FM188" s="44" t="str">
        <f>IF(Table1[Leaving Date]="","",IF(Table1[Date of Initial Assessment]="","",IF(AND(Table1[Leaving Date]&gt;42094,Table1[Leaving Date]&lt;42461),IF(Table1[Date of Last Assessment]="",Table1[Managing Money and Personal Administration],Table1[Managing Money and Personal Administration2]),"")))</f>
        <v/>
      </c>
      <c r="FN188" s="44" t="str">
        <f>IF(Table1[Leaving Date]="","",IF(Table1[Date of Initial Assessment]="","",IF(AND(Table1[Leaving Date]&gt;42094,Table1[Leaving Date]&lt;42461),IF(Table1[Date of Last Assessment]="",Table1[Social Networks and Relationships],Table1[Social Networks and Relationships2]),"")))</f>
        <v/>
      </c>
      <c r="FO188" s="44" t="str">
        <f>IF(Table1[Leaving Date]="","",IF(Table1[Date of Initial Assessment]="","",IF(AND(Table1[Leaving Date]&gt;42094,Table1[Leaving Date]&lt;42461),IF(Table1[Date of Last Assessment]="",Table1[Drug and Alcohol Misuse],Table1[Drug and Alcohol Misuse2]),"")))</f>
        <v/>
      </c>
      <c r="FP188" s="44" t="str">
        <f>IF(Table1[Leaving Date]="","",IF(Table1[Date of Initial Assessment]="","",IF(AND(Table1[Leaving Date]&gt;42094,Table1[Leaving Date]&lt;42461),IF(Table1[Date of Last Assessment]="",Table1[Physical Health],Table1[Physical Health2]),"")))</f>
        <v/>
      </c>
      <c r="FQ188" s="44" t="str">
        <f>IF(Table1[Leaving Date]="","",IF(Table1[Date of Initial Assessment]="","",IF(AND(Table1[Leaving Date]&gt;42094,Table1[Leaving Date]&lt;42461),IF(Table1[Date of Last Assessment]="",Table1[Emotional and Mental Health],Table1[Emotional and Mental Health2]),"")))</f>
        <v/>
      </c>
      <c r="FR188" s="44" t="str">
        <f>IF(Table1[Leaving Date]="","",IF(Table1[Date of Initial Assessment]="","",IF(AND(Table1[Leaving Date]&gt;42094,Table1[Leaving Date]&lt;42461),IF(Table1[Date of Last Assessment]="",Table1[Meaningful Use of Time],Table1[Meaningful Use of Time2]),"")))</f>
        <v/>
      </c>
      <c r="FS188" s="44" t="str">
        <f>IF(Table1[Leaving Date]="","",IF(Table1[Date of Initial Assessment]="","",IF(AND(Table1[Leaving Date]&gt;42094,Table1[Leaving Date]&lt;42461),IF(Table1[Date of Last Assessment]="",Table1[Managing Tenancy and Accommodation],Table1[Managing Tenancy and Accommodation2]),"")))</f>
        <v/>
      </c>
      <c r="FT188" s="44" t="str">
        <f>IF(Table1[Leaving Date]="","",IF(Table1[Date of Initial Assessment]="","",IF(AND(Table1[Leaving Date]&gt;42094,Table1[Leaving Date]&lt;42461),IF(Table1[Date of Last Assessment]="",Table1[Offending],Table1[Offending2]),"")))</f>
        <v/>
      </c>
      <c r="FU188" s="44" t="str">
        <f>IF(Table1[Date of Initial Assessment]="","",IF(AND(Table1[Start Date]&gt;42460,Table1[Start Date]&lt;42826),Table1[Motivation and Taking Responsibility],""))</f>
        <v/>
      </c>
      <c r="FV188" s="44" t="str">
        <f>IF(Table1[Date of Initial Assessment]="","",IF(AND(Table1[Start Date]&gt;42460,Table1[Start Date]&lt;42826),Table1[Self-Care and Living Skills],""))</f>
        <v/>
      </c>
      <c r="FW188" s="44" t="str">
        <f>IF(Table1[Date of Initial Assessment]="","",IF(AND(Table1[Start Date]&gt;42460,Table1[Start Date]&lt;42826),Table1[Managing Money and Personal Administration],""))</f>
        <v/>
      </c>
      <c r="FX188" s="44" t="str">
        <f>IF(Table1[Date of Initial Assessment]="","",IF(AND(Table1[Start Date]&gt;42460,Table1[Start Date]&lt;42826),Table1[Social Networks and Relationships],""))</f>
        <v/>
      </c>
      <c r="FY188" s="44" t="str">
        <f>IF(Table1[Date of Initial Assessment]="","",IF(AND(Table1[Start Date]&gt;42460,Table1[Start Date]&lt;42826),Table1[Drug and Alcohol Misuse],""))</f>
        <v/>
      </c>
      <c r="FZ188" s="44" t="str">
        <f>IF(Table1[Date of Initial Assessment]="","",IF(AND(Table1[Start Date]&gt;42460,Table1[Start Date]&lt;42826),Table1[Physical Health],""))</f>
        <v/>
      </c>
      <c r="GA188" s="44" t="str">
        <f>IF(Table1[Date of Initial Assessment]="","",IF(AND(Table1[Start Date]&gt;42460,Table1[Start Date]&lt;42826),Table1[Emotional and Mental Health],""))</f>
        <v/>
      </c>
      <c r="GB188" s="44" t="str">
        <f>IF(Table1[Date of Initial Assessment]="","",IF(AND(Table1[Start Date]&gt;42460,Table1[Start Date]&lt;42826),Table1[Meaningful Use of Time],""))</f>
        <v/>
      </c>
      <c r="GC188" s="44" t="str">
        <f>IF(Table1[Date of Initial Assessment]="","",IF(AND(Table1[Start Date]&gt;42460,Table1[Start Date]&lt;42826),Table1[Managing Tenancy and Accommodation],""))</f>
        <v/>
      </c>
      <c r="GD188" s="44" t="str">
        <f>IF(Table1[Date of Initial Assessment]="","",IF(AND(Table1[Start Date]&gt;42460,Table1[Start Date]&lt;42826),Table1[Offending],""))</f>
        <v/>
      </c>
      <c r="GE188" s="44" t="str">
        <f>IF(Table1[Leaving Date]="","",IF(AND(Table1[Leaving Date]&gt;42460,Table1[Leaving Date]&lt;42826),IF(Table1[Date of Last Assessment]="",Table1[Motivation and Taking Responsibility],Table1[Motivation and Taking Responsibility2]),""))</f>
        <v/>
      </c>
      <c r="GF188" s="44" t="str">
        <f>IF(Table1[Leaving Date]="","",IF(AND(Table1[Leaving Date]&gt;42460,Table1[Leaving Date]&lt;42826),IF(Table1[Date of Last Assessment]="",Table1[Self-Care and Living Skills],Table1[Self-Care and Living Skills2]),""))</f>
        <v/>
      </c>
      <c r="GG188" s="44" t="str">
        <f>IF(Table1[Leaving Date]="","",IF(AND(Table1[Leaving Date]&gt;42460,Table1[Leaving Date]&lt;42826),IF(Table1[Date of Last Assessment]="",Table1[Managing Money and Personal Administration],Table1[Managing Money and Personal Administration2]),""))</f>
        <v/>
      </c>
      <c r="GH188" s="44" t="str">
        <f>IF(Table1[Leaving Date]="","",IF(AND(Table1[Leaving Date]&gt;42460,Table1[Leaving Date]&lt;42826),IF(Table1[Date of Last Assessment]="",Table1[Social Networks and Relationships],Table1[Social Networks and Relationships2]),""))</f>
        <v/>
      </c>
      <c r="GI188" s="44" t="str">
        <f>IF(Table1[Leaving Date]="","",IF(AND(Table1[Leaving Date]&gt;42460,Table1[Leaving Date]&lt;42826),IF(Table1[Date of Last Assessment]="",Table1[Drug and Alcohol Misuse],Table1[Drug and Alcohol Misuse2]),""))</f>
        <v/>
      </c>
      <c r="GJ188" s="44" t="str">
        <f>IF(Table1[Leaving Date]="","",IF(AND(Table1[Leaving Date]&gt;42460,Table1[Leaving Date]&lt;42826),IF(Table1[Date of Last Assessment]="",Table1[Physical Health],Table1[Physical Health2]),""))</f>
        <v/>
      </c>
      <c r="GK188" s="44" t="str">
        <f>IF(Table1[Leaving Date]="","",IF(AND(Table1[Leaving Date]&gt;42460,Table1[Leaving Date]&lt;42826),IF(Table1[Date of Last Assessment]="",Table1[Emotional and Mental Health],Table1[Emotional and Mental Health2]),""))</f>
        <v/>
      </c>
      <c r="GL188" s="44" t="str">
        <f>IF(Table1[Leaving Date]="","",IF(AND(Table1[Leaving Date]&gt;42460,Table1[Leaving Date]&lt;42826),IF(Table1[Date of Last Assessment]="",Table1[Meaningful Use of Time],Table1[Meaningful Use of Time2]),""))</f>
        <v/>
      </c>
      <c r="GM188" s="44" t="str">
        <f>IF(Table1[Leaving Date]="","",IF(AND(Table1[Leaving Date]&gt;42460,Table1[Leaving Date]&lt;42826),IF(Table1[Date of Last Assessment]="",Table1[Managing Tenancy and Accommodation],Table1[Managing Tenancy and Accommodation2]),""))</f>
        <v/>
      </c>
      <c r="GN188" s="44" t="str">
        <f>IF(Table1[Leaving Date]="","",IF(AND(Table1[Leaving Date]&gt;42460,Table1[Leaving Date]&lt;42826),IF(Table1[Date of Last Assessment]="",Table1[Offending],Table1[Offending2]),""))</f>
        <v/>
      </c>
    </row>
    <row r="189" spans="2:196" ht="20.100000000000001" customHeight="1" x14ac:dyDescent="0.2">
      <c r="B189" s="86">
        <f>+'Service Data'!$C$5:$C$5</f>
        <v>0</v>
      </c>
      <c r="C189" s="86"/>
      <c r="D189" s="86"/>
      <c r="E189" s="86"/>
      <c r="F189" s="86"/>
      <c r="G189" s="86"/>
      <c r="H189" s="6"/>
      <c r="I189" s="99" t="str">
        <f ca="1">IF(Table1[[#This Row],[Date of Birth]]="","",SUM(TODAY()-Table1[[#This Row],[Date of Birth]])/365)</f>
        <v/>
      </c>
      <c r="L189" s="86"/>
      <c r="M189" s="77"/>
      <c r="N189" s="86"/>
      <c r="O189" s="86"/>
      <c r="P189" s="91"/>
      <c r="Q189" s="86"/>
      <c r="R189" s="77"/>
      <c r="S189" s="77"/>
      <c r="T189" s="68"/>
      <c r="U189" s="68"/>
      <c r="V189" s="67"/>
      <c r="W189" s="67"/>
      <c r="X189" s="67"/>
      <c r="Y189" s="67"/>
      <c r="Z189" s="67"/>
      <c r="AA189" s="67"/>
      <c r="AB189" s="67"/>
      <c r="AC189" s="67"/>
      <c r="AD189" s="67"/>
      <c r="AE189" s="67"/>
      <c r="AF189" s="67"/>
      <c r="AG189" s="67"/>
      <c r="AH189" s="67"/>
      <c r="AI189" s="67"/>
      <c r="AJ189" s="67"/>
      <c r="AK189" s="67"/>
      <c r="AL189" s="67"/>
      <c r="AM189" s="67"/>
      <c r="AN189" s="77"/>
      <c r="AO189" s="76"/>
      <c r="AP189" s="77"/>
      <c r="AQ189" s="76"/>
      <c r="AR189" s="76"/>
      <c r="AS189" s="76"/>
      <c r="AT189" s="76"/>
      <c r="AU189" s="76"/>
      <c r="AV189" s="77"/>
      <c r="AW189" s="76"/>
      <c r="AX189" s="77"/>
      <c r="AY189" s="76"/>
      <c r="AZ189" s="76"/>
      <c r="BA189" s="76"/>
      <c r="BB189" s="76"/>
      <c r="BC189" s="76"/>
      <c r="BD189" s="77"/>
      <c r="BE189" s="76"/>
      <c r="BF189" s="77"/>
      <c r="BG189" s="76"/>
      <c r="BH189" s="76"/>
      <c r="BI189" s="76"/>
      <c r="BJ189" s="76"/>
      <c r="BK189" s="76"/>
      <c r="BL189" s="77"/>
      <c r="BM189" s="76"/>
      <c r="BN189" s="77"/>
      <c r="BO189" s="76"/>
      <c r="BP189" s="76"/>
      <c r="BQ189" s="76"/>
      <c r="BR189" s="76"/>
      <c r="BS189" s="76"/>
      <c r="BT189" s="77"/>
      <c r="BU189" s="76"/>
      <c r="BV189" s="77"/>
      <c r="BW189" s="76"/>
      <c r="BX189" s="76"/>
      <c r="BY189" s="76"/>
      <c r="BZ189" s="76"/>
      <c r="CA189" s="76"/>
      <c r="CB189" s="77"/>
      <c r="CC189" s="76"/>
      <c r="CD189" s="77"/>
      <c r="CE189" s="76"/>
      <c r="CF189" s="76"/>
      <c r="CG189" s="76"/>
      <c r="CH189" s="76"/>
      <c r="CI189" s="76"/>
      <c r="CJ189" s="77"/>
      <c r="CK189" s="76"/>
      <c r="CL189" s="77"/>
      <c r="CM189" s="76"/>
      <c r="CN189" s="76"/>
      <c r="CO189" s="76"/>
      <c r="CP189" s="76"/>
      <c r="CQ189" s="76"/>
      <c r="CR189" s="78" t="str">
        <f t="shared" si="47"/>
        <v/>
      </c>
      <c r="CS189" s="79" t="str">
        <f t="shared" si="48"/>
        <v/>
      </c>
      <c r="CT189" s="79" t="str">
        <f t="shared" si="49"/>
        <v/>
      </c>
      <c r="CU189" s="79" t="str">
        <f t="shared" si="50"/>
        <v/>
      </c>
      <c r="CV189" s="79" t="str">
        <f t="shared" si="51"/>
        <v/>
      </c>
      <c r="CW189" s="79" t="str">
        <f t="shared" si="52"/>
        <v/>
      </c>
      <c r="CX189" s="79" t="str">
        <f t="shared" si="53"/>
        <v/>
      </c>
      <c r="CY189" s="79" t="str">
        <f t="shared" si="54"/>
        <v/>
      </c>
      <c r="CZ189" s="79" t="str">
        <f t="shared" si="55"/>
        <v/>
      </c>
      <c r="DA189" s="79" t="str">
        <f t="shared" si="56"/>
        <v/>
      </c>
      <c r="DB189" s="79" t="str">
        <f t="shared" si="57"/>
        <v/>
      </c>
      <c r="DC189" s="79" t="str">
        <f t="shared" si="58"/>
        <v/>
      </c>
      <c r="DD189" s="79" t="str">
        <f t="shared" si="59"/>
        <v/>
      </c>
      <c r="DE189" s="79" t="str">
        <f t="shared" si="60"/>
        <v/>
      </c>
      <c r="DF189" s="79" t="str">
        <f t="shared" si="61"/>
        <v/>
      </c>
      <c r="DG189" s="79" t="str">
        <f t="shared" si="62"/>
        <v/>
      </c>
      <c r="DH189" s="76"/>
      <c r="DI189" s="78"/>
      <c r="DJ189" s="76"/>
      <c r="DK189" s="77"/>
      <c r="DL189" s="77"/>
      <c r="DM189" s="77"/>
      <c r="DN189" s="80"/>
      <c r="DO189" s="80"/>
      <c r="DP189" s="92" t="str">
        <f>IF(Table1[Start Date]="","",IF(Table1[Start Date]&gt;42185,"",IF(AND(Table1[Leaving Date]&gt;1,Table1[Leaving Date]&lt;42095),"",1)))</f>
        <v/>
      </c>
      <c r="DQ189" s="92" t="str">
        <f>IF(Table1[Start Date]="","",IF(Table1[Start Date]&gt;42277,"",IF(AND(Table1[Leaving Date]&gt;1,Table1[Leaving Date]&lt;42186),"",1)))</f>
        <v/>
      </c>
      <c r="DR189" s="92" t="str">
        <f>IF(Table1[Start Date]="","",IF(Table1[Start Date]&gt;42369,"",IF(AND(Table1[Leaving Date]&gt;1,Table1[Leaving Date]&lt;42278),"",1)))</f>
        <v/>
      </c>
      <c r="DS189" s="92" t="str">
        <f>IF(Table1[Start Date]="","",IF(Table1[Start Date]&gt;42460,"",IF(AND(Table1[Leaving Date]&gt;1,Table1[Leaving Date]&lt;42370),"",1)))</f>
        <v/>
      </c>
      <c r="DT189" s="92" t="str">
        <f>IF(Table1[Start Date]="","",IF(Table1[Start Date]&gt;42551,"",IF(AND(Table1[Leaving Date]&gt;1,Table1[Leaving Date]&lt;42461),"",1)))</f>
        <v/>
      </c>
      <c r="DU189" s="92" t="str">
        <f>IF(Table1[Start Date]="","",IF(Table1[Start Date]&gt;42643,"",IF(AND(Table1[Leaving Date]&gt;1,Table1[Leaving Date]&lt;42552),"",1)))</f>
        <v/>
      </c>
      <c r="DV189" s="92" t="str">
        <f>IF(Table1[Start Date]="","",IF(Table1[Start Date]&gt;42735,"",IF(AND(Table1[Leaving Date]&gt;1,Table1[Leaving Date]&lt;42644),"",1)))</f>
        <v/>
      </c>
      <c r="DW189" s="92" t="str">
        <f>IF(Table1[Start Date]="","",IF(Table1[Start Date]&gt;42825,"",IF(AND(Table1[Leaving Date]&gt;1,Table1[Leaving Date]&lt;42736),"",1)))</f>
        <v/>
      </c>
      <c r="DX189"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189" s="44" t="e">
        <f>VLOOKUP(Table1[Referral Source],Lists!$G$2:$H$20,2,FALSE)</f>
        <v>#N/A</v>
      </c>
      <c r="DZ189" s="93" t="e">
        <f>SUM(Table1[Data Referral Quarter]+Table1[Data Referral Source])</f>
        <v>#N/A</v>
      </c>
      <c r="EA189" s="44" t="b">
        <f>IF(Table1[Referral Decision]="Accepted",100,IF(Table1[Referral Decision]="Rejected by Provider",200,IF(Table1[Referral Decision]="Rejected by Applicant",300)))</f>
        <v>0</v>
      </c>
      <c r="EB189" s="44">
        <f>SUM(Table1[Data Referral Quarter]+Table1[Data Referral Decision])</f>
        <v>0</v>
      </c>
      <c r="EC189" s="44" t="b">
        <f>IF(Table1[Start Date]&gt;42735,8000,IF(Table1[Start Date]&gt;42643,7000,IF(Table1[Start Date]&gt;42551,6000,IF(Table1[Start Date]&gt;42460,5000,IF(Table1[Start Date]&gt;42369,4000,IF(Table1[Start Date]&gt;42277,3000,IF(Table1[Start Date]&gt;42185,2000,IF(Table1[Start Date]&gt;42094,1000))))))))</f>
        <v>0</v>
      </c>
      <c r="ED189" s="44" t="str">
        <f>IF(Table1[Start Date]="","",IF(Table1[Current Local Authority]="Swindon",1,"2"))</f>
        <v/>
      </c>
      <c r="EE189" s="44" t="e">
        <f>SUM(Table1[Data Start Date]+Table1[Data Local Authority])</f>
        <v>#VALUE!</v>
      </c>
      <c r="EF189" s="44">
        <f>IF(Table1[Registered with GP]="Yes",1,0)</f>
        <v>0</v>
      </c>
      <c r="EG189" s="44">
        <f>SUM(Table1[Data Start Date]+Table1[Data GP Start])</f>
        <v>0</v>
      </c>
      <c r="EH189" s="44" t="str">
        <f>IF(Table1[EET]="NEET",1,IF(Table1[EET]="Education",2,IF(Table1[EET]="Employment",2,IF(Table1[EET]="Training",2,IF(Table1[EET]="Retired",3,"")))))</f>
        <v/>
      </c>
      <c r="EI189" s="44" t="e">
        <f>Table1[Data Start Date]+Table1[Data EET Start]</f>
        <v>#VALUE!</v>
      </c>
      <c r="EJ189" s="44" t="b">
        <f>IF(Table1[Leaving Date]&gt;42735,8000,IF(Table1[Leaving Date]&gt;42643,7000,IF(Table1[Leaving Date]&gt;42551,6000,IF(Table1[Leaving Date]&gt;42460,5000,IF(Table1[Leaving Date]&gt;42369,4000,IF(Table1[Leaving Date]&gt;42277,3000,IF(Table1[Leaving Date]&gt;42185,2000,IF(Table1[Leaving Date]&gt;42094,1000))))))))</f>
        <v>0</v>
      </c>
      <c r="EK189" s="44" t="e">
        <f>VLOOKUP(Table1[Reason for Leaving],Lists!$T$2:$U$15,2,FALSE)</f>
        <v>#N/A</v>
      </c>
      <c r="EL189" s="44" t="e">
        <f>SUM(Table1[Data Leavers Date]+Table1[Data Move On])</f>
        <v>#N/A</v>
      </c>
      <c r="EM189" s="44" t="b">
        <f>IF(Table1[Registered with GP2]="Yes",1,IF(Table1[Registered with GP2]="No",0,IF(Table1[Registered with GP]="Yes",1,IF(Table1[Registered with GP]="No",0))))</f>
        <v>0</v>
      </c>
      <c r="EN189" s="44">
        <f>SUM(Table1[Data Leavers Date]+Table1[Data GP End])</f>
        <v>0</v>
      </c>
      <c r="EO189" s="44" t="str">
        <f>IF(Table1[EET2]="NEET",1,IF(Table1[EET2]="Employment",2,IF(Table1[EET2]="Education",2,IF(Table1[EET2]="Training",2,IF(Table1[EET2]="Retired",3,IF(Table1[EET]="NEET",1,IF(Table1[EET]="Employment",2,IF(Table1[EET]="Education",2,IF(Table1[EET]="Training",2,IF(Table1[EET]="Retired",3,""))))))))))</f>
        <v/>
      </c>
      <c r="EP189" s="44" t="e">
        <f>+Table1[[#This Row],[Data Leavers Date]]+Table1[[#This Row],[Data EET End]]</f>
        <v>#VALUE!</v>
      </c>
      <c r="EQ189" s="44">
        <f>IF(Table1[Exit Form Received]="Yes",1,0)</f>
        <v>0</v>
      </c>
      <c r="ER189" s="44">
        <f>+Table1[[#This Row],[Data Leavers Date]]+Table1[[#This Row],[Data Exit Forms]]</f>
        <v>0</v>
      </c>
      <c r="ES189" s="44" t="str">
        <f>IF(Table1[Data Leavers Date]=1000,SUM(Table1[Leaving Date]-Table1[Start Date]),"")</f>
        <v/>
      </c>
      <c r="ET189" s="44" t="str">
        <f>IF(Table1[Data Leavers Date]=2000,SUM(Table1[Leaving Date]-Table1[Start Date]),"")</f>
        <v/>
      </c>
      <c r="EU189" s="44" t="str">
        <f>IF(Table1[Data Leavers Date]=3000,SUM(Table1[Leaving Date]-Table1[Start Date]),"")</f>
        <v/>
      </c>
      <c r="EV189" s="44" t="str">
        <f>IF(Table1[Data Leavers Date]=4000,SUM(Table1[Leaving Date]-Table1[Start Date]),"")</f>
        <v/>
      </c>
      <c r="EW189" s="44" t="str">
        <f>IF(Table1[Data Leavers Date]=5000,SUM(Table1[Leaving Date]-Table1[Start Date]),"")</f>
        <v/>
      </c>
      <c r="EX189" s="44" t="str">
        <f>IF(Table1[Data Leavers Date]=6000,SUM(Table1[Leaving Date]-Table1[Start Date]),"")</f>
        <v/>
      </c>
      <c r="EY189" s="44" t="str">
        <f>IF(Table1[Data Leavers Date]=7000,SUM(Table1[Leaving Date]-Table1[Start Date]),"")</f>
        <v/>
      </c>
      <c r="EZ189" s="44" t="str">
        <f>IF(Table1[Data Leavers Date]=8000,SUM(Table1[Leaving Date]-Table1[Start Date]),"")</f>
        <v/>
      </c>
      <c r="FA189" s="44" t="str">
        <f>IF(Table1[Date of Initial Assessment]="","",IF(AND(Table1[Start Date]&gt;42094,Table1[Start Date]&lt;42461),Table1[Motivation and Taking Responsibility],""))</f>
        <v/>
      </c>
      <c r="FB189" s="44" t="str">
        <f>IF(Table1[Date of Initial Assessment]="","",IF(AND(Table1[Start Date]&gt;42094,Table1[Start Date]&lt;42461),Table1[Self-Care and Living Skills],""))</f>
        <v/>
      </c>
      <c r="FC189" s="44" t="str">
        <f>IF(Table1[Date of Initial Assessment]="","",IF(AND(Table1[Start Date]&gt;42094,Table1[Start Date]&lt;42461),Table1[Managing Money and Personal Administration],""))</f>
        <v/>
      </c>
      <c r="FD189" s="44" t="str">
        <f>IF(Table1[Date of Initial Assessment]="","",IF(AND(Table1[Start Date]&gt;42094,Table1[Start Date]&lt;42461),Table1[Social Networks and Relationships],""))</f>
        <v/>
      </c>
      <c r="FE189" s="44" t="str">
        <f>IF(Table1[Date of Initial Assessment]="","",IF(AND(Table1[Start Date]&gt;42094,Table1[Start Date]&lt;42461),Table1[Drug and Alcohol Misuse],""))</f>
        <v/>
      </c>
      <c r="FF189" s="44" t="str">
        <f>IF(Table1[Date of Initial Assessment]="","",IF(AND(Table1[Start Date]&gt;42094,Table1[Start Date]&lt;42461),Table1[Physical Health],""))</f>
        <v/>
      </c>
      <c r="FG189" s="44" t="str">
        <f>IF(Table1[Date of Initial Assessment]="","",IF(AND(Table1[Start Date]&gt;42094,Table1[Start Date]&lt;42461),Table1[Emotional and Mental Health],""))</f>
        <v/>
      </c>
      <c r="FH189" s="44" t="str">
        <f>IF(Table1[Date of Initial Assessment]="","",IF(AND(Table1[Start Date]&gt;42094,Table1[Start Date]&lt;42461),Table1[Meaningful Use of Time],""))</f>
        <v/>
      </c>
      <c r="FI189" s="44" t="str">
        <f>IF(Table1[Date of Initial Assessment]="","",IF(AND(Table1[Start Date]&gt;42094,Table1[Start Date]&lt;42461),Table1[Managing Tenancy and Accommodation],""))</f>
        <v/>
      </c>
      <c r="FJ189" s="44" t="str">
        <f>IF(Table1[Date of Initial Assessment]="","",IF(AND(Table1[Start Date]&gt;42094,Table1[Start Date]&lt;42461),Table1[Offending],""))</f>
        <v/>
      </c>
      <c r="FK189" s="44" t="str">
        <f>IF(Table1[Leaving Date]="","",IF(Table1[Date of Initial Assessment]="","",IF(AND(Table1[Leaving Date]&gt;42094,Table1[Leaving Date]&lt;42461),IF(Table1[Date of Last Assessment]="",Table1[Motivation and Taking Responsibility],Table1[Motivation and Taking Responsibility2]),"")))</f>
        <v/>
      </c>
      <c r="FL189" s="44" t="str">
        <f>IF(Table1[Leaving Date]="","",IF(Table1[Date of Initial Assessment]="","",IF(AND(Table1[Leaving Date]&gt;42094,Table1[Leaving Date]&lt;42461),IF(Table1[Date of Last Assessment]="",Table1[Self-Care and Living Skills],Table1[Self-Care and Living Skills2]),"")))</f>
        <v/>
      </c>
      <c r="FM189" s="44" t="str">
        <f>IF(Table1[Leaving Date]="","",IF(Table1[Date of Initial Assessment]="","",IF(AND(Table1[Leaving Date]&gt;42094,Table1[Leaving Date]&lt;42461),IF(Table1[Date of Last Assessment]="",Table1[Managing Money and Personal Administration],Table1[Managing Money and Personal Administration2]),"")))</f>
        <v/>
      </c>
      <c r="FN189" s="44" t="str">
        <f>IF(Table1[Leaving Date]="","",IF(Table1[Date of Initial Assessment]="","",IF(AND(Table1[Leaving Date]&gt;42094,Table1[Leaving Date]&lt;42461),IF(Table1[Date of Last Assessment]="",Table1[Social Networks and Relationships],Table1[Social Networks and Relationships2]),"")))</f>
        <v/>
      </c>
      <c r="FO189" s="44" t="str">
        <f>IF(Table1[Leaving Date]="","",IF(Table1[Date of Initial Assessment]="","",IF(AND(Table1[Leaving Date]&gt;42094,Table1[Leaving Date]&lt;42461),IF(Table1[Date of Last Assessment]="",Table1[Drug and Alcohol Misuse],Table1[Drug and Alcohol Misuse2]),"")))</f>
        <v/>
      </c>
      <c r="FP189" s="44" t="str">
        <f>IF(Table1[Leaving Date]="","",IF(Table1[Date of Initial Assessment]="","",IF(AND(Table1[Leaving Date]&gt;42094,Table1[Leaving Date]&lt;42461),IF(Table1[Date of Last Assessment]="",Table1[Physical Health],Table1[Physical Health2]),"")))</f>
        <v/>
      </c>
      <c r="FQ189" s="44" t="str">
        <f>IF(Table1[Leaving Date]="","",IF(Table1[Date of Initial Assessment]="","",IF(AND(Table1[Leaving Date]&gt;42094,Table1[Leaving Date]&lt;42461),IF(Table1[Date of Last Assessment]="",Table1[Emotional and Mental Health],Table1[Emotional and Mental Health2]),"")))</f>
        <v/>
      </c>
      <c r="FR189" s="44" t="str">
        <f>IF(Table1[Leaving Date]="","",IF(Table1[Date of Initial Assessment]="","",IF(AND(Table1[Leaving Date]&gt;42094,Table1[Leaving Date]&lt;42461),IF(Table1[Date of Last Assessment]="",Table1[Meaningful Use of Time],Table1[Meaningful Use of Time2]),"")))</f>
        <v/>
      </c>
      <c r="FS189" s="44" t="str">
        <f>IF(Table1[Leaving Date]="","",IF(Table1[Date of Initial Assessment]="","",IF(AND(Table1[Leaving Date]&gt;42094,Table1[Leaving Date]&lt;42461),IF(Table1[Date of Last Assessment]="",Table1[Managing Tenancy and Accommodation],Table1[Managing Tenancy and Accommodation2]),"")))</f>
        <v/>
      </c>
      <c r="FT189" s="44" t="str">
        <f>IF(Table1[Leaving Date]="","",IF(Table1[Date of Initial Assessment]="","",IF(AND(Table1[Leaving Date]&gt;42094,Table1[Leaving Date]&lt;42461),IF(Table1[Date of Last Assessment]="",Table1[Offending],Table1[Offending2]),"")))</f>
        <v/>
      </c>
      <c r="FU189" s="44" t="str">
        <f>IF(Table1[Date of Initial Assessment]="","",IF(AND(Table1[Start Date]&gt;42460,Table1[Start Date]&lt;42826),Table1[Motivation and Taking Responsibility],""))</f>
        <v/>
      </c>
      <c r="FV189" s="44" t="str">
        <f>IF(Table1[Date of Initial Assessment]="","",IF(AND(Table1[Start Date]&gt;42460,Table1[Start Date]&lt;42826),Table1[Self-Care and Living Skills],""))</f>
        <v/>
      </c>
      <c r="FW189" s="44" t="str">
        <f>IF(Table1[Date of Initial Assessment]="","",IF(AND(Table1[Start Date]&gt;42460,Table1[Start Date]&lt;42826),Table1[Managing Money and Personal Administration],""))</f>
        <v/>
      </c>
      <c r="FX189" s="44" t="str">
        <f>IF(Table1[Date of Initial Assessment]="","",IF(AND(Table1[Start Date]&gt;42460,Table1[Start Date]&lt;42826),Table1[Social Networks and Relationships],""))</f>
        <v/>
      </c>
      <c r="FY189" s="44" t="str">
        <f>IF(Table1[Date of Initial Assessment]="","",IF(AND(Table1[Start Date]&gt;42460,Table1[Start Date]&lt;42826),Table1[Drug and Alcohol Misuse],""))</f>
        <v/>
      </c>
      <c r="FZ189" s="44" t="str">
        <f>IF(Table1[Date of Initial Assessment]="","",IF(AND(Table1[Start Date]&gt;42460,Table1[Start Date]&lt;42826),Table1[Physical Health],""))</f>
        <v/>
      </c>
      <c r="GA189" s="44" t="str">
        <f>IF(Table1[Date of Initial Assessment]="","",IF(AND(Table1[Start Date]&gt;42460,Table1[Start Date]&lt;42826),Table1[Emotional and Mental Health],""))</f>
        <v/>
      </c>
      <c r="GB189" s="44" t="str">
        <f>IF(Table1[Date of Initial Assessment]="","",IF(AND(Table1[Start Date]&gt;42460,Table1[Start Date]&lt;42826),Table1[Meaningful Use of Time],""))</f>
        <v/>
      </c>
      <c r="GC189" s="44" t="str">
        <f>IF(Table1[Date of Initial Assessment]="","",IF(AND(Table1[Start Date]&gt;42460,Table1[Start Date]&lt;42826),Table1[Managing Tenancy and Accommodation],""))</f>
        <v/>
      </c>
      <c r="GD189" s="44" t="str">
        <f>IF(Table1[Date of Initial Assessment]="","",IF(AND(Table1[Start Date]&gt;42460,Table1[Start Date]&lt;42826),Table1[Offending],""))</f>
        <v/>
      </c>
      <c r="GE189" s="44" t="str">
        <f>IF(Table1[Leaving Date]="","",IF(AND(Table1[Leaving Date]&gt;42460,Table1[Leaving Date]&lt;42826),IF(Table1[Date of Last Assessment]="",Table1[Motivation and Taking Responsibility],Table1[Motivation and Taking Responsibility2]),""))</f>
        <v/>
      </c>
      <c r="GF189" s="44" t="str">
        <f>IF(Table1[Leaving Date]="","",IF(AND(Table1[Leaving Date]&gt;42460,Table1[Leaving Date]&lt;42826),IF(Table1[Date of Last Assessment]="",Table1[Self-Care and Living Skills],Table1[Self-Care and Living Skills2]),""))</f>
        <v/>
      </c>
      <c r="GG189" s="44" t="str">
        <f>IF(Table1[Leaving Date]="","",IF(AND(Table1[Leaving Date]&gt;42460,Table1[Leaving Date]&lt;42826),IF(Table1[Date of Last Assessment]="",Table1[Managing Money and Personal Administration],Table1[Managing Money and Personal Administration2]),""))</f>
        <v/>
      </c>
      <c r="GH189" s="44" t="str">
        <f>IF(Table1[Leaving Date]="","",IF(AND(Table1[Leaving Date]&gt;42460,Table1[Leaving Date]&lt;42826),IF(Table1[Date of Last Assessment]="",Table1[Social Networks and Relationships],Table1[Social Networks and Relationships2]),""))</f>
        <v/>
      </c>
      <c r="GI189" s="44" t="str">
        <f>IF(Table1[Leaving Date]="","",IF(AND(Table1[Leaving Date]&gt;42460,Table1[Leaving Date]&lt;42826),IF(Table1[Date of Last Assessment]="",Table1[Drug and Alcohol Misuse],Table1[Drug and Alcohol Misuse2]),""))</f>
        <v/>
      </c>
      <c r="GJ189" s="44" t="str">
        <f>IF(Table1[Leaving Date]="","",IF(AND(Table1[Leaving Date]&gt;42460,Table1[Leaving Date]&lt;42826),IF(Table1[Date of Last Assessment]="",Table1[Physical Health],Table1[Physical Health2]),""))</f>
        <v/>
      </c>
      <c r="GK189" s="44" t="str">
        <f>IF(Table1[Leaving Date]="","",IF(AND(Table1[Leaving Date]&gt;42460,Table1[Leaving Date]&lt;42826),IF(Table1[Date of Last Assessment]="",Table1[Emotional and Mental Health],Table1[Emotional and Mental Health2]),""))</f>
        <v/>
      </c>
      <c r="GL189" s="44" t="str">
        <f>IF(Table1[Leaving Date]="","",IF(AND(Table1[Leaving Date]&gt;42460,Table1[Leaving Date]&lt;42826),IF(Table1[Date of Last Assessment]="",Table1[Meaningful Use of Time],Table1[Meaningful Use of Time2]),""))</f>
        <v/>
      </c>
      <c r="GM189" s="44" t="str">
        <f>IF(Table1[Leaving Date]="","",IF(AND(Table1[Leaving Date]&gt;42460,Table1[Leaving Date]&lt;42826),IF(Table1[Date of Last Assessment]="",Table1[Managing Tenancy and Accommodation],Table1[Managing Tenancy and Accommodation2]),""))</f>
        <v/>
      </c>
      <c r="GN189" s="44" t="str">
        <f>IF(Table1[Leaving Date]="","",IF(AND(Table1[Leaving Date]&gt;42460,Table1[Leaving Date]&lt;42826),IF(Table1[Date of Last Assessment]="",Table1[Offending],Table1[Offending2]),""))</f>
        <v/>
      </c>
    </row>
    <row r="190" spans="2:196" ht="20.100000000000001" customHeight="1" x14ac:dyDescent="0.2">
      <c r="B190" s="86">
        <f>+'Service Data'!$C$5:$C$5</f>
        <v>0</v>
      </c>
      <c r="C190" s="86"/>
      <c r="D190" s="86"/>
      <c r="E190" s="86"/>
      <c r="F190" s="86"/>
      <c r="G190" s="86"/>
      <c r="H190" s="6"/>
      <c r="I190" s="99" t="str">
        <f ca="1">IF(Table1[[#This Row],[Date of Birth]]="","",SUM(TODAY()-Table1[[#This Row],[Date of Birth]])/365)</f>
        <v/>
      </c>
      <c r="L190" s="86"/>
      <c r="M190" s="77"/>
      <c r="N190" s="86"/>
      <c r="O190" s="86"/>
      <c r="P190" s="91"/>
      <c r="Q190" s="86"/>
      <c r="R190" s="77"/>
      <c r="S190" s="77"/>
      <c r="T190" s="68"/>
      <c r="U190" s="68"/>
      <c r="V190" s="67"/>
      <c r="W190" s="67"/>
      <c r="X190" s="67"/>
      <c r="Y190" s="67"/>
      <c r="Z190" s="67"/>
      <c r="AA190" s="67"/>
      <c r="AB190" s="67"/>
      <c r="AC190" s="67"/>
      <c r="AD190" s="67"/>
      <c r="AE190" s="67"/>
      <c r="AF190" s="67"/>
      <c r="AG190" s="67"/>
      <c r="AH190" s="67"/>
      <c r="AI190" s="67"/>
      <c r="AJ190" s="67"/>
      <c r="AK190" s="67"/>
      <c r="AL190" s="67"/>
      <c r="AM190" s="67"/>
      <c r="AN190" s="77"/>
      <c r="AO190" s="76"/>
      <c r="AP190" s="77"/>
      <c r="AQ190" s="76"/>
      <c r="AR190" s="76"/>
      <c r="AS190" s="76"/>
      <c r="AT190" s="76"/>
      <c r="AU190" s="76"/>
      <c r="AV190" s="77"/>
      <c r="AW190" s="76"/>
      <c r="AX190" s="77"/>
      <c r="AY190" s="76"/>
      <c r="AZ190" s="76"/>
      <c r="BA190" s="76"/>
      <c r="BB190" s="76"/>
      <c r="BC190" s="76"/>
      <c r="BD190" s="77"/>
      <c r="BE190" s="76"/>
      <c r="BF190" s="77"/>
      <c r="BG190" s="76"/>
      <c r="BH190" s="76"/>
      <c r="BI190" s="76"/>
      <c r="BJ190" s="76"/>
      <c r="BK190" s="76"/>
      <c r="BL190" s="77"/>
      <c r="BM190" s="76"/>
      <c r="BN190" s="77"/>
      <c r="BO190" s="76"/>
      <c r="BP190" s="76"/>
      <c r="BQ190" s="76"/>
      <c r="BR190" s="76"/>
      <c r="BS190" s="76"/>
      <c r="BT190" s="77"/>
      <c r="BU190" s="76"/>
      <c r="BV190" s="77"/>
      <c r="BW190" s="76"/>
      <c r="BX190" s="76"/>
      <c r="BY190" s="76"/>
      <c r="BZ190" s="76"/>
      <c r="CA190" s="76"/>
      <c r="CB190" s="77"/>
      <c r="CC190" s="76"/>
      <c r="CD190" s="77"/>
      <c r="CE190" s="76"/>
      <c r="CF190" s="76"/>
      <c r="CG190" s="76"/>
      <c r="CH190" s="76"/>
      <c r="CI190" s="76"/>
      <c r="CJ190" s="77"/>
      <c r="CK190" s="76"/>
      <c r="CL190" s="77"/>
      <c r="CM190" s="76"/>
      <c r="CN190" s="76"/>
      <c r="CO190" s="76"/>
      <c r="CP190" s="76"/>
      <c r="CQ190" s="76"/>
      <c r="CR190" s="78" t="str">
        <f t="shared" si="47"/>
        <v/>
      </c>
      <c r="CS190" s="79" t="str">
        <f t="shared" si="48"/>
        <v/>
      </c>
      <c r="CT190" s="79" t="str">
        <f t="shared" si="49"/>
        <v/>
      </c>
      <c r="CU190" s="79" t="str">
        <f t="shared" si="50"/>
        <v/>
      </c>
      <c r="CV190" s="79" t="str">
        <f t="shared" si="51"/>
        <v/>
      </c>
      <c r="CW190" s="79" t="str">
        <f t="shared" si="52"/>
        <v/>
      </c>
      <c r="CX190" s="79" t="str">
        <f t="shared" si="53"/>
        <v/>
      </c>
      <c r="CY190" s="79" t="str">
        <f t="shared" si="54"/>
        <v/>
      </c>
      <c r="CZ190" s="79" t="str">
        <f t="shared" si="55"/>
        <v/>
      </c>
      <c r="DA190" s="79" t="str">
        <f t="shared" si="56"/>
        <v/>
      </c>
      <c r="DB190" s="79" t="str">
        <f t="shared" si="57"/>
        <v/>
      </c>
      <c r="DC190" s="79" t="str">
        <f t="shared" si="58"/>
        <v/>
      </c>
      <c r="DD190" s="79" t="str">
        <f t="shared" si="59"/>
        <v/>
      </c>
      <c r="DE190" s="79" t="str">
        <f t="shared" si="60"/>
        <v/>
      </c>
      <c r="DF190" s="79" t="str">
        <f t="shared" si="61"/>
        <v/>
      </c>
      <c r="DG190" s="79" t="str">
        <f t="shared" si="62"/>
        <v/>
      </c>
      <c r="DH190" s="76"/>
      <c r="DI190" s="78"/>
      <c r="DJ190" s="76"/>
      <c r="DK190" s="77"/>
      <c r="DL190" s="77"/>
      <c r="DM190" s="77"/>
      <c r="DN190" s="80"/>
      <c r="DO190" s="80"/>
      <c r="DP190" s="92" t="str">
        <f>IF(Table1[Start Date]="","",IF(Table1[Start Date]&gt;42185,"",IF(AND(Table1[Leaving Date]&gt;1,Table1[Leaving Date]&lt;42095),"",1)))</f>
        <v/>
      </c>
      <c r="DQ190" s="92" t="str">
        <f>IF(Table1[Start Date]="","",IF(Table1[Start Date]&gt;42277,"",IF(AND(Table1[Leaving Date]&gt;1,Table1[Leaving Date]&lt;42186),"",1)))</f>
        <v/>
      </c>
      <c r="DR190" s="92" t="str">
        <f>IF(Table1[Start Date]="","",IF(Table1[Start Date]&gt;42369,"",IF(AND(Table1[Leaving Date]&gt;1,Table1[Leaving Date]&lt;42278),"",1)))</f>
        <v/>
      </c>
      <c r="DS190" s="92" t="str">
        <f>IF(Table1[Start Date]="","",IF(Table1[Start Date]&gt;42460,"",IF(AND(Table1[Leaving Date]&gt;1,Table1[Leaving Date]&lt;42370),"",1)))</f>
        <v/>
      </c>
      <c r="DT190" s="92" t="str">
        <f>IF(Table1[Start Date]="","",IF(Table1[Start Date]&gt;42551,"",IF(AND(Table1[Leaving Date]&gt;1,Table1[Leaving Date]&lt;42461),"",1)))</f>
        <v/>
      </c>
      <c r="DU190" s="92" t="str">
        <f>IF(Table1[Start Date]="","",IF(Table1[Start Date]&gt;42643,"",IF(AND(Table1[Leaving Date]&gt;1,Table1[Leaving Date]&lt;42552),"",1)))</f>
        <v/>
      </c>
      <c r="DV190" s="92" t="str">
        <f>IF(Table1[Start Date]="","",IF(Table1[Start Date]&gt;42735,"",IF(AND(Table1[Leaving Date]&gt;1,Table1[Leaving Date]&lt;42644),"",1)))</f>
        <v/>
      </c>
      <c r="DW190" s="92" t="str">
        <f>IF(Table1[Start Date]="","",IF(Table1[Start Date]&gt;42825,"",IF(AND(Table1[Leaving Date]&gt;1,Table1[Leaving Date]&lt;42736),"",1)))</f>
        <v/>
      </c>
      <c r="DX190"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190" s="44" t="e">
        <f>VLOOKUP(Table1[Referral Source],Lists!$G$2:$H$20,2,FALSE)</f>
        <v>#N/A</v>
      </c>
      <c r="DZ190" s="93" t="e">
        <f>SUM(Table1[Data Referral Quarter]+Table1[Data Referral Source])</f>
        <v>#N/A</v>
      </c>
      <c r="EA190" s="44" t="b">
        <f>IF(Table1[Referral Decision]="Accepted",100,IF(Table1[Referral Decision]="Rejected by Provider",200,IF(Table1[Referral Decision]="Rejected by Applicant",300)))</f>
        <v>0</v>
      </c>
      <c r="EB190" s="44">
        <f>SUM(Table1[Data Referral Quarter]+Table1[Data Referral Decision])</f>
        <v>0</v>
      </c>
      <c r="EC190" s="44" t="b">
        <f>IF(Table1[Start Date]&gt;42735,8000,IF(Table1[Start Date]&gt;42643,7000,IF(Table1[Start Date]&gt;42551,6000,IF(Table1[Start Date]&gt;42460,5000,IF(Table1[Start Date]&gt;42369,4000,IF(Table1[Start Date]&gt;42277,3000,IF(Table1[Start Date]&gt;42185,2000,IF(Table1[Start Date]&gt;42094,1000))))))))</f>
        <v>0</v>
      </c>
      <c r="ED190" s="44" t="str">
        <f>IF(Table1[Start Date]="","",IF(Table1[Current Local Authority]="Swindon",1,"2"))</f>
        <v/>
      </c>
      <c r="EE190" s="44" t="e">
        <f>SUM(Table1[Data Start Date]+Table1[Data Local Authority])</f>
        <v>#VALUE!</v>
      </c>
      <c r="EF190" s="44">
        <f>IF(Table1[Registered with GP]="Yes",1,0)</f>
        <v>0</v>
      </c>
      <c r="EG190" s="44">
        <f>SUM(Table1[Data Start Date]+Table1[Data GP Start])</f>
        <v>0</v>
      </c>
      <c r="EH190" s="44" t="str">
        <f>IF(Table1[EET]="NEET",1,IF(Table1[EET]="Education",2,IF(Table1[EET]="Employment",2,IF(Table1[EET]="Training",2,IF(Table1[EET]="Retired",3,"")))))</f>
        <v/>
      </c>
      <c r="EI190" s="44" t="e">
        <f>Table1[Data Start Date]+Table1[Data EET Start]</f>
        <v>#VALUE!</v>
      </c>
      <c r="EJ190" s="44" t="b">
        <f>IF(Table1[Leaving Date]&gt;42735,8000,IF(Table1[Leaving Date]&gt;42643,7000,IF(Table1[Leaving Date]&gt;42551,6000,IF(Table1[Leaving Date]&gt;42460,5000,IF(Table1[Leaving Date]&gt;42369,4000,IF(Table1[Leaving Date]&gt;42277,3000,IF(Table1[Leaving Date]&gt;42185,2000,IF(Table1[Leaving Date]&gt;42094,1000))))))))</f>
        <v>0</v>
      </c>
      <c r="EK190" s="44" t="e">
        <f>VLOOKUP(Table1[Reason for Leaving],Lists!$T$2:$U$15,2,FALSE)</f>
        <v>#N/A</v>
      </c>
      <c r="EL190" s="44" t="e">
        <f>SUM(Table1[Data Leavers Date]+Table1[Data Move On])</f>
        <v>#N/A</v>
      </c>
      <c r="EM190" s="44" t="b">
        <f>IF(Table1[Registered with GP2]="Yes",1,IF(Table1[Registered with GP2]="No",0,IF(Table1[Registered with GP]="Yes",1,IF(Table1[Registered with GP]="No",0))))</f>
        <v>0</v>
      </c>
      <c r="EN190" s="44">
        <f>SUM(Table1[Data Leavers Date]+Table1[Data GP End])</f>
        <v>0</v>
      </c>
      <c r="EO190" s="44" t="str">
        <f>IF(Table1[EET2]="NEET",1,IF(Table1[EET2]="Employment",2,IF(Table1[EET2]="Education",2,IF(Table1[EET2]="Training",2,IF(Table1[EET2]="Retired",3,IF(Table1[EET]="NEET",1,IF(Table1[EET]="Employment",2,IF(Table1[EET]="Education",2,IF(Table1[EET]="Training",2,IF(Table1[EET]="Retired",3,""))))))))))</f>
        <v/>
      </c>
      <c r="EP190" s="44" t="e">
        <f>+Table1[[#This Row],[Data Leavers Date]]+Table1[[#This Row],[Data EET End]]</f>
        <v>#VALUE!</v>
      </c>
      <c r="EQ190" s="44">
        <f>IF(Table1[Exit Form Received]="Yes",1,0)</f>
        <v>0</v>
      </c>
      <c r="ER190" s="44">
        <f>+Table1[[#This Row],[Data Leavers Date]]+Table1[[#This Row],[Data Exit Forms]]</f>
        <v>0</v>
      </c>
      <c r="ES190" s="44" t="str">
        <f>IF(Table1[Data Leavers Date]=1000,SUM(Table1[Leaving Date]-Table1[Start Date]),"")</f>
        <v/>
      </c>
      <c r="ET190" s="44" t="str">
        <f>IF(Table1[Data Leavers Date]=2000,SUM(Table1[Leaving Date]-Table1[Start Date]),"")</f>
        <v/>
      </c>
      <c r="EU190" s="44" t="str">
        <f>IF(Table1[Data Leavers Date]=3000,SUM(Table1[Leaving Date]-Table1[Start Date]),"")</f>
        <v/>
      </c>
      <c r="EV190" s="44" t="str">
        <f>IF(Table1[Data Leavers Date]=4000,SUM(Table1[Leaving Date]-Table1[Start Date]),"")</f>
        <v/>
      </c>
      <c r="EW190" s="44" t="str">
        <f>IF(Table1[Data Leavers Date]=5000,SUM(Table1[Leaving Date]-Table1[Start Date]),"")</f>
        <v/>
      </c>
      <c r="EX190" s="44" t="str">
        <f>IF(Table1[Data Leavers Date]=6000,SUM(Table1[Leaving Date]-Table1[Start Date]),"")</f>
        <v/>
      </c>
      <c r="EY190" s="44" t="str">
        <f>IF(Table1[Data Leavers Date]=7000,SUM(Table1[Leaving Date]-Table1[Start Date]),"")</f>
        <v/>
      </c>
      <c r="EZ190" s="44" t="str">
        <f>IF(Table1[Data Leavers Date]=8000,SUM(Table1[Leaving Date]-Table1[Start Date]),"")</f>
        <v/>
      </c>
      <c r="FA190" s="44" t="str">
        <f>IF(Table1[Date of Initial Assessment]="","",IF(AND(Table1[Start Date]&gt;42094,Table1[Start Date]&lt;42461),Table1[Motivation and Taking Responsibility],""))</f>
        <v/>
      </c>
      <c r="FB190" s="44" t="str">
        <f>IF(Table1[Date of Initial Assessment]="","",IF(AND(Table1[Start Date]&gt;42094,Table1[Start Date]&lt;42461),Table1[Self-Care and Living Skills],""))</f>
        <v/>
      </c>
      <c r="FC190" s="44" t="str">
        <f>IF(Table1[Date of Initial Assessment]="","",IF(AND(Table1[Start Date]&gt;42094,Table1[Start Date]&lt;42461),Table1[Managing Money and Personal Administration],""))</f>
        <v/>
      </c>
      <c r="FD190" s="44" t="str">
        <f>IF(Table1[Date of Initial Assessment]="","",IF(AND(Table1[Start Date]&gt;42094,Table1[Start Date]&lt;42461),Table1[Social Networks and Relationships],""))</f>
        <v/>
      </c>
      <c r="FE190" s="44" t="str">
        <f>IF(Table1[Date of Initial Assessment]="","",IF(AND(Table1[Start Date]&gt;42094,Table1[Start Date]&lt;42461),Table1[Drug and Alcohol Misuse],""))</f>
        <v/>
      </c>
      <c r="FF190" s="44" t="str">
        <f>IF(Table1[Date of Initial Assessment]="","",IF(AND(Table1[Start Date]&gt;42094,Table1[Start Date]&lt;42461),Table1[Physical Health],""))</f>
        <v/>
      </c>
      <c r="FG190" s="44" t="str">
        <f>IF(Table1[Date of Initial Assessment]="","",IF(AND(Table1[Start Date]&gt;42094,Table1[Start Date]&lt;42461),Table1[Emotional and Mental Health],""))</f>
        <v/>
      </c>
      <c r="FH190" s="44" t="str">
        <f>IF(Table1[Date of Initial Assessment]="","",IF(AND(Table1[Start Date]&gt;42094,Table1[Start Date]&lt;42461),Table1[Meaningful Use of Time],""))</f>
        <v/>
      </c>
      <c r="FI190" s="44" t="str">
        <f>IF(Table1[Date of Initial Assessment]="","",IF(AND(Table1[Start Date]&gt;42094,Table1[Start Date]&lt;42461),Table1[Managing Tenancy and Accommodation],""))</f>
        <v/>
      </c>
      <c r="FJ190" s="44" t="str">
        <f>IF(Table1[Date of Initial Assessment]="","",IF(AND(Table1[Start Date]&gt;42094,Table1[Start Date]&lt;42461),Table1[Offending],""))</f>
        <v/>
      </c>
      <c r="FK190" s="44" t="str">
        <f>IF(Table1[Leaving Date]="","",IF(Table1[Date of Initial Assessment]="","",IF(AND(Table1[Leaving Date]&gt;42094,Table1[Leaving Date]&lt;42461),IF(Table1[Date of Last Assessment]="",Table1[Motivation and Taking Responsibility],Table1[Motivation and Taking Responsibility2]),"")))</f>
        <v/>
      </c>
      <c r="FL190" s="44" t="str">
        <f>IF(Table1[Leaving Date]="","",IF(Table1[Date of Initial Assessment]="","",IF(AND(Table1[Leaving Date]&gt;42094,Table1[Leaving Date]&lt;42461),IF(Table1[Date of Last Assessment]="",Table1[Self-Care and Living Skills],Table1[Self-Care and Living Skills2]),"")))</f>
        <v/>
      </c>
      <c r="FM190" s="44" t="str">
        <f>IF(Table1[Leaving Date]="","",IF(Table1[Date of Initial Assessment]="","",IF(AND(Table1[Leaving Date]&gt;42094,Table1[Leaving Date]&lt;42461),IF(Table1[Date of Last Assessment]="",Table1[Managing Money and Personal Administration],Table1[Managing Money and Personal Administration2]),"")))</f>
        <v/>
      </c>
      <c r="FN190" s="44" t="str">
        <f>IF(Table1[Leaving Date]="","",IF(Table1[Date of Initial Assessment]="","",IF(AND(Table1[Leaving Date]&gt;42094,Table1[Leaving Date]&lt;42461),IF(Table1[Date of Last Assessment]="",Table1[Social Networks and Relationships],Table1[Social Networks and Relationships2]),"")))</f>
        <v/>
      </c>
      <c r="FO190" s="44" t="str">
        <f>IF(Table1[Leaving Date]="","",IF(Table1[Date of Initial Assessment]="","",IF(AND(Table1[Leaving Date]&gt;42094,Table1[Leaving Date]&lt;42461),IF(Table1[Date of Last Assessment]="",Table1[Drug and Alcohol Misuse],Table1[Drug and Alcohol Misuse2]),"")))</f>
        <v/>
      </c>
      <c r="FP190" s="44" t="str">
        <f>IF(Table1[Leaving Date]="","",IF(Table1[Date of Initial Assessment]="","",IF(AND(Table1[Leaving Date]&gt;42094,Table1[Leaving Date]&lt;42461),IF(Table1[Date of Last Assessment]="",Table1[Physical Health],Table1[Physical Health2]),"")))</f>
        <v/>
      </c>
      <c r="FQ190" s="44" t="str">
        <f>IF(Table1[Leaving Date]="","",IF(Table1[Date of Initial Assessment]="","",IF(AND(Table1[Leaving Date]&gt;42094,Table1[Leaving Date]&lt;42461),IF(Table1[Date of Last Assessment]="",Table1[Emotional and Mental Health],Table1[Emotional and Mental Health2]),"")))</f>
        <v/>
      </c>
      <c r="FR190" s="44" t="str">
        <f>IF(Table1[Leaving Date]="","",IF(Table1[Date of Initial Assessment]="","",IF(AND(Table1[Leaving Date]&gt;42094,Table1[Leaving Date]&lt;42461),IF(Table1[Date of Last Assessment]="",Table1[Meaningful Use of Time],Table1[Meaningful Use of Time2]),"")))</f>
        <v/>
      </c>
      <c r="FS190" s="44" t="str">
        <f>IF(Table1[Leaving Date]="","",IF(Table1[Date of Initial Assessment]="","",IF(AND(Table1[Leaving Date]&gt;42094,Table1[Leaving Date]&lt;42461),IF(Table1[Date of Last Assessment]="",Table1[Managing Tenancy and Accommodation],Table1[Managing Tenancy and Accommodation2]),"")))</f>
        <v/>
      </c>
      <c r="FT190" s="44" t="str">
        <f>IF(Table1[Leaving Date]="","",IF(Table1[Date of Initial Assessment]="","",IF(AND(Table1[Leaving Date]&gt;42094,Table1[Leaving Date]&lt;42461),IF(Table1[Date of Last Assessment]="",Table1[Offending],Table1[Offending2]),"")))</f>
        <v/>
      </c>
      <c r="FU190" s="44" t="str">
        <f>IF(Table1[Date of Initial Assessment]="","",IF(AND(Table1[Start Date]&gt;42460,Table1[Start Date]&lt;42826),Table1[Motivation and Taking Responsibility],""))</f>
        <v/>
      </c>
      <c r="FV190" s="44" t="str">
        <f>IF(Table1[Date of Initial Assessment]="","",IF(AND(Table1[Start Date]&gt;42460,Table1[Start Date]&lt;42826),Table1[Self-Care and Living Skills],""))</f>
        <v/>
      </c>
      <c r="FW190" s="44" t="str">
        <f>IF(Table1[Date of Initial Assessment]="","",IF(AND(Table1[Start Date]&gt;42460,Table1[Start Date]&lt;42826),Table1[Managing Money and Personal Administration],""))</f>
        <v/>
      </c>
      <c r="FX190" s="44" t="str">
        <f>IF(Table1[Date of Initial Assessment]="","",IF(AND(Table1[Start Date]&gt;42460,Table1[Start Date]&lt;42826),Table1[Social Networks and Relationships],""))</f>
        <v/>
      </c>
      <c r="FY190" s="44" t="str">
        <f>IF(Table1[Date of Initial Assessment]="","",IF(AND(Table1[Start Date]&gt;42460,Table1[Start Date]&lt;42826),Table1[Drug and Alcohol Misuse],""))</f>
        <v/>
      </c>
      <c r="FZ190" s="44" t="str">
        <f>IF(Table1[Date of Initial Assessment]="","",IF(AND(Table1[Start Date]&gt;42460,Table1[Start Date]&lt;42826),Table1[Physical Health],""))</f>
        <v/>
      </c>
      <c r="GA190" s="44" t="str">
        <f>IF(Table1[Date of Initial Assessment]="","",IF(AND(Table1[Start Date]&gt;42460,Table1[Start Date]&lt;42826),Table1[Emotional and Mental Health],""))</f>
        <v/>
      </c>
      <c r="GB190" s="44" t="str">
        <f>IF(Table1[Date of Initial Assessment]="","",IF(AND(Table1[Start Date]&gt;42460,Table1[Start Date]&lt;42826),Table1[Meaningful Use of Time],""))</f>
        <v/>
      </c>
      <c r="GC190" s="44" t="str">
        <f>IF(Table1[Date of Initial Assessment]="","",IF(AND(Table1[Start Date]&gt;42460,Table1[Start Date]&lt;42826),Table1[Managing Tenancy and Accommodation],""))</f>
        <v/>
      </c>
      <c r="GD190" s="44" t="str">
        <f>IF(Table1[Date of Initial Assessment]="","",IF(AND(Table1[Start Date]&gt;42460,Table1[Start Date]&lt;42826),Table1[Offending],""))</f>
        <v/>
      </c>
      <c r="GE190" s="44" t="str">
        <f>IF(Table1[Leaving Date]="","",IF(AND(Table1[Leaving Date]&gt;42460,Table1[Leaving Date]&lt;42826),IF(Table1[Date of Last Assessment]="",Table1[Motivation and Taking Responsibility],Table1[Motivation and Taking Responsibility2]),""))</f>
        <v/>
      </c>
      <c r="GF190" s="44" t="str">
        <f>IF(Table1[Leaving Date]="","",IF(AND(Table1[Leaving Date]&gt;42460,Table1[Leaving Date]&lt;42826),IF(Table1[Date of Last Assessment]="",Table1[Self-Care and Living Skills],Table1[Self-Care and Living Skills2]),""))</f>
        <v/>
      </c>
      <c r="GG190" s="44" t="str">
        <f>IF(Table1[Leaving Date]="","",IF(AND(Table1[Leaving Date]&gt;42460,Table1[Leaving Date]&lt;42826),IF(Table1[Date of Last Assessment]="",Table1[Managing Money and Personal Administration],Table1[Managing Money and Personal Administration2]),""))</f>
        <v/>
      </c>
      <c r="GH190" s="44" t="str">
        <f>IF(Table1[Leaving Date]="","",IF(AND(Table1[Leaving Date]&gt;42460,Table1[Leaving Date]&lt;42826),IF(Table1[Date of Last Assessment]="",Table1[Social Networks and Relationships],Table1[Social Networks and Relationships2]),""))</f>
        <v/>
      </c>
      <c r="GI190" s="44" t="str">
        <f>IF(Table1[Leaving Date]="","",IF(AND(Table1[Leaving Date]&gt;42460,Table1[Leaving Date]&lt;42826),IF(Table1[Date of Last Assessment]="",Table1[Drug and Alcohol Misuse],Table1[Drug and Alcohol Misuse2]),""))</f>
        <v/>
      </c>
      <c r="GJ190" s="44" t="str">
        <f>IF(Table1[Leaving Date]="","",IF(AND(Table1[Leaving Date]&gt;42460,Table1[Leaving Date]&lt;42826),IF(Table1[Date of Last Assessment]="",Table1[Physical Health],Table1[Physical Health2]),""))</f>
        <v/>
      </c>
      <c r="GK190" s="44" t="str">
        <f>IF(Table1[Leaving Date]="","",IF(AND(Table1[Leaving Date]&gt;42460,Table1[Leaving Date]&lt;42826),IF(Table1[Date of Last Assessment]="",Table1[Emotional and Mental Health],Table1[Emotional and Mental Health2]),""))</f>
        <v/>
      </c>
      <c r="GL190" s="44" t="str">
        <f>IF(Table1[Leaving Date]="","",IF(AND(Table1[Leaving Date]&gt;42460,Table1[Leaving Date]&lt;42826),IF(Table1[Date of Last Assessment]="",Table1[Meaningful Use of Time],Table1[Meaningful Use of Time2]),""))</f>
        <v/>
      </c>
      <c r="GM190" s="44" t="str">
        <f>IF(Table1[Leaving Date]="","",IF(AND(Table1[Leaving Date]&gt;42460,Table1[Leaving Date]&lt;42826),IF(Table1[Date of Last Assessment]="",Table1[Managing Tenancy and Accommodation],Table1[Managing Tenancy and Accommodation2]),""))</f>
        <v/>
      </c>
      <c r="GN190" s="44" t="str">
        <f>IF(Table1[Leaving Date]="","",IF(AND(Table1[Leaving Date]&gt;42460,Table1[Leaving Date]&lt;42826),IF(Table1[Date of Last Assessment]="",Table1[Offending],Table1[Offending2]),""))</f>
        <v/>
      </c>
    </row>
    <row r="191" spans="2:196" ht="20.100000000000001" customHeight="1" x14ac:dyDescent="0.2">
      <c r="B191" s="86">
        <f>+'Service Data'!$C$5:$C$5</f>
        <v>0</v>
      </c>
      <c r="C191" s="86"/>
      <c r="D191" s="86"/>
      <c r="E191" s="86"/>
      <c r="F191" s="86"/>
      <c r="G191" s="86"/>
      <c r="H191" s="6"/>
      <c r="I191" s="99" t="str">
        <f ca="1">IF(Table1[[#This Row],[Date of Birth]]="","",SUM(TODAY()-Table1[[#This Row],[Date of Birth]])/365)</f>
        <v/>
      </c>
      <c r="L191" s="86"/>
      <c r="M191" s="77"/>
      <c r="N191" s="86"/>
      <c r="O191" s="86"/>
      <c r="P191" s="91"/>
      <c r="Q191" s="86"/>
      <c r="R191" s="77"/>
      <c r="S191" s="77"/>
      <c r="T191" s="68"/>
      <c r="U191" s="68"/>
      <c r="V191" s="67"/>
      <c r="W191" s="67"/>
      <c r="X191" s="67"/>
      <c r="Y191" s="67"/>
      <c r="Z191" s="67"/>
      <c r="AA191" s="67"/>
      <c r="AB191" s="67"/>
      <c r="AC191" s="67"/>
      <c r="AD191" s="67"/>
      <c r="AE191" s="67"/>
      <c r="AF191" s="67"/>
      <c r="AG191" s="67"/>
      <c r="AH191" s="67"/>
      <c r="AI191" s="67"/>
      <c r="AJ191" s="67"/>
      <c r="AK191" s="67"/>
      <c r="AL191" s="67"/>
      <c r="AM191" s="67"/>
      <c r="AN191" s="77"/>
      <c r="AO191" s="76"/>
      <c r="AP191" s="77"/>
      <c r="AQ191" s="76"/>
      <c r="AR191" s="76"/>
      <c r="AS191" s="76"/>
      <c r="AT191" s="76"/>
      <c r="AU191" s="76"/>
      <c r="AV191" s="77"/>
      <c r="AW191" s="76"/>
      <c r="AX191" s="77"/>
      <c r="AY191" s="76"/>
      <c r="AZ191" s="76"/>
      <c r="BA191" s="76"/>
      <c r="BB191" s="76"/>
      <c r="BC191" s="76"/>
      <c r="BD191" s="77"/>
      <c r="BE191" s="76"/>
      <c r="BF191" s="77"/>
      <c r="BG191" s="76"/>
      <c r="BH191" s="76"/>
      <c r="BI191" s="76"/>
      <c r="BJ191" s="76"/>
      <c r="BK191" s="76"/>
      <c r="BL191" s="77"/>
      <c r="BM191" s="76"/>
      <c r="BN191" s="77"/>
      <c r="BO191" s="76"/>
      <c r="BP191" s="76"/>
      <c r="BQ191" s="76"/>
      <c r="BR191" s="76"/>
      <c r="BS191" s="76"/>
      <c r="BT191" s="77"/>
      <c r="BU191" s="76"/>
      <c r="BV191" s="77"/>
      <c r="BW191" s="76"/>
      <c r="BX191" s="76"/>
      <c r="BY191" s="76"/>
      <c r="BZ191" s="76"/>
      <c r="CA191" s="76"/>
      <c r="CB191" s="77"/>
      <c r="CC191" s="76"/>
      <c r="CD191" s="77"/>
      <c r="CE191" s="76"/>
      <c r="CF191" s="76"/>
      <c r="CG191" s="76"/>
      <c r="CH191" s="76"/>
      <c r="CI191" s="76"/>
      <c r="CJ191" s="77"/>
      <c r="CK191" s="76"/>
      <c r="CL191" s="77"/>
      <c r="CM191" s="76"/>
      <c r="CN191" s="76"/>
      <c r="CO191" s="76"/>
      <c r="CP191" s="76"/>
      <c r="CQ191" s="76"/>
      <c r="CR191" s="78" t="str">
        <f t="shared" si="47"/>
        <v/>
      </c>
      <c r="CS191" s="79" t="str">
        <f t="shared" si="48"/>
        <v/>
      </c>
      <c r="CT191" s="79" t="str">
        <f t="shared" si="49"/>
        <v/>
      </c>
      <c r="CU191" s="79" t="str">
        <f t="shared" si="50"/>
        <v/>
      </c>
      <c r="CV191" s="79" t="str">
        <f t="shared" si="51"/>
        <v/>
      </c>
      <c r="CW191" s="79" t="str">
        <f t="shared" si="52"/>
        <v/>
      </c>
      <c r="CX191" s="79" t="str">
        <f t="shared" si="53"/>
        <v/>
      </c>
      <c r="CY191" s="79" t="str">
        <f t="shared" si="54"/>
        <v/>
      </c>
      <c r="CZ191" s="79" t="str">
        <f t="shared" si="55"/>
        <v/>
      </c>
      <c r="DA191" s="79" t="str">
        <f t="shared" si="56"/>
        <v/>
      </c>
      <c r="DB191" s="79" t="str">
        <f t="shared" si="57"/>
        <v/>
      </c>
      <c r="DC191" s="79" t="str">
        <f t="shared" si="58"/>
        <v/>
      </c>
      <c r="DD191" s="79" t="str">
        <f t="shared" si="59"/>
        <v/>
      </c>
      <c r="DE191" s="79" t="str">
        <f t="shared" si="60"/>
        <v/>
      </c>
      <c r="DF191" s="79" t="str">
        <f t="shared" si="61"/>
        <v/>
      </c>
      <c r="DG191" s="79" t="str">
        <f t="shared" si="62"/>
        <v/>
      </c>
      <c r="DH191" s="76"/>
      <c r="DI191" s="78"/>
      <c r="DJ191" s="76"/>
      <c r="DK191" s="77"/>
      <c r="DL191" s="77"/>
      <c r="DM191" s="77"/>
      <c r="DN191" s="80"/>
      <c r="DO191" s="80"/>
      <c r="DP191" s="92" t="str">
        <f>IF(Table1[Start Date]="","",IF(Table1[Start Date]&gt;42185,"",IF(AND(Table1[Leaving Date]&gt;1,Table1[Leaving Date]&lt;42095),"",1)))</f>
        <v/>
      </c>
      <c r="DQ191" s="92" t="str">
        <f>IF(Table1[Start Date]="","",IF(Table1[Start Date]&gt;42277,"",IF(AND(Table1[Leaving Date]&gt;1,Table1[Leaving Date]&lt;42186),"",1)))</f>
        <v/>
      </c>
      <c r="DR191" s="92" t="str">
        <f>IF(Table1[Start Date]="","",IF(Table1[Start Date]&gt;42369,"",IF(AND(Table1[Leaving Date]&gt;1,Table1[Leaving Date]&lt;42278),"",1)))</f>
        <v/>
      </c>
      <c r="DS191" s="92" t="str">
        <f>IF(Table1[Start Date]="","",IF(Table1[Start Date]&gt;42460,"",IF(AND(Table1[Leaving Date]&gt;1,Table1[Leaving Date]&lt;42370),"",1)))</f>
        <v/>
      </c>
      <c r="DT191" s="92" t="str">
        <f>IF(Table1[Start Date]="","",IF(Table1[Start Date]&gt;42551,"",IF(AND(Table1[Leaving Date]&gt;1,Table1[Leaving Date]&lt;42461),"",1)))</f>
        <v/>
      </c>
      <c r="DU191" s="92" t="str">
        <f>IF(Table1[Start Date]="","",IF(Table1[Start Date]&gt;42643,"",IF(AND(Table1[Leaving Date]&gt;1,Table1[Leaving Date]&lt;42552),"",1)))</f>
        <v/>
      </c>
      <c r="DV191" s="92" t="str">
        <f>IF(Table1[Start Date]="","",IF(Table1[Start Date]&gt;42735,"",IF(AND(Table1[Leaving Date]&gt;1,Table1[Leaving Date]&lt;42644),"",1)))</f>
        <v/>
      </c>
      <c r="DW191" s="92" t="str">
        <f>IF(Table1[Start Date]="","",IF(Table1[Start Date]&gt;42825,"",IF(AND(Table1[Leaving Date]&gt;1,Table1[Leaving Date]&lt;42736),"",1)))</f>
        <v/>
      </c>
      <c r="DX191"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191" s="44" t="e">
        <f>VLOOKUP(Table1[Referral Source],Lists!$G$2:$H$20,2,FALSE)</f>
        <v>#N/A</v>
      </c>
      <c r="DZ191" s="93" t="e">
        <f>SUM(Table1[Data Referral Quarter]+Table1[Data Referral Source])</f>
        <v>#N/A</v>
      </c>
      <c r="EA191" s="44" t="b">
        <f>IF(Table1[Referral Decision]="Accepted",100,IF(Table1[Referral Decision]="Rejected by Provider",200,IF(Table1[Referral Decision]="Rejected by Applicant",300)))</f>
        <v>0</v>
      </c>
      <c r="EB191" s="44">
        <f>SUM(Table1[Data Referral Quarter]+Table1[Data Referral Decision])</f>
        <v>0</v>
      </c>
      <c r="EC191" s="44" t="b">
        <f>IF(Table1[Start Date]&gt;42735,8000,IF(Table1[Start Date]&gt;42643,7000,IF(Table1[Start Date]&gt;42551,6000,IF(Table1[Start Date]&gt;42460,5000,IF(Table1[Start Date]&gt;42369,4000,IF(Table1[Start Date]&gt;42277,3000,IF(Table1[Start Date]&gt;42185,2000,IF(Table1[Start Date]&gt;42094,1000))))))))</f>
        <v>0</v>
      </c>
      <c r="ED191" s="44" t="str">
        <f>IF(Table1[Start Date]="","",IF(Table1[Current Local Authority]="Swindon",1,"2"))</f>
        <v/>
      </c>
      <c r="EE191" s="44" t="e">
        <f>SUM(Table1[Data Start Date]+Table1[Data Local Authority])</f>
        <v>#VALUE!</v>
      </c>
      <c r="EF191" s="44">
        <f>IF(Table1[Registered with GP]="Yes",1,0)</f>
        <v>0</v>
      </c>
      <c r="EG191" s="44">
        <f>SUM(Table1[Data Start Date]+Table1[Data GP Start])</f>
        <v>0</v>
      </c>
      <c r="EH191" s="44" t="str">
        <f>IF(Table1[EET]="NEET",1,IF(Table1[EET]="Education",2,IF(Table1[EET]="Employment",2,IF(Table1[EET]="Training",2,IF(Table1[EET]="Retired",3,"")))))</f>
        <v/>
      </c>
      <c r="EI191" s="44" t="e">
        <f>Table1[Data Start Date]+Table1[Data EET Start]</f>
        <v>#VALUE!</v>
      </c>
      <c r="EJ191" s="44" t="b">
        <f>IF(Table1[Leaving Date]&gt;42735,8000,IF(Table1[Leaving Date]&gt;42643,7000,IF(Table1[Leaving Date]&gt;42551,6000,IF(Table1[Leaving Date]&gt;42460,5000,IF(Table1[Leaving Date]&gt;42369,4000,IF(Table1[Leaving Date]&gt;42277,3000,IF(Table1[Leaving Date]&gt;42185,2000,IF(Table1[Leaving Date]&gt;42094,1000))))))))</f>
        <v>0</v>
      </c>
      <c r="EK191" s="44" t="e">
        <f>VLOOKUP(Table1[Reason for Leaving],Lists!$T$2:$U$15,2,FALSE)</f>
        <v>#N/A</v>
      </c>
      <c r="EL191" s="44" t="e">
        <f>SUM(Table1[Data Leavers Date]+Table1[Data Move On])</f>
        <v>#N/A</v>
      </c>
      <c r="EM191" s="44" t="b">
        <f>IF(Table1[Registered with GP2]="Yes",1,IF(Table1[Registered with GP2]="No",0,IF(Table1[Registered with GP]="Yes",1,IF(Table1[Registered with GP]="No",0))))</f>
        <v>0</v>
      </c>
      <c r="EN191" s="44">
        <f>SUM(Table1[Data Leavers Date]+Table1[Data GP End])</f>
        <v>0</v>
      </c>
      <c r="EO191" s="44" t="str">
        <f>IF(Table1[EET2]="NEET",1,IF(Table1[EET2]="Employment",2,IF(Table1[EET2]="Education",2,IF(Table1[EET2]="Training",2,IF(Table1[EET2]="Retired",3,IF(Table1[EET]="NEET",1,IF(Table1[EET]="Employment",2,IF(Table1[EET]="Education",2,IF(Table1[EET]="Training",2,IF(Table1[EET]="Retired",3,""))))))))))</f>
        <v/>
      </c>
      <c r="EP191" s="44" t="e">
        <f>+Table1[[#This Row],[Data Leavers Date]]+Table1[[#This Row],[Data EET End]]</f>
        <v>#VALUE!</v>
      </c>
      <c r="EQ191" s="44">
        <f>IF(Table1[Exit Form Received]="Yes",1,0)</f>
        <v>0</v>
      </c>
      <c r="ER191" s="44">
        <f>+Table1[[#This Row],[Data Leavers Date]]+Table1[[#This Row],[Data Exit Forms]]</f>
        <v>0</v>
      </c>
      <c r="ES191" s="44" t="str">
        <f>IF(Table1[Data Leavers Date]=1000,SUM(Table1[Leaving Date]-Table1[Start Date]),"")</f>
        <v/>
      </c>
      <c r="ET191" s="44" t="str">
        <f>IF(Table1[Data Leavers Date]=2000,SUM(Table1[Leaving Date]-Table1[Start Date]),"")</f>
        <v/>
      </c>
      <c r="EU191" s="44" t="str">
        <f>IF(Table1[Data Leavers Date]=3000,SUM(Table1[Leaving Date]-Table1[Start Date]),"")</f>
        <v/>
      </c>
      <c r="EV191" s="44" t="str">
        <f>IF(Table1[Data Leavers Date]=4000,SUM(Table1[Leaving Date]-Table1[Start Date]),"")</f>
        <v/>
      </c>
      <c r="EW191" s="44" t="str">
        <f>IF(Table1[Data Leavers Date]=5000,SUM(Table1[Leaving Date]-Table1[Start Date]),"")</f>
        <v/>
      </c>
      <c r="EX191" s="44" t="str">
        <f>IF(Table1[Data Leavers Date]=6000,SUM(Table1[Leaving Date]-Table1[Start Date]),"")</f>
        <v/>
      </c>
      <c r="EY191" s="44" t="str">
        <f>IF(Table1[Data Leavers Date]=7000,SUM(Table1[Leaving Date]-Table1[Start Date]),"")</f>
        <v/>
      </c>
      <c r="EZ191" s="44" t="str">
        <f>IF(Table1[Data Leavers Date]=8000,SUM(Table1[Leaving Date]-Table1[Start Date]),"")</f>
        <v/>
      </c>
      <c r="FA191" s="44" t="str">
        <f>IF(Table1[Date of Initial Assessment]="","",IF(AND(Table1[Start Date]&gt;42094,Table1[Start Date]&lt;42461),Table1[Motivation and Taking Responsibility],""))</f>
        <v/>
      </c>
      <c r="FB191" s="44" t="str">
        <f>IF(Table1[Date of Initial Assessment]="","",IF(AND(Table1[Start Date]&gt;42094,Table1[Start Date]&lt;42461),Table1[Self-Care and Living Skills],""))</f>
        <v/>
      </c>
      <c r="FC191" s="44" t="str">
        <f>IF(Table1[Date of Initial Assessment]="","",IF(AND(Table1[Start Date]&gt;42094,Table1[Start Date]&lt;42461),Table1[Managing Money and Personal Administration],""))</f>
        <v/>
      </c>
      <c r="FD191" s="44" t="str">
        <f>IF(Table1[Date of Initial Assessment]="","",IF(AND(Table1[Start Date]&gt;42094,Table1[Start Date]&lt;42461),Table1[Social Networks and Relationships],""))</f>
        <v/>
      </c>
      <c r="FE191" s="44" t="str">
        <f>IF(Table1[Date of Initial Assessment]="","",IF(AND(Table1[Start Date]&gt;42094,Table1[Start Date]&lt;42461),Table1[Drug and Alcohol Misuse],""))</f>
        <v/>
      </c>
      <c r="FF191" s="44" t="str">
        <f>IF(Table1[Date of Initial Assessment]="","",IF(AND(Table1[Start Date]&gt;42094,Table1[Start Date]&lt;42461),Table1[Physical Health],""))</f>
        <v/>
      </c>
      <c r="FG191" s="44" t="str">
        <f>IF(Table1[Date of Initial Assessment]="","",IF(AND(Table1[Start Date]&gt;42094,Table1[Start Date]&lt;42461),Table1[Emotional and Mental Health],""))</f>
        <v/>
      </c>
      <c r="FH191" s="44" t="str">
        <f>IF(Table1[Date of Initial Assessment]="","",IF(AND(Table1[Start Date]&gt;42094,Table1[Start Date]&lt;42461),Table1[Meaningful Use of Time],""))</f>
        <v/>
      </c>
      <c r="FI191" s="44" t="str">
        <f>IF(Table1[Date of Initial Assessment]="","",IF(AND(Table1[Start Date]&gt;42094,Table1[Start Date]&lt;42461),Table1[Managing Tenancy and Accommodation],""))</f>
        <v/>
      </c>
      <c r="FJ191" s="44" t="str">
        <f>IF(Table1[Date of Initial Assessment]="","",IF(AND(Table1[Start Date]&gt;42094,Table1[Start Date]&lt;42461),Table1[Offending],""))</f>
        <v/>
      </c>
      <c r="FK191" s="44" t="str">
        <f>IF(Table1[Leaving Date]="","",IF(Table1[Date of Initial Assessment]="","",IF(AND(Table1[Leaving Date]&gt;42094,Table1[Leaving Date]&lt;42461),IF(Table1[Date of Last Assessment]="",Table1[Motivation and Taking Responsibility],Table1[Motivation and Taking Responsibility2]),"")))</f>
        <v/>
      </c>
      <c r="FL191" s="44" t="str">
        <f>IF(Table1[Leaving Date]="","",IF(Table1[Date of Initial Assessment]="","",IF(AND(Table1[Leaving Date]&gt;42094,Table1[Leaving Date]&lt;42461),IF(Table1[Date of Last Assessment]="",Table1[Self-Care and Living Skills],Table1[Self-Care and Living Skills2]),"")))</f>
        <v/>
      </c>
      <c r="FM191" s="44" t="str">
        <f>IF(Table1[Leaving Date]="","",IF(Table1[Date of Initial Assessment]="","",IF(AND(Table1[Leaving Date]&gt;42094,Table1[Leaving Date]&lt;42461),IF(Table1[Date of Last Assessment]="",Table1[Managing Money and Personal Administration],Table1[Managing Money and Personal Administration2]),"")))</f>
        <v/>
      </c>
      <c r="FN191" s="44" t="str">
        <f>IF(Table1[Leaving Date]="","",IF(Table1[Date of Initial Assessment]="","",IF(AND(Table1[Leaving Date]&gt;42094,Table1[Leaving Date]&lt;42461),IF(Table1[Date of Last Assessment]="",Table1[Social Networks and Relationships],Table1[Social Networks and Relationships2]),"")))</f>
        <v/>
      </c>
      <c r="FO191" s="44" t="str">
        <f>IF(Table1[Leaving Date]="","",IF(Table1[Date of Initial Assessment]="","",IF(AND(Table1[Leaving Date]&gt;42094,Table1[Leaving Date]&lt;42461),IF(Table1[Date of Last Assessment]="",Table1[Drug and Alcohol Misuse],Table1[Drug and Alcohol Misuse2]),"")))</f>
        <v/>
      </c>
      <c r="FP191" s="44" t="str">
        <f>IF(Table1[Leaving Date]="","",IF(Table1[Date of Initial Assessment]="","",IF(AND(Table1[Leaving Date]&gt;42094,Table1[Leaving Date]&lt;42461),IF(Table1[Date of Last Assessment]="",Table1[Physical Health],Table1[Physical Health2]),"")))</f>
        <v/>
      </c>
      <c r="FQ191" s="44" t="str">
        <f>IF(Table1[Leaving Date]="","",IF(Table1[Date of Initial Assessment]="","",IF(AND(Table1[Leaving Date]&gt;42094,Table1[Leaving Date]&lt;42461),IF(Table1[Date of Last Assessment]="",Table1[Emotional and Mental Health],Table1[Emotional and Mental Health2]),"")))</f>
        <v/>
      </c>
      <c r="FR191" s="44" t="str">
        <f>IF(Table1[Leaving Date]="","",IF(Table1[Date of Initial Assessment]="","",IF(AND(Table1[Leaving Date]&gt;42094,Table1[Leaving Date]&lt;42461),IF(Table1[Date of Last Assessment]="",Table1[Meaningful Use of Time],Table1[Meaningful Use of Time2]),"")))</f>
        <v/>
      </c>
      <c r="FS191" s="44" t="str">
        <f>IF(Table1[Leaving Date]="","",IF(Table1[Date of Initial Assessment]="","",IF(AND(Table1[Leaving Date]&gt;42094,Table1[Leaving Date]&lt;42461),IF(Table1[Date of Last Assessment]="",Table1[Managing Tenancy and Accommodation],Table1[Managing Tenancy and Accommodation2]),"")))</f>
        <v/>
      </c>
      <c r="FT191" s="44" t="str">
        <f>IF(Table1[Leaving Date]="","",IF(Table1[Date of Initial Assessment]="","",IF(AND(Table1[Leaving Date]&gt;42094,Table1[Leaving Date]&lt;42461),IF(Table1[Date of Last Assessment]="",Table1[Offending],Table1[Offending2]),"")))</f>
        <v/>
      </c>
      <c r="FU191" s="44" t="str">
        <f>IF(Table1[Date of Initial Assessment]="","",IF(AND(Table1[Start Date]&gt;42460,Table1[Start Date]&lt;42826),Table1[Motivation and Taking Responsibility],""))</f>
        <v/>
      </c>
      <c r="FV191" s="44" t="str">
        <f>IF(Table1[Date of Initial Assessment]="","",IF(AND(Table1[Start Date]&gt;42460,Table1[Start Date]&lt;42826),Table1[Self-Care and Living Skills],""))</f>
        <v/>
      </c>
      <c r="FW191" s="44" t="str">
        <f>IF(Table1[Date of Initial Assessment]="","",IF(AND(Table1[Start Date]&gt;42460,Table1[Start Date]&lt;42826),Table1[Managing Money and Personal Administration],""))</f>
        <v/>
      </c>
      <c r="FX191" s="44" t="str">
        <f>IF(Table1[Date of Initial Assessment]="","",IF(AND(Table1[Start Date]&gt;42460,Table1[Start Date]&lt;42826),Table1[Social Networks and Relationships],""))</f>
        <v/>
      </c>
      <c r="FY191" s="44" t="str">
        <f>IF(Table1[Date of Initial Assessment]="","",IF(AND(Table1[Start Date]&gt;42460,Table1[Start Date]&lt;42826),Table1[Drug and Alcohol Misuse],""))</f>
        <v/>
      </c>
      <c r="FZ191" s="44" t="str">
        <f>IF(Table1[Date of Initial Assessment]="","",IF(AND(Table1[Start Date]&gt;42460,Table1[Start Date]&lt;42826),Table1[Physical Health],""))</f>
        <v/>
      </c>
      <c r="GA191" s="44" t="str">
        <f>IF(Table1[Date of Initial Assessment]="","",IF(AND(Table1[Start Date]&gt;42460,Table1[Start Date]&lt;42826),Table1[Emotional and Mental Health],""))</f>
        <v/>
      </c>
      <c r="GB191" s="44" t="str">
        <f>IF(Table1[Date of Initial Assessment]="","",IF(AND(Table1[Start Date]&gt;42460,Table1[Start Date]&lt;42826),Table1[Meaningful Use of Time],""))</f>
        <v/>
      </c>
      <c r="GC191" s="44" t="str">
        <f>IF(Table1[Date of Initial Assessment]="","",IF(AND(Table1[Start Date]&gt;42460,Table1[Start Date]&lt;42826),Table1[Managing Tenancy and Accommodation],""))</f>
        <v/>
      </c>
      <c r="GD191" s="44" t="str">
        <f>IF(Table1[Date of Initial Assessment]="","",IF(AND(Table1[Start Date]&gt;42460,Table1[Start Date]&lt;42826),Table1[Offending],""))</f>
        <v/>
      </c>
      <c r="GE191" s="44" t="str">
        <f>IF(Table1[Leaving Date]="","",IF(AND(Table1[Leaving Date]&gt;42460,Table1[Leaving Date]&lt;42826),IF(Table1[Date of Last Assessment]="",Table1[Motivation and Taking Responsibility],Table1[Motivation and Taking Responsibility2]),""))</f>
        <v/>
      </c>
      <c r="GF191" s="44" t="str">
        <f>IF(Table1[Leaving Date]="","",IF(AND(Table1[Leaving Date]&gt;42460,Table1[Leaving Date]&lt;42826),IF(Table1[Date of Last Assessment]="",Table1[Self-Care and Living Skills],Table1[Self-Care and Living Skills2]),""))</f>
        <v/>
      </c>
      <c r="GG191" s="44" t="str">
        <f>IF(Table1[Leaving Date]="","",IF(AND(Table1[Leaving Date]&gt;42460,Table1[Leaving Date]&lt;42826),IF(Table1[Date of Last Assessment]="",Table1[Managing Money and Personal Administration],Table1[Managing Money and Personal Administration2]),""))</f>
        <v/>
      </c>
      <c r="GH191" s="44" t="str">
        <f>IF(Table1[Leaving Date]="","",IF(AND(Table1[Leaving Date]&gt;42460,Table1[Leaving Date]&lt;42826),IF(Table1[Date of Last Assessment]="",Table1[Social Networks and Relationships],Table1[Social Networks and Relationships2]),""))</f>
        <v/>
      </c>
      <c r="GI191" s="44" t="str">
        <f>IF(Table1[Leaving Date]="","",IF(AND(Table1[Leaving Date]&gt;42460,Table1[Leaving Date]&lt;42826),IF(Table1[Date of Last Assessment]="",Table1[Drug and Alcohol Misuse],Table1[Drug and Alcohol Misuse2]),""))</f>
        <v/>
      </c>
      <c r="GJ191" s="44" t="str">
        <f>IF(Table1[Leaving Date]="","",IF(AND(Table1[Leaving Date]&gt;42460,Table1[Leaving Date]&lt;42826),IF(Table1[Date of Last Assessment]="",Table1[Physical Health],Table1[Physical Health2]),""))</f>
        <v/>
      </c>
      <c r="GK191" s="44" t="str">
        <f>IF(Table1[Leaving Date]="","",IF(AND(Table1[Leaving Date]&gt;42460,Table1[Leaving Date]&lt;42826),IF(Table1[Date of Last Assessment]="",Table1[Emotional and Mental Health],Table1[Emotional and Mental Health2]),""))</f>
        <v/>
      </c>
      <c r="GL191" s="44" t="str">
        <f>IF(Table1[Leaving Date]="","",IF(AND(Table1[Leaving Date]&gt;42460,Table1[Leaving Date]&lt;42826),IF(Table1[Date of Last Assessment]="",Table1[Meaningful Use of Time],Table1[Meaningful Use of Time2]),""))</f>
        <v/>
      </c>
      <c r="GM191" s="44" t="str">
        <f>IF(Table1[Leaving Date]="","",IF(AND(Table1[Leaving Date]&gt;42460,Table1[Leaving Date]&lt;42826),IF(Table1[Date of Last Assessment]="",Table1[Managing Tenancy and Accommodation],Table1[Managing Tenancy and Accommodation2]),""))</f>
        <v/>
      </c>
      <c r="GN191" s="44" t="str">
        <f>IF(Table1[Leaving Date]="","",IF(AND(Table1[Leaving Date]&gt;42460,Table1[Leaving Date]&lt;42826),IF(Table1[Date of Last Assessment]="",Table1[Offending],Table1[Offending2]),""))</f>
        <v/>
      </c>
    </row>
    <row r="192" spans="2:196" ht="20.100000000000001" customHeight="1" x14ac:dyDescent="0.2">
      <c r="B192" s="86">
        <f>+'Service Data'!$C$5:$C$5</f>
        <v>0</v>
      </c>
      <c r="C192" s="86"/>
      <c r="D192" s="86"/>
      <c r="E192" s="86"/>
      <c r="F192" s="86"/>
      <c r="G192" s="86"/>
      <c r="H192" s="6"/>
      <c r="I192" s="99" t="str">
        <f ca="1">IF(Table1[[#This Row],[Date of Birth]]="","",SUM(TODAY()-Table1[[#This Row],[Date of Birth]])/365)</f>
        <v/>
      </c>
      <c r="L192" s="86"/>
      <c r="M192" s="77"/>
      <c r="N192" s="86"/>
      <c r="O192" s="86"/>
      <c r="P192" s="91"/>
      <c r="Q192" s="86"/>
      <c r="R192" s="77"/>
      <c r="S192" s="77"/>
      <c r="T192" s="68"/>
      <c r="U192" s="68"/>
      <c r="V192" s="67"/>
      <c r="W192" s="67"/>
      <c r="X192" s="67"/>
      <c r="Y192" s="67"/>
      <c r="Z192" s="67"/>
      <c r="AA192" s="67"/>
      <c r="AB192" s="67"/>
      <c r="AC192" s="67"/>
      <c r="AD192" s="67"/>
      <c r="AE192" s="67"/>
      <c r="AF192" s="67"/>
      <c r="AG192" s="67"/>
      <c r="AH192" s="67"/>
      <c r="AI192" s="67"/>
      <c r="AJ192" s="67"/>
      <c r="AK192" s="67"/>
      <c r="AL192" s="67"/>
      <c r="AM192" s="67"/>
      <c r="AN192" s="77"/>
      <c r="AO192" s="76"/>
      <c r="AP192" s="77"/>
      <c r="AQ192" s="76"/>
      <c r="AR192" s="76"/>
      <c r="AS192" s="76"/>
      <c r="AT192" s="76"/>
      <c r="AU192" s="76"/>
      <c r="AV192" s="77"/>
      <c r="AW192" s="76"/>
      <c r="AX192" s="77"/>
      <c r="AY192" s="76"/>
      <c r="AZ192" s="76"/>
      <c r="BA192" s="76"/>
      <c r="BB192" s="76"/>
      <c r="BC192" s="76"/>
      <c r="BD192" s="77"/>
      <c r="BE192" s="76"/>
      <c r="BF192" s="77"/>
      <c r="BG192" s="76"/>
      <c r="BH192" s="76"/>
      <c r="BI192" s="76"/>
      <c r="BJ192" s="76"/>
      <c r="BK192" s="76"/>
      <c r="BL192" s="77"/>
      <c r="BM192" s="76"/>
      <c r="BN192" s="77"/>
      <c r="BO192" s="76"/>
      <c r="BP192" s="76"/>
      <c r="BQ192" s="76"/>
      <c r="BR192" s="76"/>
      <c r="BS192" s="76"/>
      <c r="BT192" s="77"/>
      <c r="BU192" s="76"/>
      <c r="BV192" s="77"/>
      <c r="BW192" s="76"/>
      <c r="BX192" s="76"/>
      <c r="BY192" s="76"/>
      <c r="BZ192" s="76"/>
      <c r="CA192" s="76"/>
      <c r="CB192" s="77"/>
      <c r="CC192" s="76"/>
      <c r="CD192" s="77"/>
      <c r="CE192" s="76"/>
      <c r="CF192" s="76"/>
      <c r="CG192" s="76"/>
      <c r="CH192" s="76"/>
      <c r="CI192" s="76"/>
      <c r="CJ192" s="77"/>
      <c r="CK192" s="76"/>
      <c r="CL192" s="77"/>
      <c r="CM192" s="76"/>
      <c r="CN192" s="76"/>
      <c r="CO192" s="76"/>
      <c r="CP192" s="76"/>
      <c r="CQ192" s="76"/>
      <c r="CR192" s="78" t="str">
        <f t="shared" si="47"/>
        <v/>
      </c>
      <c r="CS192" s="79" t="str">
        <f t="shared" si="48"/>
        <v/>
      </c>
      <c r="CT192" s="79" t="str">
        <f t="shared" si="49"/>
        <v/>
      </c>
      <c r="CU192" s="79" t="str">
        <f t="shared" si="50"/>
        <v/>
      </c>
      <c r="CV192" s="79" t="str">
        <f t="shared" si="51"/>
        <v/>
      </c>
      <c r="CW192" s="79" t="str">
        <f t="shared" si="52"/>
        <v/>
      </c>
      <c r="CX192" s="79" t="str">
        <f t="shared" si="53"/>
        <v/>
      </c>
      <c r="CY192" s="79" t="str">
        <f t="shared" si="54"/>
        <v/>
      </c>
      <c r="CZ192" s="79" t="str">
        <f t="shared" si="55"/>
        <v/>
      </c>
      <c r="DA192" s="79" t="str">
        <f t="shared" si="56"/>
        <v/>
      </c>
      <c r="DB192" s="79" t="str">
        <f t="shared" si="57"/>
        <v/>
      </c>
      <c r="DC192" s="79" t="str">
        <f t="shared" si="58"/>
        <v/>
      </c>
      <c r="DD192" s="79" t="str">
        <f t="shared" si="59"/>
        <v/>
      </c>
      <c r="DE192" s="79" t="str">
        <f t="shared" si="60"/>
        <v/>
      </c>
      <c r="DF192" s="79" t="str">
        <f t="shared" si="61"/>
        <v/>
      </c>
      <c r="DG192" s="79" t="str">
        <f t="shared" si="62"/>
        <v/>
      </c>
      <c r="DH192" s="76"/>
      <c r="DI192" s="78"/>
      <c r="DJ192" s="76"/>
      <c r="DK192" s="77"/>
      <c r="DL192" s="77"/>
      <c r="DM192" s="77"/>
      <c r="DN192" s="80"/>
      <c r="DO192" s="80"/>
      <c r="DP192" s="92" t="str">
        <f>IF(Table1[Start Date]="","",IF(Table1[Start Date]&gt;42185,"",IF(AND(Table1[Leaving Date]&gt;1,Table1[Leaving Date]&lt;42095),"",1)))</f>
        <v/>
      </c>
      <c r="DQ192" s="92" t="str">
        <f>IF(Table1[Start Date]="","",IF(Table1[Start Date]&gt;42277,"",IF(AND(Table1[Leaving Date]&gt;1,Table1[Leaving Date]&lt;42186),"",1)))</f>
        <v/>
      </c>
      <c r="DR192" s="92" t="str">
        <f>IF(Table1[Start Date]="","",IF(Table1[Start Date]&gt;42369,"",IF(AND(Table1[Leaving Date]&gt;1,Table1[Leaving Date]&lt;42278),"",1)))</f>
        <v/>
      </c>
      <c r="DS192" s="92" t="str">
        <f>IF(Table1[Start Date]="","",IF(Table1[Start Date]&gt;42460,"",IF(AND(Table1[Leaving Date]&gt;1,Table1[Leaving Date]&lt;42370),"",1)))</f>
        <v/>
      </c>
      <c r="DT192" s="92" t="str">
        <f>IF(Table1[Start Date]="","",IF(Table1[Start Date]&gt;42551,"",IF(AND(Table1[Leaving Date]&gt;1,Table1[Leaving Date]&lt;42461),"",1)))</f>
        <v/>
      </c>
      <c r="DU192" s="92" t="str">
        <f>IF(Table1[Start Date]="","",IF(Table1[Start Date]&gt;42643,"",IF(AND(Table1[Leaving Date]&gt;1,Table1[Leaving Date]&lt;42552),"",1)))</f>
        <v/>
      </c>
      <c r="DV192" s="92" t="str">
        <f>IF(Table1[Start Date]="","",IF(Table1[Start Date]&gt;42735,"",IF(AND(Table1[Leaving Date]&gt;1,Table1[Leaving Date]&lt;42644),"",1)))</f>
        <v/>
      </c>
      <c r="DW192" s="92" t="str">
        <f>IF(Table1[Start Date]="","",IF(Table1[Start Date]&gt;42825,"",IF(AND(Table1[Leaving Date]&gt;1,Table1[Leaving Date]&lt;42736),"",1)))</f>
        <v/>
      </c>
      <c r="DX192"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192" s="44" t="e">
        <f>VLOOKUP(Table1[Referral Source],Lists!$G$2:$H$20,2,FALSE)</f>
        <v>#N/A</v>
      </c>
      <c r="DZ192" s="93" t="e">
        <f>SUM(Table1[Data Referral Quarter]+Table1[Data Referral Source])</f>
        <v>#N/A</v>
      </c>
      <c r="EA192" s="44" t="b">
        <f>IF(Table1[Referral Decision]="Accepted",100,IF(Table1[Referral Decision]="Rejected by Provider",200,IF(Table1[Referral Decision]="Rejected by Applicant",300)))</f>
        <v>0</v>
      </c>
      <c r="EB192" s="44">
        <f>SUM(Table1[Data Referral Quarter]+Table1[Data Referral Decision])</f>
        <v>0</v>
      </c>
      <c r="EC192" s="44" t="b">
        <f>IF(Table1[Start Date]&gt;42735,8000,IF(Table1[Start Date]&gt;42643,7000,IF(Table1[Start Date]&gt;42551,6000,IF(Table1[Start Date]&gt;42460,5000,IF(Table1[Start Date]&gt;42369,4000,IF(Table1[Start Date]&gt;42277,3000,IF(Table1[Start Date]&gt;42185,2000,IF(Table1[Start Date]&gt;42094,1000))))))))</f>
        <v>0</v>
      </c>
      <c r="ED192" s="44" t="str">
        <f>IF(Table1[Start Date]="","",IF(Table1[Current Local Authority]="Swindon",1,"2"))</f>
        <v/>
      </c>
      <c r="EE192" s="44" t="e">
        <f>SUM(Table1[Data Start Date]+Table1[Data Local Authority])</f>
        <v>#VALUE!</v>
      </c>
      <c r="EF192" s="44">
        <f>IF(Table1[Registered with GP]="Yes",1,0)</f>
        <v>0</v>
      </c>
      <c r="EG192" s="44">
        <f>SUM(Table1[Data Start Date]+Table1[Data GP Start])</f>
        <v>0</v>
      </c>
      <c r="EH192" s="44" t="str">
        <f>IF(Table1[EET]="NEET",1,IF(Table1[EET]="Education",2,IF(Table1[EET]="Employment",2,IF(Table1[EET]="Training",2,IF(Table1[EET]="Retired",3,"")))))</f>
        <v/>
      </c>
      <c r="EI192" s="44" t="e">
        <f>Table1[Data Start Date]+Table1[Data EET Start]</f>
        <v>#VALUE!</v>
      </c>
      <c r="EJ192" s="44" t="b">
        <f>IF(Table1[Leaving Date]&gt;42735,8000,IF(Table1[Leaving Date]&gt;42643,7000,IF(Table1[Leaving Date]&gt;42551,6000,IF(Table1[Leaving Date]&gt;42460,5000,IF(Table1[Leaving Date]&gt;42369,4000,IF(Table1[Leaving Date]&gt;42277,3000,IF(Table1[Leaving Date]&gt;42185,2000,IF(Table1[Leaving Date]&gt;42094,1000))))))))</f>
        <v>0</v>
      </c>
      <c r="EK192" s="44" t="e">
        <f>VLOOKUP(Table1[Reason for Leaving],Lists!$T$2:$U$15,2,FALSE)</f>
        <v>#N/A</v>
      </c>
      <c r="EL192" s="44" t="e">
        <f>SUM(Table1[Data Leavers Date]+Table1[Data Move On])</f>
        <v>#N/A</v>
      </c>
      <c r="EM192" s="44" t="b">
        <f>IF(Table1[Registered with GP2]="Yes",1,IF(Table1[Registered with GP2]="No",0,IF(Table1[Registered with GP]="Yes",1,IF(Table1[Registered with GP]="No",0))))</f>
        <v>0</v>
      </c>
      <c r="EN192" s="44">
        <f>SUM(Table1[Data Leavers Date]+Table1[Data GP End])</f>
        <v>0</v>
      </c>
      <c r="EO192" s="44" t="str">
        <f>IF(Table1[EET2]="NEET",1,IF(Table1[EET2]="Employment",2,IF(Table1[EET2]="Education",2,IF(Table1[EET2]="Training",2,IF(Table1[EET2]="Retired",3,IF(Table1[EET]="NEET",1,IF(Table1[EET]="Employment",2,IF(Table1[EET]="Education",2,IF(Table1[EET]="Training",2,IF(Table1[EET]="Retired",3,""))))))))))</f>
        <v/>
      </c>
      <c r="EP192" s="44" t="e">
        <f>+Table1[[#This Row],[Data Leavers Date]]+Table1[[#This Row],[Data EET End]]</f>
        <v>#VALUE!</v>
      </c>
      <c r="EQ192" s="44">
        <f>IF(Table1[Exit Form Received]="Yes",1,0)</f>
        <v>0</v>
      </c>
      <c r="ER192" s="44">
        <f>+Table1[[#This Row],[Data Leavers Date]]+Table1[[#This Row],[Data Exit Forms]]</f>
        <v>0</v>
      </c>
      <c r="ES192" s="44" t="str">
        <f>IF(Table1[Data Leavers Date]=1000,SUM(Table1[Leaving Date]-Table1[Start Date]),"")</f>
        <v/>
      </c>
      <c r="ET192" s="44" t="str">
        <f>IF(Table1[Data Leavers Date]=2000,SUM(Table1[Leaving Date]-Table1[Start Date]),"")</f>
        <v/>
      </c>
      <c r="EU192" s="44" t="str">
        <f>IF(Table1[Data Leavers Date]=3000,SUM(Table1[Leaving Date]-Table1[Start Date]),"")</f>
        <v/>
      </c>
      <c r="EV192" s="44" t="str">
        <f>IF(Table1[Data Leavers Date]=4000,SUM(Table1[Leaving Date]-Table1[Start Date]),"")</f>
        <v/>
      </c>
      <c r="EW192" s="44" t="str">
        <f>IF(Table1[Data Leavers Date]=5000,SUM(Table1[Leaving Date]-Table1[Start Date]),"")</f>
        <v/>
      </c>
      <c r="EX192" s="44" t="str">
        <f>IF(Table1[Data Leavers Date]=6000,SUM(Table1[Leaving Date]-Table1[Start Date]),"")</f>
        <v/>
      </c>
      <c r="EY192" s="44" t="str">
        <f>IF(Table1[Data Leavers Date]=7000,SUM(Table1[Leaving Date]-Table1[Start Date]),"")</f>
        <v/>
      </c>
      <c r="EZ192" s="44" t="str">
        <f>IF(Table1[Data Leavers Date]=8000,SUM(Table1[Leaving Date]-Table1[Start Date]),"")</f>
        <v/>
      </c>
      <c r="FA192" s="44" t="str">
        <f>IF(Table1[Date of Initial Assessment]="","",IF(AND(Table1[Start Date]&gt;42094,Table1[Start Date]&lt;42461),Table1[Motivation and Taking Responsibility],""))</f>
        <v/>
      </c>
      <c r="FB192" s="44" t="str">
        <f>IF(Table1[Date of Initial Assessment]="","",IF(AND(Table1[Start Date]&gt;42094,Table1[Start Date]&lt;42461),Table1[Self-Care and Living Skills],""))</f>
        <v/>
      </c>
      <c r="FC192" s="44" t="str">
        <f>IF(Table1[Date of Initial Assessment]="","",IF(AND(Table1[Start Date]&gt;42094,Table1[Start Date]&lt;42461),Table1[Managing Money and Personal Administration],""))</f>
        <v/>
      </c>
      <c r="FD192" s="44" t="str">
        <f>IF(Table1[Date of Initial Assessment]="","",IF(AND(Table1[Start Date]&gt;42094,Table1[Start Date]&lt;42461),Table1[Social Networks and Relationships],""))</f>
        <v/>
      </c>
      <c r="FE192" s="44" t="str">
        <f>IF(Table1[Date of Initial Assessment]="","",IF(AND(Table1[Start Date]&gt;42094,Table1[Start Date]&lt;42461),Table1[Drug and Alcohol Misuse],""))</f>
        <v/>
      </c>
      <c r="FF192" s="44" t="str">
        <f>IF(Table1[Date of Initial Assessment]="","",IF(AND(Table1[Start Date]&gt;42094,Table1[Start Date]&lt;42461),Table1[Physical Health],""))</f>
        <v/>
      </c>
      <c r="FG192" s="44" t="str">
        <f>IF(Table1[Date of Initial Assessment]="","",IF(AND(Table1[Start Date]&gt;42094,Table1[Start Date]&lt;42461),Table1[Emotional and Mental Health],""))</f>
        <v/>
      </c>
      <c r="FH192" s="44" t="str">
        <f>IF(Table1[Date of Initial Assessment]="","",IF(AND(Table1[Start Date]&gt;42094,Table1[Start Date]&lt;42461),Table1[Meaningful Use of Time],""))</f>
        <v/>
      </c>
      <c r="FI192" s="44" t="str">
        <f>IF(Table1[Date of Initial Assessment]="","",IF(AND(Table1[Start Date]&gt;42094,Table1[Start Date]&lt;42461),Table1[Managing Tenancy and Accommodation],""))</f>
        <v/>
      </c>
      <c r="FJ192" s="44" t="str">
        <f>IF(Table1[Date of Initial Assessment]="","",IF(AND(Table1[Start Date]&gt;42094,Table1[Start Date]&lt;42461),Table1[Offending],""))</f>
        <v/>
      </c>
      <c r="FK192" s="44" t="str">
        <f>IF(Table1[Leaving Date]="","",IF(Table1[Date of Initial Assessment]="","",IF(AND(Table1[Leaving Date]&gt;42094,Table1[Leaving Date]&lt;42461),IF(Table1[Date of Last Assessment]="",Table1[Motivation and Taking Responsibility],Table1[Motivation and Taking Responsibility2]),"")))</f>
        <v/>
      </c>
      <c r="FL192" s="44" t="str">
        <f>IF(Table1[Leaving Date]="","",IF(Table1[Date of Initial Assessment]="","",IF(AND(Table1[Leaving Date]&gt;42094,Table1[Leaving Date]&lt;42461),IF(Table1[Date of Last Assessment]="",Table1[Self-Care and Living Skills],Table1[Self-Care and Living Skills2]),"")))</f>
        <v/>
      </c>
      <c r="FM192" s="44" t="str">
        <f>IF(Table1[Leaving Date]="","",IF(Table1[Date of Initial Assessment]="","",IF(AND(Table1[Leaving Date]&gt;42094,Table1[Leaving Date]&lt;42461),IF(Table1[Date of Last Assessment]="",Table1[Managing Money and Personal Administration],Table1[Managing Money and Personal Administration2]),"")))</f>
        <v/>
      </c>
      <c r="FN192" s="44" t="str">
        <f>IF(Table1[Leaving Date]="","",IF(Table1[Date of Initial Assessment]="","",IF(AND(Table1[Leaving Date]&gt;42094,Table1[Leaving Date]&lt;42461),IF(Table1[Date of Last Assessment]="",Table1[Social Networks and Relationships],Table1[Social Networks and Relationships2]),"")))</f>
        <v/>
      </c>
      <c r="FO192" s="44" t="str">
        <f>IF(Table1[Leaving Date]="","",IF(Table1[Date of Initial Assessment]="","",IF(AND(Table1[Leaving Date]&gt;42094,Table1[Leaving Date]&lt;42461),IF(Table1[Date of Last Assessment]="",Table1[Drug and Alcohol Misuse],Table1[Drug and Alcohol Misuse2]),"")))</f>
        <v/>
      </c>
      <c r="FP192" s="44" t="str">
        <f>IF(Table1[Leaving Date]="","",IF(Table1[Date of Initial Assessment]="","",IF(AND(Table1[Leaving Date]&gt;42094,Table1[Leaving Date]&lt;42461),IF(Table1[Date of Last Assessment]="",Table1[Physical Health],Table1[Physical Health2]),"")))</f>
        <v/>
      </c>
      <c r="FQ192" s="44" t="str">
        <f>IF(Table1[Leaving Date]="","",IF(Table1[Date of Initial Assessment]="","",IF(AND(Table1[Leaving Date]&gt;42094,Table1[Leaving Date]&lt;42461),IF(Table1[Date of Last Assessment]="",Table1[Emotional and Mental Health],Table1[Emotional and Mental Health2]),"")))</f>
        <v/>
      </c>
      <c r="FR192" s="44" t="str">
        <f>IF(Table1[Leaving Date]="","",IF(Table1[Date of Initial Assessment]="","",IF(AND(Table1[Leaving Date]&gt;42094,Table1[Leaving Date]&lt;42461),IF(Table1[Date of Last Assessment]="",Table1[Meaningful Use of Time],Table1[Meaningful Use of Time2]),"")))</f>
        <v/>
      </c>
      <c r="FS192" s="44" t="str">
        <f>IF(Table1[Leaving Date]="","",IF(Table1[Date of Initial Assessment]="","",IF(AND(Table1[Leaving Date]&gt;42094,Table1[Leaving Date]&lt;42461),IF(Table1[Date of Last Assessment]="",Table1[Managing Tenancy and Accommodation],Table1[Managing Tenancy and Accommodation2]),"")))</f>
        <v/>
      </c>
      <c r="FT192" s="44" t="str">
        <f>IF(Table1[Leaving Date]="","",IF(Table1[Date of Initial Assessment]="","",IF(AND(Table1[Leaving Date]&gt;42094,Table1[Leaving Date]&lt;42461),IF(Table1[Date of Last Assessment]="",Table1[Offending],Table1[Offending2]),"")))</f>
        <v/>
      </c>
      <c r="FU192" s="44" t="str">
        <f>IF(Table1[Date of Initial Assessment]="","",IF(AND(Table1[Start Date]&gt;42460,Table1[Start Date]&lt;42826),Table1[Motivation and Taking Responsibility],""))</f>
        <v/>
      </c>
      <c r="FV192" s="44" t="str">
        <f>IF(Table1[Date of Initial Assessment]="","",IF(AND(Table1[Start Date]&gt;42460,Table1[Start Date]&lt;42826),Table1[Self-Care and Living Skills],""))</f>
        <v/>
      </c>
      <c r="FW192" s="44" t="str">
        <f>IF(Table1[Date of Initial Assessment]="","",IF(AND(Table1[Start Date]&gt;42460,Table1[Start Date]&lt;42826),Table1[Managing Money and Personal Administration],""))</f>
        <v/>
      </c>
      <c r="FX192" s="44" t="str">
        <f>IF(Table1[Date of Initial Assessment]="","",IF(AND(Table1[Start Date]&gt;42460,Table1[Start Date]&lt;42826),Table1[Social Networks and Relationships],""))</f>
        <v/>
      </c>
      <c r="FY192" s="44" t="str">
        <f>IF(Table1[Date of Initial Assessment]="","",IF(AND(Table1[Start Date]&gt;42460,Table1[Start Date]&lt;42826),Table1[Drug and Alcohol Misuse],""))</f>
        <v/>
      </c>
      <c r="FZ192" s="44" t="str">
        <f>IF(Table1[Date of Initial Assessment]="","",IF(AND(Table1[Start Date]&gt;42460,Table1[Start Date]&lt;42826),Table1[Physical Health],""))</f>
        <v/>
      </c>
      <c r="GA192" s="44" t="str">
        <f>IF(Table1[Date of Initial Assessment]="","",IF(AND(Table1[Start Date]&gt;42460,Table1[Start Date]&lt;42826),Table1[Emotional and Mental Health],""))</f>
        <v/>
      </c>
      <c r="GB192" s="44" t="str">
        <f>IF(Table1[Date of Initial Assessment]="","",IF(AND(Table1[Start Date]&gt;42460,Table1[Start Date]&lt;42826),Table1[Meaningful Use of Time],""))</f>
        <v/>
      </c>
      <c r="GC192" s="44" t="str">
        <f>IF(Table1[Date of Initial Assessment]="","",IF(AND(Table1[Start Date]&gt;42460,Table1[Start Date]&lt;42826),Table1[Managing Tenancy and Accommodation],""))</f>
        <v/>
      </c>
      <c r="GD192" s="44" t="str">
        <f>IF(Table1[Date of Initial Assessment]="","",IF(AND(Table1[Start Date]&gt;42460,Table1[Start Date]&lt;42826),Table1[Offending],""))</f>
        <v/>
      </c>
      <c r="GE192" s="44" t="str">
        <f>IF(Table1[Leaving Date]="","",IF(AND(Table1[Leaving Date]&gt;42460,Table1[Leaving Date]&lt;42826),IF(Table1[Date of Last Assessment]="",Table1[Motivation and Taking Responsibility],Table1[Motivation and Taking Responsibility2]),""))</f>
        <v/>
      </c>
      <c r="GF192" s="44" t="str">
        <f>IF(Table1[Leaving Date]="","",IF(AND(Table1[Leaving Date]&gt;42460,Table1[Leaving Date]&lt;42826),IF(Table1[Date of Last Assessment]="",Table1[Self-Care and Living Skills],Table1[Self-Care and Living Skills2]),""))</f>
        <v/>
      </c>
      <c r="GG192" s="44" t="str">
        <f>IF(Table1[Leaving Date]="","",IF(AND(Table1[Leaving Date]&gt;42460,Table1[Leaving Date]&lt;42826),IF(Table1[Date of Last Assessment]="",Table1[Managing Money and Personal Administration],Table1[Managing Money and Personal Administration2]),""))</f>
        <v/>
      </c>
      <c r="GH192" s="44" t="str">
        <f>IF(Table1[Leaving Date]="","",IF(AND(Table1[Leaving Date]&gt;42460,Table1[Leaving Date]&lt;42826),IF(Table1[Date of Last Assessment]="",Table1[Social Networks and Relationships],Table1[Social Networks and Relationships2]),""))</f>
        <v/>
      </c>
      <c r="GI192" s="44" t="str">
        <f>IF(Table1[Leaving Date]="","",IF(AND(Table1[Leaving Date]&gt;42460,Table1[Leaving Date]&lt;42826),IF(Table1[Date of Last Assessment]="",Table1[Drug and Alcohol Misuse],Table1[Drug and Alcohol Misuse2]),""))</f>
        <v/>
      </c>
      <c r="GJ192" s="44" t="str">
        <f>IF(Table1[Leaving Date]="","",IF(AND(Table1[Leaving Date]&gt;42460,Table1[Leaving Date]&lt;42826),IF(Table1[Date of Last Assessment]="",Table1[Physical Health],Table1[Physical Health2]),""))</f>
        <v/>
      </c>
      <c r="GK192" s="44" t="str">
        <f>IF(Table1[Leaving Date]="","",IF(AND(Table1[Leaving Date]&gt;42460,Table1[Leaving Date]&lt;42826),IF(Table1[Date of Last Assessment]="",Table1[Emotional and Mental Health],Table1[Emotional and Mental Health2]),""))</f>
        <v/>
      </c>
      <c r="GL192" s="44" t="str">
        <f>IF(Table1[Leaving Date]="","",IF(AND(Table1[Leaving Date]&gt;42460,Table1[Leaving Date]&lt;42826),IF(Table1[Date of Last Assessment]="",Table1[Meaningful Use of Time],Table1[Meaningful Use of Time2]),""))</f>
        <v/>
      </c>
      <c r="GM192" s="44" t="str">
        <f>IF(Table1[Leaving Date]="","",IF(AND(Table1[Leaving Date]&gt;42460,Table1[Leaving Date]&lt;42826),IF(Table1[Date of Last Assessment]="",Table1[Managing Tenancy and Accommodation],Table1[Managing Tenancy and Accommodation2]),""))</f>
        <v/>
      </c>
      <c r="GN192" s="44" t="str">
        <f>IF(Table1[Leaving Date]="","",IF(AND(Table1[Leaving Date]&gt;42460,Table1[Leaving Date]&lt;42826),IF(Table1[Date of Last Assessment]="",Table1[Offending],Table1[Offending2]),""))</f>
        <v/>
      </c>
    </row>
    <row r="193" spans="2:196" ht="20.100000000000001" customHeight="1" x14ac:dyDescent="0.2">
      <c r="B193" s="86">
        <f>+'Service Data'!$C$5:$C$5</f>
        <v>0</v>
      </c>
      <c r="C193" s="86"/>
      <c r="D193" s="86"/>
      <c r="E193" s="86"/>
      <c r="F193" s="86"/>
      <c r="G193" s="86"/>
      <c r="H193" s="6"/>
      <c r="I193" s="99" t="str">
        <f ca="1">IF(Table1[[#This Row],[Date of Birth]]="","",SUM(TODAY()-Table1[[#This Row],[Date of Birth]])/365)</f>
        <v/>
      </c>
      <c r="L193" s="86"/>
      <c r="M193" s="77"/>
      <c r="N193" s="86"/>
      <c r="O193" s="86"/>
      <c r="P193" s="91"/>
      <c r="Q193" s="86"/>
      <c r="R193" s="77"/>
      <c r="S193" s="77"/>
      <c r="T193" s="68"/>
      <c r="U193" s="68"/>
      <c r="V193" s="67"/>
      <c r="W193" s="67"/>
      <c r="X193" s="67"/>
      <c r="Y193" s="67"/>
      <c r="Z193" s="67"/>
      <c r="AA193" s="67"/>
      <c r="AB193" s="67"/>
      <c r="AC193" s="67"/>
      <c r="AD193" s="67"/>
      <c r="AE193" s="67"/>
      <c r="AF193" s="67"/>
      <c r="AG193" s="67"/>
      <c r="AH193" s="67"/>
      <c r="AI193" s="67"/>
      <c r="AJ193" s="67"/>
      <c r="AK193" s="67"/>
      <c r="AL193" s="67"/>
      <c r="AM193" s="67"/>
      <c r="AN193" s="77"/>
      <c r="AO193" s="76"/>
      <c r="AP193" s="77"/>
      <c r="AQ193" s="76"/>
      <c r="AR193" s="76"/>
      <c r="AS193" s="76"/>
      <c r="AT193" s="76"/>
      <c r="AU193" s="76"/>
      <c r="AV193" s="77"/>
      <c r="AW193" s="76"/>
      <c r="AX193" s="77"/>
      <c r="AY193" s="76"/>
      <c r="AZ193" s="76"/>
      <c r="BA193" s="76"/>
      <c r="BB193" s="76"/>
      <c r="BC193" s="76"/>
      <c r="BD193" s="77"/>
      <c r="BE193" s="76"/>
      <c r="BF193" s="77"/>
      <c r="BG193" s="76"/>
      <c r="BH193" s="76"/>
      <c r="BI193" s="76"/>
      <c r="BJ193" s="76"/>
      <c r="BK193" s="76"/>
      <c r="BL193" s="77"/>
      <c r="BM193" s="76"/>
      <c r="BN193" s="77"/>
      <c r="BO193" s="76"/>
      <c r="BP193" s="76"/>
      <c r="BQ193" s="76"/>
      <c r="BR193" s="76"/>
      <c r="BS193" s="76"/>
      <c r="BT193" s="77"/>
      <c r="BU193" s="76"/>
      <c r="BV193" s="77"/>
      <c r="BW193" s="76"/>
      <c r="BX193" s="76"/>
      <c r="BY193" s="76"/>
      <c r="BZ193" s="76"/>
      <c r="CA193" s="76"/>
      <c r="CB193" s="77"/>
      <c r="CC193" s="76"/>
      <c r="CD193" s="77"/>
      <c r="CE193" s="76"/>
      <c r="CF193" s="76"/>
      <c r="CG193" s="76"/>
      <c r="CH193" s="76"/>
      <c r="CI193" s="76"/>
      <c r="CJ193" s="77"/>
      <c r="CK193" s="76"/>
      <c r="CL193" s="77"/>
      <c r="CM193" s="76"/>
      <c r="CN193" s="76"/>
      <c r="CO193" s="76"/>
      <c r="CP193" s="76"/>
      <c r="CQ193" s="76"/>
      <c r="CR193" s="78" t="str">
        <f t="shared" si="47"/>
        <v/>
      </c>
      <c r="CS193" s="79" t="str">
        <f t="shared" si="48"/>
        <v/>
      </c>
      <c r="CT193" s="79" t="str">
        <f t="shared" si="49"/>
        <v/>
      </c>
      <c r="CU193" s="79" t="str">
        <f t="shared" si="50"/>
        <v/>
      </c>
      <c r="CV193" s="79" t="str">
        <f t="shared" si="51"/>
        <v/>
      </c>
      <c r="CW193" s="79" t="str">
        <f t="shared" si="52"/>
        <v/>
      </c>
      <c r="CX193" s="79" t="str">
        <f t="shared" si="53"/>
        <v/>
      </c>
      <c r="CY193" s="79" t="str">
        <f t="shared" si="54"/>
        <v/>
      </c>
      <c r="CZ193" s="79" t="str">
        <f t="shared" si="55"/>
        <v/>
      </c>
      <c r="DA193" s="79" t="str">
        <f t="shared" si="56"/>
        <v/>
      </c>
      <c r="DB193" s="79" t="str">
        <f t="shared" si="57"/>
        <v/>
      </c>
      <c r="DC193" s="79" t="str">
        <f t="shared" si="58"/>
        <v/>
      </c>
      <c r="DD193" s="79" t="str">
        <f t="shared" si="59"/>
        <v/>
      </c>
      <c r="DE193" s="79" t="str">
        <f t="shared" si="60"/>
        <v/>
      </c>
      <c r="DF193" s="79" t="str">
        <f t="shared" si="61"/>
        <v/>
      </c>
      <c r="DG193" s="79" t="str">
        <f t="shared" si="62"/>
        <v/>
      </c>
      <c r="DH193" s="76"/>
      <c r="DI193" s="78"/>
      <c r="DJ193" s="76"/>
      <c r="DK193" s="77"/>
      <c r="DL193" s="77"/>
      <c r="DM193" s="77"/>
      <c r="DN193" s="80"/>
      <c r="DO193" s="80"/>
      <c r="DP193" s="92" t="str">
        <f>IF(Table1[Start Date]="","",IF(Table1[Start Date]&gt;42185,"",IF(AND(Table1[Leaving Date]&gt;1,Table1[Leaving Date]&lt;42095),"",1)))</f>
        <v/>
      </c>
      <c r="DQ193" s="92" t="str">
        <f>IF(Table1[Start Date]="","",IF(Table1[Start Date]&gt;42277,"",IF(AND(Table1[Leaving Date]&gt;1,Table1[Leaving Date]&lt;42186),"",1)))</f>
        <v/>
      </c>
      <c r="DR193" s="92" t="str">
        <f>IF(Table1[Start Date]="","",IF(Table1[Start Date]&gt;42369,"",IF(AND(Table1[Leaving Date]&gt;1,Table1[Leaving Date]&lt;42278),"",1)))</f>
        <v/>
      </c>
      <c r="DS193" s="92" t="str">
        <f>IF(Table1[Start Date]="","",IF(Table1[Start Date]&gt;42460,"",IF(AND(Table1[Leaving Date]&gt;1,Table1[Leaving Date]&lt;42370),"",1)))</f>
        <v/>
      </c>
      <c r="DT193" s="92" t="str">
        <f>IF(Table1[Start Date]="","",IF(Table1[Start Date]&gt;42551,"",IF(AND(Table1[Leaving Date]&gt;1,Table1[Leaving Date]&lt;42461),"",1)))</f>
        <v/>
      </c>
      <c r="DU193" s="92" t="str">
        <f>IF(Table1[Start Date]="","",IF(Table1[Start Date]&gt;42643,"",IF(AND(Table1[Leaving Date]&gt;1,Table1[Leaving Date]&lt;42552),"",1)))</f>
        <v/>
      </c>
      <c r="DV193" s="92" t="str">
        <f>IF(Table1[Start Date]="","",IF(Table1[Start Date]&gt;42735,"",IF(AND(Table1[Leaving Date]&gt;1,Table1[Leaving Date]&lt;42644),"",1)))</f>
        <v/>
      </c>
      <c r="DW193" s="92" t="str">
        <f>IF(Table1[Start Date]="","",IF(Table1[Start Date]&gt;42825,"",IF(AND(Table1[Leaving Date]&gt;1,Table1[Leaving Date]&lt;42736),"",1)))</f>
        <v/>
      </c>
      <c r="DX193"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193" s="44" t="e">
        <f>VLOOKUP(Table1[Referral Source],Lists!$G$2:$H$20,2,FALSE)</f>
        <v>#N/A</v>
      </c>
      <c r="DZ193" s="93" t="e">
        <f>SUM(Table1[Data Referral Quarter]+Table1[Data Referral Source])</f>
        <v>#N/A</v>
      </c>
      <c r="EA193" s="44" t="b">
        <f>IF(Table1[Referral Decision]="Accepted",100,IF(Table1[Referral Decision]="Rejected by Provider",200,IF(Table1[Referral Decision]="Rejected by Applicant",300)))</f>
        <v>0</v>
      </c>
      <c r="EB193" s="44">
        <f>SUM(Table1[Data Referral Quarter]+Table1[Data Referral Decision])</f>
        <v>0</v>
      </c>
      <c r="EC193" s="44" t="b">
        <f>IF(Table1[Start Date]&gt;42735,8000,IF(Table1[Start Date]&gt;42643,7000,IF(Table1[Start Date]&gt;42551,6000,IF(Table1[Start Date]&gt;42460,5000,IF(Table1[Start Date]&gt;42369,4000,IF(Table1[Start Date]&gt;42277,3000,IF(Table1[Start Date]&gt;42185,2000,IF(Table1[Start Date]&gt;42094,1000))))))))</f>
        <v>0</v>
      </c>
      <c r="ED193" s="44" t="str">
        <f>IF(Table1[Start Date]="","",IF(Table1[Current Local Authority]="Swindon",1,"2"))</f>
        <v/>
      </c>
      <c r="EE193" s="44" t="e">
        <f>SUM(Table1[Data Start Date]+Table1[Data Local Authority])</f>
        <v>#VALUE!</v>
      </c>
      <c r="EF193" s="44">
        <f>IF(Table1[Registered with GP]="Yes",1,0)</f>
        <v>0</v>
      </c>
      <c r="EG193" s="44">
        <f>SUM(Table1[Data Start Date]+Table1[Data GP Start])</f>
        <v>0</v>
      </c>
      <c r="EH193" s="44" t="str">
        <f>IF(Table1[EET]="NEET",1,IF(Table1[EET]="Education",2,IF(Table1[EET]="Employment",2,IF(Table1[EET]="Training",2,IF(Table1[EET]="Retired",3,"")))))</f>
        <v/>
      </c>
      <c r="EI193" s="44" t="e">
        <f>Table1[Data Start Date]+Table1[Data EET Start]</f>
        <v>#VALUE!</v>
      </c>
      <c r="EJ193" s="44" t="b">
        <f>IF(Table1[Leaving Date]&gt;42735,8000,IF(Table1[Leaving Date]&gt;42643,7000,IF(Table1[Leaving Date]&gt;42551,6000,IF(Table1[Leaving Date]&gt;42460,5000,IF(Table1[Leaving Date]&gt;42369,4000,IF(Table1[Leaving Date]&gt;42277,3000,IF(Table1[Leaving Date]&gt;42185,2000,IF(Table1[Leaving Date]&gt;42094,1000))))))))</f>
        <v>0</v>
      </c>
      <c r="EK193" s="44" t="e">
        <f>VLOOKUP(Table1[Reason for Leaving],Lists!$T$2:$U$15,2,FALSE)</f>
        <v>#N/A</v>
      </c>
      <c r="EL193" s="44" t="e">
        <f>SUM(Table1[Data Leavers Date]+Table1[Data Move On])</f>
        <v>#N/A</v>
      </c>
      <c r="EM193" s="44" t="b">
        <f>IF(Table1[Registered with GP2]="Yes",1,IF(Table1[Registered with GP2]="No",0,IF(Table1[Registered with GP]="Yes",1,IF(Table1[Registered with GP]="No",0))))</f>
        <v>0</v>
      </c>
      <c r="EN193" s="44">
        <f>SUM(Table1[Data Leavers Date]+Table1[Data GP End])</f>
        <v>0</v>
      </c>
      <c r="EO193" s="44" t="str">
        <f>IF(Table1[EET2]="NEET",1,IF(Table1[EET2]="Employment",2,IF(Table1[EET2]="Education",2,IF(Table1[EET2]="Training",2,IF(Table1[EET2]="Retired",3,IF(Table1[EET]="NEET",1,IF(Table1[EET]="Employment",2,IF(Table1[EET]="Education",2,IF(Table1[EET]="Training",2,IF(Table1[EET]="Retired",3,""))))))))))</f>
        <v/>
      </c>
      <c r="EP193" s="44" t="e">
        <f>+Table1[[#This Row],[Data Leavers Date]]+Table1[[#This Row],[Data EET End]]</f>
        <v>#VALUE!</v>
      </c>
      <c r="EQ193" s="44">
        <f>IF(Table1[Exit Form Received]="Yes",1,0)</f>
        <v>0</v>
      </c>
      <c r="ER193" s="44">
        <f>+Table1[[#This Row],[Data Leavers Date]]+Table1[[#This Row],[Data Exit Forms]]</f>
        <v>0</v>
      </c>
      <c r="ES193" s="44" t="str">
        <f>IF(Table1[Data Leavers Date]=1000,SUM(Table1[Leaving Date]-Table1[Start Date]),"")</f>
        <v/>
      </c>
      <c r="ET193" s="44" t="str">
        <f>IF(Table1[Data Leavers Date]=2000,SUM(Table1[Leaving Date]-Table1[Start Date]),"")</f>
        <v/>
      </c>
      <c r="EU193" s="44" t="str">
        <f>IF(Table1[Data Leavers Date]=3000,SUM(Table1[Leaving Date]-Table1[Start Date]),"")</f>
        <v/>
      </c>
      <c r="EV193" s="44" t="str">
        <f>IF(Table1[Data Leavers Date]=4000,SUM(Table1[Leaving Date]-Table1[Start Date]),"")</f>
        <v/>
      </c>
      <c r="EW193" s="44" t="str">
        <f>IF(Table1[Data Leavers Date]=5000,SUM(Table1[Leaving Date]-Table1[Start Date]),"")</f>
        <v/>
      </c>
      <c r="EX193" s="44" t="str">
        <f>IF(Table1[Data Leavers Date]=6000,SUM(Table1[Leaving Date]-Table1[Start Date]),"")</f>
        <v/>
      </c>
      <c r="EY193" s="44" t="str">
        <f>IF(Table1[Data Leavers Date]=7000,SUM(Table1[Leaving Date]-Table1[Start Date]),"")</f>
        <v/>
      </c>
      <c r="EZ193" s="44" t="str">
        <f>IF(Table1[Data Leavers Date]=8000,SUM(Table1[Leaving Date]-Table1[Start Date]),"")</f>
        <v/>
      </c>
      <c r="FA193" s="44" t="str">
        <f>IF(Table1[Date of Initial Assessment]="","",IF(AND(Table1[Start Date]&gt;42094,Table1[Start Date]&lt;42461),Table1[Motivation and Taking Responsibility],""))</f>
        <v/>
      </c>
      <c r="FB193" s="44" t="str">
        <f>IF(Table1[Date of Initial Assessment]="","",IF(AND(Table1[Start Date]&gt;42094,Table1[Start Date]&lt;42461),Table1[Self-Care and Living Skills],""))</f>
        <v/>
      </c>
      <c r="FC193" s="44" t="str">
        <f>IF(Table1[Date of Initial Assessment]="","",IF(AND(Table1[Start Date]&gt;42094,Table1[Start Date]&lt;42461),Table1[Managing Money and Personal Administration],""))</f>
        <v/>
      </c>
      <c r="FD193" s="44" t="str">
        <f>IF(Table1[Date of Initial Assessment]="","",IF(AND(Table1[Start Date]&gt;42094,Table1[Start Date]&lt;42461),Table1[Social Networks and Relationships],""))</f>
        <v/>
      </c>
      <c r="FE193" s="44" t="str">
        <f>IF(Table1[Date of Initial Assessment]="","",IF(AND(Table1[Start Date]&gt;42094,Table1[Start Date]&lt;42461),Table1[Drug and Alcohol Misuse],""))</f>
        <v/>
      </c>
      <c r="FF193" s="44" t="str">
        <f>IF(Table1[Date of Initial Assessment]="","",IF(AND(Table1[Start Date]&gt;42094,Table1[Start Date]&lt;42461),Table1[Physical Health],""))</f>
        <v/>
      </c>
      <c r="FG193" s="44" t="str">
        <f>IF(Table1[Date of Initial Assessment]="","",IF(AND(Table1[Start Date]&gt;42094,Table1[Start Date]&lt;42461),Table1[Emotional and Mental Health],""))</f>
        <v/>
      </c>
      <c r="FH193" s="44" t="str">
        <f>IF(Table1[Date of Initial Assessment]="","",IF(AND(Table1[Start Date]&gt;42094,Table1[Start Date]&lt;42461),Table1[Meaningful Use of Time],""))</f>
        <v/>
      </c>
      <c r="FI193" s="44" t="str">
        <f>IF(Table1[Date of Initial Assessment]="","",IF(AND(Table1[Start Date]&gt;42094,Table1[Start Date]&lt;42461),Table1[Managing Tenancy and Accommodation],""))</f>
        <v/>
      </c>
      <c r="FJ193" s="44" t="str">
        <f>IF(Table1[Date of Initial Assessment]="","",IF(AND(Table1[Start Date]&gt;42094,Table1[Start Date]&lt;42461),Table1[Offending],""))</f>
        <v/>
      </c>
      <c r="FK193" s="44" t="str">
        <f>IF(Table1[Leaving Date]="","",IF(Table1[Date of Initial Assessment]="","",IF(AND(Table1[Leaving Date]&gt;42094,Table1[Leaving Date]&lt;42461),IF(Table1[Date of Last Assessment]="",Table1[Motivation and Taking Responsibility],Table1[Motivation and Taking Responsibility2]),"")))</f>
        <v/>
      </c>
      <c r="FL193" s="44" t="str">
        <f>IF(Table1[Leaving Date]="","",IF(Table1[Date of Initial Assessment]="","",IF(AND(Table1[Leaving Date]&gt;42094,Table1[Leaving Date]&lt;42461),IF(Table1[Date of Last Assessment]="",Table1[Self-Care and Living Skills],Table1[Self-Care and Living Skills2]),"")))</f>
        <v/>
      </c>
      <c r="FM193" s="44" t="str">
        <f>IF(Table1[Leaving Date]="","",IF(Table1[Date of Initial Assessment]="","",IF(AND(Table1[Leaving Date]&gt;42094,Table1[Leaving Date]&lt;42461),IF(Table1[Date of Last Assessment]="",Table1[Managing Money and Personal Administration],Table1[Managing Money and Personal Administration2]),"")))</f>
        <v/>
      </c>
      <c r="FN193" s="44" t="str">
        <f>IF(Table1[Leaving Date]="","",IF(Table1[Date of Initial Assessment]="","",IF(AND(Table1[Leaving Date]&gt;42094,Table1[Leaving Date]&lt;42461),IF(Table1[Date of Last Assessment]="",Table1[Social Networks and Relationships],Table1[Social Networks and Relationships2]),"")))</f>
        <v/>
      </c>
      <c r="FO193" s="44" t="str">
        <f>IF(Table1[Leaving Date]="","",IF(Table1[Date of Initial Assessment]="","",IF(AND(Table1[Leaving Date]&gt;42094,Table1[Leaving Date]&lt;42461),IF(Table1[Date of Last Assessment]="",Table1[Drug and Alcohol Misuse],Table1[Drug and Alcohol Misuse2]),"")))</f>
        <v/>
      </c>
      <c r="FP193" s="44" t="str">
        <f>IF(Table1[Leaving Date]="","",IF(Table1[Date of Initial Assessment]="","",IF(AND(Table1[Leaving Date]&gt;42094,Table1[Leaving Date]&lt;42461),IF(Table1[Date of Last Assessment]="",Table1[Physical Health],Table1[Physical Health2]),"")))</f>
        <v/>
      </c>
      <c r="FQ193" s="44" t="str">
        <f>IF(Table1[Leaving Date]="","",IF(Table1[Date of Initial Assessment]="","",IF(AND(Table1[Leaving Date]&gt;42094,Table1[Leaving Date]&lt;42461),IF(Table1[Date of Last Assessment]="",Table1[Emotional and Mental Health],Table1[Emotional and Mental Health2]),"")))</f>
        <v/>
      </c>
      <c r="FR193" s="44" t="str">
        <f>IF(Table1[Leaving Date]="","",IF(Table1[Date of Initial Assessment]="","",IF(AND(Table1[Leaving Date]&gt;42094,Table1[Leaving Date]&lt;42461),IF(Table1[Date of Last Assessment]="",Table1[Meaningful Use of Time],Table1[Meaningful Use of Time2]),"")))</f>
        <v/>
      </c>
      <c r="FS193" s="44" t="str">
        <f>IF(Table1[Leaving Date]="","",IF(Table1[Date of Initial Assessment]="","",IF(AND(Table1[Leaving Date]&gt;42094,Table1[Leaving Date]&lt;42461),IF(Table1[Date of Last Assessment]="",Table1[Managing Tenancy and Accommodation],Table1[Managing Tenancy and Accommodation2]),"")))</f>
        <v/>
      </c>
      <c r="FT193" s="44" t="str">
        <f>IF(Table1[Leaving Date]="","",IF(Table1[Date of Initial Assessment]="","",IF(AND(Table1[Leaving Date]&gt;42094,Table1[Leaving Date]&lt;42461),IF(Table1[Date of Last Assessment]="",Table1[Offending],Table1[Offending2]),"")))</f>
        <v/>
      </c>
      <c r="FU193" s="44" t="str">
        <f>IF(Table1[Date of Initial Assessment]="","",IF(AND(Table1[Start Date]&gt;42460,Table1[Start Date]&lt;42826),Table1[Motivation and Taking Responsibility],""))</f>
        <v/>
      </c>
      <c r="FV193" s="44" t="str">
        <f>IF(Table1[Date of Initial Assessment]="","",IF(AND(Table1[Start Date]&gt;42460,Table1[Start Date]&lt;42826),Table1[Self-Care and Living Skills],""))</f>
        <v/>
      </c>
      <c r="FW193" s="44" t="str">
        <f>IF(Table1[Date of Initial Assessment]="","",IF(AND(Table1[Start Date]&gt;42460,Table1[Start Date]&lt;42826),Table1[Managing Money and Personal Administration],""))</f>
        <v/>
      </c>
      <c r="FX193" s="44" t="str">
        <f>IF(Table1[Date of Initial Assessment]="","",IF(AND(Table1[Start Date]&gt;42460,Table1[Start Date]&lt;42826),Table1[Social Networks and Relationships],""))</f>
        <v/>
      </c>
      <c r="FY193" s="44" t="str">
        <f>IF(Table1[Date of Initial Assessment]="","",IF(AND(Table1[Start Date]&gt;42460,Table1[Start Date]&lt;42826),Table1[Drug and Alcohol Misuse],""))</f>
        <v/>
      </c>
      <c r="FZ193" s="44" t="str">
        <f>IF(Table1[Date of Initial Assessment]="","",IF(AND(Table1[Start Date]&gt;42460,Table1[Start Date]&lt;42826),Table1[Physical Health],""))</f>
        <v/>
      </c>
      <c r="GA193" s="44" t="str">
        <f>IF(Table1[Date of Initial Assessment]="","",IF(AND(Table1[Start Date]&gt;42460,Table1[Start Date]&lt;42826),Table1[Emotional and Mental Health],""))</f>
        <v/>
      </c>
      <c r="GB193" s="44" t="str">
        <f>IF(Table1[Date of Initial Assessment]="","",IF(AND(Table1[Start Date]&gt;42460,Table1[Start Date]&lt;42826),Table1[Meaningful Use of Time],""))</f>
        <v/>
      </c>
      <c r="GC193" s="44" t="str">
        <f>IF(Table1[Date of Initial Assessment]="","",IF(AND(Table1[Start Date]&gt;42460,Table1[Start Date]&lt;42826),Table1[Managing Tenancy and Accommodation],""))</f>
        <v/>
      </c>
      <c r="GD193" s="44" t="str">
        <f>IF(Table1[Date of Initial Assessment]="","",IF(AND(Table1[Start Date]&gt;42460,Table1[Start Date]&lt;42826),Table1[Offending],""))</f>
        <v/>
      </c>
      <c r="GE193" s="44" t="str">
        <f>IF(Table1[Leaving Date]="","",IF(AND(Table1[Leaving Date]&gt;42460,Table1[Leaving Date]&lt;42826),IF(Table1[Date of Last Assessment]="",Table1[Motivation and Taking Responsibility],Table1[Motivation and Taking Responsibility2]),""))</f>
        <v/>
      </c>
      <c r="GF193" s="44" t="str">
        <f>IF(Table1[Leaving Date]="","",IF(AND(Table1[Leaving Date]&gt;42460,Table1[Leaving Date]&lt;42826),IF(Table1[Date of Last Assessment]="",Table1[Self-Care and Living Skills],Table1[Self-Care and Living Skills2]),""))</f>
        <v/>
      </c>
      <c r="GG193" s="44" t="str">
        <f>IF(Table1[Leaving Date]="","",IF(AND(Table1[Leaving Date]&gt;42460,Table1[Leaving Date]&lt;42826),IF(Table1[Date of Last Assessment]="",Table1[Managing Money and Personal Administration],Table1[Managing Money and Personal Administration2]),""))</f>
        <v/>
      </c>
      <c r="GH193" s="44" t="str">
        <f>IF(Table1[Leaving Date]="","",IF(AND(Table1[Leaving Date]&gt;42460,Table1[Leaving Date]&lt;42826),IF(Table1[Date of Last Assessment]="",Table1[Social Networks and Relationships],Table1[Social Networks and Relationships2]),""))</f>
        <v/>
      </c>
      <c r="GI193" s="44" t="str">
        <f>IF(Table1[Leaving Date]="","",IF(AND(Table1[Leaving Date]&gt;42460,Table1[Leaving Date]&lt;42826),IF(Table1[Date of Last Assessment]="",Table1[Drug and Alcohol Misuse],Table1[Drug and Alcohol Misuse2]),""))</f>
        <v/>
      </c>
      <c r="GJ193" s="44" t="str">
        <f>IF(Table1[Leaving Date]="","",IF(AND(Table1[Leaving Date]&gt;42460,Table1[Leaving Date]&lt;42826),IF(Table1[Date of Last Assessment]="",Table1[Physical Health],Table1[Physical Health2]),""))</f>
        <v/>
      </c>
      <c r="GK193" s="44" t="str">
        <f>IF(Table1[Leaving Date]="","",IF(AND(Table1[Leaving Date]&gt;42460,Table1[Leaving Date]&lt;42826),IF(Table1[Date of Last Assessment]="",Table1[Emotional and Mental Health],Table1[Emotional and Mental Health2]),""))</f>
        <v/>
      </c>
      <c r="GL193" s="44" t="str">
        <f>IF(Table1[Leaving Date]="","",IF(AND(Table1[Leaving Date]&gt;42460,Table1[Leaving Date]&lt;42826),IF(Table1[Date of Last Assessment]="",Table1[Meaningful Use of Time],Table1[Meaningful Use of Time2]),""))</f>
        <v/>
      </c>
      <c r="GM193" s="44" t="str">
        <f>IF(Table1[Leaving Date]="","",IF(AND(Table1[Leaving Date]&gt;42460,Table1[Leaving Date]&lt;42826),IF(Table1[Date of Last Assessment]="",Table1[Managing Tenancy and Accommodation],Table1[Managing Tenancy and Accommodation2]),""))</f>
        <v/>
      </c>
      <c r="GN193" s="44" t="str">
        <f>IF(Table1[Leaving Date]="","",IF(AND(Table1[Leaving Date]&gt;42460,Table1[Leaving Date]&lt;42826),IF(Table1[Date of Last Assessment]="",Table1[Offending],Table1[Offending2]),""))</f>
        <v/>
      </c>
    </row>
    <row r="194" spans="2:196" ht="20.100000000000001" customHeight="1" x14ac:dyDescent="0.2">
      <c r="B194" s="86">
        <f>+'Service Data'!$C$5:$C$5</f>
        <v>0</v>
      </c>
      <c r="C194" s="86"/>
      <c r="D194" s="86"/>
      <c r="E194" s="86"/>
      <c r="F194" s="86"/>
      <c r="G194" s="86"/>
      <c r="H194" s="6"/>
      <c r="I194" s="99" t="str">
        <f ca="1">IF(Table1[[#This Row],[Date of Birth]]="","",SUM(TODAY()-Table1[[#This Row],[Date of Birth]])/365)</f>
        <v/>
      </c>
      <c r="L194" s="86"/>
      <c r="M194" s="77"/>
      <c r="N194" s="86"/>
      <c r="O194" s="86"/>
      <c r="P194" s="91"/>
      <c r="Q194" s="86"/>
      <c r="R194" s="77"/>
      <c r="S194" s="77"/>
      <c r="T194" s="68"/>
      <c r="U194" s="68"/>
      <c r="V194" s="67"/>
      <c r="W194" s="67"/>
      <c r="X194" s="67"/>
      <c r="Y194" s="67"/>
      <c r="Z194" s="67"/>
      <c r="AA194" s="67"/>
      <c r="AB194" s="67"/>
      <c r="AC194" s="67"/>
      <c r="AD194" s="67"/>
      <c r="AE194" s="67"/>
      <c r="AF194" s="67"/>
      <c r="AG194" s="67"/>
      <c r="AH194" s="67"/>
      <c r="AI194" s="67"/>
      <c r="AJ194" s="67"/>
      <c r="AK194" s="67"/>
      <c r="AL194" s="67"/>
      <c r="AM194" s="67"/>
      <c r="AN194" s="77"/>
      <c r="AO194" s="76"/>
      <c r="AP194" s="77"/>
      <c r="AQ194" s="76"/>
      <c r="AR194" s="76"/>
      <c r="AS194" s="76"/>
      <c r="AT194" s="76"/>
      <c r="AU194" s="76"/>
      <c r="AV194" s="77"/>
      <c r="AW194" s="76"/>
      <c r="AX194" s="77"/>
      <c r="AY194" s="76"/>
      <c r="AZ194" s="76"/>
      <c r="BA194" s="76"/>
      <c r="BB194" s="76"/>
      <c r="BC194" s="76"/>
      <c r="BD194" s="77"/>
      <c r="BE194" s="76"/>
      <c r="BF194" s="77"/>
      <c r="BG194" s="76"/>
      <c r="BH194" s="76"/>
      <c r="BI194" s="76"/>
      <c r="BJ194" s="76"/>
      <c r="BK194" s="76"/>
      <c r="BL194" s="77"/>
      <c r="BM194" s="76"/>
      <c r="BN194" s="77"/>
      <c r="BO194" s="76"/>
      <c r="BP194" s="76"/>
      <c r="BQ194" s="76"/>
      <c r="BR194" s="76"/>
      <c r="BS194" s="76"/>
      <c r="BT194" s="77"/>
      <c r="BU194" s="76"/>
      <c r="BV194" s="77"/>
      <c r="BW194" s="76"/>
      <c r="BX194" s="76"/>
      <c r="BY194" s="76"/>
      <c r="BZ194" s="76"/>
      <c r="CA194" s="76"/>
      <c r="CB194" s="77"/>
      <c r="CC194" s="76"/>
      <c r="CD194" s="77"/>
      <c r="CE194" s="76"/>
      <c r="CF194" s="76"/>
      <c r="CG194" s="76"/>
      <c r="CH194" s="76"/>
      <c r="CI194" s="76"/>
      <c r="CJ194" s="77"/>
      <c r="CK194" s="76"/>
      <c r="CL194" s="77"/>
      <c r="CM194" s="76"/>
      <c r="CN194" s="76"/>
      <c r="CO194" s="76"/>
      <c r="CP194" s="76"/>
      <c r="CQ194" s="76"/>
      <c r="CR194" s="78" t="str">
        <f t="shared" si="47"/>
        <v/>
      </c>
      <c r="CS194" s="79" t="str">
        <f t="shared" si="48"/>
        <v/>
      </c>
      <c r="CT194" s="79" t="str">
        <f t="shared" si="49"/>
        <v/>
      </c>
      <c r="CU194" s="79" t="str">
        <f t="shared" si="50"/>
        <v/>
      </c>
      <c r="CV194" s="79" t="str">
        <f t="shared" si="51"/>
        <v/>
      </c>
      <c r="CW194" s="79" t="str">
        <f t="shared" si="52"/>
        <v/>
      </c>
      <c r="CX194" s="79" t="str">
        <f t="shared" si="53"/>
        <v/>
      </c>
      <c r="CY194" s="79" t="str">
        <f t="shared" si="54"/>
        <v/>
      </c>
      <c r="CZ194" s="79" t="str">
        <f t="shared" si="55"/>
        <v/>
      </c>
      <c r="DA194" s="79" t="str">
        <f t="shared" si="56"/>
        <v/>
      </c>
      <c r="DB194" s="79" t="str">
        <f t="shared" si="57"/>
        <v/>
      </c>
      <c r="DC194" s="79" t="str">
        <f t="shared" si="58"/>
        <v/>
      </c>
      <c r="DD194" s="79" t="str">
        <f t="shared" si="59"/>
        <v/>
      </c>
      <c r="DE194" s="79" t="str">
        <f t="shared" si="60"/>
        <v/>
      </c>
      <c r="DF194" s="79" t="str">
        <f t="shared" si="61"/>
        <v/>
      </c>
      <c r="DG194" s="79" t="str">
        <f t="shared" si="62"/>
        <v/>
      </c>
      <c r="DH194" s="76"/>
      <c r="DI194" s="78"/>
      <c r="DJ194" s="76"/>
      <c r="DK194" s="77"/>
      <c r="DL194" s="77"/>
      <c r="DM194" s="77"/>
      <c r="DN194" s="80"/>
      <c r="DO194" s="80"/>
      <c r="DP194" s="92" t="str">
        <f>IF(Table1[Start Date]="","",IF(Table1[Start Date]&gt;42185,"",IF(AND(Table1[Leaving Date]&gt;1,Table1[Leaving Date]&lt;42095),"",1)))</f>
        <v/>
      </c>
      <c r="DQ194" s="92" t="str">
        <f>IF(Table1[Start Date]="","",IF(Table1[Start Date]&gt;42277,"",IF(AND(Table1[Leaving Date]&gt;1,Table1[Leaving Date]&lt;42186),"",1)))</f>
        <v/>
      </c>
      <c r="DR194" s="92" t="str">
        <f>IF(Table1[Start Date]="","",IF(Table1[Start Date]&gt;42369,"",IF(AND(Table1[Leaving Date]&gt;1,Table1[Leaving Date]&lt;42278),"",1)))</f>
        <v/>
      </c>
      <c r="DS194" s="92" t="str">
        <f>IF(Table1[Start Date]="","",IF(Table1[Start Date]&gt;42460,"",IF(AND(Table1[Leaving Date]&gt;1,Table1[Leaving Date]&lt;42370),"",1)))</f>
        <v/>
      </c>
      <c r="DT194" s="92" t="str">
        <f>IF(Table1[Start Date]="","",IF(Table1[Start Date]&gt;42551,"",IF(AND(Table1[Leaving Date]&gt;1,Table1[Leaving Date]&lt;42461),"",1)))</f>
        <v/>
      </c>
      <c r="DU194" s="92" t="str">
        <f>IF(Table1[Start Date]="","",IF(Table1[Start Date]&gt;42643,"",IF(AND(Table1[Leaving Date]&gt;1,Table1[Leaving Date]&lt;42552),"",1)))</f>
        <v/>
      </c>
      <c r="DV194" s="92" t="str">
        <f>IF(Table1[Start Date]="","",IF(Table1[Start Date]&gt;42735,"",IF(AND(Table1[Leaving Date]&gt;1,Table1[Leaving Date]&lt;42644),"",1)))</f>
        <v/>
      </c>
      <c r="DW194" s="92" t="str">
        <f>IF(Table1[Start Date]="","",IF(Table1[Start Date]&gt;42825,"",IF(AND(Table1[Leaving Date]&gt;1,Table1[Leaving Date]&lt;42736),"",1)))</f>
        <v/>
      </c>
      <c r="DX194"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194" s="44" t="e">
        <f>VLOOKUP(Table1[Referral Source],Lists!$G$2:$H$20,2,FALSE)</f>
        <v>#N/A</v>
      </c>
      <c r="DZ194" s="93" t="e">
        <f>SUM(Table1[Data Referral Quarter]+Table1[Data Referral Source])</f>
        <v>#N/A</v>
      </c>
      <c r="EA194" s="44" t="b">
        <f>IF(Table1[Referral Decision]="Accepted",100,IF(Table1[Referral Decision]="Rejected by Provider",200,IF(Table1[Referral Decision]="Rejected by Applicant",300)))</f>
        <v>0</v>
      </c>
      <c r="EB194" s="44">
        <f>SUM(Table1[Data Referral Quarter]+Table1[Data Referral Decision])</f>
        <v>0</v>
      </c>
      <c r="EC194" s="44" t="b">
        <f>IF(Table1[Start Date]&gt;42735,8000,IF(Table1[Start Date]&gt;42643,7000,IF(Table1[Start Date]&gt;42551,6000,IF(Table1[Start Date]&gt;42460,5000,IF(Table1[Start Date]&gt;42369,4000,IF(Table1[Start Date]&gt;42277,3000,IF(Table1[Start Date]&gt;42185,2000,IF(Table1[Start Date]&gt;42094,1000))))))))</f>
        <v>0</v>
      </c>
      <c r="ED194" s="44" t="str">
        <f>IF(Table1[Start Date]="","",IF(Table1[Current Local Authority]="Swindon",1,"2"))</f>
        <v/>
      </c>
      <c r="EE194" s="44" t="e">
        <f>SUM(Table1[Data Start Date]+Table1[Data Local Authority])</f>
        <v>#VALUE!</v>
      </c>
      <c r="EF194" s="44">
        <f>IF(Table1[Registered with GP]="Yes",1,0)</f>
        <v>0</v>
      </c>
      <c r="EG194" s="44">
        <f>SUM(Table1[Data Start Date]+Table1[Data GP Start])</f>
        <v>0</v>
      </c>
      <c r="EH194" s="44" t="str">
        <f>IF(Table1[EET]="NEET",1,IF(Table1[EET]="Education",2,IF(Table1[EET]="Employment",2,IF(Table1[EET]="Training",2,IF(Table1[EET]="Retired",3,"")))))</f>
        <v/>
      </c>
      <c r="EI194" s="44" t="e">
        <f>Table1[Data Start Date]+Table1[Data EET Start]</f>
        <v>#VALUE!</v>
      </c>
      <c r="EJ194" s="44" t="b">
        <f>IF(Table1[Leaving Date]&gt;42735,8000,IF(Table1[Leaving Date]&gt;42643,7000,IF(Table1[Leaving Date]&gt;42551,6000,IF(Table1[Leaving Date]&gt;42460,5000,IF(Table1[Leaving Date]&gt;42369,4000,IF(Table1[Leaving Date]&gt;42277,3000,IF(Table1[Leaving Date]&gt;42185,2000,IF(Table1[Leaving Date]&gt;42094,1000))))))))</f>
        <v>0</v>
      </c>
      <c r="EK194" s="44" t="e">
        <f>VLOOKUP(Table1[Reason for Leaving],Lists!$T$2:$U$15,2,FALSE)</f>
        <v>#N/A</v>
      </c>
      <c r="EL194" s="44" t="e">
        <f>SUM(Table1[Data Leavers Date]+Table1[Data Move On])</f>
        <v>#N/A</v>
      </c>
      <c r="EM194" s="44" t="b">
        <f>IF(Table1[Registered with GP2]="Yes",1,IF(Table1[Registered with GP2]="No",0,IF(Table1[Registered with GP]="Yes",1,IF(Table1[Registered with GP]="No",0))))</f>
        <v>0</v>
      </c>
      <c r="EN194" s="44">
        <f>SUM(Table1[Data Leavers Date]+Table1[Data GP End])</f>
        <v>0</v>
      </c>
      <c r="EO194" s="44" t="str">
        <f>IF(Table1[EET2]="NEET",1,IF(Table1[EET2]="Employment",2,IF(Table1[EET2]="Education",2,IF(Table1[EET2]="Training",2,IF(Table1[EET2]="Retired",3,IF(Table1[EET]="NEET",1,IF(Table1[EET]="Employment",2,IF(Table1[EET]="Education",2,IF(Table1[EET]="Training",2,IF(Table1[EET]="Retired",3,""))))))))))</f>
        <v/>
      </c>
      <c r="EP194" s="44" t="e">
        <f>+Table1[[#This Row],[Data Leavers Date]]+Table1[[#This Row],[Data EET End]]</f>
        <v>#VALUE!</v>
      </c>
      <c r="EQ194" s="44">
        <f>IF(Table1[Exit Form Received]="Yes",1,0)</f>
        <v>0</v>
      </c>
      <c r="ER194" s="44">
        <f>+Table1[[#This Row],[Data Leavers Date]]+Table1[[#This Row],[Data Exit Forms]]</f>
        <v>0</v>
      </c>
      <c r="ES194" s="44" t="str">
        <f>IF(Table1[Data Leavers Date]=1000,SUM(Table1[Leaving Date]-Table1[Start Date]),"")</f>
        <v/>
      </c>
      <c r="ET194" s="44" t="str">
        <f>IF(Table1[Data Leavers Date]=2000,SUM(Table1[Leaving Date]-Table1[Start Date]),"")</f>
        <v/>
      </c>
      <c r="EU194" s="44" t="str">
        <f>IF(Table1[Data Leavers Date]=3000,SUM(Table1[Leaving Date]-Table1[Start Date]),"")</f>
        <v/>
      </c>
      <c r="EV194" s="44" t="str">
        <f>IF(Table1[Data Leavers Date]=4000,SUM(Table1[Leaving Date]-Table1[Start Date]),"")</f>
        <v/>
      </c>
      <c r="EW194" s="44" t="str">
        <f>IF(Table1[Data Leavers Date]=5000,SUM(Table1[Leaving Date]-Table1[Start Date]),"")</f>
        <v/>
      </c>
      <c r="EX194" s="44" t="str">
        <f>IF(Table1[Data Leavers Date]=6000,SUM(Table1[Leaving Date]-Table1[Start Date]),"")</f>
        <v/>
      </c>
      <c r="EY194" s="44" t="str">
        <f>IF(Table1[Data Leavers Date]=7000,SUM(Table1[Leaving Date]-Table1[Start Date]),"")</f>
        <v/>
      </c>
      <c r="EZ194" s="44" t="str">
        <f>IF(Table1[Data Leavers Date]=8000,SUM(Table1[Leaving Date]-Table1[Start Date]),"")</f>
        <v/>
      </c>
      <c r="FA194" s="44" t="str">
        <f>IF(Table1[Date of Initial Assessment]="","",IF(AND(Table1[Start Date]&gt;42094,Table1[Start Date]&lt;42461),Table1[Motivation and Taking Responsibility],""))</f>
        <v/>
      </c>
      <c r="FB194" s="44" t="str">
        <f>IF(Table1[Date of Initial Assessment]="","",IF(AND(Table1[Start Date]&gt;42094,Table1[Start Date]&lt;42461),Table1[Self-Care and Living Skills],""))</f>
        <v/>
      </c>
      <c r="FC194" s="44" t="str">
        <f>IF(Table1[Date of Initial Assessment]="","",IF(AND(Table1[Start Date]&gt;42094,Table1[Start Date]&lt;42461),Table1[Managing Money and Personal Administration],""))</f>
        <v/>
      </c>
      <c r="FD194" s="44" t="str">
        <f>IF(Table1[Date of Initial Assessment]="","",IF(AND(Table1[Start Date]&gt;42094,Table1[Start Date]&lt;42461),Table1[Social Networks and Relationships],""))</f>
        <v/>
      </c>
      <c r="FE194" s="44" t="str">
        <f>IF(Table1[Date of Initial Assessment]="","",IF(AND(Table1[Start Date]&gt;42094,Table1[Start Date]&lt;42461),Table1[Drug and Alcohol Misuse],""))</f>
        <v/>
      </c>
      <c r="FF194" s="44" t="str">
        <f>IF(Table1[Date of Initial Assessment]="","",IF(AND(Table1[Start Date]&gt;42094,Table1[Start Date]&lt;42461),Table1[Physical Health],""))</f>
        <v/>
      </c>
      <c r="FG194" s="44" t="str">
        <f>IF(Table1[Date of Initial Assessment]="","",IF(AND(Table1[Start Date]&gt;42094,Table1[Start Date]&lt;42461),Table1[Emotional and Mental Health],""))</f>
        <v/>
      </c>
      <c r="FH194" s="44" t="str">
        <f>IF(Table1[Date of Initial Assessment]="","",IF(AND(Table1[Start Date]&gt;42094,Table1[Start Date]&lt;42461),Table1[Meaningful Use of Time],""))</f>
        <v/>
      </c>
      <c r="FI194" s="44" t="str">
        <f>IF(Table1[Date of Initial Assessment]="","",IF(AND(Table1[Start Date]&gt;42094,Table1[Start Date]&lt;42461),Table1[Managing Tenancy and Accommodation],""))</f>
        <v/>
      </c>
      <c r="FJ194" s="44" t="str">
        <f>IF(Table1[Date of Initial Assessment]="","",IF(AND(Table1[Start Date]&gt;42094,Table1[Start Date]&lt;42461),Table1[Offending],""))</f>
        <v/>
      </c>
      <c r="FK194" s="44" t="str">
        <f>IF(Table1[Leaving Date]="","",IF(Table1[Date of Initial Assessment]="","",IF(AND(Table1[Leaving Date]&gt;42094,Table1[Leaving Date]&lt;42461),IF(Table1[Date of Last Assessment]="",Table1[Motivation and Taking Responsibility],Table1[Motivation and Taking Responsibility2]),"")))</f>
        <v/>
      </c>
      <c r="FL194" s="44" t="str">
        <f>IF(Table1[Leaving Date]="","",IF(Table1[Date of Initial Assessment]="","",IF(AND(Table1[Leaving Date]&gt;42094,Table1[Leaving Date]&lt;42461),IF(Table1[Date of Last Assessment]="",Table1[Self-Care and Living Skills],Table1[Self-Care and Living Skills2]),"")))</f>
        <v/>
      </c>
      <c r="FM194" s="44" t="str">
        <f>IF(Table1[Leaving Date]="","",IF(Table1[Date of Initial Assessment]="","",IF(AND(Table1[Leaving Date]&gt;42094,Table1[Leaving Date]&lt;42461),IF(Table1[Date of Last Assessment]="",Table1[Managing Money and Personal Administration],Table1[Managing Money and Personal Administration2]),"")))</f>
        <v/>
      </c>
      <c r="FN194" s="44" t="str">
        <f>IF(Table1[Leaving Date]="","",IF(Table1[Date of Initial Assessment]="","",IF(AND(Table1[Leaving Date]&gt;42094,Table1[Leaving Date]&lt;42461),IF(Table1[Date of Last Assessment]="",Table1[Social Networks and Relationships],Table1[Social Networks and Relationships2]),"")))</f>
        <v/>
      </c>
      <c r="FO194" s="44" t="str">
        <f>IF(Table1[Leaving Date]="","",IF(Table1[Date of Initial Assessment]="","",IF(AND(Table1[Leaving Date]&gt;42094,Table1[Leaving Date]&lt;42461),IF(Table1[Date of Last Assessment]="",Table1[Drug and Alcohol Misuse],Table1[Drug and Alcohol Misuse2]),"")))</f>
        <v/>
      </c>
      <c r="FP194" s="44" t="str">
        <f>IF(Table1[Leaving Date]="","",IF(Table1[Date of Initial Assessment]="","",IF(AND(Table1[Leaving Date]&gt;42094,Table1[Leaving Date]&lt;42461),IF(Table1[Date of Last Assessment]="",Table1[Physical Health],Table1[Physical Health2]),"")))</f>
        <v/>
      </c>
      <c r="FQ194" s="44" t="str">
        <f>IF(Table1[Leaving Date]="","",IF(Table1[Date of Initial Assessment]="","",IF(AND(Table1[Leaving Date]&gt;42094,Table1[Leaving Date]&lt;42461),IF(Table1[Date of Last Assessment]="",Table1[Emotional and Mental Health],Table1[Emotional and Mental Health2]),"")))</f>
        <v/>
      </c>
      <c r="FR194" s="44" t="str">
        <f>IF(Table1[Leaving Date]="","",IF(Table1[Date of Initial Assessment]="","",IF(AND(Table1[Leaving Date]&gt;42094,Table1[Leaving Date]&lt;42461),IF(Table1[Date of Last Assessment]="",Table1[Meaningful Use of Time],Table1[Meaningful Use of Time2]),"")))</f>
        <v/>
      </c>
      <c r="FS194" s="44" t="str">
        <f>IF(Table1[Leaving Date]="","",IF(Table1[Date of Initial Assessment]="","",IF(AND(Table1[Leaving Date]&gt;42094,Table1[Leaving Date]&lt;42461),IF(Table1[Date of Last Assessment]="",Table1[Managing Tenancy and Accommodation],Table1[Managing Tenancy and Accommodation2]),"")))</f>
        <v/>
      </c>
      <c r="FT194" s="44" t="str">
        <f>IF(Table1[Leaving Date]="","",IF(Table1[Date of Initial Assessment]="","",IF(AND(Table1[Leaving Date]&gt;42094,Table1[Leaving Date]&lt;42461),IF(Table1[Date of Last Assessment]="",Table1[Offending],Table1[Offending2]),"")))</f>
        <v/>
      </c>
      <c r="FU194" s="44" t="str">
        <f>IF(Table1[Date of Initial Assessment]="","",IF(AND(Table1[Start Date]&gt;42460,Table1[Start Date]&lt;42826),Table1[Motivation and Taking Responsibility],""))</f>
        <v/>
      </c>
      <c r="FV194" s="44" t="str">
        <f>IF(Table1[Date of Initial Assessment]="","",IF(AND(Table1[Start Date]&gt;42460,Table1[Start Date]&lt;42826),Table1[Self-Care and Living Skills],""))</f>
        <v/>
      </c>
      <c r="FW194" s="44" t="str">
        <f>IF(Table1[Date of Initial Assessment]="","",IF(AND(Table1[Start Date]&gt;42460,Table1[Start Date]&lt;42826),Table1[Managing Money and Personal Administration],""))</f>
        <v/>
      </c>
      <c r="FX194" s="44" t="str">
        <f>IF(Table1[Date of Initial Assessment]="","",IF(AND(Table1[Start Date]&gt;42460,Table1[Start Date]&lt;42826),Table1[Social Networks and Relationships],""))</f>
        <v/>
      </c>
      <c r="FY194" s="44" t="str">
        <f>IF(Table1[Date of Initial Assessment]="","",IF(AND(Table1[Start Date]&gt;42460,Table1[Start Date]&lt;42826),Table1[Drug and Alcohol Misuse],""))</f>
        <v/>
      </c>
      <c r="FZ194" s="44" t="str">
        <f>IF(Table1[Date of Initial Assessment]="","",IF(AND(Table1[Start Date]&gt;42460,Table1[Start Date]&lt;42826),Table1[Physical Health],""))</f>
        <v/>
      </c>
      <c r="GA194" s="44" t="str">
        <f>IF(Table1[Date of Initial Assessment]="","",IF(AND(Table1[Start Date]&gt;42460,Table1[Start Date]&lt;42826),Table1[Emotional and Mental Health],""))</f>
        <v/>
      </c>
      <c r="GB194" s="44" t="str">
        <f>IF(Table1[Date of Initial Assessment]="","",IF(AND(Table1[Start Date]&gt;42460,Table1[Start Date]&lt;42826),Table1[Meaningful Use of Time],""))</f>
        <v/>
      </c>
      <c r="GC194" s="44" t="str">
        <f>IF(Table1[Date of Initial Assessment]="","",IF(AND(Table1[Start Date]&gt;42460,Table1[Start Date]&lt;42826),Table1[Managing Tenancy and Accommodation],""))</f>
        <v/>
      </c>
      <c r="GD194" s="44" t="str">
        <f>IF(Table1[Date of Initial Assessment]="","",IF(AND(Table1[Start Date]&gt;42460,Table1[Start Date]&lt;42826),Table1[Offending],""))</f>
        <v/>
      </c>
      <c r="GE194" s="44" t="str">
        <f>IF(Table1[Leaving Date]="","",IF(AND(Table1[Leaving Date]&gt;42460,Table1[Leaving Date]&lt;42826),IF(Table1[Date of Last Assessment]="",Table1[Motivation and Taking Responsibility],Table1[Motivation and Taking Responsibility2]),""))</f>
        <v/>
      </c>
      <c r="GF194" s="44" t="str">
        <f>IF(Table1[Leaving Date]="","",IF(AND(Table1[Leaving Date]&gt;42460,Table1[Leaving Date]&lt;42826),IF(Table1[Date of Last Assessment]="",Table1[Self-Care and Living Skills],Table1[Self-Care and Living Skills2]),""))</f>
        <v/>
      </c>
      <c r="GG194" s="44" t="str">
        <f>IF(Table1[Leaving Date]="","",IF(AND(Table1[Leaving Date]&gt;42460,Table1[Leaving Date]&lt;42826),IF(Table1[Date of Last Assessment]="",Table1[Managing Money and Personal Administration],Table1[Managing Money and Personal Administration2]),""))</f>
        <v/>
      </c>
      <c r="GH194" s="44" t="str">
        <f>IF(Table1[Leaving Date]="","",IF(AND(Table1[Leaving Date]&gt;42460,Table1[Leaving Date]&lt;42826),IF(Table1[Date of Last Assessment]="",Table1[Social Networks and Relationships],Table1[Social Networks and Relationships2]),""))</f>
        <v/>
      </c>
      <c r="GI194" s="44" t="str">
        <f>IF(Table1[Leaving Date]="","",IF(AND(Table1[Leaving Date]&gt;42460,Table1[Leaving Date]&lt;42826),IF(Table1[Date of Last Assessment]="",Table1[Drug and Alcohol Misuse],Table1[Drug and Alcohol Misuse2]),""))</f>
        <v/>
      </c>
      <c r="GJ194" s="44" t="str">
        <f>IF(Table1[Leaving Date]="","",IF(AND(Table1[Leaving Date]&gt;42460,Table1[Leaving Date]&lt;42826),IF(Table1[Date of Last Assessment]="",Table1[Physical Health],Table1[Physical Health2]),""))</f>
        <v/>
      </c>
      <c r="GK194" s="44" t="str">
        <f>IF(Table1[Leaving Date]="","",IF(AND(Table1[Leaving Date]&gt;42460,Table1[Leaving Date]&lt;42826),IF(Table1[Date of Last Assessment]="",Table1[Emotional and Mental Health],Table1[Emotional and Mental Health2]),""))</f>
        <v/>
      </c>
      <c r="GL194" s="44" t="str">
        <f>IF(Table1[Leaving Date]="","",IF(AND(Table1[Leaving Date]&gt;42460,Table1[Leaving Date]&lt;42826),IF(Table1[Date of Last Assessment]="",Table1[Meaningful Use of Time],Table1[Meaningful Use of Time2]),""))</f>
        <v/>
      </c>
      <c r="GM194" s="44" t="str">
        <f>IF(Table1[Leaving Date]="","",IF(AND(Table1[Leaving Date]&gt;42460,Table1[Leaving Date]&lt;42826),IF(Table1[Date of Last Assessment]="",Table1[Managing Tenancy and Accommodation],Table1[Managing Tenancy and Accommodation2]),""))</f>
        <v/>
      </c>
      <c r="GN194" s="44" t="str">
        <f>IF(Table1[Leaving Date]="","",IF(AND(Table1[Leaving Date]&gt;42460,Table1[Leaving Date]&lt;42826),IF(Table1[Date of Last Assessment]="",Table1[Offending],Table1[Offending2]),""))</f>
        <v/>
      </c>
    </row>
    <row r="195" spans="2:196" ht="20.100000000000001" customHeight="1" x14ac:dyDescent="0.2">
      <c r="B195" s="86">
        <f>+'Service Data'!$C$5:$C$5</f>
        <v>0</v>
      </c>
      <c r="C195" s="86"/>
      <c r="D195" s="86"/>
      <c r="E195" s="86"/>
      <c r="F195" s="86"/>
      <c r="G195" s="86"/>
      <c r="H195" s="6"/>
      <c r="I195" s="99" t="str">
        <f ca="1">IF(Table1[[#This Row],[Date of Birth]]="","",SUM(TODAY()-Table1[[#This Row],[Date of Birth]])/365)</f>
        <v/>
      </c>
      <c r="L195" s="86"/>
      <c r="M195" s="77"/>
      <c r="N195" s="86"/>
      <c r="O195" s="86"/>
      <c r="P195" s="91"/>
      <c r="Q195" s="86"/>
      <c r="R195" s="77"/>
      <c r="S195" s="77"/>
      <c r="T195" s="68"/>
      <c r="U195" s="68"/>
      <c r="V195" s="67"/>
      <c r="W195" s="67"/>
      <c r="X195" s="67"/>
      <c r="Y195" s="67"/>
      <c r="Z195" s="67"/>
      <c r="AA195" s="67"/>
      <c r="AB195" s="67"/>
      <c r="AC195" s="67"/>
      <c r="AD195" s="67"/>
      <c r="AE195" s="67"/>
      <c r="AF195" s="67"/>
      <c r="AG195" s="67"/>
      <c r="AH195" s="67"/>
      <c r="AI195" s="67"/>
      <c r="AJ195" s="67"/>
      <c r="AK195" s="67"/>
      <c r="AL195" s="67"/>
      <c r="AM195" s="67"/>
      <c r="AN195" s="77"/>
      <c r="AO195" s="76"/>
      <c r="AP195" s="77"/>
      <c r="AQ195" s="76"/>
      <c r="AR195" s="76"/>
      <c r="AS195" s="76"/>
      <c r="AT195" s="76"/>
      <c r="AU195" s="76"/>
      <c r="AV195" s="77"/>
      <c r="AW195" s="76"/>
      <c r="AX195" s="77"/>
      <c r="AY195" s="76"/>
      <c r="AZ195" s="76"/>
      <c r="BA195" s="76"/>
      <c r="BB195" s="76"/>
      <c r="BC195" s="76"/>
      <c r="BD195" s="77"/>
      <c r="BE195" s="76"/>
      <c r="BF195" s="77"/>
      <c r="BG195" s="76"/>
      <c r="BH195" s="76"/>
      <c r="BI195" s="76"/>
      <c r="BJ195" s="76"/>
      <c r="BK195" s="76"/>
      <c r="BL195" s="77"/>
      <c r="BM195" s="76"/>
      <c r="BN195" s="77"/>
      <c r="BO195" s="76"/>
      <c r="BP195" s="76"/>
      <c r="BQ195" s="76"/>
      <c r="BR195" s="76"/>
      <c r="BS195" s="76"/>
      <c r="BT195" s="77"/>
      <c r="BU195" s="76"/>
      <c r="BV195" s="77"/>
      <c r="BW195" s="76"/>
      <c r="BX195" s="76"/>
      <c r="BY195" s="76"/>
      <c r="BZ195" s="76"/>
      <c r="CA195" s="76"/>
      <c r="CB195" s="77"/>
      <c r="CC195" s="76"/>
      <c r="CD195" s="77"/>
      <c r="CE195" s="76"/>
      <c r="CF195" s="76"/>
      <c r="CG195" s="76"/>
      <c r="CH195" s="76"/>
      <c r="CI195" s="76"/>
      <c r="CJ195" s="77"/>
      <c r="CK195" s="76"/>
      <c r="CL195" s="77"/>
      <c r="CM195" s="76"/>
      <c r="CN195" s="76"/>
      <c r="CO195" s="76"/>
      <c r="CP195" s="76"/>
      <c r="CQ195" s="76"/>
      <c r="CR195" s="78" t="str">
        <f t="shared" si="47"/>
        <v/>
      </c>
      <c r="CS195" s="79" t="str">
        <f t="shared" si="48"/>
        <v/>
      </c>
      <c r="CT195" s="79" t="str">
        <f t="shared" si="49"/>
        <v/>
      </c>
      <c r="CU195" s="79" t="str">
        <f t="shared" si="50"/>
        <v/>
      </c>
      <c r="CV195" s="79" t="str">
        <f t="shared" si="51"/>
        <v/>
      </c>
      <c r="CW195" s="79" t="str">
        <f t="shared" si="52"/>
        <v/>
      </c>
      <c r="CX195" s="79" t="str">
        <f t="shared" si="53"/>
        <v/>
      </c>
      <c r="CY195" s="79" t="str">
        <f t="shared" si="54"/>
        <v/>
      </c>
      <c r="CZ195" s="79" t="str">
        <f t="shared" si="55"/>
        <v/>
      </c>
      <c r="DA195" s="79" t="str">
        <f t="shared" si="56"/>
        <v/>
      </c>
      <c r="DB195" s="79" t="str">
        <f t="shared" si="57"/>
        <v/>
      </c>
      <c r="DC195" s="79" t="str">
        <f t="shared" si="58"/>
        <v/>
      </c>
      <c r="DD195" s="79" t="str">
        <f t="shared" si="59"/>
        <v/>
      </c>
      <c r="DE195" s="79" t="str">
        <f t="shared" si="60"/>
        <v/>
      </c>
      <c r="DF195" s="79" t="str">
        <f t="shared" si="61"/>
        <v/>
      </c>
      <c r="DG195" s="79" t="str">
        <f t="shared" si="62"/>
        <v/>
      </c>
      <c r="DH195" s="76"/>
      <c r="DI195" s="78"/>
      <c r="DJ195" s="76"/>
      <c r="DK195" s="77"/>
      <c r="DL195" s="77"/>
      <c r="DM195" s="77"/>
      <c r="DN195" s="80"/>
      <c r="DO195" s="80"/>
      <c r="DP195" s="92" t="str">
        <f>IF(Table1[Start Date]="","",IF(Table1[Start Date]&gt;42185,"",IF(AND(Table1[Leaving Date]&gt;1,Table1[Leaving Date]&lt;42095),"",1)))</f>
        <v/>
      </c>
      <c r="DQ195" s="92" t="str">
        <f>IF(Table1[Start Date]="","",IF(Table1[Start Date]&gt;42277,"",IF(AND(Table1[Leaving Date]&gt;1,Table1[Leaving Date]&lt;42186),"",1)))</f>
        <v/>
      </c>
      <c r="DR195" s="92" t="str">
        <f>IF(Table1[Start Date]="","",IF(Table1[Start Date]&gt;42369,"",IF(AND(Table1[Leaving Date]&gt;1,Table1[Leaving Date]&lt;42278),"",1)))</f>
        <v/>
      </c>
      <c r="DS195" s="92" t="str">
        <f>IF(Table1[Start Date]="","",IF(Table1[Start Date]&gt;42460,"",IF(AND(Table1[Leaving Date]&gt;1,Table1[Leaving Date]&lt;42370),"",1)))</f>
        <v/>
      </c>
      <c r="DT195" s="92" t="str">
        <f>IF(Table1[Start Date]="","",IF(Table1[Start Date]&gt;42551,"",IF(AND(Table1[Leaving Date]&gt;1,Table1[Leaving Date]&lt;42461),"",1)))</f>
        <v/>
      </c>
      <c r="DU195" s="92" t="str">
        <f>IF(Table1[Start Date]="","",IF(Table1[Start Date]&gt;42643,"",IF(AND(Table1[Leaving Date]&gt;1,Table1[Leaving Date]&lt;42552),"",1)))</f>
        <v/>
      </c>
      <c r="DV195" s="92" t="str">
        <f>IF(Table1[Start Date]="","",IF(Table1[Start Date]&gt;42735,"",IF(AND(Table1[Leaving Date]&gt;1,Table1[Leaving Date]&lt;42644),"",1)))</f>
        <v/>
      </c>
      <c r="DW195" s="92" t="str">
        <f>IF(Table1[Start Date]="","",IF(Table1[Start Date]&gt;42825,"",IF(AND(Table1[Leaving Date]&gt;1,Table1[Leaving Date]&lt;42736),"",1)))</f>
        <v/>
      </c>
      <c r="DX195"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195" s="44" t="e">
        <f>VLOOKUP(Table1[Referral Source],Lists!$G$2:$H$20,2,FALSE)</f>
        <v>#N/A</v>
      </c>
      <c r="DZ195" s="93" t="e">
        <f>SUM(Table1[Data Referral Quarter]+Table1[Data Referral Source])</f>
        <v>#N/A</v>
      </c>
      <c r="EA195" s="44" t="b">
        <f>IF(Table1[Referral Decision]="Accepted",100,IF(Table1[Referral Decision]="Rejected by Provider",200,IF(Table1[Referral Decision]="Rejected by Applicant",300)))</f>
        <v>0</v>
      </c>
      <c r="EB195" s="44">
        <f>SUM(Table1[Data Referral Quarter]+Table1[Data Referral Decision])</f>
        <v>0</v>
      </c>
      <c r="EC195" s="44" t="b">
        <f>IF(Table1[Start Date]&gt;42735,8000,IF(Table1[Start Date]&gt;42643,7000,IF(Table1[Start Date]&gt;42551,6000,IF(Table1[Start Date]&gt;42460,5000,IF(Table1[Start Date]&gt;42369,4000,IF(Table1[Start Date]&gt;42277,3000,IF(Table1[Start Date]&gt;42185,2000,IF(Table1[Start Date]&gt;42094,1000))))))))</f>
        <v>0</v>
      </c>
      <c r="ED195" s="44" t="str">
        <f>IF(Table1[Start Date]="","",IF(Table1[Current Local Authority]="Swindon",1,"2"))</f>
        <v/>
      </c>
      <c r="EE195" s="44" t="e">
        <f>SUM(Table1[Data Start Date]+Table1[Data Local Authority])</f>
        <v>#VALUE!</v>
      </c>
      <c r="EF195" s="44">
        <f>IF(Table1[Registered with GP]="Yes",1,0)</f>
        <v>0</v>
      </c>
      <c r="EG195" s="44">
        <f>SUM(Table1[Data Start Date]+Table1[Data GP Start])</f>
        <v>0</v>
      </c>
      <c r="EH195" s="44" t="str">
        <f>IF(Table1[EET]="NEET",1,IF(Table1[EET]="Education",2,IF(Table1[EET]="Employment",2,IF(Table1[EET]="Training",2,IF(Table1[EET]="Retired",3,"")))))</f>
        <v/>
      </c>
      <c r="EI195" s="44" t="e">
        <f>Table1[Data Start Date]+Table1[Data EET Start]</f>
        <v>#VALUE!</v>
      </c>
      <c r="EJ195" s="44" t="b">
        <f>IF(Table1[Leaving Date]&gt;42735,8000,IF(Table1[Leaving Date]&gt;42643,7000,IF(Table1[Leaving Date]&gt;42551,6000,IF(Table1[Leaving Date]&gt;42460,5000,IF(Table1[Leaving Date]&gt;42369,4000,IF(Table1[Leaving Date]&gt;42277,3000,IF(Table1[Leaving Date]&gt;42185,2000,IF(Table1[Leaving Date]&gt;42094,1000))))))))</f>
        <v>0</v>
      </c>
      <c r="EK195" s="44" t="e">
        <f>VLOOKUP(Table1[Reason for Leaving],Lists!$T$2:$U$15,2,FALSE)</f>
        <v>#N/A</v>
      </c>
      <c r="EL195" s="44" t="e">
        <f>SUM(Table1[Data Leavers Date]+Table1[Data Move On])</f>
        <v>#N/A</v>
      </c>
      <c r="EM195" s="44" t="b">
        <f>IF(Table1[Registered with GP2]="Yes",1,IF(Table1[Registered with GP2]="No",0,IF(Table1[Registered with GP]="Yes",1,IF(Table1[Registered with GP]="No",0))))</f>
        <v>0</v>
      </c>
      <c r="EN195" s="44">
        <f>SUM(Table1[Data Leavers Date]+Table1[Data GP End])</f>
        <v>0</v>
      </c>
      <c r="EO195" s="44" t="str">
        <f>IF(Table1[EET2]="NEET",1,IF(Table1[EET2]="Employment",2,IF(Table1[EET2]="Education",2,IF(Table1[EET2]="Training",2,IF(Table1[EET2]="Retired",3,IF(Table1[EET]="NEET",1,IF(Table1[EET]="Employment",2,IF(Table1[EET]="Education",2,IF(Table1[EET]="Training",2,IF(Table1[EET]="Retired",3,""))))))))))</f>
        <v/>
      </c>
      <c r="EP195" s="44" t="e">
        <f>+Table1[[#This Row],[Data Leavers Date]]+Table1[[#This Row],[Data EET End]]</f>
        <v>#VALUE!</v>
      </c>
      <c r="EQ195" s="44">
        <f>IF(Table1[Exit Form Received]="Yes",1,0)</f>
        <v>0</v>
      </c>
      <c r="ER195" s="44">
        <f>+Table1[[#This Row],[Data Leavers Date]]+Table1[[#This Row],[Data Exit Forms]]</f>
        <v>0</v>
      </c>
      <c r="ES195" s="44" t="str">
        <f>IF(Table1[Data Leavers Date]=1000,SUM(Table1[Leaving Date]-Table1[Start Date]),"")</f>
        <v/>
      </c>
      <c r="ET195" s="44" t="str">
        <f>IF(Table1[Data Leavers Date]=2000,SUM(Table1[Leaving Date]-Table1[Start Date]),"")</f>
        <v/>
      </c>
      <c r="EU195" s="44" t="str">
        <f>IF(Table1[Data Leavers Date]=3000,SUM(Table1[Leaving Date]-Table1[Start Date]),"")</f>
        <v/>
      </c>
      <c r="EV195" s="44" t="str">
        <f>IF(Table1[Data Leavers Date]=4000,SUM(Table1[Leaving Date]-Table1[Start Date]),"")</f>
        <v/>
      </c>
      <c r="EW195" s="44" t="str">
        <f>IF(Table1[Data Leavers Date]=5000,SUM(Table1[Leaving Date]-Table1[Start Date]),"")</f>
        <v/>
      </c>
      <c r="EX195" s="44" t="str">
        <f>IF(Table1[Data Leavers Date]=6000,SUM(Table1[Leaving Date]-Table1[Start Date]),"")</f>
        <v/>
      </c>
      <c r="EY195" s="44" t="str">
        <f>IF(Table1[Data Leavers Date]=7000,SUM(Table1[Leaving Date]-Table1[Start Date]),"")</f>
        <v/>
      </c>
      <c r="EZ195" s="44" t="str">
        <f>IF(Table1[Data Leavers Date]=8000,SUM(Table1[Leaving Date]-Table1[Start Date]),"")</f>
        <v/>
      </c>
      <c r="FA195" s="44" t="str">
        <f>IF(Table1[Date of Initial Assessment]="","",IF(AND(Table1[Start Date]&gt;42094,Table1[Start Date]&lt;42461),Table1[Motivation and Taking Responsibility],""))</f>
        <v/>
      </c>
      <c r="FB195" s="44" t="str">
        <f>IF(Table1[Date of Initial Assessment]="","",IF(AND(Table1[Start Date]&gt;42094,Table1[Start Date]&lt;42461),Table1[Self-Care and Living Skills],""))</f>
        <v/>
      </c>
      <c r="FC195" s="44" t="str">
        <f>IF(Table1[Date of Initial Assessment]="","",IF(AND(Table1[Start Date]&gt;42094,Table1[Start Date]&lt;42461),Table1[Managing Money and Personal Administration],""))</f>
        <v/>
      </c>
      <c r="FD195" s="44" t="str">
        <f>IF(Table1[Date of Initial Assessment]="","",IF(AND(Table1[Start Date]&gt;42094,Table1[Start Date]&lt;42461),Table1[Social Networks and Relationships],""))</f>
        <v/>
      </c>
      <c r="FE195" s="44" t="str">
        <f>IF(Table1[Date of Initial Assessment]="","",IF(AND(Table1[Start Date]&gt;42094,Table1[Start Date]&lt;42461),Table1[Drug and Alcohol Misuse],""))</f>
        <v/>
      </c>
      <c r="FF195" s="44" t="str">
        <f>IF(Table1[Date of Initial Assessment]="","",IF(AND(Table1[Start Date]&gt;42094,Table1[Start Date]&lt;42461),Table1[Physical Health],""))</f>
        <v/>
      </c>
      <c r="FG195" s="44" t="str">
        <f>IF(Table1[Date of Initial Assessment]="","",IF(AND(Table1[Start Date]&gt;42094,Table1[Start Date]&lt;42461),Table1[Emotional and Mental Health],""))</f>
        <v/>
      </c>
      <c r="FH195" s="44" t="str">
        <f>IF(Table1[Date of Initial Assessment]="","",IF(AND(Table1[Start Date]&gt;42094,Table1[Start Date]&lt;42461),Table1[Meaningful Use of Time],""))</f>
        <v/>
      </c>
      <c r="FI195" s="44" t="str">
        <f>IF(Table1[Date of Initial Assessment]="","",IF(AND(Table1[Start Date]&gt;42094,Table1[Start Date]&lt;42461),Table1[Managing Tenancy and Accommodation],""))</f>
        <v/>
      </c>
      <c r="FJ195" s="44" t="str">
        <f>IF(Table1[Date of Initial Assessment]="","",IF(AND(Table1[Start Date]&gt;42094,Table1[Start Date]&lt;42461),Table1[Offending],""))</f>
        <v/>
      </c>
      <c r="FK195" s="44" t="str">
        <f>IF(Table1[Leaving Date]="","",IF(Table1[Date of Initial Assessment]="","",IF(AND(Table1[Leaving Date]&gt;42094,Table1[Leaving Date]&lt;42461),IF(Table1[Date of Last Assessment]="",Table1[Motivation and Taking Responsibility],Table1[Motivation and Taking Responsibility2]),"")))</f>
        <v/>
      </c>
      <c r="FL195" s="44" t="str">
        <f>IF(Table1[Leaving Date]="","",IF(Table1[Date of Initial Assessment]="","",IF(AND(Table1[Leaving Date]&gt;42094,Table1[Leaving Date]&lt;42461),IF(Table1[Date of Last Assessment]="",Table1[Self-Care and Living Skills],Table1[Self-Care and Living Skills2]),"")))</f>
        <v/>
      </c>
      <c r="FM195" s="44" t="str">
        <f>IF(Table1[Leaving Date]="","",IF(Table1[Date of Initial Assessment]="","",IF(AND(Table1[Leaving Date]&gt;42094,Table1[Leaving Date]&lt;42461),IF(Table1[Date of Last Assessment]="",Table1[Managing Money and Personal Administration],Table1[Managing Money and Personal Administration2]),"")))</f>
        <v/>
      </c>
      <c r="FN195" s="44" t="str">
        <f>IF(Table1[Leaving Date]="","",IF(Table1[Date of Initial Assessment]="","",IF(AND(Table1[Leaving Date]&gt;42094,Table1[Leaving Date]&lt;42461),IF(Table1[Date of Last Assessment]="",Table1[Social Networks and Relationships],Table1[Social Networks and Relationships2]),"")))</f>
        <v/>
      </c>
      <c r="FO195" s="44" t="str">
        <f>IF(Table1[Leaving Date]="","",IF(Table1[Date of Initial Assessment]="","",IF(AND(Table1[Leaving Date]&gt;42094,Table1[Leaving Date]&lt;42461),IF(Table1[Date of Last Assessment]="",Table1[Drug and Alcohol Misuse],Table1[Drug and Alcohol Misuse2]),"")))</f>
        <v/>
      </c>
      <c r="FP195" s="44" t="str">
        <f>IF(Table1[Leaving Date]="","",IF(Table1[Date of Initial Assessment]="","",IF(AND(Table1[Leaving Date]&gt;42094,Table1[Leaving Date]&lt;42461),IF(Table1[Date of Last Assessment]="",Table1[Physical Health],Table1[Physical Health2]),"")))</f>
        <v/>
      </c>
      <c r="FQ195" s="44" t="str">
        <f>IF(Table1[Leaving Date]="","",IF(Table1[Date of Initial Assessment]="","",IF(AND(Table1[Leaving Date]&gt;42094,Table1[Leaving Date]&lt;42461),IF(Table1[Date of Last Assessment]="",Table1[Emotional and Mental Health],Table1[Emotional and Mental Health2]),"")))</f>
        <v/>
      </c>
      <c r="FR195" s="44" t="str">
        <f>IF(Table1[Leaving Date]="","",IF(Table1[Date of Initial Assessment]="","",IF(AND(Table1[Leaving Date]&gt;42094,Table1[Leaving Date]&lt;42461),IF(Table1[Date of Last Assessment]="",Table1[Meaningful Use of Time],Table1[Meaningful Use of Time2]),"")))</f>
        <v/>
      </c>
      <c r="FS195" s="44" t="str">
        <f>IF(Table1[Leaving Date]="","",IF(Table1[Date of Initial Assessment]="","",IF(AND(Table1[Leaving Date]&gt;42094,Table1[Leaving Date]&lt;42461),IF(Table1[Date of Last Assessment]="",Table1[Managing Tenancy and Accommodation],Table1[Managing Tenancy and Accommodation2]),"")))</f>
        <v/>
      </c>
      <c r="FT195" s="44" t="str">
        <f>IF(Table1[Leaving Date]="","",IF(Table1[Date of Initial Assessment]="","",IF(AND(Table1[Leaving Date]&gt;42094,Table1[Leaving Date]&lt;42461),IF(Table1[Date of Last Assessment]="",Table1[Offending],Table1[Offending2]),"")))</f>
        <v/>
      </c>
      <c r="FU195" s="44" t="str">
        <f>IF(Table1[Date of Initial Assessment]="","",IF(AND(Table1[Start Date]&gt;42460,Table1[Start Date]&lt;42826),Table1[Motivation and Taking Responsibility],""))</f>
        <v/>
      </c>
      <c r="FV195" s="44" t="str">
        <f>IF(Table1[Date of Initial Assessment]="","",IF(AND(Table1[Start Date]&gt;42460,Table1[Start Date]&lt;42826),Table1[Self-Care and Living Skills],""))</f>
        <v/>
      </c>
      <c r="FW195" s="44" t="str">
        <f>IF(Table1[Date of Initial Assessment]="","",IF(AND(Table1[Start Date]&gt;42460,Table1[Start Date]&lt;42826),Table1[Managing Money and Personal Administration],""))</f>
        <v/>
      </c>
      <c r="FX195" s="44" t="str">
        <f>IF(Table1[Date of Initial Assessment]="","",IF(AND(Table1[Start Date]&gt;42460,Table1[Start Date]&lt;42826),Table1[Social Networks and Relationships],""))</f>
        <v/>
      </c>
      <c r="FY195" s="44" t="str">
        <f>IF(Table1[Date of Initial Assessment]="","",IF(AND(Table1[Start Date]&gt;42460,Table1[Start Date]&lt;42826),Table1[Drug and Alcohol Misuse],""))</f>
        <v/>
      </c>
      <c r="FZ195" s="44" t="str">
        <f>IF(Table1[Date of Initial Assessment]="","",IF(AND(Table1[Start Date]&gt;42460,Table1[Start Date]&lt;42826),Table1[Physical Health],""))</f>
        <v/>
      </c>
      <c r="GA195" s="44" t="str">
        <f>IF(Table1[Date of Initial Assessment]="","",IF(AND(Table1[Start Date]&gt;42460,Table1[Start Date]&lt;42826),Table1[Emotional and Mental Health],""))</f>
        <v/>
      </c>
      <c r="GB195" s="44" t="str">
        <f>IF(Table1[Date of Initial Assessment]="","",IF(AND(Table1[Start Date]&gt;42460,Table1[Start Date]&lt;42826),Table1[Meaningful Use of Time],""))</f>
        <v/>
      </c>
      <c r="GC195" s="44" t="str">
        <f>IF(Table1[Date of Initial Assessment]="","",IF(AND(Table1[Start Date]&gt;42460,Table1[Start Date]&lt;42826),Table1[Managing Tenancy and Accommodation],""))</f>
        <v/>
      </c>
      <c r="GD195" s="44" t="str">
        <f>IF(Table1[Date of Initial Assessment]="","",IF(AND(Table1[Start Date]&gt;42460,Table1[Start Date]&lt;42826),Table1[Offending],""))</f>
        <v/>
      </c>
      <c r="GE195" s="44" t="str">
        <f>IF(Table1[Leaving Date]="","",IF(AND(Table1[Leaving Date]&gt;42460,Table1[Leaving Date]&lt;42826),IF(Table1[Date of Last Assessment]="",Table1[Motivation and Taking Responsibility],Table1[Motivation and Taking Responsibility2]),""))</f>
        <v/>
      </c>
      <c r="GF195" s="44" t="str">
        <f>IF(Table1[Leaving Date]="","",IF(AND(Table1[Leaving Date]&gt;42460,Table1[Leaving Date]&lt;42826),IF(Table1[Date of Last Assessment]="",Table1[Self-Care and Living Skills],Table1[Self-Care and Living Skills2]),""))</f>
        <v/>
      </c>
      <c r="GG195" s="44" t="str">
        <f>IF(Table1[Leaving Date]="","",IF(AND(Table1[Leaving Date]&gt;42460,Table1[Leaving Date]&lt;42826),IF(Table1[Date of Last Assessment]="",Table1[Managing Money and Personal Administration],Table1[Managing Money and Personal Administration2]),""))</f>
        <v/>
      </c>
      <c r="GH195" s="44" t="str">
        <f>IF(Table1[Leaving Date]="","",IF(AND(Table1[Leaving Date]&gt;42460,Table1[Leaving Date]&lt;42826),IF(Table1[Date of Last Assessment]="",Table1[Social Networks and Relationships],Table1[Social Networks and Relationships2]),""))</f>
        <v/>
      </c>
      <c r="GI195" s="44" t="str">
        <f>IF(Table1[Leaving Date]="","",IF(AND(Table1[Leaving Date]&gt;42460,Table1[Leaving Date]&lt;42826),IF(Table1[Date of Last Assessment]="",Table1[Drug and Alcohol Misuse],Table1[Drug and Alcohol Misuse2]),""))</f>
        <v/>
      </c>
      <c r="GJ195" s="44" t="str">
        <f>IF(Table1[Leaving Date]="","",IF(AND(Table1[Leaving Date]&gt;42460,Table1[Leaving Date]&lt;42826),IF(Table1[Date of Last Assessment]="",Table1[Physical Health],Table1[Physical Health2]),""))</f>
        <v/>
      </c>
      <c r="GK195" s="44" t="str">
        <f>IF(Table1[Leaving Date]="","",IF(AND(Table1[Leaving Date]&gt;42460,Table1[Leaving Date]&lt;42826),IF(Table1[Date of Last Assessment]="",Table1[Emotional and Mental Health],Table1[Emotional and Mental Health2]),""))</f>
        <v/>
      </c>
      <c r="GL195" s="44" t="str">
        <f>IF(Table1[Leaving Date]="","",IF(AND(Table1[Leaving Date]&gt;42460,Table1[Leaving Date]&lt;42826),IF(Table1[Date of Last Assessment]="",Table1[Meaningful Use of Time],Table1[Meaningful Use of Time2]),""))</f>
        <v/>
      </c>
      <c r="GM195" s="44" t="str">
        <f>IF(Table1[Leaving Date]="","",IF(AND(Table1[Leaving Date]&gt;42460,Table1[Leaving Date]&lt;42826),IF(Table1[Date of Last Assessment]="",Table1[Managing Tenancy and Accommodation],Table1[Managing Tenancy and Accommodation2]),""))</f>
        <v/>
      </c>
      <c r="GN195" s="44" t="str">
        <f>IF(Table1[Leaving Date]="","",IF(AND(Table1[Leaving Date]&gt;42460,Table1[Leaving Date]&lt;42826),IF(Table1[Date of Last Assessment]="",Table1[Offending],Table1[Offending2]),""))</f>
        <v/>
      </c>
    </row>
    <row r="196" spans="2:196" ht="20.100000000000001" customHeight="1" x14ac:dyDescent="0.2">
      <c r="B196" s="86">
        <f>+'Service Data'!$C$5:$C$5</f>
        <v>0</v>
      </c>
      <c r="C196" s="86"/>
      <c r="D196" s="86"/>
      <c r="E196" s="86"/>
      <c r="F196" s="86"/>
      <c r="G196" s="86"/>
      <c r="H196" s="6"/>
      <c r="I196" s="99" t="str">
        <f ca="1">IF(Table1[[#This Row],[Date of Birth]]="","",SUM(TODAY()-Table1[[#This Row],[Date of Birth]])/365)</f>
        <v/>
      </c>
      <c r="L196" s="86"/>
      <c r="M196" s="77"/>
      <c r="N196" s="86"/>
      <c r="O196" s="86"/>
      <c r="P196" s="91"/>
      <c r="Q196" s="86"/>
      <c r="R196" s="77"/>
      <c r="S196" s="77"/>
      <c r="T196" s="68"/>
      <c r="U196" s="68"/>
      <c r="V196" s="67"/>
      <c r="W196" s="67"/>
      <c r="X196" s="67"/>
      <c r="Y196" s="67"/>
      <c r="Z196" s="67"/>
      <c r="AA196" s="67"/>
      <c r="AB196" s="67"/>
      <c r="AC196" s="67"/>
      <c r="AD196" s="67"/>
      <c r="AE196" s="67"/>
      <c r="AF196" s="67"/>
      <c r="AG196" s="67"/>
      <c r="AH196" s="67"/>
      <c r="AI196" s="67"/>
      <c r="AJ196" s="67"/>
      <c r="AK196" s="67"/>
      <c r="AL196" s="67"/>
      <c r="AM196" s="67"/>
      <c r="AN196" s="77"/>
      <c r="AO196" s="76"/>
      <c r="AP196" s="77"/>
      <c r="AQ196" s="76"/>
      <c r="AR196" s="76"/>
      <c r="AS196" s="76"/>
      <c r="AT196" s="76"/>
      <c r="AU196" s="76"/>
      <c r="AV196" s="77"/>
      <c r="AW196" s="76"/>
      <c r="AX196" s="77"/>
      <c r="AY196" s="76"/>
      <c r="AZ196" s="76"/>
      <c r="BA196" s="76"/>
      <c r="BB196" s="76"/>
      <c r="BC196" s="76"/>
      <c r="BD196" s="77"/>
      <c r="BE196" s="76"/>
      <c r="BF196" s="77"/>
      <c r="BG196" s="76"/>
      <c r="BH196" s="76"/>
      <c r="BI196" s="76"/>
      <c r="BJ196" s="76"/>
      <c r="BK196" s="76"/>
      <c r="BL196" s="77"/>
      <c r="BM196" s="76"/>
      <c r="BN196" s="77"/>
      <c r="BO196" s="76"/>
      <c r="BP196" s="76"/>
      <c r="BQ196" s="76"/>
      <c r="BR196" s="76"/>
      <c r="BS196" s="76"/>
      <c r="BT196" s="77"/>
      <c r="BU196" s="76"/>
      <c r="BV196" s="77"/>
      <c r="BW196" s="76"/>
      <c r="BX196" s="76"/>
      <c r="BY196" s="76"/>
      <c r="BZ196" s="76"/>
      <c r="CA196" s="76"/>
      <c r="CB196" s="77"/>
      <c r="CC196" s="76"/>
      <c r="CD196" s="77"/>
      <c r="CE196" s="76"/>
      <c r="CF196" s="76"/>
      <c r="CG196" s="76"/>
      <c r="CH196" s="76"/>
      <c r="CI196" s="76"/>
      <c r="CJ196" s="77"/>
      <c r="CK196" s="76"/>
      <c r="CL196" s="77"/>
      <c r="CM196" s="76"/>
      <c r="CN196" s="76"/>
      <c r="CO196" s="76"/>
      <c r="CP196" s="76"/>
      <c r="CQ196" s="76"/>
      <c r="CR196" s="78" t="str">
        <f t="shared" ref="CR196:CR259" si="63">IF(U196="","",U196)</f>
        <v/>
      </c>
      <c r="CS196" s="79" t="str">
        <f t="shared" ref="CS196:CS259" si="64">IF(V196="","",V196)</f>
        <v/>
      </c>
      <c r="CT196" s="79" t="str">
        <f t="shared" ref="CT196:CT259" si="65">IF(W196="","",W196)</f>
        <v/>
      </c>
      <c r="CU196" s="79" t="str">
        <f t="shared" ref="CU196:CU259" si="66">IF(X196="","",X196)</f>
        <v/>
      </c>
      <c r="CV196" s="79" t="str">
        <f t="shared" ref="CV196:CV259" si="67">IF(Y196="","",Y196)</f>
        <v/>
      </c>
      <c r="CW196" s="79" t="str">
        <f t="shared" ref="CW196:CW259" si="68">IF(Z196="","",Z196)</f>
        <v/>
      </c>
      <c r="CX196" s="79" t="str">
        <f t="shared" ref="CX196:CX259" si="69">IF(AA196="","",AA196)</f>
        <v/>
      </c>
      <c r="CY196" s="79" t="str">
        <f t="shared" ref="CY196:CY259" si="70">IF(AB196="","",AB196)</f>
        <v/>
      </c>
      <c r="CZ196" s="79" t="str">
        <f t="shared" ref="CZ196:CZ259" si="71">IF(AC196="","",AC196)</f>
        <v/>
      </c>
      <c r="DA196" s="79" t="str">
        <f t="shared" ref="DA196:DA259" si="72">IF(AD196="","",AD196)</f>
        <v/>
      </c>
      <c r="DB196" s="79" t="str">
        <f t="shared" ref="DB196:DB259" si="73">IF(AE196="","",AE196)</f>
        <v/>
      </c>
      <c r="DC196" s="79" t="str">
        <f t="shared" ref="DC196:DC259" si="74">IF(AF196="","",AF196)</f>
        <v/>
      </c>
      <c r="DD196" s="79" t="str">
        <f t="shared" ref="DD196:DD259" si="75">IF(AG196="","",AG196)</f>
        <v/>
      </c>
      <c r="DE196" s="79" t="str">
        <f t="shared" ref="DE196:DE259" si="76">IF(AK196="","",AK196)</f>
        <v/>
      </c>
      <c r="DF196" s="79" t="str">
        <f t="shared" ref="DF196:DF259" si="77">IF(AL196="","",AL196)</f>
        <v/>
      </c>
      <c r="DG196" s="79" t="str">
        <f t="shared" ref="DG196:DG259" si="78">IF(AM196="","",AM196)</f>
        <v/>
      </c>
      <c r="DH196" s="76"/>
      <c r="DI196" s="78"/>
      <c r="DJ196" s="76"/>
      <c r="DK196" s="77"/>
      <c r="DL196" s="77"/>
      <c r="DM196" s="77"/>
      <c r="DN196" s="80"/>
      <c r="DO196" s="80"/>
      <c r="DP196" s="92" t="str">
        <f>IF(Table1[Start Date]="","",IF(Table1[Start Date]&gt;42185,"",IF(AND(Table1[Leaving Date]&gt;1,Table1[Leaving Date]&lt;42095),"",1)))</f>
        <v/>
      </c>
      <c r="DQ196" s="92" t="str">
        <f>IF(Table1[Start Date]="","",IF(Table1[Start Date]&gt;42277,"",IF(AND(Table1[Leaving Date]&gt;1,Table1[Leaving Date]&lt;42186),"",1)))</f>
        <v/>
      </c>
      <c r="DR196" s="92" t="str">
        <f>IF(Table1[Start Date]="","",IF(Table1[Start Date]&gt;42369,"",IF(AND(Table1[Leaving Date]&gt;1,Table1[Leaving Date]&lt;42278),"",1)))</f>
        <v/>
      </c>
      <c r="DS196" s="92" t="str">
        <f>IF(Table1[Start Date]="","",IF(Table1[Start Date]&gt;42460,"",IF(AND(Table1[Leaving Date]&gt;1,Table1[Leaving Date]&lt;42370),"",1)))</f>
        <v/>
      </c>
      <c r="DT196" s="92" t="str">
        <f>IF(Table1[Start Date]="","",IF(Table1[Start Date]&gt;42551,"",IF(AND(Table1[Leaving Date]&gt;1,Table1[Leaving Date]&lt;42461),"",1)))</f>
        <v/>
      </c>
      <c r="DU196" s="92" t="str">
        <f>IF(Table1[Start Date]="","",IF(Table1[Start Date]&gt;42643,"",IF(AND(Table1[Leaving Date]&gt;1,Table1[Leaving Date]&lt;42552),"",1)))</f>
        <v/>
      </c>
      <c r="DV196" s="92" t="str">
        <f>IF(Table1[Start Date]="","",IF(Table1[Start Date]&gt;42735,"",IF(AND(Table1[Leaving Date]&gt;1,Table1[Leaving Date]&lt;42644),"",1)))</f>
        <v/>
      </c>
      <c r="DW196" s="92" t="str">
        <f>IF(Table1[Start Date]="","",IF(Table1[Start Date]&gt;42825,"",IF(AND(Table1[Leaving Date]&gt;1,Table1[Leaving Date]&lt;42736),"",1)))</f>
        <v/>
      </c>
      <c r="DX196"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196" s="44" t="e">
        <f>VLOOKUP(Table1[Referral Source],Lists!$G$2:$H$20,2,FALSE)</f>
        <v>#N/A</v>
      </c>
      <c r="DZ196" s="93" t="e">
        <f>SUM(Table1[Data Referral Quarter]+Table1[Data Referral Source])</f>
        <v>#N/A</v>
      </c>
      <c r="EA196" s="44" t="b">
        <f>IF(Table1[Referral Decision]="Accepted",100,IF(Table1[Referral Decision]="Rejected by Provider",200,IF(Table1[Referral Decision]="Rejected by Applicant",300)))</f>
        <v>0</v>
      </c>
      <c r="EB196" s="44">
        <f>SUM(Table1[Data Referral Quarter]+Table1[Data Referral Decision])</f>
        <v>0</v>
      </c>
      <c r="EC196" s="44" t="b">
        <f>IF(Table1[Start Date]&gt;42735,8000,IF(Table1[Start Date]&gt;42643,7000,IF(Table1[Start Date]&gt;42551,6000,IF(Table1[Start Date]&gt;42460,5000,IF(Table1[Start Date]&gt;42369,4000,IF(Table1[Start Date]&gt;42277,3000,IF(Table1[Start Date]&gt;42185,2000,IF(Table1[Start Date]&gt;42094,1000))))))))</f>
        <v>0</v>
      </c>
      <c r="ED196" s="44" t="str">
        <f>IF(Table1[Start Date]="","",IF(Table1[Current Local Authority]="Swindon",1,"2"))</f>
        <v/>
      </c>
      <c r="EE196" s="44" t="e">
        <f>SUM(Table1[Data Start Date]+Table1[Data Local Authority])</f>
        <v>#VALUE!</v>
      </c>
      <c r="EF196" s="44">
        <f>IF(Table1[Registered with GP]="Yes",1,0)</f>
        <v>0</v>
      </c>
      <c r="EG196" s="44">
        <f>SUM(Table1[Data Start Date]+Table1[Data GP Start])</f>
        <v>0</v>
      </c>
      <c r="EH196" s="44" t="str">
        <f>IF(Table1[EET]="NEET",1,IF(Table1[EET]="Education",2,IF(Table1[EET]="Employment",2,IF(Table1[EET]="Training",2,IF(Table1[EET]="Retired",3,"")))))</f>
        <v/>
      </c>
      <c r="EI196" s="44" t="e">
        <f>Table1[Data Start Date]+Table1[Data EET Start]</f>
        <v>#VALUE!</v>
      </c>
      <c r="EJ196" s="44" t="b">
        <f>IF(Table1[Leaving Date]&gt;42735,8000,IF(Table1[Leaving Date]&gt;42643,7000,IF(Table1[Leaving Date]&gt;42551,6000,IF(Table1[Leaving Date]&gt;42460,5000,IF(Table1[Leaving Date]&gt;42369,4000,IF(Table1[Leaving Date]&gt;42277,3000,IF(Table1[Leaving Date]&gt;42185,2000,IF(Table1[Leaving Date]&gt;42094,1000))))))))</f>
        <v>0</v>
      </c>
      <c r="EK196" s="44" t="e">
        <f>VLOOKUP(Table1[Reason for Leaving],Lists!$T$2:$U$15,2,FALSE)</f>
        <v>#N/A</v>
      </c>
      <c r="EL196" s="44" t="e">
        <f>SUM(Table1[Data Leavers Date]+Table1[Data Move On])</f>
        <v>#N/A</v>
      </c>
      <c r="EM196" s="44" t="b">
        <f>IF(Table1[Registered with GP2]="Yes",1,IF(Table1[Registered with GP2]="No",0,IF(Table1[Registered with GP]="Yes",1,IF(Table1[Registered with GP]="No",0))))</f>
        <v>0</v>
      </c>
      <c r="EN196" s="44">
        <f>SUM(Table1[Data Leavers Date]+Table1[Data GP End])</f>
        <v>0</v>
      </c>
      <c r="EO196" s="44" t="str">
        <f>IF(Table1[EET2]="NEET",1,IF(Table1[EET2]="Employment",2,IF(Table1[EET2]="Education",2,IF(Table1[EET2]="Training",2,IF(Table1[EET2]="Retired",3,IF(Table1[EET]="NEET",1,IF(Table1[EET]="Employment",2,IF(Table1[EET]="Education",2,IF(Table1[EET]="Training",2,IF(Table1[EET]="Retired",3,""))))))))))</f>
        <v/>
      </c>
      <c r="EP196" s="44" t="e">
        <f>+Table1[[#This Row],[Data Leavers Date]]+Table1[[#This Row],[Data EET End]]</f>
        <v>#VALUE!</v>
      </c>
      <c r="EQ196" s="44">
        <f>IF(Table1[Exit Form Received]="Yes",1,0)</f>
        <v>0</v>
      </c>
      <c r="ER196" s="44">
        <f>+Table1[[#This Row],[Data Leavers Date]]+Table1[[#This Row],[Data Exit Forms]]</f>
        <v>0</v>
      </c>
      <c r="ES196" s="44" t="str">
        <f>IF(Table1[Data Leavers Date]=1000,SUM(Table1[Leaving Date]-Table1[Start Date]),"")</f>
        <v/>
      </c>
      <c r="ET196" s="44" t="str">
        <f>IF(Table1[Data Leavers Date]=2000,SUM(Table1[Leaving Date]-Table1[Start Date]),"")</f>
        <v/>
      </c>
      <c r="EU196" s="44" t="str">
        <f>IF(Table1[Data Leavers Date]=3000,SUM(Table1[Leaving Date]-Table1[Start Date]),"")</f>
        <v/>
      </c>
      <c r="EV196" s="44" t="str">
        <f>IF(Table1[Data Leavers Date]=4000,SUM(Table1[Leaving Date]-Table1[Start Date]),"")</f>
        <v/>
      </c>
      <c r="EW196" s="44" t="str">
        <f>IF(Table1[Data Leavers Date]=5000,SUM(Table1[Leaving Date]-Table1[Start Date]),"")</f>
        <v/>
      </c>
      <c r="EX196" s="44" t="str">
        <f>IF(Table1[Data Leavers Date]=6000,SUM(Table1[Leaving Date]-Table1[Start Date]),"")</f>
        <v/>
      </c>
      <c r="EY196" s="44" t="str">
        <f>IF(Table1[Data Leavers Date]=7000,SUM(Table1[Leaving Date]-Table1[Start Date]),"")</f>
        <v/>
      </c>
      <c r="EZ196" s="44" t="str">
        <f>IF(Table1[Data Leavers Date]=8000,SUM(Table1[Leaving Date]-Table1[Start Date]),"")</f>
        <v/>
      </c>
      <c r="FA196" s="44" t="str">
        <f>IF(Table1[Date of Initial Assessment]="","",IF(AND(Table1[Start Date]&gt;42094,Table1[Start Date]&lt;42461),Table1[Motivation and Taking Responsibility],""))</f>
        <v/>
      </c>
      <c r="FB196" s="44" t="str">
        <f>IF(Table1[Date of Initial Assessment]="","",IF(AND(Table1[Start Date]&gt;42094,Table1[Start Date]&lt;42461),Table1[Self-Care and Living Skills],""))</f>
        <v/>
      </c>
      <c r="FC196" s="44" t="str">
        <f>IF(Table1[Date of Initial Assessment]="","",IF(AND(Table1[Start Date]&gt;42094,Table1[Start Date]&lt;42461),Table1[Managing Money and Personal Administration],""))</f>
        <v/>
      </c>
      <c r="FD196" s="44" t="str">
        <f>IF(Table1[Date of Initial Assessment]="","",IF(AND(Table1[Start Date]&gt;42094,Table1[Start Date]&lt;42461),Table1[Social Networks and Relationships],""))</f>
        <v/>
      </c>
      <c r="FE196" s="44" t="str">
        <f>IF(Table1[Date of Initial Assessment]="","",IF(AND(Table1[Start Date]&gt;42094,Table1[Start Date]&lt;42461),Table1[Drug and Alcohol Misuse],""))</f>
        <v/>
      </c>
      <c r="FF196" s="44" t="str">
        <f>IF(Table1[Date of Initial Assessment]="","",IF(AND(Table1[Start Date]&gt;42094,Table1[Start Date]&lt;42461),Table1[Physical Health],""))</f>
        <v/>
      </c>
      <c r="FG196" s="44" t="str">
        <f>IF(Table1[Date of Initial Assessment]="","",IF(AND(Table1[Start Date]&gt;42094,Table1[Start Date]&lt;42461),Table1[Emotional and Mental Health],""))</f>
        <v/>
      </c>
      <c r="FH196" s="44" t="str">
        <f>IF(Table1[Date of Initial Assessment]="","",IF(AND(Table1[Start Date]&gt;42094,Table1[Start Date]&lt;42461),Table1[Meaningful Use of Time],""))</f>
        <v/>
      </c>
      <c r="FI196" s="44" t="str">
        <f>IF(Table1[Date of Initial Assessment]="","",IF(AND(Table1[Start Date]&gt;42094,Table1[Start Date]&lt;42461),Table1[Managing Tenancy and Accommodation],""))</f>
        <v/>
      </c>
      <c r="FJ196" s="44" t="str">
        <f>IF(Table1[Date of Initial Assessment]="","",IF(AND(Table1[Start Date]&gt;42094,Table1[Start Date]&lt;42461),Table1[Offending],""))</f>
        <v/>
      </c>
      <c r="FK196" s="44" t="str">
        <f>IF(Table1[Leaving Date]="","",IF(Table1[Date of Initial Assessment]="","",IF(AND(Table1[Leaving Date]&gt;42094,Table1[Leaving Date]&lt;42461),IF(Table1[Date of Last Assessment]="",Table1[Motivation and Taking Responsibility],Table1[Motivation and Taking Responsibility2]),"")))</f>
        <v/>
      </c>
      <c r="FL196" s="44" t="str">
        <f>IF(Table1[Leaving Date]="","",IF(Table1[Date of Initial Assessment]="","",IF(AND(Table1[Leaving Date]&gt;42094,Table1[Leaving Date]&lt;42461),IF(Table1[Date of Last Assessment]="",Table1[Self-Care and Living Skills],Table1[Self-Care and Living Skills2]),"")))</f>
        <v/>
      </c>
      <c r="FM196" s="44" t="str">
        <f>IF(Table1[Leaving Date]="","",IF(Table1[Date of Initial Assessment]="","",IF(AND(Table1[Leaving Date]&gt;42094,Table1[Leaving Date]&lt;42461),IF(Table1[Date of Last Assessment]="",Table1[Managing Money and Personal Administration],Table1[Managing Money and Personal Administration2]),"")))</f>
        <v/>
      </c>
      <c r="FN196" s="44" t="str">
        <f>IF(Table1[Leaving Date]="","",IF(Table1[Date of Initial Assessment]="","",IF(AND(Table1[Leaving Date]&gt;42094,Table1[Leaving Date]&lt;42461),IF(Table1[Date of Last Assessment]="",Table1[Social Networks and Relationships],Table1[Social Networks and Relationships2]),"")))</f>
        <v/>
      </c>
      <c r="FO196" s="44" t="str">
        <f>IF(Table1[Leaving Date]="","",IF(Table1[Date of Initial Assessment]="","",IF(AND(Table1[Leaving Date]&gt;42094,Table1[Leaving Date]&lt;42461),IF(Table1[Date of Last Assessment]="",Table1[Drug and Alcohol Misuse],Table1[Drug and Alcohol Misuse2]),"")))</f>
        <v/>
      </c>
      <c r="FP196" s="44" t="str">
        <f>IF(Table1[Leaving Date]="","",IF(Table1[Date of Initial Assessment]="","",IF(AND(Table1[Leaving Date]&gt;42094,Table1[Leaving Date]&lt;42461),IF(Table1[Date of Last Assessment]="",Table1[Physical Health],Table1[Physical Health2]),"")))</f>
        <v/>
      </c>
      <c r="FQ196" s="44" t="str">
        <f>IF(Table1[Leaving Date]="","",IF(Table1[Date of Initial Assessment]="","",IF(AND(Table1[Leaving Date]&gt;42094,Table1[Leaving Date]&lt;42461),IF(Table1[Date of Last Assessment]="",Table1[Emotional and Mental Health],Table1[Emotional and Mental Health2]),"")))</f>
        <v/>
      </c>
      <c r="FR196" s="44" t="str">
        <f>IF(Table1[Leaving Date]="","",IF(Table1[Date of Initial Assessment]="","",IF(AND(Table1[Leaving Date]&gt;42094,Table1[Leaving Date]&lt;42461),IF(Table1[Date of Last Assessment]="",Table1[Meaningful Use of Time],Table1[Meaningful Use of Time2]),"")))</f>
        <v/>
      </c>
      <c r="FS196" s="44" t="str">
        <f>IF(Table1[Leaving Date]="","",IF(Table1[Date of Initial Assessment]="","",IF(AND(Table1[Leaving Date]&gt;42094,Table1[Leaving Date]&lt;42461),IF(Table1[Date of Last Assessment]="",Table1[Managing Tenancy and Accommodation],Table1[Managing Tenancy and Accommodation2]),"")))</f>
        <v/>
      </c>
      <c r="FT196" s="44" t="str">
        <f>IF(Table1[Leaving Date]="","",IF(Table1[Date of Initial Assessment]="","",IF(AND(Table1[Leaving Date]&gt;42094,Table1[Leaving Date]&lt;42461),IF(Table1[Date of Last Assessment]="",Table1[Offending],Table1[Offending2]),"")))</f>
        <v/>
      </c>
      <c r="FU196" s="44" t="str">
        <f>IF(Table1[Date of Initial Assessment]="","",IF(AND(Table1[Start Date]&gt;42460,Table1[Start Date]&lt;42826),Table1[Motivation and Taking Responsibility],""))</f>
        <v/>
      </c>
      <c r="FV196" s="44" t="str">
        <f>IF(Table1[Date of Initial Assessment]="","",IF(AND(Table1[Start Date]&gt;42460,Table1[Start Date]&lt;42826),Table1[Self-Care and Living Skills],""))</f>
        <v/>
      </c>
      <c r="FW196" s="44" t="str">
        <f>IF(Table1[Date of Initial Assessment]="","",IF(AND(Table1[Start Date]&gt;42460,Table1[Start Date]&lt;42826),Table1[Managing Money and Personal Administration],""))</f>
        <v/>
      </c>
      <c r="FX196" s="44" t="str">
        <f>IF(Table1[Date of Initial Assessment]="","",IF(AND(Table1[Start Date]&gt;42460,Table1[Start Date]&lt;42826),Table1[Social Networks and Relationships],""))</f>
        <v/>
      </c>
      <c r="FY196" s="44" t="str">
        <f>IF(Table1[Date of Initial Assessment]="","",IF(AND(Table1[Start Date]&gt;42460,Table1[Start Date]&lt;42826),Table1[Drug and Alcohol Misuse],""))</f>
        <v/>
      </c>
      <c r="FZ196" s="44" t="str">
        <f>IF(Table1[Date of Initial Assessment]="","",IF(AND(Table1[Start Date]&gt;42460,Table1[Start Date]&lt;42826),Table1[Physical Health],""))</f>
        <v/>
      </c>
      <c r="GA196" s="44" t="str">
        <f>IF(Table1[Date of Initial Assessment]="","",IF(AND(Table1[Start Date]&gt;42460,Table1[Start Date]&lt;42826),Table1[Emotional and Mental Health],""))</f>
        <v/>
      </c>
      <c r="GB196" s="44" t="str">
        <f>IF(Table1[Date of Initial Assessment]="","",IF(AND(Table1[Start Date]&gt;42460,Table1[Start Date]&lt;42826),Table1[Meaningful Use of Time],""))</f>
        <v/>
      </c>
      <c r="GC196" s="44" t="str">
        <f>IF(Table1[Date of Initial Assessment]="","",IF(AND(Table1[Start Date]&gt;42460,Table1[Start Date]&lt;42826),Table1[Managing Tenancy and Accommodation],""))</f>
        <v/>
      </c>
      <c r="GD196" s="44" t="str">
        <f>IF(Table1[Date of Initial Assessment]="","",IF(AND(Table1[Start Date]&gt;42460,Table1[Start Date]&lt;42826),Table1[Offending],""))</f>
        <v/>
      </c>
      <c r="GE196" s="44" t="str">
        <f>IF(Table1[Leaving Date]="","",IF(AND(Table1[Leaving Date]&gt;42460,Table1[Leaving Date]&lt;42826),IF(Table1[Date of Last Assessment]="",Table1[Motivation and Taking Responsibility],Table1[Motivation and Taking Responsibility2]),""))</f>
        <v/>
      </c>
      <c r="GF196" s="44" t="str">
        <f>IF(Table1[Leaving Date]="","",IF(AND(Table1[Leaving Date]&gt;42460,Table1[Leaving Date]&lt;42826),IF(Table1[Date of Last Assessment]="",Table1[Self-Care and Living Skills],Table1[Self-Care and Living Skills2]),""))</f>
        <v/>
      </c>
      <c r="GG196" s="44" t="str">
        <f>IF(Table1[Leaving Date]="","",IF(AND(Table1[Leaving Date]&gt;42460,Table1[Leaving Date]&lt;42826),IF(Table1[Date of Last Assessment]="",Table1[Managing Money and Personal Administration],Table1[Managing Money and Personal Administration2]),""))</f>
        <v/>
      </c>
      <c r="GH196" s="44" t="str">
        <f>IF(Table1[Leaving Date]="","",IF(AND(Table1[Leaving Date]&gt;42460,Table1[Leaving Date]&lt;42826),IF(Table1[Date of Last Assessment]="",Table1[Social Networks and Relationships],Table1[Social Networks and Relationships2]),""))</f>
        <v/>
      </c>
      <c r="GI196" s="44" t="str">
        <f>IF(Table1[Leaving Date]="","",IF(AND(Table1[Leaving Date]&gt;42460,Table1[Leaving Date]&lt;42826),IF(Table1[Date of Last Assessment]="",Table1[Drug and Alcohol Misuse],Table1[Drug and Alcohol Misuse2]),""))</f>
        <v/>
      </c>
      <c r="GJ196" s="44" t="str">
        <f>IF(Table1[Leaving Date]="","",IF(AND(Table1[Leaving Date]&gt;42460,Table1[Leaving Date]&lt;42826),IF(Table1[Date of Last Assessment]="",Table1[Physical Health],Table1[Physical Health2]),""))</f>
        <v/>
      </c>
      <c r="GK196" s="44" t="str">
        <f>IF(Table1[Leaving Date]="","",IF(AND(Table1[Leaving Date]&gt;42460,Table1[Leaving Date]&lt;42826),IF(Table1[Date of Last Assessment]="",Table1[Emotional and Mental Health],Table1[Emotional and Mental Health2]),""))</f>
        <v/>
      </c>
      <c r="GL196" s="44" t="str">
        <f>IF(Table1[Leaving Date]="","",IF(AND(Table1[Leaving Date]&gt;42460,Table1[Leaving Date]&lt;42826),IF(Table1[Date of Last Assessment]="",Table1[Meaningful Use of Time],Table1[Meaningful Use of Time2]),""))</f>
        <v/>
      </c>
      <c r="GM196" s="44" t="str">
        <f>IF(Table1[Leaving Date]="","",IF(AND(Table1[Leaving Date]&gt;42460,Table1[Leaving Date]&lt;42826),IF(Table1[Date of Last Assessment]="",Table1[Managing Tenancy and Accommodation],Table1[Managing Tenancy and Accommodation2]),""))</f>
        <v/>
      </c>
      <c r="GN196" s="44" t="str">
        <f>IF(Table1[Leaving Date]="","",IF(AND(Table1[Leaving Date]&gt;42460,Table1[Leaving Date]&lt;42826),IF(Table1[Date of Last Assessment]="",Table1[Offending],Table1[Offending2]),""))</f>
        <v/>
      </c>
    </row>
    <row r="197" spans="2:196" ht="20.100000000000001" customHeight="1" x14ac:dyDescent="0.2">
      <c r="B197" s="86">
        <f>+'Service Data'!$C$5:$C$5</f>
        <v>0</v>
      </c>
      <c r="C197" s="86"/>
      <c r="D197" s="86"/>
      <c r="E197" s="86"/>
      <c r="F197" s="86"/>
      <c r="G197" s="86"/>
      <c r="H197" s="6"/>
      <c r="I197" s="99" t="str">
        <f ca="1">IF(Table1[[#This Row],[Date of Birth]]="","",SUM(TODAY()-Table1[[#This Row],[Date of Birth]])/365)</f>
        <v/>
      </c>
      <c r="L197" s="86"/>
      <c r="M197" s="77"/>
      <c r="N197" s="86"/>
      <c r="O197" s="86"/>
      <c r="P197" s="91"/>
      <c r="Q197" s="86"/>
      <c r="R197" s="77"/>
      <c r="S197" s="77"/>
      <c r="T197" s="68"/>
      <c r="U197" s="68"/>
      <c r="V197" s="67"/>
      <c r="W197" s="67"/>
      <c r="X197" s="67"/>
      <c r="Y197" s="67"/>
      <c r="Z197" s="67"/>
      <c r="AA197" s="67"/>
      <c r="AB197" s="67"/>
      <c r="AC197" s="67"/>
      <c r="AD197" s="67"/>
      <c r="AE197" s="67"/>
      <c r="AF197" s="67"/>
      <c r="AG197" s="67"/>
      <c r="AH197" s="67"/>
      <c r="AI197" s="67"/>
      <c r="AJ197" s="67"/>
      <c r="AK197" s="67"/>
      <c r="AL197" s="67"/>
      <c r="AM197" s="67"/>
      <c r="AN197" s="77"/>
      <c r="AO197" s="76"/>
      <c r="AP197" s="77"/>
      <c r="AQ197" s="76"/>
      <c r="AR197" s="76"/>
      <c r="AS197" s="76"/>
      <c r="AT197" s="76"/>
      <c r="AU197" s="76"/>
      <c r="AV197" s="77"/>
      <c r="AW197" s="76"/>
      <c r="AX197" s="77"/>
      <c r="AY197" s="76"/>
      <c r="AZ197" s="76"/>
      <c r="BA197" s="76"/>
      <c r="BB197" s="76"/>
      <c r="BC197" s="76"/>
      <c r="BD197" s="77"/>
      <c r="BE197" s="76"/>
      <c r="BF197" s="77"/>
      <c r="BG197" s="76"/>
      <c r="BH197" s="76"/>
      <c r="BI197" s="76"/>
      <c r="BJ197" s="76"/>
      <c r="BK197" s="76"/>
      <c r="BL197" s="77"/>
      <c r="BM197" s="76"/>
      <c r="BN197" s="77"/>
      <c r="BO197" s="76"/>
      <c r="BP197" s="76"/>
      <c r="BQ197" s="76"/>
      <c r="BR197" s="76"/>
      <c r="BS197" s="76"/>
      <c r="BT197" s="77"/>
      <c r="BU197" s="76"/>
      <c r="BV197" s="77"/>
      <c r="BW197" s="76"/>
      <c r="BX197" s="76"/>
      <c r="BY197" s="76"/>
      <c r="BZ197" s="76"/>
      <c r="CA197" s="76"/>
      <c r="CB197" s="77"/>
      <c r="CC197" s="76"/>
      <c r="CD197" s="77"/>
      <c r="CE197" s="76"/>
      <c r="CF197" s="76"/>
      <c r="CG197" s="76"/>
      <c r="CH197" s="76"/>
      <c r="CI197" s="76"/>
      <c r="CJ197" s="77"/>
      <c r="CK197" s="76"/>
      <c r="CL197" s="77"/>
      <c r="CM197" s="76"/>
      <c r="CN197" s="76"/>
      <c r="CO197" s="76"/>
      <c r="CP197" s="76"/>
      <c r="CQ197" s="76"/>
      <c r="CR197" s="78" t="str">
        <f t="shared" si="63"/>
        <v/>
      </c>
      <c r="CS197" s="79" t="str">
        <f t="shared" si="64"/>
        <v/>
      </c>
      <c r="CT197" s="79" t="str">
        <f t="shared" si="65"/>
        <v/>
      </c>
      <c r="CU197" s="79" t="str">
        <f t="shared" si="66"/>
        <v/>
      </c>
      <c r="CV197" s="79" t="str">
        <f t="shared" si="67"/>
        <v/>
      </c>
      <c r="CW197" s="79" t="str">
        <f t="shared" si="68"/>
        <v/>
      </c>
      <c r="CX197" s="79" t="str">
        <f t="shared" si="69"/>
        <v/>
      </c>
      <c r="CY197" s="79" t="str">
        <f t="shared" si="70"/>
        <v/>
      </c>
      <c r="CZ197" s="79" t="str">
        <f t="shared" si="71"/>
        <v/>
      </c>
      <c r="DA197" s="79" t="str">
        <f t="shared" si="72"/>
        <v/>
      </c>
      <c r="DB197" s="79" t="str">
        <f t="shared" si="73"/>
        <v/>
      </c>
      <c r="DC197" s="79" t="str">
        <f t="shared" si="74"/>
        <v/>
      </c>
      <c r="DD197" s="79" t="str">
        <f t="shared" si="75"/>
        <v/>
      </c>
      <c r="DE197" s="79" t="str">
        <f t="shared" si="76"/>
        <v/>
      </c>
      <c r="DF197" s="79" t="str">
        <f t="shared" si="77"/>
        <v/>
      </c>
      <c r="DG197" s="79" t="str">
        <f t="shared" si="78"/>
        <v/>
      </c>
      <c r="DH197" s="76"/>
      <c r="DI197" s="78"/>
      <c r="DJ197" s="76"/>
      <c r="DK197" s="77"/>
      <c r="DL197" s="77"/>
      <c r="DM197" s="77"/>
      <c r="DN197" s="80"/>
      <c r="DO197" s="80"/>
      <c r="DP197" s="92" t="str">
        <f>IF(Table1[Start Date]="","",IF(Table1[Start Date]&gt;42185,"",IF(AND(Table1[Leaving Date]&gt;1,Table1[Leaving Date]&lt;42095),"",1)))</f>
        <v/>
      </c>
      <c r="DQ197" s="92" t="str">
        <f>IF(Table1[Start Date]="","",IF(Table1[Start Date]&gt;42277,"",IF(AND(Table1[Leaving Date]&gt;1,Table1[Leaving Date]&lt;42186),"",1)))</f>
        <v/>
      </c>
      <c r="DR197" s="92" t="str">
        <f>IF(Table1[Start Date]="","",IF(Table1[Start Date]&gt;42369,"",IF(AND(Table1[Leaving Date]&gt;1,Table1[Leaving Date]&lt;42278),"",1)))</f>
        <v/>
      </c>
      <c r="DS197" s="92" t="str">
        <f>IF(Table1[Start Date]="","",IF(Table1[Start Date]&gt;42460,"",IF(AND(Table1[Leaving Date]&gt;1,Table1[Leaving Date]&lt;42370),"",1)))</f>
        <v/>
      </c>
      <c r="DT197" s="92" t="str">
        <f>IF(Table1[Start Date]="","",IF(Table1[Start Date]&gt;42551,"",IF(AND(Table1[Leaving Date]&gt;1,Table1[Leaving Date]&lt;42461),"",1)))</f>
        <v/>
      </c>
      <c r="DU197" s="92" t="str">
        <f>IF(Table1[Start Date]="","",IF(Table1[Start Date]&gt;42643,"",IF(AND(Table1[Leaving Date]&gt;1,Table1[Leaving Date]&lt;42552),"",1)))</f>
        <v/>
      </c>
      <c r="DV197" s="92" t="str">
        <f>IF(Table1[Start Date]="","",IF(Table1[Start Date]&gt;42735,"",IF(AND(Table1[Leaving Date]&gt;1,Table1[Leaving Date]&lt;42644),"",1)))</f>
        <v/>
      </c>
      <c r="DW197" s="92" t="str">
        <f>IF(Table1[Start Date]="","",IF(Table1[Start Date]&gt;42825,"",IF(AND(Table1[Leaving Date]&gt;1,Table1[Leaving Date]&lt;42736),"",1)))</f>
        <v/>
      </c>
      <c r="DX197"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197" s="44" t="e">
        <f>VLOOKUP(Table1[Referral Source],Lists!$G$2:$H$20,2,FALSE)</f>
        <v>#N/A</v>
      </c>
      <c r="DZ197" s="93" t="e">
        <f>SUM(Table1[Data Referral Quarter]+Table1[Data Referral Source])</f>
        <v>#N/A</v>
      </c>
      <c r="EA197" s="44" t="b">
        <f>IF(Table1[Referral Decision]="Accepted",100,IF(Table1[Referral Decision]="Rejected by Provider",200,IF(Table1[Referral Decision]="Rejected by Applicant",300)))</f>
        <v>0</v>
      </c>
      <c r="EB197" s="44">
        <f>SUM(Table1[Data Referral Quarter]+Table1[Data Referral Decision])</f>
        <v>0</v>
      </c>
      <c r="EC197" s="44" t="b">
        <f>IF(Table1[Start Date]&gt;42735,8000,IF(Table1[Start Date]&gt;42643,7000,IF(Table1[Start Date]&gt;42551,6000,IF(Table1[Start Date]&gt;42460,5000,IF(Table1[Start Date]&gt;42369,4000,IF(Table1[Start Date]&gt;42277,3000,IF(Table1[Start Date]&gt;42185,2000,IF(Table1[Start Date]&gt;42094,1000))))))))</f>
        <v>0</v>
      </c>
      <c r="ED197" s="44" t="str">
        <f>IF(Table1[Start Date]="","",IF(Table1[Current Local Authority]="Swindon",1,"2"))</f>
        <v/>
      </c>
      <c r="EE197" s="44" t="e">
        <f>SUM(Table1[Data Start Date]+Table1[Data Local Authority])</f>
        <v>#VALUE!</v>
      </c>
      <c r="EF197" s="44">
        <f>IF(Table1[Registered with GP]="Yes",1,0)</f>
        <v>0</v>
      </c>
      <c r="EG197" s="44">
        <f>SUM(Table1[Data Start Date]+Table1[Data GP Start])</f>
        <v>0</v>
      </c>
      <c r="EH197" s="44" t="str">
        <f>IF(Table1[EET]="NEET",1,IF(Table1[EET]="Education",2,IF(Table1[EET]="Employment",2,IF(Table1[EET]="Training",2,IF(Table1[EET]="Retired",3,"")))))</f>
        <v/>
      </c>
      <c r="EI197" s="44" t="e">
        <f>Table1[Data Start Date]+Table1[Data EET Start]</f>
        <v>#VALUE!</v>
      </c>
      <c r="EJ197" s="44" t="b">
        <f>IF(Table1[Leaving Date]&gt;42735,8000,IF(Table1[Leaving Date]&gt;42643,7000,IF(Table1[Leaving Date]&gt;42551,6000,IF(Table1[Leaving Date]&gt;42460,5000,IF(Table1[Leaving Date]&gt;42369,4000,IF(Table1[Leaving Date]&gt;42277,3000,IF(Table1[Leaving Date]&gt;42185,2000,IF(Table1[Leaving Date]&gt;42094,1000))))))))</f>
        <v>0</v>
      </c>
      <c r="EK197" s="44" t="e">
        <f>VLOOKUP(Table1[Reason for Leaving],Lists!$T$2:$U$15,2,FALSE)</f>
        <v>#N/A</v>
      </c>
      <c r="EL197" s="44" t="e">
        <f>SUM(Table1[Data Leavers Date]+Table1[Data Move On])</f>
        <v>#N/A</v>
      </c>
      <c r="EM197" s="44" t="b">
        <f>IF(Table1[Registered with GP2]="Yes",1,IF(Table1[Registered with GP2]="No",0,IF(Table1[Registered with GP]="Yes",1,IF(Table1[Registered with GP]="No",0))))</f>
        <v>0</v>
      </c>
      <c r="EN197" s="44">
        <f>SUM(Table1[Data Leavers Date]+Table1[Data GP End])</f>
        <v>0</v>
      </c>
      <c r="EO197" s="44" t="str">
        <f>IF(Table1[EET2]="NEET",1,IF(Table1[EET2]="Employment",2,IF(Table1[EET2]="Education",2,IF(Table1[EET2]="Training",2,IF(Table1[EET2]="Retired",3,IF(Table1[EET]="NEET",1,IF(Table1[EET]="Employment",2,IF(Table1[EET]="Education",2,IF(Table1[EET]="Training",2,IF(Table1[EET]="Retired",3,""))))))))))</f>
        <v/>
      </c>
      <c r="EP197" s="44" t="e">
        <f>+Table1[[#This Row],[Data Leavers Date]]+Table1[[#This Row],[Data EET End]]</f>
        <v>#VALUE!</v>
      </c>
      <c r="EQ197" s="44">
        <f>IF(Table1[Exit Form Received]="Yes",1,0)</f>
        <v>0</v>
      </c>
      <c r="ER197" s="44">
        <f>+Table1[[#This Row],[Data Leavers Date]]+Table1[[#This Row],[Data Exit Forms]]</f>
        <v>0</v>
      </c>
      <c r="ES197" s="44" t="str">
        <f>IF(Table1[Data Leavers Date]=1000,SUM(Table1[Leaving Date]-Table1[Start Date]),"")</f>
        <v/>
      </c>
      <c r="ET197" s="44" t="str">
        <f>IF(Table1[Data Leavers Date]=2000,SUM(Table1[Leaving Date]-Table1[Start Date]),"")</f>
        <v/>
      </c>
      <c r="EU197" s="44" t="str">
        <f>IF(Table1[Data Leavers Date]=3000,SUM(Table1[Leaving Date]-Table1[Start Date]),"")</f>
        <v/>
      </c>
      <c r="EV197" s="44" t="str">
        <f>IF(Table1[Data Leavers Date]=4000,SUM(Table1[Leaving Date]-Table1[Start Date]),"")</f>
        <v/>
      </c>
      <c r="EW197" s="44" t="str">
        <f>IF(Table1[Data Leavers Date]=5000,SUM(Table1[Leaving Date]-Table1[Start Date]),"")</f>
        <v/>
      </c>
      <c r="EX197" s="44" t="str">
        <f>IF(Table1[Data Leavers Date]=6000,SUM(Table1[Leaving Date]-Table1[Start Date]),"")</f>
        <v/>
      </c>
      <c r="EY197" s="44" t="str">
        <f>IF(Table1[Data Leavers Date]=7000,SUM(Table1[Leaving Date]-Table1[Start Date]),"")</f>
        <v/>
      </c>
      <c r="EZ197" s="44" t="str">
        <f>IF(Table1[Data Leavers Date]=8000,SUM(Table1[Leaving Date]-Table1[Start Date]),"")</f>
        <v/>
      </c>
      <c r="FA197" s="44" t="str">
        <f>IF(Table1[Date of Initial Assessment]="","",IF(AND(Table1[Start Date]&gt;42094,Table1[Start Date]&lt;42461),Table1[Motivation and Taking Responsibility],""))</f>
        <v/>
      </c>
      <c r="FB197" s="44" t="str">
        <f>IF(Table1[Date of Initial Assessment]="","",IF(AND(Table1[Start Date]&gt;42094,Table1[Start Date]&lt;42461),Table1[Self-Care and Living Skills],""))</f>
        <v/>
      </c>
      <c r="FC197" s="44" t="str">
        <f>IF(Table1[Date of Initial Assessment]="","",IF(AND(Table1[Start Date]&gt;42094,Table1[Start Date]&lt;42461),Table1[Managing Money and Personal Administration],""))</f>
        <v/>
      </c>
      <c r="FD197" s="44" t="str">
        <f>IF(Table1[Date of Initial Assessment]="","",IF(AND(Table1[Start Date]&gt;42094,Table1[Start Date]&lt;42461),Table1[Social Networks and Relationships],""))</f>
        <v/>
      </c>
      <c r="FE197" s="44" t="str">
        <f>IF(Table1[Date of Initial Assessment]="","",IF(AND(Table1[Start Date]&gt;42094,Table1[Start Date]&lt;42461),Table1[Drug and Alcohol Misuse],""))</f>
        <v/>
      </c>
      <c r="FF197" s="44" t="str">
        <f>IF(Table1[Date of Initial Assessment]="","",IF(AND(Table1[Start Date]&gt;42094,Table1[Start Date]&lt;42461),Table1[Physical Health],""))</f>
        <v/>
      </c>
      <c r="FG197" s="44" t="str">
        <f>IF(Table1[Date of Initial Assessment]="","",IF(AND(Table1[Start Date]&gt;42094,Table1[Start Date]&lt;42461),Table1[Emotional and Mental Health],""))</f>
        <v/>
      </c>
      <c r="FH197" s="44" t="str">
        <f>IF(Table1[Date of Initial Assessment]="","",IF(AND(Table1[Start Date]&gt;42094,Table1[Start Date]&lt;42461),Table1[Meaningful Use of Time],""))</f>
        <v/>
      </c>
      <c r="FI197" s="44" t="str">
        <f>IF(Table1[Date of Initial Assessment]="","",IF(AND(Table1[Start Date]&gt;42094,Table1[Start Date]&lt;42461),Table1[Managing Tenancy and Accommodation],""))</f>
        <v/>
      </c>
      <c r="FJ197" s="44" t="str">
        <f>IF(Table1[Date of Initial Assessment]="","",IF(AND(Table1[Start Date]&gt;42094,Table1[Start Date]&lt;42461),Table1[Offending],""))</f>
        <v/>
      </c>
      <c r="FK197" s="44" t="str">
        <f>IF(Table1[Leaving Date]="","",IF(Table1[Date of Initial Assessment]="","",IF(AND(Table1[Leaving Date]&gt;42094,Table1[Leaving Date]&lt;42461),IF(Table1[Date of Last Assessment]="",Table1[Motivation and Taking Responsibility],Table1[Motivation and Taking Responsibility2]),"")))</f>
        <v/>
      </c>
      <c r="FL197" s="44" t="str">
        <f>IF(Table1[Leaving Date]="","",IF(Table1[Date of Initial Assessment]="","",IF(AND(Table1[Leaving Date]&gt;42094,Table1[Leaving Date]&lt;42461),IF(Table1[Date of Last Assessment]="",Table1[Self-Care and Living Skills],Table1[Self-Care and Living Skills2]),"")))</f>
        <v/>
      </c>
      <c r="FM197" s="44" t="str">
        <f>IF(Table1[Leaving Date]="","",IF(Table1[Date of Initial Assessment]="","",IF(AND(Table1[Leaving Date]&gt;42094,Table1[Leaving Date]&lt;42461),IF(Table1[Date of Last Assessment]="",Table1[Managing Money and Personal Administration],Table1[Managing Money and Personal Administration2]),"")))</f>
        <v/>
      </c>
      <c r="FN197" s="44" t="str">
        <f>IF(Table1[Leaving Date]="","",IF(Table1[Date of Initial Assessment]="","",IF(AND(Table1[Leaving Date]&gt;42094,Table1[Leaving Date]&lt;42461),IF(Table1[Date of Last Assessment]="",Table1[Social Networks and Relationships],Table1[Social Networks and Relationships2]),"")))</f>
        <v/>
      </c>
      <c r="FO197" s="44" t="str">
        <f>IF(Table1[Leaving Date]="","",IF(Table1[Date of Initial Assessment]="","",IF(AND(Table1[Leaving Date]&gt;42094,Table1[Leaving Date]&lt;42461),IF(Table1[Date of Last Assessment]="",Table1[Drug and Alcohol Misuse],Table1[Drug and Alcohol Misuse2]),"")))</f>
        <v/>
      </c>
      <c r="FP197" s="44" t="str">
        <f>IF(Table1[Leaving Date]="","",IF(Table1[Date of Initial Assessment]="","",IF(AND(Table1[Leaving Date]&gt;42094,Table1[Leaving Date]&lt;42461),IF(Table1[Date of Last Assessment]="",Table1[Physical Health],Table1[Physical Health2]),"")))</f>
        <v/>
      </c>
      <c r="FQ197" s="44" t="str">
        <f>IF(Table1[Leaving Date]="","",IF(Table1[Date of Initial Assessment]="","",IF(AND(Table1[Leaving Date]&gt;42094,Table1[Leaving Date]&lt;42461),IF(Table1[Date of Last Assessment]="",Table1[Emotional and Mental Health],Table1[Emotional and Mental Health2]),"")))</f>
        <v/>
      </c>
      <c r="FR197" s="44" t="str">
        <f>IF(Table1[Leaving Date]="","",IF(Table1[Date of Initial Assessment]="","",IF(AND(Table1[Leaving Date]&gt;42094,Table1[Leaving Date]&lt;42461),IF(Table1[Date of Last Assessment]="",Table1[Meaningful Use of Time],Table1[Meaningful Use of Time2]),"")))</f>
        <v/>
      </c>
      <c r="FS197" s="44" t="str">
        <f>IF(Table1[Leaving Date]="","",IF(Table1[Date of Initial Assessment]="","",IF(AND(Table1[Leaving Date]&gt;42094,Table1[Leaving Date]&lt;42461),IF(Table1[Date of Last Assessment]="",Table1[Managing Tenancy and Accommodation],Table1[Managing Tenancy and Accommodation2]),"")))</f>
        <v/>
      </c>
      <c r="FT197" s="44" t="str">
        <f>IF(Table1[Leaving Date]="","",IF(Table1[Date of Initial Assessment]="","",IF(AND(Table1[Leaving Date]&gt;42094,Table1[Leaving Date]&lt;42461),IF(Table1[Date of Last Assessment]="",Table1[Offending],Table1[Offending2]),"")))</f>
        <v/>
      </c>
      <c r="FU197" s="44" t="str">
        <f>IF(Table1[Date of Initial Assessment]="","",IF(AND(Table1[Start Date]&gt;42460,Table1[Start Date]&lt;42826),Table1[Motivation and Taking Responsibility],""))</f>
        <v/>
      </c>
      <c r="FV197" s="44" t="str">
        <f>IF(Table1[Date of Initial Assessment]="","",IF(AND(Table1[Start Date]&gt;42460,Table1[Start Date]&lt;42826),Table1[Self-Care and Living Skills],""))</f>
        <v/>
      </c>
      <c r="FW197" s="44" t="str">
        <f>IF(Table1[Date of Initial Assessment]="","",IF(AND(Table1[Start Date]&gt;42460,Table1[Start Date]&lt;42826),Table1[Managing Money and Personal Administration],""))</f>
        <v/>
      </c>
      <c r="FX197" s="44" t="str">
        <f>IF(Table1[Date of Initial Assessment]="","",IF(AND(Table1[Start Date]&gt;42460,Table1[Start Date]&lt;42826),Table1[Social Networks and Relationships],""))</f>
        <v/>
      </c>
      <c r="FY197" s="44" t="str">
        <f>IF(Table1[Date of Initial Assessment]="","",IF(AND(Table1[Start Date]&gt;42460,Table1[Start Date]&lt;42826),Table1[Drug and Alcohol Misuse],""))</f>
        <v/>
      </c>
      <c r="FZ197" s="44" t="str">
        <f>IF(Table1[Date of Initial Assessment]="","",IF(AND(Table1[Start Date]&gt;42460,Table1[Start Date]&lt;42826),Table1[Physical Health],""))</f>
        <v/>
      </c>
      <c r="GA197" s="44" t="str">
        <f>IF(Table1[Date of Initial Assessment]="","",IF(AND(Table1[Start Date]&gt;42460,Table1[Start Date]&lt;42826),Table1[Emotional and Mental Health],""))</f>
        <v/>
      </c>
      <c r="GB197" s="44" t="str">
        <f>IF(Table1[Date of Initial Assessment]="","",IF(AND(Table1[Start Date]&gt;42460,Table1[Start Date]&lt;42826),Table1[Meaningful Use of Time],""))</f>
        <v/>
      </c>
      <c r="GC197" s="44" t="str">
        <f>IF(Table1[Date of Initial Assessment]="","",IF(AND(Table1[Start Date]&gt;42460,Table1[Start Date]&lt;42826),Table1[Managing Tenancy and Accommodation],""))</f>
        <v/>
      </c>
      <c r="GD197" s="44" t="str">
        <f>IF(Table1[Date of Initial Assessment]="","",IF(AND(Table1[Start Date]&gt;42460,Table1[Start Date]&lt;42826),Table1[Offending],""))</f>
        <v/>
      </c>
      <c r="GE197" s="44" t="str">
        <f>IF(Table1[Leaving Date]="","",IF(AND(Table1[Leaving Date]&gt;42460,Table1[Leaving Date]&lt;42826),IF(Table1[Date of Last Assessment]="",Table1[Motivation and Taking Responsibility],Table1[Motivation and Taking Responsibility2]),""))</f>
        <v/>
      </c>
      <c r="GF197" s="44" t="str">
        <f>IF(Table1[Leaving Date]="","",IF(AND(Table1[Leaving Date]&gt;42460,Table1[Leaving Date]&lt;42826),IF(Table1[Date of Last Assessment]="",Table1[Self-Care and Living Skills],Table1[Self-Care and Living Skills2]),""))</f>
        <v/>
      </c>
      <c r="GG197" s="44" t="str">
        <f>IF(Table1[Leaving Date]="","",IF(AND(Table1[Leaving Date]&gt;42460,Table1[Leaving Date]&lt;42826),IF(Table1[Date of Last Assessment]="",Table1[Managing Money and Personal Administration],Table1[Managing Money and Personal Administration2]),""))</f>
        <v/>
      </c>
      <c r="GH197" s="44" t="str">
        <f>IF(Table1[Leaving Date]="","",IF(AND(Table1[Leaving Date]&gt;42460,Table1[Leaving Date]&lt;42826),IF(Table1[Date of Last Assessment]="",Table1[Social Networks and Relationships],Table1[Social Networks and Relationships2]),""))</f>
        <v/>
      </c>
      <c r="GI197" s="44" t="str">
        <f>IF(Table1[Leaving Date]="","",IF(AND(Table1[Leaving Date]&gt;42460,Table1[Leaving Date]&lt;42826),IF(Table1[Date of Last Assessment]="",Table1[Drug and Alcohol Misuse],Table1[Drug and Alcohol Misuse2]),""))</f>
        <v/>
      </c>
      <c r="GJ197" s="44" t="str">
        <f>IF(Table1[Leaving Date]="","",IF(AND(Table1[Leaving Date]&gt;42460,Table1[Leaving Date]&lt;42826),IF(Table1[Date of Last Assessment]="",Table1[Physical Health],Table1[Physical Health2]),""))</f>
        <v/>
      </c>
      <c r="GK197" s="44" t="str">
        <f>IF(Table1[Leaving Date]="","",IF(AND(Table1[Leaving Date]&gt;42460,Table1[Leaving Date]&lt;42826),IF(Table1[Date of Last Assessment]="",Table1[Emotional and Mental Health],Table1[Emotional and Mental Health2]),""))</f>
        <v/>
      </c>
      <c r="GL197" s="44" t="str">
        <f>IF(Table1[Leaving Date]="","",IF(AND(Table1[Leaving Date]&gt;42460,Table1[Leaving Date]&lt;42826),IF(Table1[Date of Last Assessment]="",Table1[Meaningful Use of Time],Table1[Meaningful Use of Time2]),""))</f>
        <v/>
      </c>
      <c r="GM197" s="44" t="str">
        <f>IF(Table1[Leaving Date]="","",IF(AND(Table1[Leaving Date]&gt;42460,Table1[Leaving Date]&lt;42826),IF(Table1[Date of Last Assessment]="",Table1[Managing Tenancy and Accommodation],Table1[Managing Tenancy and Accommodation2]),""))</f>
        <v/>
      </c>
      <c r="GN197" s="44" t="str">
        <f>IF(Table1[Leaving Date]="","",IF(AND(Table1[Leaving Date]&gt;42460,Table1[Leaving Date]&lt;42826),IF(Table1[Date of Last Assessment]="",Table1[Offending],Table1[Offending2]),""))</f>
        <v/>
      </c>
    </row>
    <row r="198" spans="2:196" ht="20.100000000000001" customHeight="1" x14ac:dyDescent="0.2">
      <c r="B198" s="86">
        <f>+'Service Data'!$C$5:$C$5</f>
        <v>0</v>
      </c>
      <c r="C198" s="86"/>
      <c r="D198" s="86"/>
      <c r="E198" s="86"/>
      <c r="F198" s="86"/>
      <c r="G198" s="86"/>
      <c r="H198" s="6"/>
      <c r="I198" s="99" t="str">
        <f ca="1">IF(Table1[[#This Row],[Date of Birth]]="","",SUM(TODAY()-Table1[[#This Row],[Date of Birth]])/365)</f>
        <v/>
      </c>
      <c r="L198" s="86"/>
      <c r="M198" s="77"/>
      <c r="N198" s="86"/>
      <c r="O198" s="86"/>
      <c r="P198" s="91"/>
      <c r="Q198" s="86"/>
      <c r="R198" s="77"/>
      <c r="S198" s="77"/>
      <c r="T198" s="68"/>
      <c r="U198" s="68"/>
      <c r="V198" s="67"/>
      <c r="W198" s="67"/>
      <c r="X198" s="67"/>
      <c r="Y198" s="67"/>
      <c r="Z198" s="67"/>
      <c r="AA198" s="67"/>
      <c r="AB198" s="67"/>
      <c r="AC198" s="67"/>
      <c r="AD198" s="67"/>
      <c r="AE198" s="67"/>
      <c r="AF198" s="67"/>
      <c r="AG198" s="67"/>
      <c r="AH198" s="67"/>
      <c r="AI198" s="67"/>
      <c r="AJ198" s="67"/>
      <c r="AK198" s="67"/>
      <c r="AL198" s="67"/>
      <c r="AM198" s="67"/>
      <c r="AN198" s="77"/>
      <c r="AO198" s="76"/>
      <c r="AP198" s="77"/>
      <c r="AQ198" s="76"/>
      <c r="AR198" s="76"/>
      <c r="AS198" s="76"/>
      <c r="AT198" s="76"/>
      <c r="AU198" s="76"/>
      <c r="AV198" s="77"/>
      <c r="AW198" s="76"/>
      <c r="AX198" s="77"/>
      <c r="AY198" s="76"/>
      <c r="AZ198" s="76"/>
      <c r="BA198" s="76"/>
      <c r="BB198" s="76"/>
      <c r="BC198" s="76"/>
      <c r="BD198" s="77"/>
      <c r="BE198" s="76"/>
      <c r="BF198" s="77"/>
      <c r="BG198" s="76"/>
      <c r="BH198" s="76"/>
      <c r="BI198" s="76"/>
      <c r="BJ198" s="76"/>
      <c r="BK198" s="76"/>
      <c r="BL198" s="77"/>
      <c r="BM198" s="76"/>
      <c r="BN198" s="77"/>
      <c r="BO198" s="76"/>
      <c r="BP198" s="76"/>
      <c r="BQ198" s="76"/>
      <c r="BR198" s="76"/>
      <c r="BS198" s="76"/>
      <c r="BT198" s="77"/>
      <c r="BU198" s="76"/>
      <c r="BV198" s="77"/>
      <c r="BW198" s="76"/>
      <c r="BX198" s="76"/>
      <c r="BY198" s="76"/>
      <c r="BZ198" s="76"/>
      <c r="CA198" s="76"/>
      <c r="CB198" s="77"/>
      <c r="CC198" s="76"/>
      <c r="CD198" s="77"/>
      <c r="CE198" s="76"/>
      <c r="CF198" s="76"/>
      <c r="CG198" s="76"/>
      <c r="CH198" s="76"/>
      <c r="CI198" s="76"/>
      <c r="CJ198" s="77"/>
      <c r="CK198" s="76"/>
      <c r="CL198" s="77"/>
      <c r="CM198" s="76"/>
      <c r="CN198" s="76"/>
      <c r="CO198" s="76"/>
      <c r="CP198" s="76"/>
      <c r="CQ198" s="76"/>
      <c r="CR198" s="78" t="str">
        <f t="shared" si="63"/>
        <v/>
      </c>
      <c r="CS198" s="79" t="str">
        <f t="shared" si="64"/>
        <v/>
      </c>
      <c r="CT198" s="79" t="str">
        <f t="shared" si="65"/>
        <v/>
      </c>
      <c r="CU198" s="79" t="str">
        <f t="shared" si="66"/>
        <v/>
      </c>
      <c r="CV198" s="79" t="str">
        <f t="shared" si="67"/>
        <v/>
      </c>
      <c r="CW198" s="79" t="str">
        <f t="shared" si="68"/>
        <v/>
      </c>
      <c r="CX198" s="79" t="str">
        <f t="shared" si="69"/>
        <v/>
      </c>
      <c r="CY198" s="79" t="str">
        <f t="shared" si="70"/>
        <v/>
      </c>
      <c r="CZ198" s="79" t="str">
        <f t="shared" si="71"/>
        <v/>
      </c>
      <c r="DA198" s="79" t="str">
        <f t="shared" si="72"/>
        <v/>
      </c>
      <c r="DB198" s="79" t="str">
        <f t="shared" si="73"/>
        <v/>
      </c>
      <c r="DC198" s="79" t="str">
        <f t="shared" si="74"/>
        <v/>
      </c>
      <c r="DD198" s="79" t="str">
        <f t="shared" si="75"/>
        <v/>
      </c>
      <c r="DE198" s="79" t="str">
        <f t="shared" si="76"/>
        <v/>
      </c>
      <c r="DF198" s="79" t="str">
        <f t="shared" si="77"/>
        <v/>
      </c>
      <c r="DG198" s="79" t="str">
        <f t="shared" si="78"/>
        <v/>
      </c>
      <c r="DH198" s="76"/>
      <c r="DI198" s="78"/>
      <c r="DJ198" s="76"/>
      <c r="DK198" s="77"/>
      <c r="DL198" s="77"/>
      <c r="DM198" s="77"/>
      <c r="DN198" s="80"/>
      <c r="DO198" s="80"/>
      <c r="DP198" s="92" t="str">
        <f>IF(Table1[Start Date]="","",IF(Table1[Start Date]&gt;42185,"",IF(AND(Table1[Leaving Date]&gt;1,Table1[Leaving Date]&lt;42095),"",1)))</f>
        <v/>
      </c>
      <c r="DQ198" s="92" t="str">
        <f>IF(Table1[Start Date]="","",IF(Table1[Start Date]&gt;42277,"",IF(AND(Table1[Leaving Date]&gt;1,Table1[Leaving Date]&lt;42186),"",1)))</f>
        <v/>
      </c>
      <c r="DR198" s="92" t="str">
        <f>IF(Table1[Start Date]="","",IF(Table1[Start Date]&gt;42369,"",IF(AND(Table1[Leaving Date]&gt;1,Table1[Leaving Date]&lt;42278),"",1)))</f>
        <v/>
      </c>
      <c r="DS198" s="92" t="str">
        <f>IF(Table1[Start Date]="","",IF(Table1[Start Date]&gt;42460,"",IF(AND(Table1[Leaving Date]&gt;1,Table1[Leaving Date]&lt;42370),"",1)))</f>
        <v/>
      </c>
      <c r="DT198" s="92" t="str">
        <f>IF(Table1[Start Date]="","",IF(Table1[Start Date]&gt;42551,"",IF(AND(Table1[Leaving Date]&gt;1,Table1[Leaving Date]&lt;42461),"",1)))</f>
        <v/>
      </c>
      <c r="DU198" s="92" t="str">
        <f>IF(Table1[Start Date]="","",IF(Table1[Start Date]&gt;42643,"",IF(AND(Table1[Leaving Date]&gt;1,Table1[Leaving Date]&lt;42552),"",1)))</f>
        <v/>
      </c>
      <c r="DV198" s="92" t="str">
        <f>IF(Table1[Start Date]="","",IF(Table1[Start Date]&gt;42735,"",IF(AND(Table1[Leaving Date]&gt;1,Table1[Leaving Date]&lt;42644),"",1)))</f>
        <v/>
      </c>
      <c r="DW198" s="92" t="str">
        <f>IF(Table1[Start Date]="","",IF(Table1[Start Date]&gt;42825,"",IF(AND(Table1[Leaving Date]&gt;1,Table1[Leaving Date]&lt;42736),"",1)))</f>
        <v/>
      </c>
      <c r="DX198"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198" s="44" t="e">
        <f>VLOOKUP(Table1[Referral Source],Lists!$G$2:$H$20,2,FALSE)</f>
        <v>#N/A</v>
      </c>
      <c r="DZ198" s="93" t="e">
        <f>SUM(Table1[Data Referral Quarter]+Table1[Data Referral Source])</f>
        <v>#N/A</v>
      </c>
      <c r="EA198" s="44" t="b">
        <f>IF(Table1[Referral Decision]="Accepted",100,IF(Table1[Referral Decision]="Rejected by Provider",200,IF(Table1[Referral Decision]="Rejected by Applicant",300)))</f>
        <v>0</v>
      </c>
      <c r="EB198" s="44">
        <f>SUM(Table1[Data Referral Quarter]+Table1[Data Referral Decision])</f>
        <v>0</v>
      </c>
      <c r="EC198" s="44" t="b">
        <f>IF(Table1[Start Date]&gt;42735,8000,IF(Table1[Start Date]&gt;42643,7000,IF(Table1[Start Date]&gt;42551,6000,IF(Table1[Start Date]&gt;42460,5000,IF(Table1[Start Date]&gt;42369,4000,IF(Table1[Start Date]&gt;42277,3000,IF(Table1[Start Date]&gt;42185,2000,IF(Table1[Start Date]&gt;42094,1000))))))))</f>
        <v>0</v>
      </c>
      <c r="ED198" s="44" t="str">
        <f>IF(Table1[Start Date]="","",IF(Table1[Current Local Authority]="Swindon",1,"2"))</f>
        <v/>
      </c>
      <c r="EE198" s="44" t="e">
        <f>SUM(Table1[Data Start Date]+Table1[Data Local Authority])</f>
        <v>#VALUE!</v>
      </c>
      <c r="EF198" s="44">
        <f>IF(Table1[Registered with GP]="Yes",1,0)</f>
        <v>0</v>
      </c>
      <c r="EG198" s="44">
        <f>SUM(Table1[Data Start Date]+Table1[Data GP Start])</f>
        <v>0</v>
      </c>
      <c r="EH198" s="44" t="str">
        <f>IF(Table1[EET]="NEET",1,IF(Table1[EET]="Education",2,IF(Table1[EET]="Employment",2,IF(Table1[EET]="Training",2,IF(Table1[EET]="Retired",3,"")))))</f>
        <v/>
      </c>
      <c r="EI198" s="44" t="e">
        <f>Table1[Data Start Date]+Table1[Data EET Start]</f>
        <v>#VALUE!</v>
      </c>
      <c r="EJ198" s="44" t="b">
        <f>IF(Table1[Leaving Date]&gt;42735,8000,IF(Table1[Leaving Date]&gt;42643,7000,IF(Table1[Leaving Date]&gt;42551,6000,IF(Table1[Leaving Date]&gt;42460,5000,IF(Table1[Leaving Date]&gt;42369,4000,IF(Table1[Leaving Date]&gt;42277,3000,IF(Table1[Leaving Date]&gt;42185,2000,IF(Table1[Leaving Date]&gt;42094,1000))))))))</f>
        <v>0</v>
      </c>
      <c r="EK198" s="44" t="e">
        <f>VLOOKUP(Table1[Reason for Leaving],Lists!$T$2:$U$15,2,FALSE)</f>
        <v>#N/A</v>
      </c>
      <c r="EL198" s="44" t="e">
        <f>SUM(Table1[Data Leavers Date]+Table1[Data Move On])</f>
        <v>#N/A</v>
      </c>
      <c r="EM198" s="44" t="b">
        <f>IF(Table1[Registered with GP2]="Yes",1,IF(Table1[Registered with GP2]="No",0,IF(Table1[Registered with GP]="Yes",1,IF(Table1[Registered with GP]="No",0))))</f>
        <v>0</v>
      </c>
      <c r="EN198" s="44">
        <f>SUM(Table1[Data Leavers Date]+Table1[Data GP End])</f>
        <v>0</v>
      </c>
      <c r="EO198" s="44" t="str">
        <f>IF(Table1[EET2]="NEET",1,IF(Table1[EET2]="Employment",2,IF(Table1[EET2]="Education",2,IF(Table1[EET2]="Training",2,IF(Table1[EET2]="Retired",3,IF(Table1[EET]="NEET",1,IF(Table1[EET]="Employment",2,IF(Table1[EET]="Education",2,IF(Table1[EET]="Training",2,IF(Table1[EET]="Retired",3,""))))))))))</f>
        <v/>
      </c>
      <c r="EP198" s="44" t="e">
        <f>+Table1[[#This Row],[Data Leavers Date]]+Table1[[#This Row],[Data EET End]]</f>
        <v>#VALUE!</v>
      </c>
      <c r="EQ198" s="44">
        <f>IF(Table1[Exit Form Received]="Yes",1,0)</f>
        <v>0</v>
      </c>
      <c r="ER198" s="44">
        <f>+Table1[[#This Row],[Data Leavers Date]]+Table1[[#This Row],[Data Exit Forms]]</f>
        <v>0</v>
      </c>
      <c r="ES198" s="44" t="str">
        <f>IF(Table1[Data Leavers Date]=1000,SUM(Table1[Leaving Date]-Table1[Start Date]),"")</f>
        <v/>
      </c>
      <c r="ET198" s="44" t="str">
        <f>IF(Table1[Data Leavers Date]=2000,SUM(Table1[Leaving Date]-Table1[Start Date]),"")</f>
        <v/>
      </c>
      <c r="EU198" s="44" t="str">
        <f>IF(Table1[Data Leavers Date]=3000,SUM(Table1[Leaving Date]-Table1[Start Date]),"")</f>
        <v/>
      </c>
      <c r="EV198" s="44" t="str">
        <f>IF(Table1[Data Leavers Date]=4000,SUM(Table1[Leaving Date]-Table1[Start Date]),"")</f>
        <v/>
      </c>
      <c r="EW198" s="44" t="str">
        <f>IF(Table1[Data Leavers Date]=5000,SUM(Table1[Leaving Date]-Table1[Start Date]),"")</f>
        <v/>
      </c>
      <c r="EX198" s="44" t="str">
        <f>IF(Table1[Data Leavers Date]=6000,SUM(Table1[Leaving Date]-Table1[Start Date]),"")</f>
        <v/>
      </c>
      <c r="EY198" s="44" t="str">
        <f>IF(Table1[Data Leavers Date]=7000,SUM(Table1[Leaving Date]-Table1[Start Date]),"")</f>
        <v/>
      </c>
      <c r="EZ198" s="44" t="str">
        <f>IF(Table1[Data Leavers Date]=8000,SUM(Table1[Leaving Date]-Table1[Start Date]),"")</f>
        <v/>
      </c>
      <c r="FA198" s="44" t="str">
        <f>IF(Table1[Date of Initial Assessment]="","",IF(AND(Table1[Start Date]&gt;42094,Table1[Start Date]&lt;42461),Table1[Motivation and Taking Responsibility],""))</f>
        <v/>
      </c>
      <c r="FB198" s="44" t="str">
        <f>IF(Table1[Date of Initial Assessment]="","",IF(AND(Table1[Start Date]&gt;42094,Table1[Start Date]&lt;42461),Table1[Self-Care and Living Skills],""))</f>
        <v/>
      </c>
      <c r="FC198" s="44" t="str">
        <f>IF(Table1[Date of Initial Assessment]="","",IF(AND(Table1[Start Date]&gt;42094,Table1[Start Date]&lt;42461),Table1[Managing Money and Personal Administration],""))</f>
        <v/>
      </c>
      <c r="FD198" s="44" t="str">
        <f>IF(Table1[Date of Initial Assessment]="","",IF(AND(Table1[Start Date]&gt;42094,Table1[Start Date]&lt;42461),Table1[Social Networks and Relationships],""))</f>
        <v/>
      </c>
      <c r="FE198" s="44" t="str">
        <f>IF(Table1[Date of Initial Assessment]="","",IF(AND(Table1[Start Date]&gt;42094,Table1[Start Date]&lt;42461),Table1[Drug and Alcohol Misuse],""))</f>
        <v/>
      </c>
      <c r="FF198" s="44" t="str">
        <f>IF(Table1[Date of Initial Assessment]="","",IF(AND(Table1[Start Date]&gt;42094,Table1[Start Date]&lt;42461),Table1[Physical Health],""))</f>
        <v/>
      </c>
      <c r="FG198" s="44" t="str">
        <f>IF(Table1[Date of Initial Assessment]="","",IF(AND(Table1[Start Date]&gt;42094,Table1[Start Date]&lt;42461),Table1[Emotional and Mental Health],""))</f>
        <v/>
      </c>
      <c r="FH198" s="44" t="str">
        <f>IF(Table1[Date of Initial Assessment]="","",IF(AND(Table1[Start Date]&gt;42094,Table1[Start Date]&lt;42461),Table1[Meaningful Use of Time],""))</f>
        <v/>
      </c>
      <c r="FI198" s="44" t="str">
        <f>IF(Table1[Date of Initial Assessment]="","",IF(AND(Table1[Start Date]&gt;42094,Table1[Start Date]&lt;42461),Table1[Managing Tenancy and Accommodation],""))</f>
        <v/>
      </c>
      <c r="FJ198" s="44" t="str">
        <f>IF(Table1[Date of Initial Assessment]="","",IF(AND(Table1[Start Date]&gt;42094,Table1[Start Date]&lt;42461),Table1[Offending],""))</f>
        <v/>
      </c>
      <c r="FK198" s="44" t="str">
        <f>IF(Table1[Leaving Date]="","",IF(Table1[Date of Initial Assessment]="","",IF(AND(Table1[Leaving Date]&gt;42094,Table1[Leaving Date]&lt;42461),IF(Table1[Date of Last Assessment]="",Table1[Motivation and Taking Responsibility],Table1[Motivation and Taking Responsibility2]),"")))</f>
        <v/>
      </c>
      <c r="FL198" s="44" t="str">
        <f>IF(Table1[Leaving Date]="","",IF(Table1[Date of Initial Assessment]="","",IF(AND(Table1[Leaving Date]&gt;42094,Table1[Leaving Date]&lt;42461),IF(Table1[Date of Last Assessment]="",Table1[Self-Care and Living Skills],Table1[Self-Care and Living Skills2]),"")))</f>
        <v/>
      </c>
      <c r="FM198" s="44" t="str">
        <f>IF(Table1[Leaving Date]="","",IF(Table1[Date of Initial Assessment]="","",IF(AND(Table1[Leaving Date]&gt;42094,Table1[Leaving Date]&lt;42461),IF(Table1[Date of Last Assessment]="",Table1[Managing Money and Personal Administration],Table1[Managing Money and Personal Administration2]),"")))</f>
        <v/>
      </c>
      <c r="FN198" s="44" t="str">
        <f>IF(Table1[Leaving Date]="","",IF(Table1[Date of Initial Assessment]="","",IF(AND(Table1[Leaving Date]&gt;42094,Table1[Leaving Date]&lt;42461),IF(Table1[Date of Last Assessment]="",Table1[Social Networks and Relationships],Table1[Social Networks and Relationships2]),"")))</f>
        <v/>
      </c>
      <c r="FO198" s="44" t="str">
        <f>IF(Table1[Leaving Date]="","",IF(Table1[Date of Initial Assessment]="","",IF(AND(Table1[Leaving Date]&gt;42094,Table1[Leaving Date]&lt;42461),IF(Table1[Date of Last Assessment]="",Table1[Drug and Alcohol Misuse],Table1[Drug and Alcohol Misuse2]),"")))</f>
        <v/>
      </c>
      <c r="FP198" s="44" t="str">
        <f>IF(Table1[Leaving Date]="","",IF(Table1[Date of Initial Assessment]="","",IF(AND(Table1[Leaving Date]&gt;42094,Table1[Leaving Date]&lt;42461),IF(Table1[Date of Last Assessment]="",Table1[Physical Health],Table1[Physical Health2]),"")))</f>
        <v/>
      </c>
      <c r="FQ198" s="44" t="str">
        <f>IF(Table1[Leaving Date]="","",IF(Table1[Date of Initial Assessment]="","",IF(AND(Table1[Leaving Date]&gt;42094,Table1[Leaving Date]&lt;42461),IF(Table1[Date of Last Assessment]="",Table1[Emotional and Mental Health],Table1[Emotional and Mental Health2]),"")))</f>
        <v/>
      </c>
      <c r="FR198" s="44" t="str">
        <f>IF(Table1[Leaving Date]="","",IF(Table1[Date of Initial Assessment]="","",IF(AND(Table1[Leaving Date]&gt;42094,Table1[Leaving Date]&lt;42461),IF(Table1[Date of Last Assessment]="",Table1[Meaningful Use of Time],Table1[Meaningful Use of Time2]),"")))</f>
        <v/>
      </c>
      <c r="FS198" s="44" t="str">
        <f>IF(Table1[Leaving Date]="","",IF(Table1[Date of Initial Assessment]="","",IF(AND(Table1[Leaving Date]&gt;42094,Table1[Leaving Date]&lt;42461),IF(Table1[Date of Last Assessment]="",Table1[Managing Tenancy and Accommodation],Table1[Managing Tenancy and Accommodation2]),"")))</f>
        <v/>
      </c>
      <c r="FT198" s="44" t="str">
        <f>IF(Table1[Leaving Date]="","",IF(Table1[Date of Initial Assessment]="","",IF(AND(Table1[Leaving Date]&gt;42094,Table1[Leaving Date]&lt;42461),IF(Table1[Date of Last Assessment]="",Table1[Offending],Table1[Offending2]),"")))</f>
        <v/>
      </c>
      <c r="FU198" s="44" t="str">
        <f>IF(Table1[Date of Initial Assessment]="","",IF(AND(Table1[Start Date]&gt;42460,Table1[Start Date]&lt;42826),Table1[Motivation and Taking Responsibility],""))</f>
        <v/>
      </c>
      <c r="FV198" s="44" t="str">
        <f>IF(Table1[Date of Initial Assessment]="","",IF(AND(Table1[Start Date]&gt;42460,Table1[Start Date]&lt;42826),Table1[Self-Care and Living Skills],""))</f>
        <v/>
      </c>
      <c r="FW198" s="44" t="str">
        <f>IF(Table1[Date of Initial Assessment]="","",IF(AND(Table1[Start Date]&gt;42460,Table1[Start Date]&lt;42826),Table1[Managing Money and Personal Administration],""))</f>
        <v/>
      </c>
      <c r="FX198" s="44" t="str">
        <f>IF(Table1[Date of Initial Assessment]="","",IF(AND(Table1[Start Date]&gt;42460,Table1[Start Date]&lt;42826),Table1[Social Networks and Relationships],""))</f>
        <v/>
      </c>
      <c r="FY198" s="44" t="str">
        <f>IF(Table1[Date of Initial Assessment]="","",IF(AND(Table1[Start Date]&gt;42460,Table1[Start Date]&lt;42826),Table1[Drug and Alcohol Misuse],""))</f>
        <v/>
      </c>
      <c r="FZ198" s="44" t="str">
        <f>IF(Table1[Date of Initial Assessment]="","",IF(AND(Table1[Start Date]&gt;42460,Table1[Start Date]&lt;42826),Table1[Physical Health],""))</f>
        <v/>
      </c>
      <c r="GA198" s="44" t="str">
        <f>IF(Table1[Date of Initial Assessment]="","",IF(AND(Table1[Start Date]&gt;42460,Table1[Start Date]&lt;42826),Table1[Emotional and Mental Health],""))</f>
        <v/>
      </c>
      <c r="GB198" s="44" t="str">
        <f>IF(Table1[Date of Initial Assessment]="","",IF(AND(Table1[Start Date]&gt;42460,Table1[Start Date]&lt;42826),Table1[Meaningful Use of Time],""))</f>
        <v/>
      </c>
      <c r="GC198" s="44" t="str">
        <f>IF(Table1[Date of Initial Assessment]="","",IF(AND(Table1[Start Date]&gt;42460,Table1[Start Date]&lt;42826),Table1[Managing Tenancy and Accommodation],""))</f>
        <v/>
      </c>
      <c r="GD198" s="44" t="str">
        <f>IF(Table1[Date of Initial Assessment]="","",IF(AND(Table1[Start Date]&gt;42460,Table1[Start Date]&lt;42826),Table1[Offending],""))</f>
        <v/>
      </c>
      <c r="GE198" s="44" t="str">
        <f>IF(Table1[Leaving Date]="","",IF(AND(Table1[Leaving Date]&gt;42460,Table1[Leaving Date]&lt;42826),IF(Table1[Date of Last Assessment]="",Table1[Motivation and Taking Responsibility],Table1[Motivation and Taking Responsibility2]),""))</f>
        <v/>
      </c>
      <c r="GF198" s="44" t="str">
        <f>IF(Table1[Leaving Date]="","",IF(AND(Table1[Leaving Date]&gt;42460,Table1[Leaving Date]&lt;42826),IF(Table1[Date of Last Assessment]="",Table1[Self-Care and Living Skills],Table1[Self-Care and Living Skills2]),""))</f>
        <v/>
      </c>
      <c r="GG198" s="44" t="str">
        <f>IF(Table1[Leaving Date]="","",IF(AND(Table1[Leaving Date]&gt;42460,Table1[Leaving Date]&lt;42826),IF(Table1[Date of Last Assessment]="",Table1[Managing Money and Personal Administration],Table1[Managing Money and Personal Administration2]),""))</f>
        <v/>
      </c>
      <c r="GH198" s="44" t="str">
        <f>IF(Table1[Leaving Date]="","",IF(AND(Table1[Leaving Date]&gt;42460,Table1[Leaving Date]&lt;42826),IF(Table1[Date of Last Assessment]="",Table1[Social Networks and Relationships],Table1[Social Networks and Relationships2]),""))</f>
        <v/>
      </c>
      <c r="GI198" s="44" t="str">
        <f>IF(Table1[Leaving Date]="","",IF(AND(Table1[Leaving Date]&gt;42460,Table1[Leaving Date]&lt;42826),IF(Table1[Date of Last Assessment]="",Table1[Drug and Alcohol Misuse],Table1[Drug and Alcohol Misuse2]),""))</f>
        <v/>
      </c>
      <c r="GJ198" s="44" t="str">
        <f>IF(Table1[Leaving Date]="","",IF(AND(Table1[Leaving Date]&gt;42460,Table1[Leaving Date]&lt;42826),IF(Table1[Date of Last Assessment]="",Table1[Physical Health],Table1[Physical Health2]),""))</f>
        <v/>
      </c>
      <c r="GK198" s="44" t="str">
        <f>IF(Table1[Leaving Date]="","",IF(AND(Table1[Leaving Date]&gt;42460,Table1[Leaving Date]&lt;42826),IF(Table1[Date of Last Assessment]="",Table1[Emotional and Mental Health],Table1[Emotional and Mental Health2]),""))</f>
        <v/>
      </c>
      <c r="GL198" s="44" t="str">
        <f>IF(Table1[Leaving Date]="","",IF(AND(Table1[Leaving Date]&gt;42460,Table1[Leaving Date]&lt;42826),IF(Table1[Date of Last Assessment]="",Table1[Meaningful Use of Time],Table1[Meaningful Use of Time2]),""))</f>
        <v/>
      </c>
      <c r="GM198" s="44" t="str">
        <f>IF(Table1[Leaving Date]="","",IF(AND(Table1[Leaving Date]&gt;42460,Table1[Leaving Date]&lt;42826),IF(Table1[Date of Last Assessment]="",Table1[Managing Tenancy and Accommodation],Table1[Managing Tenancy and Accommodation2]),""))</f>
        <v/>
      </c>
      <c r="GN198" s="44" t="str">
        <f>IF(Table1[Leaving Date]="","",IF(AND(Table1[Leaving Date]&gt;42460,Table1[Leaving Date]&lt;42826),IF(Table1[Date of Last Assessment]="",Table1[Offending],Table1[Offending2]),""))</f>
        <v/>
      </c>
    </row>
    <row r="199" spans="2:196" ht="20.100000000000001" customHeight="1" x14ac:dyDescent="0.2">
      <c r="B199" s="86">
        <f>+'Service Data'!$C$5:$C$5</f>
        <v>0</v>
      </c>
      <c r="C199" s="86"/>
      <c r="D199" s="86"/>
      <c r="E199" s="86"/>
      <c r="F199" s="86"/>
      <c r="G199" s="86"/>
      <c r="H199" s="6"/>
      <c r="I199" s="99" t="str">
        <f ca="1">IF(Table1[[#This Row],[Date of Birth]]="","",SUM(TODAY()-Table1[[#This Row],[Date of Birth]])/365)</f>
        <v/>
      </c>
      <c r="L199" s="86"/>
      <c r="M199" s="77"/>
      <c r="N199" s="86"/>
      <c r="O199" s="86"/>
      <c r="P199" s="91"/>
      <c r="Q199" s="86"/>
      <c r="R199" s="77"/>
      <c r="S199" s="77"/>
      <c r="T199" s="68"/>
      <c r="U199" s="68"/>
      <c r="V199" s="67"/>
      <c r="W199" s="67"/>
      <c r="X199" s="67"/>
      <c r="Y199" s="67"/>
      <c r="Z199" s="67"/>
      <c r="AA199" s="67"/>
      <c r="AB199" s="67"/>
      <c r="AC199" s="67"/>
      <c r="AD199" s="67"/>
      <c r="AE199" s="67"/>
      <c r="AF199" s="67"/>
      <c r="AG199" s="67"/>
      <c r="AH199" s="67"/>
      <c r="AI199" s="67"/>
      <c r="AJ199" s="67"/>
      <c r="AK199" s="67"/>
      <c r="AL199" s="67"/>
      <c r="AM199" s="67"/>
      <c r="AN199" s="77"/>
      <c r="AO199" s="76"/>
      <c r="AP199" s="77"/>
      <c r="AQ199" s="76"/>
      <c r="AR199" s="76"/>
      <c r="AS199" s="76"/>
      <c r="AT199" s="76"/>
      <c r="AU199" s="76"/>
      <c r="AV199" s="77"/>
      <c r="AW199" s="76"/>
      <c r="AX199" s="77"/>
      <c r="AY199" s="76"/>
      <c r="AZ199" s="76"/>
      <c r="BA199" s="76"/>
      <c r="BB199" s="76"/>
      <c r="BC199" s="76"/>
      <c r="BD199" s="77"/>
      <c r="BE199" s="76"/>
      <c r="BF199" s="77"/>
      <c r="BG199" s="76"/>
      <c r="BH199" s="76"/>
      <c r="BI199" s="76"/>
      <c r="BJ199" s="76"/>
      <c r="BK199" s="76"/>
      <c r="BL199" s="77"/>
      <c r="BM199" s="76"/>
      <c r="BN199" s="77"/>
      <c r="BO199" s="76"/>
      <c r="BP199" s="76"/>
      <c r="BQ199" s="76"/>
      <c r="BR199" s="76"/>
      <c r="BS199" s="76"/>
      <c r="BT199" s="77"/>
      <c r="BU199" s="76"/>
      <c r="BV199" s="77"/>
      <c r="BW199" s="76"/>
      <c r="BX199" s="76"/>
      <c r="BY199" s="76"/>
      <c r="BZ199" s="76"/>
      <c r="CA199" s="76"/>
      <c r="CB199" s="77"/>
      <c r="CC199" s="76"/>
      <c r="CD199" s="77"/>
      <c r="CE199" s="76"/>
      <c r="CF199" s="76"/>
      <c r="CG199" s="76"/>
      <c r="CH199" s="76"/>
      <c r="CI199" s="76"/>
      <c r="CJ199" s="77"/>
      <c r="CK199" s="76"/>
      <c r="CL199" s="77"/>
      <c r="CM199" s="76"/>
      <c r="CN199" s="76"/>
      <c r="CO199" s="76"/>
      <c r="CP199" s="76"/>
      <c r="CQ199" s="76"/>
      <c r="CR199" s="78" t="str">
        <f t="shared" si="63"/>
        <v/>
      </c>
      <c r="CS199" s="79" t="str">
        <f t="shared" si="64"/>
        <v/>
      </c>
      <c r="CT199" s="79" t="str">
        <f t="shared" si="65"/>
        <v/>
      </c>
      <c r="CU199" s="79" t="str">
        <f t="shared" si="66"/>
        <v/>
      </c>
      <c r="CV199" s="79" t="str">
        <f t="shared" si="67"/>
        <v/>
      </c>
      <c r="CW199" s="79" t="str">
        <f t="shared" si="68"/>
        <v/>
      </c>
      <c r="CX199" s="79" t="str">
        <f t="shared" si="69"/>
        <v/>
      </c>
      <c r="CY199" s="79" t="str">
        <f t="shared" si="70"/>
        <v/>
      </c>
      <c r="CZ199" s="79" t="str">
        <f t="shared" si="71"/>
        <v/>
      </c>
      <c r="DA199" s="79" t="str">
        <f t="shared" si="72"/>
        <v/>
      </c>
      <c r="DB199" s="79" t="str">
        <f t="shared" si="73"/>
        <v/>
      </c>
      <c r="DC199" s="79" t="str">
        <f t="shared" si="74"/>
        <v/>
      </c>
      <c r="DD199" s="79" t="str">
        <f t="shared" si="75"/>
        <v/>
      </c>
      <c r="DE199" s="79" t="str">
        <f t="shared" si="76"/>
        <v/>
      </c>
      <c r="DF199" s="79" t="str">
        <f t="shared" si="77"/>
        <v/>
      </c>
      <c r="DG199" s="79" t="str">
        <f t="shared" si="78"/>
        <v/>
      </c>
      <c r="DH199" s="76"/>
      <c r="DI199" s="78"/>
      <c r="DJ199" s="76"/>
      <c r="DK199" s="77"/>
      <c r="DL199" s="77"/>
      <c r="DM199" s="77"/>
      <c r="DN199" s="80"/>
      <c r="DO199" s="80"/>
      <c r="DP199" s="92" t="str">
        <f>IF(Table1[Start Date]="","",IF(Table1[Start Date]&gt;42185,"",IF(AND(Table1[Leaving Date]&gt;1,Table1[Leaving Date]&lt;42095),"",1)))</f>
        <v/>
      </c>
      <c r="DQ199" s="92" t="str">
        <f>IF(Table1[Start Date]="","",IF(Table1[Start Date]&gt;42277,"",IF(AND(Table1[Leaving Date]&gt;1,Table1[Leaving Date]&lt;42186),"",1)))</f>
        <v/>
      </c>
      <c r="DR199" s="92" t="str">
        <f>IF(Table1[Start Date]="","",IF(Table1[Start Date]&gt;42369,"",IF(AND(Table1[Leaving Date]&gt;1,Table1[Leaving Date]&lt;42278),"",1)))</f>
        <v/>
      </c>
      <c r="DS199" s="92" t="str">
        <f>IF(Table1[Start Date]="","",IF(Table1[Start Date]&gt;42460,"",IF(AND(Table1[Leaving Date]&gt;1,Table1[Leaving Date]&lt;42370),"",1)))</f>
        <v/>
      </c>
      <c r="DT199" s="92" t="str">
        <f>IF(Table1[Start Date]="","",IF(Table1[Start Date]&gt;42551,"",IF(AND(Table1[Leaving Date]&gt;1,Table1[Leaving Date]&lt;42461),"",1)))</f>
        <v/>
      </c>
      <c r="DU199" s="92" t="str">
        <f>IF(Table1[Start Date]="","",IF(Table1[Start Date]&gt;42643,"",IF(AND(Table1[Leaving Date]&gt;1,Table1[Leaving Date]&lt;42552),"",1)))</f>
        <v/>
      </c>
      <c r="DV199" s="92" t="str">
        <f>IF(Table1[Start Date]="","",IF(Table1[Start Date]&gt;42735,"",IF(AND(Table1[Leaving Date]&gt;1,Table1[Leaving Date]&lt;42644),"",1)))</f>
        <v/>
      </c>
      <c r="DW199" s="92" t="str">
        <f>IF(Table1[Start Date]="","",IF(Table1[Start Date]&gt;42825,"",IF(AND(Table1[Leaving Date]&gt;1,Table1[Leaving Date]&lt;42736),"",1)))</f>
        <v/>
      </c>
      <c r="DX199"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199" s="44" t="e">
        <f>VLOOKUP(Table1[Referral Source],Lists!$G$2:$H$20,2,FALSE)</f>
        <v>#N/A</v>
      </c>
      <c r="DZ199" s="93" t="e">
        <f>SUM(Table1[Data Referral Quarter]+Table1[Data Referral Source])</f>
        <v>#N/A</v>
      </c>
      <c r="EA199" s="44" t="b">
        <f>IF(Table1[Referral Decision]="Accepted",100,IF(Table1[Referral Decision]="Rejected by Provider",200,IF(Table1[Referral Decision]="Rejected by Applicant",300)))</f>
        <v>0</v>
      </c>
      <c r="EB199" s="44">
        <f>SUM(Table1[Data Referral Quarter]+Table1[Data Referral Decision])</f>
        <v>0</v>
      </c>
      <c r="EC199" s="44" t="b">
        <f>IF(Table1[Start Date]&gt;42735,8000,IF(Table1[Start Date]&gt;42643,7000,IF(Table1[Start Date]&gt;42551,6000,IF(Table1[Start Date]&gt;42460,5000,IF(Table1[Start Date]&gt;42369,4000,IF(Table1[Start Date]&gt;42277,3000,IF(Table1[Start Date]&gt;42185,2000,IF(Table1[Start Date]&gt;42094,1000))))))))</f>
        <v>0</v>
      </c>
      <c r="ED199" s="44" t="str">
        <f>IF(Table1[Start Date]="","",IF(Table1[Current Local Authority]="Swindon",1,"2"))</f>
        <v/>
      </c>
      <c r="EE199" s="44" t="e">
        <f>SUM(Table1[Data Start Date]+Table1[Data Local Authority])</f>
        <v>#VALUE!</v>
      </c>
      <c r="EF199" s="44">
        <f>IF(Table1[Registered with GP]="Yes",1,0)</f>
        <v>0</v>
      </c>
      <c r="EG199" s="44">
        <f>SUM(Table1[Data Start Date]+Table1[Data GP Start])</f>
        <v>0</v>
      </c>
      <c r="EH199" s="44" t="str">
        <f>IF(Table1[EET]="NEET",1,IF(Table1[EET]="Education",2,IF(Table1[EET]="Employment",2,IF(Table1[EET]="Training",2,IF(Table1[EET]="Retired",3,"")))))</f>
        <v/>
      </c>
      <c r="EI199" s="44" t="e">
        <f>Table1[Data Start Date]+Table1[Data EET Start]</f>
        <v>#VALUE!</v>
      </c>
      <c r="EJ199" s="44" t="b">
        <f>IF(Table1[Leaving Date]&gt;42735,8000,IF(Table1[Leaving Date]&gt;42643,7000,IF(Table1[Leaving Date]&gt;42551,6000,IF(Table1[Leaving Date]&gt;42460,5000,IF(Table1[Leaving Date]&gt;42369,4000,IF(Table1[Leaving Date]&gt;42277,3000,IF(Table1[Leaving Date]&gt;42185,2000,IF(Table1[Leaving Date]&gt;42094,1000))))))))</f>
        <v>0</v>
      </c>
      <c r="EK199" s="44" t="e">
        <f>VLOOKUP(Table1[Reason for Leaving],Lists!$T$2:$U$15,2,FALSE)</f>
        <v>#N/A</v>
      </c>
      <c r="EL199" s="44" t="e">
        <f>SUM(Table1[Data Leavers Date]+Table1[Data Move On])</f>
        <v>#N/A</v>
      </c>
      <c r="EM199" s="44" t="b">
        <f>IF(Table1[Registered with GP2]="Yes",1,IF(Table1[Registered with GP2]="No",0,IF(Table1[Registered with GP]="Yes",1,IF(Table1[Registered with GP]="No",0))))</f>
        <v>0</v>
      </c>
      <c r="EN199" s="44">
        <f>SUM(Table1[Data Leavers Date]+Table1[Data GP End])</f>
        <v>0</v>
      </c>
      <c r="EO199" s="44" t="str">
        <f>IF(Table1[EET2]="NEET",1,IF(Table1[EET2]="Employment",2,IF(Table1[EET2]="Education",2,IF(Table1[EET2]="Training",2,IF(Table1[EET2]="Retired",3,IF(Table1[EET]="NEET",1,IF(Table1[EET]="Employment",2,IF(Table1[EET]="Education",2,IF(Table1[EET]="Training",2,IF(Table1[EET]="Retired",3,""))))))))))</f>
        <v/>
      </c>
      <c r="EP199" s="44" t="e">
        <f>+Table1[[#This Row],[Data Leavers Date]]+Table1[[#This Row],[Data EET End]]</f>
        <v>#VALUE!</v>
      </c>
      <c r="EQ199" s="44">
        <f>IF(Table1[Exit Form Received]="Yes",1,0)</f>
        <v>0</v>
      </c>
      <c r="ER199" s="44">
        <f>+Table1[[#This Row],[Data Leavers Date]]+Table1[[#This Row],[Data Exit Forms]]</f>
        <v>0</v>
      </c>
      <c r="ES199" s="44" t="str">
        <f>IF(Table1[Data Leavers Date]=1000,SUM(Table1[Leaving Date]-Table1[Start Date]),"")</f>
        <v/>
      </c>
      <c r="ET199" s="44" t="str">
        <f>IF(Table1[Data Leavers Date]=2000,SUM(Table1[Leaving Date]-Table1[Start Date]),"")</f>
        <v/>
      </c>
      <c r="EU199" s="44" t="str">
        <f>IF(Table1[Data Leavers Date]=3000,SUM(Table1[Leaving Date]-Table1[Start Date]),"")</f>
        <v/>
      </c>
      <c r="EV199" s="44" t="str">
        <f>IF(Table1[Data Leavers Date]=4000,SUM(Table1[Leaving Date]-Table1[Start Date]),"")</f>
        <v/>
      </c>
      <c r="EW199" s="44" t="str">
        <f>IF(Table1[Data Leavers Date]=5000,SUM(Table1[Leaving Date]-Table1[Start Date]),"")</f>
        <v/>
      </c>
      <c r="EX199" s="44" t="str">
        <f>IF(Table1[Data Leavers Date]=6000,SUM(Table1[Leaving Date]-Table1[Start Date]),"")</f>
        <v/>
      </c>
      <c r="EY199" s="44" t="str">
        <f>IF(Table1[Data Leavers Date]=7000,SUM(Table1[Leaving Date]-Table1[Start Date]),"")</f>
        <v/>
      </c>
      <c r="EZ199" s="44" t="str">
        <f>IF(Table1[Data Leavers Date]=8000,SUM(Table1[Leaving Date]-Table1[Start Date]),"")</f>
        <v/>
      </c>
      <c r="FA199" s="44" t="str">
        <f>IF(Table1[Date of Initial Assessment]="","",IF(AND(Table1[Start Date]&gt;42094,Table1[Start Date]&lt;42461),Table1[Motivation and Taking Responsibility],""))</f>
        <v/>
      </c>
      <c r="FB199" s="44" t="str">
        <f>IF(Table1[Date of Initial Assessment]="","",IF(AND(Table1[Start Date]&gt;42094,Table1[Start Date]&lt;42461),Table1[Self-Care and Living Skills],""))</f>
        <v/>
      </c>
      <c r="FC199" s="44" t="str">
        <f>IF(Table1[Date of Initial Assessment]="","",IF(AND(Table1[Start Date]&gt;42094,Table1[Start Date]&lt;42461),Table1[Managing Money and Personal Administration],""))</f>
        <v/>
      </c>
      <c r="FD199" s="44" t="str">
        <f>IF(Table1[Date of Initial Assessment]="","",IF(AND(Table1[Start Date]&gt;42094,Table1[Start Date]&lt;42461),Table1[Social Networks and Relationships],""))</f>
        <v/>
      </c>
      <c r="FE199" s="44" t="str">
        <f>IF(Table1[Date of Initial Assessment]="","",IF(AND(Table1[Start Date]&gt;42094,Table1[Start Date]&lt;42461),Table1[Drug and Alcohol Misuse],""))</f>
        <v/>
      </c>
      <c r="FF199" s="44" t="str">
        <f>IF(Table1[Date of Initial Assessment]="","",IF(AND(Table1[Start Date]&gt;42094,Table1[Start Date]&lt;42461),Table1[Physical Health],""))</f>
        <v/>
      </c>
      <c r="FG199" s="44" t="str">
        <f>IF(Table1[Date of Initial Assessment]="","",IF(AND(Table1[Start Date]&gt;42094,Table1[Start Date]&lt;42461),Table1[Emotional and Mental Health],""))</f>
        <v/>
      </c>
      <c r="FH199" s="44" t="str">
        <f>IF(Table1[Date of Initial Assessment]="","",IF(AND(Table1[Start Date]&gt;42094,Table1[Start Date]&lt;42461),Table1[Meaningful Use of Time],""))</f>
        <v/>
      </c>
      <c r="FI199" s="44" t="str">
        <f>IF(Table1[Date of Initial Assessment]="","",IF(AND(Table1[Start Date]&gt;42094,Table1[Start Date]&lt;42461),Table1[Managing Tenancy and Accommodation],""))</f>
        <v/>
      </c>
      <c r="FJ199" s="44" t="str">
        <f>IF(Table1[Date of Initial Assessment]="","",IF(AND(Table1[Start Date]&gt;42094,Table1[Start Date]&lt;42461),Table1[Offending],""))</f>
        <v/>
      </c>
      <c r="FK199" s="44" t="str">
        <f>IF(Table1[Leaving Date]="","",IF(Table1[Date of Initial Assessment]="","",IF(AND(Table1[Leaving Date]&gt;42094,Table1[Leaving Date]&lt;42461),IF(Table1[Date of Last Assessment]="",Table1[Motivation and Taking Responsibility],Table1[Motivation and Taking Responsibility2]),"")))</f>
        <v/>
      </c>
      <c r="FL199" s="44" t="str">
        <f>IF(Table1[Leaving Date]="","",IF(Table1[Date of Initial Assessment]="","",IF(AND(Table1[Leaving Date]&gt;42094,Table1[Leaving Date]&lt;42461),IF(Table1[Date of Last Assessment]="",Table1[Self-Care and Living Skills],Table1[Self-Care and Living Skills2]),"")))</f>
        <v/>
      </c>
      <c r="FM199" s="44" t="str">
        <f>IF(Table1[Leaving Date]="","",IF(Table1[Date of Initial Assessment]="","",IF(AND(Table1[Leaving Date]&gt;42094,Table1[Leaving Date]&lt;42461),IF(Table1[Date of Last Assessment]="",Table1[Managing Money and Personal Administration],Table1[Managing Money and Personal Administration2]),"")))</f>
        <v/>
      </c>
      <c r="FN199" s="44" t="str">
        <f>IF(Table1[Leaving Date]="","",IF(Table1[Date of Initial Assessment]="","",IF(AND(Table1[Leaving Date]&gt;42094,Table1[Leaving Date]&lt;42461),IF(Table1[Date of Last Assessment]="",Table1[Social Networks and Relationships],Table1[Social Networks and Relationships2]),"")))</f>
        <v/>
      </c>
      <c r="FO199" s="44" t="str">
        <f>IF(Table1[Leaving Date]="","",IF(Table1[Date of Initial Assessment]="","",IF(AND(Table1[Leaving Date]&gt;42094,Table1[Leaving Date]&lt;42461),IF(Table1[Date of Last Assessment]="",Table1[Drug and Alcohol Misuse],Table1[Drug and Alcohol Misuse2]),"")))</f>
        <v/>
      </c>
      <c r="FP199" s="44" t="str">
        <f>IF(Table1[Leaving Date]="","",IF(Table1[Date of Initial Assessment]="","",IF(AND(Table1[Leaving Date]&gt;42094,Table1[Leaving Date]&lt;42461),IF(Table1[Date of Last Assessment]="",Table1[Physical Health],Table1[Physical Health2]),"")))</f>
        <v/>
      </c>
      <c r="FQ199" s="44" t="str">
        <f>IF(Table1[Leaving Date]="","",IF(Table1[Date of Initial Assessment]="","",IF(AND(Table1[Leaving Date]&gt;42094,Table1[Leaving Date]&lt;42461),IF(Table1[Date of Last Assessment]="",Table1[Emotional and Mental Health],Table1[Emotional and Mental Health2]),"")))</f>
        <v/>
      </c>
      <c r="FR199" s="44" t="str">
        <f>IF(Table1[Leaving Date]="","",IF(Table1[Date of Initial Assessment]="","",IF(AND(Table1[Leaving Date]&gt;42094,Table1[Leaving Date]&lt;42461),IF(Table1[Date of Last Assessment]="",Table1[Meaningful Use of Time],Table1[Meaningful Use of Time2]),"")))</f>
        <v/>
      </c>
      <c r="FS199" s="44" t="str">
        <f>IF(Table1[Leaving Date]="","",IF(Table1[Date of Initial Assessment]="","",IF(AND(Table1[Leaving Date]&gt;42094,Table1[Leaving Date]&lt;42461),IF(Table1[Date of Last Assessment]="",Table1[Managing Tenancy and Accommodation],Table1[Managing Tenancy and Accommodation2]),"")))</f>
        <v/>
      </c>
      <c r="FT199" s="44" t="str">
        <f>IF(Table1[Leaving Date]="","",IF(Table1[Date of Initial Assessment]="","",IF(AND(Table1[Leaving Date]&gt;42094,Table1[Leaving Date]&lt;42461),IF(Table1[Date of Last Assessment]="",Table1[Offending],Table1[Offending2]),"")))</f>
        <v/>
      </c>
      <c r="FU199" s="44" t="str">
        <f>IF(Table1[Date of Initial Assessment]="","",IF(AND(Table1[Start Date]&gt;42460,Table1[Start Date]&lt;42826),Table1[Motivation and Taking Responsibility],""))</f>
        <v/>
      </c>
      <c r="FV199" s="44" t="str">
        <f>IF(Table1[Date of Initial Assessment]="","",IF(AND(Table1[Start Date]&gt;42460,Table1[Start Date]&lt;42826),Table1[Self-Care and Living Skills],""))</f>
        <v/>
      </c>
      <c r="FW199" s="44" t="str">
        <f>IF(Table1[Date of Initial Assessment]="","",IF(AND(Table1[Start Date]&gt;42460,Table1[Start Date]&lt;42826),Table1[Managing Money and Personal Administration],""))</f>
        <v/>
      </c>
      <c r="FX199" s="44" t="str">
        <f>IF(Table1[Date of Initial Assessment]="","",IF(AND(Table1[Start Date]&gt;42460,Table1[Start Date]&lt;42826),Table1[Social Networks and Relationships],""))</f>
        <v/>
      </c>
      <c r="FY199" s="44" t="str">
        <f>IF(Table1[Date of Initial Assessment]="","",IF(AND(Table1[Start Date]&gt;42460,Table1[Start Date]&lt;42826),Table1[Drug and Alcohol Misuse],""))</f>
        <v/>
      </c>
      <c r="FZ199" s="44" t="str">
        <f>IF(Table1[Date of Initial Assessment]="","",IF(AND(Table1[Start Date]&gt;42460,Table1[Start Date]&lt;42826),Table1[Physical Health],""))</f>
        <v/>
      </c>
      <c r="GA199" s="44" t="str">
        <f>IF(Table1[Date of Initial Assessment]="","",IF(AND(Table1[Start Date]&gt;42460,Table1[Start Date]&lt;42826),Table1[Emotional and Mental Health],""))</f>
        <v/>
      </c>
      <c r="GB199" s="44" t="str">
        <f>IF(Table1[Date of Initial Assessment]="","",IF(AND(Table1[Start Date]&gt;42460,Table1[Start Date]&lt;42826),Table1[Meaningful Use of Time],""))</f>
        <v/>
      </c>
      <c r="GC199" s="44" t="str">
        <f>IF(Table1[Date of Initial Assessment]="","",IF(AND(Table1[Start Date]&gt;42460,Table1[Start Date]&lt;42826),Table1[Managing Tenancy and Accommodation],""))</f>
        <v/>
      </c>
      <c r="GD199" s="44" t="str">
        <f>IF(Table1[Date of Initial Assessment]="","",IF(AND(Table1[Start Date]&gt;42460,Table1[Start Date]&lt;42826),Table1[Offending],""))</f>
        <v/>
      </c>
      <c r="GE199" s="44" t="str">
        <f>IF(Table1[Leaving Date]="","",IF(AND(Table1[Leaving Date]&gt;42460,Table1[Leaving Date]&lt;42826),IF(Table1[Date of Last Assessment]="",Table1[Motivation and Taking Responsibility],Table1[Motivation and Taking Responsibility2]),""))</f>
        <v/>
      </c>
      <c r="GF199" s="44" t="str">
        <f>IF(Table1[Leaving Date]="","",IF(AND(Table1[Leaving Date]&gt;42460,Table1[Leaving Date]&lt;42826),IF(Table1[Date of Last Assessment]="",Table1[Self-Care and Living Skills],Table1[Self-Care and Living Skills2]),""))</f>
        <v/>
      </c>
      <c r="GG199" s="44" t="str">
        <f>IF(Table1[Leaving Date]="","",IF(AND(Table1[Leaving Date]&gt;42460,Table1[Leaving Date]&lt;42826),IF(Table1[Date of Last Assessment]="",Table1[Managing Money and Personal Administration],Table1[Managing Money and Personal Administration2]),""))</f>
        <v/>
      </c>
      <c r="GH199" s="44" t="str">
        <f>IF(Table1[Leaving Date]="","",IF(AND(Table1[Leaving Date]&gt;42460,Table1[Leaving Date]&lt;42826),IF(Table1[Date of Last Assessment]="",Table1[Social Networks and Relationships],Table1[Social Networks and Relationships2]),""))</f>
        <v/>
      </c>
      <c r="GI199" s="44" t="str">
        <f>IF(Table1[Leaving Date]="","",IF(AND(Table1[Leaving Date]&gt;42460,Table1[Leaving Date]&lt;42826),IF(Table1[Date of Last Assessment]="",Table1[Drug and Alcohol Misuse],Table1[Drug and Alcohol Misuse2]),""))</f>
        <v/>
      </c>
      <c r="GJ199" s="44" t="str">
        <f>IF(Table1[Leaving Date]="","",IF(AND(Table1[Leaving Date]&gt;42460,Table1[Leaving Date]&lt;42826),IF(Table1[Date of Last Assessment]="",Table1[Physical Health],Table1[Physical Health2]),""))</f>
        <v/>
      </c>
      <c r="GK199" s="44" t="str">
        <f>IF(Table1[Leaving Date]="","",IF(AND(Table1[Leaving Date]&gt;42460,Table1[Leaving Date]&lt;42826),IF(Table1[Date of Last Assessment]="",Table1[Emotional and Mental Health],Table1[Emotional and Mental Health2]),""))</f>
        <v/>
      </c>
      <c r="GL199" s="44" t="str">
        <f>IF(Table1[Leaving Date]="","",IF(AND(Table1[Leaving Date]&gt;42460,Table1[Leaving Date]&lt;42826),IF(Table1[Date of Last Assessment]="",Table1[Meaningful Use of Time],Table1[Meaningful Use of Time2]),""))</f>
        <v/>
      </c>
      <c r="GM199" s="44" t="str">
        <f>IF(Table1[Leaving Date]="","",IF(AND(Table1[Leaving Date]&gt;42460,Table1[Leaving Date]&lt;42826),IF(Table1[Date of Last Assessment]="",Table1[Managing Tenancy and Accommodation],Table1[Managing Tenancy and Accommodation2]),""))</f>
        <v/>
      </c>
      <c r="GN199" s="44" t="str">
        <f>IF(Table1[Leaving Date]="","",IF(AND(Table1[Leaving Date]&gt;42460,Table1[Leaving Date]&lt;42826),IF(Table1[Date of Last Assessment]="",Table1[Offending],Table1[Offending2]),""))</f>
        <v/>
      </c>
    </row>
    <row r="200" spans="2:196" ht="20.100000000000001" customHeight="1" x14ac:dyDescent="0.2">
      <c r="B200" s="86">
        <f>+'Service Data'!$C$5:$C$5</f>
        <v>0</v>
      </c>
      <c r="C200" s="86"/>
      <c r="D200" s="86"/>
      <c r="E200" s="86"/>
      <c r="F200" s="86"/>
      <c r="G200" s="86"/>
      <c r="H200" s="6"/>
      <c r="I200" s="99" t="str">
        <f ca="1">IF(Table1[[#This Row],[Date of Birth]]="","",SUM(TODAY()-Table1[[#This Row],[Date of Birth]])/365)</f>
        <v/>
      </c>
      <c r="L200" s="86"/>
      <c r="M200" s="77"/>
      <c r="N200" s="86"/>
      <c r="O200" s="86"/>
      <c r="P200" s="91"/>
      <c r="Q200" s="86"/>
      <c r="R200" s="77"/>
      <c r="S200" s="77"/>
      <c r="T200" s="68"/>
      <c r="U200" s="68"/>
      <c r="V200" s="67"/>
      <c r="W200" s="67"/>
      <c r="X200" s="67"/>
      <c r="Y200" s="67"/>
      <c r="Z200" s="67"/>
      <c r="AA200" s="67"/>
      <c r="AB200" s="67"/>
      <c r="AC200" s="67"/>
      <c r="AD200" s="67"/>
      <c r="AE200" s="67"/>
      <c r="AF200" s="67"/>
      <c r="AG200" s="67"/>
      <c r="AH200" s="67"/>
      <c r="AI200" s="67"/>
      <c r="AJ200" s="67"/>
      <c r="AK200" s="67"/>
      <c r="AL200" s="67"/>
      <c r="AM200" s="67"/>
      <c r="AN200" s="77"/>
      <c r="AO200" s="76"/>
      <c r="AP200" s="77"/>
      <c r="AQ200" s="76"/>
      <c r="AR200" s="76"/>
      <c r="AS200" s="76"/>
      <c r="AT200" s="76"/>
      <c r="AU200" s="76"/>
      <c r="AV200" s="77"/>
      <c r="AW200" s="76"/>
      <c r="AX200" s="77"/>
      <c r="AY200" s="76"/>
      <c r="AZ200" s="76"/>
      <c r="BA200" s="76"/>
      <c r="BB200" s="76"/>
      <c r="BC200" s="76"/>
      <c r="BD200" s="77"/>
      <c r="BE200" s="76"/>
      <c r="BF200" s="77"/>
      <c r="BG200" s="76"/>
      <c r="BH200" s="76"/>
      <c r="BI200" s="76"/>
      <c r="BJ200" s="76"/>
      <c r="BK200" s="76"/>
      <c r="BL200" s="77"/>
      <c r="BM200" s="76"/>
      <c r="BN200" s="77"/>
      <c r="BO200" s="76"/>
      <c r="BP200" s="76"/>
      <c r="BQ200" s="76"/>
      <c r="BR200" s="76"/>
      <c r="BS200" s="76"/>
      <c r="BT200" s="77"/>
      <c r="BU200" s="76"/>
      <c r="BV200" s="77"/>
      <c r="BW200" s="76"/>
      <c r="BX200" s="76"/>
      <c r="BY200" s="76"/>
      <c r="BZ200" s="76"/>
      <c r="CA200" s="76"/>
      <c r="CB200" s="77"/>
      <c r="CC200" s="76"/>
      <c r="CD200" s="77"/>
      <c r="CE200" s="76"/>
      <c r="CF200" s="76"/>
      <c r="CG200" s="76"/>
      <c r="CH200" s="76"/>
      <c r="CI200" s="76"/>
      <c r="CJ200" s="77"/>
      <c r="CK200" s="76"/>
      <c r="CL200" s="77"/>
      <c r="CM200" s="76"/>
      <c r="CN200" s="76"/>
      <c r="CO200" s="76"/>
      <c r="CP200" s="76"/>
      <c r="CQ200" s="76"/>
      <c r="CR200" s="78" t="str">
        <f t="shared" si="63"/>
        <v/>
      </c>
      <c r="CS200" s="79" t="str">
        <f t="shared" si="64"/>
        <v/>
      </c>
      <c r="CT200" s="79" t="str">
        <f t="shared" si="65"/>
        <v/>
      </c>
      <c r="CU200" s="79" t="str">
        <f t="shared" si="66"/>
        <v/>
      </c>
      <c r="CV200" s="79" t="str">
        <f t="shared" si="67"/>
        <v/>
      </c>
      <c r="CW200" s="79" t="str">
        <f t="shared" si="68"/>
        <v/>
      </c>
      <c r="CX200" s="79" t="str">
        <f t="shared" si="69"/>
        <v/>
      </c>
      <c r="CY200" s="79" t="str">
        <f t="shared" si="70"/>
        <v/>
      </c>
      <c r="CZ200" s="79" t="str">
        <f t="shared" si="71"/>
        <v/>
      </c>
      <c r="DA200" s="79" t="str">
        <f t="shared" si="72"/>
        <v/>
      </c>
      <c r="DB200" s="79" t="str">
        <f t="shared" si="73"/>
        <v/>
      </c>
      <c r="DC200" s="79" t="str">
        <f t="shared" si="74"/>
        <v/>
      </c>
      <c r="DD200" s="79" t="str">
        <f t="shared" si="75"/>
        <v/>
      </c>
      <c r="DE200" s="79" t="str">
        <f t="shared" si="76"/>
        <v/>
      </c>
      <c r="DF200" s="79" t="str">
        <f t="shared" si="77"/>
        <v/>
      </c>
      <c r="DG200" s="79" t="str">
        <f t="shared" si="78"/>
        <v/>
      </c>
      <c r="DH200" s="76"/>
      <c r="DI200" s="78"/>
      <c r="DJ200" s="76"/>
      <c r="DK200" s="77"/>
      <c r="DL200" s="77"/>
      <c r="DM200" s="77"/>
      <c r="DN200" s="80"/>
      <c r="DO200" s="80"/>
      <c r="DP200" s="92" t="str">
        <f>IF(Table1[Start Date]="","",IF(Table1[Start Date]&gt;42185,"",IF(AND(Table1[Leaving Date]&gt;1,Table1[Leaving Date]&lt;42095),"",1)))</f>
        <v/>
      </c>
      <c r="DQ200" s="92" t="str">
        <f>IF(Table1[Start Date]="","",IF(Table1[Start Date]&gt;42277,"",IF(AND(Table1[Leaving Date]&gt;1,Table1[Leaving Date]&lt;42186),"",1)))</f>
        <v/>
      </c>
      <c r="DR200" s="92" t="str">
        <f>IF(Table1[Start Date]="","",IF(Table1[Start Date]&gt;42369,"",IF(AND(Table1[Leaving Date]&gt;1,Table1[Leaving Date]&lt;42278),"",1)))</f>
        <v/>
      </c>
      <c r="DS200" s="92" t="str">
        <f>IF(Table1[Start Date]="","",IF(Table1[Start Date]&gt;42460,"",IF(AND(Table1[Leaving Date]&gt;1,Table1[Leaving Date]&lt;42370),"",1)))</f>
        <v/>
      </c>
      <c r="DT200" s="92" t="str">
        <f>IF(Table1[Start Date]="","",IF(Table1[Start Date]&gt;42551,"",IF(AND(Table1[Leaving Date]&gt;1,Table1[Leaving Date]&lt;42461),"",1)))</f>
        <v/>
      </c>
      <c r="DU200" s="92" t="str">
        <f>IF(Table1[Start Date]="","",IF(Table1[Start Date]&gt;42643,"",IF(AND(Table1[Leaving Date]&gt;1,Table1[Leaving Date]&lt;42552),"",1)))</f>
        <v/>
      </c>
      <c r="DV200" s="92" t="str">
        <f>IF(Table1[Start Date]="","",IF(Table1[Start Date]&gt;42735,"",IF(AND(Table1[Leaving Date]&gt;1,Table1[Leaving Date]&lt;42644),"",1)))</f>
        <v/>
      </c>
      <c r="DW200" s="92" t="str">
        <f>IF(Table1[Start Date]="","",IF(Table1[Start Date]&gt;42825,"",IF(AND(Table1[Leaving Date]&gt;1,Table1[Leaving Date]&lt;42736),"",1)))</f>
        <v/>
      </c>
      <c r="DX200"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200" s="44" t="e">
        <f>VLOOKUP(Table1[Referral Source],Lists!$G$2:$H$20,2,FALSE)</f>
        <v>#N/A</v>
      </c>
      <c r="DZ200" s="93" t="e">
        <f>SUM(Table1[Data Referral Quarter]+Table1[Data Referral Source])</f>
        <v>#N/A</v>
      </c>
      <c r="EA200" s="44" t="b">
        <f>IF(Table1[Referral Decision]="Accepted",100,IF(Table1[Referral Decision]="Rejected by Provider",200,IF(Table1[Referral Decision]="Rejected by Applicant",300)))</f>
        <v>0</v>
      </c>
      <c r="EB200" s="44">
        <f>SUM(Table1[Data Referral Quarter]+Table1[Data Referral Decision])</f>
        <v>0</v>
      </c>
      <c r="EC200" s="44" t="b">
        <f>IF(Table1[Start Date]&gt;42735,8000,IF(Table1[Start Date]&gt;42643,7000,IF(Table1[Start Date]&gt;42551,6000,IF(Table1[Start Date]&gt;42460,5000,IF(Table1[Start Date]&gt;42369,4000,IF(Table1[Start Date]&gt;42277,3000,IF(Table1[Start Date]&gt;42185,2000,IF(Table1[Start Date]&gt;42094,1000))))))))</f>
        <v>0</v>
      </c>
      <c r="ED200" s="44" t="str">
        <f>IF(Table1[Start Date]="","",IF(Table1[Current Local Authority]="Swindon",1,"2"))</f>
        <v/>
      </c>
      <c r="EE200" s="44" t="e">
        <f>SUM(Table1[Data Start Date]+Table1[Data Local Authority])</f>
        <v>#VALUE!</v>
      </c>
      <c r="EF200" s="44">
        <f>IF(Table1[Registered with GP]="Yes",1,0)</f>
        <v>0</v>
      </c>
      <c r="EG200" s="44">
        <f>SUM(Table1[Data Start Date]+Table1[Data GP Start])</f>
        <v>0</v>
      </c>
      <c r="EH200" s="44" t="str">
        <f>IF(Table1[EET]="NEET",1,IF(Table1[EET]="Education",2,IF(Table1[EET]="Employment",2,IF(Table1[EET]="Training",2,IF(Table1[EET]="Retired",3,"")))))</f>
        <v/>
      </c>
      <c r="EI200" s="44" t="e">
        <f>Table1[Data Start Date]+Table1[Data EET Start]</f>
        <v>#VALUE!</v>
      </c>
      <c r="EJ200" s="44" t="b">
        <f>IF(Table1[Leaving Date]&gt;42735,8000,IF(Table1[Leaving Date]&gt;42643,7000,IF(Table1[Leaving Date]&gt;42551,6000,IF(Table1[Leaving Date]&gt;42460,5000,IF(Table1[Leaving Date]&gt;42369,4000,IF(Table1[Leaving Date]&gt;42277,3000,IF(Table1[Leaving Date]&gt;42185,2000,IF(Table1[Leaving Date]&gt;42094,1000))))))))</f>
        <v>0</v>
      </c>
      <c r="EK200" s="44" t="e">
        <f>VLOOKUP(Table1[Reason for Leaving],Lists!$T$2:$U$15,2,FALSE)</f>
        <v>#N/A</v>
      </c>
      <c r="EL200" s="44" t="e">
        <f>SUM(Table1[Data Leavers Date]+Table1[Data Move On])</f>
        <v>#N/A</v>
      </c>
      <c r="EM200" s="44" t="b">
        <f>IF(Table1[Registered with GP2]="Yes",1,IF(Table1[Registered with GP2]="No",0,IF(Table1[Registered with GP]="Yes",1,IF(Table1[Registered with GP]="No",0))))</f>
        <v>0</v>
      </c>
      <c r="EN200" s="44">
        <f>SUM(Table1[Data Leavers Date]+Table1[Data GP End])</f>
        <v>0</v>
      </c>
      <c r="EO200" s="44" t="str">
        <f>IF(Table1[EET2]="NEET",1,IF(Table1[EET2]="Employment",2,IF(Table1[EET2]="Education",2,IF(Table1[EET2]="Training",2,IF(Table1[EET2]="Retired",3,IF(Table1[EET]="NEET",1,IF(Table1[EET]="Employment",2,IF(Table1[EET]="Education",2,IF(Table1[EET]="Training",2,IF(Table1[EET]="Retired",3,""))))))))))</f>
        <v/>
      </c>
      <c r="EP200" s="44" t="e">
        <f>+Table1[[#This Row],[Data Leavers Date]]+Table1[[#This Row],[Data EET End]]</f>
        <v>#VALUE!</v>
      </c>
      <c r="EQ200" s="44">
        <f>IF(Table1[Exit Form Received]="Yes",1,0)</f>
        <v>0</v>
      </c>
      <c r="ER200" s="44">
        <f>+Table1[[#This Row],[Data Leavers Date]]+Table1[[#This Row],[Data Exit Forms]]</f>
        <v>0</v>
      </c>
      <c r="ES200" s="44" t="str">
        <f>IF(Table1[Data Leavers Date]=1000,SUM(Table1[Leaving Date]-Table1[Start Date]),"")</f>
        <v/>
      </c>
      <c r="ET200" s="44" t="str">
        <f>IF(Table1[Data Leavers Date]=2000,SUM(Table1[Leaving Date]-Table1[Start Date]),"")</f>
        <v/>
      </c>
      <c r="EU200" s="44" t="str">
        <f>IF(Table1[Data Leavers Date]=3000,SUM(Table1[Leaving Date]-Table1[Start Date]),"")</f>
        <v/>
      </c>
      <c r="EV200" s="44" t="str">
        <f>IF(Table1[Data Leavers Date]=4000,SUM(Table1[Leaving Date]-Table1[Start Date]),"")</f>
        <v/>
      </c>
      <c r="EW200" s="44" t="str">
        <f>IF(Table1[Data Leavers Date]=5000,SUM(Table1[Leaving Date]-Table1[Start Date]),"")</f>
        <v/>
      </c>
      <c r="EX200" s="44" t="str">
        <f>IF(Table1[Data Leavers Date]=6000,SUM(Table1[Leaving Date]-Table1[Start Date]),"")</f>
        <v/>
      </c>
      <c r="EY200" s="44" t="str">
        <f>IF(Table1[Data Leavers Date]=7000,SUM(Table1[Leaving Date]-Table1[Start Date]),"")</f>
        <v/>
      </c>
      <c r="EZ200" s="44" t="str">
        <f>IF(Table1[Data Leavers Date]=8000,SUM(Table1[Leaving Date]-Table1[Start Date]),"")</f>
        <v/>
      </c>
      <c r="FA200" s="44" t="str">
        <f>IF(Table1[Date of Initial Assessment]="","",IF(AND(Table1[Start Date]&gt;42094,Table1[Start Date]&lt;42461),Table1[Motivation and Taking Responsibility],""))</f>
        <v/>
      </c>
      <c r="FB200" s="44" t="str">
        <f>IF(Table1[Date of Initial Assessment]="","",IF(AND(Table1[Start Date]&gt;42094,Table1[Start Date]&lt;42461),Table1[Self-Care and Living Skills],""))</f>
        <v/>
      </c>
      <c r="FC200" s="44" t="str">
        <f>IF(Table1[Date of Initial Assessment]="","",IF(AND(Table1[Start Date]&gt;42094,Table1[Start Date]&lt;42461),Table1[Managing Money and Personal Administration],""))</f>
        <v/>
      </c>
      <c r="FD200" s="44" t="str">
        <f>IF(Table1[Date of Initial Assessment]="","",IF(AND(Table1[Start Date]&gt;42094,Table1[Start Date]&lt;42461),Table1[Social Networks and Relationships],""))</f>
        <v/>
      </c>
      <c r="FE200" s="44" t="str">
        <f>IF(Table1[Date of Initial Assessment]="","",IF(AND(Table1[Start Date]&gt;42094,Table1[Start Date]&lt;42461),Table1[Drug and Alcohol Misuse],""))</f>
        <v/>
      </c>
      <c r="FF200" s="44" t="str">
        <f>IF(Table1[Date of Initial Assessment]="","",IF(AND(Table1[Start Date]&gt;42094,Table1[Start Date]&lt;42461),Table1[Physical Health],""))</f>
        <v/>
      </c>
      <c r="FG200" s="44" t="str">
        <f>IF(Table1[Date of Initial Assessment]="","",IF(AND(Table1[Start Date]&gt;42094,Table1[Start Date]&lt;42461),Table1[Emotional and Mental Health],""))</f>
        <v/>
      </c>
      <c r="FH200" s="44" t="str">
        <f>IF(Table1[Date of Initial Assessment]="","",IF(AND(Table1[Start Date]&gt;42094,Table1[Start Date]&lt;42461),Table1[Meaningful Use of Time],""))</f>
        <v/>
      </c>
      <c r="FI200" s="44" t="str">
        <f>IF(Table1[Date of Initial Assessment]="","",IF(AND(Table1[Start Date]&gt;42094,Table1[Start Date]&lt;42461),Table1[Managing Tenancy and Accommodation],""))</f>
        <v/>
      </c>
      <c r="FJ200" s="44" t="str">
        <f>IF(Table1[Date of Initial Assessment]="","",IF(AND(Table1[Start Date]&gt;42094,Table1[Start Date]&lt;42461),Table1[Offending],""))</f>
        <v/>
      </c>
      <c r="FK200" s="44" t="str">
        <f>IF(Table1[Leaving Date]="","",IF(Table1[Date of Initial Assessment]="","",IF(AND(Table1[Leaving Date]&gt;42094,Table1[Leaving Date]&lt;42461),IF(Table1[Date of Last Assessment]="",Table1[Motivation and Taking Responsibility],Table1[Motivation and Taking Responsibility2]),"")))</f>
        <v/>
      </c>
      <c r="FL200" s="44" t="str">
        <f>IF(Table1[Leaving Date]="","",IF(Table1[Date of Initial Assessment]="","",IF(AND(Table1[Leaving Date]&gt;42094,Table1[Leaving Date]&lt;42461),IF(Table1[Date of Last Assessment]="",Table1[Self-Care and Living Skills],Table1[Self-Care and Living Skills2]),"")))</f>
        <v/>
      </c>
      <c r="FM200" s="44" t="str">
        <f>IF(Table1[Leaving Date]="","",IF(Table1[Date of Initial Assessment]="","",IF(AND(Table1[Leaving Date]&gt;42094,Table1[Leaving Date]&lt;42461),IF(Table1[Date of Last Assessment]="",Table1[Managing Money and Personal Administration],Table1[Managing Money and Personal Administration2]),"")))</f>
        <v/>
      </c>
      <c r="FN200" s="44" t="str">
        <f>IF(Table1[Leaving Date]="","",IF(Table1[Date of Initial Assessment]="","",IF(AND(Table1[Leaving Date]&gt;42094,Table1[Leaving Date]&lt;42461),IF(Table1[Date of Last Assessment]="",Table1[Social Networks and Relationships],Table1[Social Networks and Relationships2]),"")))</f>
        <v/>
      </c>
      <c r="FO200" s="44" t="str">
        <f>IF(Table1[Leaving Date]="","",IF(Table1[Date of Initial Assessment]="","",IF(AND(Table1[Leaving Date]&gt;42094,Table1[Leaving Date]&lt;42461),IF(Table1[Date of Last Assessment]="",Table1[Drug and Alcohol Misuse],Table1[Drug and Alcohol Misuse2]),"")))</f>
        <v/>
      </c>
      <c r="FP200" s="44" t="str">
        <f>IF(Table1[Leaving Date]="","",IF(Table1[Date of Initial Assessment]="","",IF(AND(Table1[Leaving Date]&gt;42094,Table1[Leaving Date]&lt;42461),IF(Table1[Date of Last Assessment]="",Table1[Physical Health],Table1[Physical Health2]),"")))</f>
        <v/>
      </c>
      <c r="FQ200" s="44" t="str">
        <f>IF(Table1[Leaving Date]="","",IF(Table1[Date of Initial Assessment]="","",IF(AND(Table1[Leaving Date]&gt;42094,Table1[Leaving Date]&lt;42461),IF(Table1[Date of Last Assessment]="",Table1[Emotional and Mental Health],Table1[Emotional and Mental Health2]),"")))</f>
        <v/>
      </c>
      <c r="FR200" s="44" t="str">
        <f>IF(Table1[Leaving Date]="","",IF(Table1[Date of Initial Assessment]="","",IF(AND(Table1[Leaving Date]&gt;42094,Table1[Leaving Date]&lt;42461),IF(Table1[Date of Last Assessment]="",Table1[Meaningful Use of Time],Table1[Meaningful Use of Time2]),"")))</f>
        <v/>
      </c>
      <c r="FS200" s="44" t="str">
        <f>IF(Table1[Leaving Date]="","",IF(Table1[Date of Initial Assessment]="","",IF(AND(Table1[Leaving Date]&gt;42094,Table1[Leaving Date]&lt;42461),IF(Table1[Date of Last Assessment]="",Table1[Managing Tenancy and Accommodation],Table1[Managing Tenancy and Accommodation2]),"")))</f>
        <v/>
      </c>
      <c r="FT200" s="44" t="str">
        <f>IF(Table1[Leaving Date]="","",IF(Table1[Date of Initial Assessment]="","",IF(AND(Table1[Leaving Date]&gt;42094,Table1[Leaving Date]&lt;42461),IF(Table1[Date of Last Assessment]="",Table1[Offending],Table1[Offending2]),"")))</f>
        <v/>
      </c>
      <c r="FU200" s="44" t="str">
        <f>IF(Table1[Date of Initial Assessment]="","",IF(AND(Table1[Start Date]&gt;42460,Table1[Start Date]&lt;42826),Table1[Motivation and Taking Responsibility],""))</f>
        <v/>
      </c>
      <c r="FV200" s="44" t="str">
        <f>IF(Table1[Date of Initial Assessment]="","",IF(AND(Table1[Start Date]&gt;42460,Table1[Start Date]&lt;42826),Table1[Self-Care and Living Skills],""))</f>
        <v/>
      </c>
      <c r="FW200" s="44" t="str">
        <f>IF(Table1[Date of Initial Assessment]="","",IF(AND(Table1[Start Date]&gt;42460,Table1[Start Date]&lt;42826),Table1[Managing Money and Personal Administration],""))</f>
        <v/>
      </c>
      <c r="FX200" s="44" t="str">
        <f>IF(Table1[Date of Initial Assessment]="","",IF(AND(Table1[Start Date]&gt;42460,Table1[Start Date]&lt;42826),Table1[Social Networks and Relationships],""))</f>
        <v/>
      </c>
      <c r="FY200" s="44" t="str">
        <f>IF(Table1[Date of Initial Assessment]="","",IF(AND(Table1[Start Date]&gt;42460,Table1[Start Date]&lt;42826),Table1[Drug and Alcohol Misuse],""))</f>
        <v/>
      </c>
      <c r="FZ200" s="44" t="str">
        <f>IF(Table1[Date of Initial Assessment]="","",IF(AND(Table1[Start Date]&gt;42460,Table1[Start Date]&lt;42826),Table1[Physical Health],""))</f>
        <v/>
      </c>
      <c r="GA200" s="44" t="str">
        <f>IF(Table1[Date of Initial Assessment]="","",IF(AND(Table1[Start Date]&gt;42460,Table1[Start Date]&lt;42826),Table1[Emotional and Mental Health],""))</f>
        <v/>
      </c>
      <c r="GB200" s="44" t="str">
        <f>IF(Table1[Date of Initial Assessment]="","",IF(AND(Table1[Start Date]&gt;42460,Table1[Start Date]&lt;42826),Table1[Meaningful Use of Time],""))</f>
        <v/>
      </c>
      <c r="GC200" s="44" t="str">
        <f>IF(Table1[Date of Initial Assessment]="","",IF(AND(Table1[Start Date]&gt;42460,Table1[Start Date]&lt;42826),Table1[Managing Tenancy and Accommodation],""))</f>
        <v/>
      </c>
      <c r="GD200" s="44" t="str">
        <f>IF(Table1[Date of Initial Assessment]="","",IF(AND(Table1[Start Date]&gt;42460,Table1[Start Date]&lt;42826),Table1[Offending],""))</f>
        <v/>
      </c>
      <c r="GE200" s="44" t="str">
        <f>IF(Table1[Leaving Date]="","",IF(AND(Table1[Leaving Date]&gt;42460,Table1[Leaving Date]&lt;42826),IF(Table1[Date of Last Assessment]="",Table1[Motivation and Taking Responsibility],Table1[Motivation and Taking Responsibility2]),""))</f>
        <v/>
      </c>
      <c r="GF200" s="44" t="str">
        <f>IF(Table1[Leaving Date]="","",IF(AND(Table1[Leaving Date]&gt;42460,Table1[Leaving Date]&lt;42826),IF(Table1[Date of Last Assessment]="",Table1[Self-Care and Living Skills],Table1[Self-Care and Living Skills2]),""))</f>
        <v/>
      </c>
      <c r="GG200" s="44" t="str">
        <f>IF(Table1[Leaving Date]="","",IF(AND(Table1[Leaving Date]&gt;42460,Table1[Leaving Date]&lt;42826),IF(Table1[Date of Last Assessment]="",Table1[Managing Money and Personal Administration],Table1[Managing Money and Personal Administration2]),""))</f>
        <v/>
      </c>
      <c r="GH200" s="44" t="str">
        <f>IF(Table1[Leaving Date]="","",IF(AND(Table1[Leaving Date]&gt;42460,Table1[Leaving Date]&lt;42826),IF(Table1[Date of Last Assessment]="",Table1[Social Networks and Relationships],Table1[Social Networks and Relationships2]),""))</f>
        <v/>
      </c>
      <c r="GI200" s="44" t="str">
        <f>IF(Table1[Leaving Date]="","",IF(AND(Table1[Leaving Date]&gt;42460,Table1[Leaving Date]&lt;42826),IF(Table1[Date of Last Assessment]="",Table1[Drug and Alcohol Misuse],Table1[Drug and Alcohol Misuse2]),""))</f>
        <v/>
      </c>
      <c r="GJ200" s="44" t="str">
        <f>IF(Table1[Leaving Date]="","",IF(AND(Table1[Leaving Date]&gt;42460,Table1[Leaving Date]&lt;42826),IF(Table1[Date of Last Assessment]="",Table1[Physical Health],Table1[Physical Health2]),""))</f>
        <v/>
      </c>
      <c r="GK200" s="44" t="str">
        <f>IF(Table1[Leaving Date]="","",IF(AND(Table1[Leaving Date]&gt;42460,Table1[Leaving Date]&lt;42826),IF(Table1[Date of Last Assessment]="",Table1[Emotional and Mental Health],Table1[Emotional and Mental Health2]),""))</f>
        <v/>
      </c>
      <c r="GL200" s="44" t="str">
        <f>IF(Table1[Leaving Date]="","",IF(AND(Table1[Leaving Date]&gt;42460,Table1[Leaving Date]&lt;42826),IF(Table1[Date of Last Assessment]="",Table1[Meaningful Use of Time],Table1[Meaningful Use of Time2]),""))</f>
        <v/>
      </c>
      <c r="GM200" s="44" t="str">
        <f>IF(Table1[Leaving Date]="","",IF(AND(Table1[Leaving Date]&gt;42460,Table1[Leaving Date]&lt;42826),IF(Table1[Date of Last Assessment]="",Table1[Managing Tenancy and Accommodation],Table1[Managing Tenancy and Accommodation2]),""))</f>
        <v/>
      </c>
      <c r="GN200" s="44" t="str">
        <f>IF(Table1[Leaving Date]="","",IF(AND(Table1[Leaving Date]&gt;42460,Table1[Leaving Date]&lt;42826),IF(Table1[Date of Last Assessment]="",Table1[Offending],Table1[Offending2]),""))</f>
        <v/>
      </c>
    </row>
    <row r="201" spans="2:196" ht="20.100000000000001" customHeight="1" x14ac:dyDescent="0.2">
      <c r="B201" s="86">
        <f>+'Service Data'!$C$5:$C$5</f>
        <v>0</v>
      </c>
      <c r="C201" s="86"/>
      <c r="D201" s="86"/>
      <c r="E201" s="86"/>
      <c r="F201" s="86"/>
      <c r="G201" s="86"/>
      <c r="H201" s="6"/>
      <c r="I201" s="99" t="str">
        <f ca="1">IF(Table1[[#This Row],[Date of Birth]]="","",SUM(TODAY()-Table1[[#This Row],[Date of Birth]])/365)</f>
        <v/>
      </c>
      <c r="L201" s="86"/>
      <c r="M201" s="77"/>
      <c r="N201" s="86"/>
      <c r="O201" s="86"/>
      <c r="P201" s="91"/>
      <c r="Q201" s="86"/>
      <c r="R201" s="77"/>
      <c r="S201" s="77"/>
      <c r="T201" s="68"/>
      <c r="U201" s="68"/>
      <c r="V201" s="67"/>
      <c r="W201" s="67"/>
      <c r="X201" s="67"/>
      <c r="Y201" s="67"/>
      <c r="Z201" s="67"/>
      <c r="AA201" s="67"/>
      <c r="AB201" s="67"/>
      <c r="AC201" s="67"/>
      <c r="AD201" s="67"/>
      <c r="AE201" s="67"/>
      <c r="AF201" s="67"/>
      <c r="AG201" s="67"/>
      <c r="AH201" s="67"/>
      <c r="AI201" s="67"/>
      <c r="AJ201" s="67"/>
      <c r="AK201" s="67"/>
      <c r="AL201" s="67"/>
      <c r="AM201" s="67"/>
      <c r="AN201" s="77"/>
      <c r="AO201" s="76"/>
      <c r="AP201" s="77"/>
      <c r="AQ201" s="76"/>
      <c r="AR201" s="76"/>
      <c r="AS201" s="76"/>
      <c r="AT201" s="76"/>
      <c r="AU201" s="76"/>
      <c r="AV201" s="77"/>
      <c r="AW201" s="76"/>
      <c r="AX201" s="77"/>
      <c r="AY201" s="76"/>
      <c r="AZ201" s="76"/>
      <c r="BA201" s="76"/>
      <c r="BB201" s="76"/>
      <c r="BC201" s="76"/>
      <c r="BD201" s="77"/>
      <c r="BE201" s="76"/>
      <c r="BF201" s="77"/>
      <c r="BG201" s="76"/>
      <c r="BH201" s="76"/>
      <c r="BI201" s="76"/>
      <c r="BJ201" s="76"/>
      <c r="BK201" s="76"/>
      <c r="BL201" s="77"/>
      <c r="BM201" s="76"/>
      <c r="BN201" s="77"/>
      <c r="BO201" s="76"/>
      <c r="BP201" s="76"/>
      <c r="BQ201" s="76"/>
      <c r="BR201" s="76"/>
      <c r="BS201" s="76"/>
      <c r="BT201" s="77"/>
      <c r="BU201" s="76"/>
      <c r="BV201" s="77"/>
      <c r="BW201" s="76"/>
      <c r="BX201" s="76"/>
      <c r="BY201" s="76"/>
      <c r="BZ201" s="76"/>
      <c r="CA201" s="76"/>
      <c r="CB201" s="77"/>
      <c r="CC201" s="76"/>
      <c r="CD201" s="77"/>
      <c r="CE201" s="76"/>
      <c r="CF201" s="76"/>
      <c r="CG201" s="76"/>
      <c r="CH201" s="76"/>
      <c r="CI201" s="76"/>
      <c r="CJ201" s="77"/>
      <c r="CK201" s="76"/>
      <c r="CL201" s="77"/>
      <c r="CM201" s="76"/>
      <c r="CN201" s="76"/>
      <c r="CO201" s="76"/>
      <c r="CP201" s="76"/>
      <c r="CQ201" s="76"/>
      <c r="CR201" s="78" t="str">
        <f t="shared" si="63"/>
        <v/>
      </c>
      <c r="CS201" s="79" t="str">
        <f t="shared" si="64"/>
        <v/>
      </c>
      <c r="CT201" s="79" t="str">
        <f t="shared" si="65"/>
        <v/>
      </c>
      <c r="CU201" s="79" t="str">
        <f t="shared" si="66"/>
        <v/>
      </c>
      <c r="CV201" s="79" t="str">
        <f t="shared" si="67"/>
        <v/>
      </c>
      <c r="CW201" s="79" t="str">
        <f t="shared" si="68"/>
        <v/>
      </c>
      <c r="CX201" s="79" t="str">
        <f t="shared" si="69"/>
        <v/>
      </c>
      <c r="CY201" s="79" t="str">
        <f t="shared" si="70"/>
        <v/>
      </c>
      <c r="CZ201" s="79" t="str">
        <f t="shared" si="71"/>
        <v/>
      </c>
      <c r="DA201" s="79" t="str">
        <f t="shared" si="72"/>
        <v/>
      </c>
      <c r="DB201" s="79" t="str">
        <f t="shared" si="73"/>
        <v/>
      </c>
      <c r="DC201" s="79" t="str">
        <f t="shared" si="74"/>
        <v/>
      </c>
      <c r="DD201" s="79" t="str">
        <f t="shared" si="75"/>
        <v/>
      </c>
      <c r="DE201" s="79" t="str">
        <f t="shared" si="76"/>
        <v/>
      </c>
      <c r="DF201" s="79" t="str">
        <f t="shared" si="77"/>
        <v/>
      </c>
      <c r="DG201" s="79" t="str">
        <f t="shared" si="78"/>
        <v/>
      </c>
      <c r="DH201" s="76"/>
      <c r="DI201" s="78"/>
      <c r="DJ201" s="76"/>
      <c r="DK201" s="77"/>
      <c r="DL201" s="77"/>
      <c r="DM201" s="77"/>
      <c r="DN201" s="80"/>
      <c r="DO201" s="80"/>
      <c r="DP201" s="92" t="str">
        <f>IF(Table1[Start Date]="","",IF(Table1[Start Date]&gt;42185,"",IF(AND(Table1[Leaving Date]&gt;1,Table1[Leaving Date]&lt;42095),"",1)))</f>
        <v/>
      </c>
      <c r="DQ201" s="92" t="str">
        <f>IF(Table1[Start Date]="","",IF(Table1[Start Date]&gt;42277,"",IF(AND(Table1[Leaving Date]&gt;1,Table1[Leaving Date]&lt;42186),"",1)))</f>
        <v/>
      </c>
      <c r="DR201" s="92" t="str">
        <f>IF(Table1[Start Date]="","",IF(Table1[Start Date]&gt;42369,"",IF(AND(Table1[Leaving Date]&gt;1,Table1[Leaving Date]&lt;42278),"",1)))</f>
        <v/>
      </c>
      <c r="DS201" s="92" t="str">
        <f>IF(Table1[Start Date]="","",IF(Table1[Start Date]&gt;42460,"",IF(AND(Table1[Leaving Date]&gt;1,Table1[Leaving Date]&lt;42370),"",1)))</f>
        <v/>
      </c>
      <c r="DT201" s="92" t="str">
        <f>IF(Table1[Start Date]="","",IF(Table1[Start Date]&gt;42551,"",IF(AND(Table1[Leaving Date]&gt;1,Table1[Leaving Date]&lt;42461),"",1)))</f>
        <v/>
      </c>
      <c r="DU201" s="92" t="str">
        <f>IF(Table1[Start Date]="","",IF(Table1[Start Date]&gt;42643,"",IF(AND(Table1[Leaving Date]&gt;1,Table1[Leaving Date]&lt;42552),"",1)))</f>
        <v/>
      </c>
      <c r="DV201" s="92" t="str">
        <f>IF(Table1[Start Date]="","",IF(Table1[Start Date]&gt;42735,"",IF(AND(Table1[Leaving Date]&gt;1,Table1[Leaving Date]&lt;42644),"",1)))</f>
        <v/>
      </c>
      <c r="DW201" s="92" t="str">
        <f>IF(Table1[Start Date]="","",IF(Table1[Start Date]&gt;42825,"",IF(AND(Table1[Leaving Date]&gt;1,Table1[Leaving Date]&lt;42736),"",1)))</f>
        <v/>
      </c>
      <c r="DX201"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201" s="44" t="e">
        <f>VLOOKUP(Table1[Referral Source],Lists!$G$2:$H$20,2,FALSE)</f>
        <v>#N/A</v>
      </c>
      <c r="DZ201" s="93" t="e">
        <f>SUM(Table1[Data Referral Quarter]+Table1[Data Referral Source])</f>
        <v>#N/A</v>
      </c>
      <c r="EA201" s="44" t="b">
        <f>IF(Table1[Referral Decision]="Accepted",100,IF(Table1[Referral Decision]="Rejected by Provider",200,IF(Table1[Referral Decision]="Rejected by Applicant",300)))</f>
        <v>0</v>
      </c>
      <c r="EB201" s="44">
        <f>SUM(Table1[Data Referral Quarter]+Table1[Data Referral Decision])</f>
        <v>0</v>
      </c>
      <c r="EC201" s="44" t="b">
        <f>IF(Table1[Start Date]&gt;42735,8000,IF(Table1[Start Date]&gt;42643,7000,IF(Table1[Start Date]&gt;42551,6000,IF(Table1[Start Date]&gt;42460,5000,IF(Table1[Start Date]&gt;42369,4000,IF(Table1[Start Date]&gt;42277,3000,IF(Table1[Start Date]&gt;42185,2000,IF(Table1[Start Date]&gt;42094,1000))))))))</f>
        <v>0</v>
      </c>
      <c r="ED201" s="44" t="str">
        <f>IF(Table1[Start Date]="","",IF(Table1[Current Local Authority]="Swindon",1,"2"))</f>
        <v/>
      </c>
      <c r="EE201" s="44" t="e">
        <f>SUM(Table1[Data Start Date]+Table1[Data Local Authority])</f>
        <v>#VALUE!</v>
      </c>
      <c r="EF201" s="44">
        <f>IF(Table1[Registered with GP]="Yes",1,0)</f>
        <v>0</v>
      </c>
      <c r="EG201" s="44">
        <f>SUM(Table1[Data Start Date]+Table1[Data GP Start])</f>
        <v>0</v>
      </c>
      <c r="EH201" s="44" t="str">
        <f>IF(Table1[EET]="NEET",1,IF(Table1[EET]="Education",2,IF(Table1[EET]="Employment",2,IF(Table1[EET]="Training",2,IF(Table1[EET]="Retired",3,"")))))</f>
        <v/>
      </c>
      <c r="EI201" s="44" t="e">
        <f>Table1[Data Start Date]+Table1[Data EET Start]</f>
        <v>#VALUE!</v>
      </c>
      <c r="EJ201" s="44" t="b">
        <f>IF(Table1[Leaving Date]&gt;42735,8000,IF(Table1[Leaving Date]&gt;42643,7000,IF(Table1[Leaving Date]&gt;42551,6000,IF(Table1[Leaving Date]&gt;42460,5000,IF(Table1[Leaving Date]&gt;42369,4000,IF(Table1[Leaving Date]&gt;42277,3000,IF(Table1[Leaving Date]&gt;42185,2000,IF(Table1[Leaving Date]&gt;42094,1000))))))))</f>
        <v>0</v>
      </c>
      <c r="EK201" s="44" t="e">
        <f>VLOOKUP(Table1[Reason for Leaving],Lists!$T$2:$U$15,2,FALSE)</f>
        <v>#N/A</v>
      </c>
      <c r="EL201" s="44" t="e">
        <f>SUM(Table1[Data Leavers Date]+Table1[Data Move On])</f>
        <v>#N/A</v>
      </c>
      <c r="EM201" s="44" t="b">
        <f>IF(Table1[Registered with GP2]="Yes",1,IF(Table1[Registered with GP2]="No",0,IF(Table1[Registered with GP]="Yes",1,IF(Table1[Registered with GP]="No",0))))</f>
        <v>0</v>
      </c>
      <c r="EN201" s="44">
        <f>SUM(Table1[Data Leavers Date]+Table1[Data GP End])</f>
        <v>0</v>
      </c>
      <c r="EO201" s="44" t="str">
        <f>IF(Table1[EET2]="NEET",1,IF(Table1[EET2]="Employment",2,IF(Table1[EET2]="Education",2,IF(Table1[EET2]="Training",2,IF(Table1[EET2]="Retired",3,IF(Table1[EET]="NEET",1,IF(Table1[EET]="Employment",2,IF(Table1[EET]="Education",2,IF(Table1[EET]="Training",2,IF(Table1[EET]="Retired",3,""))))))))))</f>
        <v/>
      </c>
      <c r="EP201" s="44" t="e">
        <f>+Table1[[#This Row],[Data Leavers Date]]+Table1[[#This Row],[Data EET End]]</f>
        <v>#VALUE!</v>
      </c>
      <c r="EQ201" s="44">
        <f>IF(Table1[Exit Form Received]="Yes",1,0)</f>
        <v>0</v>
      </c>
      <c r="ER201" s="44">
        <f>+Table1[[#This Row],[Data Leavers Date]]+Table1[[#This Row],[Data Exit Forms]]</f>
        <v>0</v>
      </c>
      <c r="ES201" s="44" t="str">
        <f>IF(Table1[Data Leavers Date]=1000,SUM(Table1[Leaving Date]-Table1[Start Date]),"")</f>
        <v/>
      </c>
      <c r="ET201" s="44" t="str">
        <f>IF(Table1[Data Leavers Date]=2000,SUM(Table1[Leaving Date]-Table1[Start Date]),"")</f>
        <v/>
      </c>
      <c r="EU201" s="44" t="str">
        <f>IF(Table1[Data Leavers Date]=3000,SUM(Table1[Leaving Date]-Table1[Start Date]),"")</f>
        <v/>
      </c>
      <c r="EV201" s="44" t="str">
        <f>IF(Table1[Data Leavers Date]=4000,SUM(Table1[Leaving Date]-Table1[Start Date]),"")</f>
        <v/>
      </c>
      <c r="EW201" s="44" t="str">
        <f>IF(Table1[Data Leavers Date]=5000,SUM(Table1[Leaving Date]-Table1[Start Date]),"")</f>
        <v/>
      </c>
      <c r="EX201" s="44" t="str">
        <f>IF(Table1[Data Leavers Date]=6000,SUM(Table1[Leaving Date]-Table1[Start Date]),"")</f>
        <v/>
      </c>
      <c r="EY201" s="44" t="str">
        <f>IF(Table1[Data Leavers Date]=7000,SUM(Table1[Leaving Date]-Table1[Start Date]),"")</f>
        <v/>
      </c>
      <c r="EZ201" s="44" t="str">
        <f>IF(Table1[Data Leavers Date]=8000,SUM(Table1[Leaving Date]-Table1[Start Date]),"")</f>
        <v/>
      </c>
      <c r="FA201" s="44" t="str">
        <f>IF(Table1[Date of Initial Assessment]="","",IF(AND(Table1[Start Date]&gt;42094,Table1[Start Date]&lt;42461),Table1[Motivation and Taking Responsibility],""))</f>
        <v/>
      </c>
      <c r="FB201" s="44" t="str">
        <f>IF(Table1[Date of Initial Assessment]="","",IF(AND(Table1[Start Date]&gt;42094,Table1[Start Date]&lt;42461),Table1[Self-Care and Living Skills],""))</f>
        <v/>
      </c>
      <c r="FC201" s="44" t="str">
        <f>IF(Table1[Date of Initial Assessment]="","",IF(AND(Table1[Start Date]&gt;42094,Table1[Start Date]&lt;42461),Table1[Managing Money and Personal Administration],""))</f>
        <v/>
      </c>
      <c r="FD201" s="44" t="str">
        <f>IF(Table1[Date of Initial Assessment]="","",IF(AND(Table1[Start Date]&gt;42094,Table1[Start Date]&lt;42461),Table1[Social Networks and Relationships],""))</f>
        <v/>
      </c>
      <c r="FE201" s="44" t="str">
        <f>IF(Table1[Date of Initial Assessment]="","",IF(AND(Table1[Start Date]&gt;42094,Table1[Start Date]&lt;42461),Table1[Drug and Alcohol Misuse],""))</f>
        <v/>
      </c>
      <c r="FF201" s="44" t="str">
        <f>IF(Table1[Date of Initial Assessment]="","",IF(AND(Table1[Start Date]&gt;42094,Table1[Start Date]&lt;42461),Table1[Physical Health],""))</f>
        <v/>
      </c>
      <c r="FG201" s="44" t="str">
        <f>IF(Table1[Date of Initial Assessment]="","",IF(AND(Table1[Start Date]&gt;42094,Table1[Start Date]&lt;42461),Table1[Emotional and Mental Health],""))</f>
        <v/>
      </c>
      <c r="FH201" s="44" t="str">
        <f>IF(Table1[Date of Initial Assessment]="","",IF(AND(Table1[Start Date]&gt;42094,Table1[Start Date]&lt;42461),Table1[Meaningful Use of Time],""))</f>
        <v/>
      </c>
      <c r="FI201" s="44" t="str">
        <f>IF(Table1[Date of Initial Assessment]="","",IF(AND(Table1[Start Date]&gt;42094,Table1[Start Date]&lt;42461),Table1[Managing Tenancy and Accommodation],""))</f>
        <v/>
      </c>
      <c r="FJ201" s="44" t="str">
        <f>IF(Table1[Date of Initial Assessment]="","",IF(AND(Table1[Start Date]&gt;42094,Table1[Start Date]&lt;42461),Table1[Offending],""))</f>
        <v/>
      </c>
      <c r="FK201" s="44" t="str">
        <f>IF(Table1[Leaving Date]="","",IF(Table1[Date of Initial Assessment]="","",IF(AND(Table1[Leaving Date]&gt;42094,Table1[Leaving Date]&lt;42461),IF(Table1[Date of Last Assessment]="",Table1[Motivation and Taking Responsibility],Table1[Motivation and Taking Responsibility2]),"")))</f>
        <v/>
      </c>
      <c r="FL201" s="44" t="str">
        <f>IF(Table1[Leaving Date]="","",IF(Table1[Date of Initial Assessment]="","",IF(AND(Table1[Leaving Date]&gt;42094,Table1[Leaving Date]&lt;42461),IF(Table1[Date of Last Assessment]="",Table1[Self-Care and Living Skills],Table1[Self-Care and Living Skills2]),"")))</f>
        <v/>
      </c>
      <c r="FM201" s="44" t="str">
        <f>IF(Table1[Leaving Date]="","",IF(Table1[Date of Initial Assessment]="","",IF(AND(Table1[Leaving Date]&gt;42094,Table1[Leaving Date]&lt;42461),IF(Table1[Date of Last Assessment]="",Table1[Managing Money and Personal Administration],Table1[Managing Money and Personal Administration2]),"")))</f>
        <v/>
      </c>
      <c r="FN201" s="44" t="str">
        <f>IF(Table1[Leaving Date]="","",IF(Table1[Date of Initial Assessment]="","",IF(AND(Table1[Leaving Date]&gt;42094,Table1[Leaving Date]&lt;42461),IF(Table1[Date of Last Assessment]="",Table1[Social Networks and Relationships],Table1[Social Networks and Relationships2]),"")))</f>
        <v/>
      </c>
      <c r="FO201" s="44" t="str">
        <f>IF(Table1[Leaving Date]="","",IF(Table1[Date of Initial Assessment]="","",IF(AND(Table1[Leaving Date]&gt;42094,Table1[Leaving Date]&lt;42461),IF(Table1[Date of Last Assessment]="",Table1[Drug and Alcohol Misuse],Table1[Drug and Alcohol Misuse2]),"")))</f>
        <v/>
      </c>
      <c r="FP201" s="44" t="str">
        <f>IF(Table1[Leaving Date]="","",IF(Table1[Date of Initial Assessment]="","",IF(AND(Table1[Leaving Date]&gt;42094,Table1[Leaving Date]&lt;42461),IF(Table1[Date of Last Assessment]="",Table1[Physical Health],Table1[Physical Health2]),"")))</f>
        <v/>
      </c>
      <c r="FQ201" s="44" t="str">
        <f>IF(Table1[Leaving Date]="","",IF(Table1[Date of Initial Assessment]="","",IF(AND(Table1[Leaving Date]&gt;42094,Table1[Leaving Date]&lt;42461),IF(Table1[Date of Last Assessment]="",Table1[Emotional and Mental Health],Table1[Emotional and Mental Health2]),"")))</f>
        <v/>
      </c>
      <c r="FR201" s="44" t="str">
        <f>IF(Table1[Leaving Date]="","",IF(Table1[Date of Initial Assessment]="","",IF(AND(Table1[Leaving Date]&gt;42094,Table1[Leaving Date]&lt;42461),IF(Table1[Date of Last Assessment]="",Table1[Meaningful Use of Time],Table1[Meaningful Use of Time2]),"")))</f>
        <v/>
      </c>
      <c r="FS201" s="44" t="str">
        <f>IF(Table1[Leaving Date]="","",IF(Table1[Date of Initial Assessment]="","",IF(AND(Table1[Leaving Date]&gt;42094,Table1[Leaving Date]&lt;42461),IF(Table1[Date of Last Assessment]="",Table1[Managing Tenancy and Accommodation],Table1[Managing Tenancy and Accommodation2]),"")))</f>
        <v/>
      </c>
      <c r="FT201" s="44" t="str">
        <f>IF(Table1[Leaving Date]="","",IF(Table1[Date of Initial Assessment]="","",IF(AND(Table1[Leaving Date]&gt;42094,Table1[Leaving Date]&lt;42461),IF(Table1[Date of Last Assessment]="",Table1[Offending],Table1[Offending2]),"")))</f>
        <v/>
      </c>
      <c r="FU201" s="44" t="str">
        <f>IF(Table1[Date of Initial Assessment]="","",IF(AND(Table1[Start Date]&gt;42460,Table1[Start Date]&lt;42826),Table1[Motivation and Taking Responsibility],""))</f>
        <v/>
      </c>
      <c r="FV201" s="44" t="str">
        <f>IF(Table1[Date of Initial Assessment]="","",IF(AND(Table1[Start Date]&gt;42460,Table1[Start Date]&lt;42826),Table1[Self-Care and Living Skills],""))</f>
        <v/>
      </c>
      <c r="FW201" s="44" t="str">
        <f>IF(Table1[Date of Initial Assessment]="","",IF(AND(Table1[Start Date]&gt;42460,Table1[Start Date]&lt;42826),Table1[Managing Money and Personal Administration],""))</f>
        <v/>
      </c>
      <c r="FX201" s="44" t="str">
        <f>IF(Table1[Date of Initial Assessment]="","",IF(AND(Table1[Start Date]&gt;42460,Table1[Start Date]&lt;42826),Table1[Social Networks and Relationships],""))</f>
        <v/>
      </c>
      <c r="FY201" s="44" t="str">
        <f>IF(Table1[Date of Initial Assessment]="","",IF(AND(Table1[Start Date]&gt;42460,Table1[Start Date]&lt;42826),Table1[Drug and Alcohol Misuse],""))</f>
        <v/>
      </c>
      <c r="FZ201" s="44" t="str">
        <f>IF(Table1[Date of Initial Assessment]="","",IF(AND(Table1[Start Date]&gt;42460,Table1[Start Date]&lt;42826),Table1[Physical Health],""))</f>
        <v/>
      </c>
      <c r="GA201" s="44" t="str">
        <f>IF(Table1[Date of Initial Assessment]="","",IF(AND(Table1[Start Date]&gt;42460,Table1[Start Date]&lt;42826),Table1[Emotional and Mental Health],""))</f>
        <v/>
      </c>
      <c r="GB201" s="44" t="str">
        <f>IF(Table1[Date of Initial Assessment]="","",IF(AND(Table1[Start Date]&gt;42460,Table1[Start Date]&lt;42826),Table1[Meaningful Use of Time],""))</f>
        <v/>
      </c>
      <c r="GC201" s="44" t="str">
        <f>IF(Table1[Date of Initial Assessment]="","",IF(AND(Table1[Start Date]&gt;42460,Table1[Start Date]&lt;42826),Table1[Managing Tenancy and Accommodation],""))</f>
        <v/>
      </c>
      <c r="GD201" s="44" t="str">
        <f>IF(Table1[Date of Initial Assessment]="","",IF(AND(Table1[Start Date]&gt;42460,Table1[Start Date]&lt;42826),Table1[Offending],""))</f>
        <v/>
      </c>
      <c r="GE201" s="44" t="str">
        <f>IF(Table1[Leaving Date]="","",IF(AND(Table1[Leaving Date]&gt;42460,Table1[Leaving Date]&lt;42826),IF(Table1[Date of Last Assessment]="",Table1[Motivation and Taking Responsibility],Table1[Motivation and Taking Responsibility2]),""))</f>
        <v/>
      </c>
      <c r="GF201" s="44" t="str">
        <f>IF(Table1[Leaving Date]="","",IF(AND(Table1[Leaving Date]&gt;42460,Table1[Leaving Date]&lt;42826),IF(Table1[Date of Last Assessment]="",Table1[Self-Care and Living Skills],Table1[Self-Care and Living Skills2]),""))</f>
        <v/>
      </c>
      <c r="GG201" s="44" t="str">
        <f>IF(Table1[Leaving Date]="","",IF(AND(Table1[Leaving Date]&gt;42460,Table1[Leaving Date]&lt;42826),IF(Table1[Date of Last Assessment]="",Table1[Managing Money and Personal Administration],Table1[Managing Money and Personal Administration2]),""))</f>
        <v/>
      </c>
      <c r="GH201" s="44" t="str">
        <f>IF(Table1[Leaving Date]="","",IF(AND(Table1[Leaving Date]&gt;42460,Table1[Leaving Date]&lt;42826),IF(Table1[Date of Last Assessment]="",Table1[Social Networks and Relationships],Table1[Social Networks and Relationships2]),""))</f>
        <v/>
      </c>
      <c r="GI201" s="44" t="str">
        <f>IF(Table1[Leaving Date]="","",IF(AND(Table1[Leaving Date]&gt;42460,Table1[Leaving Date]&lt;42826),IF(Table1[Date of Last Assessment]="",Table1[Drug and Alcohol Misuse],Table1[Drug and Alcohol Misuse2]),""))</f>
        <v/>
      </c>
      <c r="GJ201" s="44" t="str">
        <f>IF(Table1[Leaving Date]="","",IF(AND(Table1[Leaving Date]&gt;42460,Table1[Leaving Date]&lt;42826),IF(Table1[Date of Last Assessment]="",Table1[Physical Health],Table1[Physical Health2]),""))</f>
        <v/>
      </c>
      <c r="GK201" s="44" t="str">
        <f>IF(Table1[Leaving Date]="","",IF(AND(Table1[Leaving Date]&gt;42460,Table1[Leaving Date]&lt;42826),IF(Table1[Date of Last Assessment]="",Table1[Emotional and Mental Health],Table1[Emotional and Mental Health2]),""))</f>
        <v/>
      </c>
      <c r="GL201" s="44" t="str">
        <f>IF(Table1[Leaving Date]="","",IF(AND(Table1[Leaving Date]&gt;42460,Table1[Leaving Date]&lt;42826),IF(Table1[Date of Last Assessment]="",Table1[Meaningful Use of Time],Table1[Meaningful Use of Time2]),""))</f>
        <v/>
      </c>
      <c r="GM201" s="44" t="str">
        <f>IF(Table1[Leaving Date]="","",IF(AND(Table1[Leaving Date]&gt;42460,Table1[Leaving Date]&lt;42826),IF(Table1[Date of Last Assessment]="",Table1[Managing Tenancy and Accommodation],Table1[Managing Tenancy and Accommodation2]),""))</f>
        <v/>
      </c>
      <c r="GN201" s="44" t="str">
        <f>IF(Table1[Leaving Date]="","",IF(AND(Table1[Leaving Date]&gt;42460,Table1[Leaving Date]&lt;42826),IF(Table1[Date of Last Assessment]="",Table1[Offending],Table1[Offending2]),""))</f>
        <v/>
      </c>
    </row>
    <row r="202" spans="2:196" ht="20.100000000000001" customHeight="1" x14ac:dyDescent="0.2">
      <c r="B202" s="86">
        <f>+'Service Data'!$C$5:$C$5</f>
        <v>0</v>
      </c>
      <c r="C202" s="86"/>
      <c r="D202" s="86"/>
      <c r="E202" s="86"/>
      <c r="F202" s="86"/>
      <c r="G202" s="86"/>
      <c r="H202" s="6"/>
      <c r="I202" s="99" t="str">
        <f ca="1">IF(Table1[[#This Row],[Date of Birth]]="","",SUM(TODAY()-Table1[[#This Row],[Date of Birth]])/365)</f>
        <v/>
      </c>
      <c r="L202" s="86"/>
      <c r="M202" s="77"/>
      <c r="N202" s="86"/>
      <c r="O202" s="86"/>
      <c r="P202" s="91"/>
      <c r="Q202" s="86"/>
      <c r="R202" s="77"/>
      <c r="S202" s="77"/>
      <c r="T202" s="68"/>
      <c r="U202" s="68"/>
      <c r="V202" s="67"/>
      <c r="W202" s="67"/>
      <c r="X202" s="67"/>
      <c r="Y202" s="67"/>
      <c r="Z202" s="67"/>
      <c r="AA202" s="67"/>
      <c r="AB202" s="67"/>
      <c r="AC202" s="67"/>
      <c r="AD202" s="67"/>
      <c r="AE202" s="67"/>
      <c r="AF202" s="67"/>
      <c r="AG202" s="67"/>
      <c r="AH202" s="67"/>
      <c r="AI202" s="67"/>
      <c r="AJ202" s="67"/>
      <c r="AK202" s="67"/>
      <c r="AL202" s="67"/>
      <c r="AM202" s="67"/>
      <c r="AN202" s="77"/>
      <c r="AO202" s="76"/>
      <c r="AP202" s="77"/>
      <c r="AQ202" s="76"/>
      <c r="AR202" s="76"/>
      <c r="AS202" s="76"/>
      <c r="AT202" s="76"/>
      <c r="AU202" s="76"/>
      <c r="AV202" s="77"/>
      <c r="AW202" s="76"/>
      <c r="AX202" s="77"/>
      <c r="AY202" s="76"/>
      <c r="AZ202" s="76"/>
      <c r="BA202" s="76"/>
      <c r="BB202" s="76"/>
      <c r="BC202" s="76"/>
      <c r="BD202" s="77"/>
      <c r="BE202" s="76"/>
      <c r="BF202" s="77"/>
      <c r="BG202" s="76"/>
      <c r="BH202" s="76"/>
      <c r="BI202" s="76"/>
      <c r="BJ202" s="76"/>
      <c r="BK202" s="76"/>
      <c r="BL202" s="77"/>
      <c r="BM202" s="76"/>
      <c r="BN202" s="77"/>
      <c r="BO202" s="76"/>
      <c r="BP202" s="76"/>
      <c r="BQ202" s="76"/>
      <c r="BR202" s="76"/>
      <c r="BS202" s="76"/>
      <c r="BT202" s="77"/>
      <c r="BU202" s="76"/>
      <c r="BV202" s="77"/>
      <c r="BW202" s="76"/>
      <c r="BX202" s="76"/>
      <c r="BY202" s="76"/>
      <c r="BZ202" s="76"/>
      <c r="CA202" s="76"/>
      <c r="CB202" s="77"/>
      <c r="CC202" s="76"/>
      <c r="CD202" s="77"/>
      <c r="CE202" s="76"/>
      <c r="CF202" s="76"/>
      <c r="CG202" s="76"/>
      <c r="CH202" s="76"/>
      <c r="CI202" s="76"/>
      <c r="CJ202" s="77"/>
      <c r="CK202" s="76"/>
      <c r="CL202" s="77"/>
      <c r="CM202" s="76"/>
      <c r="CN202" s="76"/>
      <c r="CO202" s="76"/>
      <c r="CP202" s="76"/>
      <c r="CQ202" s="76"/>
      <c r="CR202" s="78" t="str">
        <f t="shared" si="63"/>
        <v/>
      </c>
      <c r="CS202" s="79" t="str">
        <f t="shared" si="64"/>
        <v/>
      </c>
      <c r="CT202" s="79" t="str">
        <f t="shared" si="65"/>
        <v/>
      </c>
      <c r="CU202" s="79" t="str">
        <f t="shared" si="66"/>
        <v/>
      </c>
      <c r="CV202" s="79" t="str">
        <f t="shared" si="67"/>
        <v/>
      </c>
      <c r="CW202" s="79" t="str">
        <f t="shared" si="68"/>
        <v/>
      </c>
      <c r="CX202" s="79" t="str">
        <f t="shared" si="69"/>
        <v/>
      </c>
      <c r="CY202" s="79" t="str">
        <f t="shared" si="70"/>
        <v/>
      </c>
      <c r="CZ202" s="79" t="str">
        <f t="shared" si="71"/>
        <v/>
      </c>
      <c r="DA202" s="79" t="str">
        <f t="shared" si="72"/>
        <v/>
      </c>
      <c r="DB202" s="79" t="str">
        <f t="shared" si="73"/>
        <v/>
      </c>
      <c r="DC202" s="79" t="str">
        <f t="shared" si="74"/>
        <v/>
      </c>
      <c r="DD202" s="79" t="str">
        <f t="shared" si="75"/>
        <v/>
      </c>
      <c r="DE202" s="79" t="str">
        <f t="shared" si="76"/>
        <v/>
      </c>
      <c r="DF202" s="79" t="str">
        <f t="shared" si="77"/>
        <v/>
      </c>
      <c r="DG202" s="79" t="str">
        <f t="shared" si="78"/>
        <v/>
      </c>
      <c r="DH202" s="76"/>
      <c r="DI202" s="78"/>
      <c r="DJ202" s="76"/>
      <c r="DK202" s="77"/>
      <c r="DL202" s="77"/>
      <c r="DM202" s="77"/>
      <c r="DN202" s="80"/>
      <c r="DO202" s="80"/>
      <c r="DP202" s="92" t="str">
        <f>IF(Table1[Start Date]="","",IF(Table1[Start Date]&gt;42185,"",IF(AND(Table1[Leaving Date]&gt;1,Table1[Leaving Date]&lt;42095),"",1)))</f>
        <v/>
      </c>
      <c r="DQ202" s="92" t="str">
        <f>IF(Table1[Start Date]="","",IF(Table1[Start Date]&gt;42277,"",IF(AND(Table1[Leaving Date]&gt;1,Table1[Leaving Date]&lt;42186),"",1)))</f>
        <v/>
      </c>
      <c r="DR202" s="92" t="str">
        <f>IF(Table1[Start Date]="","",IF(Table1[Start Date]&gt;42369,"",IF(AND(Table1[Leaving Date]&gt;1,Table1[Leaving Date]&lt;42278),"",1)))</f>
        <v/>
      </c>
      <c r="DS202" s="92" t="str">
        <f>IF(Table1[Start Date]="","",IF(Table1[Start Date]&gt;42460,"",IF(AND(Table1[Leaving Date]&gt;1,Table1[Leaving Date]&lt;42370),"",1)))</f>
        <v/>
      </c>
      <c r="DT202" s="92" t="str">
        <f>IF(Table1[Start Date]="","",IF(Table1[Start Date]&gt;42551,"",IF(AND(Table1[Leaving Date]&gt;1,Table1[Leaving Date]&lt;42461),"",1)))</f>
        <v/>
      </c>
      <c r="DU202" s="92" t="str">
        <f>IF(Table1[Start Date]="","",IF(Table1[Start Date]&gt;42643,"",IF(AND(Table1[Leaving Date]&gt;1,Table1[Leaving Date]&lt;42552),"",1)))</f>
        <v/>
      </c>
      <c r="DV202" s="92" t="str">
        <f>IF(Table1[Start Date]="","",IF(Table1[Start Date]&gt;42735,"",IF(AND(Table1[Leaving Date]&gt;1,Table1[Leaving Date]&lt;42644),"",1)))</f>
        <v/>
      </c>
      <c r="DW202" s="92" t="str">
        <f>IF(Table1[Start Date]="","",IF(Table1[Start Date]&gt;42825,"",IF(AND(Table1[Leaving Date]&gt;1,Table1[Leaving Date]&lt;42736),"",1)))</f>
        <v/>
      </c>
      <c r="DX202"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202" s="44" t="e">
        <f>VLOOKUP(Table1[Referral Source],Lists!$G$2:$H$20,2,FALSE)</f>
        <v>#N/A</v>
      </c>
      <c r="DZ202" s="93" t="e">
        <f>SUM(Table1[Data Referral Quarter]+Table1[Data Referral Source])</f>
        <v>#N/A</v>
      </c>
      <c r="EA202" s="44" t="b">
        <f>IF(Table1[Referral Decision]="Accepted",100,IF(Table1[Referral Decision]="Rejected by Provider",200,IF(Table1[Referral Decision]="Rejected by Applicant",300)))</f>
        <v>0</v>
      </c>
      <c r="EB202" s="44">
        <f>SUM(Table1[Data Referral Quarter]+Table1[Data Referral Decision])</f>
        <v>0</v>
      </c>
      <c r="EC202" s="44" t="b">
        <f>IF(Table1[Start Date]&gt;42735,8000,IF(Table1[Start Date]&gt;42643,7000,IF(Table1[Start Date]&gt;42551,6000,IF(Table1[Start Date]&gt;42460,5000,IF(Table1[Start Date]&gt;42369,4000,IF(Table1[Start Date]&gt;42277,3000,IF(Table1[Start Date]&gt;42185,2000,IF(Table1[Start Date]&gt;42094,1000))))))))</f>
        <v>0</v>
      </c>
      <c r="ED202" s="44" t="str">
        <f>IF(Table1[Start Date]="","",IF(Table1[Current Local Authority]="Swindon",1,"2"))</f>
        <v/>
      </c>
      <c r="EE202" s="44" t="e">
        <f>SUM(Table1[Data Start Date]+Table1[Data Local Authority])</f>
        <v>#VALUE!</v>
      </c>
      <c r="EF202" s="44">
        <f>IF(Table1[Registered with GP]="Yes",1,0)</f>
        <v>0</v>
      </c>
      <c r="EG202" s="44">
        <f>SUM(Table1[Data Start Date]+Table1[Data GP Start])</f>
        <v>0</v>
      </c>
      <c r="EH202" s="44" t="str">
        <f>IF(Table1[EET]="NEET",1,IF(Table1[EET]="Education",2,IF(Table1[EET]="Employment",2,IF(Table1[EET]="Training",2,IF(Table1[EET]="Retired",3,"")))))</f>
        <v/>
      </c>
      <c r="EI202" s="44" t="e">
        <f>Table1[Data Start Date]+Table1[Data EET Start]</f>
        <v>#VALUE!</v>
      </c>
      <c r="EJ202" s="44" t="b">
        <f>IF(Table1[Leaving Date]&gt;42735,8000,IF(Table1[Leaving Date]&gt;42643,7000,IF(Table1[Leaving Date]&gt;42551,6000,IF(Table1[Leaving Date]&gt;42460,5000,IF(Table1[Leaving Date]&gt;42369,4000,IF(Table1[Leaving Date]&gt;42277,3000,IF(Table1[Leaving Date]&gt;42185,2000,IF(Table1[Leaving Date]&gt;42094,1000))))))))</f>
        <v>0</v>
      </c>
      <c r="EK202" s="44" t="e">
        <f>VLOOKUP(Table1[Reason for Leaving],Lists!$T$2:$U$15,2,FALSE)</f>
        <v>#N/A</v>
      </c>
      <c r="EL202" s="44" t="e">
        <f>SUM(Table1[Data Leavers Date]+Table1[Data Move On])</f>
        <v>#N/A</v>
      </c>
      <c r="EM202" s="44" t="b">
        <f>IF(Table1[Registered with GP2]="Yes",1,IF(Table1[Registered with GP2]="No",0,IF(Table1[Registered with GP]="Yes",1,IF(Table1[Registered with GP]="No",0))))</f>
        <v>0</v>
      </c>
      <c r="EN202" s="44">
        <f>SUM(Table1[Data Leavers Date]+Table1[Data GP End])</f>
        <v>0</v>
      </c>
      <c r="EO202" s="44" t="str">
        <f>IF(Table1[EET2]="NEET",1,IF(Table1[EET2]="Employment",2,IF(Table1[EET2]="Education",2,IF(Table1[EET2]="Training",2,IF(Table1[EET2]="Retired",3,IF(Table1[EET]="NEET",1,IF(Table1[EET]="Employment",2,IF(Table1[EET]="Education",2,IF(Table1[EET]="Training",2,IF(Table1[EET]="Retired",3,""))))))))))</f>
        <v/>
      </c>
      <c r="EP202" s="44" t="e">
        <f>+Table1[[#This Row],[Data Leavers Date]]+Table1[[#This Row],[Data EET End]]</f>
        <v>#VALUE!</v>
      </c>
      <c r="EQ202" s="44">
        <f>IF(Table1[Exit Form Received]="Yes",1,0)</f>
        <v>0</v>
      </c>
      <c r="ER202" s="44">
        <f>+Table1[[#This Row],[Data Leavers Date]]+Table1[[#This Row],[Data Exit Forms]]</f>
        <v>0</v>
      </c>
      <c r="ES202" s="44" t="str">
        <f>IF(Table1[Data Leavers Date]=1000,SUM(Table1[Leaving Date]-Table1[Start Date]),"")</f>
        <v/>
      </c>
      <c r="ET202" s="44" t="str">
        <f>IF(Table1[Data Leavers Date]=2000,SUM(Table1[Leaving Date]-Table1[Start Date]),"")</f>
        <v/>
      </c>
      <c r="EU202" s="44" t="str">
        <f>IF(Table1[Data Leavers Date]=3000,SUM(Table1[Leaving Date]-Table1[Start Date]),"")</f>
        <v/>
      </c>
      <c r="EV202" s="44" t="str">
        <f>IF(Table1[Data Leavers Date]=4000,SUM(Table1[Leaving Date]-Table1[Start Date]),"")</f>
        <v/>
      </c>
      <c r="EW202" s="44" t="str">
        <f>IF(Table1[Data Leavers Date]=5000,SUM(Table1[Leaving Date]-Table1[Start Date]),"")</f>
        <v/>
      </c>
      <c r="EX202" s="44" t="str">
        <f>IF(Table1[Data Leavers Date]=6000,SUM(Table1[Leaving Date]-Table1[Start Date]),"")</f>
        <v/>
      </c>
      <c r="EY202" s="44" t="str">
        <f>IF(Table1[Data Leavers Date]=7000,SUM(Table1[Leaving Date]-Table1[Start Date]),"")</f>
        <v/>
      </c>
      <c r="EZ202" s="44" t="str">
        <f>IF(Table1[Data Leavers Date]=8000,SUM(Table1[Leaving Date]-Table1[Start Date]),"")</f>
        <v/>
      </c>
      <c r="FA202" s="44" t="str">
        <f>IF(Table1[Date of Initial Assessment]="","",IF(AND(Table1[Start Date]&gt;42094,Table1[Start Date]&lt;42461),Table1[Motivation and Taking Responsibility],""))</f>
        <v/>
      </c>
      <c r="FB202" s="44" t="str">
        <f>IF(Table1[Date of Initial Assessment]="","",IF(AND(Table1[Start Date]&gt;42094,Table1[Start Date]&lt;42461),Table1[Self-Care and Living Skills],""))</f>
        <v/>
      </c>
      <c r="FC202" s="44" t="str">
        <f>IF(Table1[Date of Initial Assessment]="","",IF(AND(Table1[Start Date]&gt;42094,Table1[Start Date]&lt;42461),Table1[Managing Money and Personal Administration],""))</f>
        <v/>
      </c>
      <c r="FD202" s="44" t="str">
        <f>IF(Table1[Date of Initial Assessment]="","",IF(AND(Table1[Start Date]&gt;42094,Table1[Start Date]&lt;42461),Table1[Social Networks and Relationships],""))</f>
        <v/>
      </c>
      <c r="FE202" s="44" t="str">
        <f>IF(Table1[Date of Initial Assessment]="","",IF(AND(Table1[Start Date]&gt;42094,Table1[Start Date]&lt;42461),Table1[Drug and Alcohol Misuse],""))</f>
        <v/>
      </c>
      <c r="FF202" s="44" t="str">
        <f>IF(Table1[Date of Initial Assessment]="","",IF(AND(Table1[Start Date]&gt;42094,Table1[Start Date]&lt;42461),Table1[Physical Health],""))</f>
        <v/>
      </c>
      <c r="FG202" s="44" t="str">
        <f>IF(Table1[Date of Initial Assessment]="","",IF(AND(Table1[Start Date]&gt;42094,Table1[Start Date]&lt;42461),Table1[Emotional and Mental Health],""))</f>
        <v/>
      </c>
      <c r="FH202" s="44" t="str">
        <f>IF(Table1[Date of Initial Assessment]="","",IF(AND(Table1[Start Date]&gt;42094,Table1[Start Date]&lt;42461),Table1[Meaningful Use of Time],""))</f>
        <v/>
      </c>
      <c r="FI202" s="44" t="str">
        <f>IF(Table1[Date of Initial Assessment]="","",IF(AND(Table1[Start Date]&gt;42094,Table1[Start Date]&lt;42461),Table1[Managing Tenancy and Accommodation],""))</f>
        <v/>
      </c>
      <c r="FJ202" s="44" t="str">
        <f>IF(Table1[Date of Initial Assessment]="","",IF(AND(Table1[Start Date]&gt;42094,Table1[Start Date]&lt;42461),Table1[Offending],""))</f>
        <v/>
      </c>
      <c r="FK202" s="44" t="str">
        <f>IF(Table1[Leaving Date]="","",IF(Table1[Date of Initial Assessment]="","",IF(AND(Table1[Leaving Date]&gt;42094,Table1[Leaving Date]&lt;42461),IF(Table1[Date of Last Assessment]="",Table1[Motivation and Taking Responsibility],Table1[Motivation and Taking Responsibility2]),"")))</f>
        <v/>
      </c>
      <c r="FL202" s="44" t="str">
        <f>IF(Table1[Leaving Date]="","",IF(Table1[Date of Initial Assessment]="","",IF(AND(Table1[Leaving Date]&gt;42094,Table1[Leaving Date]&lt;42461),IF(Table1[Date of Last Assessment]="",Table1[Self-Care and Living Skills],Table1[Self-Care and Living Skills2]),"")))</f>
        <v/>
      </c>
      <c r="FM202" s="44" t="str">
        <f>IF(Table1[Leaving Date]="","",IF(Table1[Date of Initial Assessment]="","",IF(AND(Table1[Leaving Date]&gt;42094,Table1[Leaving Date]&lt;42461),IF(Table1[Date of Last Assessment]="",Table1[Managing Money and Personal Administration],Table1[Managing Money and Personal Administration2]),"")))</f>
        <v/>
      </c>
      <c r="FN202" s="44" t="str">
        <f>IF(Table1[Leaving Date]="","",IF(Table1[Date of Initial Assessment]="","",IF(AND(Table1[Leaving Date]&gt;42094,Table1[Leaving Date]&lt;42461),IF(Table1[Date of Last Assessment]="",Table1[Social Networks and Relationships],Table1[Social Networks and Relationships2]),"")))</f>
        <v/>
      </c>
      <c r="FO202" s="44" t="str">
        <f>IF(Table1[Leaving Date]="","",IF(Table1[Date of Initial Assessment]="","",IF(AND(Table1[Leaving Date]&gt;42094,Table1[Leaving Date]&lt;42461),IF(Table1[Date of Last Assessment]="",Table1[Drug and Alcohol Misuse],Table1[Drug and Alcohol Misuse2]),"")))</f>
        <v/>
      </c>
      <c r="FP202" s="44" t="str">
        <f>IF(Table1[Leaving Date]="","",IF(Table1[Date of Initial Assessment]="","",IF(AND(Table1[Leaving Date]&gt;42094,Table1[Leaving Date]&lt;42461),IF(Table1[Date of Last Assessment]="",Table1[Physical Health],Table1[Physical Health2]),"")))</f>
        <v/>
      </c>
      <c r="FQ202" s="44" t="str">
        <f>IF(Table1[Leaving Date]="","",IF(Table1[Date of Initial Assessment]="","",IF(AND(Table1[Leaving Date]&gt;42094,Table1[Leaving Date]&lt;42461),IF(Table1[Date of Last Assessment]="",Table1[Emotional and Mental Health],Table1[Emotional and Mental Health2]),"")))</f>
        <v/>
      </c>
      <c r="FR202" s="44" t="str">
        <f>IF(Table1[Leaving Date]="","",IF(Table1[Date of Initial Assessment]="","",IF(AND(Table1[Leaving Date]&gt;42094,Table1[Leaving Date]&lt;42461),IF(Table1[Date of Last Assessment]="",Table1[Meaningful Use of Time],Table1[Meaningful Use of Time2]),"")))</f>
        <v/>
      </c>
      <c r="FS202" s="44" t="str">
        <f>IF(Table1[Leaving Date]="","",IF(Table1[Date of Initial Assessment]="","",IF(AND(Table1[Leaving Date]&gt;42094,Table1[Leaving Date]&lt;42461),IF(Table1[Date of Last Assessment]="",Table1[Managing Tenancy and Accommodation],Table1[Managing Tenancy and Accommodation2]),"")))</f>
        <v/>
      </c>
      <c r="FT202" s="44" t="str">
        <f>IF(Table1[Leaving Date]="","",IF(Table1[Date of Initial Assessment]="","",IF(AND(Table1[Leaving Date]&gt;42094,Table1[Leaving Date]&lt;42461),IF(Table1[Date of Last Assessment]="",Table1[Offending],Table1[Offending2]),"")))</f>
        <v/>
      </c>
      <c r="FU202" s="44" t="str">
        <f>IF(Table1[Date of Initial Assessment]="","",IF(AND(Table1[Start Date]&gt;42460,Table1[Start Date]&lt;42826),Table1[Motivation and Taking Responsibility],""))</f>
        <v/>
      </c>
      <c r="FV202" s="44" t="str">
        <f>IF(Table1[Date of Initial Assessment]="","",IF(AND(Table1[Start Date]&gt;42460,Table1[Start Date]&lt;42826),Table1[Self-Care and Living Skills],""))</f>
        <v/>
      </c>
      <c r="FW202" s="44" t="str">
        <f>IF(Table1[Date of Initial Assessment]="","",IF(AND(Table1[Start Date]&gt;42460,Table1[Start Date]&lt;42826),Table1[Managing Money and Personal Administration],""))</f>
        <v/>
      </c>
      <c r="FX202" s="44" t="str">
        <f>IF(Table1[Date of Initial Assessment]="","",IF(AND(Table1[Start Date]&gt;42460,Table1[Start Date]&lt;42826),Table1[Social Networks and Relationships],""))</f>
        <v/>
      </c>
      <c r="FY202" s="44" t="str">
        <f>IF(Table1[Date of Initial Assessment]="","",IF(AND(Table1[Start Date]&gt;42460,Table1[Start Date]&lt;42826),Table1[Drug and Alcohol Misuse],""))</f>
        <v/>
      </c>
      <c r="FZ202" s="44" t="str">
        <f>IF(Table1[Date of Initial Assessment]="","",IF(AND(Table1[Start Date]&gt;42460,Table1[Start Date]&lt;42826),Table1[Physical Health],""))</f>
        <v/>
      </c>
      <c r="GA202" s="44" t="str">
        <f>IF(Table1[Date of Initial Assessment]="","",IF(AND(Table1[Start Date]&gt;42460,Table1[Start Date]&lt;42826),Table1[Emotional and Mental Health],""))</f>
        <v/>
      </c>
      <c r="GB202" s="44" t="str">
        <f>IF(Table1[Date of Initial Assessment]="","",IF(AND(Table1[Start Date]&gt;42460,Table1[Start Date]&lt;42826),Table1[Meaningful Use of Time],""))</f>
        <v/>
      </c>
      <c r="GC202" s="44" t="str">
        <f>IF(Table1[Date of Initial Assessment]="","",IF(AND(Table1[Start Date]&gt;42460,Table1[Start Date]&lt;42826),Table1[Managing Tenancy and Accommodation],""))</f>
        <v/>
      </c>
      <c r="GD202" s="44" t="str">
        <f>IF(Table1[Date of Initial Assessment]="","",IF(AND(Table1[Start Date]&gt;42460,Table1[Start Date]&lt;42826),Table1[Offending],""))</f>
        <v/>
      </c>
      <c r="GE202" s="44" t="str">
        <f>IF(Table1[Leaving Date]="","",IF(AND(Table1[Leaving Date]&gt;42460,Table1[Leaving Date]&lt;42826),IF(Table1[Date of Last Assessment]="",Table1[Motivation and Taking Responsibility],Table1[Motivation and Taking Responsibility2]),""))</f>
        <v/>
      </c>
      <c r="GF202" s="44" t="str">
        <f>IF(Table1[Leaving Date]="","",IF(AND(Table1[Leaving Date]&gt;42460,Table1[Leaving Date]&lt;42826),IF(Table1[Date of Last Assessment]="",Table1[Self-Care and Living Skills],Table1[Self-Care and Living Skills2]),""))</f>
        <v/>
      </c>
      <c r="GG202" s="44" t="str">
        <f>IF(Table1[Leaving Date]="","",IF(AND(Table1[Leaving Date]&gt;42460,Table1[Leaving Date]&lt;42826),IF(Table1[Date of Last Assessment]="",Table1[Managing Money and Personal Administration],Table1[Managing Money and Personal Administration2]),""))</f>
        <v/>
      </c>
      <c r="GH202" s="44" t="str">
        <f>IF(Table1[Leaving Date]="","",IF(AND(Table1[Leaving Date]&gt;42460,Table1[Leaving Date]&lt;42826),IF(Table1[Date of Last Assessment]="",Table1[Social Networks and Relationships],Table1[Social Networks and Relationships2]),""))</f>
        <v/>
      </c>
      <c r="GI202" s="44" t="str">
        <f>IF(Table1[Leaving Date]="","",IF(AND(Table1[Leaving Date]&gt;42460,Table1[Leaving Date]&lt;42826),IF(Table1[Date of Last Assessment]="",Table1[Drug and Alcohol Misuse],Table1[Drug and Alcohol Misuse2]),""))</f>
        <v/>
      </c>
      <c r="GJ202" s="44" t="str">
        <f>IF(Table1[Leaving Date]="","",IF(AND(Table1[Leaving Date]&gt;42460,Table1[Leaving Date]&lt;42826),IF(Table1[Date of Last Assessment]="",Table1[Physical Health],Table1[Physical Health2]),""))</f>
        <v/>
      </c>
      <c r="GK202" s="44" t="str">
        <f>IF(Table1[Leaving Date]="","",IF(AND(Table1[Leaving Date]&gt;42460,Table1[Leaving Date]&lt;42826),IF(Table1[Date of Last Assessment]="",Table1[Emotional and Mental Health],Table1[Emotional and Mental Health2]),""))</f>
        <v/>
      </c>
      <c r="GL202" s="44" t="str">
        <f>IF(Table1[Leaving Date]="","",IF(AND(Table1[Leaving Date]&gt;42460,Table1[Leaving Date]&lt;42826),IF(Table1[Date of Last Assessment]="",Table1[Meaningful Use of Time],Table1[Meaningful Use of Time2]),""))</f>
        <v/>
      </c>
      <c r="GM202" s="44" t="str">
        <f>IF(Table1[Leaving Date]="","",IF(AND(Table1[Leaving Date]&gt;42460,Table1[Leaving Date]&lt;42826),IF(Table1[Date of Last Assessment]="",Table1[Managing Tenancy and Accommodation],Table1[Managing Tenancy and Accommodation2]),""))</f>
        <v/>
      </c>
      <c r="GN202" s="44" t="str">
        <f>IF(Table1[Leaving Date]="","",IF(AND(Table1[Leaving Date]&gt;42460,Table1[Leaving Date]&lt;42826),IF(Table1[Date of Last Assessment]="",Table1[Offending],Table1[Offending2]),""))</f>
        <v/>
      </c>
    </row>
    <row r="203" spans="2:196" ht="20.100000000000001" customHeight="1" x14ac:dyDescent="0.2">
      <c r="B203" s="86">
        <f>+'Service Data'!$C$5:$C$5</f>
        <v>0</v>
      </c>
      <c r="C203" s="86"/>
      <c r="D203" s="86"/>
      <c r="E203" s="86"/>
      <c r="F203" s="86"/>
      <c r="G203" s="86"/>
      <c r="H203" s="6"/>
      <c r="I203" s="99" t="str">
        <f ca="1">IF(Table1[[#This Row],[Date of Birth]]="","",SUM(TODAY()-Table1[[#This Row],[Date of Birth]])/365)</f>
        <v/>
      </c>
      <c r="L203" s="86"/>
      <c r="M203" s="77"/>
      <c r="N203" s="86"/>
      <c r="O203" s="86"/>
      <c r="P203" s="91"/>
      <c r="Q203" s="86"/>
      <c r="R203" s="77"/>
      <c r="S203" s="77"/>
      <c r="T203" s="68"/>
      <c r="U203" s="68"/>
      <c r="V203" s="67"/>
      <c r="W203" s="67"/>
      <c r="X203" s="67"/>
      <c r="Y203" s="67"/>
      <c r="Z203" s="67"/>
      <c r="AA203" s="67"/>
      <c r="AB203" s="67"/>
      <c r="AC203" s="67"/>
      <c r="AD203" s="67"/>
      <c r="AE203" s="67"/>
      <c r="AF203" s="67"/>
      <c r="AG203" s="67"/>
      <c r="AH203" s="67"/>
      <c r="AI203" s="67"/>
      <c r="AJ203" s="67"/>
      <c r="AK203" s="67"/>
      <c r="AL203" s="67"/>
      <c r="AM203" s="67"/>
      <c r="AN203" s="77"/>
      <c r="AO203" s="76"/>
      <c r="AP203" s="77"/>
      <c r="AQ203" s="76"/>
      <c r="AR203" s="76"/>
      <c r="AS203" s="76"/>
      <c r="AT203" s="76"/>
      <c r="AU203" s="76"/>
      <c r="AV203" s="77"/>
      <c r="AW203" s="76"/>
      <c r="AX203" s="77"/>
      <c r="AY203" s="76"/>
      <c r="AZ203" s="76"/>
      <c r="BA203" s="76"/>
      <c r="BB203" s="76"/>
      <c r="BC203" s="76"/>
      <c r="BD203" s="77"/>
      <c r="BE203" s="76"/>
      <c r="BF203" s="77"/>
      <c r="BG203" s="76"/>
      <c r="BH203" s="76"/>
      <c r="BI203" s="76"/>
      <c r="BJ203" s="76"/>
      <c r="BK203" s="76"/>
      <c r="BL203" s="77"/>
      <c r="BM203" s="76"/>
      <c r="BN203" s="77"/>
      <c r="BO203" s="76"/>
      <c r="BP203" s="76"/>
      <c r="BQ203" s="76"/>
      <c r="BR203" s="76"/>
      <c r="BS203" s="76"/>
      <c r="BT203" s="77"/>
      <c r="BU203" s="76"/>
      <c r="BV203" s="77"/>
      <c r="BW203" s="76"/>
      <c r="BX203" s="76"/>
      <c r="BY203" s="76"/>
      <c r="BZ203" s="76"/>
      <c r="CA203" s="76"/>
      <c r="CB203" s="77"/>
      <c r="CC203" s="76"/>
      <c r="CD203" s="77"/>
      <c r="CE203" s="76"/>
      <c r="CF203" s="76"/>
      <c r="CG203" s="76"/>
      <c r="CH203" s="76"/>
      <c r="CI203" s="76"/>
      <c r="CJ203" s="77"/>
      <c r="CK203" s="76"/>
      <c r="CL203" s="77"/>
      <c r="CM203" s="76"/>
      <c r="CN203" s="76"/>
      <c r="CO203" s="76"/>
      <c r="CP203" s="76"/>
      <c r="CQ203" s="76"/>
      <c r="CR203" s="78" t="str">
        <f t="shared" si="63"/>
        <v/>
      </c>
      <c r="CS203" s="79" t="str">
        <f t="shared" si="64"/>
        <v/>
      </c>
      <c r="CT203" s="79" t="str">
        <f t="shared" si="65"/>
        <v/>
      </c>
      <c r="CU203" s="79" t="str">
        <f t="shared" si="66"/>
        <v/>
      </c>
      <c r="CV203" s="79" t="str">
        <f t="shared" si="67"/>
        <v/>
      </c>
      <c r="CW203" s="79" t="str">
        <f t="shared" si="68"/>
        <v/>
      </c>
      <c r="CX203" s="79" t="str">
        <f t="shared" si="69"/>
        <v/>
      </c>
      <c r="CY203" s="79" t="str">
        <f t="shared" si="70"/>
        <v/>
      </c>
      <c r="CZ203" s="79" t="str">
        <f t="shared" si="71"/>
        <v/>
      </c>
      <c r="DA203" s="79" t="str">
        <f t="shared" si="72"/>
        <v/>
      </c>
      <c r="DB203" s="79" t="str">
        <f t="shared" si="73"/>
        <v/>
      </c>
      <c r="DC203" s="79" t="str">
        <f t="shared" si="74"/>
        <v/>
      </c>
      <c r="DD203" s="79" t="str">
        <f t="shared" si="75"/>
        <v/>
      </c>
      <c r="DE203" s="79" t="str">
        <f t="shared" si="76"/>
        <v/>
      </c>
      <c r="DF203" s="79" t="str">
        <f t="shared" si="77"/>
        <v/>
      </c>
      <c r="DG203" s="79" t="str">
        <f t="shared" si="78"/>
        <v/>
      </c>
      <c r="DH203" s="76"/>
      <c r="DI203" s="78"/>
      <c r="DJ203" s="76"/>
      <c r="DK203" s="77"/>
      <c r="DL203" s="77"/>
      <c r="DM203" s="77"/>
      <c r="DN203" s="80"/>
      <c r="DO203" s="80"/>
      <c r="DP203" s="92" t="str">
        <f>IF(Table1[Start Date]="","",IF(Table1[Start Date]&gt;42185,"",IF(AND(Table1[Leaving Date]&gt;1,Table1[Leaving Date]&lt;42095),"",1)))</f>
        <v/>
      </c>
      <c r="DQ203" s="92" t="str">
        <f>IF(Table1[Start Date]="","",IF(Table1[Start Date]&gt;42277,"",IF(AND(Table1[Leaving Date]&gt;1,Table1[Leaving Date]&lt;42186),"",1)))</f>
        <v/>
      </c>
      <c r="DR203" s="92" t="str">
        <f>IF(Table1[Start Date]="","",IF(Table1[Start Date]&gt;42369,"",IF(AND(Table1[Leaving Date]&gt;1,Table1[Leaving Date]&lt;42278),"",1)))</f>
        <v/>
      </c>
      <c r="DS203" s="92" t="str">
        <f>IF(Table1[Start Date]="","",IF(Table1[Start Date]&gt;42460,"",IF(AND(Table1[Leaving Date]&gt;1,Table1[Leaving Date]&lt;42370),"",1)))</f>
        <v/>
      </c>
      <c r="DT203" s="92" t="str">
        <f>IF(Table1[Start Date]="","",IF(Table1[Start Date]&gt;42551,"",IF(AND(Table1[Leaving Date]&gt;1,Table1[Leaving Date]&lt;42461),"",1)))</f>
        <v/>
      </c>
      <c r="DU203" s="92" t="str">
        <f>IF(Table1[Start Date]="","",IF(Table1[Start Date]&gt;42643,"",IF(AND(Table1[Leaving Date]&gt;1,Table1[Leaving Date]&lt;42552),"",1)))</f>
        <v/>
      </c>
      <c r="DV203" s="92" t="str">
        <f>IF(Table1[Start Date]="","",IF(Table1[Start Date]&gt;42735,"",IF(AND(Table1[Leaving Date]&gt;1,Table1[Leaving Date]&lt;42644),"",1)))</f>
        <v/>
      </c>
      <c r="DW203" s="92" t="str">
        <f>IF(Table1[Start Date]="","",IF(Table1[Start Date]&gt;42825,"",IF(AND(Table1[Leaving Date]&gt;1,Table1[Leaving Date]&lt;42736),"",1)))</f>
        <v/>
      </c>
      <c r="DX203"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203" s="44" t="e">
        <f>VLOOKUP(Table1[Referral Source],Lists!$G$2:$H$20,2,FALSE)</f>
        <v>#N/A</v>
      </c>
      <c r="DZ203" s="93" t="e">
        <f>SUM(Table1[Data Referral Quarter]+Table1[Data Referral Source])</f>
        <v>#N/A</v>
      </c>
      <c r="EA203" s="44" t="b">
        <f>IF(Table1[Referral Decision]="Accepted",100,IF(Table1[Referral Decision]="Rejected by Provider",200,IF(Table1[Referral Decision]="Rejected by Applicant",300)))</f>
        <v>0</v>
      </c>
      <c r="EB203" s="44">
        <f>SUM(Table1[Data Referral Quarter]+Table1[Data Referral Decision])</f>
        <v>0</v>
      </c>
      <c r="EC203" s="44" t="b">
        <f>IF(Table1[Start Date]&gt;42735,8000,IF(Table1[Start Date]&gt;42643,7000,IF(Table1[Start Date]&gt;42551,6000,IF(Table1[Start Date]&gt;42460,5000,IF(Table1[Start Date]&gt;42369,4000,IF(Table1[Start Date]&gt;42277,3000,IF(Table1[Start Date]&gt;42185,2000,IF(Table1[Start Date]&gt;42094,1000))))))))</f>
        <v>0</v>
      </c>
      <c r="ED203" s="44" t="str">
        <f>IF(Table1[Start Date]="","",IF(Table1[Current Local Authority]="Swindon",1,"2"))</f>
        <v/>
      </c>
      <c r="EE203" s="44" t="e">
        <f>SUM(Table1[Data Start Date]+Table1[Data Local Authority])</f>
        <v>#VALUE!</v>
      </c>
      <c r="EF203" s="44">
        <f>IF(Table1[Registered with GP]="Yes",1,0)</f>
        <v>0</v>
      </c>
      <c r="EG203" s="44">
        <f>SUM(Table1[Data Start Date]+Table1[Data GP Start])</f>
        <v>0</v>
      </c>
      <c r="EH203" s="44" t="str">
        <f>IF(Table1[EET]="NEET",1,IF(Table1[EET]="Education",2,IF(Table1[EET]="Employment",2,IF(Table1[EET]="Training",2,IF(Table1[EET]="Retired",3,"")))))</f>
        <v/>
      </c>
      <c r="EI203" s="44" t="e">
        <f>Table1[Data Start Date]+Table1[Data EET Start]</f>
        <v>#VALUE!</v>
      </c>
      <c r="EJ203" s="44" t="b">
        <f>IF(Table1[Leaving Date]&gt;42735,8000,IF(Table1[Leaving Date]&gt;42643,7000,IF(Table1[Leaving Date]&gt;42551,6000,IF(Table1[Leaving Date]&gt;42460,5000,IF(Table1[Leaving Date]&gt;42369,4000,IF(Table1[Leaving Date]&gt;42277,3000,IF(Table1[Leaving Date]&gt;42185,2000,IF(Table1[Leaving Date]&gt;42094,1000))))))))</f>
        <v>0</v>
      </c>
      <c r="EK203" s="44" t="e">
        <f>VLOOKUP(Table1[Reason for Leaving],Lists!$T$2:$U$15,2,FALSE)</f>
        <v>#N/A</v>
      </c>
      <c r="EL203" s="44" t="e">
        <f>SUM(Table1[Data Leavers Date]+Table1[Data Move On])</f>
        <v>#N/A</v>
      </c>
      <c r="EM203" s="44" t="b">
        <f>IF(Table1[Registered with GP2]="Yes",1,IF(Table1[Registered with GP2]="No",0,IF(Table1[Registered with GP]="Yes",1,IF(Table1[Registered with GP]="No",0))))</f>
        <v>0</v>
      </c>
      <c r="EN203" s="44">
        <f>SUM(Table1[Data Leavers Date]+Table1[Data GP End])</f>
        <v>0</v>
      </c>
      <c r="EO203" s="44" t="str">
        <f>IF(Table1[EET2]="NEET",1,IF(Table1[EET2]="Employment",2,IF(Table1[EET2]="Education",2,IF(Table1[EET2]="Training",2,IF(Table1[EET2]="Retired",3,IF(Table1[EET]="NEET",1,IF(Table1[EET]="Employment",2,IF(Table1[EET]="Education",2,IF(Table1[EET]="Training",2,IF(Table1[EET]="Retired",3,""))))))))))</f>
        <v/>
      </c>
      <c r="EP203" s="44" t="e">
        <f>+Table1[[#This Row],[Data Leavers Date]]+Table1[[#This Row],[Data EET End]]</f>
        <v>#VALUE!</v>
      </c>
      <c r="EQ203" s="44">
        <f>IF(Table1[Exit Form Received]="Yes",1,0)</f>
        <v>0</v>
      </c>
      <c r="ER203" s="44">
        <f>+Table1[[#This Row],[Data Leavers Date]]+Table1[[#This Row],[Data Exit Forms]]</f>
        <v>0</v>
      </c>
      <c r="ES203" s="44" t="str">
        <f>IF(Table1[Data Leavers Date]=1000,SUM(Table1[Leaving Date]-Table1[Start Date]),"")</f>
        <v/>
      </c>
      <c r="ET203" s="44" t="str">
        <f>IF(Table1[Data Leavers Date]=2000,SUM(Table1[Leaving Date]-Table1[Start Date]),"")</f>
        <v/>
      </c>
      <c r="EU203" s="44" t="str">
        <f>IF(Table1[Data Leavers Date]=3000,SUM(Table1[Leaving Date]-Table1[Start Date]),"")</f>
        <v/>
      </c>
      <c r="EV203" s="44" t="str">
        <f>IF(Table1[Data Leavers Date]=4000,SUM(Table1[Leaving Date]-Table1[Start Date]),"")</f>
        <v/>
      </c>
      <c r="EW203" s="44" t="str">
        <f>IF(Table1[Data Leavers Date]=5000,SUM(Table1[Leaving Date]-Table1[Start Date]),"")</f>
        <v/>
      </c>
      <c r="EX203" s="44" t="str">
        <f>IF(Table1[Data Leavers Date]=6000,SUM(Table1[Leaving Date]-Table1[Start Date]),"")</f>
        <v/>
      </c>
      <c r="EY203" s="44" t="str">
        <f>IF(Table1[Data Leavers Date]=7000,SUM(Table1[Leaving Date]-Table1[Start Date]),"")</f>
        <v/>
      </c>
      <c r="EZ203" s="44" t="str">
        <f>IF(Table1[Data Leavers Date]=8000,SUM(Table1[Leaving Date]-Table1[Start Date]),"")</f>
        <v/>
      </c>
      <c r="FA203" s="44" t="str">
        <f>IF(Table1[Date of Initial Assessment]="","",IF(AND(Table1[Start Date]&gt;42094,Table1[Start Date]&lt;42461),Table1[Motivation and Taking Responsibility],""))</f>
        <v/>
      </c>
      <c r="FB203" s="44" t="str">
        <f>IF(Table1[Date of Initial Assessment]="","",IF(AND(Table1[Start Date]&gt;42094,Table1[Start Date]&lt;42461),Table1[Self-Care and Living Skills],""))</f>
        <v/>
      </c>
      <c r="FC203" s="44" t="str">
        <f>IF(Table1[Date of Initial Assessment]="","",IF(AND(Table1[Start Date]&gt;42094,Table1[Start Date]&lt;42461),Table1[Managing Money and Personal Administration],""))</f>
        <v/>
      </c>
      <c r="FD203" s="44" t="str">
        <f>IF(Table1[Date of Initial Assessment]="","",IF(AND(Table1[Start Date]&gt;42094,Table1[Start Date]&lt;42461),Table1[Social Networks and Relationships],""))</f>
        <v/>
      </c>
      <c r="FE203" s="44" t="str">
        <f>IF(Table1[Date of Initial Assessment]="","",IF(AND(Table1[Start Date]&gt;42094,Table1[Start Date]&lt;42461),Table1[Drug and Alcohol Misuse],""))</f>
        <v/>
      </c>
      <c r="FF203" s="44" t="str">
        <f>IF(Table1[Date of Initial Assessment]="","",IF(AND(Table1[Start Date]&gt;42094,Table1[Start Date]&lt;42461),Table1[Physical Health],""))</f>
        <v/>
      </c>
      <c r="FG203" s="44" t="str">
        <f>IF(Table1[Date of Initial Assessment]="","",IF(AND(Table1[Start Date]&gt;42094,Table1[Start Date]&lt;42461),Table1[Emotional and Mental Health],""))</f>
        <v/>
      </c>
      <c r="FH203" s="44" t="str">
        <f>IF(Table1[Date of Initial Assessment]="","",IF(AND(Table1[Start Date]&gt;42094,Table1[Start Date]&lt;42461),Table1[Meaningful Use of Time],""))</f>
        <v/>
      </c>
      <c r="FI203" s="44" t="str">
        <f>IF(Table1[Date of Initial Assessment]="","",IF(AND(Table1[Start Date]&gt;42094,Table1[Start Date]&lt;42461),Table1[Managing Tenancy and Accommodation],""))</f>
        <v/>
      </c>
      <c r="FJ203" s="44" t="str">
        <f>IF(Table1[Date of Initial Assessment]="","",IF(AND(Table1[Start Date]&gt;42094,Table1[Start Date]&lt;42461),Table1[Offending],""))</f>
        <v/>
      </c>
      <c r="FK203" s="44" t="str">
        <f>IF(Table1[Leaving Date]="","",IF(Table1[Date of Initial Assessment]="","",IF(AND(Table1[Leaving Date]&gt;42094,Table1[Leaving Date]&lt;42461),IF(Table1[Date of Last Assessment]="",Table1[Motivation and Taking Responsibility],Table1[Motivation and Taking Responsibility2]),"")))</f>
        <v/>
      </c>
      <c r="FL203" s="44" t="str">
        <f>IF(Table1[Leaving Date]="","",IF(Table1[Date of Initial Assessment]="","",IF(AND(Table1[Leaving Date]&gt;42094,Table1[Leaving Date]&lt;42461),IF(Table1[Date of Last Assessment]="",Table1[Self-Care and Living Skills],Table1[Self-Care and Living Skills2]),"")))</f>
        <v/>
      </c>
      <c r="FM203" s="44" t="str">
        <f>IF(Table1[Leaving Date]="","",IF(Table1[Date of Initial Assessment]="","",IF(AND(Table1[Leaving Date]&gt;42094,Table1[Leaving Date]&lt;42461),IF(Table1[Date of Last Assessment]="",Table1[Managing Money and Personal Administration],Table1[Managing Money and Personal Administration2]),"")))</f>
        <v/>
      </c>
      <c r="FN203" s="44" t="str">
        <f>IF(Table1[Leaving Date]="","",IF(Table1[Date of Initial Assessment]="","",IF(AND(Table1[Leaving Date]&gt;42094,Table1[Leaving Date]&lt;42461),IF(Table1[Date of Last Assessment]="",Table1[Social Networks and Relationships],Table1[Social Networks and Relationships2]),"")))</f>
        <v/>
      </c>
      <c r="FO203" s="44" t="str">
        <f>IF(Table1[Leaving Date]="","",IF(Table1[Date of Initial Assessment]="","",IF(AND(Table1[Leaving Date]&gt;42094,Table1[Leaving Date]&lt;42461),IF(Table1[Date of Last Assessment]="",Table1[Drug and Alcohol Misuse],Table1[Drug and Alcohol Misuse2]),"")))</f>
        <v/>
      </c>
      <c r="FP203" s="44" t="str">
        <f>IF(Table1[Leaving Date]="","",IF(Table1[Date of Initial Assessment]="","",IF(AND(Table1[Leaving Date]&gt;42094,Table1[Leaving Date]&lt;42461),IF(Table1[Date of Last Assessment]="",Table1[Physical Health],Table1[Physical Health2]),"")))</f>
        <v/>
      </c>
      <c r="FQ203" s="44" t="str">
        <f>IF(Table1[Leaving Date]="","",IF(Table1[Date of Initial Assessment]="","",IF(AND(Table1[Leaving Date]&gt;42094,Table1[Leaving Date]&lt;42461),IF(Table1[Date of Last Assessment]="",Table1[Emotional and Mental Health],Table1[Emotional and Mental Health2]),"")))</f>
        <v/>
      </c>
      <c r="FR203" s="44" t="str">
        <f>IF(Table1[Leaving Date]="","",IF(Table1[Date of Initial Assessment]="","",IF(AND(Table1[Leaving Date]&gt;42094,Table1[Leaving Date]&lt;42461),IF(Table1[Date of Last Assessment]="",Table1[Meaningful Use of Time],Table1[Meaningful Use of Time2]),"")))</f>
        <v/>
      </c>
      <c r="FS203" s="44" t="str">
        <f>IF(Table1[Leaving Date]="","",IF(Table1[Date of Initial Assessment]="","",IF(AND(Table1[Leaving Date]&gt;42094,Table1[Leaving Date]&lt;42461),IF(Table1[Date of Last Assessment]="",Table1[Managing Tenancy and Accommodation],Table1[Managing Tenancy and Accommodation2]),"")))</f>
        <v/>
      </c>
      <c r="FT203" s="44" t="str">
        <f>IF(Table1[Leaving Date]="","",IF(Table1[Date of Initial Assessment]="","",IF(AND(Table1[Leaving Date]&gt;42094,Table1[Leaving Date]&lt;42461),IF(Table1[Date of Last Assessment]="",Table1[Offending],Table1[Offending2]),"")))</f>
        <v/>
      </c>
      <c r="FU203" s="44" t="str">
        <f>IF(Table1[Date of Initial Assessment]="","",IF(AND(Table1[Start Date]&gt;42460,Table1[Start Date]&lt;42826),Table1[Motivation and Taking Responsibility],""))</f>
        <v/>
      </c>
      <c r="FV203" s="44" t="str">
        <f>IF(Table1[Date of Initial Assessment]="","",IF(AND(Table1[Start Date]&gt;42460,Table1[Start Date]&lt;42826),Table1[Self-Care and Living Skills],""))</f>
        <v/>
      </c>
      <c r="FW203" s="44" t="str">
        <f>IF(Table1[Date of Initial Assessment]="","",IF(AND(Table1[Start Date]&gt;42460,Table1[Start Date]&lt;42826),Table1[Managing Money and Personal Administration],""))</f>
        <v/>
      </c>
      <c r="FX203" s="44" t="str">
        <f>IF(Table1[Date of Initial Assessment]="","",IF(AND(Table1[Start Date]&gt;42460,Table1[Start Date]&lt;42826),Table1[Social Networks and Relationships],""))</f>
        <v/>
      </c>
      <c r="FY203" s="44" t="str">
        <f>IF(Table1[Date of Initial Assessment]="","",IF(AND(Table1[Start Date]&gt;42460,Table1[Start Date]&lt;42826),Table1[Drug and Alcohol Misuse],""))</f>
        <v/>
      </c>
      <c r="FZ203" s="44" t="str">
        <f>IF(Table1[Date of Initial Assessment]="","",IF(AND(Table1[Start Date]&gt;42460,Table1[Start Date]&lt;42826),Table1[Physical Health],""))</f>
        <v/>
      </c>
      <c r="GA203" s="44" t="str">
        <f>IF(Table1[Date of Initial Assessment]="","",IF(AND(Table1[Start Date]&gt;42460,Table1[Start Date]&lt;42826),Table1[Emotional and Mental Health],""))</f>
        <v/>
      </c>
      <c r="GB203" s="44" t="str">
        <f>IF(Table1[Date of Initial Assessment]="","",IF(AND(Table1[Start Date]&gt;42460,Table1[Start Date]&lt;42826),Table1[Meaningful Use of Time],""))</f>
        <v/>
      </c>
      <c r="GC203" s="44" t="str">
        <f>IF(Table1[Date of Initial Assessment]="","",IF(AND(Table1[Start Date]&gt;42460,Table1[Start Date]&lt;42826),Table1[Managing Tenancy and Accommodation],""))</f>
        <v/>
      </c>
      <c r="GD203" s="44" t="str">
        <f>IF(Table1[Date of Initial Assessment]="","",IF(AND(Table1[Start Date]&gt;42460,Table1[Start Date]&lt;42826),Table1[Offending],""))</f>
        <v/>
      </c>
      <c r="GE203" s="44" t="str">
        <f>IF(Table1[Leaving Date]="","",IF(AND(Table1[Leaving Date]&gt;42460,Table1[Leaving Date]&lt;42826),IF(Table1[Date of Last Assessment]="",Table1[Motivation and Taking Responsibility],Table1[Motivation and Taking Responsibility2]),""))</f>
        <v/>
      </c>
      <c r="GF203" s="44" t="str">
        <f>IF(Table1[Leaving Date]="","",IF(AND(Table1[Leaving Date]&gt;42460,Table1[Leaving Date]&lt;42826),IF(Table1[Date of Last Assessment]="",Table1[Self-Care and Living Skills],Table1[Self-Care and Living Skills2]),""))</f>
        <v/>
      </c>
      <c r="GG203" s="44" t="str">
        <f>IF(Table1[Leaving Date]="","",IF(AND(Table1[Leaving Date]&gt;42460,Table1[Leaving Date]&lt;42826),IF(Table1[Date of Last Assessment]="",Table1[Managing Money and Personal Administration],Table1[Managing Money and Personal Administration2]),""))</f>
        <v/>
      </c>
      <c r="GH203" s="44" t="str">
        <f>IF(Table1[Leaving Date]="","",IF(AND(Table1[Leaving Date]&gt;42460,Table1[Leaving Date]&lt;42826),IF(Table1[Date of Last Assessment]="",Table1[Social Networks and Relationships],Table1[Social Networks and Relationships2]),""))</f>
        <v/>
      </c>
      <c r="GI203" s="44" t="str">
        <f>IF(Table1[Leaving Date]="","",IF(AND(Table1[Leaving Date]&gt;42460,Table1[Leaving Date]&lt;42826),IF(Table1[Date of Last Assessment]="",Table1[Drug and Alcohol Misuse],Table1[Drug and Alcohol Misuse2]),""))</f>
        <v/>
      </c>
      <c r="GJ203" s="44" t="str">
        <f>IF(Table1[Leaving Date]="","",IF(AND(Table1[Leaving Date]&gt;42460,Table1[Leaving Date]&lt;42826),IF(Table1[Date of Last Assessment]="",Table1[Physical Health],Table1[Physical Health2]),""))</f>
        <v/>
      </c>
      <c r="GK203" s="44" t="str">
        <f>IF(Table1[Leaving Date]="","",IF(AND(Table1[Leaving Date]&gt;42460,Table1[Leaving Date]&lt;42826),IF(Table1[Date of Last Assessment]="",Table1[Emotional and Mental Health],Table1[Emotional and Mental Health2]),""))</f>
        <v/>
      </c>
      <c r="GL203" s="44" t="str">
        <f>IF(Table1[Leaving Date]="","",IF(AND(Table1[Leaving Date]&gt;42460,Table1[Leaving Date]&lt;42826),IF(Table1[Date of Last Assessment]="",Table1[Meaningful Use of Time],Table1[Meaningful Use of Time2]),""))</f>
        <v/>
      </c>
      <c r="GM203" s="44" t="str">
        <f>IF(Table1[Leaving Date]="","",IF(AND(Table1[Leaving Date]&gt;42460,Table1[Leaving Date]&lt;42826),IF(Table1[Date of Last Assessment]="",Table1[Managing Tenancy and Accommodation],Table1[Managing Tenancy and Accommodation2]),""))</f>
        <v/>
      </c>
      <c r="GN203" s="44" t="str">
        <f>IF(Table1[Leaving Date]="","",IF(AND(Table1[Leaving Date]&gt;42460,Table1[Leaving Date]&lt;42826),IF(Table1[Date of Last Assessment]="",Table1[Offending],Table1[Offending2]),""))</f>
        <v/>
      </c>
    </row>
    <row r="204" spans="2:196" ht="20.100000000000001" customHeight="1" x14ac:dyDescent="0.2">
      <c r="B204" s="86">
        <f>+'Service Data'!$C$5:$C$5</f>
        <v>0</v>
      </c>
      <c r="C204" s="86"/>
      <c r="D204" s="86"/>
      <c r="E204" s="86"/>
      <c r="F204" s="86"/>
      <c r="G204" s="86"/>
      <c r="H204" s="6"/>
      <c r="I204" s="99" t="str">
        <f ca="1">IF(Table1[[#This Row],[Date of Birth]]="","",SUM(TODAY()-Table1[[#This Row],[Date of Birth]])/365)</f>
        <v/>
      </c>
      <c r="L204" s="86"/>
      <c r="M204" s="77"/>
      <c r="N204" s="86"/>
      <c r="O204" s="86"/>
      <c r="P204" s="91"/>
      <c r="Q204" s="86"/>
      <c r="R204" s="77"/>
      <c r="S204" s="77"/>
      <c r="T204" s="68"/>
      <c r="U204" s="68"/>
      <c r="V204" s="67"/>
      <c r="W204" s="67"/>
      <c r="X204" s="67"/>
      <c r="Y204" s="67"/>
      <c r="Z204" s="67"/>
      <c r="AA204" s="67"/>
      <c r="AB204" s="67"/>
      <c r="AC204" s="67"/>
      <c r="AD204" s="67"/>
      <c r="AE204" s="67"/>
      <c r="AF204" s="67"/>
      <c r="AG204" s="67"/>
      <c r="AH204" s="67"/>
      <c r="AI204" s="67"/>
      <c r="AJ204" s="67"/>
      <c r="AK204" s="67"/>
      <c r="AL204" s="67"/>
      <c r="AM204" s="67"/>
      <c r="AN204" s="77"/>
      <c r="AO204" s="76"/>
      <c r="AP204" s="77"/>
      <c r="AQ204" s="76"/>
      <c r="AR204" s="76"/>
      <c r="AS204" s="76"/>
      <c r="AT204" s="76"/>
      <c r="AU204" s="76"/>
      <c r="AV204" s="77"/>
      <c r="AW204" s="76"/>
      <c r="AX204" s="77"/>
      <c r="AY204" s="76"/>
      <c r="AZ204" s="76"/>
      <c r="BA204" s="76"/>
      <c r="BB204" s="76"/>
      <c r="BC204" s="76"/>
      <c r="BD204" s="77"/>
      <c r="BE204" s="76"/>
      <c r="BF204" s="77"/>
      <c r="BG204" s="76"/>
      <c r="BH204" s="76"/>
      <c r="BI204" s="76"/>
      <c r="BJ204" s="76"/>
      <c r="BK204" s="76"/>
      <c r="BL204" s="77"/>
      <c r="BM204" s="76"/>
      <c r="BN204" s="77"/>
      <c r="BO204" s="76"/>
      <c r="BP204" s="76"/>
      <c r="BQ204" s="76"/>
      <c r="BR204" s="76"/>
      <c r="BS204" s="76"/>
      <c r="BT204" s="77"/>
      <c r="BU204" s="76"/>
      <c r="BV204" s="77"/>
      <c r="BW204" s="76"/>
      <c r="BX204" s="76"/>
      <c r="BY204" s="76"/>
      <c r="BZ204" s="76"/>
      <c r="CA204" s="76"/>
      <c r="CB204" s="77"/>
      <c r="CC204" s="76"/>
      <c r="CD204" s="77"/>
      <c r="CE204" s="76"/>
      <c r="CF204" s="76"/>
      <c r="CG204" s="76"/>
      <c r="CH204" s="76"/>
      <c r="CI204" s="76"/>
      <c r="CJ204" s="77"/>
      <c r="CK204" s="76"/>
      <c r="CL204" s="77"/>
      <c r="CM204" s="76"/>
      <c r="CN204" s="76"/>
      <c r="CO204" s="76"/>
      <c r="CP204" s="76"/>
      <c r="CQ204" s="76"/>
      <c r="CR204" s="78" t="str">
        <f t="shared" si="63"/>
        <v/>
      </c>
      <c r="CS204" s="79" t="str">
        <f t="shared" si="64"/>
        <v/>
      </c>
      <c r="CT204" s="79" t="str">
        <f t="shared" si="65"/>
        <v/>
      </c>
      <c r="CU204" s="79" t="str">
        <f t="shared" si="66"/>
        <v/>
      </c>
      <c r="CV204" s="79" t="str">
        <f t="shared" si="67"/>
        <v/>
      </c>
      <c r="CW204" s="79" t="str">
        <f t="shared" si="68"/>
        <v/>
      </c>
      <c r="CX204" s="79" t="str">
        <f t="shared" si="69"/>
        <v/>
      </c>
      <c r="CY204" s="79" t="str">
        <f t="shared" si="70"/>
        <v/>
      </c>
      <c r="CZ204" s="79" t="str">
        <f t="shared" si="71"/>
        <v/>
      </c>
      <c r="DA204" s="79" t="str">
        <f t="shared" si="72"/>
        <v/>
      </c>
      <c r="DB204" s="79" t="str">
        <f t="shared" si="73"/>
        <v/>
      </c>
      <c r="DC204" s="79" t="str">
        <f t="shared" si="74"/>
        <v/>
      </c>
      <c r="DD204" s="79" t="str">
        <f t="shared" si="75"/>
        <v/>
      </c>
      <c r="DE204" s="79" t="str">
        <f t="shared" si="76"/>
        <v/>
      </c>
      <c r="DF204" s="79" t="str">
        <f t="shared" si="77"/>
        <v/>
      </c>
      <c r="DG204" s="79" t="str">
        <f t="shared" si="78"/>
        <v/>
      </c>
      <c r="DH204" s="76"/>
      <c r="DI204" s="78"/>
      <c r="DJ204" s="76"/>
      <c r="DK204" s="77"/>
      <c r="DL204" s="77"/>
      <c r="DM204" s="77"/>
      <c r="DN204" s="80"/>
      <c r="DO204" s="80"/>
      <c r="DP204" s="92" t="str">
        <f>IF(Table1[Start Date]="","",IF(Table1[Start Date]&gt;42185,"",IF(AND(Table1[Leaving Date]&gt;1,Table1[Leaving Date]&lt;42095),"",1)))</f>
        <v/>
      </c>
      <c r="DQ204" s="92" t="str">
        <f>IF(Table1[Start Date]="","",IF(Table1[Start Date]&gt;42277,"",IF(AND(Table1[Leaving Date]&gt;1,Table1[Leaving Date]&lt;42186),"",1)))</f>
        <v/>
      </c>
      <c r="DR204" s="92" t="str">
        <f>IF(Table1[Start Date]="","",IF(Table1[Start Date]&gt;42369,"",IF(AND(Table1[Leaving Date]&gt;1,Table1[Leaving Date]&lt;42278),"",1)))</f>
        <v/>
      </c>
      <c r="DS204" s="92" t="str">
        <f>IF(Table1[Start Date]="","",IF(Table1[Start Date]&gt;42460,"",IF(AND(Table1[Leaving Date]&gt;1,Table1[Leaving Date]&lt;42370),"",1)))</f>
        <v/>
      </c>
      <c r="DT204" s="92" t="str">
        <f>IF(Table1[Start Date]="","",IF(Table1[Start Date]&gt;42551,"",IF(AND(Table1[Leaving Date]&gt;1,Table1[Leaving Date]&lt;42461),"",1)))</f>
        <v/>
      </c>
      <c r="DU204" s="92" t="str">
        <f>IF(Table1[Start Date]="","",IF(Table1[Start Date]&gt;42643,"",IF(AND(Table1[Leaving Date]&gt;1,Table1[Leaving Date]&lt;42552),"",1)))</f>
        <v/>
      </c>
      <c r="DV204" s="92" t="str">
        <f>IF(Table1[Start Date]="","",IF(Table1[Start Date]&gt;42735,"",IF(AND(Table1[Leaving Date]&gt;1,Table1[Leaving Date]&lt;42644),"",1)))</f>
        <v/>
      </c>
      <c r="DW204" s="92" t="str">
        <f>IF(Table1[Start Date]="","",IF(Table1[Start Date]&gt;42825,"",IF(AND(Table1[Leaving Date]&gt;1,Table1[Leaving Date]&lt;42736),"",1)))</f>
        <v/>
      </c>
      <c r="DX204"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204" s="44" t="e">
        <f>VLOOKUP(Table1[Referral Source],Lists!$G$2:$H$20,2,FALSE)</f>
        <v>#N/A</v>
      </c>
      <c r="DZ204" s="93" t="e">
        <f>SUM(Table1[Data Referral Quarter]+Table1[Data Referral Source])</f>
        <v>#N/A</v>
      </c>
      <c r="EA204" s="44" t="b">
        <f>IF(Table1[Referral Decision]="Accepted",100,IF(Table1[Referral Decision]="Rejected by Provider",200,IF(Table1[Referral Decision]="Rejected by Applicant",300)))</f>
        <v>0</v>
      </c>
      <c r="EB204" s="44">
        <f>SUM(Table1[Data Referral Quarter]+Table1[Data Referral Decision])</f>
        <v>0</v>
      </c>
      <c r="EC204" s="44" t="b">
        <f>IF(Table1[Start Date]&gt;42735,8000,IF(Table1[Start Date]&gt;42643,7000,IF(Table1[Start Date]&gt;42551,6000,IF(Table1[Start Date]&gt;42460,5000,IF(Table1[Start Date]&gt;42369,4000,IF(Table1[Start Date]&gt;42277,3000,IF(Table1[Start Date]&gt;42185,2000,IF(Table1[Start Date]&gt;42094,1000))))))))</f>
        <v>0</v>
      </c>
      <c r="ED204" s="44" t="str">
        <f>IF(Table1[Start Date]="","",IF(Table1[Current Local Authority]="Swindon",1,"2"))</f>
        <v/>
      </c>
      <c r="EE204" s="44" t="e">
        <f>SUM(Table1[Data Start Date]+Table1[Data Local Authority])</f>
        <v>#VALUE!</v>
      </c>
      <c r="EF204" s="44">
        <f>IF(Table1[Registered with GP]="Yes",1,0)</f>
        <v>0</v>
      </c>
      <c r="EG204" s="44">
        <f>SUM(Table1[Data Start Date]+Table1[Data GP Start])</f>
        <v>0</v>
      </c>
      <c r="EH204" s="44" t="str">
        <f>IF(Table1[EET]="NEET",1,IF(Table1[EET]="Education",2,IF(Table1[EET]="Employment",2,IF(Table1[EET]="Training",2,IF(Table1[EET]="Retired",3,"")))))</f>
        <v/>
      </c>
      <c r="EI204" s="44" t="e">
        <f>Table1[Data Start Date]+Table1[Data EET Start]</f>
        <v>#VALUE!</v>
      </c>
      <c r="EJ204" s="44" t="b">
        <f>IF(Table1[Leaving Date]&gt;42735,8000,IF(Table1[Leaving Date]&gt;42643,7000,IF(Table1[Leaving Date]&gt;42551,6000,IF(Table1[Leaving Date]&gt;42460,5000,IF(Table1[Leaving Date]&gt;42369,4000,IF(Table1[Leaving Date]&gt;42277,3000,IF(Table1[Leaving Date]&gt;42185,2000,IF(Table1[Leaving Date]&gt;42094,1000))))))))</f>
        <v>0</v>
      </c>
      <c r="EK204" s="44" t="e">
        <f>VLOOKUP(Table1[Reason for Leaving],Lists!$T$2:$U$15,2,FALSE)</f>
        <v>#N/A</v>
      </c>
      <c r="EL204" s="44" t="e">
        <f>SUM(Table1[Data Leavers Date]+Table1[Data Move On])</f>
        <v>#N/A</v>
      </c>
      <c r="EM204" s="44" t="b">
        <f>IF(Table1[Registered with GP2]="Yes",1,IF(Table1[Registered with GP2]="No",0,IF(Table1[Registered with GP]="Yes",1,IF(Table1[Registered with GP]="No",0))))</f>
        <v>0</v>
      </c>
      <c r="EN204" s="44">
        <f>SUM(Table1[Data Leavers Date]+Table1[Data GP End])</f>
        <v>0</v>
      </c>
      <c r="EO204" s="44" t="str">
        <f>IF(Table1[EET2]="NEET",1,IF(Table1[EET2]="Employment",2,IF(Table1[EET2]="Education",2,IF(Table1[EET2]="Training",2,IF(Table1[EET2]="Retired",3,IF(Table1[EET]="NEET",1,IF(Table1[EET]="Employment",2,IF(Table1[EET]="Education",2,IF(Table1[EET]="Training",2,IF(Table1[EET]="Retired",3,""))))))))))</f>
        <v/>
      </c>
      <c r="EP204" s="44" t="e">
        <f>+Table1[[#This Row],[Data Leavers Date]]+Table1[[#This Row],[Data EET End]]</f>
        <v>#VALUE!</v>
      </c>
      <c r="EQ204" s="44">
        <f>IF(Table1[Exit Form Received]="Yes",1,0)</f>
        <v>0</v>
      </c>
      <c r="ER204" s="44">
        <f>+Table1[[#This Row],[Data Leavers Date]]+Table1[[#This Row],[Data Exit Forms]]</f>
        <v>0</v>
      </c>
      <c r="ES204" s="44" t="str">
        <f>IF(Table1[Data Leavers Date]=1000,SUM(Table1[Leaving Date]-Table1[Start Date]),"")</f>
        <v/>
      </c>
      <c r="ET204" s="44" t="str">
        <f>IF(Table1[Data Leavers Date]=2000,SUM(Table1[Leaving Date]-Table1[Start Date]),"")</f>
        <v/>
      </c>
      <c r="EU204" s="44" t="str">
        <f>IF(Table1[Data Leavers Date]=3000,SUM(Table1[Leaving Date]-Table1[Start Date]),"")</f>
        <v/>
      </c>
      <c r="EV204" s="44" t="str">
        <f>IF(Table1[Data Leavers Date]=4000,SUM(Table1[Leaving Date]-Table1[Start Date]),"")</f>
        <v/>
      </c>
      <c r="EW204" s="44" t="str">
        <f>IF(Table1[Data Leavers Date]=5000,SUM(Table1[Leaving Date]-Table1[Start Date]),"")</f>
        <v/>
      </c>
      <c r="EX204" s="44" t="str">
        <f>IF(Table1[Data Leavers Date]=6000,SUM(Table1[Leaving Date]-Table1[Start Date]),"")</f>
        <v/>
      </c>
      <c r="EY204" s="44" t="str">
        <f>IF(Table1[Data Leavers Date]=7000,SUM(Table1[Leaving Date]-Table1[Start Date]),"")</f>
        <v/>
      </c>
      <c r="EZ204" s="44" t="str">
        <f>IF(Table1[Data Leavers Date]=8000,SUM(Table1[Leaving Date]-Table1[Start Date]),"")</f>
        <v/>
      </c>
      <c r="FA204" s="44" t="str">
        <f>IF(Table1[Date of Initial Assessment]="","",IF(AND(Table1[Start Date]&gt;42094,Table1[Start Date]&lt;42461),Table1[Motivation and Taking Responsibility],""))</f>
        <v/>
      </c>
      <c r="FB204" s="44" t="str">
        <f>IF(Table1[Date of Initial Assessment]="","",IF(AND(Table1[Start Date]&gt;42094,Table1[Start Date]&lt;42461),Table1[Self-Care and Living Skills],""))</f>
        <v/>
      </c>
      <c r="FC204" s="44" t="str">
        <f>IF(Table1[Date of Initial Assessment]="","",IF(AND(Table1[Start Date]&gt;42094,Table1[Start Date]&lt;42461),Table1[Managing Money and Personal Administration],""))</f>
        <v/>
      </c>
      <c r="FD204" s="44" t="str">
        <f>IF(Table1[Date of Initial Assessment]="","",IF(AND(Table1[Start Date]&gt;42094,Table1[Start Date]&lt;42461),Table1[Social Networks and Relationships],""))</f>
        <v/>
      </c>
      <c r="FE204" s="44" t="str">
        <f>IF(Table1[Date of Initial Assessment]="","",IF(AND(Table1[Start Date]&gt;42094,Table1[Start Date]&lt;42461),Table1[Drug and Alcohol Misuse],""))</f>
        <v/>
      </c>
      <c r="FF204" s="44" t="str">
        <f>IF(Table1[Date of Initial Assessment]="","",IF(AND(Table1[Start Date]&gt;42094,Table1[Start Date]&lt;42461),Table1[Physical Health],""))</f>
        <v/>
      </c>
      <c r="FG204" s="44" t="str">
        <f>IF(Table1[Date of Initial Assessment]="","",IF(AND(Table1[Start Date]&gt;42094,Table1[Start Date]&lt;42461),Table1[Emotional and Mental Health],""))</f>
        <v/>
      </c>
      <c r="FH204" s="44" t="str">
        <f>IF(Table1[Date of Initial Assessment]="","",IF(AND(Table1[Start Date]&gt;42094,Table1[Start Date]&lt;42461),Table1[Meaningful Use of Time],""))</f>
        <v/>
      </c>
      <c r="FI204" s="44" t="str">
        <f>IF(Table1[Date of Initial Assessment]="","",IF(AND(Table1[Start Date]&gt;42094,Table1[Start Date]&lt;42461),Table1[Managing Tenancy and Accommodation],""))</f>
        <v/>
      </c>
      <c r="FJ204" s="44" t="str">
        <f>IF(Table1[Date of Initial Assessment]="","",IF(AND(Table1[Start Date]&gt;42094,Table1[Start Date]&lt;42461),Table1[Offending],""))</f>
        <v/>
      </c>
      <c r="FK204" s="44" t="str">
        <f>IF(Table1[Leaving Date]="","",IF(Table1[Date of Initial Assessment]="","",IF(AND(Table1[Leaving Date]&gt;42094,Table1[Leaving Date]&lt;42461),IF(Table1[Date of Last Assessment]="",Table1[Motivation and Taking Responsibility],Table1[Motivation and Taking Responsibility2]),"")))</f>
        <v/>
      </c>
      <c r="FL204" s="44" t="str">
        <f>IF(Table1[Leaving Date]="","",IF(Table1[Date of Initial Assessment]="","",IF(AND(Table1[Leaving Date]&gt;42094,Table1[Leaving Date]&lt;42461),IF(Table1[Date of Last Assessment]="",Table1[Self-Care and Living Skills],Table1[Self-Care and Living Skills2]),"")))</f>
        <v/>
      </c>
      <c r="FM204" s="44" t="str">
        <f>IF(Table1[Leaving Date]="","",IF(Table1[Date of Initial Assessment]="","",IF(AND(Table1[Leaving Date]&gt;42094,Table1[Leaving Date]&lt;42461),IF(Table1[Date of Last Assessment]="",Table1[Managing Money and Personal Administration],Table1[Managing Money and Personal Administration2]),"")))</f>
        <v/>
      </c>
      <c r="FN204" s="44" t="str">
        <f>IF(Table1[Leaving Date]="","",IF(Table1[Date of Initial Assessment]="","",IF(AND(Table1[Leaving Date]&gt;42094,Table1[Leaving Date]&lt;42461),IF(Table1[Date of Last Assessment]="",Table1[Social Networks and Relationships],Table1[Social Networks and Relationships2]),"")))</f>
        <v/>
      </c>
      <c r="FO204" s="44" t="str">
        <f>IF(Table1[Leaving Date]="","",IF(Table1[Date of Initial Assessment]="","",IF(AND(Table1[Leaving Date]&gt;42094,Table1[Leaving Date]&lt;42461),IF(Table1[Date of Last Assessment]="",Table1[Drug and Alcohol Misuse],Table1[Drug and Alcohol Misuse2]),"")))</f>
        <v/>
      </c>
      <c r="FP204" s="44" t="str">
        <f>IF(Table1[Leaving Date]="","",IF(Table1[Date of Initial Assessment]="","",IF(AND(Table1[Leaving Date]&gt;42094,Table1[Leaving Date]&lt;42461),IF(Table1[Date of Last Assessment]="",Table1[Physical Health],Table1[Physical Health2]),"")))</f>
        <v/>
      </c>
      <c r="FQ204" s="44" t="str">
        <f>IF(Table1[Leaving Date]="","",IF(Table1[Date of Initial Assessment]="","",IF(AND(Table1[Leaving Date]&gt;42094,Table1[Leaving Date]&lt;42461),IF(Table1[Date of Last Assessment]="",Table1[Emotional and Mental Health],Table1[Emotional and Mental Health2]),"")))</f>
        <v/>
      </c>
      <c r="FR204" s="44" t="str">
        <f>IF(Table1[Leaving Date]="","",IF(Table1[Date of Initial Assessment]="","",IF(AND(Table1[Leaving Date]&gt;42094,Table1[Leaving Date]&lt;42461),IF(Table1[Date of Last Assessment]="",Table1[Meaningful Use of Time],Table1[Meaningful Use of Time2]),"")))</f>
        <v/>
      </c>
      <c r="FS204" s="44" t="str">
        <f>IF(Table1[Leaving Date]="","",IF(Table1[Date of Initial Assessment]="","",IF(AND(Table1[Leaving Date]&gt;42094,Table1[Leaving Date]&lt;42461),IF(Table1[Date of Last Assessment]="",Table1[Managing Tenancy and Accommodation],Table1[Managing Tenancy and Accommodation2]),"")))</f>
        <v/>
      </c>
      <c r="FT204" s="44" t="str">
        <f>IF(Table1[Leaving Date]="","",IF(Table1[Date of Initial Assessment]="","",IF(AND(Table1[Leaving Date]&gt;42094,Table1[Leaving Date]&lt;42461),IF(Table1[Date of Last Assessment]="",Table1[Offending],Table1[Offending2]),"")))</f>
        <v/>
      </c>
      <c r="FU204" s="44" t="str">
        <f>IF(Table1[Date of Initial Assessment]="","",IF(AND(Table1[Start Date]&gt;42460,Table1[Start Date]&lt;42826),Table1[Motivation and Taking Responsibility],""))</f>
        <v/>
      </c>
      <c r="FV204" s="44" t="str">
        <f>IF(Table1[Date of Initial Assessment]="","",IF(AND(Table1[Start Date]&gt;42460,Table1[Start Date]&lt;42826),Table1[Self-Care and Living Skills],""))</f>
        <v/>
      </c>
      <c r="FW204" s="44" t="str">
        <f>IF(Table1[Date of Initial Assessment]="","",IF(AND(Table1[Start Date]&gt;42460,Table1[Start Date]&lt;42826),Table1[Managing Money and Personal Administration],""))</f>
        <v/>
      </c>
      <c r="FX204" s="44" t="str">
        <f>IF(Table1[Date of Initial Assessment]="","",IF(AND(Table1[Start Date]&gt;42460,Table1[Start Date]&lt;42826),Table1[Social Networks and Relationships],""))</f>
        <v/>
      </c>
      <c r="FY204" s="44" t="str">
        <f>IF(Table1[Date of Initial Assessment]="","",IF(AND(Table1[Start Date]&gt;42460,Table1[Start Date]&lt;42826),Table1[Drug and Alcohol Misuse],""))</f>
        <v/>
      </c>
      <c r="FZ204" s="44" t="str">
        <f>IF(Table1[Date of Initial Assessment]="","",IF(AND(Table1[Start Date]&gt;42460,Table1[Start Date]&lt;42826),Table1[Physical Health],""))</f>
        <v/>
      </c>
      <c r="GA204" s="44" t="str">
        <f>IF(Table1[Date of Initial Assessment]="","",IF(AND(Table1[Start Date]&gt;42460,Table1[Start Date]&lt;42826),Table1[Emotional and Mental Health],""))</f>
        <v/>
      </c>
      <c r="GB204" s="44" t="str">
        <f>IF(Table1[Date of Initial Assessment]="","",IF(AND(Table1[Start Date]&gt;42460,Table1[Start Date]&lt;42826),Table1[Meaningful Use of Time],""))</f>
        <v/>
      </c>
      <c r="GC204" s="44" t="str">
        <f>IF(Table1[Date of Initial Assessment]="","",IF(AND(Table1[Start Date]&gt;42460,Table1[Start Date]&lt;42826),Table1[Managing Tenancy and Accommodation],""))</f>
        <v/>
      </c>
      <c r="GD204" s="44" t="str">
        <f>IF(Table1[Date of Initial Assessment]="","",IF(AND(Table1[Start Date]&gt;42460,Table1[Start Date]&lt;42826),Table1[Offending],""))</f>
        <v/>
      </c>
      <c r="GE204" s="44" t="str">
        <f>IF(Table1[Leaving Date]="","",IF(AND(Table1[Leaving Date]&gt;42460,Table1[Leaving Date]&lt;42826),IF(Table1[Date of Last Assessment]="",Table1[Motivation and Taking Responsibility],Table1[Motivation and Taking Responsibility2]),""))</f>
        <v/>
      </c>
      <c r="GF204" s="44" t="str">
        <f>IF(Table1[Leaving Date]="","",IF(AND(Table1[Leaving Date]&gt;42460,Table1[Leaving Date]&lt;42826),IF(Table1[Date of Last Assessment]="",Table1[Self-Care and Living Skills],Table1[Self-Care and Living Skills2]),""))</f>
        <v/>
      </c>
      <c r="GG204" s="44" t="str">
        <f>IF(Table1[Leaving Date]="","",IF(AND(Table1[Leaving Date]&gt;42460,Table1[Leaving Date]&lt;42826),IF(Table1[Date of Last Assessment]="",Table1[Managing Money and Personal Administration],Table1[Managing Money and Personal Administration2]),""))</f>
        <v/>
      </c>
      <c r="GH204" s="44" t="str">
        <f>IF(Table1[Leaving Date]="","",IF(AND(Table1[Leaving Date]&gt;42460,Table1[Leaving Date]&lt;42826),IF(Table1[Date of Last Assessment]="",Table1[Social Networks and Relationships],Table1[Social Networks and Relationships2]),""))</f>
        <v/>
      </c>
      <c r="GI204" s="44" t="str">
        <f>IF(Table1[Leaving Date]="","",IF(AND(Table1[Leaving Date]&gt;42460,Table1[Leaving Date]&lt;42826),IF(Table1[Date of Last Assessment]="",Table1[Drug and Alcohol Misuse],Table1[Drug and Alcohol Misuse2]),""))</f>
        <v/>
      </c>
      <c r="GJ204" s="44" t="str">
        <f>IF(Table1[Leaving Date]="","",IF(AND(Table1[Leaving Date]&gt;42460,Table1[Leaving Date]&lt;42826),IF(Table1[Date of Last Assessment]="",Table1[Physical Health],Table1[Physical Health2]),""))</f>
        <v/>
      </c>
      <c r="GK204" s="44" t="str">
        <f>IF(Table1[Leaving Date]="","",IF(AND(Table1[Leaving Date]&gt;42460,Table1[Leaving Date]&lt;42826),IF(Table1[Date of Last Assessment]="",Table1[Emotional and Mental Health],Table1[Emotional and Mental Health2]),""))</f>
        <v/>
      </c>
      <c r="GL204" s="44" t="str">
        <f>IF(Table1[Leaving Date]="","",IF(AND(Table1[Leaving Date]&gt;42460,Table1[Leaving Date]&lt;42826),IF(Table1[Date of Last Assessment]="",Table1[Meaningful Use of Time],Table1[Meaningful Use of Time2]),""))</f>
        <v/>
      </c>
      <c r="GM204" s="44" t="str">
        <f>IF(Table1[Leaving Date]="","",IF(AND(Table1[Leaving Date]&gt;42460,Table1[Leaving Date]&lt;42826),IF(Table1[Date of Last Assessment]="",Table1[Managing Tenancy and Accommodation],Table1[Managing Tenancy and Accommodation2]),""))</f>
        <v/>
      </c>
      <c r="GN204" s="44" t="str">
        <f>IF(Table1[Leaving Date]="","",IF(AND(Table1[Leaving Date]&gt;42460,Table1[Leaving Date]&lt;42826),IF(Table1[Date of Last Assessment]="",Table1[Offending],Table1[Offending2]),""))</f>
        <v/>
      </c>
    </row>
    <row r="205" spans="2:196" ht="20.100000000000001" customHeight="1" x14ac:dyDescent="0.2">
      <c r="B205" s="86">
        <f>+'Service Data'!$C$5:$C$5</f>
        <v>0</v>
      </c>
      <c r="C205" s="86"/>
      <c r="D205" s="86"/>
      <c r="E205" s="86"/>
      <c r="F205" s="86"/>
      <c r="G205" s="86"/>
      <c r="H205" s="6"/>
      <c r="I205" s="99" t="str">
        <f ca="1">IF(Table1[[#This Row],[Date of Birth]]="","",SUM(TODAY()-Table1[[#This Row],[Date of Birth]])/365)</f>
        <v/>
      </c>
      <c r="L205" s="86"/>
      <c r="M205" s="77"/>
      <c r="N205" s="86"/>
      <c r="O205" s="86"/>
      <c r="P205" s="91"/>
      <c r="Q205" s="86"/>
      <c r="R205" s="77"/>
      <c r="S205" s="77"/>
      <c r="T205" s="68"/>
      <c r="U205" s="68"/>
      <c r="V205" s="67"/>
      <c r="W205" s="67"/>
      <c r="X205" s="67"/>
      <c r="Y205" s="67"/>
      <c r="Z205" s="67"/>
      <c r="AA205" s="67"/>
      <c r="AB205" s="67"/>
      <c r="AC205" s="67"/>
      <c r="AD205" s="67"/>
      <c r="AE205" s="67"/>
      <c r="AF205" s="67"/>
      <c r="AG205" s="67"/>
      <c r="AH205" s="67"/>
      <c r="AI205" s="67"/>
      <c r="AJ205" s="67"/>
      <c r="AK205" s="67"/>
      <c r="AL205" s="67"/>
      <c r="AM205" s="67"/>
      <c r="AN205" s="77"/>
      <c r="AO205" s="76"/>
      <c r="AP205" s="77"/>
      <c r="AQ205" s="76"/>
      <c r="AR205" s="76"/>
      <c r="AS205" s="76"/>
      <c r="AT205" s="76"/>
      <c r="AU205" s="76"/>
      <c r="AV205" s="77"/>
      <c r="AW205" s="76"/>
      <c r="AX205" s="77"/>
      <c r="AY205" s="76"/>
      <c r="AZ205" s="76"/>
      <c r="BA205" s="76"/>
      <c r="BB205" s="76"/>
      <c r="BC205" s="76"/>
      <c r="BD205" s="77"/>
      <c r="BE205" s="76"/>
      <c r="BF205" s="77"/>
      <c r="BG205" s="76"/>
      <c r="BH205" s="76"/>
      <c r="BI205" s="76"/>
      <c r="BJ205" s="76"/>
      <c r="BK205" s="76"/>
      <c r="BL205" s="77"/>
      <c r="BM205" s="76"/>
      <c r="BN205" s="77"/>
      <c r="BO205" s="76"/>
      <c r="BP205" s="76"/>
      <c r="BQ205" s="76"/>
      <c r="BR205" s="76"/>
      <c r="BS205" s="76"/>
      <c r="BT205" s="77"/>
      <c r="BU205" s="76"/>
      <c r="BV205" s="77"/>
      <c r="BW205" s="76"/>
      <c r="BX205" s="76"/>
      <c r="BY205" s="76"/>
      <c r="BZ205" s="76"/>
      <c r="CA205" s="76"/>
      <c r="CB205" s="77"/>
      <c r="CC205" s="76"/>
      <c r="CD205" s="77"/>
      <c r="CE205" s="76"/>
      <c r="CF205" s="76"/>
      <c r="CG205" s="76"/>
      <c r="CH205" s="76"/>
      <c r="CI205" s="76"/>
      <c r="CJ205" s="77"/>
      <c r="CK205" s="76"/>
      <c r="CL205" s="77"/>
      <c r="CM205" s="76"/>
      <c r="CN205" s="76"/>
      <c r="CO205" s="76"/>
      <c r="CP205" s="76"/>
      <c r="CQ205" s="76"/>
      <c r="CR205" s="78" t="str">
        <f t="shared" si="63"/>
        <v/>
      </c>
      <c r="CS205" s="79" t="str">
        <f t="shared" si="64"/>
        <v/>
      </c>
      <c r="CT205" s="79" t="str">
        <f t="shared" si="65"/>
        <v/>
      </c>
      <c r="CU205" s="79" t="str">
        <f t="shared" si="66"/>
        <v/>
      </c>
      <c r="CV205" s="79" t="str">
        <f t="shared" si="67"/>
        <v/>
      </c>
      <c r="CW205" s="79" t="str">
        <f t="shared" si="68"/>
        <v/>
      </c>
      <c r="CX205" s="79" t="str">
        <f t="shared" si="69"/>
        <v/>
      </c>
      <c r="CY205" s="79" t="str">
        <f t="shared" si="70"/>
        <v/>
      </c>
      <c r="CZ205" s="79" t="str">
        <f t="shared" si="71"/>
        <v/>
      </c>
      <c r="DA205" s="79" t="str">
        <f t="shared" si="72"/>
        <v/>
      </c>
      <c r="DB205" s="79" t="str">
        <f t="shared" si="73"/>
        <v/>
      </c>
      <c r="DC205" s="79" t="str">
        <f t="shared" si="74"/>
        <v/>
      </c>
      <c r="DD205" s="79" t="str">
        <f t="shared" si="75"/>
        <v/>
      </c>
      <c r="DE205" s="79" t="str">
        <f t="shared" si="76"/>
        <v/>
      </c>
      <c r="DF205" s="79" t="str">
        <f t="shared" si="77"/>
        <v/>
      </c>
      <c r="DG205" s="79" t="str">
        <f t="shared" si="78"/>
        <v/>
      </c>
      <c r="DH205" s="76"/>
      <c r="DI205" s="78"/>
      <c r="DJ205" s="76"/>
      <c r="DK205" s="77"/>
      <c r="DL205" s="77"/>
      <c r="DM205" s="77"/>
      <c r="DN205" s="80"/>
      <c r="DO205" s="80"/>
      <c r="DP205" s="92" t="str">
        <f>IF(Table1[Start Date]="","",IF(Table1[Start Date]&gt;42185,"",IF(AND(Table1[Leaving Date]&gt;1,Table1[Leaving Date]&lt;42095),"",1)))</f>
        <v/>
      </c>
      <c r="DQ205" s="92" t="str">
        <f>IF(Table1[Start Date]="","",IF(Table1[Start Date]&gt;42277,"",IF(AND(Table1[Leaving Date]&gt;1,Table1[Leaving Date]&lt;42186),"",1)))</f>
        <v/>
      </c>
      <c r="DR205" s="92" t="str">
        <f>IF(Table1[Start Date]="","",IF(Table1[Start Date]&gt;42369,"",IF(AND(Table1[Leaving Date]&gt;1,Table1[Leaving Date]&lt;42278),"",1)))</f>
        <v/>
      </c>
      <c r="DS205" s="92" t="str">
        <f>IF(Table1[Start Date]="","",IF(Table1[Start Date]&gt;42460,"",IF(AND(Table1[Leaving Date]&gt;1,Table1[Leaving Date]&lt;42370),"",1)))</f>
        <v/>
      </c>
      <c r="DT205" s="92" t="str">
        <f>IF(Table1[Start Date]="","",IF(Table1[Start Date]&gt;42551,"",IF(AND(Table1[Leaving Date]&gt;1,Table1[Leaving Date]&lt;42461),"",1)))</f>
        <v/>
      </c>
      <c r="DU205" s="92" t="str">
        <f>IF(Table1[Start Date]="","",IF(Table1[Start Date]&gt;42643,"",IF(AND(Table1[Leaving Date]&gt;1,Table1[Leaving Date]&lt;42552),"",1)))</f>
        <v/>
      </c>
      <c r="DV205" s="92" t="str">
        <f>IF(Table1[Start Date]="","",IF(Table1[Start Date]&gt;42735,"",IF(AND(Table1[Leaving Date]&gt;1,Table1[Leaving Date]&lt;42644),"",1)))</f>
        <v/>
      </c>
      <c r="DW205" s="92" t="str">
        <f>IF(Table1[Start Date]="","",IF(Table1[Start Date]&gt;42825,"",IF(AND(Table1[Leaving Date]&gt;1,Table1[Leaving Date]&lt;42736),"",1)))</f>
        <v/>
      </c>
      <c r="DX205"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205" s="44" t="e">
        <f>VLOOKUP(Table1[Referral Source],Lists!$G$2:$H$20,2,FALSE)</f>
        <v>#N/A</v>
      </c>
      <c r="DZ205" s="93" t="e">
        <f>SUM(Table1[Data Referral Quarter]+Table1[Data Referral Source])</f>
        <v>#N/A</v>
      </c>
      <c r="EA205" s="44" t="b">
        <f>IF(Table1[Referral Decision]="Accepted",100,IF(Table1[Referral Decision]="Rejected by Provider",200,IF(Table1[Referral Decision]="Rejected by Applicant",300)))</f>
        <v>0</v>
      </c>
      <c r="EB205" s="44">
        <f>SUM(Table1[Data Referral Quarter]+Table1[Data Referral Decision])</f>
        <v>0</v>
      </c>
      <c r="EC205" s="44" t="b">
        <f>IF(Table1[Start Date]&gt;42735,8000,IF(Table1[Start Date]&gt;42643,7000,IF(Table1[Start Date]&gt;42551,6000,IF(Table1[Start Date]&gt;42460,5000,IF(Table1[Start Date]&gt;42369,4000,IF(Table1[Start Date]&gt;42277,3000,IF(Table1[Start Date]&gt;42185,2000,IF(Table1[Start Date]&gt;42094,1000))))))))</f>
        <v>0</v>
      </c>
      <c r="ED205" s="44" t="str">
        <f>IF(Table1[Start Date]="","",IF(Table1[Current Local Authority]="Swindon",1,"2"))</f>
        <v/>
      </c>
      <c r="EE205" s="44" t="e">
        <f>SUM(Table1[Data Start Date]+Table1[Data Local Authority])</f>
        <v>#VALUE!</v>
      </c>
      <c r="EF205" s="44">
        <f>IF(Table1[Registered with GP]="Yes",1,0)</f>
        <v>0</v>
      </c>
      <c r="EG205" s="44">
        <f>SUM(Table1[Data Start Date]+Table1[Data GP Start])</f>
        <v>0</v>
      </c>
      <c r="EH205" s="44" t="str">
        <f>IF(Table1[EET]="NEET",1,IF(Table1[EET]="Education",2,IF(Table1[EET]="Employment",2,IF(Table1[EET]="Training",2,IF(Table1[EET]="Retired",3,"")))))</f>
        <v/>
      </c>
      <c r="EI205" s="44" t="e">
        <f>Table1[Data Start Date]+Table1[Data EET Start]</f>
        <v>#VALUE!</v>
      </c>
      <c r="EJ205" s="44" t="b">
        <f>IF(Table1[Leaving Date]&gt;42735,8000,IF(Table1[Leaving Date]&gt;42643,7000,IF(Table1[Leaving Date]&gt;42551,6000,IF(Table1[Leaving Date]&gt;42460,5000,IF(Table1[Leaving Date]&gt;42369,4000,IF(Table1[Leaving Date]&gt;42277,3000,IF(Table1[Leaving Date]&gt;42185,2000,IF(Table1[Leaving Date]&gt;42094,1000))))))))</f>
        <v>0</v>
      </c>
      <c r="EK205" s="44" t="e">
        <f>VLOOKUP(Table1[Reason for Leaving],Lists!$T$2:$U$15,2,FALSE)</f>
        <v>#N/A</v>
      </c>
      <c r="EL205" s="44" t="e">
        <f>SUM(Table1[Data Leavers Date]+Table1[Data Move On])</f>
        <v>#N/A</v>
      </c>
      <c r="EM205" s="44" t="b">
        <f>IF(Table1[Registered with GP2]="Yes",1,IF(Table1[Registered with GP2]="No",0,IF(Table1[Registered with GP]="Yes",1,IF(Table1[Registered with GP]="No",0))))</f>
        <v>0</v>
      </c>
      <c r="EN205" s="44">
        <f>SUM(Table1[Data Leavers Date]+Table1[Data GP End])</f>
        <v>0</v>
      </c>
      <c r="EO205" s="44" t="str">
        <f>IF(Table1[EET2]="NEET",1,IF(Table1[EET2]="Employment",2,IF(Table1[EET2]="Education",2,IF(Table1[EET2]="Training",2,IF(Table1[EET2]="Retired",3,IF(Table1[EET]="NEET",1,IF(Table1[EET]="Employment",2,IF(Table1[EET]="Education",2,IF(Table1[EET]="Training",2,IF(Table1[EET]="Retired",3,""))))))))))</f>
        <v/>
      </c>
      <c r="EP205" s="44" t="e">
        <f>+Table1[[#This Row],[Data Leavers Date]]+Table1[[#This Row],[Data EET End]]</f>
        <v>#VALUE!</v>
      </c>
      <c r="EQ205" s="44">
        <f>IF(Table1[Exit Form Received]="Yes",1,0)</f>
        <v>0</v>
      </c>
      <c r="ER205" s="44">
        <f>+Table1[[#This Row],[Data Leavers Date]]+Table1[[#This Row],[Data Exit Forms]]</f>
        <v>0</v>
      </c>
      <c r="ES205" s="44" t="str">
        <f>IF(Table1[Data Leavers Date]=1000,SUM(Table1[Leaving Date]-Table1[Start Date]),"")</f>
        <v/>
      </c>
      <c r="ET205" s="44" t="str">
        <f>IF(Table1[Data Leavers Date]=2000,SUM(Table1[Leaving Date]-Table1[Start Date]),"")</f>
        <v/>
      </c>
      <c r="EU205" s="44" t="str">
        <f>IF(Table1[Data Leavers Date]=3000,SUM(Table1[Leaving Date]-Table1[Start Date]),"")</f>
        <v/>
      </c>
      <c r="EV205" s="44" t="str">
        <f>IF(Table1[Data Leavers Date]=4000,SUM(Table1[Leaving Date]-Table1[Start Date]),"")</f>
        <v/>
      </c>
      <c r="EW205" s="44" t="str">
        <f>IF(Table1[Data Leavers Date]=5000,SUM(Table1[Leaving Date]-Table1[Start Date]),"")</f>
        <v/>
      </c>
      <c r="EX205" s="44" t="str">
        <f>IF(Table1[Data Leavers Date]=6000,SUM(Table1[Leaving Date]-Table1[Start Date]),"")</f>
        <v/>
      </c>
      <c r="EY205" s="44" t="str">
        <f>IF(Table1[Data Leavers Date]=7000,SUM(Table1[Leaving Date]-Table1[Start Date]),"")</f>
        <v/>
      </c>
      <c r="EZ205" s="44" t="str">
        <f>IF(Table1[Data Leavers Date]=8000,SUM(Table1[Leaving Date]-Table1[Start Date]),"")</f>
        <v/>
      </c>
      <c r="FA205" s="44" t="str">
        <f>IF(Table1[Date of Initial Assessment]="","",IF(AND(Table1[Start Date]&gt;42094,Table1[Start Date]&lt;42461),Table1[Motivation and Taking Responsibility],""))</f>
        <v/>
      </c>
      <c r="FB205" s="44" t="str">
        <f>IF(Table1[Date of Initial Assessment]="","",IF(AND(Table1[Start Date]&gt;42094,Table1[Start Date]&lt;42461),Table1[Self-Care and Living Skills],""))</f>
        <v/>
      </c>
      <c r="FC205" s="44" t="str">
        <f>IF(Table1[Date of Initial Assessment]="","",IF(AND(Table1[Start Date]&gt;42094,Table1[Start Date]&lt;42461),Table1[Managing Money and Personal Administration],""))</f>
        <v/>
      </c>
      <c r="FD205" s="44" t="str">
        <f>IF(Table1[Date of Initial Assessment]="","",IF(AND(Table1[Start Date]&gt;42094,Table1[Start Date]&lt;42461),Table1[Social Networks and Relationships],""))</f>
        <v/>
      </c>
      <c r="FE205" s="44" t="str">
        <f>IF(Table1[Date of Initial Assessment]="","",IF(AND(Table1[Start Date]&gt;42094,Table1[Start Date]&lt;42461),Table1[Drug and Alcohol Misuse],""))</f>
        <v/>
      </c>
      <c r="FF205" s="44" t="str">
        <f>IF(Table1[Date of Initial Assessment]="","",IF(AND(Table1[Start Date]&gt;42094,Table1[Start Date]&lt;42461),Table1[Physical Health],""))</f>
        <v/>
      </c>
      <c r="FG205" s="44" t="str">
        <f>IF(Table1[Date of Initial Assessment]="","",IF(AND(Table1[Start Date]&gt;42094,Table1[Start Date]&lt;42461),Table1[Emotional and Mental Health],""))</f>
        <v/>
      </c>
      <c r="FH205" s="44" t="str">
        <f>IF(Table1[Date of Initial Assessment]="","",IF(AND(Table1[Start Date]&gt;42094,Table1[Start Date]&lt;42461),Table1[Meaningful Use of Time],""))</f>
        <v/>
      </c>
      <c r="FI205" s="44" t="str">
        <f>IF(Table1[Date of Initial Assessment]="","",IF(AND(Table1[Start Date]&gt;42094,Table1[Start Date]&lt;42461),Table1[Managing Tenancy and Accommodation],""))</f>
        <v/>
      </c>
      <c r="FJ205" s="44" t="str">
        <f>IF(Table1[Date of Initial Assessment]="","",IF(AND(Table1[Start Date]&gt;42094,Table1[Start Date]&lt;42461),Table1[Offending],""))</f>
        <v/>
      </c>
      <c r="FK205" s="44" t="str">
        <f>IF(Table1[Leaving Date]="","",IF(Table1[Date of Initial Assessment]="","",IF(AND(Table1[Leaving Date]&gt;42094,Table1[Leaving Date]&lt;42461),IF(Table1[Date of Last Assessment]="",Table1[Motivation and Taking Responsibility],Table1[Motivation and Taking Responsibility2]),"")))</f>
        <v/>
      </c>
      <c r="FL205" s="44" t="str">
        <f>IF(Table1[Leaving Date]="","",IF(Table1[Date of Initial Assessment]="","",IF(AND(Table1[Leaving Date]&gt;42094,Table1[Leaving Date]&lt;42461),IF(Table1[Date of Last Assessment]="",Table1[Self-Care and Living Skills],Table1[Self-Care and Living Skills2]),"")))</f>
        <v/>
      </c>
      <c r="FM205" s="44" t="str">
        <f>IF(Table1[Leaving Date]="","",IF(Table1[Date of Initial Assessment]="","",IF(AND(Table1[Leaving Date]&gt;42094,Table1[Leaving Date]&lt;42461),IF(Table1[Date of Last Assessment]="",Table1[Managing Money and Personal Administration],Table1[Managing Money and Personal Administration2]),"")))</f>
        <v/>
      </c>
      <c r="FN205" s="44" t="str">
        <f>IF(Table1[Leaving Date]="","",IF(Table1[Date of Initial Assessment]="","",IF(AND(Table1[Leaving Date]&gt;42094,Table1[Leaving Date]&lt;42461),IF(Table1[Date of Last Assessment]="",Table1[Social Networks and Relationships],Table1[Social Networks and Relationships2]),"")))</f>
        <v/>
      </c>
      <c r="FO205" s="44" t="str">
        <f>IF(Table1[Leaving Date]="","",IF(Table1[Date of Initial Assessment]="","",IF(AND(Table1[Leaving Date]&gt;42094,Table1[Leaving Date]&lt;42461),IF(Table1[Date of Last Assessment]="",Table1[Drug and Alcohol Misuse],Table1[Drug and Alcohol Misuse2]),"")))</f>
        <v/>
      </c>
      <c r="FP205" s="44" t="str">
        <f>IF(Table1[Leaving Date]="","",IF(Table1[Date of Initial Assessment]="","",IF(AND(Table1[Leaving Date]&gt;42094,Table1[Leaving Date]&lt;42461),IF(Table1[Date of Last Assessment]="",Table1[Physical Health],Table1[Physical Health2]),"")))</f>
        <v/>
      </c>
      <c r="FQ205" s="44" t="str">
        <f>IF(Table1[Leaving Date]="","",IF(Table1[Date of Initial Assessment]="","",IF(AND(Table1[Leaving Date]&gt;42094,Table1[Leaving Date]&lt;42461),IF(Table1[Date of Last Assessment]="",Table1[Emotional and Mental Health],Table1[Emotional and Mental Health2]),"")))</f>
        <v/>
      </c>
      <c r="FR205" s="44" t="str">
        <f>IF(Table1[Leaving Date]="","",IF(Table1[Date of Initial Assessment]="","",IF(AND(Table1[Leaving Date]&gt;42094,Table1[Leaving Date]&lt;42461),IF(Table1[Date of Last Assessment]="",Table1[Meaningful Use of Time],Table1[Meaningful Use of Time2]),"")))</f>
        <v/>
      </c>
      <c r="FS205" s="44" t="str">
        <f>IF(Table1[Leaving Date]="","",IF(Table1[Date of Initial Assessment]="","",IF(AND(Table1[Leaving Date]&gt;42094,Table1[Leaving Date]&lt;42461),IF(Table1[Date of Last Assessment]="",Table1[Managing Tenancy and Accommodation],Table1[Managing Tenancy and Accommodation2]),"")))</f>
        <v/>
      </c>
      <c r="FT205" s="44" t="str">
        <f>IF(Table1[Leaving Date]="","",IF(Table1[Date of Initial Assessment]="","",IF(AND(Table1[Leaving Date]&gt;42094,Table1[Leaving Date]&lt;42461),IF(Table1[Date of Last Assessment]="",Table1[Offending],Table1[Offending2]),"")))</f>
        <v/>
      </c>
      <c r="FU205" s="44" t="str">
        <f>IF(Table1[Date of Initial Assessment]="","",IF(AND(Table1[Start Date]&gt;42460,Table1[Start Date]&lt;42826),Table1[Motivation and Taking Responsibility],""))</f>
        <v/>
      </c>
      <c r="FV205" s="44" t="str">
        <f>IF(Table1[Date of Initial Assessment]="","",IF(AND(Table1[Start Date]&gt;42460,Table1[Start Date]&lt;42826),Table1[Self-Care and Living Skills],""))</f>
        <v/>
      </c>
      <c r="FW205" s="44" t="str">
        <f>IF(Table1[Date of Initial Assessment]="","",IF(AND(Table1[Start Date]&gt;42460,Table1[Start Date]&lt;42826),Table1[Managing Money and Personal Administration],""))</f>
        <v/>
      </c>
      <c r="FX205" s="44" t="str">
        <f>IF(Table1[Date of Initial Assessment]="","",IF(AND(Table1[Start Date]&gt;42460,Table1[Start Date]&lt;42826),Table1[Social Networks and Relationships],""))</f>
        <v/>
      </c>
      <c r="FY205" s="44" t="str">
        <f>IF(Table1[Date of Initial Assessment]="","",IF(AND(Table1[Start Date]&gt;42460,Table1[Start Date]&lt;42826),Table1[Drug and Alcohol Misuse],""))</f>
        <v/>
      </c>
      <c r="FZ205" s="44" t="str">
        <f>IF(Table1[Date of Initial Assessment]="","",IF(AND(Table1[Start Date]&gt;42460,Table1[Start Date]&lt;42826),Table1[Physical Health],""))</f>
        <v/>
      </c>
      <c r="GA205" s="44" t="str">
        <f>IF(Table1[Date of Initial Assessment]="","",IF(AND(Table1[Start Date]&gt;42460,Table1[Start Date]&lt;42826),Table1[Emotional and Mental Health],""))</f>
        <v/>
      </c>
      <c r="GB205" s="44" t="str">
        <f>IF(Table1[Date of Initial Assessment]="","",IF(AND(Table1[Start Date]&gt;42460,Table1[Start Date]&lt;42826),Table1[Meaningful Use of Time],""))</f>
        <v/>
      </c>
      <c r="GC205" s="44" t="str">
        <f>IF(Table1[Date of Initial Assessment]="","",IF(AND(Table1[Start Date]&gt;42460,Table1[Start Date]&lt;42826),Table1[Managing Tenancy and Accommodation],""))</f>
        <v/>
      </c>
      <c r="GD205" s="44" t="str">
        <f>IF(Table1[Date of Initial Assessment]="","",IF(AND(Table1[Start Date]&gt;42460,Table1[Start Date]&lt;42826),Table1[Offending],""))</f>
        <v/>
      </c>
      <c r="GE205" s="44" t="str">
        <f>IF(Table1[Leaving Date]="","",IF(AND(Table1[Leaving Date]&gt;42460,Table1[Leaving Date]&lt;42826),IF(Table1[Date of Last Assessment]="",Table1[Motivation and Taking Responsibility],Table1[Motivation and Taking Responsibility2]),""))</f>
        <v/>
      </c>
      <c r="GF205" s="44" t="str">
        <f>IF(Table1[Leaving Date]="","",IF(AND(Table1[Leaving Date]&gt;42460,Table1[Leaving Date]&lt;42826),IF(Table1[Date of Last Assessment]="",Table1[Self-Care and Living Skills],Table1[Self-Care and Living Skills2]),""))</f>
        <v/>
      </c>
      <c r="GG205" s="44" t="str">
        <f>IF(Table1[Leaving Date]="","",IF(AND(Table1[Leaving Date]&gt;42460,Table1[Leaving Date]&lt;42826),IF(Table1[Date of Last Assessment]="",Table1[Managing Money and Personal Administration],Table1[Managing Money and Personal Administration2]),""))</f>
        <v/>
      </c>
      <c r="GH205" s="44" t="str">
        <f>IF(Table1[Leaving Date]="","",IF(AND(Table1[Leaving Date]&gt;42460,Table1[Leaving Date]&lt;42826),IF(Table1[Date of Last Assessment]="",Table1[Social Networks and Relationships],Table1[Social Networks and Relationships2]),""))</f>
        <v/>
      </c>
      <c r="GI205" s="44" t="str">
        <f>IF(Table1[Leaving Date]="","",IF(AND(Table1[Leaving Date]&gt;42460,Table1[Leaving Date]&lt;42826),IF(Table1[Date of Last Assessment]="",Table1[Drug and Alcohol Misuse],Table1[Drug and Alcohol Misuse2]),""))</f>
        <v/>
      </c>
      <c r="GJ205" s="44" t="str">
        <f>IF(Table1[Leaving Date]="","",IF(AND(Table1[Leaving Date]&gt;42460,Table1[Leaving Date]&lt;42826),IF(Table1[Date of Last Assessment]="",Table1[Physical Health],Table1[Physical Health2]),""))</f>
        <v/>
      </c>
      <c r="GK205" s="44" t="str">
        <f>IF(Table1[Leaving Date]="","",IF(AND(Table1[Leaving Date]&gt;42460,Table1[Leaving Date]&lt;42826),IF(Table1[Date of Last Assessment]="",Table1[Emotional and Mental Health],Table1[Emotional and Mental Health2]),""))</f>
        <v/>
      </c>
      <c r="GL205" s="44" t="str">
        <f>IF(Table1[Leaving Date]="","",IF(AND(Table1[Leaving Date]&gt;42460,Table1[Leaving Date]&lt;42826),IF(Table1[Date of Last Assessment]="",Table1[Meaningful Use of Time],Table1[Meaningful Use of Time2]),""))</f>
        <v/>
      </c>
      <c r="GM205" s="44" t="str">
        <f>IF(Table1[Leaving Date]="","",IF(AND(Table1[Leaving Date]&gt;42460,Table1[Leaving Date]&lt;42826),IF(Table1[Date of Last Assessment]="",Table1[Managing Tenancy and Accommodation],Table1[Managing Tenancy and Accommodation2]),""))</f>
        <v/>
      </c>
      <c r="GN205" s="44" t="str">
        <f>IF(Table1[Leaving Date]="","",IF(AND(Table1[Leaving Date]&gt;42460,Table1[Leaving Date]&lt;42826),IF(Table1[Date of Last Assessment]="",Table1[Offending],Table1[Offending2]),""))</f>
        <v/>
      </c>
    </row>
    <row r="206" spans="2:196" ht="20.100000000000001" customHeight="1" x14ac:dyDescent="0.2">
      <c r="B206" s="86">
        <f>+'Service Data'!$C$5:$C$5</f>
        <v>0</v>
      </c>
      <c r="C206" s="86"/>
      <c r="D206" s="86"/>
      <c r="E206" s="86"/>
      <c r="F206" s="86"/>
      <c r="G206" s="86"/>
      <c r="H206" s="6"/>
      <c r="I206" s="99" t="str">
        <f ca="1">IF(Table1[[#This Row],[Date of Birth]]="","",SUM(TODAY()-Table1[[#This Row],[Date of Birth]])/365)</f>
        <v/>
      </c>
      <c r="L206" s="86"/>
      <c r="M206" s="77"/>
      <c r="N206" s="86"/>
      <c r="O206" s="86"/>
      <c r="P206" s="91"/>
      <c r="Q206" s="86"/>
      <c r="R206" s="77"/>
      <c r="S206" s="77"/>
      <c r="T206" s="68"/>
      <c r="U206" s="68"/>
      <c r="V206" s="67"/>
      <c r="W206" s="67"/>
      <c r="X206" s="67"/>
      <c r="Y206" s="67"/>
      <c r="Z206" s="67"/>
      <c r="AA206" s="67"/>
      <c r="AB206" s="67"/>
      <c r="AC206" s="67"/>
      <c r="AD206" s="67"/>
      <c r="AE206" s="67"/>
      <c r="AF206" s="67"/>
      <c r="AG206" s="67"/>
      <c r="AH206" s="67"/>
      <c r="AI206" s="67"/>
      <c r="AJ206" s="67"/>
      <c r="AK206" s="67"/>
      <c r="AL206" s="67"/>
      <c r="AM206" s="67"/>
      <c r="AN206" s="77"/>
      <c r="AO206" s="76"/>
      <c r="AP206" s="77"/>
      <c r="AQ206" s="76"/>
      <c r="AR206" s="76"/>
      <c r="AS206" s="76"/>
      <c r="AT206" s="76"/>
      <c r="AU206" s="76"/>
      <c r="AV206" s="77"/>
      <c r="AW206" s="76"/>
      <c r="AX206" s="77"/>
      <c r="AY206" s="76"/>
      <c r="AZ206" s="76"/>
      <c r="BA206" s="76"/>
      <c r="BB206" s="76"/>
      <c r="BC206" s="76"/>
      <c r="BD206" s="77"/>
      <c r="BE206" s="76"/>
      <c r="BF206" s="77"/>
      <c r="BG206" s="76"/>
      <c r="BH206" s="76"/>
      <c r="BI206" s="76"/>
      <c r="BJ206" s="76"/>
      <c r="BK206" s="76"/>
      <c r="BL206" s="77"/>
      <c r="BM206" s="76"/>
      <c r="BN206" s="77"/>
      <c r="BO206" s="76"/>
      <c r="BP206" s="76"/>
      <c r="BQ206" s="76"/>
      <c r="BR206" s="76"/>
      <c r="BS206" s="76"/>
      <c r="BT206" s="77"/>
      <c r="BU206" s="76"/>
      <c r="BV206" s="77"/>
      <c r="BW206" s="76"/>
      <c r="BX206" s="76"/>
      <c r="BY206" s="76"/>
      <c r="BZ206" s="76"/>
      <c r="CA206" s="76"/>
      <c r="CB206" s="77"/>
      <c r="CC206" s="76"/>
      <c r="CD206" s="77"/>
      <c r="CE206" s="76"/>
      <c r="CF206" s="76"/>
      <c r="CG206" s="76"/>
      <c r="CH206" s="76"/>
      <c r="CI206" s="76"/>
      <c r="CJ206" s="77"/>
      <c r="CK206" s="76"/>
      <c r="CL206" s="77"/>
      <c r="CM206" s="76"/>
      <c r="CN206" s="76"/>
      <c r="CO206" s="76"/>
      <c r="CP206" s="76"/>
      <c r="CQ206" s="76"/>
      <c r="CR206" s="78" t="str">
        <f t="shared" si="63"/>
        <v/>
      </c>
      <c r="CS206" s="79" t="str">
        <f t="shared" si="64"/>
        <v/>
      </c>
      <c r="CT206" s="79" t="str">
        <f t="shared" si="65"/>
        <v/>
      </c>
      <c r="CU206" s="79" t="str">
        <f t="shared" si="66"/>
        <v/>
      </c>
      <c r="CV206" s="79" t="str">
        <f t="shared" si="67"/>
        <v/>
      </c>
      <c r="CW206" s="79" t="str">
        <f t="shared" si="68"/>
        <v/>
      </c>
      <c r="CX206" s="79" t="str">
        <f t="shared" si="69"/>
        <v/>
      </c>
      <c r="CY206" s="79" t="str">
        <f t="shared" si="70"/>
        <v/>
      </c>
      <c r="CZ206" s="79" t="str">
        <f t="shared" si="71"/>
        <v/>
      </c>
      <c r="DA206" s="79" t="str">
        <f t="shared" si="72"/>
        <v/>
      </c>
      <c r="DB206" s="79" t="str">
        <f t="shared" si="73"/>
        <v/>
      </c>
      <c r="DC206" s="79" t="str">
        <f t="shared" si="74"/>
        <v/>
      </c>
      <c r="DD206" s="79" t="str">
        <f t="shared" si="75"/>
        <v/>
      </c>
      <c r="DE206" s="79" t="str">
        <f t="shared" si="76"/>
        <v/>
      </c>
      <c r="DF206" s="79" t="str">
        <f t="shared" si="77"/>
        <v/>
      </c>
      <c r="DG206" s="79" t="str">
        <f t="shared" si="78"/>
        <v/>
      </c>
      <c r="DH206" s="76"/>
      <c r="DI206" s="78"/>
      <c r="DJ206" s="76"/>
      <c r="DK206" s="77"/>
      <c r="DL206" s="77"/>
      <c r="DM206" s="77"/>
      <c r="DN206" s="80"/>
      <c r="DO206" s="80"/>
      <c r="DP206" s="92" t="str">
        <f>IF(Table1[Start Date]="","",IF(Table1[Start Date]&gt;42185,"",IF(AND(Table1[Leaving Date]&gt;1,Table1[Leaving Date]&lt;42095),"",1)))</f>
        <v/>
      </c>
      <c r="DQ206" s="92" t="str">
        <f>IF(Table1[Start Date]="","",IF(Table1[Start Date]&gt;42277,"",IF(AND(Table1[Leaving Date]&gt;1,Table1[Leaving Date]&lt;42186),"",1)))</f>
        <v/>
      </c>
      <c r="DR206" s="92" t="str">
        <f>IF(Table1[Start Date]="","",IF(Table1[Start Date]&gt;42369,"",IF(AND(Table1[Leaving Date]&gt;1,Table1[Leaving Date]&lt;42278),"",1)))</f>
        <v/>
      </c>
      <c r="DS206" s="92" t="str">
        <f>IF(Table1[Start Date]="","",IF(Table1[Start Date]&gt;42460,"",IF(AND(Table1[Leaving Date]&gt;1,Table1[Leaving Date]&lt;42370),"",1)))</f>
        <v/>
      </c>
      <c r="DT206" s="92" t="str">
        <f>IF(Table1[Start Date]="","",IF(Table1[Start Date]&gt;42551,"",IF(AND(Table1[Leaving Date]&gt;1,Table1[Leaving Date]&lt;42461),"",1)))</f>
        <v/>
      </c>
      <c r="DU206" s="92" t="str">
        <f>IF(Table1[Start Date]="","",IF(Table1[Start Date]&gt;42643,"",IF(AND(Table1[Leaving Date]&gt;1,Table1[Leaving Date]&lt;42552),"",1)))</f>
        <v/>
      </c>
      <c r="DV206" s="92" t="str">
        <f>IF(Table1[Start Date]="","",IF(Table1[Start Date]&gt;42735,"",IF(AND(Table1[Leaving Date]&gt;1,Table1[Leaving Date]&lt;42644),"",1)))</f>
        <v/>
      </c>
      <c r="DW206" s="92" t="str">
        <f>IF(Table1[Start Date]="","",IF(Table1[Start Date]&gt;42825,"",IF(AND(Table1[Leaving Date]&gt;1,Table1[Leaving Date]&lt;42736),"",1)))</f>
        <v/>
      </c>
      <c r="DX206"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206" s="44" t="e">
        <f>VLOOKUP(Table1[Referral Source],Lists!$G$2:$H$20,2,FALSE)</f>
        <v>#N/A</v>
      </c>
      <c r="DZ206" s="93" t="e">
        <f>SUM(Table1[Data Referral Quarter]+Table1[Data Referral Source])</f>
        <v>#N/A</v>
      </c>
      <c r="EA206" s="44" t="b">
        <f>IF(Table1[Referral Decision]="Accepted",100,IF(Table1[Referral Decision]="Rejected by Provider",200,IF(Table1[Referral Decision]="Rejected by Applicant",300)))</f>
        <v>0</v>
      </c>
      <c r="EB206" s="44">
        <f>SUM(Table1[Data Referral Quarter]+Table1[Data Referral Decision])</f>
        <v>0</v>
      </c>
      <c r="EC206" s="44" t="b">
        <f>IF(Table1[Start Date]&gt;42735,8000,IF(Table1[Start Date]&gt;42643,7000,IF(Table1[Start Date]&gt;42551,6000,IF(Table1[Start Date]&gt;42460,5000,IF(Table1[Start Date]&gt;42369,4000,IF(Table1[Start Date]&gt;42277,3000,IF(Table1[Start Date]&gt;42185,2000,IF(Table1[Start Date]&gt;42094,1000))))))))</f>
        <v>0</v>
      </c>
      <c r="ED206" s="44" t="str">
        <f>IF(Table1[Start Date]="","",IF(Table1[Current Local Authority]="Swindon",1,"2"))</f>
        <v/>
      </c>
      <c r="EE206" s="44" t="e">
        <f>SUM(Table1[Data Start Date]+Table1[Data Local Authority])</f>
        <v>#VALUE!</v>
      </c>
      <c r="EF206" s="44">
        <f>IF(Table1[Registered with GP]="Yes",1,0)</f>
        <v>0</v>
      </c>
      <c r="EG206" s="44">
        <f>SUM(Table1[Data Start Date]+Table1[Data GP Start])</f>
        <v>0</v>
      </c>
      <c r="EH206" s="44" t="str">
        <f>IF(Table1[EET]="NEET",1,IF(Table1[EET]="Education",2,IF(Table1[EET]="Employment",2,IF(Table1[EET]="Training",2,IF(Table1[EET]="Retired",3,"")))))</f>
        <v/>
      </c>
      <c r="EI206" s="44" t="e">
        <f>Table1[Data Start Date]+Table1[Data EET Start]</f>
        <v>#VALUE!</v>
      </c>
      <c r="EJ206" s="44" t="b">
        <f>IF(Table1[Leaving Date]&gt;42735,8000,IF(Table1[Leaving Date]&gt;42643,7000,IF(Table1[Leaving Date]&gt;42551,6000,IF(Table1[Leaving Date]&gt;42460,5000,IF(Table1[Leaving Date]&gt;42369,4000,IF(Table1[Leaving Date]&gt;42277,3000,IF(Table1[Leaving Date]&gt;42185,2000,IF(Table1[Leaving Date]&gt;42094,1000))))))))</f>
        <v>0</v>
      </c>
      <c r="EK206" s="44" t="e">
        <f>VLOOKUP(Table1[Reason for Leaving],Lists!$T$2:$U$15,2,FALSE)</f>
        <v>#N/A</v>
      </c>
      <c r="EL206" s="44" t="e">
        <f>SUM(Table1[Data Leavers Date]+Table1[Data Move On])</f>
        <v>#N/A</v>
      </c>
      <c r="EM206" s="44" t="b">
        <f>IF(Table1[Registered with GP2]="Yes",1,IF(Table1[Registered with GP2]="No",0,IF(Table1[Registered with GP]="Yes",1,IF(Table1[Registered with GP]="No",0))))</f>
        <v>0</v>
      </c>
      <c r="EN206" s="44">
        <f>SUM(Table1[Data Leavers Date]+Table1[Data GP End])</f>
        <v>0</v>
      </c>
      <c r="EO206" s="44" t="str">
        <f>IF(Table1[EET2]="NEET",1,IF(Table1[EET2]="Employment",2,IF(Table1[EET2]="Education",2,IF(Table1[EET2]="Training",2,IF(Table1[EET2]="Retired",3,IF(Table1[EET]="NEET",1,IF(Table1[EET]="Employment",2,IF(Table1[EET]="Education",2,IF(Table1[EET]="Training",2,IF(Table1[EET]="Retired",3,""))))))))))</f>
        <v/>
      </c>
      <c r="EP206" s="44" t="e">
        <f>+Table1[[#This Row],[Data Leavers Date]]+Table1[[#This Row],[Data EET End]]</f>
        <v>#VALUE!</v>
      </c>
      <c r="EQ206" s="44">
        <f>IF(Table1[Exit Form Received]="Yes",1,0)</f>
        <v>0</v>
      </c>
      <c r="ER206" s="44">
        <f>+Table1[[#This Row],[Data Leavers Date]]+Table1[[#This Row],[Data Exit Forms]]</f>
        <v>0</v>
      </c>
      <c r="ES206" s="44" t="str">
        <f>IF(Table1[Data Leavers Date]=1000,SUM(Table1[Leaving Date]-Table1[Start Date]),"")</f>
        <v/>
      </c>
      <c r="ET206" s="44" t="str">
        <f>IF(Table1[Data Leavers Date]=2000,SUM(Table1[Leaving Date]-Table1[Start Date]),"")</f>
        <v/>
      </c>
      <c r="EU206" s="44" t="str">
        <f>IF(Table1[Data Leavers Date]=3000,SUM(Table1[Leaving Date]-Table1[Start Date]),"")</f>
        <v/>
      </c>
      <c r="EV206" s="44" t="str">
        <f>IF(Table1[Data Leavers Date]=4000,SUM(Table1[Leaving Date]-Table1[Start Date]),"")</f>
        <v/>
      </c>
      <c r="EW206" s="44" t="str">
        <f>IF(Table1[Data Leavers Date]=5000,SUM(Table1[Leaving Date]-Table1[Start Date]),"")</f>
        <v/>
      </c>
      <c r="EX206" s="44" t="str">
        <f>IF(Table1[Data Leavers Date]=6000,SUM(Table1[Leaving Date]-Table1[Start Date]),"")</f>
        <v/>
      </c>
      <c r="EY206" s="44" t="str">
        <f>IF(Table1[Data Leavers Date]=7000,SUM(Table1[Leaving Date]-Table1[Start Date]),"")</f>
        <v/>
      </c>
      <c r="EZ206" s="44" t="str">
        <f>IF(Table1[Data Leavers Date]=8000,SUM(Table1[Leaving Date]-Table1[Start Date]),"")</f>
        <v/>
      </c>
      <c r="FA206" s="44" t="str">
        <f>IF(Table1[Date of Initial Assessment]="","",IF(AND(Table1[Start Date]&gt;42094,Table1[Start Date]&lt;42461),Table1[Motivation and Taking Responsibility],""))</f>
        <v/>
      </c>
      <c r="FB206" s="44" t="str">
        <f>IF(Table1[Date of Initial Assessment]="","",IF(AND(Table1[Start Date]&gt;42094,Table1[Start Date]&lt;42461),Table1[Self-Care and Living Skills],""))</f>
        <v/>
      </c>
      <c r="FC206" s="44" t="str">
        <f>IF(Table1[Date of Initial Assessment]="","",IF(AND(Table1[Start Date]&gt;42094,Table1[Start Date]&lt;42461),Table1[Managing Money and Personal Administration],""))</f>
        <v/>
      </c>
      <c r="FD206" s="44" t="str">
        <f>IF(Table1[Date of Initial Assessment]="","",IF(AND(Table1[Start Date]&gt;42094,Table1[Start Date]&lt;42461),Table1[Social Networks and Relationships],""))</f>
        <v/>
      </c>
      <c r="FE206" s="44" t="str">
        <f>IF(Table1[Date of Initial Assessment]="","",IF(AND(Table1[Start Date]&gt;42094,Table1[Start Date]&lt;42461),Table1[Drug and Alcohol Misuse],""))</f>
        <v/>
      </c>
      <c r="FF206" s="44" t="str">
        <f>IF(Table1[Date of Initial Assessment]="","",IF(AND(Table1[Start Date]&gt;42094,Table1[Start Date]&lt;42461),Table1[Physical Health],""))</f>
        <v/>
      </c>
      <c r="FG206" s="44" t="str">
        <f>IF(Table1[Date of Initial Assessment]="","",IF(AND(Table1[Start Date]&gt;42094,Table1[Start Date]&lt;42461),Table1[Emotional and Mental Health],""))</f>
        <v/>
      </c>
      <c r="FH206" s="44" t="str">
        <f>IF(Table1[Date of Initial Assessment]="","",IF(AND(Table1[Start Date]&gt;42094,Table1[Start Date]&lt;42461),Table1[Meaningful Use of Time],""))</f>
        <v/>
      </c>
      <c r="FI206" s="44" t="str">
        <f>IF(Table1[Date of Initial Assessment]="","",IF(AND(Table1[Start Date]&gt;42094,Table1[Start Date]&lt;42461),Table1[Managing Tenancy and Accommodation],""))</f>
        <v/>
      </c>
      <c r="FJ206" s="44" t="str">
        <f>IF(Table1[Date of Initial Assessment]="","",IF(AND(Table1[Start Date]&gt;42094,Table1[Start Date]&lt;42461),Table1[Offending],""))</f>
        <v/>
      </c>
      <c r="FK206" s="44" t="str">
        <f>IF(Table1[Leaving Date]="","",IF(Table1[Date of Initial Assessment]="","",IF(AND(Table1[Leaving Date]&gt;42094,Table1[Leaving Date]&lt;42461),IF(Table1[Date of Last Assessment]="",Table1[Motivation and Taking Responsibility],Table1[Motivation and Taking Responsibility2]),"")))</f>
        <v/>
      </c>
      <c r="FL206" s="44" t="str">
        <f>IF(Table1[Leaving Date]="","",IF(Table1[Date of Initial Assessment]="","",IF(AND(Table1[Leaving Date]&gt;42094,Table1[Leaving Date]&lt;42461),IF(Table1[Date of Last Assessment]="",Table1[Self-Care and Living Skills],Table1[Self-Care and Living Skills2]),"")))</f>
        <v/>
      </c>
      <c r="FM206" s="44" t="str">
        <f>IF(Table1[Leaving Date]="","",IF(Table1[Date of Initial Assessment]="","",IF(AND(Table1[Leaving Date]&gt;42094,Table1[Leaving Date]&lt;42461),IF(Table1[Date of Last Assessment]="",Table1[Managing Money and Personal Administration],Table1[Managing Money and Personal Administration2]),"")))</f>
        <v/>
      </c>
      <c r="FN206" s="44" t="str">
        <f>IF(Table1[Leaving Date]="","",IF(Table1[Date of Initial Assessment]="","",IF(AND(Table1[Leaving Date]&gt;42094,Table1[Leaving Date]&lt;42461),IF(Table1[Date of Last Assessment]="",Table1[Social Networks and Relationships],Table1[Social Networks and Relationships2]),"")))</f>
        <v/>
      </c>
      <c r="FO206" s="44" t="str">
        <f>IF(Table1[Leaving Date]="","",IF(Table1[Date of Initial Assessment]="","",IF(AND(Table1[Leaving Date]&gt;42094,Table1[Leaving Date]&lt;42461),IF(Table1[Date of Last Assessment]="",Table1[Drug and Alcohol Misuse],Table1[Drug and Alcohol Misuse2]),"")))</f>
        <v/>
      </c>
      <c r="FP206" s="44" t="str">
        <f>IF(Table1[Leaving Date]="","",IF(Table1[Date of Initial Assessment]="","",IF(AND(Table1[Leaving Date]&gt;42094,Table1[Leaving Date]&lt;42461),IF(Table1[Date of Last Assessment]="",Table1[Physical Health],Table1[Physical Health2]),"")))</f>
        <v/>
      </c>
      <c r="FQ206" s="44" t="str">
        <f>IF(Table1[Leaving Date]="","",IF(Table1[Date of Initial Assessment]="","",IF(AND(Table1[Leaving Date]&gt;42094,Table1[Leaving Date]&lt;42461),IF(Table1[Date of Last Assessment]="",Table1[Emotional and Mental Health],Table1[Emotional and Mental Health2]),"")))</f>
        <v/>
      </c>
      <c r="FR206" s="44" t="str">
        <f>IF(Table1[Leaving Date]="","",IF(Table1[Date of Initial Assessment]="","",IF(AND(Table1[Leaving Date]&gt;42094,Table1[Leaving Date]&lt;42461),IF(Table1[Date of Last Assessment]="",Table1[Meaningful Use of Time],Table1[Meaningful Use of Time2]),"")))</f>
        <v/>
      </c>
      <c r="FS206" s="44" t="str">
        <f>IF(Table1[Leaving Date]="","",IF(Table1[Date of Initial Assessment]="","",IF(AND(Table1[Leaving Date]&gt;42094,Table1[Leaving Date]&lt;42461),IF(Table1[Date of Last Assessment]="",Table1[Managing Tenancy and Accommodation],Table1[Managing Tenancy and Accommodation2]),"")))</f>
        <v/>
      </c>
      <c r="FT206" s="44" t="str">
        <f>IF(Table1[Leaving Date]="","",IF(Table1[Date of Initial Assessment]="","",IF(AND(Table1[Leaving Date]&gt;42094,Table1[Leaving Date]&lt;42461),IF(Table1[Date of Last Assessment]="",Table1[Offending],Table1[Offending2]),"")))</f>
        <v/>
      </c>
      <c r="FU206" s="44" t="str">
        <f>IF(Table1[Date of Initial Assessment]="","",IF(AND(Table1[Start Date]&gt;42460,Table1[Start Date]&lt;42826),Table1[Motivation and Taking Responsibility],""))</f>
        <v/>
      </c>
      <c r="FV206" s="44" t="str">
        <f>IF(Table1[Date of Initial Assessment]="","",IF(AND(Table1[Start Date]&gt;42460,Table1[Start Date]&lt;42826),Table1[Self-Care and Living Skills],""))</f>
        <v/>
      </c>
      <c r="FW206" s="44" t="str">
        <f>IF(Table1[Date of Initial Assessment]="","",IF(AND(Table1[Start Date]&gt;42460,Table1[Start Date]&lt;42826),Table1[Managing Money and Personal Administration],""))</f>
        <v/>
      </c>
      <c r="FX206" s="44" t="str">
        <f>IF(Table1[Date of Initial Assessment]="","",IF(AND(Table1[Start Date]&gt;42460,Table1[Start Date]&lt;42826),Table1[Social Networks and Relationships],""))</f>
        <v/>
      </c>
      <c r="FY206" s="44" t="str">
        <f>IF(Table1[Date of Initial Assessment]="","",IF(AND(Table1[Start Date]&gt;42460,Table1[Start Date]&lt;42826),Table1[Drug and Alcohol Misuse],""))</f>
        <v/>
      </c>
      <c r="FZ206" s="44" t="str">
        <f>IF(Table1[Date of Initial Assessment]="","",IF(AND(Table1[Start Date]&gt;42460,Table1[Start Date]&lt;42826),Table1[Physical Health],""))</f>
        <v/>
      </c>
      <c r="GA206" s="44" t="str">
        <f>IF(Table1[Date of Initial Assessment]="","",IF(AND(Table1[Start Date]&gt;42460,Table1[Start Date]&lt;42826),Table1[Emotional and Mental Health],""))</f>
        <v/>
      </c>
      <c r="GB206" s="44" t="str">
        <f>IF(Table1[Date of Initial Assessment]="","",IF(AND(Table1[Start Date]&gt;42460,Table1[Start Date]&lt;42826),Table1[Meaningful Use of Time],""))</f>
        <v/>
      </c>
      <c r="GC206" s="44" t="str">
        <f>IF(Table1[Date of Initial Assessment]="","",IF(AND(Table1[Start Date]&gt;42460,Table1[Start Date]&lt;42826),Table1[Managing Tenancy and Accommodation],""))</f>
        <v/>
      </c>
      <c r="GD206" s="44" t="str">
        <f>IF(Table1[Date of Initial Assessment]="","",IF(AND(Table1[Start Date]&gt;42460,Table1[Start Date]&lt;42826),Table1[Offending],""))</f>
        <v/>
      </c>
      <c r="GE206" s="44" t="str">
        <f>IF(Table1[Leaving Date]="","",IF(AND(Table1[Leaving Date]&gt;42460,Table1[Leaving Date]&lt;42826),IF(Table1[Date of Last Assessment]="",Table1[Motivation and Taking Responsibility],Table1[Motivation and Taking Responsibility2]),""))</f>
        <v/>
      </c>
      <c r="GF206" s="44" t="str">
        <f>IF(Table1[Leaving Date]="","",IF(AND(Table1[Leaving Date]&gt;42460,Table1[Leaving Date]&lt;42826),IF(Table1[Date of Last Assessment]="",Table1[Self-Care and Living Skills],Table1[Self-Care and Living Skills2]),""))</f>
        <v/>
      </c>
      <c r="GG206" s="44" t="str">
        <f>IF(Table1[Leaving Date]="","",IF(AND(Table1[Leaving Date]&gt;42460,Table1[Leaving Date]&lt;42826),IF(Table1[Date of Last Assessment]="",Table1[Managing Money and Personal Administration],Table1[Managing Money and Personal Administration2]),""))</f>
        <v/>
      </c>
      <c r="GH206" s="44" t="str">
        <f>IF(Table1[Leaving Date]="","",IF(AND(Table1[Leaving Date]&gt;42460,Table1[Leaving Date]&lt;42826),IF(Table1[Date of Last Assessment]="",Table1[Social Networks and Relationships],Table1[Social Networks and Relationships2]),""))</f>
        <v/>
      </c>
      <c r="GI206" s="44" t="str">
        <f>IF(Table1[Leaving Date]="","",IF(AND(Table1[Leaving Date]&gt;42460,Table1[Leaving Date]&lt;42826),IF(Table1[Date of Last Assessment]="",Table1[Drug and Alcohol Misuse],Table1[Drug and Alcohol Misuse2]),""))</f>
        <v/>
      </c>
      <c r="GJ206" s="44" t="str">
        <f>IF(Table1[Leaving Date]="","",IF(AND(Table1[Leaving Date]&gt;42460,Table1[Leaving Date]&lt;42826),IF(Table1[Date of Last Assessment]="",Table1[Physical Health],Table1[Physical Health2]),""))</f>
        <v/>
      </c>
      <c r="GK206" s="44" t="str">
        <f>IF(Table1[Leaving Date]="","",IF(AND(Table1[Leaving Date]&gt;42460,Table1[Leaving Date]&lt;42826),IF(Table1[Date of Last Assessment]="",Table1[Emotional and Mental Health],Table1[Emotional and Mental Health2]),""))</f>
        <v/>
      </c>
      <c r="GL206" s="44" t="str">
        <f>IF(Table1[Leaving Date]="","",IF(AND(Table1[Leaving Date]&gt;42460,Table1[Leaving Date]&lt;42826),IF(Table1[Date of Last Assessment]="",Table1[Meaningful Use of Time],Table1[Meaningful Use of Time2]),""))</f>
        <v/>
      </c>
      <c r="GM206" s="44" t="str">
        <f>IF(Table1[Leaving Date]="","",IF(AND(Table1[Leaving Date]&gt;42460,Table1[Leaving Date]&lt;42826),IF(Table1[Date of Last Assessment]="",Table1[Managing Tenancy and Accommodation],Table1[Managing Tenancy and Accommodation2]),""))</f>
        <v/>
      </c>
      <c r="GN206" s="44" t="str">
        <f>IF(Table1[Leaving Date]="","",IF(AND(Table1[Leaving Date]&gt;42460,Table1[Leaving Date]&lt;42826),IF(Table1[Date of Last Assessment]="",Table1[Offending],Table1[Offending2]),""))</f>
        <v/>
      </c>
    </row>
    <row r="207" spans="2:196" ht="20.100000000000001" customHeight="1" x14ac:dyDescent="0.2">
      <c r="B207" s="86">
        <f>+'Service Data'!$C$5:$C$5</f>
        <v>0</v>
      </c>
      <c r="C207" s="86"/>
      <c r="D207" s="86"/>
      <c r="E207" s="86"/>
      <c r="F207" s="86"/>
      <c r="G207" s="86"/>
      <c r="H207" s="6"/>
      <c r="I207" s="99" t="str">
        <f ca="1">IF(Table1[[#This Row],[Date of Birth]]="","",SUM(TODAY()-Table1[[#This Row],[Date of Birth]])/365)</f>
        <v/>
      </c>
      <c r="L207" s="86"/>
      <c r="M207" s="77"/>
      <c r="N207" s="86"/>
      <c r="O207" s="86"/>
      <c r="P207" s="91"/>
      <c r="Q207" s="86"/>
      <c r="R207" s="77"/>
      <c r="S207" s="77"/>
      <c r="T207" s="68"/>
      <c r="U207" s="68"/>
      <c r="V207" s="67"/>
      <c r="W207" s="67"/>
      <c r="X207" s="67"/>
      <c r="Y207" s="67"/>
      <c r="Z207" s="67"/>
      <c r="AA207" s="67"/>
      <c r="AB207" s="67"/>
      <c r="AC207" s="67"/>
      <c r="AD207" s="67"/>
      <c r="AE207" s="67"/>
      <c r="AF207" s="67"/>
      <c r="AG207" s="67"/>
      <c r="AH207" s="67"/>
      <c r="AI207" s="67"/>
      <c r="AJ207" s="67"/>
      <c r="AK207" s="67"/>
      <c r="AL207" s="67"/>
      <c r="AM207" s="67"/>
      <c r="AN207" s="77"/>
      <c r="AO207" s="76"/>
      <c r="AP207" s="77"/>
      <c r="AQ207" s="76"/>
      <c r="AR207" s="76"/>
      <c r="AS207" s="76"/>
      <c r="AT207" s="76"/>
      <c r="AU207" s="76"/>
      <c r="AV207" s="77"/>
      <c r="AW207" s="76"/>
      <c r="AX207" s="77"/>
      <c r="AY207" s="76"/>
      <c r="AZ207" s="76"/>
      <c r="BA207" s="76"/>
      <c r="BB207" s="76"/>
      <c r="BC207" s="76"/>
      <c r="BD207" s="77"/>
      <c r="BE207" s="76"/>
      <c r="BF207" s="77"/>
      <c r="BG207" s="76"/>
      <c r="BH207" s="76"/>
      <c r="BI207" s="76"/>
      <c r="BJ207" s="76"/>
      <c r="BK207" s="76"/>
      <c r="BL207" s="77"/>
      <c r="BM207" s="76"/>
      <c r="BN207" s="77"/>
      <c r="BO207" s="76"/>
      <c r="BP207" s="76"/>
      <c r="BQ207" s="76"/>
      <c r="BR207" s="76"/>
      <c r="BS207" s="76"/>
      <c r="BT207" s="77"/>
      <c r="BU207" s="76"/>
      <c r="BV207" s="77"/>
      <c r="BW207" s="76"/>
      <c r="BX207" s="76"/>
      <c r="BY207" s="76"/>
      <c r="BZ207" s="76"/>
      <c r="CA207" s="76"/>
      <c r="CB207" s="77"/>
      <c r="CC207" s="76"/>
      <c r="CD207" s="77"/>
      <c r="CE207" s="76"/>
      <c r="CF207" s="76"/>
      <c r="CG207" s="76"/>
      <c r="CH207" s="76"/>
      <c r="CI207" s="76"/>
      <c r="CJ207" s="77"/>
      <c r="CK207" s="76"/>
      <c r="CL207" s="77"/>
      <c r="CM207" s="76"/>
      <c r="CN207" s="76"/>
      <c r="CO207" s="76"/>
      <c r="CP207" s="76"/>
      <c r="CQ207" s="76"/>
      <c r="CR207" s="78" t="str">
        <f t="shared" si="63"/>
        <v/>
      </c>
      <c r="CS207" s="79" t="str">
        <f t="shared" si="64"/>
        <v/>
      </c>
      <c r="CT207" s="79" t="str">
        <f t="shared" si="65"/>
        <v/>
      </c>
      <c r="CU207" s="79" t="str">
        <f t="shared" si="66"/>
        <v/>
      </c>
      <c r="CV207" s="79" t="str">
        <f t="shared" si="67"/>
        <v/>
      </c>
      <c r="CW207" s="79" t="str">
        <f t="shared" si="68"/>
        <v/>
      </c>
      <c r="CX207" s="79" t="str">
        <f t="shared" si="69"/>
        <v/>
      </c>
      <c r="CY207" s="79" t="str">
        <f t="shared" si="70"/>
        <v/>
      </c>
      <c r="CZ207" s="79" t="str">
        <f t="shared" si="71"/>
        <v/>
      </c>
      <c r="DA207" s="79" t="str">
        <f t="shared" si="72"/>
        <v/>
      </c>
      <c r="DB207" s="79" t="str">
        <f t="shared" si="73"/>
        <v/>
      </c>
      <c r="DC207" s="79" t="str">
        <f t="shared" si="74"/>
        <v/>
      </c>
      <c r="DD207" s="79" t="str">
        <f t="shared" si="75"/>
        <v/>
      </c>
      <c r="DE207" s="79" t="str">
        <f t="shared" si="76"/>
        <v/>
      </c>
      <c r="DF207" s="79" t="str">
        <f t="shared" si="77"/>
        <v/>
      </c>
      <c r="DG207" s="79" t="str">
        <f t="shared" si="78"/>
        <v/>
      </c>
      <c r="DH207" s="76"/>
      <c r="DI207" s="78"/>
      <c r="DJ207" s="76"/>
      <c r="DK207" s="77"/>
      <c r="DL207" s="77"/>
      <c r="DM207" s="77"/>
      <c r="DN207" s="80"/>
      <c r="DO207" s="80"/>
      <c r="DP207" s="92" t="str">
        <f>IF(Table1[Start Date]="","",IF(Table1[Start Date]&gt;42185,"",IF(AND(Table1[Leaving Date]&gt;1,Table1[Leaving Date]&lt;42095),"",1)))</f>
        <v/>
      </c>
      <c r="DQ207" s="92" t="str">
        <f>IF(Table1[Start Date]="","",IF(Table1[Start Date]&gt;42277,"",IF(AND(Table1[Leaving Date]&gt;1,Table1[Leaving Date]&lt;42186),"",1)))</f>
        <v/>
      </c>
      <c r="DR207" s="92" t="str">
        <f>IF(Table1[Start Date]="","",IF(Table1[Start Date]&gt;42369,"",IF(AND(Table1[Leaving Date]&gt;1,Table1[Leaving Date]&lt;42278),"",1)))</f>
        <v/>
      </c>
      <c r="DS207" s="92" t="str">
        <f>IF(Table1[Start Date]="","",IF(Table1[Start Date]&gt;42460,"",IF(AND(Table1[Leaving Date]&gt;1,Table1[Leaving Date]&lt;42370),"",1)))</f>
        <v/>
      </c>
      <c r="DT207" s="92" t="str">
        <f>IF(Table1[Start Date]="","",IF(Table1[Start Date]&gt;42551,"",IF(AND(Table1[Leaving Date]&gt;1,Table1[Leaving Date]&lt;42461),"",1)))</f>
        <v/>
      </c>
      <c r="DU207" s="92" t="str">
        <f>IF(Table1[Start Date]="","",IF(Table1[Start Date]&gt;42643,"",IF(AND(Table1[Leaving Date]&gt;1,Table1[Leaving Date]&lt;42552),"",1)))</f>
        <v/>
      </c>
      <c r="DV207" s="92" t="str">
        <f>IF(Table1[Start Date]="","",IF(Table1[Start Date]&gt;42735,"",IF(AND(Table1[Leaving Date]&gt;1,Table1[Leaving Date]&lt;42644),"",1)))</f>
        <v/>
      </c>
      <c r="DW207" s="92" t="str">
        <f>IF(Table1[Start Date]="","",IF(Table1[Start Date]&gt;42825,"",IF(AND(Table1[Leaving Date]&gt;1,Table1[Leaving Date]&lt;42736),"",1)))</f>
        <v/>
      </c>
      <c r="DX207"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207" s="44" t="e">
        <f>VLOOKUP(Table1[Referral Source],Lists!$G$2:$H$20,2,FALSE)</f>
        <v>#N/A</v>
      </c>
      <c r="DZ207" s="93" t="e">
        <f>SUM(Table1[Data Referral Quarter]+Table1[Data Referral Source])</f>
        <v>#N/A</v>
      </c>
      <c r="EA207" s="44" t="b">
        <f>IF(Table1[Referral Decision]="Accepted",100,IF(Table1[Referral Decision]="Rejected by Provider",200,IF(Table1[Referral Decision]="Rejected by Applicant",300)))</f>
        <v>0</v>
      </c>
      <c r="EB207" s="44">
        <f>SUM(Table1[Data Referral Quarter]+Table1[Data Referral Decision])</f>
        <v>0</v>
      </c>
      <c r="EC207" s="44" t="b">
        <f>IF(Table1[Start Date]&gt;42735,8000,IF(Table1[Start Date]&gt;42643,7000,IF(Table1[Start Date]&gt;42551,6000,IF(Table1[Start Date]&gt;42460,5000,IF(Table1[Start Date]&gt;42369,4000,IF(Table1[Start Date]&gt;42277,3000,IF(Table1[Start Date]&gt;42185,2000,IF(Table1[Start Date]&gt;42094,1000))))))))</f>
        <v>0</v>
      </c>
      <c r="ED207" s="44" t="str">
        <f>IF(Table1[Start Date]="","",IF(Table1[Current Local Authority]="Swindon",1,"2"))</f>
        <v/>
      </c>
      <c r="EE207" s="44" t="e">
        <f>SUM(Table1[Data Start Date]+Table1[Data Local Authority])</f>
        <v>#VALUE!</v>
      </c>
      <c r="EF207" s="44">
        <f>IF(Table1[Registered with GP]="Yes",1,0)</f>
        <v>0</v>
      </c>
      <c r="EG207" s="44">
        <f>SUM(Table1[Data Start Date]+Table1[Data GP Start])</f>
        <v>0</v>
      </c>
      <c r="EH207" s="44" t="str">
        <f>IF(Table1[EET]="NEET",1,IF(Table1[EET]="Education",2,IF(Table1[EET]="Employment",2,IF(Table1[EET]="Training",2,IF(Table1[EET]="Retired",3,"")))))</f>
        <v/>
      </c>
      <c r="EI207" s="44" t="e">
        <f>Table1[Data Start Date]+Table1[Data EET Start]</f>
        <v>#VALUE!</v>
      </c>
      <c r="EJ207" s="44" t="b">
        <f>IF(Table1[Leaving Date]&gt;42735,8000,IF(Table1[Leaving Date]&gt;42643,7000,IF(Table1[Leaving Date]&gt;42551,6000,IF(Table1[Leaving Date]&gt;42460,5000,IF(Table1[Leaving Date]&gt;42369,4000,IF(Table1[Leaving Date]&gt;42277,3000,IF(Table1[Leaving Date]&gt;42185,2000,IF(Table1[Leaving Date]&gt;42094,1000))))))))</f>
        <v>0</v>
      </c>
      <c r="EK207" s="44" t="e">
        <f>VLOOKUP(Table1[Reason for Leaving],Lists!$T$2:$U$15,2,FALSE)</f>
        <v>#N/A</v>
      </c>
      <c r="EL207" s="44" t="e">
        <f>SUM(Table1[Data Leavers Date]+Table1[Data Move On])</f>
        <v>#N/A</v>
      </c>
      <c r="EM207" s="44" t="b">
        <f>IF(Table1[Registered with GP2]="Yes",1,IF(Table1[Registered with GP2]="No",0,IF(Table1[Registered with GP]="Yes",1,IF(Table1[Registered with GP]="No",0))))</f>
        <v>0</v>
      </c>
      <c r="EN207" s="44">
        <f>SUM(Table1[Data Leavers Date]+Table1[Data GP End])</f>
        <v>0</v>
      </c>
      <c r="EO207" s="44" t="str">
        <f>IF(Table1[EET2]="NEET",1,IF(Table1[EET2]="Employment",2,IF(Table1[EET2]="Education",2,IF(Table1[EET2]="Training",2,IF(Table1[EET2]="Retired",3,IF(Table1[EET]="NEET",1,IF(Table1[EET]="Employment",2,IF(Table1[EET]="Education",2,IF(Table1[EET]="Training",2,IF(Table1[EET]="Retired",3,""))))))))))</f>
        <v/>
      </c>
      <c r="EP207" s="44" t="e">
        <f>+Table1[[#This Row],[Data Leavers Date]]+Table1[[#This Row],[Data EET End]]</f>
        <v>#VALUE!</v>
      </c>
      <c r="EQ207" s="44">
        <f>IF(Table1[Exit Form Received]="Yes",1,0)</f>
        <v>0</v>
      </c>
      <c r="ER207" s="44">
        <f>+Table1[[#This Row],[Data Leavers Date]]+Table1[[#This Row],[Data Exit Forms]]</f>
        <v>0</v>
      </c>
      <c r="ES207" s="44" t="str">
        <f>IF(Table1[Data Leavers Date]=1000,SUM(Table1[Leaving Date]-Table1[Start Date]),"")</f>
        <v/>
      </c>
      <c r="ET207" s="44" t="str">
        <f>IF(Table1[Data Leavers Date]=2000,SUM(Table1[Leaving Date]-Table1[Start Date]),"")</f>
        <v/>
      </c>
      <c r="EU207" s="44" t="str">
        <f>IF(Table1[Data Leavers Date]=3000,SUM(Table1[Leaving Date]-Table1[Start Date]),"")</f>
        <v/>
      </c>
      <c r="EV207" s="44" t="str">
        <f>IF(Table1[Data Leavers Date]=4000,SUM(Table1[Leaving Date]-Table1[Start Date]),"")</f>
        <v/>
      </c>
      <c r="EW207" s="44" t="str">
        <f>IF(Table1[Data Leavers Date]=5000,SUM(Table1[Leaving Date]-Table1[Start Date]),"")</f>
        <v/>
      </c>
      <c r="EX207" s="44" t="str">
        <f>IF(Table1[Data Leavers Date]=6000,SUM(Table1[Leaving Date]-Table1[Start Date]),"")</f>
        <v/>
      </c>
      <c r="EY207" s="44" t="str">
        <f>IF(Table1[Data Leavers Date]=7000,SUM(Table1[Leaving Date]-Table1[Start Date]),"")</f>
        <v/>
      </c>
      <c r="EZ207" s="44" t="str">
        <f>IF(Table1[Data Leavers Date]=8000,SUM(Table1[Leaving Date]-Table1[Start Date]),"")</f>
        <v/>
      </c>
      <c r="FA207" s="44" t="str">
        <f>IF(Table1[Date of Initial Assessment]="","",IF(AND(Table1[Start Date]&gt;42094,Table1[Start Date]&lt;42461),Table1[Motivation and Taking Responsibility],""))</f>
        <v/>
      </c>
      <c r="FB207" s="44" t="str">
        <f>IF(Table1[Date of Initial Assessment]="","",IF(AND(Table1[Start Date]&gt;42094,Table1[Start Date]&lt;42461),Table1[Self-Care and Living Skills],""))</f>
        <v/>
      </c>
      <c r="FC207" s="44" t="str">
        <f>IF(Table1[Date of Initial Assessment]="","",IF(AND(Table1[Start Date]&gt;42094,Table1[Start Date]&lt;42461),Table1[Managing Money and Personal Administration],""))</f>
        <v/>
      </c>
      <c r="FD207" s="44" t="str">
        <f>IF(Table1[Date of Initial Assessment]="","",IF(AND(Table1[Start Date]&gt;42094,Table1[Start Date]&lt;42461),Table1[Social Networks and Relationships],""))</f>
        <v/>
      </c>
      <c r="FE207" s="44" t="str">
        <f>IF(Table1[Date of Initial Assessment]="","",IF(AND(Table1[Start Date]&gt;42094,Table1[Start Date]&lt;42461),Table1[Drug and Alcohol Misuse],""))</f>
        <v/>
      </c>
      <c r="FF207" s="44" t="str">
        <f>IF(Table1[Date of Initial Assessment]="","",IF(AND(Table1[Start Date]&gt;42094,Table1[Start Date]&lt;42461),Table1[Physical Health],""))</f>
        <v/>
      </c>
      <c r="FG207" s="44" t="str">
        <f>IF(Table1[Date of Initial Assessment]="","",IF(AND(Table1[Start Date]&gt;42094,Table1[Start Date]&lt;42461),Table1[Emotional and Mental Health],""))</f>
        <v/>
      </c>
      <c r="FH207" s="44" t="str">
        <f>IF(Table1[Date of Initial Assessment]="","",IF(AND(Table1[Start Date]&gt;42094,Table1[Start Date]&lt;42461),Table1[Meaningful Use of Time],""))</f>
        <v/>
      </c>
      <c r="FI207" s="44" t="str">
        <f>IF(Table1[Date of Initial Assessment]="","",IF(AND(Table1[Start Date]&gt;42094,Table1[Start Date]&lt;42461),Table1[Managing Tenancy and Accommodation],""))</f>
        <v/>
      </c>
      <c r="FJ207" s="44" t="str">
        <f>IF(Table1[Date of Initial Assessment]="","",IF(AND(Table1[Start Date]&gt;42094,Table1[Start Date]&lt;42461),Table1[Offending],""))</f>
        <v/>
      </c>
      <c r="FK207" s="44" t="str">
        <f>IF(Table1[Leaving Date]="","",IF(Table1[Date of Initial Assessment]="","",IF(AND(Table1[Leaving Date]&gt;42094,Table1[Leaving Date]&lt;42461),IF(Table1[Date of Last Assessment]="",Table1[Motivation and Taking Responsibility],Table1[Motivation and Taking Responsibility2]),"")))</f>
        <v/>
      </c>
      <c r="FL207" s="44" t="str">
        <f>IF(Table1[Leaving Date]="","",IF(Table1[Date of Initial Assessment]="","",IF(AND(Table1[Leaving Date]&gt;42094,Table1[Leaving Date]&lt;42461),IF(Table1[Date of Last Assessment]="",Table1[Self-Care and Living Skills],Table1[Self-Care and Living Skills2]),"")))</f>
        <v/>
      </c>
      <c r="FM207" s="44" t="str">
        <f>IF(Table1[Leaving Date]="","",IF(Table1[Date of Initial Assessment]="","",IF(AND(Table1[Leaving Date]&gt;42094,Table1[Leaving Date]&lt;42461),IF(Table1[Date of Last Assessment]="",Table1[Managing Money and Personal Administration],Table1[Managing Money and Personal Administration2]),"")))</f>
        <v/>
      </c>
      <c r="FN207" s="44" t="str">
        <f>IF(Table1[Leaving Date]="","",IF(Table1[Date of Initial Assessment]="","",IF(AND(Table1[Leaving Date]&gt;42094,Table1[Leaving Date]&lt;42461),IF(Table1[Date of Last Assessment]="",Table1[Social Networks and Relationships],Table1[Social Networks and Relationships2]),"")))</f>
        <v/>
      </c>
      <c r="FO207" s="44" t="str">
        <f>IF(Table1[Leaving Date]="","",IF(Table1[Date of Initial Assessment]="","",IF(AND(Table1[Leaving Date]&gt;42094,Table1[Leaving Date]&lt;42461),IF(Table1[Date of Last Assessment]="",Table1[Drug and Alcohol Misuse],Table1[Drug and Alcohol Misuse2]),"")))</f>
        <v/>
      </c>
      <c r="FP207" s="44" t="str">
        <f>IF(Table1[Leaving Date]="","",IF(Table1[Date of Initial Assessment]="","",IF(AND(Table1[Leaving Date]&gt;42094,Table1[Leaving Date]&lt;42461),IF(Table1[Date of Last Assessment]="",Table1[Physical Health],Table1[Physical Health2]),"")))</f>
        <v/>
      </c>
      <c r="FQ207" s="44" t="str">
        <f>IF(Table1[Leaving Date]="","",IF(Table1[Date of Initial Assessment]="","",IF(AND(Table1[Leaving Date]&gt;42094,Table1[Leaving Date]&lt;42461),IF(Table1[Date of Last Assessment]="",Table1[Emotional and Mental Health],Table1[Emotional and Mental Health2]),"")))</f>
        <v/>
      </c>
      <c r="FR207" s="44" t="str">
        <f>IF(Table1[Leaving Date]="","",IF(Table1[Date of Initial Assessment]="","",IF(AND(Table1[Leaving Date]&gt;42094,Table1[Leaving Date]&lt;42461),IF(Table1[Date of Last Assessment]="",Table1[Meaningful Use of Time],Table1[Meaningful Use of Time2]),"")))</f>
        <v/>
      </c>
      <c r="FS207" s="44" t="str">
        <f>IF(Table1[Leaving Date]="","",IF(Table1[Date of Initial Assessment]="","",IF(AND(Table1[Leaving Date]&gt;42094,Table1[Leaving Date]&lt;42461),IF(Table1[Date of Last Assessment]="",Table1[Managing Tenancy and Accommodation],Table1[Managing Tenancy and Accommodation2]),"")))</f>
        <v/>
      </c>
      <c r="FT207" s="44" t="str">
        <f>IF(Table1[Leaving Date]="","",IF(Table1[Date of Initial Assessment]="","",IF(AND(Table1[Leaving Date]&gt;42094,Table1[Leaving Date]&lt;42461),IF(Table1[Date of Last Assessment]="",Table1[Offending],Table1[Offending2]),"")))</f>
        <v/>
      </c>
      <c r="FU207" s="44" t="str">
        <f>IF(Table1[Date of Initial Assessment]="","",IF(AND(Table1[Start Date]&gt;42460,Table1[Start Date]&lt;42826),Table1[Motivation and Taking Responsibility],""))</f>
        <v/>
      </c>
      <c r="FV207" s="44" t="str">
        <f>IF(Table1[Date of Initial Assessment]="","",IF(AND(Table1[Start Date]&gt;42460,Table1[Start Date]&lt;42826),Table1[Self-Care and Living Skills],""))</f>
        <v/>
      </c>
      <c r="FW207" s="44" t="str">
        <f>IF(Table1[Date of Initial Assessment]="","",IF(AND(Table1[Start Date]&gt;42460,Table1[Start Date]&lt;42826),Table1[Managing Money and Personal Administration],""))</f>
        <v/>
      </c>
      <c r="FX207" s="44" t="str">
        <f>IF(Table1[Date of Initial Assessment]="","",IF(AND(Table1[Start Date]&gt;42460,Table1[Start Date]&lt;42826),Table1[Social Networks and Relationships],""))</f>
        <v/>
      </c>
      <c r="FY207" s="44" t="str">
        <f>IF(Table1[Date of Initial Assessment]="","",IF(AND(Table1[Start Date]&gt;42460,Table1[Start Date]&lt;42826),Table1[Drug and Alcohol Misuse],""))</f>
        <v/>
      </c>
      <c r="FZ207" s="44" t="str">
        <f>IF(Table1[Date of Initial Assessment]="","",IF(AND(Table1[Start Date]&gt;42460,Table1[Start Date]&lt;42826),Table1[Physical Health],""))</f>
        <v/>
      </c>
      <c r="GA207" s="44" t="str">
        <f>IF(Table1[Date of Initial Assessment]="","",IF(AND(Table1[Start Date]&gt;42460,Table1[Start Date]&lt;42826),Table1[Emotional and Mental Health],""))</f>
        <v/>
      </c>
      <c r="GB207" s="44" t="str">
        <f>IF(Table1[Date of Initial Assessment]="","",IF(AND(Table1[Start Date]&gt;42460,Table1[Start Date]&lt;42826),Table1[Meaningful Use of Time],""))</f>
        <v/>
      </c>
      <c r="GC207" s="44" t="str">
        <f>IF(Table1[Date of Initial Assessment]="","",IF(AND(Table1[Start Date]&gt;42460,Table1[Start Date]&lt;42826),Table1[Managing Tenancy and Accommodation],""))</f>
        <v/>
      </c>
      <c r="GD207" s="44" t="str">
        <f>IF(Table1[Date of Initial Assessment]="","",IF(AND(Table1[Start Date]&gt;42460,Table1[Start Date]&lt;42826),Table1[Offending],""))</f>
        <v/>
      </c>
      <c r="GE207" s="44" t="str">
        <f>IF(Table1[Leaving Date]="","",IF(AND(Table1[Leaving Date]&gt;42460,Table1[Leaving Date]&lt;42826),IF(Table1[Date of Last Assessment]="",Table1[Motivation and Taking Responsibility],Table1[Motivation and Taking Responsibility2]),""))</f>
        <v/>
      </c>
      <c r="GF207" s="44" t="str">
        <f>IF(Table1[Leaving Date]="","",IF(AND(Table1[Leaving Date]&gt;42460,Table1[Leaving Date]&lt;42826),IF(Table1[Date of Last Assessment]="",Table1[Self-Care and Living Skills],Table1[Self-Care and Living Skills2]),""))</f>
        <v/>
      </c>
      <c r="GG207" s="44" t="str">
        <f>IF(Table1[Leaving Date]="","",IF(AND(Table1[Leaving Date]&gt;42460,Table1[Leaving Date]&lt;42826),IF(Table1[Date of Last Assessment]="",Table1[Managing Money and Personal Administration],Table1[Managing Money and Personal Administration2]),""))</f>
        <v/>
      </c>
      <c r="GH207" s="44" t="str">
        <f>IF(Table1[Leaving Date]="","",IF(AND(Table1[Leaving Date]&gt;42460,Table1[Leaving Date]&lt;42826),IF(Table1[Date of Last Assessment]="",Table1[Social Networks and Relationships],Table1[Social Networks and Relationships2]),""))</f>
        <v/>
      </c>
      <c r="GI207" s="44" t="str">
        <f>IF(Table1[Leaving Date]="","",IF(AND(Table1[Leaving Date]&gt;42460,Table1[Leaving Date]&lt;42826),IF(Table1[Date of Last Assessment]="",Table1[Drug and Alcohol Misuse],Table1[Drug and Alcohol Misuse2]),""))</f>
        <v/>
      </c>
      <c r="GJ207" s="44" t="str">
        <f>IF(Table1[Leaving Date]="","",IF(AND(Table1[Leaving Date]&gt;42460,Table1[Leaving Date]&lt;42826),IF(Table1[Date of Last Assessment]="",Table1[Physical Health],Table1[Physical Health2]),""))</f>
        <v/>
      </c>
      <c r="GK207" s="44" t="str">
        <f>IF(Table1[Leaving Date]="","",IF(AND(Table1[Leaving Date]&gt;42460,Table1[Leaving Date]&lt;42826),IF(Table1[Date of Last Assessment]="",Table1[Emotional and Mental Health],Table1[Emotional and Mental Health2]),""))</f>
        <v/>
      </c>
      <c r="GL207" s="44" t="str">
        <f>IF(Table1[Leaving Date]="","",IF(AND(Table1[Leaving Date]&gt;42460,Table1[Leaving Date]&lt;42826),IF(Table1[Date of Last Assessment]="",Table1[Meaningful Use of Time],Table1[Meaningful Use of Time2]),""))</f>
        <v/>
      </c>
      <c r="GM207" s="44" t="str">
        <f>IF(Table1[Leaving Date]="","",IF(AND(Table1[Leaving Date]&gt;42460,Table1[Leaving Date]&lt;42826),IF(Table1[Date of Last Assessment]="",Table1[Managing Tenancy and Accommodation],Table1[Managing Tenancy and Accommodation2]),""))</f>
        <v/>
      </c>
      <c r="GN207" s="44" t="str">
        <f>IF(Table1[Leaving Date]="","",IF(AND(Table1[Leaving Date]&gt;42460,Table1[Leaving Date]&lt;42826),IF(Table1[Date of Last Assessment]="",Table1[Offending],Table1[Offending2]),""))</f>
        <v/>
      </c>
    </row>
    <row r="208" spans="2:196" ht="20.100000000000001" customHeight="1" x14ac:dyDescent="0.2">
      <c r="B208" s="86">
        <f>+'Service Data'!$C$5:$C$5</f>
        <v>0</v>
      </c>
      <c r="C208" s="86"/>
      <c r="D208" s="86"/>
      <c r="E208" s="86"/>
      <c r="F208" s="86"/>
      <c r="G208" s="86"/>
      <c r="H208" s="6"/>
      <c r="I208" s="99" t="str">
        <f ca="1">IF(Table1[[#This Row],[Date of Birth]]="","",SUM(TODAY()-Table1[[#This Row],[Date of Birth]])/365)</f>
        <v/>
      </c>
      <c r="L208" s="86"/>
      <c r="M208" s="77"/>
      <c r="N208" s="86"/>
      <c r="O208" s="86"/>
      <c r="P208" s="91"/>
      <c r="Q208" s="86"/>
      <c r="R208" s="77"/>
      <c r="S208" s="77"/>
      <c r="T208" s="68"/>
      <c r="U208" s="68"/>
      <c r="V208" s="67"/>
      <c r="W208" s="67"/>
      <c r="X208" s="67"/>
      <c r="Y208" s="67"/>
      <c r="Z208" s="67"/>
      <c r="AA208" s="67"/>
      <c r="AB208" s="67"/>
      <c r="AC208" s="67"/>
      <c r="AD208" s="67"/>
      <c r="AE208" s="67"/>
      <c r="AF208" s="67"/>
      <c r="AG208" s="67"/>
      <c r="AH208" s="67"/>
      <c r="AI208" s="67"/>
      <c r="AJ208" s="67"/>
      <c r="AK208" s="67"/>
      <c r="AL208" s="67"/>
      <c r="AM208" s="67"/>
      <c r="AN208" s="77"/>
      <c r="AO208" s="76"/>
      <c r="AP208" s="77"/>
      <c r="AQ208" s="76"/>
      <c r="AR208" s="76"/>
      <c r="AS208" s="76"/>
      <c r="AT208" s="76"/>
      <c r="AU208" s="76"/>
      <c r="AV208" s="77"/>
      <c r="AW208" s="76"/>
      <c r="AX208" s="77"/>
      <c r="AY208" s="76"/>
      <c r="AZ208" s="76"/>
      <c r="BA208" s="76"/>
      <c r="BB208" s="76"/>
      <c r="BC208" s="76"/>
      <c r="BD208" s="77"/>
      <c r="BE208" s="76"/>
      <c r="BF208" s="77"/>
      <c r="BG208" s="76"/>
      <c r="BH208" s="76"/>
      <c r="BI208" s="76"/>
      <c r="BJ208" s="76"/>
      <c r="BK208" s="76"/>
      <c r="BL208" s="77"/>
      <c r="BM208" s="76"/>
      <c r="BN208" s="77"/>
      <c r="BO208" s="76"/>
      <c r="BP208" s="76"/>
      <c r="BQ208" s="76"/>
      <c r="BR208" s="76"/>
      <c r="BS208" s="76"/>
      <c r="BT208" s="77"/>
      <c r="BU208" s="76"/>
      <c r="BV208" s="77"/>
      <c r="BW208" s="76"/>
      <c r="BX208" s="76"/>
      <c r="BY208" s="76"/>
      <c r="BZ208" s="76"/>
      <c r="CA208" s="76"/>
      <c r="CB208" s="77"/>
      <c r="CC208" s="76"/>
      <c r="CD208" s="77"/>
      <c r="CE208" s="76"/>
      <c r="CF208" s="76"/>
      <c r="CG208" s="76"/>
      <c r="CH208" s="76"/>
      <c r="CI208" s="76"/>
      <c r="CJ208" s="77"/>
      <c r="CK208" s="76"/>
      <c r="CL208" s="77"/>
      <c r="CM208" s="76"/>
      <c r="CN208" s="76"/>
      <c r="CO208" s="76"/>
      <c r="CP208" s="76"/>
      <c r="CQ208" s="76"/>
      <c r="CR208" s="78" t="str">
        <f t="shared" si="63"/>
        <v/>
      </c>
      <c r="CS208" s="79" t="str">
        <f t="shared" si="64"/>
        <v/>
      </c>
      <c r="CT208" s="79" t="str">
        <f t="shared" si="65"/>
        <v/>
      </c>
      <c r="CU208" s="79" t="str">
        <f t="shared" si="66"/>
        <v/>
      </c>
      <c r="CV208" s="79" t="str">
        <f t="shared" si="67"/>
        <v/>
      </c>
      <c r="CW208" s="79" t="str">
        <f t="shared" si="68"/>
        <v/>
      </c>
      <c r="CX208" s="79" t="str">
        <f t="shared" si="69"/>
        <v/>
      </c>
      <c r="CY208" s="79" t="str">
        <f t="shared" si="70"/>
        <v/>
      </c>
      <c r="CZ208" s="79" t="str">
        <f t="shared" si="71"/>
        <v/>
      </c>
      <c r="DA208" s="79" t="str">
        <f t="shared" si="72"/>
        <v/>
      </c>
      <c r="DB208" s="79" t="str">
        <f t="shared" si="73"/>
        <v/>
      </c>
      <c r="DC208" s="79" t="str">
        <f t="shared" si="74"/>
        <v/>
      </c>
      <c r="DD208" s="79" t="str">
        <f t="shared" si="75"/>
        <v/>
      </c>
      <c r="DE208" s="79" t="str">
        <f t="shared" si="76"/>
        <v/>
      </c>
      <c r="DF208" s="79" t="str">
        <f t="shared" si="77"/>
        <v/>
      </c>
      <c r="DG208" s="79" t="str">
        <f t="shared" si="78"/>
        <v/>
      </c>
      <c r="DH208" s="76"/>
      <c r="DI208" s="78"/>
      <c r="DJ208" s="76"/>
      <c r="DK208" s="77"/>
      <c r="DL208" s="77"/>
      <c r="DM208" s="77"/>
      <c r="DN208" s="80"/>
      <c r="DO208" s="80"/>
      <c r="DP208" s="92" t="str">
        <f>IF(Table1[Start Date]="","",IF(Table1[Start Date]&gt;42185,"",IF(AND(Table1[Leaving Date]&gt;1,Table1[Leaving Date]&lt;42095),"",1)))</f>
        <v/>
      </c>
      <c r="DQ208" s="92" t="str">
        <f>IF(Table1[Start Date]="","",IF(Table1[Start Date]&gt;42277,"",IF(AND(Table1[Leaving Date]&gt;1,Table1[Leaving Date]&lt;42186),"",1)))</f>
        <v/>
      </c>
      <c r="DR208" s="92" t="str">
        <f>IF(Table1[Start Date]="","",IF(Table1[Start Date]&gt;42369,"",IF(AND(Table1[Leaving Date]&gt;1,Table1[Leaving Date]&lt;42278),"",1)))</f>
        <v/>
      </c>
      <c r="DS208" s="92" t="str">
        <f>IF(Table1[Start Date]="","",IF(Table1[Start Date]&gt;42460,"",IF(AND(Table1[Leaving Date]&gt;1,Table1[Leaving Date]&lt;42370),"",1)))</f>
        <v/>
      </c>
      <c r="DT208" s="92" t="str">
        <f>IF(Table1[Start Date]="","",IF(Table1[Start Date]&gt;42551,"",IF(AND(Table1[Leaving Date]&gt;1,Table1[Leaving Date]&lt;42461),"",1)))</f>
        <v/>
      </c>
      <c r="DU208" s="92" t="str">
        <f>IF(Table1[Start Date]="","",IF(Table1[Start Date]&gt;42643,"",IF(AND(Table1[Leaving Date]&gt;1,Table1[Leaving Date]&lt;42552),"",1)))</f>
        <v/>
      </c>
      <c r="DV208" s="92" t="str">
        <f>IF(Table1[Start Date]="","",IF(Table1[Start Date]&gt;42735,"",IF(AND(Table1[Leaving Date]&gt;1,Table1[Leaving Date]&lt;42644),"",1)))</f>
        <v/>
      </c>
      <c r="DW208" s="92" t="str">
        <f>IF(Table1[Start Date]="","",IF(Table1[Start Date]&gt;42825,"",IF(AND(Table1[Leaving Date]&gt;1,Table1[Leaving Date]&lt;42736),"",1)))</f>
        <v/>
      </c>
      <c r="DX208"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208" s="44" t="e">
        <f>VLOOKUP(Table1[Referral Source],Lists!$G$2:$H$20,2,FALSE)</f>
        <v>#N/A</v>
      </c>
      <c r="DZ208" s="93" t="e">
        <f>SUM(Table1[Data Referral Quarter]+Table1[Data Referral Source])</f>
        <v>#N/A</v>
      </c>
      <c r="EA208" s="44" t="b">
        <f>IF(Table1[Referral Decision]="Accepted",100,IF(Table1[Referral Decision]="Rejected by Provider",200,IF(Table1[Referral Decision]="Rejected by Applicant",300)))</f>
        <v>0</v>
      </c>
      <c r="EB208" s="44">
        <f>SUM(Table1[Data Referral Quarter]+Table1[Data Referral Decision])</f>
        <v>0</v>
      </c>
      <c r="EC208" s="44" t="b">
        <f>IF(Table1[Start Date]&gt;42735,8000,IF(Table1[Start Date]&gt;42643,7000,IF(Table1[Start Date]&gt;42551,6000,IF(Table1[Start Date]&gt;42460,5000,IF(Table1[Start Date]&gt;42369,4000,IF(Table1[Start Date]&gt;42277,3000,IF(Table1[Start Date]&gt;42185,2000,IF(Table1[Start Date]&gt;42094,1000))))))))</f>
        <v>0</v>
      </c>
      <c r="ED208" s="44" t="str">
        <f>IF(Table1[Start Date]="","",IF(Table1[Current Local Authority]="Swindon",1,"2"))</f>
        <v/>
      </c>
      <c r="EE208" s="44" t="e">
        <f>SUM(Table1[Data Start Date]+Table1[Data Local Authority])</f>
        <v>#VALUE!</v>
      </c>
      <c r="EF208" s="44">
        <f>IF(Table1[Registered with GP]="Yes",1,0)</f>
        <v>0</v>
      </c>
      <c r="EG208" s="44">
        <f>SUM(Table1[Data Start Date]+Table1[Data GP Start])</f>
        <v>0</v>
      </c>
      <c r="EH208" s="44" t="str">
        <f>IF(Table1[EET]="NEET",1,IF(Table1[EET]="Education",2,IF(Table1[EET]="Employment",2,IF(Table1[EET]="Training",2,IF(Table1[EET]="Retired",3,"")))))</f>
        <v/>
      </c>
      <c r="EI208" s="44" t="e">
        <f>Table1[Data Start Date]+Table1[Data EET Start]</f>
        <v>#VALUE!</v>
      </c>
      <c r="EJ208" s="44" t="b">
        <f>IF(Table1[Leaving Date]&gt;42735,8000,IF(Table1[Leaving Date]&gt;42643,7000,IF(Table1[Leaving Date]&gt;42551,6000,IF(Table1[Leaving Date]&gt;42460,5000,IF(Table1[Leaving Date]&gt;42369,4000,IF(Table1[Leaving Date]&gt;42277,3000,IF(Table1[Leaving Date]&gt;42185,2000,IF(Table1[Leaving Date]&gt;42094,1000))))))))</f>
        <v>0</v>
      </c>
      <c r="EK208" s="44" t="e">
        <f>VLOOKUP(Table1[Reason for Leaving],Lists!$T$2:$U$15,2,FALSE)</f>
        <v>#N/A</v>
      </c>
      <c r="EL208" s="44" t="e">
        <f>SUM(Table1[Data Leavers Date]+Table1[Data Move On])</f>
        <v>#N/A</v>
      </c>
      <c r="EM208" s="44" t="b">
        <f>IF(Table1[Registered with GP2]="Yes",1,IF(Table1[Registered with GP2]="No",0,IF(Table1[Registered with GP]="Yes",1,IF(Table1[Registered with GP]="No",0))))</f>
        <v>0</v>
      </c>
      <c r="EN208" s="44">
        <f>SUM(Table1[Data Leavers Date]+Table1[Data GP End])</f>
        <v>0</v>
      </c>
      <c r="EO208" s="44" t="str">
        <f>IF(Table1[EET2]="NEET",1,IF(Table1[EET2]="Employment",2,IF(Table1[EET2]="Education",2,IF(Table1[EET2]="Training",2,IF(Table1[EET2]="Retired",3,IF(Table1[EET]="NEET",1,IF(Table1[EET]="Employment",2,IF(Table1[EET]="Education",2,IF(Table1[EET]="Training",2,IF(Table1[EET]="Retired",3,""))))))))))</f>
        <v/>
      </c>
      <c r="EP208" s="44" t="e">
        <f>+Table1[[#This Row],[Data Leavers Date]]+Table1[[#This Row],[Data EET End]]</f>
        <v>#VALUE!</v>
      </c>
      <c r="EQ208" s="44">
        <f>IF(Table1[Exit Form Received]="Yes",1,0)</f>
        <v>0</v>
      </c>
      <c r="ER208" s="44">
        <f>+Table1[[#This Row],[Data Leavers Date]]+Table1[[#This Row],[Data Exit Forms]]</f>
        <v>0</v>
      </c>
      <c r="ES208" s="44" t="str">
        <f>IF(Table1[Data Leavers Date]=1000,SUM(Table1[Leaving Date]-Table1[Start Date]),"")</f>
        <v/>
      </c>
      <c r="ET208" s="44" t="str">
        <f>IF(Table1[Data Leavers Date]=2000,SUM(Table1[Leaving Date]-Table1[Start Date]),"")</f>
        <v/>
      </c>
      <c r="EU208" s="44" t="str">
        <f>IF(Table1[Data Leavers Date]=3000,SUM(Table1[Leaving Date]-Table1[Start Date]),"")</f>
        <v/>
      </c>
      <c r="EV208" s="44" t="str">
        <f>IF(Table1[Data Leavers Date]=4000,SUM(Table1[Leaving Date]-Table1[Start Date]),"")</f>
        <v/>
      </c>
      <c r="EW208" s="44" t="str">
        <f>IF(Table1[Data Leavers Date]=5000,SUM(Table1[Leaving Date]-Table1[Start Date]),"")</f>
        <v/>
      </c>
      <c r="EX208" s="44" t="str">
        <f>IF(Table1[Data Leavers Date]=6000,SUM(Table1[Leaving Date]-Table1[Start Date]),"")</f>
        <v/>
      </c>
      <c r="EY208" s="44" t="str">
        <f>IF(Table1[Data Leavers Date]=7000,SUM(Table1[Leaving Date]-Table1[Start Date]),"")</f>
        <v/>
      </c>
      <c r="EZ208" s="44" t="str">
        <f>IF(Table1[Data Leavers Date]=8000,SUM(Table1[Leaving Date]-Table1[Start Date]),"")</f>
        <v/>
      </c>
      <c r="FA208" s="44" t="str">
        <f>IF(Table1[Date of Initial Assessment]="","",IF(AND(Table1[Start Date]&gt;42094,Table1[Start Date]&lt;42461),Table1[Motivation and Taking Responsibility],""))</f>
        <v/>
      </c>
      <c r="FB208" s="44" t="str">
        <f>IF(Table1[Date of Initial Assessment]="","",IF(AND(Table1[Start Date]&gt;42094,Table1[Start Date]&lt;42461),Table1[Self-Care and Living Skills],""))</f>
        <v/>
      </c>
      <c r="FC208" s="44" t="str">
        <f>IF(Table1[Date of Initial Assessment]="","",IF(AND(Table1[Start Date]&gt;42094,Table1[Start Date]&lt;42461),Table1[Managing Money and Personal Administration],""))</f>
        <v/>
      </c>
      <c r="FD208" s="44" t="str">
        <f>IF(Table1[Date of Initial Assessment]="","",IF(AND(Table1[Start Date]&gt;42094,Table1[Start Date]&lt;42461),Table1[Social Networks and Relationships],""))</f>
        <v/>
      </c>
      <c r="FE208" s="44" t="str">
        <f>IF(Table1[Date of Initial Assessment]="","",IF(AND(Table1[Start Date]&gt;42094,Table1[Start Date]&lt;42461),Table1[Drug and Alcohol Misuse],""))</f>
        <v/>
      </c>
      <c r="FF208" s="44" t="str">
        <f>IF(Table1[Date of Initial Assessment]="","",IF(AND(Table1[Start Date]&gt;42094,Table1[Start Date]&lt;42461),Table1[Physical Health],""))</f>
        <v/>
      </c>
      <c r="FG208" s="44" t="str">
        <f>IF(Table1[Date of Initial Assessment]="","",IF(AND(Table1[Start Date]&gt;42094,Table1[Start Date]&lt;42461),Table1[Emotional and Mental Health],""))</f>
        <v/>
      </c>
      <c r="FH208" s="44" t="str">
        <f>IF(Table1[Date of Initial Assessment]="","",IF(AND(Table1[Start Date]&gt;42094,Table1[Start Date]&lt;42461),Table1[Meaningful Use of Time],""))</f>
        <v/>
      </c>
      <c r="FI208" s="44" t="str">
        <f>IF(Table1[Date of Initial Assessment]="","",IF(AND(Table1[Start Date]&gt;42094,Table1[Start Date]&lt;42461),Table1[Managing Tenancy and Accommodation],""))</f>
        <v/>
      </c>
      <c r="FJ208" s="44" t="str">
        <f>IF(Table1[Date of Initial Assessment]="","",IF(AND(Table1[Start Date]&gt;42094,Table1[Start Date]&lt;42461),Table1[Offending],""))</f>
        <v/>
      </c>
      <c r="FK208" s="44" t="str">
        <f>IF(Table1[Leaving Date]="","",IF(Table1[Date of Initial Assessment]="","",IF(AND(Table1[Leaving Date]&gt;42094,Table1[Leaving Date]&lt;42461),IF(Table1[Date of Last Assessment]="",Table1[Motivation and Taking Responsibility],Table1[Motivation and Taking Responsibility2]),"")))</f>
        <v/>
      </c>
      <c r="FL208" s="44" t="str">
        <f>IF(Table1[Leaving Date]="","",IF(Table1[Date of Initial Assessment]="","",IF(AND(Table1[Leaving Date]&gt;42094,Table1[Leaving Date]&lt;42461),IF(Table1[Date of Last Assessment]="",Table1[Self-Care and Living Skills],Table1[Self-Care and Living Skills2]),"")))</f>
        <v/>
      </c>
      <c r="FM208" s="44" t="str">
        <f>IF(Table1[Leaving Date]="","",IF(Table1[Date of Initial Assessment]="","",IF(AND(Table1[Leaving Date]&gt;42094,Table1[Leaving Date]&lt;42461),IF(Table1[Date of Last Assessment]="",Table1[Managing Money and Personal Administration],Table1[Managing Money and Personal Administration2]),"")))</f>
        <v/>
      </c>
      <c r="FN208" s="44" t="str">
        <f>IF(Table1[Leaving Date]="","",IF(Table1[Date of Initial Assessment]="","",IF(AND(Table1[Leaving Date]&gt;42094,Table1[Leaving Date]&lt;42461),IF(Table1[Date of Last Assessment]="",Table1[Social Networks and Relationships],Table1[Social Networks and Relationships2]),"")))</f>
        <v/>
      </c>
      <c r="FO208" s="44" t="str">
        <f>IF(Table1[Leaving Date]="","",IF(Table1[Date of Initial Assessment]="","",IF(AND(Table1[Leaving Date]&gt;42094,Table1[Leaving Date]&lt;42461),IF(Table1[Date of Last Assessment]="",Table1[Drug and Alcohol Misuse],Table1[Drug and Alcohol Misuse2]),"")))</f>
        <v/>
      </c>
      <c r="FP208" s="44" t="str">
        <f>IF(Table1[Leaving Date]="","",IF(Table1[Date of Initial Assessment]="","",IF(AND(Table1[Leaving Date]&gt;42094,Table1[Leaving Date]&lt;42461),IF(Table1[Date of Last Assessment]="",Table1[Physical Health],Table1[Physical Health2]),"")))</f>
        <v/>
      </c>
      <c r="FQ208" s="44" t="str">
        <f>IF(Table1[Leaving Date]="","",IF(Table1[Date of Initial Assessment]="","",IF(AND(Table1[Leaving Date]&gt;42094,Table1[Leaving Date]&lt;42461),IF(Table1[Date of Last Assessment]="",Table1[Emotional and Mental Health],Table1[Emotional and Mental Health2]),"")))</f>
        <v/>
      </c>
      <c r="FR208" s="44" t="str">
        <f>IF(Table1[Leaving Date]="","",IF(Table1[Date of Initial Assessment]="","",IF(AND(Table1[Leaving Date]&gt;42094,Table1[Leaving Date]&lt;42461),IF(Table1[Date of Last Assessment]="",Table1[Meaningful Use of Time],Table1[Meaningful Use of Time2]),"")))</f>
        <v/>
      </c>
      <c r="FS208" s="44" t="str">
        <f>IF(Table1[Leaving Date]="","",IF(Table1[Date of Initial Assessment]="","",IF(AND(Table1[Leaving Date]&gt;42094,Table1[Leaving Date]&lt;42461),IF(Table1[Date of Last Assessment]="",Table1[Managing Tenancy and Accommodation],Table1[Managing Tenancy and Accommodation2]),"")))</f>
        <v/>
      </c>
      <c r="FT208" s="44" t="str">
        <f>IF(Table1[Leaving Date]="","",IF(Table1[Date of Initial Assessment]="","",IF(AND(Table1[Leaving Date]&gt;42094,Table1[Leaving Date]&lt;42461),IF(Table1[Date of Last Assessment]="",Table1[Offending],Table1[Offending2]),"")))</f>
        <v/>
      </c>
      <c r="FU208" s="44" t="str">
        <f>IF(Table1[Date of Initial Assessment]="","",IF(AND(Table1[Start Date]&gt;42460,Table1[Start Date]&lt;42826),Table1[Motivation and Taking Responsibility],""))</f>
        <v/>
      </c>
      <c r="FV208" s="44" t="str">
        <f>IF(Table1[Date of Initial Assessment]="","",IF(AND(Table1[Start Date]&gt;42460,Table1[Start Date]&lt;42826),Table1[Self-Care and Living Skills],""))</f>
        <v/>
      </c>
      <c r="FW208" s="44" t="str">
        <f>IF(Table1[Date of Initial Assessment]="","",IF(AND(Table1[Start Date]&gt;42460,Table1[Start Date]&lt;42826),Table1[Managing Money and Personal Administration],""))</f>
        <v/>
      </c>
      <c r="FX208" s="44" t="str">
        <f>IF(Table1[Date of Initial Assessment]="","",IF(AND(Table1[Start Date]&gt;42460,Table1[Start Date]&lt;42826),Table1[Social Networks and Relationships],""))</f>
        <v/>
      </c>
      <c r="FY208" s="44" t="str">
        <f>IF(Table1[Date of Initial Assessment]="","",IF(AND(Table1[Start Date]&gt;42460,Table1[Start Date]&lt;42826),Table1[Drug and Alcohol Misuse],""))</f>
        <v/>
      </c>
      <c r="FZ208" s="44" t="str">
        <f>IF(Table1[Date of Initial Assessment]="","",IF(AND(Table1[Start Date]&gt;42460,Table1[Start Date]&lt;42826),Table1[Physical Health],""))</f>
        <v/>
      </c>
      <c r="GA208" s="44" t="str">
        <f>IF(Table1[Date of Initial Assessment]="","",IF(AND(Table1[Start Date]&gt;42460,Table1[Start Date]&lt;42826),Table1[Emotional and Mental Health],""))</f>
        <v/>
      </c>
      <c r="GB208" s="44" t="str">
        <f>IF(Table1[Date of Initial Assessment]="","",IF(AND(Table1[Start Date]&gt;42460,Table1[Start Date]&lt;42826),Table1[Meaningful Use of Time],""))</f>
        <v/>
      </c>
      <c r="GC208" s="44" t="str">
        <f>IF(Table1[Date of Initial Assessment]="","",IF(AND(Table1[Start Date]&gt;42460,Table1[Start Date]&lt;42826),Table1[Managing Tenancy and Accommodation],""))</f>
        <v/>
      </c>
      <c r="GD208" s="44" t="str">
        <f>IF(Table1[Date of Initial Assessment]="","",IF(AND(Table1[Start Date]&gt;42460,Table1[Start Date]&lt;42826),Table1[Offending],""))</f>
        <v/>
      </c>
      <c r="GE208" s="44" t="str">
        <f>IF(Table1[Leaving Date]="","",IF(AND(Table1[Leaving Date]&gt;42460,Table1[Leaving Date]&lt;42826),IF(Table1[Date of Last Assessment]="",Table1[Motivation and Taking Responsibility],Table1[Motivation and Taking Responsibility2]),""))</f>
        <v/>
      </c>
      <c r="GF208" s="44" t="str">
        <f>IF(Table1[Leaving Date]="","",IF(AND(Table1[Leaving Date]&gt;42460,Table1[Leaving Date]&lt;42826),IF(Table1[Date of Last Assessment]="",Table1[Self-Care and Living Skills],Table1[Self-Care and Living Skills2]),""))</f>
        <v/>
      </c>
      <c r="GG208" s="44" t="str">
        <f>IF(Table1[Leaving Date]="","",IF(AND(Table1[Leaving Date]&gt;42460,Table1[Leaving Date]&lt;42826),IF(Table1[Date of Last Assessment]="",Table1[Managing Money and Personal Administration],Table1[Managing Money and Personal Administration2]),""))</f>
        <v/>
      </c>
      <c r="GH208" s="44" t="str">
        <f>IF(Table1[Leaving Date]="","",IF(AND(Table1[Leaving Date]&gt;42460,Table1[Leaving Date]&lt;42826),IF(Table1[Date of Last Assessment]="",Table1[Social Networks and Relationships],Table1[Social Networks and Relationships2]),""))</f>
        <v/>
      </c>
      <c r="GI208" s="44" t="str">
        <f>IF(Table1[Leaving Date]="","",IF(AND(Table1[Leaving Date]&gt;42460,Table1[Leaving Date]&lt;42826),IF(Table1[Date of Last Assessment]="",Table1[Drug and Alcohol Misuse],Table1[Drug and Alcohol Misuse2]),""))</f>
        <v/>
      </c>
      <c r="GJ208" s="44" t="str">
        <f>IF(Table1[Leaving Date]="","",IF(AND(Table1[Leaving Date]&gt;42460,Table1[Leaving Date]&lt;42826),IF(Table1[Date of Last Assessment]="",Table1[Physical Health],Table1[Physical Health2]),""))</f>
        <v/>
      </c>
      <c r="GK208" s="44" t="str">
        <f>IF(Table1[Leaving Date]="","",IF(AND(Table1[Leaving Date]&gt;42460,Table1[Leaving Date]&lt;42826),IF(Table1[Date of Last Assessment]="",Table1[Emotional and Mental Health],Table1[Emotional and Mental Health2]),""))</f>
        <v/>
      </c>
      <c r="GL208" s="44" t="str">
        <f>IF(Table1[Leaving Date]="","",IF(AND(Table1[Leaving Date]&gt;42460,Table1[Leaving Date]&lt;42826),IF(Table1[Date of Last Assessment]="",Table1[Meaningful Use of Time],Table1[Meaningful Use of Time2]),""))</f>
        <v/>
      </c>
      <c r="GM208" s="44" t="str">
        <f>IF(Table1[Leaving Date]="","",IF(AND(Table1[Leaving Date]&gt;42460,Table1[Leaving Date]&lt;42826),IF(Table1[Date of Last Assessment]="",Table1[Managing Tenancy and Accommodation],Table1[Managing Tenancy and Accommodation2]),""))</f>
        <v/>
      </c>
      <c r="GN208" s="44" t="str">
        <f>IF(Table1[Leaving Date]="","",IF(AND(Table1[Leaving Date]&gt;42460,Table1[Leaving Date]&lt;42826),IF(Table1[Date of Last Assessment]="",Table1[Offending],Table1[Offending2]),""))</f>
        <v/>
      </c>
    </row>
    <row r="209" spans="2:196" ht="20.100000000000001" customHeight="1" x14ac:dyDescent="0.2">
      <c r="B209" s="86">
        <f>+'Service Data'!$C$5:$C$5</f>
        <v>0</v>
      </c>
      <c r="C209" s="86"/>
      <c r="D209" s="86"/>
      <c r="E209" s="86"/>
      <c r="F209" s="86"/>
      <c r="G209" s="86"/>
      <c r="H209" s="6"/>
      <c r="I209" s="99" t="str">
        <f ca="1">IF(Table1[[#This Row],[Date of Birth]]="","",SUM(TODAY()-Table1[[#This Row],[Date of Birth]])/365)</f>
        <v/>
      </c>
      <c r="L209" s="86"/>
      <c r="M209" s="77"/>
      <c r="N209" s="86"/>
      <c r="O209" s="86"/>
      <c r="P209" s="91"/>
      <c r="Q209" s="86"/>
      <c r="R209" s="77"/>
      <c r="S209" s="77"/>
      <c r="T209" s="68"/>
      <c r="U209" s="68"/>
      <c r="V209" s="67"/>
      <c r="W209" s="67"/>
      <c r="X209" s="67"/>
      <c r="Y209" s="67"/>
      <c r="Z209" s="67"/>
      <c r="AA209" s="67"/>
      <c r="AB209" s="67"/>
      <c r="AC209" s="67"/>
      <c r="AD209" s="67"/>
      <c r="AE209" s="67"/>
      <c r="AF209" s="67"/>
      <c r="AG209" s="67"/>
      <c r="AH209" s="67"/>
      <c r="AI209" s="67"/>
      <c r="AJ209" s="67"/>
      <c r="AK209" s="67"/>
      <c r="AL209" s="67"/>
      <c r="AM209" s="67"/>
      <c r="AN209" s="77"/>
      <c r="AO209" s="76"/>
      <c r="AP209" s="77"/>
      <c r="AQ209" s="76"/>
      <c r="AR209" s="76"/>
      <c r="AS209" s="76"/>
      <c r="AT209" s="76"/>
      <c r="AU209" s="76"/>
      <c r="AV209" s="77"/>
      <c r="AW209" s="76"/>
      <c r="AX209" s="77"/>
      <c r="AY209" s="76"/>
      <c r="AZ209" s="76"/>
      <c r="BA209" s="76"/>
      <c r="BB209" s="76"/>
      <c r="BC209" s="76"/>
      <c r="BD209" s="77"/>
      <c r="BE209" s="76"/>
      <c r="BF209" s="77"/>
      <c r="BG209" s="76"/>
      <c r="BH209" s="76"/>
      <c r="BI209" s="76"/>
      <c r="BJ209" s="76"/>
      <c r="BK209" s="76"/>
      <c r="BL209" s="77"/>
      <c r="BM209" s="76"/>
      <c r="BN209" s="77"/>
      <c r="BO209" s="76"/>
      <c r="BP209" s="76"/>
      <c r="BQ209" s="76"/>
      <c r="BR209" s="76"/>
      <c r="BS209" s="76"/>
      <c r="BT209" s="77"/>
      <c r="BU209" s="76"/>
      <c r="BV209" s="77"/>
      <c r="BW209" s="76"/>
      <c r="BX209" s="76"/>
      <c r="BY209" s="76"/>
      <c r="BZ209" s="76"/>
      <c r="CA209" s="76"/>
      <c r="CB209" s="77"/>
      <c r="CC209" s="76"/>
      <c r="CD209" s="77"/>
      <c r="CE209" s="76"/>
      <c r="CF209" s="76"/>
      <c r="CG209" s="76"/>
      <c r="CH209" s="76"/>
      <c r="CI209" s="76"/>
      <c r="CJ209" s="77"/>
      <c r="CK209" s="76"/>
      <c r="CL209" s="77"/>
      <c r="CM209" s="76"/>
      <c r="CN209" s="76"/>
      <c r="CO209" s="76"/>
      <c r="CP209" s="76"/>
      <c r="CQ209" s="76"/>
      <c r="CR209" s="78" t="str">
        <f t="shared" si="63"/>
        <v/>
      </c>
      <c r="CS209" s="79" t="str">
        <f t="shared" si="64"/>
        <v/>
      </c>
      <c r="CT209" s="79" t="str">
        <f t="shared" si="65"/>
        <v/>
      </c>
      <c r="CU209" s="79" t="str">
        <f t="shared" si="66"/>
        <v/>
      </c>
      <c r="CV209" s="79" t="str">
        <f t="shared" si="67"/>
        <v/>
      </c>
      <c r="CW209" s="79" t="str">
        <f t="shared" si="68"/>
        <v/>
      </c>
      <c r="CX209" s="79" t="str">
        <f t="shared" si="69"/>
        <v/>
      </c>
      <c r="CY209" s="79" t="str">
        <f t="shared" si="70"/>
        <v/>
      </c>
      <c r="CZ209" s="79" t="str">
        <f t="shared" si="71"/>
        <v/>
      </c>
      <c r="DA209" s="79" t="str">
        <f t="shared" si="72"/>
        <v/>
      </c>
      <c r="DB209" s="79" t="str">
        <f t="shared" si="73"/>
        <v/>
      </c>
      <c r="DC209" s="79" t="str">
        <f t="shared" si="74"/>
        <v/>
      </c>
      <c r="DD209" s="79" t="str">
        <f t="shared" si="75"/>
        <v/>
      </c>
      <c r="DE209" s="79" t="str">
        <f t="shared" si="76"/>
        <v/>
      </c>
      <c r="DF209" s="79" t="str">
        <f t="shared" si="77"/>
        <v/>
      </c>
      <c r="DG209" s="79" t="str">
        <f t="shared" si="78"/>
        <v/>
      </c>
      <c r="DH209" s="76"/>
      <c r="DI209" s="78"/>
      <c r="DJ209" s="76"/>
      <c r="DK209" s="77"/>
      <c r="DL209" s="77"/>
      <c r="DM209" s="77"/>
      <c r="DN209" s="80"/>
      <c r="DO209" s="80"/>
      <c r="DP209" s="92" t="str">
        <f>IF(Table1[Start Date]="","",IF(Table1[Start Date]&gt;42185,"",IF(AND(Table1[Leaving Date]&gt;1,Table1[Leaving Date]&lt;42095),"",1)))</f>
        <v/>
      </c>
      <c r="DQ209" s="92" t="str">
        <f>IF(Table1[Start Date]="","",IF(Table1[Start Date]&gt;42277,"",IF(AND(Table1[Leaving Date]&gt;1,Table1[Leaving Date]&lt;42186),"",1)))</f>
        <v/>
      </c>
      <c r="DR209" s="92" t="str">
        <f>IF(Table1[Start Date]="","",IF(Table1[Start Date]&gt;42369,"",IF(AND(Table1[Leaving Date]&gt;1,Table1[Leaving Date]&lt;42278),"",1)))</f>
        <v/>
      </c>
      <c r="DS209" s="92" t="str">
        <f>IF(Table1[Start Date]="","",IF(Table1[Start Date]&gt;42460,"",IF(AND(Table1[Leaving Date]&gt;1,Table1[Leaving Date]&lt;42370),"",1)))</f>
        <v/>
      </c>
      <c r="DT209" s="92" t="str">
        <f>IF(Table1[Start Date]="","",IF(Table1[Start Date]&gt;42551,"",IF(AND(Table1[Leaving Date]&gt;1,Table1[Leaving Date]&lt;42461),"",1)))</f>
        <v/>
      </c>
      <c r="DU209" s="92" t="str">
        <f>IF(Table1[Start Date]="","",IF(Table1[Start Date]&gt;42643,"",IF(AND(Table1[Leaving Date]&gt;1,Table1[Leaving Date]&lt;42552),"",1)))</f>
        <v/>
      </c>
      <c r="DV209" s="92" t="str">
        <f>IF(Table1[Start Date]="","",IF(Table1[Start Date]&gt;42735,"",IF(AND(Table1[Leaving Date]&gt;1,Table1[Leaving Date]&lt;42644),"",1)))</f>
        <v/>
      </c>
      <c r="DW209" s="92" t="str">
        <f>IF(Table1[Start Date]="","",IF(Table1[Start Date]&gt;42825,"",IF(AND(Table1[Leaving Date]&gt;1,Table1[Leaving Date]&lt;42736),"",1)))</f>
        <v/>
      </c>
      <c r="DX209"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209" s="44" t="e">
        <f>VLOOKUP(Table1[Referral Source],Lists!$G$2:$H$20,2,FALSE)</f>
        <v>#N/A</v>
      </c>
      <c r="DZ209" s="93" t="e">
        <f>SUM(Table1[Data Referral Quarter]+Table1[Data Referral Source])</f>
        <v>#N/A</v>
      </c>
      <c r="EA209" s="44" t="b">
        <f>IF(Table1[Referral Decision]="Accepted",100,IF(Table1[Referral Decision]="Rejected by Provider",200,IF(Table1[Referral Decision]="Rejected by Applicant",300)))</f>
        <v>0</v>
      </c>
      <c r="EB209" s="44">
        <f>SUM(Table1[Data Referral Quarter]+Table1[Data Referral Decision])</f>
        <v>0</v>
      </c>
      <c r="EC209" s="44" t="b">
        <f>IF(Table1[Start Date]&gt;42735,8000,IF(Table1[Start Date]&gt;42643,7000,IF(Table1[Start Date]&gt;42551,6000,IF(Table1[Start Date]&gt;42460,5000,IF(Table1[Start Date]&gt;42369,4000,IF(Table1[Start Date]&gt;42277,3000,IF(Table1[Start Date]&gt;42185,2000,IF(Table1[Start Date]&gt;42094,1000))))))))</f>
        <v>0</v>
      </c>
      <c r="ED209" s="44" t="str">
        <f>IF(Table1[Start Date]="","",IF(Table1[Current Local Authority]="Swindon",1,"2"))</f>
        <v/>
      </c>
      <c r="EE209" s="44" t="e">
        <f>SUM(Table1[Data Start Date]+Table1[Data Local Authority])</f>
        <v>#VALUE!</v>
      </c>
      <c r="EF209" s="44">
        <f>IF(Table1[Registered with GP]="Yes",1,0)</f>
        <v>0</v>
      </c>
      <c r="EG209" s="44">
        <f>SUM(Table1[Data Start Date]+Table1[Data GP Start])</f>
        <v>0</v>
      </c>
      <c r="EH209" s="44" t="str">
        <f>IF(Table1[EET]="NEET",1,IF(Table1[EET]="Education",2,IF(Table1[EET]="Employment",2,IF(Table1[EET]="Training",2,IF(Table1[EET]="Retired",3,"")))))</f>
        <v/>
      </c>
      <c r="EI209" s="44" t="e">
        <f>Table1[Data Start Date]+Table1[Data EET Start]</f>
        <v>#VALUE!</v>
      </c>
      <c r="EJ209" s="44" t="b">
        <f>IF(Table1[Leaving Date]&gt;42735,8000,IF(Table1[Leaving Date]&gt;42643,7000,IF(Table1[Leaving Date]&gt;42551,6000,IF(Table1[Leaving Date]&gt;42460,5000,IF(Table1[Leaving Date]&gt;42369,4000,IF(Table1[Leaving Date]&gt;42277,3000,IF(Table1[Leaving Date]&gt;42185,2000,IF(Table1[Leaving Date]&gt;42094,1000))))))))</f>
        <v>0</v>
      </c>
      <c r="EK209" s="44" t="e">
        <f>VLOOKUP(Table1[Reason for Leaving],Lists!$T$2:$U$15,2,FALSE)</f>
        <v>#N/A</v>
      </c>
      <c r="EL209" s="44" t="e">
        <f>SUM(Table1[Data Leavers Date]+Table1[Data Move On])</f>
        <v>#N/A</v>
      </c>
      <c r="EM209" s="44" t="b">
        <f>IF(Table1[Registered with GP2]="Yes",1,IF(Table1[Registered with GP2]="No",0,IF(Table1[Registered with GP]="Yes",1,IF(Table1[Registered with GP]="No",0))))</f>
        <v>0</v>
      </c>
      <c r="EN209" s="44">
        <f>SUM(Table1[Data Leavers Date]+Table1[Data GP End])</f>
        <v>0</v>
      </c>
      <c r="EO209" s="44" t="str">
        <f>IF(Table1[EET2]="NEET",1,IF(Table1[EET2]="Employment",2,IF(Table1[EET2]="Education",2,IF(Table1[EET2]="Training",2,IF(Table1[EET2]="Retired",3,IF(Table1[EET]="NEET",1,IF(Table1[EET]="Employment",2,IF(Table1[EET]="Education",2,IF(Table1[EET]="Training",2,IF(Table1[EET]="Retired",3,""))))))))))</f>
        <v/>
      </c>
      <c r="EP209" s="44" t="e">
        <f>+Table1[[#This Row],[Data Leavers Date]]+Table1[[#This Row],[Data EET End]]</f>
        <v>#VALUE!</v>
      </c>
      <c r="EQ209" s="44">
        <f>IF(Table1[Exit Form Received]="Yes",1,0)</f>
        <v>0</v>
      </c>
      <c r="ER209" s="44">
        <f>+Table1[[#This Row],[Data Leavers Date]]+Table1[[#This Row],[Data Exit Forms]]</f>
        <v>0</v>
      </c>
      <c r="ES209" s="44" t="str">
        <f>IF(Table1[Data Leavers Date]=1000,SUM(Table1[Leaving Date]-Table1[Start Date]),"")</f>
        <v/>
      </c>
      <c r="ET209" s="44" t="str">
        <f>IF(Table1[Data Leavers Date]=2000,SUM(Table1[Leaving Date]-Table1[Start Date]),"")</f>
        <v/>
      </c>
      <c r="EU209" s="44" t="str">
        <f>IF(Table1[Data Leavers Date]=3000,SUM(Table1[Leaving Date]-Table1[Start Date]),"")</f>
        <v/>
      </c>
      <c r="EV209" s="44" t="str">
        <f>IF(Table1[Data Leavers Date]=4000,SUM(Table1[Leaving Date]-Table1[Start Date]),"")</f>
        <v/>
      </c>
      <c r="EW209" s="44" t="str">
        <f>IF(Table1[Data Leavers Date]=5000,SUM(Table1[Leaving Date]-Table1[Start Date]),"")</f>
        <v/>
      </c>
      <c r="EX209" s="44" t="str">
        <f>IF(Table1[Data Leavers Date]=6000,SUM(Table1[Leaving Date]-Table1[Start Date]),"")</f>
        <v/>
      </c>
      <c r="EY209" s="44" t="str">
        <f>IF(Table1[Data Leavers Date]=7000,SUM(Table1[Leaving Date]-Table1[Start Date]),"")</f>
        <v/>
      </c>
      <c r="EZ209" s="44" t="str">
        <f>IF(Table1[Data Leavers Date]=8000,SUM(Table1[Leaving Date]-Table1[Start Date]),"")</f>
        <v/>
      </c>
      <c r="FA209" s="44" t="str">
        <f>IF(Table1[Date of Initial Assessment]="","",IF(AND(Table1[Start Date]&gt;42094,Table1[Start Date]&lt;42461),Table1[Motivation and Taking Responsibility],""))</f>
        <v/>
      </c>
      <c r="FB209" s="44" t="str">
        <f>IF(Table1[Date of Initial Assessment]="","",IF(AND(Table1[Start Date]&gt;42094,Table1[Start Date]&lt;42461),Table1[Self-Care and Living Skills],""))</f>
        <v/>
      </c>
      <c r="FC209" s="44" t="str">
        <f>IF(Table1[Date of Initial Assessment]="","",IF(AND(Table1[Start Date]&gt;42094,Table1[Start Date]&lt;42461),Table1[Managing Money and Personal Administration],""))</f>
        <v/>
      </c>
      <c r="FD209" s="44" t="str">
        <f>IF(Table1[Date of Initial Assessment]="","",IF(AND(Table1[Start Date]&gt;42094,Table1[Start Date]&lt;42461),Table1[Social Networks and Relationships],""))</f>
        <v/>
      </c>
      <c r="FE209" s="44" t="str">
        <f>IF(Table1[Date of Initial Assessment]="","",IF(AND(Table1[Start Date]&gt;42094,Table1[Start Date]&lt;42461),Table1[Drug and Alcohol Misuse],""))</f>
        <v/>
      </c>
      <c r="FF209" s="44" t="str">
        <f>IF(Table1[Date of Initial Assessment]="","",IF(AND(Table1[Start Date]&gt;42094,Table1[Start Date]&lt;42461),Table1[Physical Health],""))</f>
        <v/>
      </c>
      <c r="FG209" s="44" t="str">
        <f>IF(Table1[Date of Initial Assessment]="","",IF(AND(Table1[Start Date]&gt;42094,Table1[Start Date]&lt;42461),Table1[Emotional and Mental Health],""))</f>
        <v/>
      </c>
      <c r="FH209" s="44" t="str">
        <f>IF(Table1[Date of Initial Assessment]="","",IF(AND(Table1[Start Date]&gt;42094,Table1[Start Date]&lt;42461),Table1[Meaningful Use of Time],""))</f>
        <v/>
      </c>
      <c r="FI209" s="44" t="str">
        <f>IF(Table1[Date of Initial Assessment]="","",IF(AND(Table1[Start Date]&gt;42094,Table1[Start Date]&lt;42461),Table1[Managing Tenancy and Accommodation],""))</f>
        <v/>
      </c>
      <c r="FJ209" s="44" t="str">
        <f>IF(Table1[Date of Initial Assessment]="","",IF(AND(Table1[Start Date]&gt;42094,Table1[Start Date]&lt;42461),Table1[Offending],""))</f>
        <v/>
      </c>
      <c r="FK209" s="44" t="str">
        <f>IF(Table1[Leaving Date]="","",IF(Table1[Date of Initial Assessment]="","",IF(AND(Table1[Leaving Date]&gt;42094,Table1[Leaving Date]&lt;42461),IF(Table1[Date of Last Assessment]="",Table1[Motivation and Taking Responsibility],Table1[Motivation and Taking Responsibility2]),"")))</f>
        <v/>
      </c>
      <c r="FL209" s="44" t="str">
        <f>IF(Table1[Leaving Date]="","",IF(Table1[Date of Initial Assessment]="","",IF(AND(Table1[Leaving Date]&gt;42094,Table1[Leaving Date]&lt;42461),IF(Table1[Date of Last Assessment]="",Table1[Self-Care and Living Skills],Table1[Self-Care and Living Skills2]),"")))</f>
        <v/>
      </c>
      <c r="FM209" s="44" t="str">
        <f>IF(Table1[Leaving Date]="","",IF(Table1[Date of Initial Assessment]="","",IF(AND(Table1[Leaving Date]&gt;42094,Table1[Leaving Date]&lt;42461),IF(Table1[Date of Last Assessment]="",Table1[Managing Money and Personal Administration],Table1[Managing Money and Personal Administration2]),"")))</f>
        <v/>
      </c>
      <c r="FN209" s="44" t="str">
        <f>IF(Table1[Leaving Date]="","",IF(Table1[Date of Initial Assessment]="","",IF(AND(Table1[Leaving Date]&gt;42094,Table1[Leaving Date]&lt;42461),IF(Table1[Date of Last Assessment]="",Table1[Social Networks and Relationships],Table1[Social Networks and Relationships2]),"")))</f>
        <v/>
      </c>
      <c r="FO209" s="44" t="str">
        <f>IF(Table1[Leaving Date]="","",IF(Table1[Date of Initial Assessment]="","",IF(AND(Table1[Leaving Date]&gt;42094,Table1[Leaving Date]&lt;42461),IF(Table1[Date of Last Assessment]="",Table1[Drug and Alcohol Misuse],Table1[Drug and Alcohol Misuse2]),"")))</f>
        <v/>
      </c>
      <c r="FP209" s="44" t="str">
        <f>IF(Table1[Leaving Date]="","",IF(Table1[Date of Initial Assessment]="","",IF(AND(Table1[Leaving Date]&gt;42094,Table1[Leaving Date]&lt;42461),IF(Table1[Date of Last Assessment]="",Table1[Physical Health],Table1[Physical Health2]),"")))</f>
        <v/>
      </c>
      <c r="FQ209" s="44" t="str">
        <f>IF(Table1[Leaving Date]="","",IF(Table1[Date of Initial Assessment]="","",IF(AND(Table1[Leaving Date]&gt;42094,Table1[Leaving Date]&lt;42461),IF(Table1[Date of Last Assessment]="",Table1[Emotional and Mental Health],Table1[Emotional and Mental Health2]),"")))</f>
        <v/>
      </c>
      <c r="FR209" s="44" t="str">
        <f>IF(Table1[Leaving Date]="","",IF(Table1[Date of Initial Assessment]="","",IF(AND(Table1[Leaving Date]&gt;42094,Table1[Leaving Date]&lt;42461),IF(Table1[Date of Last Assessment]="",Table1[Meaningful Use of Time],Table1[Meaningful Use of Time2]),"")))</f>
        <v/>
      </c>
      <c r="FS209" s="44" t="str">
        <f>IF(Table1[Leaving Date]="","",IF(Table1[Date of Initial Assessment]="","",IF(AND(Table1[Leaving Date]&gt;42094,Table1[Leaving Date]&lt;42461),IF(Table1[Date of Last Assessment]="",Table1[Managing Tenancy and Accommodation],Table1[Managing Tenancy and Accommodation2]),"")))</f>
        <v/>
      </c>
      <c r="FT209" s="44" t="str">
        <f>IF(Table1[Leaving Date]="","",IF(Table1[Date of Initial Assessment]="","",IF(AND(Table1[Leaving Date]&gt;42094,Table1[Leaving Date]&lt;42461),IF(Table1[Date of Last Assessment]="",Table1[Offending],Table1[Offending2]),"")))</f>
        <v/>
      </c>
      <c r="FU209" s="44" t="str">
        <f>IF(Table1[Date of Initial Assessment]="","",IF(AND(Table1[Start Date]&gt;42460,Table1[Start Date]&lt;42826),Table1[Motivation and Taking Responsibility],""))</f>
        <v/>
      </c>
      <c r="FV209" s="44" t="str">
        <f>IF(Table1[Date of Initial Assessment]="","",IF(AND(Table1[Start Date]&gt;42460,Table1[Start Date]&lt;42826),Table1[Self-Care and Living Skills],""))</f>
        <v/>
      </c>
      <c r="FW209" s="44" t="str">
        <f>IF(Table1[Date of Initial Assessment]="","",IF(AND(Table1[Start Date]&gt;42460,Table1[Start Date]&lt;42826),Table1[Managing Money and Personal Administration],""))</f>
        <v/>
      </c>
      <c r="FX209" s="44" t="str">
        <f>IF(Table1[Date of Initial Assessment]="","",IF(AND(Table1[Start Date]&gt;42460,Table1[Start Date]&lt;42826),Table1[Social Networks and Relationships],""))</f>
        <v/>
      </c>
      <c r="FY209" s="44" t="str">
        <f>IF(Table1[Date of Initial Assessment]="","",IF(AND(Table1[Start Date]&gt;42460,Table1[Start Date]&lt;42826),Table1[Drug and Alcohol Misuse],""))</f>
        <v/>
      </c>
      <c r="FZ209" s="44" t="str">
        <f>IF(Table1[Date of Initial Assessment]="","",IF(AND(Table1[Start Date]&gt;42460,Table1[Start Date]&lt;42826),Table1[Physical Health],""))</f>
        <v/>
      </c>
      <c r="GA209" s="44" t="str">
        <f>IF(Table1[Date of Initial Assessment]="","",IF(AND(Table1[Start Date]&gt;42460,Table1[Start Date]&lt;42826),Table1[Emotional and Mental Health],""))</f>
        <v/>
      </c>
      <c r="GB209" s="44" t="str">
        <f>IF(Table1[Date of Initial Assessment]="","",IF(AND(Table1[Start Date]&gt;42460,Table1[Start Date]&lt;42826),Table1[Meaningful Use of Time],""))</f>
        <v/>
      </c>
      <c r="GC209" s="44" t="str">
        <f>IF(Table1[Date of Initial Assessment]="","",IF(AND(Table1[Start Date]&gt;42460,Table1[Start Date]&lt;42826),Table1[Managing Tenancy and Accommodation],""))</f>
        <v/>
      </c>
      <c r="GD209" s="44" t="str">
        <f>IF(Table1[Date of Initial Assessment]="","",IF(AND(Table1[Start Date]&gt;42460,Table1[Start Date]&lt;42826),Table1[Offending],""))</f>
        <v/>
      </c>
      <c r="GE209" s="44" t="str">
        <f>IF(Table1[Leaving Date]="","",IF(AND(Table1[Leaving Date]&gt;42460,Table1[Leaving Date]&lt;42826),IF(Table1[Date of Last Assessment]="",Table1[Motivation and Taking Responsibility],Table1[Motivation and Taking Responsibility2]),""))</f>
        <v/>
      </c>
      <c r="GF209" s="44" t="str">
        <f>IF(Table1[Leaving Date]="","",IF(AND(Table1[Leaving Date]&gt;42460,Table1[Leaving Date]&lt;42826),IF(Table1[Date of Last Assessment]="",Table1[Self-Care and Living Skills],Table1[Self-Care and Living Skills2]),""))</f>
        <v/>
      </c>
      <c r="GG209" s="44" t="str">
        <f>IF(Table1[Leaving Date]="","",IF(AND(Table1[Leaving Date]&gt;42460,Table1[Leaving Date]&lt;42826),IF(Table1[Date of Last Assessment]="",Table1[Managing Money and Personal Administration],Table1[Managing Money and Personal Administration2]),""))</f>
        <v/>
      </c>
      <c r="GH209" s="44" t="str">
        <f>IF(Table1[Leaving Date]="","",IF(AND(Table1[Leaving Date]&gt;42460,Table1[Leaving Date]&lt;42826),IF(Table1[Date of Last Assessment]="",Table1[Social Networks and Relationships],Table1[Social Networks and Relationships2]),""))</f>
        <v/>
      </c>
      <c r="GI209" s="44" t="str">
        <f>IF(Table1[Leaving Date]="","",IF(AND(Table1[Leaving Date]&gt;42460,Table1[Leaving Date]&lt;42826),IF(Table1[Date of Last Assessment]="",Table1[Drug and Alcohol Misuse],Table1[Drug and Alcohol Misuse2]),""))</f>
        <v/>
      </c>
      <c r="GJ209" s="44" t="str">
        <f>IF(Table1[Leaving Date]="","",IF(AND(Table1[Leaving Date]&gt;42460,Table1[Leaving Date]&lt;42826),IF(Table1[Date of Last Assessment]="",Table1[Physical Health],Table1[Physical Health2]),""))</f>
        <v/>
      </c>
      <c r="GK209" s="44" t="str">
        <f>IF(Table1[Leaving Date]="","",IF(AND(Table1[Leaving Date]&gt;42460,Table1[Leaving Date]&lt;42826),IF(Table1[Date of Last Assessment]="",Table1[Emotional and Mental Health],Table1[Emotional and Mental Health2]),""))</f>
        <v/>
      </c>
      <c r="GL209" s="44" t="str">
        <f>IF(Table1[Leaving Date]="","",IF(AND(Table1[Leaving Date]&gt;42460,Table1[Leaving Date]&lt;42826),IF(Table1[Date of Last Assessment]="",Table1[Meaningful Use of Time],Table1[Meaningful Use of Time2]),""))</f>
        <v/>
      </c>
      <c r="GM209" s="44" t="str">
        <f>IF(Table1[Leaving Date]="","",IF(AND(Table1[Leaving Date]&gt;42460,Table1[Leaving Date]&lt;42826),IF(Table1[Date of Last Assessment]="",Table1[Managing Tenancy and Accommodation],Table1[Managing Tenancy and Accommodation2]),""))</f>
        <v/>
      </c>
      <c r="GN209" s="44" t="str">
        <f>IF(Table1[Leaving Date]="","",IF(AND(Table1[Leaving Date]&gt;42460,Table1[Leaving Date]&lt;42826),IF(Table1[Date of Last Assessment]="",Table1[Offending],Table1[Offending2]),""))</f>
        <v/>
      </c>
    </row>
    <row r="210" spans="2:196" ht="20.100000000000001" customHeight="1" x14ac:dyDescent="0.2">
      <c r="B210" s="86">
        <f>+'Service Data'!$C$5:$C$5</f>
        <v>0</v>
      </c>
      <c r="C210" s="86"/>
      <c r="D210" s="86"/>
      <c r="E210" s="86"/>
      <c r="F210" s="86"/>
      <c r="G210" s="86"/>
      <c r="H210" s="6"/>
      <c r="I210" s="99" t="str">
        <f ca="1">IF(Table1[[#This Row],[Date of Birth]]="","",SUM(TODAY()-Table1[[#This Row],[Date of Birth]])/365)</f>
        <v/>
      </c>
      <c r="L210" s="86"/>
      <c r="M210" s="77"/>
      <c r="N210" s="86"/>
      <c r="O210" s="86"/>
      <c r="P210" s="91"/>
      <c r="Q210" s="86"/>
      <c r="R210" s="77"/>
      <c r="S210" s="77"/>
      <c r="T210" s="68"/>
      <c r="U210" s="68"/>
      <c r="V210" s="67"/>
      <c r="W210" s="67"/>
      <c r="X210" s="67"/>
      <c r="Y210" s="67"/>
      <c r="Z210" s="67"/>
      <c r="AA210" s="67"/>
      <c r="AB210" s="67"/>
      <c r="AC210" s="67"/>
      <c r="AD210" s="67"/>
      <c r="AE210" s="67"/>
      <c r="AF210" s="67"/>
      <c r="AG210" s="67"/>
      <c r="AH210" s="67"/>
      <c r="AI210" s="67"/>
      <c r="AJ210" s="67"/>
      <c r="AK210" s="67"/>
      <c r="AL210" s="67"/>
      <c r="AM210" s="67"/>
      <c r="AN210" s="77"/>
      <c r="AO210" s="76"/>
      <c r="AP210" s="77"/>
      <c r="AQ210" s="76"/>
      <c r="AR210" s="76"/>
      <c r="AS210" s="76"/>
      <c r="AT210" s="76"/>
      <c r="AU210" s="76"/>
      <c r="AV210" s="77"/>
      <c r="AW210" s="76"/>
      <c r="AX210" s="77"/>
      <c r="AY210" s="76"/>
      <c r="AZ210" s="76"/>
      <c r="BA210" s="76"/>
      <c r="BB210" s="76"/>
      <c r="BC210" s="76"/>
      <c r="BD210" s="77"/>
      <c r="BE210" s="76"/>
      <c r="BF210" s="77"/>
      <c r="BG210" s="76"/>
      <c r="BH210" s="76"/>
      <c r="BI210" s="76"/>
      <c r="BJ210" s="76"/>
      <c r="BK210" s="76"/>
      <c r="BL210" s="77"/>
      <c r="BM210" s="76"/>
      <c r="BN210" s="77"/>
      <c r="BO210" s="76"/>
      <c r="BP210" s="76"/>
      <c r="BQ210" s="76"/>
      <c r="BR210" s="76"/>
      <c r="BS210" s="76"/>
      <c r="BT210" s="77"/>
      <c r="BU210" s="76"/>
      <c r="BV210" s="77"/>
      <c r="BW210" s="76"/>
      <c r="BX210" s="76"/>
      <c r="BY210" s="76"/>
      <c r="BZ210" s="76"/>
      <c r="CA210" s="76"/>
      <c r="CB210" s="77"/>
      <c r="CC210" s="76"/>
      <c r="CD210" s="77"/>
      <c r="CE210" s="76"/>
      <c r="CF210" s="76"/>
      <c r="CG210" s="76"/>
      <c r="CH210" s="76"/>
      <c r="CI210" s="76"/>
      <c r="CJ210" s="77"/>
      <c r="CK210" s="76"/>
      <c r="CL210" s="77"/>
      <c r="CM210" s="76"/>
      <c r="CN210" s="76"/>
      <c r="CO210" s="76"/>
      <c r="CP210" s="76"/>
      <c r="CQ210" s="76"/>
      <c r="CR210" s="78" t="str">
        <f t="shared" si="63"/>
        <v/>
      </c>
      <c r="CS210" s="79" t="str">
        <f t="shared" si="64"/>
        <v/>
      </c>
      <c r="CT210" s="79" t="str">
        <f t="shared" si="65"/>
        <v/>
      </c>
      <c r="CU210" s="79" t="str">
        <f t="shared" si="66"/>
        <v/>
      </c>
      <c r="CV210" s="79" t="str">
        <f t="shared" si="67"/>
        <v/>
      </c>
      <c r="CW210" s="79" t="str">
        <f t="shared" si="68"/>
        <v/>
      </c>
      <c r="CX210" s="79" t="str">
        <f t="shared" si="69"/>
        <v/>
      </c>
      <c r="CY210" s="79" t="str">
        <f t="shared" si="70"/>
        <v/>
      </c>
      <c r="CZ210" s="79" t="str">
        <f t="shared" si="71"/>
        <v/>
      </c>
      <c r="DA210" s="79" t="str">
        <f t="shared" si="72"/>
        <v/>
      </c>
      <c r="DB210" s="79" t="str">
        <f t="shared" si="73"/>
        <v/>
      </c>
      <c r="DC210" s="79" t="str">
        <f t="shared" si="74"/>
        <v/>
      </c>
      <c r="DD210" s="79" t="str">
        <f t="shared" si="75"/>
        <v/>
      </c>
      <c r="DE210" s="79" t="str">
        <f t="shared" si="76"/>
        <v/>
      </c>
      <c r="DF210" s="79" t="str">
        <f t="shared" si="77"/>
        <v/>
      </c>
      <c r="DG210" s="79" t="str">
        <f t="shared" si="78"/>
        <v/>
      </c>
      <c r="DH210" s="76"/>
      <c r="DI210" s="78"/>
      <c r="DJ210" s="76"/>
      <c r="DK210" s="77"/>
      <c r="DL210" s="77"/>
      <c r="DM210" s="77"/>
      <c r="DN210" s="80"/>
      <c r="DO210" s="80"/>
      <c r="DP210" s="92" t="str">
        <f>IF(Table1[Start Date]="","",IF(Table1[Start Date]&gt;42185,"",IF(AND(Table1[Leaving Date]&gt;1,Table1[Leaving Date]&lt;42095),"",1)))</f>
        <v/>
      </c>
      <c r="DQ210" s="92" t="str">
        <f>IF(Table1[Start Date]="","",IF(Table1[Start Date]&gt;42277,"",IF(AND(Table1[Leaving Date]&gt;1,Table1[Leaving Date]&lt;42186),"",1)))</f>
        <v/>
      </c>
      <c r="DR210" s="92" t="str">
        <f>IF(Table1[Start Date]="","",IF(Table1[Start Date]&gt;42369,"",IF(AND(Table1[Leaving Date]&gt;1,Table1[Leaving Date]&lt;42278),"",1)))</f>
        <v/>
      </c>
      <c r="DS210" s="92" t="str">
        <f>IF(Table1[Start Date]="","",IF(Table1[Start Date]&gt;42460,"",IF(AND(Table1[Leaving Date]&gt;1,Table1[Leaving Date]&lt;42370),"",1)))</f>
        <v/>
      </c>
      <c r="DT210" s="92" t="str">
        <f>IF(Table1[Start Date]="","",IF(Table1[Start Date]&gt;42551,"",IF(AND(Table1[Leaving Date]&gt;1,Table1[Leaving Date]&lt;42461),"",1)))</f>
        <v/>
      </c>
      <c r="DU210" s="92" t="str">
        <f>IF(Table1[Start Date]="","",IF(Table1[Start Date]&gt;42643,"",IF(AND(Table1[Leaving Date]&gt;1,Table1[Leaving Date]&lt;42552),"",1)))</f>
        <v/>
      </c>
      <c r="DV210" s="92" t="str">
        <f>IF(Table1[Start Date]="","",IF(Table1[Start Date]&gt;42735,"",IF(AND(Table1[Leaving Date]&gt;1,Table1[Leaving Date]&lt;42644),"",1)))</f>
        <v/>
      </c>
      <c r="DW210" s="92" t="str">
        <f>IF(Table1[Start Date]="","",IF(Table1[Start Date]&gt;42825,"",IF(AND(Table1[Leaving Date]&gt;1,Table1[Leaving Date]&lt;42736),"",1)))</f>
        <v/>
      </c>
      <c r="DX210"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210" s="44" t="e">
        <f>VLOOKUP(Table1[Referral Source],Lists!$G$2:$H$20,2,FALSE)</f>
        <v>#N/A</v>
      </c>
      <c r="DZ210" s="93" t="e">
        <f>SUM(Table1[Data Referral Quarter]+Table1[Data Referral Source])</f>
        <v>#N/A</v>
      </c>
      <c r="EA210" s="44" t="b">
        <f>IF(Table1[Referral Decision]="Accepted",100,IF(Table1[Referral Decision]="Rejected by Provider",200,IF(Table1[Referral Decision]="Rejected by Applicant",300)))</f>
        <v>0</v>
      </c>
      <c r="EB210" s="44">
        <f>SUM(Table1[Data Referral Quarter]+Table1[Data Referral Decision])</f>
        <v>0</v>
      </c>
      <c r="EC210" s="44" t="b">
        <f>IF(Table1[Start Date]&gt;42735,8000,IF(Table1[Start Date]&gt;42643,7000,IF(Table1[Start Date]&gt;42551,6000,IF(Table1[Start Date]&gt;42460,5000,IF(Table1[Start Date]&gt;42369,4000,IF(Table1[Start Date]&gt;42277,3000,IF(Table1[Start Date]&gt;42185,2000,IF(Table1[Start Date]&gt;42094,1000))))))))</f>
        <v>0</v>
      </c>
      <c r="ED210" s="44" t="str">
        <f>IF(Table1[Start Date]="","",IF(Table1[Current Local Authority]="Swindon",1,"2"))</f>
        <v/>
      </c>
      <c r="EE210" s="44" t="e">
        <f>SUM(Table1[Data Start Date]+Table1[Data Local Authority])</f>
        <v>#VALUE!</v>
      </c>
      <c r="EF210" s="44">
        <f>IF(Table1[Registered with GP]="Yes",1,0)</f>
        <v>0</v>
      </c>
      <c r="EG210" s="44">
        <f>SUM(Table1[Data Start Date]+Table1[Data GP Start])</f>
        <v>0</v>
      </c>
      <c r="EH210" s="44" t="str">
        <f>IF(Table1[EET]="NEET",1,IF(Table1[EET]="Education",2,IF(Table1[EET]="Employment",2,IF(Table1[EET]="Training",2,IF(Table1[EET]="Retired",3,"")))))</f>
        <v/>
      </c>
      <c r="EI210" s="44" t="e">
        <f>Table1[Data Start Date]+Table1[Data EET Start]</f>
        <v>#VALUE!</v>
      </c>
      <c r="EJ210" s="44" t="b">
        <f>IF(Table1[Leaving Date]&gt;42735,8000,IF(Table1[Leaving Date]&gt;42643,7000,IF(Table1[Leaving Date]&gt;42551,6000,IF(Table1[Leaving Date]&gt;42460,5000,IF(Table1[Leaving Date]&gt;42369,4000,IF(Table1[Leaving Date]&gt;42277,3000,IF(Table1[Leaving Date]&gt;42185,2000,IF(Table1[Leaving Date]&gt;42094,1000))))))))</f>
        <v>0</v>
      </c>
      <c r="EK210" s="44" t="e">
        <f>VLOOKUP(Table1[Reason for Leaving],Lists!$T$2:$U$15,2,FALSE)</f>
        <v>#N/A</v>
      </c>
      <c r="EL210" s="44" t="e">
        <f>SUM(Table1[Data Leavers Date]+Table1[Data Move On])</f>
        <v>#N/A</v>
      </c>
      <c r="EM210" s="44" t="b">
        <f>IF(Table1[Registered with GP2]="Yes",1,IF(Table1[Registered with GP2]="No",0,IF(Table1[Registered with GP]="Yes",1,IF(Table1[Registered with GP]="No",0))))</f>
        <v>0</v>
      </c>
      <c r="EN210" s="44">
        <f>SUM(Table1[Data Leavers Date]+Table1[Data GP End])</f>
        <v>0</v>
      </c>
      <c r="EO210" s="44" t="str">
        <f>IF(Table1[EET2]="NEET",1,IF(Table1[EET2]="Employment",2,IF(Table1[EET2]="Education",2,IF(Table1[EET2]="Training",2,IF(Table1[EET2]="Retired",3,IF(Table1[EET]="NEET",1,IF(Table1[EET]="Employment",2,IF(Table1[EET]="Education",2,IF(Table1[EET]="Training",2,IF(Table1[EET]="Retired",3,""))))))))))</f>
        <v/>
      </c>
      <c r="EP210" s="44" t="e">
        <f>+Table1[[#This Row],[Data Leavers Date]]+Table1[[#This Row],[Data EET End]]</f>
        <v>#VALUE!</v>
      </c>
      <c r="EQ210" s="44">
        <f>IF(Table1[Exit Form Received]="Yes",1,0)</f>
        <v>0</v>
      </c>
      <c r="ER210" s="44">
        <f>+Table1[[#This Row],[Data Leavers Date]]+Table1[[#This Row],[Data Exit Forms]]</f>
        <v>0</v>
      </c>
      <c r="ES210" s="44" t="str">
        <f>IF(Table1[Data Leavers Date]=1000,SUM(Table1[Leaving Date]-Table1[Start Date]),"")</f>
        <v/>
      </c>
      <c r="ET210" s="44" t="str">
        <f>IF(Table1[Data Leavers Date]=2000,SUM(Table1[Leaving Date]-Table1[Start Date]),"")</f>
        <v/>
      </c>
      <c r="EU210" s="44" t="str">
        <f>IF(Table1[Data Leavers Date]=3000,SUM(Table1[Leaving Date]-Table1[Start Date]),"")</f>
        <v/>
      </c>
      <c r="EV210" s="44" t="str">
        <f>IF(Table1[Data Leavers Date]=4000,SUM(Table1[Leaving Date]-Table1[Start Date]),"")</f>
        <v/>
      </c>
      <c r="EW210" s="44" t="str">
        <f>IF(Table1[Data Leavers Date]=5000,SUM(Table1[Leaving Date]-Table1[Start Date]),"")</f>
        <v/>
      </c>
      <c r="EX210" s="44" t="str">
        <f>IF(Table1[Data Leavers Date]=6000,SUM(Table1[Leaving Date]-Table1[Start Date]),"")</f>
        <v/>
      </c>
      <c r="EY210" s="44" t="str">
        <f>IF(Table1[Data Leavers Date]=7000,SUM(Table1[Leaving Date]-Table1[Start Date]),"")</f>
        <v/>
      </c>
      <c r="EZ210" s="44" t="str">
        <f>IF(Table1[Data Leavers Date]=8000,SUM(Table1[Leaving Date]-Table1[Start Date]),"")</f>
        <v/>
      </c>
      <c r="FA210" s="44" t="str">
        <f>IF(Table1[Date of Initial Assessment]="","",IF(AND(Table1[Start Date]&gt;42094,Table1[Start Date]&lt;42461),Table1[Motivation and Taking Responsibility],""))</f>
        <v/>
      </c>
      <c r="FB210" s="44" t="str">
        <f>IF(Table1[Date of Initial Assessment]="","",IF(AND(Table1[Start Date]&gt;42094,Table1[Start Date]&lt;42461),Table1[Self-Care and Living Skills],""))</f>
        <v/>
      </c>
      <c r="FC210" s="44" t="str">
        <f>IF(Table1[Date of Initial Assessment]="","",IF(AND(Table1[Start Date]&gt;42094,Table1[Start Date]&lt;42461),Table1[Managing Money and Personal Administration],""))</f>
        <v/>
      </c>
      <c r="FD210" s="44" t="str">
        <f>IF(Table1[Date of Initial Assessment]="","",IF(AND(Table1[Start Date]&gt;42094,Table1[Start Date]&lt;42461),Table1[Social Networks and Relationships],""))</f>
        <v/>
      </c>
      <c r="FE210" s="44" t="str">
        <f>IF(Table1[Date of Initial Assessment]="","",IF(AND(Table1[Start Date]&gt;42094,Table1[Start Date]&lt;42461),Table1[Drug and Alcohol Misuse],""))</f>
        <v/>
      </c>
      <c r="FF210" s="44" t="str">
        <f>IF(Table1[Date of Initial Assessment]="","",IF(AND(Table1[Start Date]&gt;42094,Table1[Start Date]&lt;42461),Table1[Physical Health],""))</f>
        <v/>
      </c>
      <c r="FG210" s="44" t="str">
        <f>IF(Table1[Date of Initial Assessment]="","",IF(AND(Table1[Start Date]&gt;42094,Table1[Start Date]&lt;42461),Table1[Emotional and Mental Health],""))</f>
        <v/>
      </c>
      <c r="FH210" s="44" t="str">
        <f>IF(Table1[Date of Initial Assessment]="","",IF(AND(Table1[Start Date]&gt;42094,Table1[Start Date]&lt;42461),Table1[Meaningful Use of Time],""))</f>
        <v/>
      </c>
      <c r="FI210" s="44" t="str">
        <f>IF(Table1[Date of Initial Assessment]="","",IF(AND(Table1[Start Date]&gt;42094,Table1[Start Date]&lt;42461),Table1[Managing Tenancy and Accommodation],""))</f>
        <v/>
      </c>
      <c r="FJ210" s="44" t="str">
        <f>IF(Table1[Date of Initial Assessment]="","",IF(AND(Table1[Start Date]&gt;42094,Table1[Start Date]&lt;42461),Table1[Offending],""))</f>
        <v/>
      </c>
      <c r="FK210" s="44" t="str">
        <f>IF(Table1[Leaving Date]="","",IF(Table1[Date of Initial Assessment]="","",IF(AND(Table1[Leaving Date]&gt;42094,Table1[Leaving Date]&lt;42461),IF(Table1[Date of Last Assessment]="",Table1[Motivation and Taking Responsibility],Table1[Motivation and Taking Responsibility2]),"")))</f>
        <v/>
      </c>
      <c r="FL210" s="44" t="str">
        <f>IF(Table1[Leaving Date]="","",IF(Table1[Date of Initial Assessment]="","",IF(AND(Table1[Leaving Date]&gt;42094,Table1[Leaving Date]&lt;42461),IF(Table1[Date of Last Assessment]="",Table1[Self-Care and Living Skills],Table1[Self-Care and Living Skills2]),"")))</f>
        <v/>
      </c>
      <c r="FM210" s="44" t="str">
        <f>IF(Table1[Leaving Date]="","",IF(Table1[Date of Initial Assessment]="","",IF(AND(Table1[Leaving Date]&gt;42094,Table1[Leaving Date]&lt;42461),IF(Table1[Date of Last Assessment]="",Table1[Managing Money and Personal Administration],Table1[Managing Money and Personal Administration2]),"")))</f>
        <v/>
      </c>
      <c r="FN210" s="44" t="str">
        <f>IF(Table1[Leaving Date]="","",IF(Table1[Date of Initial Assessment]="","",IF(AND(Table1[Leaving Date]&gt;42094,Table1[Leaving Date]&lt;42461),IF(Table1[Date of Last Assessment]="",Table1[Social Networks and Relationships],Table1[Social Networks and Relationships2]),"")))</f>
        <v/>
      </c>
      <c r="FO210" s="44" t="str">
        <f>IF(Table1[Leaving Date]="","",IF(Table1[Date of Initial Assessment]="","",IF(AND(Table1[Leaving Date]&gt;42094,Table1[Leaving Date]&lt;42461),IF(Table1[Date of Last Assessment]="",Table1[Drug and Alcohol Misuse],Table1[Drug and Alcohol Misuse2]),"")))</f>
        <v/>
      </c>
      <c r="FP210" s="44" t="str">
        <f>IF(Table1[Leaving Date]="","",IF(Table1[Date of Initial Assessment]="","",IF(AND(Table1[Leaving Date]&gt;42094,Table1[Leaving Date]&lt;42461),IF(Table1[Date of Last Assessment]="",Table1[Physical Health],Table1[Physical Health2]),"")))</f>
        <v/>
      </c>
      <c r="FQ210" s="44" t="str">
        <f>IF(Table1[Leaving Date]="","",IF(Table1[Date of Initial Assessment]="","",IF(AND(Table1[Leaving Date]&gt;42094,Table1[Leaving Date]&lt;42461),IF(Table1[Date of Last Assessment]="",Table1[Emotional and Mental Health],Table1[Emotional and Mental Health2]),"")))</f>
        <v/>
      </c>
      <c r="FR210" s="44" t="str">
        <f>IF(Table1[Leaving Date]="","",IF(Table1[Date of Initial Assessment]="","",IF(AND(Table1[Leaving Date]&gt;42094,Table1[Leaving Date]&lt;42461),IF(Table1[Date of Last Assessment]="",Table1[Meaningful Use of Time],Table1[Meaningful Use of Time2]),"")))</f>
        <v/>
      </c>
      <c r="FS210" s="44" t="str">
        <f>IF(Table1[Leaving Date]="","",IF(Table1[Date of Initial Assessment]="","",IF(AND(Table1[Leaving Date]&gt;42094,Table1[Leaving Date]&lt;42461),IF(Table1[Date of Last Assessment]="",Table1[Managing Tenancy and Accommodation],Table1[Managing Tenancy and Accommodation2]),"")))</f>
        <v/>
      </c>
      <c r="FT210" s="44" t="str">
        <f>IF(Table1[Leaving Date]="","",IF(Table1[Date of Initial Assessment]="","",IF(AND(Table1[Leaving Date]&gt;42094,Table1[Leaving Date]&lt;42461),IF(Table1[Date of Last Assessment]="",Table1[Offending],Table1[Offending2]),"")))</f>
        <v/>
      </c>
      <c r="FU210" s="44" t="str">
        <f>IF(Table1[Date of Initial Assessment]="","",IF(AND(Table1[Start Date]&gt;42460,Table1[Start Date]&lt;42826),Table1[Motivation and Taking Responsibility],""))</f>
        <v/>
      </c>
      <c r="FV210" s="44" t="str">
        <f>IF(Table1[Date of Initial Assessment]="","",IF(AND(Table1[Start Date]&gt;42460,Table1[Start Date]&lt;42826),Table1[Self-Care and Living Skills],""))</f>
        <v/>
      </c>
      <c r="FW210" s="44" t="str">
        <f>IF(Table1[Date of Initial Assessment]="","",IF(AND(Table1[Start Date]&gt;42460,Table1[Start Date]&lt;42826),Table1[Managing Money and Personal Administration],""))</f>
        <v/>
      </c>
      <c r="FX210" s="44" t="str">
        <f>IF(Table1[Date of Initial Assessment]="","",IF(AND(Table1[Start Date]&gt;42460,Table1[Start Date]&lt;42826),Table1[Social Networks and Relationships],""))</f>
        <v/>
      </c>
      <c r="FY210" s="44" t="str">
        <f>IF(Table1[Date of Initial Assessment]="","",IF(AND(Table1[Start Date]&gt;42460,Table1[Start Date]&lt;42826),Table1[Drug and Alcohol Misuse],""))</f>
        <v/>
      </c>
      <c r="FZ210" s="44" t="str">
        <f>IF(Table1[Date of Initial Assessment]="","",IF(AND(Table1[Start Date]&gt;42460,Table1[Start Date]&lt;42826),Table1[Physical Health],""))</f>
        <v/>
      </c>
      <c r="GA210" s="44" t="str">
        <f>IF(Table1[Date of Initial Assessment]="","",IF(AND(Table1[Start Date]&gt;42460,Table1[Start Date]&lt;42826),Table1[Emotional and Mental Health],""))</f>
        <v/>
      </c>
      <c r="GB210" s="44" t="str">
        <f>IF(Table1[Date of Initial Assessment]="","",IF(AND(Table1[Start Date]&gt;42460,Table1[Start Date]&lt;42826),Table1[Meaningful Use of Time],""))</f>
        <v/>
      </c>
      <c r="GC210" s="44" t="str">
        <f>IF(Table1[Date of Initial Assessment]="","",IF(AND(Table1[Start Date]&gt;42460,Table1[Start Date]&lt;42826),Table1[Managing Tenancy and Accommodation],""))</f>
        <v/>
      </c>
      <c r="GD210" s="44" t="str">
        <f>IF(Table1[Date of Initial Assessment]="","",IF(AND(Table1[Start Date]&gt;42460,Table1[Start Date]&lt;42826),Table1[Offending],""))</f>
        <v/>
      </c>
      <c r="GE210" s="44" t="str">
        <f>IF(Table1[Leaving Date]="","",IF(AND(Table1[Leaving Date]&gt;42460,Table1[Leaving Date]&lt;42826),IF(Table1[Date of Last Assessment]="",Table1[Motivation and Taking Responsibility],Table1[Motivation and Taking Responsibility2]),""))</f>
        <v/>
      </c>
      <c r="GF210" s="44" t="str">
        <f>IF(Table1[Leaving Date]="","",IF(AND(Table1[Leaving Date]&gt;42460,Table1[Leaving Date]&lt;42826),IF(Table1[Date of Last Assessment]="",Table1[Self-Care and Living Skills],Table1[Self-Care and Living Skills2]),""))</f>
        <v/>
      </c>
      <c r="GG210" s="44" t="str">
        <f>IF(Table1[Leaving Date]="","",IF(AND(Table1[Leaving Date]&gt;42460,Table1[Leaving Date]&lt;42826),IF(Table1[Date of Last Assessment]="",Table1[Managing Money and Personal Administration],Table1[Managing Money and Personal Administration2]),""))</f>
        <v/>
      </c>
      <c r="GH210" s="44" t="str">
        <f>IF(Table1[Leaving Date]="","",IF(AND(Table1[Leaving Date]&gt;42460,Table1[Leaving Date]&lt;42826),IF(Table1[Date of Last Assessment]="",Table1[Social Networks and Relationships],Table1[Social Networks and Relationships2]),""))</f>
        <v/>
      </c>
      <c r="GI210" s="44" t="str">
        <f>IF(Table1[Leaving Date]="","",IF(AND(Table1[Leaving Date]&gt;42460,Table1[Leaving Date]&lt;42826),IF(Table1[Date of Last Assessment]="",Table1[Drug and Alcohol Misuse],Table1[Drug and Alcohol Misuse2]),""))</f>
        <v/>
      </c>
      <c r="GJ210" s="44" t="str">
        <f>IF(Table1[Leaving Date]="","",IF(AND(Table1[Leaving Date]&gt;42460,Table1[Leaving Date]&lt;42826),IF(Table1[Date of Last Assessment]="",Table1[Physical Health],Table1[Physical Health2]),""))</f>
        <v/>
      </c>
      <c r="GK210" s="44" t="str">
        <f>IF(Table1[Leaving Date]="","",IF(AND(Table1[Leaving Date]&gt;42460,Table1[Leaving Date]&lt;42826),IF(Table1[Date of Last Assessment]="",Table1[Emotional and Mental Health],Table1[Emotional and Mental Health2]),""))</f>
        <v/>
      </c>
      <c r="GL210" s="44" t="str">
        <f>IF(Table1[Leaving Date]="","",IF(AND(Table1[Leaving Date]&gt;42460,Table1[Leaving Date]&lt;42826),IF(Table1[Date of Last Assessment]="",Table1[Meaningful Use of Time],Table1[Meaningful Use of Time2]),""))</f>
        <v/>
      </c>
      <c r="GM210" s="44" t="str">
        <f>IF(Table1[Leaving Date]="","",IF(AND(Table1[Leaving Date]&gt;42460,Table1[Leaving Date]&lt;42826),IF(Table1[Date of Last Assessment]="",Table1[Managing Tenancy and Accommodation],Table1[Managing Tenancy and Accommodation2]),""))</f>
        <v/>
      </c>
      <c r="GN210" s="44" t="str">
        <f>IF(Table1[Leaving Date]="","",IF(AND(Table1[Leaving Date]&gt;42460,Table1[Leaving Date]&lt;42826),IF(Table1[Date of Last Assessment]="",Table1[Offending],Table1[Offending2]),""))</f>
        <v/>
      </c>
    </row>
    <row r="211" spans="2:196" ht="20.100000000000001" customHeight="1" x14ac:dyDescent="0.2">
      <c r="B211" s="86">
        <f>+'Service Data'!$C$5:$C$5</f>
        <v>0</v>
      </c>
      <c r="C211" s="86"/>
      <c r="D211" s="86"/>
      <c r="E211" s="86"/>
      <c r="F211" s="86"/>
      <c r="G211" s="86"/>
      <c r="H211" s="6"/>
      <c r="I211" s="99" t="str">
        <f ca="1">IF(Table1[[#This Row],[Date of Birth]]="","",SUM(TODAY()-Table1[[#This Row],[Date of Birth]])/365)</f>
        <v/>
      </c>
      <c r="L211" s="86"/>
      <c r="M211" s="77"/>
      <c r="N211" s="86"/>
      <c r="O211" s="86"/>
      <c r="P211" s="91"/>
      <c r="Q211" s="86"/>
      <c r="R211" s="77"/>
      <c r="S211" s="77"/>
      <c r="T211" s="68"/>
      <c r="U211" s="68"/>
      <c r="V211" s="67"/>
      <c r="W211" s="67"/>
      <c r="X211" s="67"/>
      <c r="Y211" s="67"/>
      <c r="Z211" s="67"/>
      <c r="AA211" s="67"/>
      <c r="AB211" s="67"/>
      <c r="AC211" s="67"/>
      <c r="AD211" s="67"/>
      <c r="AE211" s="67"/>
      <c r="AF211" s="67"/>
      <c r="AG211" s="67"/>
      <c r="AH211" s="67"/>
      <c r="AI211" s="67"/>
      <c r="AJ211" s="67"/>
      <c r="AK211" s="67"/>
      <c r="AL211" s="67"/>
      <c r="AM211" s="67"/>
      <c r="AN211" s="77"/>
      <c r="AO211" s="76"/>
      <c r="AP211" s="77"/>
      <c r="AQ211" s="76"/>
      <c r="AR211" s="76"/>
      <c r="AS211" s="76"/>
      <c r="AT211" s="76"/>
      <c r="AU211" s="76"/>
      <c r="AV211" s="77"/>
      <c r="AW211" s="76"/>
      <c r="AX211" s="77"/>
      <c r="AY211" s="76"/>
      <c r="AZ211" s="76"/>
      <c r="BA211" s="76"/>
      <c r="BB211" s="76"/>
      <c r="BC211" s="76"/>
      <c r="BD211" s="77"/>
      <c r="BE211" s="76"/>
      <c r="BF211" s="77"/>
      <c r="BG211" s="76"/>
      <c r="BH211" s="76"/>
      <c r="BI211" s="76"/>
      <c r="BJ211" s="76"/>
      <c r="BK211" s="76"/>
      <c r="BL211" s="77"/>
      <c r="BM211" s="76"/>
      <c r="BN211" s="77"/>
      <c r="BO211" s="76"/>
      <c r="BP211" s="76"/>
      <c r="BQ211" s="76"/>
      <c r="BR211" s="76"/>
      <c r="BS211" s="76"/>
      <c r="BT211" s="77"/>
      <c r="BU211" s="76"/>
      <c r="BV211" s="77"/>
      <c r="BW211" s="76"/>
      <c r="BX211" s="76"/>
      <c r="BY211" s="76"/>
      <c r="BZ211" s="76"/>
      <c r="CA211" s="76"/>
      <c r="CB211" s="77"/>
      <c r="CC211" s="76"/>
      <c r="CD211" s="77"/>
      <c r="CE211" s="76"/>
      <c r="CF211" s="76"/>
      <c r="CG211" s="76"/>
      <c r="CH211" s="76"/>
      <c r="CI211" s="76"/>
      <c r="CJ211" s="77"/>
      <c r="CK211" s="76"/>
      <c r="CL211" s="77"/>
      <c r="CM211" s="76"/>
      <c r="CN211" s="76"/>
      <c r="CO211" s="76"/>
      <c r="CP211" s="76"/>
      <c r="CQ211" s="76"/>
      <c r="CR211" s="78" t="str">
        <f t="shared" si="63"/>
        <v/>
      </c>
      <c r="CS211" s="79" t="str">
        <f t="shared" si="64"/>
        <v/>
      </c>
      <c r="CT211" s="79" t="str">
        <f t="shared" si="65"/>
        <v/>
      </c>
      <c r="CU211" s="79" t="str">
        <f t="shared" si="66"/>
        <v/>
      </c>
      <c r="CV211" s="79" t="str">
        <f t="shared" si="67"/>
        <v/>
      </c>
      <c r="CW211" s="79" t="str">
        <f t="shared" si="68"/>
        <v/>
      </c>
      <c r="CX211" s="79" t="str">
        <f t="shared" si="69"/>
        <v/>
      </c>
      <c r="CY211" s="79" t="str">
        <f t="shared" si="70"/>
        <v/>
      </c>
      <c r="CZ211" s="79" t="str">
        <f t="shared" si="71"/>
        <v/>
      </c>
      <c r="DA211" s="79" t="str">
        <f t="shared" si="72"/>
        <v/>
      </c>
      <c r="DB211" s="79" t="str">
        <f t="shared" si="73"/>
        <v/>
      </c>
      <c r="DC211" s="79" t="str">
        <f t="shared" si="74"/>
        <v/>
      </c>
      <c r="DD211" s="79" t="str">
        <f t="shared" si="75"/>
        <v/>
      </c>
      <c r="DE211" s="79" t="str">
        <f t="shared" si="76"/>
        <v/>
      </c>
      <c r="DF211" s="79" t="str">
        <f t="shared" si="77"/>
        <v/>
      </c>
      <c r="DG211" s="79" t="str">
        <f t="shared" si="78"/>
        <v/>
      </c>
      <c r="DH211" s="76"/>
      <c r="DI211" s="78"/>
      <c r="DJ211" s="76"/>
      <c r="DK211" s="77"/>
      <c r="DL211" s="77"/>
      <c r="DM211" s="77"/>
      <c r="DN211" s="80"/>
      <c r="DO211" s="80"/>
      <c r="DP211" s="92" t="str">
        <f>IF(Table1[Start Date]="","",IF(Table1[Start Date]&gt;42185,"",IF(AND(Table1[Leaving Date]&gt;1,Table1[Leaving Date]&lt;42095),"",1)))</f>
        <v/>
      </c>
      <c r="DQ211" s="92" t="str">
        <f>IF(Table1[Start Date]="","",IF(Table1[Start Date]&gt;42277,"",IF(AND(Table1[Leaving Date]&gt;1,Table1[Leaving Date]&lt;42186),"",1)))</f>
        <v/>
      </c>
      <c r="DR211" s="92" t="str">
        <f>IF(Table1[Start Date]="","",IF(Table1[Start Date]&gt;42369,"",IF(AND(Table1[Leaving Date]&gt;1,Table1[Leaving Date]&lt;42278),"",1)))</f>
        <v/>
      </c>
      <c r="DS211" s="92" t="str">
        <f>IF(Table1[Start Date]="","",IF(Table1[Start Date]&gt;42460,"",IF(AND(Table1[Leaving Date]&gt;1,Table1[Leaving Date]&lt;42370),"",1)))</f>
        <v/>
      </c>
      <c r="DT211" s="92" t="str">
        <f>IF(Table1[Start Date]="","",IF(Table1[Start Date]&gt;42551,"",IF(AND(Table1[Leaving Date]&gt;1,Table1[Leaving Date]&lt;42461),"",1)))</f>
        <v/>
      </c>
      <c r="DU211" s="92" t="str">
        <f>IF(Table1[Start Date]="","",IF(Table1[Start Date]&gt;42643,"",IF(AND(Table1[Leaving Date]&gt;1,Table1[Leaving Date]&lt;42552),"",1)))</f>
        <v/>
      </c>
      <c r="DV211" s="92" t="str">
        <f>IF(Table1[Start Date]="","",IF(Table1[Start Date]&gt;42735,"",IF(AND(Table1[Leaving Date]&gt;1,Table1[Leaving Date]&lt;42644),"",1)))</f>
        <v/>
      </c>
      <c r="DW211" s="92" t="str">
        <f>IF(Table1[Start Date]="","",IF(Table1[Start Date]&gt;42825,"",IF(AND(Table1[Leaving Date]&gt;1,Table1[Leaving Date]&lt;42736),"",1)))</f>
        <v/>
      </c>
      <c r="DX211"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211" s="44" t="e">
        <f>VLOOKUP(Table1[Referral Source],Lists!$G$2:$H$20,2,FALSE)</f>
        <v>#N/A</v>
      </c>
      <c r="DZ211" s="93" t="e">
        <f>SUM(Table1[Data Referral Quarter]+Table1[Data Referral Source])</f>
        <v>#N/A</v>
      </c>
      <c r="EA211" s="44" t="b">
        <f>IF(Table1[Referral Decision]="Accepted",100,IF(Table1[Referral Decision]="Rejected by Provider",200,IF(Table1[Referral Decision]="Rejected by Applicant",300)))</f>
        <v>0</v>
      </c>
      <c r="EB211" s="44">
        <f>SUM(Table1[Data Referral Quarter]+Table1[Data Referral Decision])</f>
        <v>0</v>
      </c>
      <c r="EC211" s="44" t="b">
        <f>IF(Table1[Start Date]&gt;42735,8000,IF(Table1[Start Date]&gt;42643,7000,IF(Table1[Start Date]&gt;42551,6000,IF(Table1[Start Date]&gt;42460,5000,IF(Table1[Start Date]&gt;42369,4000,IF(Table1[Start Date]&gt;42277,3000,IF(Table1[Start Date]&gt;42185,2000,IF(Table1[Start Date]&gt;42094,1000))))))))</f>
        <v>0</v>
      </c>
      <c r="ED211" s="44" t="str">
        <f>IF(Table1[Start Date]="","",IF(Table1[Current Local Authority]="Swindon",1,"2"))</f>
        <v/>
      </c>
      <c r="EE211" s="44" t="e">
        <f>SUM(Table1[Data Start Date]+Table1[Data Local Authority])</f>
        <v>#VALUE!</v>
      </c>
      <c r="EF211" s="44">
        <f>IF(Table1[Registered with GP]="Yes",1,0)</f>
        <v>0</v>
      </c>
      <c r="EG211" s="44">
        <f>SUM(Table1[Data Start Date]+Table1[Data GP Start])</f>
        <v>0</v>
      </c>
      <c r="EH211" s="44" t="str">
        <f>IF(Table1[EET]="NEET",1,IF(Table1[EET]="Education",2,IF(Table1[EET]="Employment",2,IF(Table1[EET]="Training",2,IF(Table1[EET]="Retired",3,"")))))</f>
        <v/>
      </c>
      <c r="EI211" s="44" t="e">
        <f>Table1[Data Start Date]+Table1[Data EET Start]</f>
        <v>#VALUE!</v>
      </c>
      <c r="EJ211" s="44" t="b">
        <f>IF(Table1[Leaving Date]&gt;42735,8000,IF(Table1[Leaving Date]&gt;42643,7000,IF(Table1[Leaving Date]&gt;42551,6000,IF(Table1[Leaving Date]&gt;42460,5000,IF(Table1[Leaving Date]&gt;42369,4000,IF(Table1[Leaving Date]&gt;42277,3000,IF(Table1[Leaving Date]&gt;42185,2000,IF(Table1[Leaving Date]&gt;42094,1000))))))))</f>
        <v>0</v>
      </c>
      <c r="EK211" s="44" t="e">
        <f>VLOOKUP(Table1[Reason for Leaving],Lists!$T$2:$U$15,2,FALSE)</f>
        <v>#N/A</v>
      </c>
      <c r="EL211" s="44" t="e">
        <f>SUM(Table1[Data Leavers Date]+Table1[Data Move On])</f>
        <v>#N/A</v>
      </c>
      <c r="EM211" s="44" t="b">
        <f>IF(Table1[Registered with GP2]="Yes",1,IF(Table1[Registered with GP2]="No",0,IF(Table1[Registered with GP]="Yes",1,IF(Table1[Registered with GP]="No",0))))</f>
        <v>0</v>
      </c>
      <c r="EN211" s="44">
        <f>SUM(Table1[Data Leavers Date]+Table1[Data GP End])</f>
        <v>0</v>
      </c>
      <c r="EO211" s="44" t="str">
        <f>IF(Table1[EET2]="NEET",1,IF(Table1[EET2]="Employment",2,IF(Table1[EET2]="Education",2,IF(Table1[EET2]="Training",2,IF(Table1[EET2]="Retired",3,IF(Table1[EET]="NEET",1,IF(Table1[EET]="Employment",2,IF(Table1[EET]="Education",2,IF(Table1[EET]="Training",2,IF(Table1[EET]="Retired",3,""))))))))))</f>
        <v/>
      </c>
      <c r="EP211" s="44" t="e">
        <f>+Table1[[#This Row],[Data Leavers Date]]+Table1[[#This Row],[Data EET End]]</f>
        <v>#VALUE!</v>
      </c>
      <c r="EQ211" s="44">
        <f>IF(Table1[Exit Form Received]="Yes",1,0)</f>
        <v>0</v>
      </c>
      <c r="ER211" s="44">
        <f>+Table1[[#This Row],[Data Leavers Date]]+Table1[[#This Row],[Data Exit Forms]]</f>
        <v>0</v>
      </c>
      <c r="ES211" s="44" t="str">
        <f>IF(Table1[Data Leavers Date]=1000,SUM(Table1[Leaving Date]-Table1[Start Date]),"")</f>
        <v/>
      </c>
      <c r="ET211" s="44" t="str">
        <f>IF(Table1[Data Leavers Date]=2000,SUM(Table1[Leaving Date]-Table1[Start Date]),"")</f>
        <v/>
      </c>
      <c r="EU211" s="44" t="str">
        <f>IF(Table1[Data Leavers Date]=3000,SUM(Table1[Leaving Date]-Table1[Start Date]),"")</f>
        <v/>
      </c>
      <c r="EV211" s="44" t="str">
        <f>IF(Table1[Data Leavers Date]=4000,SUM(Table1[Leaving Date]-Table1[Start Date]),"")</f>
        <v/>
      </c>
      <c r="EW211" s="44" t="str">
        <f>IF(Table1[Data Leavers Date]=5000,SUM(Table1[Leaving Date]-Table1[Start Date]),"")</f>
        <v/>
      </c>
      <c r="EX211" s="44" t="str">
        <f>IF(Table1[Data Leavers Date]=6000,SUM(Table1[Leaving Date]-Table1[Start Date]),"")</f>
        <v/>
      </c>
      <c r="EY211" s="44" t="str">
        <f>IF(Table1[Data Leavers Date]=7000,SUM(Table1[Leaving Date]-Table1[Start Date]),"")</f>
        <v/>
      </c>
      <c r="EZ211" s="44" t="str">
        <f>IF(Table1[Data Leavers Date]=8000,SUM(Table1[Leaving Date]-Table1[Start Date]),"")</f>
        <v/>
      </c>
      <c r="FA211" s="44" t="str">
        <f>IF(Table1[Date of Initial Assessment]="","",IF(AND(Table1[Start Date]&gt;42094,Table1[Start Date]&lt;42461),Table1[Motivation and Taking Responsibility],""))</f>
        <v/>
      </c>
      <c r="FB211" s="44" t="str">
        <f>IF(Table1[Date of Initial Assessment]="","",IF(AND(Table1[Start Date]&gt;42094,Table1[Start Date]&lt;42461),Table1[Self-Care and Living Skills],""))</f>
        <v/>
      </c>
      <c r="FC211" s="44" t="str">
        <f>IF(Table1[Date of Initial Assessment]="","",IF(AND(Table1[Start Date]&gt;42094,Table1[Start Date]&lt;42461),Table1[Managing Money and Personal Administration],""))</f>
        <v/>
      </c>
      <c r="FD211" s="44" t="str">
        <f>IF(Table1[Date of Initial Assessment]="","",IF(AND(Table1[Start Date]&gt;42094,Table1[Start Date]&lt;42461),Table1[Social Networks and Relationships],""))</f>
        <v/>
      </c>
      <c r="FE211" s="44" t="str">
        <f>IF(Table1[Date of Initial Assessment]="","",IF(AND(Table1[Start Date]&gt;42094,Table1[Start Date]&lt;42461),Table1[Drug and Alcohol Misuse],""))</f>
        <v/>
      </c>
      <c r="FF211" s="44" t="str">
        <f>IF(Table1[Date of Initial Assessment]="","",IF(AND(Table1[Start Date]&gt;42094,Table1[Start Date]&lt;42461),Table1[Physical Health],""))</f>
        <v/>
      </c>
      <c r="FG211" s="44" t="str">
        <f>IF(Table1[Date of Initial Assessment]="","",IF(AND(Table1[Start Date]&gt;42094,Table1[Start Date]&lt;42461),Table1[Emotional and Mental Health],""))</f>
        <v/>
      </c>
      <c r="FH211" s="44" t="str">
        <f>IF(Table1[Date of Initial Assessment]="","",IF(AND(Table1[Start Date]&gt;42094,Table1[Start Date]&lt;42461),Table1[Meaningful Use of Time],""))</f>
        <v/>
      </c>
      <c r="FI211" s="44" t="str">
        <f>IF(Table1[Date of Initial Assessment]="","",IF(AND(Table1[Start Date]&gt;42094,Table1[Start Date]&lt;42461),Table1[Managing Tenancy and Accommodation],""))</f>
        <v/>
      </c>
      <c r="FJ211" s="44" t="str">
        <f>IF(Table1[Date of Initial Assessment]="","",IF(AND(Table1[Start Date]&gt;42094,Table1[Start Date]&lt;42461),Table1[Offending],""))</f>
        <v/>
      </c>
      <c r="FK211" s="44" t="str">
        <f>IF(Table1[Leaving Date]="","",IF(Table1[Date of Initial Assessment]="","",IF(AND(Table1[Leaving Date]&gt;42094,Table1[Leaving Date]&lt;42461),IF(Table1[Date of Last Assessment]="",Table1[Motivation and Taking Responsibility],Table1[Motivation and Taking Responsibility2]),"")))</f>
        <v/>
      </c>
      <c r="FL211" s="44" t="str">
        <f>IF(Table1[Leaving Date]="","",IF(Table1[Date of Initial Assessment]="","",IF(AND(Table1[Leaving Date]&gt;42094,Table1[Leaving Date]&lt;42461),IF(Table1[Date of Last Assessment]="",Table1[Self-Care and Living Skills],Table1[Self-Care and Living Skills2]),"")))</f>
        <v/>
      </c>
      <c r="FM211" s="44" t="str">
        <f>IF(Table1[Leaving Date]="","",IF(Table1[Date of Initial Assessment]="","",IF(AND(Table1[Leaving Date]&gt;42094,Table1[Leaving Date]&lt;42461),IF(Table1[Date of Last Assessment]="",Table1[Managing Money and Personal Administration],Table1[Managing Money and Personal Administration2]),"")))</f>
        <v/>
      </c>
      <c r="FN211" s="44" t="str">
        <f>IF(Table1[Leaving Date]="","",IF(Table1[Date of Initial Assessment]="","",IF(AND(Table1[Leaving Date]&gt;42094,Table1[Leaving Date]&lt;42461),IF(Table1[Date of Last Assessment]="",Table1[Social Networks and Relationships],Table1[Social Networks and Relationships2]),"")))</f>
        <v/>
      </c>
      <c r="FO211" s="44" t="str">
        <f>IF(Table1[Leaving Date]="","",IF(Table1[Date of Initial Assessment]="","",IF(AND(Table1[Leaving Date]&gt;42094,Table1[Leaving Date]&lt;42461),IF(Table1[Date of Last Assessment]="",Table1[Drug and Alcohol Misuse],Table1[Drug and Alcohol Misuse2]),"")))</f>
        <v/>
      </c>
      <c r="FP211" s="44" t="str">
        <f>IF(Table1[Leaving Date]="","",IF(Table1[Date of Initial Assessment]="","",IF(AND(Table1[Leaving Date]&gt;42094,Table1[Leaving Date]&lt;42461),IF(Table1[Date of Last Assessment]="",Table1[Physical Health],Table1[Physical Health2]),"")))</f>
        <v/>
      </c>
      <c r="FQ211" s="44" t="str">
        <f>IF(Table1[Leaving Date]="","",IF(Table1[Date of Initial Assessment]="","",IF(AND(Table1[Leaving Date]&gt;42094,Table1[Leaving Date]&lt;42461),IF(Table1[Date of Last Assessment]="",Table1[Emotional and Mental Health],Table1[Emotional and Mental Health2]),"")))</f>
        <v/>
      </c>
      <c r="FR211" s="44" t="str">
        <f>IF(Table1[Leaving Date]="","",IF(Table1[Date of Initial Assessment]="","",IF(AND(Table1[Leaving Date]&gt;42094,Table1[Leaving Date]&lt;42461),IF(Table1[Date of Last Assessment]="",Table1[Meaningful Use of Time],Table1[Meaningful Use of Time2]),"")))</f>
        <v/>
      </c>
      <c r="FS211" s="44" t="str">
        <f>IF(Table1[Leaving Date]="","",IF(Table1[Date of Initial Assessment]="","",IF(AND(Table1[Leaving Date]&gt;42094,Table1[Leaving Date]&lt;42461),IF(Table1[Date of Last Assessment]="",Table1[Managing Tenancy and Accommodation],Table1[Managing Tenancy and Accommodation2]),"")))</f>
        <v/>
      </c>
      <c r="FT211" s="44" t="str">
        <f>IF(Table1[Leaving Date]="","",IF(Table1[Date of Initial Assessment]="","",IF(AND(Table1[Leaving Date]&gt;42094,Table1[Leaving Date]&lt;42461),IF(Table1[Date of Last Assessment]="",Table1[Offending],Table1[Offending2]),"")))</f>
        <v/>
      </c>
      <c r="FU211" s="44" t="str">
        <f>IF(Table1[Date of Initial Assessment]="","",IF(AND(Table1[Start Date]&gt;42460,Table1[Start Date]&lt;42826),Table1[Motivation and Taking Responsibility],""))</f>
        <v/>
      </c>
      <c r="FV211" s="44" t="str">
        <f>IF(Table1[Date of Initial Assessment]="","",IF(AND(Table1[Start Date]&gt;42460,Table1[Start Date]&lt;42826),Table1[Self-Care and Living Skills],""))</f>
        <v/>
      </c>
      <c r="FW211" s="44" t="str">
        <f>IF(Table1[Date of Initial Assessment]="","",IF(AND(Table1[Start Date]&gt;42460,Table1[Start Date]&lt;42826),Table1[Managing Money and Personal Administration],""))</f>
        <v/>
      </c>
      <c r="FX211" s="44" t="str">
        <f>IF(Table1[Date of Initial Assessment]="","",IF(AND(Table1[Start Date]&gt;42460,Table1[Start Date]&lt;42826),Table1[Social Networks and Relationships],""))</f>
        <v/>
      </c>
      <c r="FY211" s="44" t="str">
        <f>IF(Table1[Date of Initial Assessment]="","",IF(AND(Table1[Start Date]&gt;42460,Table1[Start Date]&lt;42826),Table1[Drug and Alcohol Misuse],""))</f>
        <v/>
      </c>
      <c r="FZ211" s="44" t="str">
        <f>IF(Table1[Date of Initial Assessment]="","",IF(AND(Table1[Start Date]&gt;42460,Table1[Start Date]&lt;42826),Table1[Physical Health],""))</f>
        <v/>
      </c>
      <c r="GA211" s="44" t="str">
        <f>IF(Table1[Date of Initial Assessment]="","",IF(AND(Table1[Start Date]&gt;42460,Table1[Start Date]&lt;42826),Table1[Emotional and Mental Health],""))</f>
        <v/>
      </c>
      <c r="GB211" s="44" t="str">
        <f>IF(Table1[Date of Initial Assessment]="","",IF(AND(Table1[Start Date]&gt;42460,Table1[Start Date]&lt;42826),Table1[Meaningful Use of Time],""))</f>
        <v/>
      </c>
      <c r="GC211" s="44" t="str">
        <f>IF(Table1[Date of Initial Assessment]="","",IF(AND(Table1[Start Date]&gt;42460,Table1[Start Date]&lt;42826),Table1[Managing Tenancy and Accommodation],""))</f>
        <v/>
      </c>
      <c r="GD211" s="44" t="str">
        <f>IF(Table1[Date of Initial Assessment]="","",IF(AND(Table1[Start Date]&gt;42460,Table1[Start Date]&lt;42826),Table1[Offending],""))</f>
        <v/>
      </c>
      <c r="GE211" s="44" t="str">
        <f>IF(Table1[Leaving Date]="","",IF(AND(Table1[Leaving Date]&gt;42460,Table1[Leaving Date]&lt;42826),IF(Table1[Date of Last Assessment]="",Table1[Motivation and Taking Responsibility],Table1[Motivation and Taking Responsibility2]),""))</f>
        <v/>
      </c>
      <c r="GF211" s="44" t="str">
        <f>IF(Table1[Leaving Date]="","",IF(AND(Table1[Leaving Date]&gt;42460,Table1[Leaving Date]&lt;42826),IF(Table1[Date of Last Assessment]="",Table1[Self-Care and Living Skills],Table1[Self-Care and Living Skills2]),""))</f>
        <v/>
      </c>
      <c r="GG211" s="44" t="str">
        <f>IF(Table1[Leaving Date]="","",IF(AND(Table1[Leaving Date]&gt;42460,Table1[Leaving Date]&lt;42826),IF(Table1[Date of Last Assessment]="",Table1[Managing Money and Personal Administration],Table1[Managing Money and Personal Administration2]),""))</f>
        <v/>
      </c>
      <c r="GH211" s="44" t="str">
        <f>IF(Table1[Leaving Date]="","",IF(AND(Table1[Leaving Date]&gt;42460,Table1[Leaving Date]&lt;42826),IF(Table1[Date of Last Assessment]="",Table1[Social Networks and Relationships],Table1[Social Networks and Relationships2]),""))</f>
        <v/>
      </c>
      <c r="GI211" s="44" t="str">
        <f>IF(Table1[Leaving Date]="","",IF(AND(Table1[Leaving Date]&gt;42460,Table1[Leaving Date]&lt;42826),IF(Table1[Date of Last Assessment]="",Table1[Drug and Alcohol Misuse],Table1[Drug and Alcohol Misuse2]),""))</f>
        <v/>
      </c>
      <c r="GJ211" s="44" t="str">
        <f>IF(Table1[Leaving Date]="","",IF(AND(Table1[Leaving Date]&gt;42460,Table1[Leaving Date]&lt;42826),IF(Table1[Date of Last Assessment]="",Table1[Physical Health],Table1[Physical Health2]),""))</f>
        <v/>
      </c>
      <c r="GK211" s="44" t="str">
        <f>IF(Table1[Leaving Date]="","",IF(AND(Table1[Leaving Date]&gt;42460,Table1[Leaving Date]&lt;42826),IF(Table1[Date of Last Assessment]="",Table1[Emotional and Mental Health],Table1[Emotional and Mental Health2]),""))</f>
        <v/>
      </c>
      <c r="GL211" s="44" t="str">
        <f>IF(Table1[Leaving Date]="","",IF(AND(Table1[Leaving Date]&gt;42460,Table1[Leaving Date]&lt;42826),IF(Table1[Date of Last Assessment]="",Table1[Meaningful Use of Time],Table1[Meaningful Use of Time2]),""))</f>
        <v/>
      </c>
      <c r="GM211" s="44" t="str">
        <f>IF(Table1[Leaving Date]="","",IF(AND(Table1[Leaving Date]&gt;42460,Table1[Leaving Date]&lt;42826),IF(Table1[Date of Last Assessment]="",Table1[Managing Tenancy and Accommodation],Table1[Managing Tenancy and Accommodation2]),""))</f>
        <v/>
      </c>
      <c r="GN211" s="44" t="str">
        <f>IF(Table1[Leaving Date]="","",IF(AND(Table1[Leaving Date]&gt;42460,Table1[Leaving Date]&lt;42826),IF(Table1[Date of Last Assessment]="",Table1[Offending],Table1[Offending2]),""))</f>
        <v/>
      </c>
    </row>
    <row r="212" spans="2:196" ht="20.100000000000001" customHeight="1" x14ac:dyDescent="0.2">
      <c r="B212" s="86">
        <f>+'Service Data'!$C$5:$C$5</f>
        <v>0</v>
      </c>
      <c r="C212" s="86"/>
      <c r="D212" s="86"/>
      <c r="E212" s="86"/>
      <c r="F212" s="86"/>
      <c r="G212" s="86"/>
      <c r="H212" s="6"/>
      <c r="I212" s="99" t="str">
        <f ca="1">IF(Table1[[#This Row],[Date of Birth]]="","",SUM(TODAY()-Table1[[#This Row],[Date of Birth]])/365)</f>
        <v/>
      </c>
      <c r="L212" s="86"/>
      <c r="M212" s="77"/>
      <c r="N212" s="86"/>
      <c r="O212" s="86"/>
      <c r="P212" s="91"/>
      <c r="Q212" s="86"/>
      <c r="R212" s="77"/>
      <c r="S212" s="77"/>
      <c r="T212" s="68"/>
      <c r="U212" s="68"/>
      <c r="V212" s="67"/>
      <c r="W212" s="67"/>
      <c r="X212" s="67"/>
      <c r="Y212" s="67"/>
      <c r="Z212" s="67"/>
      <c r="AA212" s="67"/>
      <c r="AB212" s="67"/>
      <c r="AC212" s="67"/>
      <c r="AD212" s="67"/>
      <c r="AE212" s="67"/>
      <c r="AF212" s="67"/>
      <c r="AG212" s="67"/>
      <c r="AH212" s="67"/>
      <c r="AI212" s="67"/>
      <c r="AJ212" s="67"/>
      <c r="AK212" s="67"/>
      <c r="AL212" s="67"/>
      <c r="AM212" s="67"/>
      <c r="AN212" s="77"/>
      <c r="AO212" s="76"/>
      <c r="AP212" s="77"/>
      <c r="AQ212" s="76"/>
      <c r="AR212" s="76"/>
      <c r="AS212" s="76"/>
      <c r="AT212" s="76"/>
      <c r="AU212" s="76"/>
      <c r="AV212" s="77"/>
      <c r="AW212" s="76"/>
      <c r="AX212" s="77"/>
      <c r="AY212" s="76"/>
      <c r="AZ212" s="76"/>
      <c r="BA212" s="76"/>
      <c r="BB212" s="76"/>
      <c r="BC212" s="76"/>
      <c r="BD212" s="77"/>
      <c r="BE212" s="76"/>
      <c r="BF212" s="77"/>
      <c r="BG212" s="76"/>
      <c r="BH212" s="76"/>
      <c r="BI212" s="76"/>
      <c r="BJ212" s="76"/>
      <c r="BK212" s="76"/>
      <c r="BL212" s="77"/>
      <c r="BM212" s="76"/>
      <c r="BN212" s="77"/>
      <c r="BO212" s="76"/>
      <c r="BP212" s="76"/>
      <c r="BQ212" s="76"/>
      <c r="BR212" s="76"/>
      <c r="BS212" s="76"/>
      <c r="BT212" s="77"/>
      <c r="BU212" s="76"/>
      <c r="BV212" s="77"/>
      <c r="BW212" s="76"/>
      <c r="BX212" s="76"/>
      <c r="BY212" s="76"/>
      <c r="BZ212" s="76"/>
      <c r="CA212" s="76"/>
      <c r="CB212" s="77"/>
      <c r="CC212" s="76"/>
      <c r="CD212" s="77"/>
      <c r="CE212" s="76"/>
      <c r="CF212" s="76"/>
      <c r="CG212" s="76"/>
      <c r="CH212" s="76"/>
      <c r="CI212" s="76"/>
      <c r="CJ212" s="77"/>
      <c r="CK212" s="76"/>
      <c r="CL212" s="77"/>
      <c r="CM212" s="76"/>
      <c r="CN212" s="76"/>
      <c r="CO212" s="76"/>
      <c r="CP212" s="76"/>
      <c r="CQ212" s="76"/>
      <c r="CR212" s="78" t="str">
        <f t="shared" si="63"/>
        <v/>
      </c>
      <c r="CS212" s="79" t="str">
        <f t="shared" si="64"/>
        <v/>
      </c>
      <c r="CT212" s="79" t="str">
        <f t="shared" si="65"/>
        <v/>
      </c>
      <c r="CU212" s="79" t="str">
        <f t="shared" si="66"/>
        <v/>
      </c>
      <c r="CV212" s="79" t="str">
        <f t="shared" si="67"/>
        <v/>
      </c>
      <c r="CW212" s="79" t="str">
        <f t="shared" si="68"/>
        <v/>
      </c>
      <c r="CX212" s="79" t="str">
        <f t="shared" si="69"/>
        <v/>
      </c>
      <c r="CY212" s="79" t="str">
        <f t="shared" si="70"/>
        <v/>
      </c>
      <c r="CZ212" s="79" t="str">
        <f t="shared" si="71"/>
        <v/>
      </c>
      <c r="DA212" s="79" t="str">
        <f t="shared" si="72"/>
        <v/>
      </c>
      <c r="DB212" s="79" t="str">
        <f t="shared" si="73"/>
        <v/>
      </c>
      <c r="DC212" s="79" t="str">
        <f t="shared" si="74"/>
        <v/>
      </c>
      <c r="DD212" s="79" t="str">
        <f t="shared" si="75"/>
        <v/>
      </c>
      <c r="DE212" s="79" t="str">
        <f t="shared" si="76"/>
        <v/>
      </c>
      <c r="DF212" s="79" t="str">
        <f t="shared" si="77"/>
        <v/>
      </c>
      <c r="DG212" s="79" t="str">
        <f t="shared" si="78"/>
        <v/>
      </c>
      <c r="DH212" s="76"/>
      <c r="DI212" s="78"/>
      <c r="DJ212" s="76"/>
      <c r="DK212" s="77"/>
      <c r="DL212" s="77"/>
      <c r="DM212" s="77"/>
      <c r="DN212" s="80"/>
      <c r="DO212" s="80"/>
      <c r="DP212" s="92" t="str">
        <f>IF(Table1[Start Date]="","",IF(Table1[Start Date]&gt;42185,"",IF(AND(Table1[Leaving Date]&gt;1,Table1[Leaving Date]&lt;42095),"",1)))</f>
        <v/>
      </c>
      <c r="DQ212" s="92" t="str">
        <f>IF(Table1[Start Date]="","",IF(Table1[Start Date]&gt;42277,"",IF(AND(Table1[Leaving Date]&gt;1,Table1[Leaving Date]&lt;42186),"",1)))</f>
        <v/>
      </c>
      <c r="DR212" s="92" t="str">
        <f>IF(Table1[Start Date]="","",IF(Table1[Start Date]&gt;42369,"",IF(AND(Table1[Leaving Date]&gt;1,Table1[Leaving Date]&lt;42278),"",1)))</f>
        <v/>
      </c>
      <c r="DS212" s="92" t="str">
        <f>IF(Table1[Start Date]="","",IF(Table1[Start Date]&gt;42460,"",IF(AND(Table1[Leaving Date]&gt;1,Table1[Leaving Date]&lt;42370),"",1)))</f>
        <v/>
      </c>
      <c r="DT212" s="92" t="str">
        <f>IF(Table1[Start Date]="","",IF(Table1[Start Date]&gt;42551,"",IF(AND(Table1[Leaving Date]&gt;1,Table1[Leaving Date]&lt;42461),"",1)))</f>
        <v/>
      </c>
      <c r="DU212" s="92" t="str">
        <f>IF(Table1[Start Date]="","",IF(Table1[Start Date]&gt;42643,"",IF(AND(Table1[Leaving Date]&gt;1,Table1[Leaving Date]&lt;42552),"",1)))</f>
        <v/>
      </c>
      <c r="DV212" s="92" t="str">
        <f>IF(Table1[Start Date]="","",IF(Table1[Start Date]&gt;42735,"",IF(AND(Table1[Leaving Date]&gt;1,Table1[Leaving Date]&lt;42644),"",1)))</f>
        <v/>
      </c>
      <c r="DW212" s="92" t="str">
        <f>IF(Table1[Start Date]="","",IF(Table1[Start Date]&gt;42825,"",IF(AND(Table1[Leaving Date]&gt;1,Table1[Leaving Date]&lt;42736),"",1)))</f>
        <v/>
      </c>
      <c r="DX212"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212" s="44" t="e">
        <f>VLOOKUP(Table1[Referral Source],Lists!$G$2:$H$20,2,FALSE)</f>
        <v>#N/A</v>
      </c>
      <c r="DZ212" s="93" t="e">
        <f>SUM(Table1[Data Referral Quarter]+Table1[Data Referral Source])</f>
        <v>#N/A</v>
      </c>
      <c r="EA212" s="44" t="b">
        <f>IF(Table1[Referral Decision]="Accepted",100,IF(Table1[Referral Decision]="Rejected by Provider",200,IF(Table1[Referral Decision]="Rejected by Applicant",300)))</f>
        <v>0</v>
      </c>
      <c r="EB212" s="44">
        <f>SUM(Table1[Data Referral Quarter]+Table1[Data Referral Decision])</f>
        <v>0</v>
      </c>
      <c r="EC212" s="44" t="b">
        <f>IF(Table1[Start Date]&gt;42735,8000,IF(Table1[Start Date]&gt;42643,7000,IF(Table1[Start Date]&gt;42551,6000,IF(Table1[Start Date]&gt;42460,5000,IF(Table1[Start Date]&gt;42369,4000,IF(Table1[Start Date]&gt;42277,3000,IF(Table1[Start Date]&gt;42185,2000,IF(Table1[Start Date]&gt;42094,1000))))))))</f>
        <v>0</v>
      </c>
      <c r="ED212" s="44" t="str">
        <f>IF(Table1[Start Date]="","",IF(Table1[Current Local Authority]="Swindon",1,"2"))</f>
        <v/>
      </c>
      <c r="EE212" s="44" t="e">
        <f>SUM(Table1[Data Start Date]+Table1[Data Local Authority])</f>
        <v>#VALUE!</v>
      </c>
      <c r="EF212" s="44">
        <f>IF(Table1[Registered with GP]="Yes",1,0)</f>
        <v>0</v>
      </c>
      <c r="EG212" s="44">
        <f>SUM(Table1[Data Start Date]+Table1[Data GP Start])</f>
        <v>0</v>
      </c>
      <c r="EH212" s="44" t="str">
        <f>IF(Table1[EET]="NEET",1,IF(Table1[EET]="Education",2,IF(Table1[EET]="Employment",2,IF(Table1[EET]="Training",2,IF(Table1[EET]="Retired",3,"")))))</f>
        <v/>
      </c>
      <c r="EI212" s="44" t="e">
        <f>Table1[Data Start Date]+Table1[Data EET Start]</f>
        <v>#VALUE!</v>
      </c>
      <c r="EJ212" s="44" t="b">
        <f>IF(Table1[Leaving Date]&gt;42735,8000,IF(Table1[Leaving Date]&gt;42643,7000,IF(Table1[Leaving Date]&gt;42551,6000,IF(Table1[Leaving Date]&gt;42460,5000,IF(Table1[Leaving Date]&gt;42369,4000,IF(Table1[Leaving Date]&gt;42277,3000,IF(Table1[Leaving Date]&gt;42185,2000,IF(Table1[Leaving Date]&gt;42094,1000))))))))</f>
        <v>0</v>
      </c>
      <c r="EK212" s="44" t="e">
        <f>VLOOKUP(Table1[Reason for Leaving],Lists!$T$2:$U$15,2,FALSE)</f>
        <v>#N/A</v>
      </c>
      <c r="EL212" s="44" t="e">
        <f>SUM(Table1[Data Leavers Date]+Table1[Data Move On])</f>
        <v>#N/A</v>
      </c>
      <c r="EM212" s="44" t="b">
        <f>IF(Table1[Registered with GP2]="Yes",1,IF(Table1[Registered with GP2]="No",0,IF(Table1[Registered with GP]="Yes",1,IF(Table1[Registered with GP]="No",0))))</f>
        <v>0</v>
      </c>
      <c r="EN212" s="44">
        <f>SUM(Table1[Data Leavers Date]+Table1[Data GP End])</f>
        <v>0</v>
      </c>
      <c r="EO212" s="44" t="str">
        <f>IF(Table1[EET2]="NEET",1,IF(Table1[EET2]="Employment",2,IF(Table1[EET2]="Education",2,IF(Table1[EET2]="Training",2,IF(Table1[EET2]="Retired",3,IF(Table1[EET]="NEET",1,IF(Table1[EET]="Employment",2,IF(Table1[EET]="Education",2,IF(Table1[EET]="Training",2,IF(Table1[EET]="Retired",3,""))))))))))</f>
        <v/>
      </c>
      <c r="EP212" s="44" t="e">
        <f>+Table1[[#This Row],[Data Leavers Date]]+Table1[[#This Row],[Data EET End]]</f>
        <v>#VALUE!</v>
      </c>
      <c r="EQ212" s="44">
        <f>IF(Table1[Exit Form Received]="Yes",1,0)</f>
        <v>0</v>
      </c>
      <c r="ER212" s="44">
        <f>+Table1[[#This Row],[Data Leavers Date]]+Table1[[#This Row],[Data Exit Forms]]</f>
        <v>0</v>
      </c>
      <c r="ES212" s="44" t="str">
        <f>IF(Table1[Data Leavers Date]=1000,SUM(Table1[Leaving Date]-Table1[Start Date]),"")</f>
        <v/>
      </c>
      <c r="ET212" s="44" t="str">
        <f>IF(Table1[Data Leavers Date]=2000,SUM(Table1[Leaving Date]-Table1[Start Date]),"")</f>
        <v/>
      </c>
      <c r="EU212" s="44" t="str">
        <f>IF(Table1[Data Leavers Date]=3000,SUM(Table1[Leaving Date]-Table1[Start Date]),"")</f>
        <v/>
      </c>
      <c r="EV212" s="44" t="str">
        <f>IF(Table1[Data Leavers Date]=4000,SUM(Table1[Leaving Date]-Table1[Start Date]),"")</f>
        <v/>
      </c>
      <c r="EW212" s="44" t="str">
        <f>IF(Table1[Data Leavers Date]=5000,SUM(Table1[Leaving Date]-Table1[Start Date]),"")</f>
        <v/>
      </c>
      <c r="EX212" s="44" t="str">
        <f>IF(Table1[Data Leavers Date]=6000,SUM(Table1[Leaving Date]-Table1[Start Date]),"")</f>
        <v/>
      </c>
      <c r="EY212" s="44" t="str">
        <f>IF(Table1[Data Leavers Date]=7000,SUM(Table1[Leaving Date]-Table1[Start Date]),"")</f>
        <v/>
      </c>
      <c r="EZ212" s="44" t="str">
        <f>IF(Table1[Data Leavers Date]=8000,SUM(Table1[Leaving Date]-Table1[Start Date]),"")</f>
        <v/>
      </c>
      <c r="FA212" s="44" t="str">
        <f>IF(Table1[Date of Initial Assessment]="","",IF(AND(Table1[Start Date]&gt;42094,Table1[Start Date]&lt;42461),Table1[Motivation and Taking Responsibility],""))</f>
        <v/>
      </c>
      <c r="FB212" s="44" t="str">
        <f>IF(Table1[Date of Initial Assessment]="","",IF(AND(Table1[Start Date]&gt;42094,Table1[Start Date]&lt;42461),Table1[Self-Care and Living Skills],""))</f>
        <v/>
      </c>
      <c r="FC212" s="44" t="str">
        <f>IF(Table1[Date of Initial Assessment]="","",IF(AND(Table1[Start Date]&gt;42094,Table1[Start Date]&lt;42461),Table1[Managing Money and Personal Administration],""))</f>
        <v/>
      </c>
      <c r="FD212" s="44" t="str">
        <f>IF(Table1[Date of Initial Assessment]="","",IF(AND(Table1[Start Date]&gt;42094,Table1[Start Date]&lt;42461),Table1[Social Networks and Relationships],""))</f>
        <v/>
      </c>
      <c r="FE212" s="44" t="str">
        <f>IF(Table1[Date of Initial Assessment]="","",IF(AND(Table1[Start Date]&gt;42094,Table1[Start Date]&lt;42461),Table1[Drug and Alcohol Misuse],""))</f>
        <v/>
      </c>
      <c r="FF212" s="44" t="str">
        <f>IF(Table1[Date of Initial Assessment]="","",IF(AND(Table1[Start Date]&gt;42094,Table1[Start Date]&lt;42461),Table1[Physical Health],""))</f>
        <v/>
      </c>
      <c r="FG212" s="44" t="str">
        <f>IF(Table1[Date of Initial Assessment]="","",IF(AND(Table1[Start Date]&gt;42094,Table1[Start Date]&lt;42461),Table1[Emotional and Mental Health],""))</f>
        <v/>
      </c>
      <c r="FH212" s="44" t="str">
        <f>IF(Table1[Date of Initial Assessment]="","",IF(AND(Table1[Start Date]&gt;42094,Table1[Start Date]&lt;42461),Table1[Meaningful Use of Time],""))</f>
        <v/>
      </c>
      <c r="FI212" s="44" t="str">
        <f>IF(Table1[Date of Initial Assessment]="","",IF(AND(Table1[Start Date]&gt;42094,Table1[Start Date]&lt;42461),Table1[Managing Tenancy and Accommodation],""))</f>
        <v/>
      </c>
      <c r="FJ212" s="44" t="str">
        <f>IF(Table1[Date of Initial Assessment]="","",IF(AND(Table1[Start Date]&gt;42094,Table1[Start Date]&lt;42461),Table1[Offending],""))</f>
        <v/>
      </c>
      <c r="FK212" s="44" t="str">
        <f>IF(Table1[Leaving Date]="","",IF(Table1[Date of Initial Assessment]="","",IF(AND(Table1[Leaving Date]&gt;42094,Table1[Leaving Date]&lt;42461),IF(Table1[Date of Last Assessment]="",Table1[Motivation and Taking Responsibility],Table1[Motivation and Taking Responsibility2]),"")))</f>
        <v/>
      </c>
      <c r="FL212" s="44" t="str">
        <f>IF(Table1[Leaving Date]="","",IF(Table1[Date of Initial Assessment]="","",IF(AND(Table1[Leaving Date]&gt;42094,Table1[Leaving Date]&lt;42461),IF(Table1[Date of Last Assessment]="",Table1[Self-Care and Living Skills],Table1[Self-Care and Living Skills2]),"")))</f>
        <v/>
      </c>
      <c r="FM212" s="44" t="str">
        <f>IF(Table1[Leaving Date]="","",IF(Table1[Date of Initial Assessment]="","",IF(AND(Table1[Leaving Date]&gt;42094,Table1[Leaving Date]&lt;42461),IF(Table1[Date of Last Assessment]="",Table1[Managing Money and Personal Administration],Table1[Managing Money and Personal Administration2]),"")))</f>
        <v/>
      </c>
      <c r="FN212" s="44" t="str">
        <f>IF(Table1[Leaving Date]="","",IF(Table1[Date of Initial Assessment]="","",IF(AND(Table1[Leaving Date]&gt;42094,Table1[Leaving Date]&lt;42461),IF(Table1[Date of Last Assessment]="",Table1[Social Networks and Relationships],Table1[Social Networks and Relationships2]),"")))</f>
        <v/>
      </c>
      <c r="FO212" s="44" t="str">
        <f>IF(Table1[Leaving Date]="","",IF(Table1[Date of Initial Assessment]="","",IF(AND(Table1[Leaving Date]&gt;42094,Table1[Leaving Date]&lt;42461),IF(Table1[Date of Last Assessment]="",Table1[Drug and Alcohol Misuse],Table1[Drug and Alcohol Misuse2]),"")))</f>
        <v/>
      </c>
      <c r="FP212" s="44" t="str">
        <f>IF(Table1[Leaving Date]="","",IF(Table1[Date of Initial Assessment]="","",IF(AND(Table1[Leaving Date]&gt;42094,Table1[Leaving Date]&lt;42461),IF(Table1[Date of Last Assessment]="",Table1[Physical Health],Table1[Physical Health2]),"")))</f>
        <v/>
      </c>
      <c r="FQ212" s="44" t="str">
        <f>IF(Table1[Leaving Date]="","",IF(Table1[Date of Initial Assessment]="","",IF(AND(Table1[Leaving Date]&gt;42094,Table1[Leaving Date]&lt;42461),IF(Table1[Date of Last Assessment]="",Table1[Emotional and Mental Health],Table1[Emotional and Mental Health2]),"")))</f>
        <v/>
      </c>
      <c r="FR212" s="44" t="str">
        <f>IF(Table1[Leaving Date]="","",IF(Table1[Date of Initial Assessment]="","",IF(AND(Table1[Leaving Date]&gt;42094,Table1[Leaving Date]&lt;42461),IF(Table1[Date of Last Assessment]="",Table1[Meaningful Use of Time],Table1[Meaningful Use of Time2]),"")))</f>
        <v/>
      </c>
      <c r="FS212" s="44" t="str">
        <f>IF(Table1[Leaving Date]="","",IF(Table1[Date of Initial Assessment]="","",IF(AND(Table1[Leaving Date]&gt;42094,Table1[Leaving Date]&lt;42461),IF(Table1[Date of Last Assessment]="",Table1[Managing Tenancy and Accommodation],Table1[Managing Tenancy and Accommodation2]),"")))</f>
        <v/>
      </c>
      <c r="FT212" s="44" t="str">
        <f>IF(Table1[Leaving Date]="","",IF(Table1[Date of Initial Assessment]="","",IF(AND(Table1[Leaving Date]&gt;42094,Table1[Leaving Date]&lt;42461),IF(Table1[Date of Last Assessment]="",Table1[Offending],Table1[Offending2]),"")))</f>
        <v/>
      </c>
      <c r="FU212" s="44" t="str">
        <f>IF(Table1[Date of Initial Assessment]="","",IF(AND(Table1[Start Date]&gt;42460,Table1[Start Date]&lt;42826),Table1[Motivation and Taking Responsibility],""))</f>
        <v/>
      </c>
      <c r="FV212" s="44" t="str">
        <f>IF(Table1[Date of Initial Assessment]="","",IF(AND(Table1[Start Date]&gt;42460,Table1[Start Date]&lt;42826),Table1[Self-Care and Living Skills],""))</f>
        <v/>
      </c>
      <c r="FW212" s="44" t="str">
        <f>IF(Table1[Date of Initial Assessment]="","",IF(AND(Table1[Start Date]&gt;42460,Table1[Start Date]&lt;42826),Table1[Managing Money and Personal Administration],""))</f>
        <v/>
      </c>
      <c r="FX212" s="44" t="str">
        <f>IF(Table1[Date of Initial Assessment]="","",IF(AND(Table1[Start Date]&gt;42460,Table1[Start Date]&lt;42826),Table1[Social Networks and Relationships],""))</f>
        <v/>
      </c>
      <c r="FY212" s="44" t="str">
        <f>IF(Table1[Date of Initial Assessment]="","",IF(AND(Table1[Start Date]&gt;42460,Table1[Start Date]&lt;42826),Table1[Drug and Alcohol Misuse],""))</f>
        <v/>
      </c>
      <c r="FZ212" s="44" t="str">
        <f>IF(Table1[Date of Initial Assessment]="","",IF(AND(Table1[Start Date]&gt;42460,Table1[Start Date]&lt;42826),Table1[Physical Health],""))</f>
        <v/>
      </c>
      <c r="GA212" s="44" t="str">
        <f>IF(Table1[Date of Initial Assessment]="","",IF(AND(Table1[Start Date]&gt;42460,Table1[Start Date]&lt;42826),Table1[Emotional and Mental Health],""))</f>
        <v/>
      </c>
      <c r="GB212" s="44" t="str">
        <f>IF(Table1[Date of Initial Assessment]="","",IF(AND(Table1[Start Date]&gt;42460,Table1[Start Date]&lt;42826),Table1[Meaningful Use of Time],""))</f>
        <v/>
      </c>
      <c r="GC212" s="44" t="str">
        <f>IF(Table1[Date of Initial Assessment]="","",IF(AND(Table1[Start Date]&gt;42460,Table1[Start Date]&lt;42826),Table1[Managing Tenancy and Accommodation],""))</f>
        <v/>
      </c>
      <c r="GD212" s="44" t="str">
        <f>IF(Table1[Date of Initial Assessment]="","",IF(AND(Table1[Start Date]&gt;42460,Table1[Start Date]&lt;42826),Table1[Offending],""))</f>
        <v/>
      </c>
      <c r="GE212" s="44" t="str">
        <f>IF(Table1[Leaving Date]="","",IF(AND(Table1[Leaving Date]&gt;42460,Table1[Leaving Date]&lt;42826),IF(Table1[Date of Last Assessment]="",Table1[Motivation and Taking Responsibility],Table1[Motivation and Taking Responsibility2]),""))</f>
        <v/>
      </c>
      <c r="GF212" s="44" t="str">
        <f>IF(Table1[Leaving Date]="","",IF(AND(Table1[Leaving Date]&gt;42460,Table1[Leaving Date]&lt;42826),IF(Table1[Date of Last Assessment]="",Table1[Self-Care and Living Skills],Table1[Self-Care and Living Skills2]),""))</f>
        <v/>
      </c>
      <c r="GG212" s="44" t="str">
        <f>IF(Table1[Leaving Date]="","",IF(AND(Table1[Leaving Date]&gt;42460,Table1[Leaving Date]&lt;42826),IF(Table1[Date of Last Assessment]="",Table1[Managing Money and Personal Administration],Table1[Managing Money and Personal Administration2]),""))</f>
        <v/>
      </c>
      <c r="GH212" s="44" t="str">
        <f>IF(Table1[Leaving Date]="","",IF(AND(Table1[Leaving Date]&gt;42460,Table1[Leaving Date]&lt;42826),IF(Table1[Date of Last Assessment]="",Table1[Social Networks and Relationships],Table1[Social Networks and Relationships2]),""))</f>
        <v/>
      </c>
      <c r="GI212" s="44" t="str">
        <f>IF(Table1[Leaving Date]="","",IF(AND(Table1[Leaving Date]&gt;42460,Table1[Leaving Date]&lt;42826),IF(Table1[Date of Last Assessment]="",Table1[Drug and Alcohol Misuse],Table1[Drug and Alcohol Misuse2]),""))</f>
        <v/>
      </c>
      <c r="GJ212" s="44" t="str">
        <f>IF(Table1[Leaving Date]="","",IF(AND(Table1[Leaving Date]&gt;42460,Table1[Leaving Date]&lt;42826),IF(Table1[Date of Last Assessment]="",Table1[Physical Health],Table1[Physical Health2]),""))</f>
        <v/>
      </c>
      <c r="GK212" s="44" t="str">
        <f>IF(Table1[Leaving Date]="","",IF(AND(Table1[Leaving Date]&gt;42460,Table1[Leaving Date]&lt;42826),IF(Table1[Date of Last Assessment]="",Table1[Emotional and Mental Health],Table1[Emotional and Mental Health2]),""))</f>
        <v/>
      </c>
      <c r="GL212" s="44" t="str">
        <f>IF(Table1[Leaving Date]="","",IF(AND(Table1[Leaving Date]&gt;42460,Table1[Leaving Date]&lt;42826),IF(Table1[Date of Last Assessment]="",Table1[Meaningful Use of Time],Table1[Meaningful Use of Time2]),""))</f>
        <v/>
      </c>
      <c r="GM212" s="44" t="str">
        <f>IF(Table1[Leaving Date]="","",IF(AND(Table1[Leaving Date]&gt;42460,Table1[Leaving Date]&lt;42826),IF(Table1[Date of Last Assessment]="",Table1[Managing Tenancy and Accommodation],Table1[Managing Tenancy and Accommodation2]),""))</f>
        <v/>
      </c>
      <c r="GN212" s="44" t="str">
        <f>IF(Table1[Leaving Date]="","",IF(AND(Table1[Leaving Date]&gt;42460,Table1[Leaving Date]&lt;42826),IF(Table1[Date of Last Assessment]="",Table1[Offending],Table1[Offending2]),""))</f>
        <v/>
      </c>
    </row>
    <row r="213" spans="2:196" ht="20.100000000000001" customHeight="1" x14ac:dyDescent="0.2">
      <c r="B213" s="86">
        <f>+'Service Data'!$C$5:$C$5</f>
        <v>0</v>
      </c>
      <c r="C213" s="86"/>
      <c r="D213" s="86"/>
      <c r="E213" s="86"/>
      <c r="F213" s="86"/>
      <c r="G213" s="86"/>
      <c r="H213" s="6"/>
      <c r="I213" s="99" t="str">
        <f ca="1">IF(Table1[[#This Row],[Date of Birth]]="","",SUM(TODAY()-Table1[[#This Row],[Date of Birth]])/365)</f>
        <v/>
      </c>
      <c r="L213" s="86"/>
      <c r="M213" s="77"/>
      <c r="N213" s="86"/>
      <c r="O213" s="86"/>
      <c r="P213" s="91"/>
      <c r="Q213" s="86"/>
      <c r="R213" s="77"/>
      <c r="S213" s="77"/>
      <c r="T213" s="68"/>
      <c r="U213" s="68"/>
      <c r="V213" s="67"/>
      <c r="W213" s="67"/>
      <c r="X213" s="67"/>
      <c r="Y213" s="67"/>
      <c r="Z213" s="67"/>
      <c r="AA213" s="67"/>
      <c r="AB213" s="67"/>
      <c r="AC213" s="67"/>
      <c r="AD213" s="67"/>
      <c r="AE213" s="67"/>
      <c r="AF213" s="67"/>
      <c r="AG213" s="67"/>
      <c r="AH213" s="67"/>
      <c r="AI213" s="67"/>
      <c r="AJ213" s="67"/>
      <c r="AK213" s="67"/>
      <c r="AL213" s="67"/>
      <c r="AM213" s="67"/>
      <c r="AN213" s="77"/>
      <c r="AO213" s="76"/>
      <c r="AP213" s="77"/>
      <c r="AQ213" s="76"/>
      <c r="AR213" s="76"/>
      <c r="AS213" s="76"/>
      <c r="AT213" s="76"/>
      <c r="AU213" s="76"/>
      <c r="AV213" s="77"/>
      <c r="AW213" s="76"/>
      <c r="AX213" s="77"/>
      <c r="AY213" s="76"/>
      <c r="AZ213" s="76"/>
      <c r="BA213" s="76"/>
      <c r="BB213" s="76"/>
      <c r="BC213" s="76"/>
      <c r="BD213" s="77"/>
      <c r="BE213" s="76"/>
      <c r="BF213" s="77"/>
      <c r="BG213" s="76"/>
      <c r="BH213" s="76"/>
      <c r="BI213" s="76"/>
      <c r="BJ213" s="76"/>
      <c r="BK213" s="76"/>
      <c r="BL213" s="77"/>
      <c r="BM213" s="76"/>
      <c r="BN213" s="77"/>
      <c r="BO213" s="76"/>
      <c r="BP213" s="76"/>
      <c r="BQ213" s="76"/>
      <c r="BR213" s="76"/>
      <c r="BS213" s="76"/>
      <c r="BT213" s="77"/>
      <c r="BU213" s="76"/>
      <c r="BV213" s="77"/>
      <c r="BW213" s="76"/>
      <c r="BX213" s="76"/>
      <c r="BY213" s="76"/>
      <c r="BZ213" s="76"/>
      <c r="CA213" s="76"/>
      <c r="CB213" s="77"/>
      <c r="CC213" s="76"/>
      <c r="CD213" s="77"/>
      <c r="CE213" s="76"/>
      <c r="CF213" s="76"/>
      <c r="CG213" s="76"/>
      <c r="CH213" s="76"/>
      <c r="CI213" s="76"/>
      <c r="CJ213" s="77"/>
      <c r="CK213" s="76"/>
      <c r="CL213" s="77"/>
      <c r="CM213" s="76"/>
      <c r="CN213" s="76"/>
      <c r="CO213" s="76"/>
      <c r="CP213" s="76"/>
      <c r="CQ213" s="76"/>
      <c r="CR213" s="78" t="str">
        <f t="shared" si="63"/>
        <v/>
      </c>
      <c r="CS213" s="79" t="str">
        <f t="shared" si="64"/>
        <v/>
      </c>
      <c r="CT213" s="79" t="str">
        <f t="shared" si="65"/>
        <v/>
      </c>
      <c r="CU213" s="79" t="str">
        <f t="shared" si="66"/>
        <v/>
      </c>
      <c r="CV213" s="79" t="str">
        <f t="shared" si="67"/>
        <v/>
      </c>
      <c r="CW213" s="79" t="str">
        <f t="shared" si="68"/>
        <v/>
      </c>
      <c r="CX213" s="79" t="str">
        <f t="shared" si="69"/>
        <v/>
      </c>
      <c r="CY213" s="79" t="str">
        <f t="shared" si="70"/>
        <v/>
      </c>
      <c r="CZ213" s="79" t="str">
        <f t="shared" si="71"/>
        <v/>
      </c>
      <c r="DA213" s="79" t="str">
        <f t="shared" si="72"/>
        <v/>
      </c>
      <c r="DB213" s="79" t="str">
        <f t="shared" si="73"/>
        <v/>
      </c>
      <c r="DC213" s="79" t="str">
        <f t="shared" si="74"/>
        <v/>
      </c>
      <c r="DD213" s="79" t="str">
        <f t="shared" si="75"/>
        <v/>
      </c>
      <c r="DE213" s="79" t="str">
        <f t="shared" si="76"/>
        <v/>
      </c>
      <c r="DF213" s="79" t="str">
        <f t="shared" si="77"/>
        <v/>
      </c>
      <c r="DG213" s="79" t="str">
        <f t="shared" si="78"/>
        <v/>
      </c>
      <c r="DH213" s="76"/>
      <c r="DI213" s="78"/>
      <c r="DJ213" s="76"/>
      <c r="DK213" s="77"/>
      <c r="DL213" s="77"/>
      <c r="DM213" s="77"/>
      <c r="DN213" s="80"/>
      <c r="DO213" s="80"/>
      <c r="DP213" s="92" t="str">
        <f>IF(Table1[Start Date]="","",IF(Table1[Start Date]&gt;42185,"",IF(AND(Table1[Leaving Date]&gt;1,Table1[Leaving Date]&lt;42095),"",1)))</f>
        <v/>
      </c>
      <c r="DQ213" s="92" t="str">
        <f>IF(Table1[Start Date]="","",IF(Table1[Start Date]&gt;42277,"",IF(AND(Table1[Leaving Date]&gt;1,Table1[Leaving Date]&lt;42186),"",1)))</f>
        <v/>
      </c>
      <c r="DR213" s="92" t="str">
        <f>IF(Table1[Start Date]="","",IF(Table1[Start Date]&gt;42369,"",IF(AND(Table1[Leaving Date]&gt;1,Table1[Leaving Date]&lt;42278),"",1)))</f>
        <v/>
      </c>
      <c r="DS213" s="92" t="str">
        <f>IF(Table1[Start Date]="","",IF(Table1[Start Date]&gt;42460,"",IF(AND(Table1[Leaving Date]&gt;1,Table1[Leaving Date]&lt;42370),"",1)))</f>
        <v/>
      </c>
      <c r="DT213" s="92" t="str">
        <f>IF(Table1[Start Date]="","",IF(Table1[Start Date]&gt;42551,"",IF(AND(Table1[Leaving Date]&gt;1,Table1[Leaving Date]&lt;42461),"",1)))</f>
        <v/>
      </c>
      <c r="DU213" s="92" t="str">
        <f>IF(Table1[Start Date]="","",IF(Table1[Start Date]&gt;42643,"",IF(AND(Table1[Leaving Date]&gt;1,Table1[Leaving Date]&lt;42552),"",1)))</f>
        <v/>
      </c>
      <c r="DV213" s="92" t="str">
        <f>IF(Table1[Start Date]="","",IF(Table1[Start Date]&gt;42735,"",IF(AND(Table1[Leaving Date]&gt;1,Table1[Leaving Date]&lt;42644),"",1)))</f>
        <v/>
      </c>
      <c r="DW213" s="92" t="str">
        <f>IF(Table1[Start Date]="","",IF(Table1[Start Date]&gt;42825,"",IF(AND(Table1[Leaving Date]&gt;1,Table1[Leaving Date]&lt;42736),"",1)))</f>
        <v/>
      </c>
      <c r="DX213"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213" s="44" t="e">
        <f>VLOOKUP(Table1[Referral Source],Lists!$G$2:$H$20,2,FALSE)</f>
        <v>#N/A</v>
      </c>
      <c r="DZ213" s="93" t="e">
        <f>SUM(Table1[Data Referral Quarter]+Table1[Data Referral Source])</f>
        <v>#N/A</v>
      </c>
      <c r="EA213" s="44" t="b">
        <f>IF(Table1[Referral Decision]="Accepted",100,IF(Table1[Referral Decision]="Rejected by Provider",200,IF(Table1[Referral Decision]="Rejected by Applicant",300)))</f>
        <v>0</v>
      </c>
      <c r="EB213" s="44">
        <f>SUM(Table1[Data Referral Quarter]+Table1[Data Referral Decision])</f>
        <v>0</v>
      </c>
      <c r="EC213" s="44" t="b">
        <f>IF(Table1[Start Date]&gt;42735,8000,IF(Table1[Start Date]&gt;42643,7000,IF(Table1[Start Date]&gt;42551,6000,IF(Table1[Start Date]&gt;42460,5000,IF(Table1[Start Date]&gt;42369,4000,IF(Table1[Start Date]&gt;42277,3000,IF(Table1[Start Date]&gt;42185,2000,IF(Table1[Start Date]&gt;42094,1000))))))))</f>
        <v>0</v>
      </c>
      <c r="ED213" s="44" t="str">
        <f>IF(Table1[Start Date]="","",IF(Table1[Current Local Authority]="Swindon",1,"2"))</f>
        <v/>
      </c>
      <c r="EE213" s="44" t="e">
        <f>SUM(Table1[Data Start Date]+Table1[Data Local Authority])</f>
        <v>#VALUE!</v>
      </c>
      <c r="EF213" s="44">
        <f>IF(Table1[Registered with GP]="Yes",1,0)</f>
        <v>0</v>
      </c>
      <c r="EG213" s="44">
        <f>SUM(Table1[Data Start Date]+Table1[Data GP Start])</f>
        <v>0</v>
      </c>
      <c r="EH213" s="44" t="str">
        <f>IF(Table1[EET]="NEET",1,IF(Table1[EET]="Education",2,IF(Table1[EET]="Employment",2,IF(Table1[EET]="Training",2,IF(Table1[EET]="Retired",3,"")))))</f>
        <v/>
      </c>
      <c r="EI213" s="44" t="e">
        <f>Table1[Data Start Date]+Table1[Data EET Start]</f>
        <v>#VALUE!</v>
      </c>
      <c r="EJ213" s="44" t="b">
        <f>IF(Table1[Leaving Date]&gt;42735,8000,IF(Table1[Leaving Date]&gt;42643,7000,IF(Table1[Leaving Date]&gt;42551,6000,IF(Table1[Leaving Date]&gt;42460,5000,IF(Table1[Leaving Date]&gt;42369,4000,IF(Table1[Leaving Date]&gt;42277,3000,IF(Table1[Leaving Date]&gt;42185,2000,IF(Table1[Leaving Date]&gt;42094,1000))))))))</f>
        <v>0</v>
      </c>
      <c r="EK213" s="44" t="e">
        <f>VLOOKUP(Table1[Reason for Leaving],Lists!$T$2:$U$15,2,FALSE)</f>
        <v>#N/A</v>
      </c>
      <c r="EL213" s="44" t="e">
        <f>SUM(Table1[Data Leavers Date]+Table1[Data Move On])</f>
        <v>#N/A</v>
      </c>
      <c r="EM213" s="44" t="b">
        <f>IF(Table1[Registered with GP2]="Yes",1,IF(Table1[Registered with GP2]="No",0,IF(Table1[Registered with GP]="Yes",1,IF(Table1[Registered with GP]="No",0))))</f>
        <v>0</v>
      </c>
      <c r="EN213" s="44">
        <f>SUM(Table1[Data Leavers Date]+Table1[Data GP End])</f>
        <v>0</v>
      </c>
      <c r="EO213" s="44" t="str">
        <f>IF(Table1[EET2]="NEET",1,IF(Table1[EET2]="Employment",2,IF(Table1[EET2]="Education",2,IF(Table1[EET2]="Training",2,IF(Table1[EET2]="Retired",3,IF(Table1[EET]="NEET",1,IF(Table1[EET]="Employment",2,IF(Table1[EET]="Education",2,IF(Table1[EET]="Training",2,IF(Table1[EET]="Retired",3,""))))))))))</f>
        <v/>
      </c>
      <c r="EP213" s="44" t="e">
        <f>+Table1[[#This Row],[Data Leavers Date]]+Table1[[#This Row],[Data EET End]]</f>
        <v>#VALUE!</v>
      </c>
      <c r="EQ213" s="44">
        <f>IF(Table1[Exit Form Received]="Yes",1,0)</f>
        <v>0</v>
      </c>
      <c r="ER213" s="44">
        <f>+Table1[[#This Row],[Data Leavers Date]]+Table1[[#This Row],[Data Exit Forms]]</f>
        <v>0</v>
      </c>
      <c r="ES213" s="44" t="str">
        <f>IF(Table1[Data Leavers Date]=1000,SUM(Table1[Leaving Date]-Table1[Start Date]),"")</f>
        <v/>
      </c>
      <c r="ET213" s="44" t="str">
        <f>IF(Table1[Data Leavers Date]=2000,SUM(Table1[Leaving Date]-Table1[Start Date]),"")</f>
        <v/>
      </c>
      <c r="EU213" s="44" t="str">
        <f>IF(Table1[Data Leavers Date]=3000,SUM(Table1[Leaving Date]-Table1[Start Date]),"")</f>
        <v/>
      </c>
      <c r="EV213" s="44" t="str">
        <f>IF(Table1[Data Leavers Date]=4000,SUM(Table1[Leaving Date]-Table1[Start Date]),"")</f>
        <v/>
      </c>
      <c r="EW213" s="44" t="str">
        <f>IF(Table1[Data Leavers Date]=5000,SUM(Table1[Leaving Date]-Table1[Start Date]),"")</f>
        <v/>
      </c>
      <c r="EX213" s="44" t="str">
        <f>IF(Table1[Data Leavers Date]=6000,SUM(Table1[Leaving Date]-Table1[Start Date]),"")</f>
        <v/>
      </c>
      <c r="EY213" s="44" t="str">
        <f>IF(Table1[Data Leavers Date]=7000,SUM(Table1[Leaving Date]-Table1[Start Date]),"")</f>
        <v/>
      </c>
      <c r="EZ213" s="44" t="str">
        <f>IF(Table1[Data Leavers Date]=8000,SUM(Table1[Leaving Date]-Table1[Start Date]),"")</f>
        <v/>
      </c>
      <c r="FA213" s="44" t="str">
        <f>IF(Table1[Date of Initial Assessment]="","",IF(AND(Table1[Start Date]&gt;42094,Table1[Start Date]&lt;42461),Table1[Motivation and Taking Responsibility],""))</f>
        <v/>
      </c>
      <c r="FB213" s="44" t="str">
        <f>IF(Table1[Date of Initial Assessment]="","",IF(AND(Table1[Start Date]&gt;42094,Table1[Start Date]&lt;42461),Table1[Self-Care and Living Skills],""))</f>
        <v/>
      </c>
      <c r="FC213" s="44" t="str">
        <f>IF(Table1[Date of Initial Assessment]="","",IF(AND(Table1[Start Date]&gt;42094,Table1[Start Date]&lt;42461),Table1[Managing Money and Personal Administration],""))</f>
        <v/>
      </c>
      <c r="FD213" s="44" t="str">
        <f>IF(Table1[Date of Initial Assessment]="","",IF(AND(Table1[Start Date]&gt;42094,Table1[Start Date]&lt;42461),Table1[Social Networks and Relationships],""))</f>
        <v/>
      </c>
      <c r="FE213" s="44" t="str">
        <f>IF(Table1[Date of Initial Assessment]="","",IF(AND(Table1[Start Date]&gt;42094,Table1[Start Date]&lt;42461),Table1[Drug and Alcohol Misuse],""))</f>
        <v/>
      </c>
      <c r="FF213" s="44" t="str">
        <f>IF(Table1[Date of Initial Assessment]="","",IF(AND(Table1[Start Date]&gt;42094,Table1[Start Date]&lt;42461),Table1[Physical Health],""))</f>
        <v/>
      </c>
      <c r="FG213" s="44" t="str">
        <f>IF(Table1[Date of Initial Assessment]="","",IF(AND(Table1[Start Date]&gt;42094,Table1[Start Date]&lt;42461),Table1[Emotional and Mental Health],""))</f>
        <v/>
      </c>
      <c r="FH213" s="44" t="str">
        <f>IF(Table1[Date of Initial Assessment]="","",IF(AND(Table1[Start Date]&gt;42094,Table1[Start Date]&lt;42461),Table1[Meaningful Use of Time],""))</f>
        <v/>
      </c>
      <c r="FI213" s="44" t="str">
        <f>IF(Table1[Date of Initial Assessment]="","",IF(AND(Table1[Start Date]&gt;42094,Table1[Start Date]&lt;42461),Table1[Managing Tenancy and Accommodation],""))</f>
        <v/>
      </c>
      <c r="FJ213" s="44" t="str">
        <f>IF(Table1[Date of Initial Assessment]="","",IF(AND(Table1[Start Date]&gt;42094,Table1[Start Date]&lt;42461),Table1[Offending],""))</f>
        <v/>
      </c>
      <c r="FK213" s="44" t="str">
        <f>IF(Table1[Leaving Date]="","",IF(Table1[Date of Initial Assessment]="","",IF(AND(Table1[Leaving Date]&gt;42094,Table1[Leaving Date]&lt;42461),IF(Table1[Date of Last Assessment]="",Table1[Motivation and Taking Responsibility],Table1[Motivation and Taking Responsibility2]),"")))</f>
        <v/>
      </c>
      <c r="FL213" s="44" t="str">
        <f>IF(Table1[Leaving Date]="","",IF(Table1[Date of Initial Assessment]="","",IF(AND(Table1[Leaving Date]&gt;42094,Table1[Leaving Date]&lt;42461),IF(Table1[Date of Last Assessment]="",Table1[Self-Care and Living Skills],Table1[Self-Care and Living Skills2]),"")))</f>
        <v/>
      </c>
      <c r="FM213" s="44" t="str">
        <f>IF(Table1[Leaving Date]="","",IF(Table1[Date of Initial Assessment]="","",IF(AND(Table1[Leaving Date]&gt;42094,Table1[Leaving Date]&lt;42461),IF(Table1[Date of Last Assessment]="",Table1[Managing Money and Personal Administration],Table1[Managing Money and Personal Administration2]),"")))</f>
        <v/>
      </c>
      <c r="FN213" s="44" t="str">
        <f>IF(Table1[Leaving Date]="","",IF(Table1[Date of Initial Assessment]="","",IF(AND(Table1[Leaving Date]&gt;42094,Table1[Leaving Date]&lt;42461),IF(Table1[Date of Last Assessment]="",Table1[Social Networks and Relationships],Table1[Social Networks and Relationships2]),"")))</f>
        <v/>
      </c>
      <c r="FO213" s="44" t="str">
        <f>IF(Table1[Leaving Date]="","",IF(Table1[Date of Initial Assessment]="","",IF(AND(Table1[Leaving Date]&gt;42094,Table1[Leaving Date]&lt;42461),IF(Table1[Date of Last Assessment]="",Table1[Drug and Alcohol Misuse],Table1[Drug and Alcohol Misuse2]),"")))</f>
        <v/>
      </c>
      <c r="FP213" s="44" t="str">
        <f>IF(Table1[Leaving Date]="","",IF(Table1[Date of Initial Assessment]="","",IF(AND(Table1[Leaving Date]&gt;42094,Table1[Leaving Date]&lt;42461),IF(Table1[Date of Last Assessment]="",Table1[Physical Health],Table1[Physical Health2]),"")))</f>
        <v/>
      </c>
      <c r="FQ213" s="44" t="str">
        <f>IF(Table1[Leaving Date]="","",IF(Table1[Date of Initial Assessment]="","",IF(AND(Table1[Leaving Date]&gt;42094,Table1[Leaving Date]&lt;42461),IF(Table1[Date of Last Assessment]="",Table1[Emotional and Mental Health],Table1[Emotional and Mental Health2]),"")))</f>
        <v/>
      </c>
      <c r="FR213" s="44" t="str">
        <f>IF(Table1[Leaving Date]="","",IF(Table1[Date of Initial Assessment]="","",IF(AND(Table1[Leaving Date]&gt;42094,Table1[Leaving Date]&lt;42461),IF(Table1[Date of Last Assessment]="",Table1[Meaningful Use of Time],Table1[Meaningful Use of Time2]),"")))</f>
        <v/>
      </c>
      <c r="FS213" s="44" t="str">
        <f>IF(Table1[Leaving Date]="","",IF(Table1[Date of Initial Assessment]="","",IF(AND(Table1[Leaving Date]&gt;42094,Table1[Leaving Date]&lt;42461),IF(Table1[Date of Last Assessment]="",Table1[Managing Tenancy and Accommodation],Table1[Managing Tenancy and Accommodation2]),"")))</f>
        <v/>
      </c>
      <c r="FT213" s="44" t="str">
        <f>IF(Table1[Leaving Date]="","",IF(Table1[Date of Initial Assessment]="","",IF(AND(Table1[Leaving Date]&gt;42094,Table1[Leaving Date]&lt;42461),IF(Table1[Date of Last Assessment]="",Table1[Offending],Table1[Offending2]),"")))</f>
        <v/>
      </c>
      <c r="FU213" s="44" t="str">
        <f>IF(Table1[Date of Initial Assessment]="","",IF(AND(Table1[Start Date]&gt;42460,Table1[Start Date]&lt;42826),Table1[Motivation and Taking Responsibility],""))</f>
        <v/>
      </c>
      <c r="FV213" s="44" t="str">
        <f>IF(Table1[Date of Initial Assessment]="","",IF(AND(Table1[Start Date]&gt;42460,Table1[Start Date]&lt;42826),Table1[Self-Care and Living Skills],""))</f>
        <v/>
      </c>
      <c r="FW213" s="44" t="str">
        <f>IF(Table1[Date of Initial Assessment]="","",IF(AND(Table1[Start Date]&gt;42460,Table1[Start Date]&lt;42826),Table1[Managing Money and Personal Administration],""))</f>
        <v/>
      </c>
      <c r="FX213" s="44" t="str">
        <f>IF(Table1[Date of Initial Assessment]="","",IF(AND(Table1[Start Date]&gt;42460,Table1[Start Date]&lt;42826),Table1[Social Networks and Relationships],""))</f>
        <v/>
      </c>
      <c r="FY213" s="44" t="str">
        <f>IF(Table1[Date of Initial Assessment]="","",IF(AND(Table1[Start Date]&gt;42460,Table1[Start Date]&lt;42826),Table1[Drug and Alcohol Misuse],""))</f>
        <v/>
      </c>
      <c r="FZ213" s="44" t="str">
        <f>IF(Table1[Date of Initial Assessment]="","",IF(AND(Table1[Start Date]&gt;42460,Table1[Start Date]&lt;42826),Table1[Physical Health],""))</f>
        <v/>
      </c>
      <c r="GA213" s="44" t="str">
        <f>IF(Table1[Date of Initial Assessment]="","",IF(AND(Table1[Start Date]&gt;42460,Table1[Start Date]&lt;42826),Table1[Emotional and Mental Health],""))</f>
        <v/>
      </c>
      <c r="GB213" s="44" t="str">
        <f>IF(Table1[Date of Initial Assessment]="","",IF(AND(Table1[Start Date]&gt;42460,Table1[Start Date]&lt;42826),Table1[Meaningful Use of Time],""))</f>
        <v/>
      </c>
      <c r="GC213" s="44" t="str">
        <f>IF(Table1[Date of Initial Assessment]="","",IF(AND(Table1[Start Date]&gt;42460,Table1[Start Date]&lt;42826),Table1[Managing Tenancy and Accommodation],""))</f>
        <v/>
      </c>
      <c r="GD213" s="44" t="str">
        <f>IF(Table1[Date of Initial Assessment]="","",IF(AND(Table1[Start Date]&gt;42460,Table1[Start Date]&lt;42826),Table1[Offending],""))</f>
        <v/>
      </c>
      <c r="GE213" s="44" t="str">
        <f>IF(Table1[Leaving Date]="","",IF(AND(Table1[Leaving Date]&gt;42460,Table1[Leaving Date]&lt;42826),IF(Table1[Date of Last Assessment]="",Table1[Motivation and Taking Responsibility],Table1[Motivation and Taking Responsibility2]),""))</f>
        <v/>
      </c>
      <c r="GF213" s="44" t="str">
        <f>IF(Table1[Leaving Date]="","",IF(AND(Table1[Leaving Date]&gt;42460,Table1[Leaving Date]&lt;42826),IF(Table1[Date of Last Assessment]="",Table1[Self-Care and Living Skills],Table1[Self-Care and Living Skills2]),""))</f>
        <v/>
      </c>
      <c r="GG213" s="44" t="str">
        <f>IF(Table1[Leaving Date]="","",IF(AND(Table1[Leaving Date]&gt;42460,Table1[Leaving Date]&lt;42826),IF(Table1[Date of Last Assessment]="",Table1[Managing Money and Personal Administration],Table1[Managing Money and Personal Administration2]),""))</f>
        <v/>
      </c>
      <c r="GH213" s="44" t="str">
        <f>IF(Table1[Leaving Date]="","",IF(AND(Table1[Leaving Date]&gt;42460,Table1[Leaving Date]&lt;42826),IF(Table1[Date of Last Assessment]="",Table1[Social Networks and Relationships],Table1[Social Networks and Relationships2]),""))</f>
        <v/>
      </c>
      <c r="GI213" s="44" t="str">
        <f>IF(Table1[Leaving Date]="","",IF(AND(Table1[Leaving Date]&gt;42460,Table1[Leaving Date]&lt;42826),IF(Table1[Date of Last Assessment]="",Table1[Drug and Alcohol Misuse],Table1[Drug and Alcohol Misuse2]),""))</f>
        <v/>
      </c>
      <c r="GJ213" s="44" t="str">
        <f>IF(Table1[Leaving Date]="","",IF(AND(Table1[Leaving Date]&gt;42460,Table1[Leaving Date]&lt;42826),IF(Table1[Date of Last Assessment]="",Table1[Physical Health],Table1[Physical Health2]),""))</f>
        <v/>
      </c>
      <c r="GK213" s="44" t="str">
        <f>IF(Table1[Leaving Date]="","",IF(AND(Table1[Leaving Date]&gt;42460,Table1[Leaving Date]&lt;42826),IF(Table1[Date of Last Assessment]="",Table1[Emotional and Mental Health],Table1[Emotional and Mental Health2]),""))</f>
        <v/>
      </c>
      <c r="GL213" s="44" t="str">
        <f>IF(Table1[Leaving Date]="","",IF(AND(Table1[Leaving Date]&gt;42460,Table1[Leaving Date]&lt;42826),IF(Table1[Date of Last Assessment]="",Table1[Meaningful Use of Time],Table1[Meaningful Use of Time2]),""))</f>
        <v/>
      </c>
      <c r="GM213" s="44" t="str">
        <f>IF(Table1[Leaving Date]="","",IF(AND(Table1[Leaving Date]&gt;42460,Table1[Leaving Date]&lt;42826),IF(Table1[Date of Last Assessment]="",Table1[Managing Tenancy and Accommodation],Table1[Managing Tenancy and Accommodation2]),""))</f>
        <v/>
      </c>
      <c r="GN213" s="44" t="str">
        <f>IF(Table1[Leaving Date]="","",IF(AND(Table1[Leaving Date]&gt;42460,Table1[Leaving Date]&lt;42826),IF(Table1[Date of Last Assessment]="",Table1[Offending],Table1[Offending2]),""))</f>
        <v/>
      </c>
    </row>
    <row r="214" spans="2:196" ht="20.100000000000001" customHeight="1" x14ac:dyDescent="0.2">
      <c r="B214" s="86">
        <f>+'Service Data'!$C$5:$C$5</f>
        <v>0</v>
      </c>
      <c r="C214" s="86"/>
      <c r="D214" s="86"/>
      <c r="E214" s="86"/>
      <c r="F214" s="86"/>
      <c r="G214" s="86"/>
      <c r="H214" s="6"/>
      <c r="I214" s="99" t="str">
        <f ca="1">IF(Table1[[#This Row],[Date of Birth]]="","",SUM(TODAY()-Table1[[#This Row],[Date of Birth]])/365)</f>
        <v/>
      </c>
      <c r="L214" s="86"/>
      <c r="M214" s="77"/>
      <c r="N214" s="86"/>
      <c r="O214" s="86"/>
      <c r="P214" s="91"/>
      <c r="Q214" s="86"/>
      <c r="R214" s="77"/>
      <c r="S214" s="77"/>
      <c r="T214" s="68"/>
      <c r="U214" s="68"/>
      <c r="V214" s="67"/>
      <c r="W214" s="67"/>
      <c r="X214" s="67"/>
      <c r="Y214" s="67"/>
      <c r="Z214" s="67"/>
      <c r="AA214" s="67"/>
      <c r="AB214" s="67"/>
      <c r="AC214" s="67"/>
      <c r="AD214" s="67"/>
      <c r="AE214" s="67"/>
      <c r="AF214" s="67"/>
      <c r="AG214" s="67"/>
      <c r="AH214" s="67"/>
      <c r="AI214" s="67"/>
      <c r="AJ214" s="67"/>
      <c r="AK214" s="67"/>
      <c r="AL214" s="67"/>
      <c r="AM214" s="67"/>
      <c r="AN214" s="77"/>
      <c r="AO214" s="76"/>
      <c r="AP214" s="77"/>
      <c r="AQ214" s="76"/>
      <c r="AR214" s="76"/>
      <c r="AS214" s="76"/>
      <c r="AT214" s="76"/>
      <c r="AU214" s="76"/>
      <c r="AV214" s="77"/>
      <c r="AW214" s="76"/>
      <c r="AX214" s="77"/>
      <c r="AY214" s="76"/>
      <c r="AZ214" s="76"/>
      <c r="BA214" s="76"/>
      <c r="BB214" s="76"/>
      <c r="BC214" s="76"/>
      <c r="BD214" s="77"/>
      <c r="BE214" s="76"/>
      <c r="BF214" s="77"/>
      <c r="BG214" s="76"/>
      <c r="BH214" s="76"/>
      <c r="BI214" s="76"/>
      <c r="BJ214" s="76"/>
      <c r="BK214" s="76"/>
      <c r="BL214" s="77"/>
      <c r="BM214" s="76"/>
      <c r="BN214" s="77"/>
      <c r="BO214" s="76"/>
      <c r="BP214" s="76"/>
      <c r="BQ214" s="76"/>
      <c r="BR214" s="76"/>
      <c r="BS214" s="76"/>
      <c r="BT214" s="77"/>
      <c r="BU214" s="76"/>
      <c r="BV214" s="77"/>
      <c r="BW214" s="76"/>
      <c r="BX214" s="76"/>
      <c r="BY214" s="76"/>
      <c r="BZ214" s="76"/>
      <c r="CA214" s="76"/>
      <c r="CB214" s="77"/>
      <c r="CC214" s="76"/>
      <c r="CD214" s="77"/>
      <c r="CE214" s="76"/>
      <c r="CF214" s="76"/>
      <c r="CG214" s="76"/>
      <c r="CH214" s="76"/>
      <c r="CI214" s="76"/>
      <c r="CJ214" s="77"/>
      <c r="CK214" s="76"/>
      <c r="CL214" s="77"/>
      <c r="CM214" s="76"/>
      <c r="CN214" s="76"/>
      <c r="CO214" s="76"/>
      <c r="CP214" s="76"/>
      <c r="CQ214" s="76"/>
      <c r="CR214" s="78" t="str">
        <f t="shared" si="63"/>
        <v/>
      </c>
      <c r="CS214" s="79" t="str">
        <f t="shared" si="64"/>
        <v/>
      </c>
      <c r="CT214" s="79" t="str">
        <f t="shared" si="65"/>
        <v/>
      </c>
      <c r="CU214" s="79" t="str">
        <f t="shared" si="66"/>
        <v/>
      </c>
      <c r="CV214" s="79" t="str">
        <f t="shared" si="67"/>
        <v/>
      </c>
      <c r="CW214" s="79" t="str">
        <f t="shared" si="68"/>
        <v/>
      </c>
      <c r="CX214" s="79" t="str">
        <f t="shared" si="69"/>
        <v/>
      </c>
      <c r="CY214" s="79" t="str">
        <f t="shared" si="70"/>
        <v/>
      </c>
      <c r="CZ214" s="79" t="str">
        <f t="shared" si="71"/>
        <v/>
      </c>
      <c r="DA214" s="79" t="str">
        <f t="shared" si="72"/>
        <v/>
      </c>
      <c r="DB214" s="79" t="str">
        <f t="shared" si="73"/>
        <v/>
      </c>
      <c r="DC214" s="79" t="str">
        <f t="shared" si="74"/>
        <v/>
      </c>
      <c r="DD214" s="79" t="str">
        <f t="shared" si="75"/>
        <v/>
      </c>
      <c r="DE214" s="79" t="str">
        <f t="shared" si="76"/>
        <v/>
      </c>
      <c r="DF214" s="79" t="str">
        <f t="shared" si="77"/>
        <v/>
      </c>
      <c r="DG214" s="79" t="str">
        <f t="shared" si="78"/>
        <v/>
      </c>
      <c r="DH214" s="76"/>
      <c r="DI214" s="78"/>
      <c r="DJ214" s="76"/>
      <c r="DK214" s="77"/>
      <c r="DL214" s="77"/>
      <c r="DM214" s="77"/>
      <c r="DN214" s="80"/>
      <c r="DO214" s="80"/>
      <c r="DP214" s="92" t="str">
        <f>IF(Table1[Start Date]="","",IF(Table1[Start Date]&gt;42185,"",IF(AND(Table1[Leaving Date]&gt;1,Table1[Leaving Date]&lt;42095),"",1)))</f>
        <v/>
      </c>
      <c r="DQ214" s="92" t="str">
        <f>IF(Table1[Start Date]="","",IF(Table1[Start Date]&gt;42277,"",IF(AND(Table1[Leaving Date]&gt;1,Table1[Leaving Date]&lt;42186),"",1)))</f>
        <v/>
      </c>
      <c r="DR214" s="92" t="str">
        <f>IF(Table1[Start Date]="","",IF(Table1[Start Date]&gt;42369,"",IF(AND(Table1[Leaving Date]&gt;1,Table1[Leaving Date]&lt;42278),"",1)))</f>
        <v/>
      </c>
      <c r="DS214" s="92" t="str">
        <f>IF(Table1[Start Date]="","",IF(Table1[Start Date]&gt;42460,"",IF(AND(Table1[Leaving Date]&gt;1,Table1[Leaving Date]&lt;42370),"",1)))</f>
        <v/>
      </c>
      <c r="DT214" s="92" t="str">
        <f>IF(Table1[Start Date]="","",IF(Table1[Start Date]&gt;42551,"",IF(AND(Table1[Leaving Date]&gt;1,Table1[Leaving Date]&lt;42461),"",1)))</f>
        <v/>
      </c>
      <c r="DU214" s="92" t="str">
        <f>IF(Table1[Start Date]="","",IF(Table1[Start Date]&gt;42643,"",IF(AND(Table1[Leaving Date]&gt;1,Table1[Leaving Date]&lt;42552),"",1)))</f>
        <v/>
      </c>
      <c r="DV214" s="92" t="str">
        <f>IF(Table1[Start Date]="","",IF(Table1[Start Date]&gt;42735,"",IF(AND(Table1[Leaving Date]&gt;1,Table1[Leaving Date]&lt;42644),"",1)))</f>
        <v/>
      </c>
      <c r="DW214" s="92" t="str">
        <f>IF(Table1[Start Date]="","",IF(Table1[Start Date]&gt;42825,"",IF(AND(Table1[Leaving Date]&gt;1,Table1[Leaving Date]&lt;42736),"",1)))</f>
        <v/>
      </c>
      <c r="DX214"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214" s="44" t="e">
        <f>VLOOKUP(Table1[Referral Source],Lists!$G$2:$H$20,2,FALSE)</f>
        <v>#N/A</v>
      </c>
      <c r="DZ214" s="93" t="e">
        <f>SUM(Table1[Data Referral Quarter]+Table1[Data Referral Source])</f>
        <v>#N/A</v>
      </c>
      <c r="EA214" s="44" t="b">
        <f>IF(Table1[Referral Decision]="Accepted",100,IF(Table1[Referral Decision]="Rejected by Provider",200,IF(Table1[Referral Decision]="Rejected by Applicant",300)))</f>
        <v>0</v>
      </c>
      <c r="EB214" s="44">
        <f>SUM(Table1[Data Referral Quarter]+Table1[Data Referral Decision])</f>
        <v>0</v>
      </c>
      <c r="EC214" s="44" t="b">
        <f>IF(Table1[Start Date]&gt;42735,8000,IF(Table1[Start Date]&gt;42643,7000,IF(Table1[Start Date]&gt;42551,6000,IF(Table1[Start Date]&gt;42460,5000,IF(Table1[Start Date]&gt;42369,4000,IF(Table1[Start Date]&gt;42277,3000,IF(Table1[Start Date]&gt;42185,2000,IF(Table1[Start Date]&gt;42094,1000))))))))</f>
        <v>0</v>
      </c>
      <c r="ED214" s="44" t="str">
        <f>IF(Table1[Start Date]="","",IF(Table1[Current Local Authority]="Swindon",1,"2"))</f>
        <v/>
      </c>
      <c r="EE214" s="44" t="e">
        <f>SUM(Table1[Data Start Date]+Table1[Data Local Authority])</f>
        <v>#VALUE!</v>
      </c>
      <c r="EF214" s="44">
        <f>IF(Table1[Registered with GP]="Yes",1,0)</f>
        <v>0</v>
      </c>
      <c r="EG214" s="44">
        <f>SUM(Table1[Data Start Date]+Table1[Data GP Start])</f>
        <v>0</v>
      </c>
      <c r="EH214" s="44" t="str">
        <f>IF(Table1[EET]="NEET",1,IF(Table1[EET]="Education",2,IF(Table1[EET]="Employment",2,IF(Table1[EET]="Training",2,IF(Table1[EET]="Retired",3,"")))))</f>
        <v/>
      </c>
      <c r="EI214" s="44" t="e">
        <f>Table1[Data Start Date]+Table1[Data EET Start]</f>
        <v>#VALUE!</v>
      </c>
      <c r="EJ214" s="44" t="b">
        <f>IF(Table1[Leaving Date]&gt;42735,8000,IF(Table1[Leaving Date]&gt;42643,7000,IF(Table1[Leaving Date]&gt;42551,6000,IF(Table1[Leaving Date]&gt;42460,5000,IF(Table1[Leaving Date]&gt;42369,4000,IF(Table1[Leaving Date]&gt;42277,3000,IF(Table1[Leaving Date]&gt;42185,2000,IF(Table1[Leaving Date]&gt;42094,1000))))))))</f>
        <v>0</v>
      </c>
      <c r="EK214" s="44" t="e">
        <f>VLOOKUP(Table1[Reason for Leaving],Lists!$T$2:$U$15,2,FALSE)</f>
        <v>#N/A</v>
      </c>
      <c r="EL214" s="44" t="e">
        <f>SUM(Table1[Data Leavers Date]+Table1[Data Move On])</f>
        <v>#N/A</v>
      </c>
      <c r="EM214" s="44" t="b">
        <f>IF(Table1[Registered with GP2]="Yes",1,IF(Table1[Registered with GP2]="No",0,IF(Table1[Registered with GP]="Yes",1,IF(Table1[Registered with GP]="No",0))))</f>
        <v>0</v>
      </c>
      <c r="EN214" s="44">
        <f>SUM(Table1[Data Leavers Date]+Table1[Data GP End])</f>
        <v>0</v>
      </c>
      <c r="EO214" s="44" t="str">
        <f>IF(Table1[EET2]="NEET",1,IF(Table1[EET2]="Employment",2,IF(Table1[EET2]="Education",2,IF(Table1[EET2]="Training",2,IF(Table1[EET2]="Retired",3,IF(Table1[EET]="NEET",1,IF(Table1[EET]="Employment",2,IF(Table1[EET]="Education",2,IF(Table1[EET]="Training",2,IF(Table1[EET]="Retired",3,""))))))))))</f>
        <v/>
      </c>
      <c r="EP214" s="44" t="e">
        <f>+Table1[[#This Row],[Data Leavers Date]]+Table1[[#This Row],[Data EET End]]</f>
        <v>#VALUE!</v>
      </c>
      <c r="EQ214" s="44">
        <f>IF(Table1[Exit Form Received]="Yes",1,0)</f>
        <v>0</v>
      </c>
      <c r="ER214" s="44">
        <f>+Table1[[#This Row],[Data Leavers Date]]+Table1[[#This Row],[Data Exit Forms]]</f>
        <v>0</v>
      </c>
      <c r="ES214" s="44" t="str">
        <f>IF(Table1[Data Leavers Date]=1000,SUM(Table1[Leaving Date]-Table1[Start Date]),"")</f>
        <v/>
      </c>
      <c r="ET214" s="44" t="str">
        <f>IF(Table1[Data Leavers Date]=2000,SUM(Table1[Leaving Date]-Table1[Start Date]),"")</f>
        <v/>
      </c>
      <c r="EU214" s="44" t="str">
        <f>IF(Table1[Data Leavers Date]=3000,SUM(Table1[Leaving Date]-Table1[Start Date]),"")</f>
        <v/>
      </c>
      <c r="EV214" s="44" t="str">
        <f>IF(Table1[Data Leavers Date]=4000,SUM(Table1[Leaving Date]-Table1[Start Date]),"")</f>
        <v/>
      </c>
      <c r="EW214" s="44" t="str">
        <f>IF(Table1[Data Leavers Date]=5000,SUM(Table1[Leaving Date]-Table1[Start Date]),"")</f>
        <v/>
      </c>
      <c r="EX214" s="44" t="str">
        <f>IF(Table1[Data Leavers Date]=6000,SUM(Table1[Leaving Date]-Table1[Start Date]),"")</f>
        <v/>
      </c>
      <c r="EY214" s="44" t="str">
        <f>IF(Table1[Data Leavers Date]=7000,SUM(Table1[Leaving Date]-Table1[Start Date]),"")</f>
        <v/>
      </c>
      <c r="EZ214" s="44" t="str">
        <f>IF(Table1[Data Leavers Date]=8000,SUM(Table1[Leaving Date]-Table1[Start Date]),"")</f>
        <v/>
      </c>
      <c r="FA214" s="44" t="str">
        <f>IF(Table1[Date of Initial Assessment]="","",IF(AND(Table1[Start Date]&gt;42094,Table1[Start Date]&lt;42461),Table1[Motivation and Taking Responsibility],""))</f>
        <v/>
      </c>
      <c r="FB214" s="44" t="str">
        <f>IF(Table1[Date of Initial Assessment]="","",IF(AND(Table1[Start Date]&gt;42094,Table1[Start Date]&lt;42461),Table1[Self-Care and Living Skills],""))</f>
        <v/>
      </c>
      <c r="FC214" s="44" t="str">
        <f>IF(Table1[Date of Initial Assessment]="","",IF(AND(Table1[Start Date]&gt;42094,Table1[Start Date]&lt;42461),Table1[Managing Money and Personal Administration],""))</f>
        <v/>
      </c>
      <c r="FD214" s="44" t="str">
        <f>IF(Table1[Date of Initial Assessment]="","",IF(AND(Table1[Start Date]&gt;42094,Table1[Start Date]&lt;42461),Table1[Social Networks and Relationships],""))</f>
        <v/>
      </c>
      <c r="FE214" s="44" t="str">
        <f>IF(Table1[Date of Initial Assessment]="","",IF(AND(Table1[Start Date]&gt;42094,Table1[Start Date]&lt;42461),Table1[Drug and Alcohol Misuse],""))</f>
        <v/>
      </c>
      <c r="FF214" s="44" t="str">
        <f>IF(Table1[Date of Initial Assessment]="","",IF(AND(Table1[Start Date]&gt;42094,Table1[Start Date]&lt;42461),Table1[Physical Health],""))</f>
        <v/>
      </c>
      <c r="FG214" s="44" t="str">
        <f>IF(Table1[Date of Initial Assessment]="","",IF(AND(Table1[Start Date]&gt;42094,Table1[Start Date]&lt;42461),Table1[Emotional and Mental Health],""))</f>
        <v/>
      </c>
      <c r="FH214" s="44" t="str">
        <f>IF(Table1[Date of Initial Assessment]="","",IF(AND(Table1[Start Date]&gt;42094,Table1[Start Date]&lt;42461),Table1[Meaningful Use of Time],""))</f>
        <v/>
      </c>
      <c r="FI214" s="44" t="str">
        <f>IF(Table1[Date of Initial Assessment]="","",IF(AND(Table1[Start Date]&gt;42094,Table1[Start Date]&lt;42461),Table1[Managing Tenancy and Accommodation],""))</f>
        <v/>
      </c>
      <c r="FJ214" s="44" t="str">
        <f>IF(Table1[Date of Initial Assessment]="","",IF(AND(Table1[Start Date]&gt;42094,Table1[Start Date]&lt;42461),Table1[Offending],""))</f>
        <v/>
      </c>
      <c r="FK214" s="44" t="str">
        <f>IF(Table1[Leaving Date]="","",IF(Table1[Date of Initial Assessment]="","",IF(AND(Table1[Leaving Date]&gt;42094,Table1[Leaving Date]&lt;42461),IF(Table1[Date of Last Assessment]="",Table1[Motivation and Taking Responsibility],Table1[Motivation and Taking Responsibility2]),"")))</f>
        <v/>
      </c>
      <c r="FL214" s="44" t="str">
        <f>IF(Table1[Leaving Date]="","",IF(Table1[Date of Initial Assessment]="","",IF(AND(Table1[Leaving Date]&gt;42094,Table1[Leaving Date]&lt;42461),IF(Table1[Date of Last Assessment]="",Table1[Self-Care and Living Skills],Table1[Self-Care and Living Skills2]),"")))</f>
        <v/>
      </c>
      <c r="FM214" s="44" t="str">
        <f>IF(Table1[Leaving Date]="","",IF(Table1[Date of Initial Assessment]="","",IF(AND(Table1[Leaving Date]&gt;42094,Table1[Leaving Date]&lt;42461),IF(Table1[Date of Last Assessment]="",Table1[Managing Money and Personal Administration],Table1[Managing Money and Personal Administration2]),"")))</f>
        <v/>
      </c>
      <c r="FN214" s="44" t="str">
        <f>IF(Table1[Leaving Date]="","",IF(Table1[Date of Initial Assessment]="","",IF(AND(Table1[Leaving Date]&gt;42094,Table1[Leaving Date]&lt;42461),IF(Table1[Date of Last Assessment]="",Table1[Social Networks and Relationships],Table1[Social Networks and Relationships2]),"")))</f>
        <v/>
      </c>
      <c r="FO214" s="44" t="str">
        <f>IF(Table1[Leaving Date]="","",IF(Table1[Date of Initial Assessment]="","",IF(AND(Table1[Leaving Date]&gt;42094,Table1[Leaving Date]&lt;42461),IF(Table1[Date of Last Assessment]="",Table1[Drug and Alcohol Misuse],Table1[Drug and Alcohol Misuse2]),"")))</f>
        <v/>
      </c>
      <c r="FP214" s="44" t="str">
        <f>IF(Table1[Leaving Date]="","",IF(Table1[Date of Initial Assessment]="","",IF(AND(Table1[Leaving Date]&gt;42094,Table1[Leaving Date]&lt;42461),IF(Table1[Date of Last Assessment]="",Table1[Physical Health],Table1[Physical Health2]),"")))</f>
        <v/>
      </c>
      <c r="FQ214" s="44" t="str">
        <f>IF(Table1[Leaving Date]="","",IF(Table1[Date of Initial Assessment]="","",IF(AND(Table1[Leaving Date]&gt;42094,Table1[Leaving Date]&lt;42461),IF(Table1[Date of Last Assessment]="",Table1[Emotional and Mental Health],Table1[Emotional and Mental Health2]),"")))</f>
        <v/>
      </c>
      <c r="FR214" s="44" t="str">
        <f>IF(Table1[Leaving Date]="","",IF(Table1[Date of Initial Assessment]="","",IF(AND(Table1[Leaving Date]&gt;42094,Table1[Leaving Date]&lt;42461),IF(Table1[Date of Last Assessment]="",Table1[Meaningful Use of Time],Table1[Meaningful Use of Time2]),"")))</f>
        <v/>
      </c>
      <c r="FS214" s="44" t="str">
        <f>IF(Table1[Leaving Date]="","",IF(Table1[Date of Initial Assessment]="","",IF(AND(Table1[Leaving Date]&gt;42094,Table1[Leaving Date]&lt;42461),IF(Table1[Date of Last Assessment]="",Table1[Managing Tenancy and Accommodation],Table1[Managing Tenancy and Accommodation2]),"")))</f>
        <v/>
      </c>
      <c r="FT214" s="44" t="str">
        <f>IF(Table1[Leaving Date]="","",IF(Table1[Date of Initial Assessment]="","",IF(AND(Table1[Leaving Date]&gt;42094,Table1[Leaving Date]&lt;42461),IF(Table1[Date of Last Assessment]="",Table1[Offending],Table1[Offending2]),"")))</f>
        <v/>
      </c>
      <c r="FU214" s="44" t="str">
        <f>IF(Table1[Date of Initial Assessment]="","",IF(AND(Table1[Start Date]&gt;42460,Table1[Start Date]&lt;42826),Table1[Motivation and Taking Responsibility],""))</f>
        <v/>
      </c>
      <c r="FV214" s="44" t="str">
        <f>IF(Table1[Date of Initial Assessment]="","",IF(AND(Table1[Start Date]&gt;42460,Table1[Start Date]&lt;42826),Table1[Self-Care and Living Skills],""))</f>
        <v/>
      </c>
      <c r="FW214" s="44" t="str">
        <f>IF(Table1[Date of Initial Assessment]="","",IF(AND(Table1[Start Date]&gt;42460,Table1[Start Date]&lt;42826),Table1[Managing Money and Personal Administration],""))</f>
        <v/>
      </c>
      <c r="FX214" s="44" t="str">
        <f>IF(Table1[Date of Initial Assessment]="","",IF(AND(Table1[Start Date]&gt;42460,Table1[Start Date]&lt;42826),Table1[Social Networks and Relationships],""))</f>
        <v/>
      </c>
      <c r="FY214" s="44" t="str">
        <f>IF(Table1[Date of Initial Assessment]="","",IF(AND(Table1[Start Date]&gt;42460,Table1[Start Date]&lt;42826),Table1[Drug and Alcohol Misuse],""))</f>
        <v/>
      </c>
      <c r="FZ214" s="44" t="str">
        <f>IF(Table1[Date of Initial Assessment]="","",IF(AND(Table1[Start Date]&gt;42460,Table1[Start Date]&lt;42826),Table1[Physical Health],""))</f>
        <v/>
      </c>
      <c r="GA214" s="44" t="str">
        <f>IF(Table1[Date of Initial Assessment]="","",IF(AND(Table1[Start Date]&gt;42460,Table1[Start Date]&lt;42826),Table1[Emotional and Mental Health],""))</f>
        <v/>
      </c>
      <c r="GB214" s="44" t="str">
        <f>IF(Table1[Date of Initial Assessment]="","",IF(AND(Table1[Start Date]&gt;42460,Table1[Start Date]&lt;42826),Table1[Meaningful Use of Time],""))</f>
        <v/>
      </c>
      <c r="GC214" s="44" t="str">
        <f>IF(Table1[Date of Initial Assessment]="","",IF(AND(Table1[Start Date]&gt;42460,Table1[Start Date]&lt;42826),Table1[Managing Tenancy and Accommodation],""))</f>
        <v/>
      </c>
      <c r="GD214" s="44" t="str">
        <f>IF(Table1[Date of Initial Assessment]="","",IF(AND(Table1[Start Date]&gt;42460,Table1[Start Date]&lt;42826),Table1[Offending],""))</f>
        <v/>
      </c>
      <c r="GE214" s="44" t="str">
        <f>IF(Table1[Leaving Date]="","",IF(AND(Table1[Leaving Date]&gt;42460,Table1[Leaving Date]&lt;42826),IF(Table1[Date of Last Assessment]="",Table1[Motivation and Taking Responsibility],Table1[Motivation and Taking Responsibility2]),""))</f>
        <v/>
      </c>
      <c r="GF214" s="44" t="str">
        <f>IF(Table1[Leaving Date]="","",IF(AND(Table1[Leaving Date]&gt;42460,Table1[Leaving Date]&lt;42826),IF(Table1[Date of Last Assessment]="",Table1[Self-Care and Living Skills],Table1[Self-Care and Living Skills2]),""))</f>
        <v/>
      </c>
      <c r="GG214" s="44" t="str">
        <f>IF(Table1[Leaving Date]="","",IF(AND(Table1[Leaving Date]&gt;42460,Table1[Leaving Date]&lt;42826),IF(Table1[Date of Last Assessment]="",Table1[Managing Money and Personal Administration],Table1[Managing Money and Personal Administration2]),""))</f>
        <v/>
      </c>
      <c r="GH214" s="44" t="str">
        <f>IF(Table1[Leaving Date]="","",IF(AND(Table1[Leaving Date]&gt;42460,Table1[Leaving Date]&lt;42826),IF(Table1[Date of Last Assessment]="",Table1[Social Networks and Relationships],Table1[Social Networks and Relationships2]),""))</f>
        <v/>
      </c>
      <c r="GI214" s="44" t="str">
        <f>IF(Table1[Leaving Date]="","",IF(AND(Table1[Leaving Date]&gt;42460,Table1[Leaving Date]&lt;42826),IF(Table1[Date of Last Assessment]="",Table1[Drug and Alcohol Misuse],Table1[Drug and Alcohol Misuse2]),""))</f>
        <v/>
      </c>
      <c r="GJ214" s="44" t="str">
        <f>IF(Table1[Leaving Date]="","",IF(AND(Table1[Leaving Date]&gt;42460,Table1[Leaving Date]&lt;42826),IF(Table1[Date of Last Assessment]="",Table1[Physical Health],Table1[Physical Health2]),""))</f>
        <v/>
      </c>
      <c r="GK214" s="44" t="str">
        <f>IF(Table1[Leaving Date]="","",IF(AND(Table1[Leaving Date]&gt;42460,Table1[Leaving Date]&lt;42826),IF(Table1[Date of Last Assessment]="",Table1[Emotional and Mental Health],Table1[Emotional and Mental Health2]),""))</f>
        <v/>
      </c>
      <c r="GL214" s="44" t="str">
        <f>IF(Table1[Leaving Date]="","",IF(AND(Table1[Leaving Date]&gt;42460,Table1[Leaving Date]&lt;42826),IF(Table1[Date of Last Assessment]="",Table1[Meaningful Use of Time],Table1[Meaningful Use of Time2]),""))</f>
        <v/>
      </c>
      <c r="GM214" s="44" t="str">
        <f>IF(Table1[Leaving Date]="","",IF(AND(Table1[Leaving Date]&gt;42460,Table1[Leaving Date]&lt;42826),IF(Table1[Date of Last Assessment]="",Table1[Managing Tenancy and Accommodation],Table1[Managing Tenancy and Accommodation2]),""))</f>
        <v/>
      </c>
      <c r="GN214" s="44" t="str">
        <f>IF(Table1[Leaving Date]="","",IF(AND(Table1[Leaving Date]&gt;42460,Table1[Leaving Date]&lt;42826),IF(Table1[Date of Last Assessment]="",Table1[Offending],Table1[Offending2]),""))</f>
        <v/>
      </c>
    </row>
    <row r="215" spans="2:196" ht="20.100000000000001" customHeight="1" x14ac:dyDescent="0.2">
      <c r="B215" s="86">
        <f>+'Service Data'!$C$5:$C$5</f>
        <v>0</v>
      </c>
      <c r="C215" s="86"/>
      <c r="D215" s="86"/>
      <c r="E215" s="86"/>
      <c r="F215" s="86"/>
      <c r="G215" s="86"/>
      <c r="H215" s="6"/>
      <c r="I215" s="99" t="str">
        <f ca="1">IF(Table1[[#This Row],[Date of Birth]]="","",SUM(TODAY()-Table1[[#This Row],[Date of Birth]])/365)</f>
        <v/>
      </c>
      <c r="L215" s="86"/>
      <c r="M215" s="77"/>
      <c r="N215" s="86"/>
      <c r="O215" s="86"/>
      <c r="P215" s="91"/>
      <c r="Q215" s="86"/>
      <c r="R215" s="77"/>
      <c r="S215" s="77"/>
      <c r="T215" s="68"/>
      <c r="U215" s="68"/>
      <c r="V215" s="67"/>
      <c r="W215" s="67"/>
      <c r="X215" s="67"/>
      <c r="Y215" s="67"/>
      <c r="Z215" s="67"/>
      <c r="AA215" s="67"/>
      <c r="AB215" s="67"/>
      <c r="AC215" s="67"/>
      <c r="AD215" s="67"/>
      <c r="AE215" s="67"/>
      <c r="AF215" s="67"/>
      <c r="AG215" s="67"/>
      <c r="AH215" s="67"/>
      <c r="AI215" s="67"/>
      <c r="AJ215" s="67"/>
      <c r="AK215" s="67"/>
      <c r="AL215" s="67"/>
      <c r="AM215" s="67"/>
      <c r="AN215" s="77"/>
      <c r="AO215" s="76"/>
      <c r="AP215" s="77"/>
      <c r="AQ215" s="76"/>
      <c r="AR215" s="76"/>
      <c r="AS215" s="76"/>
      <c r="AT215" s="76"/>
      <c r="AU215" s="76"/>
      <c r="AV215" s="77"/>
      <c r="AW215" s="76"/>
      <c r="AX215" s="77"/>
      <c r="AY215" s="76"/>
      <c r="AZ215" s="76"/>
      <c r="BA215" s="76"/>
      <c r="BB215" s="76"/>
      <c r="BC215" s="76"/>
      <c r="BD215" s="77"/>
      <c r="BE215" s="76"/>
      <c r="BF215" s="77"/>
      <c r="BG215" s="76"/>
      <c r="BH215" s="76"/>
      <c r="BI215" s="76"/>
      <c r="BJ215" s="76"/>
      <c r="BK215" s="76"/>
      <c r="BL215" s="77"/>
      <c r="BM215" s="76"/>
      <c r="BN215" s="77"/>
      <c r="BO215" s="76"/>
      <c r="BP215" s="76"/>
      <c r="BQ215" s="76"/>
      <c r="BR215" s="76"/>
      <c r="BS215" s="76"/>
      <c r="BT215" s="77"/>
      <c r="BU215" s="76"/>
      <c r="BV215" s="77"/>
      <c r="BW215" s="76"/>
      <c r="BX215" s="76"/>
      <c r="BY215" s="76"/>
      <c r="BZ215" s="76"/>
      <c r="CA215" s="76"/>
      <c r="CB215" s="77"/>
      <c r="CC215" s="76"/>
      <c r="CD215" s="77"/>
      <c r="CE215" s="76"/>
      <c r="CF215" s="76"/>
      <c r="CG215" s="76"/>
      <c r="CH215" s="76"/>
      <c r="CI215" s="76"/>
      <c r="CJ215" s="77"/>
      <c r="CK215" s="76"/>
      <c r="CL215" s="77"/>
      <c r="CM215" s="76"/>
      <c r="CN215" s="76"/>
      <c r="CO215" s="76"/>
      <c r="CP215" s="76"/>
      <c r="CQ215" s="76"/>
      <c r="CR215" s="78" t="str">
        <f t="shared" si="63"/>
        <v/>
      </c>
      <c r="CS215" s="79" t="str">
        <f t="shared" si="64"/>
        <v/>
      </c>
      <c r="CT215" s="79" t="str">
        <f t="shared" si="65"/>
        <v/>
      </c>
      <c r="CU215" s="79" t="str">
        <f t="shared" si="66"/>
        <v/>
      </c>
      <c r="CV215" s="79" t="str">
        <f t="shared" si="67"/>
        <v/>
      </c>
      <c r="CW215" s="79" t="str">
        <f t="shared" si="68"/>
        <v/>
      </c>
      <c r="CX215" s="79" t="str">
        <f t="shared" si="69"/>
        <v/>
      </c>
      <c r="CY215" s="79" t="str">
        <f t="shared" si="70"/>
        <v/>
      </c>
      <c r="CZ215" s="79" t="str">
        <f t="shared" si="71"/>
        <v/>
      </c>
      <c r="DA215" s="79" t="str">
        <f t="shared" si="72"/>
        <v/>
      </c>
      <c r="DB215" s="79" t="str">
        <f t="shared" si="73"/>
        <v/>
      </c>
      <c r="DC215" s="79" t="str">
        <f t="shared" si="74"/>
        <v/>
      </c>
      <c r="DD215" s="79" t="str">
        <f t="shared" si="75"/>
        <v/>
      </c>
      <c r="DE215" s="79" t="str">
        <f t="shared" si="76"/>
        <v/>
      </c>
      <c r="DF215" s="79" t="str">
        <f t="shared" si="77"/>
        <v/>
      </c>
      <c r="DG215" s="79" t="str">
        <f t="shared" si="78"/>
        <v/>
      </c>
      <c r="DH215" s="76"/>
      <c r="DI215" s="78"/>
      <c r="DJ215" s="76"/>
      <c r="DK215" s="77"/>
      <c r="DL215" s="77"/>
      <c r="DM215" s="77"/>
      <c r="DN215" s="80"/>
      <c r="DO215" s="80"/>
      <c r="DP215" s="92" t="str">
        <f>IF(Table1[Start Date]="","",IF(Table1[Start Date]&gt;42185,"",IF(AND(Table1[Leaving Date]&gt;1,Table1[Leaving Date]&lt;42095),"",1)))</f>
        <v/>
      </c>
      <c r="DQ215" s="92" t="str">
        <f>IF(Table1[Start Date]="","",IF(Table1[Start Date]&gt;42277,"",IF(AND(Table1[Leaving Date]&gt;1,Table1[Leaving Date]&lt;42186),"",1)))</f>
        <v/>
      </c>
      <c r="DR215" s="92" t="str">
        <f>IF(Table1[Start Date]="","",IF(Table1[Start Date]&gt;42369,"",IF(AND(Table1[Leaving Date]&gt;1,Table1[Leaving Date]&lt;42278),"",1)))</f>
        <v/>
      </c>
      <c r="DS215" s="92" t="str">
        <f>IF(Table1[Start Date]="","",IF(Table1[Start Date]&gt;42460,"",IF(AND(Table1[Leaving Date]&gt;1,Table1[Leaving Date]&lt;42370),"",1)))</f>
        <v/>
      </c>
      <c r="DT215" s="92" t="str">
        <f>IF(Table1[Start Date]="","",IF(Table1[Start Date]&gt;42551,"",IF(AND(Table1[Leaving Date]&gt;1,Table1[Leaving Date]&lt;42461),"",1)))</f>
        <v/>
      </c>
      <c r="DU215" s="92" t="str">
        <f>IF(Table1[Start Date]="","",IF(Table1[Start Date]&gt;42643,"",IF(AND(Table1[Leaving Date]&gt;1,Table1[Leaving Date]&lt;42552),"",1)))</f>
        <v/>
      </c>
      <c r="DV215" s="92" t="str">
        <f>IF(Table1[Start Date]="","",IF(Table1[Start Date]&gt;42735,"",IF(AND(Table1[Leaving Date]&gt;1,Table1[Leaving Date]&lt;42644),"",1)))</f>
        <v/>
      </c>
      <c r="DW215" s="92" t="str">
        <f>IF(Table1[Start Date]="","",IF(Table1[Start Date]&gt;42825,"",IF(AND(Table1[Leaving Date]&gt;1,Table1[Leaving Date]&lt;42736),"",1)))</f>
        <v/>
      </c>
      <c r="DX215"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215" s="44" t="e">
        <f>VLOOKUP(Table1[Referral Source],Lists!$G$2:$H$20,2,FALSE)</f>
        <v>#N/A</v>
      </c>
      <c r="DZ215" s="93" t="e">
        <f>SUM(Table1[Data Referral Quarter]+Table1[Data Referral Source])</f>
        <v>#N/A</v>
      </c>
      <c r="EA215" s="44" t="b">
        <f>IF(Table1[Referral Decision]="Accepted",100,IF(Table1[Referral Decision]="Rejected by Provider",200,IF(Table1[Referral Decision]="Rejected by Applicant",300)))</f>
        <v>0</v>
      </c>
      <c r="EB215" s="44">
        <f>SUM(Table1[Data Referral Quarter]+Table1[Data Referral Decision])</f>
        <v>0</v>
      </c>
      <c r="EC215" s="44" t="b">
        <f>IF(Table1[Start Date]&gt;42735,8000,IF(Table1[Start Date]&gt;42643,7000,IF(Table1[Start Date]&gt;42551,6000,IF(Table1[Start Date]&gt;42460,5000,IF(Table1[Start Date]&gt;42369,4000,IF(Table1[Start Date]&gt;42277,3000,IF(Table1[Start Date]&gt;42185,2000,IF(Table1[Start Date]&gt;42094,1000))))))))</f>
        <v>0</v>
      </c>
      <c r="ED215" s="44" t="str">
        <f>IF(Table1[Start Date]="","",IF(Table1[Current Local Authority]="Swindon",1,"2"))</f>
        <v/>
      </c>
      <c r="EE215" s="44" t="e">
        <f>SUM(Table1[Data Start Date]+Table1[Data Local Authority])</f>
        <v>#VALUE!</v>
      </c>
      <c r="EF215" s="44">
        <f>IF(Table1[Registered with GP]="Yes",1,0)</f>
        <v>0</v>
      </c>
      <c r="EG215" s="44">
        <f>SUM(Table1[Data Start Date]+Table1[Data GP Start])</f>
        <v>0</v>
      </c>
      <c r="EH215" s="44" t="str">
        <f>IF(Table1[EET]="NEET",1,IF(Table1[EET]="Education",2,IF(Table1[EET]="Employment",2,IF(Table1[EET]="Training",2,IF(Table1[EET]="Retired",3,"")))))</f>
        <v/>
      </c>
      <c r="EI215" s="44" t="e">
        <f>Table1[Data Start Date]+Table1[Data EET Start]</f>
        <v>#VALUE!</v>
      </c>
      <c r="EJ215" s="44" t="b">
        <f>IF(Table1[Leaving Date]&gt;42735,8000,IF(Table1[Leaving Date]&gt;42643,7000,IF(Table1[Leaving Date]&gt;42551,6000,IF(Table1[Leaving Date]&gt;42460,5000,IF(Table1[Leaving Date]&gt;42369,4000,IF(Table1[Leaving Date]&gt;42277,3000,IF(Table1[Leaving Date]&gt;42185,2000,IF(Table1[Leaving Date]&gt;42094,1000))))))))</f>
        <v>0</v>
      </c>
      <c r="EK215" s="44" t="e">
        <f>VLOOKUP(Table1[Reason for Leaving],Lists!$T$2:$U$15,2,FALSE)</f>
        <v>#N/A</v>
      </c>
      <c r="EL215" s="44" t="e">
        <f>SUM(Table1[Data Leavers Date]+Table1[Data Move On])</f>
        <v>#N/A</v>
      </c>
      <c r="EM215" s="44" t="b">
        <f>IF(Table1[Registered with GP2]="Yes",1,IF(Table1[Registered with GP2]="No",0,IF(Table1[Registered with GP]="Yes",1,IF(Table1[Registered with GP]="No",0))))</f>
        <v>0</v>
      </c>
      <c r="EN215" s="44">
        <f>SUM(Table1[Data Leavers Date]+Table1[Data GP End])</f>
        <v>0</v>
      </c>
      <c r="EO215" s="44" t="str">
        <f>IF(Table1[EET2]="NEET",1,IF(Table1[EET2]="Employment",2,IF(Table1[EET2]="Education",2,IF(Table1[EET2]="Training",2,IF(Table1[EET2]="Retired",3,IF(Table1[EET]="NEET",1,IF(Table1[EET]="Employment",2,IF(Table1[EET]="Education",2,IF(Table1[EET]="Training",2,IF(Table1[EET]="Retired",3,""))))))))))</f>
        <v/>
      </c>
      <c r="EP215" s="44" t="e">
        <f>+Table1[[#This Row],[Data Leavers Date]]+Table1[[#This Row],[Data EET End]]</f>
        <v>#VALUE!</v>
      </c>
      <c r="EQ215" s="44">
        <f>IF(Table1[Exit Form Received]="Yes",1,0)</f>
        <v>0</v>
      </c>
      <c r="ER215" s="44">
        <f>+Table1[[#This Row],[Data Leavers Date]]+Table1[[#This Row],[Data Exit Forms]]</f>
        <v>0</v>
      </c>
      <c r="ES215" s="44" t="str">
        <f>IF(Table1[Data Leavers Date]=1000,SUM(Table1[Leaving Date]-Table1[Start Date]),"")</f>
        <v/>
      </c>
      <c r="ET215" s="44" t="str">
        <f>IF(Table1[Data Leavers Date]=2000,SUM(Table1[Leaving Date]-Table1[Start Date]),"")</f>
        <v/>
      </c>
      <c r="EU215" s="44" t="str">
        <f>IF(Table1[Data Leavers Date]=3000,SUM(Table1[Leaving Date]-Table1[Start Date]),"")</f>
        <v/>
      </c>
      <c r="EV215" s="44" t="str">
        <f>IF(Table1[Data Leavers Date]=4000,SUM(Table1[Leaving Date]-Table1[Start Date]),"")</f>
        <v/>
      </c>
      <c r="EW215" s="44" t="str">
        <f>IF(Table1[Data Leavers Date]=5000,SUM(Table1[Leaving Date]-Table1[Start Date]),"")</f>
        <v/>
      </c>
      <c r="EX215" s="44" t="str">
        <f>IF(Table1[Data Leavers Date]=6000,SUM(Table1[Leaving Date]-Table1[Start Date]),"")</f>
        <v/>
      </c>
      <c r="EY215" s="44" t="str">
        <f>IF(Table1[Data Leavers Date]=7000,SUM(Table1[Leaving Date]-Table1[Start Date]),"")</f>
        <v/>
      </c>
      <c r="EZ215" s="44" t="str">
        <f>IF(Table1[Data Leavers Date]=8000,SUM(Table1[Leaving Date]-Table1[Start Date]),"")</f>
        <v/>
      </c>
      <c r="FA215" s="44" t="str">
        <f>IF(Table1[Date of Initial Assessment]="","",IF(AND(Table1[Start Date]&gt;42094,Table1[Start Date]&lt;42461),Table1[Motivation and Taking Responsibility],""))</f>
        <v/>
      </c>
      <c r="FB215" s="44" t="str">
        <f>IF(Table1[Date of Initial Assessment]="","",IF(AND(Table1[Start Date]&gt;42094,Table1[Start Date]&lt;42461),Table1[Self-Care and Living Skills],""))</f>
        <v/>
      </c>
      <c r="FC215" s="44" t="str">
        <f>IF(Table1[Date of Initial Assessment]="","",IF(AND(Table1[Start Date]&gt;42094,Table1[Start Date]&lt;42461),Table1[Managing Money and Personal Administration],""))</f>
        <v/>
      </c>
      <c r="FD215" s="44" t="str">
        <f>IF(Table1[Date of Initial Assessment]="","",IF(AND(Table1[Start Date]&gt;42094,Table1[Start Date]&lt;42461),Table1[Social Networks and Relationships],""))</f>
        <v/>
      </c>
      <c r="FE215" s="44" t="str">
        <f>IF(Table1[Date of Initial Assessment]="","",IF(AND(Table1[Start Date]&gt;42094,Table1[Start Date]&lt;42461),Table1[Drug and Alcohol Misuse],""))</f>
        <v/>
      </c>
      <c r="FF215" s="44" t="str">
        <f>IF(Table1[Date of Initial Assessment]="","",IF(AND(Table1[Start Date]&gt;42094,Table1[Start Date]&lt;42461),Table1[Physical Health],""))</f>
        <v/>
      </c>
      <c r="FG215" s="44" t="str">
        <f>IF(Table1[Date of Initial Assessment]="","",IF(AND(Table1[Start Date]&gt;42094,Table1[Start Date]&lt;42461),Table1[Emotional and Mental Health],""))</f>
        <v/>
      </c>
      <c r="FH215" s="44" t="str">
        <f>IF(Table1[Date of Initial Assessment]="","",IF(AND(Table1[Start Date]&gt;42094,Table1[Start Date]&lt;42461),Table1[Meaningful Use of Time],""))</f>
        <v/>
      </c>
      <c r="FI215" s="44" t="str">
        <f>IF(Table1[Date of Initial Assessment]="","",IF(AND(Table1[Start Date]&gt;42094,Table1[Start Date]&lt;42461),Table1[Managing Tenancy and Accommodation],""))</f>
        <v/>
      </c>
      <c r="FJ215" s="44" t="str">
        <f>IF(Table1[Date of Initial Assessment]="","",IF(AND(Table1[Start Date]&gt;42094,Table1[Start Date]&lt;42461),Table1[Offending],""))</f>
        <v/>
      </c>
      <c r="FK215" s="44" t="str">
        <f>IF(Table1[Leaving Date]="","",IF(Table1[Date of Initial Assessment]="","",IF(AND(Table1[Leaving Date]&gt;42094,Table1[Leaving Date]&lt;42461),IF(Table1[Date of Last Assessment]="",Table1[Motivation and Taking Responsibility],Table1[Motivation and Taking Responsibility2]),"")))</f>
        <v/>
      </c>
      <c r="FL215" s="44" t="str">
        <f>IF(Table1[Leaving Date]="","",IF(Table1[Date of Initial Assessment]="","",IF(AND(Table1[Leaving Date]&gt;42094,Table1[Leaving Date]&lt;42461),IF(Table1[Date of Last Assessment]="",Table1[Self-Care and Living Skills],Table1[Self-Care and Living Skills2]),"")))</f>
        <v/>
      </c>
      <c r="FM215" s="44" t="str">
        <f>IF(Table1[Leaving Date]="","",IF(Table1[Date of Initial Assessment]="","",IF(AND(Table1[Leaving Date]&gt;42094,Table1[Leaving Date]&lt;42461),IF(Table1[Date of Last Assessment]="",Table1[Managing Money and Personal Administration],Table1[Managing Money and Personal Administration2]),"")))</f>
        <v/>
      </c>
      <c r="FN215" s="44" t="str">
        <f>IF(Table1[Leaving Date]="","",IF(Table1[Date of Initial Assessment]="","",IF(AND(Table1[Leaving Date]&gt;42094,Table1[Leaving Date]&lt;42461),IF(Table1[Date of Last Assessment]="",Table1[Social Networks and Relationships],Table1[Social Networks and Relationships2]),"")))</f>
        <v/>
      </c>
      <c r="FO215" s="44" t="str">
        <f>IF(Table1[Leaving Date]="","",IF(Table1[Date of Initial Assessment]="","",IF(AND(Table1[Leaving Date]&gt;42094,Table1[Leaving Date]&lt;42461),IF(Table1[Date of Last Assessment]="",Table1[Drug and Alcohol Misuse],Table1[Drug and Alcohol Misuse2]),"")))</f>
        <v/>
      </c>
      <c r="FP215" s="44" t="str">
        <f>IF(Table1[Leaving Date]="","",IF(Table1[Date of Initial Assessment]="","",IF(AND(Table1[Leaving Date]&gt;42094,Table1[Leaving Date]&lt;42461),IF(Table1[Date of Last Assessment]="",Table1[Physical Health],Table1[Physical Health2]),"")))</f>
        <v/>
      </c>
      <c r="FQ215" s="44" t="str">
        <f>IF(Table1[Leaving Date]="","",IF(Table1[Date of Initial Assessment]="","",IF(AND(Table1[Leaving Date]&gt;42094,Table1[Leaving Date]&lt;42461),IF(Table1[Date of Last Assessment]="",Table1[Emotional and Mental Health],Table1[Emotional and Mental Health2]),"")))</f>
        <v/>
      </c>
      <c r="FR215" s="44" t="str">
        <f>IF(Table1[Leaving Date]="","",IF(Table1[Date of Initial Assessment]="","",IF(AND(Table1[Leaving Date]&gt;42094,Table1[Leaving Date]&lt;42461),IF(Table1[Date of Last Assessment]="",Table1[Meaningful Use of Time],Table1[Meaningful Use of Time2]),"")))</f>
        <v/>
      </c>
      <c r="FS215" s="44" t="str">
        <f>IF(Table1[Leaving Date]="","",IF(Table1[Date of Initial Assessment]="","",IF(AND(Table1[Leaving Date]&gt;42094,Table1[Leaving Date]&lt;42461),IF(Table1[Date of Last Assessment]="",Table1[Managing Tenancy and Accommodation],Table1[Managing Tenancy and Accommodation2]),"")))</f>
        <v/>
      </c>
      <c r="FT215" s="44" t="str">
        <f>IF(Table1[Leaving Date]="","",IF(Table1[Date of Initial Assessment]="","",IF(AND(Table1[Leaving Date]&gt;42094,Table1[Leaving Date]&lt;42461),IF(Table1[Date of Last Assessment]="",Table1[Offending],Table1[Offending2]),"")))</f>
        <v/>
      </c>
      <c r="FU215" s="44" t="str">
        <f>IF(Table1[Date of Initial Assessment]="","",IF(AND(Table1[Start Date]&gt;42460,Table1[Start Date]&lt;42826),Table1[Motivation and Taking Responsibility],""))</f>
        <v/>
      </c>
      <c r="FV215" s="44" t="str">
        <f>IF(Table1[Date of Initial Assessment]="","",IF(AND(Table1[Start Date]&gt;42460,Table1[Start Date]&lt;42826),Table1[Self-Care and Living Skills],""))</f>
        <v/>
      </c>
      <c r="FW215" s="44" t="str">
        <f>IF(Table1[Date of Initial Assessment]="","",IF(AND(Table1[Start Date]&gt;42460,Table1[Start Date]&lt;42826),Table1[Managing Money and Personal Administration],""))</f>
        <v/>
      </c>
      <c r="FX215" s="44" t="str">
        <f>IF(Table1[Date of Initial Assessment]="","",IF(AND(Table1[Start Date]&gt;42460,Table1[Start Date]&lt;42826),Table1[Social Networks and Relationships],""))</f>
        <v/>
      </c>
      <c r="FY215" s="44" t="str">
        <f>IF(Table1[Date of Initial Assessment]="","",IF(AND(Table1[Start Date]&gt;42460,Table1[Start Date]&lt;42826),Table1[Drug and Alcohol Misuse],""))</f>
        <v/>
      </c>
      <c r="FZ215" s="44" t="str">
        <f>IF(Table1[Date of Initial Assessment]="","",IF(AND(Table1[Start Date]&gt;42460,Table1[Start Date]&lt;42826),Table1[Physical Health],""))</f>
        <v/>
      </c>
      <c r="GA215" s="44" t="str">
        <f>IF(Table1[Date of Initial Assessment]="","",IF(AND(Table1[Start Date]&gt;42460,Table1[Start Date]&lt;42826),Table1[Emotional and Mental Health],""))</f>
        <v/>
      </c>
      <c r="GB215" s="44" t="str">
        <f>IF(Table1[Date of Initial Assessment]="","",IF(AND(Table1[Start Date]&gt;42460,Table1[Start Date]&lt;42826),Table1[Meaningful Use of Time],""))</f>
        <v/>
      </c>
      <c r="GC215" s="44" t="str">
        <f>IF(Table1[Date of Initial Assessment]="","",IF(AND(Table1[Start Date]&gt;42460,Table1[Start Date]&lt;42826),Table1[Managing Tenancy and Accommodation],""))</f>
        <v/>
      </c>
      <c r="GD215" s="44" t="str">
        <f>IF(Table1[Date of Initial Assessment]="","",IF(AND(Table1[Start Date]&gt;42460,Table1[Start Date]&lt;42826),Table1[Offending],""))</f>
        <v/>
      </c>
      <c r="GE215" s="44" t="str">
        <f>IF(Table1[Leaving Date]="","",IF(AND(Table1[Leaving Date]&gt;42460,Table1[Leaving Date]&lt;42826),IF(Table1[Date of Last Assessment]="",Table1[Motivation and Taking Responsibility],Table1[Motivation and Taking Responsibility2]),""))</f>
        <v/>
      </c>
      <c r="GF215" s="44" t="str">
        <f>IF(Table1[Leaving Date]="","",IF(AND(Table1[Leaving Date]&gt;42460,Table1[Leaving Date]&lt;42826),IF(Table1[Date of Last Assessment]="",Table1[Self-Care and Living Skills],Table1[Self-Care and Living Skills2]),""))</f>
        <v/>
      </c>
      <c r="GG215" s="44" t="str">
        <f>IF(Table1[Leaving Date]="","",IF(AND(Table1[Leaving Date]&gt;42460,Table1[Leaving Date]&lt;42826),IF(Table1[Date of Last Assessment]="",Table1[Managing Money and Personal Administration],Table1[Managing Money and Personal Administration2]),""))</f>
        <v/>
      </c>
      <c r="GH215" s="44" t="str">
        <f>IF(Table1[Leaving Date]="","",IF(AND(Table1[Leaving Date]&gt;42460,Table1[Leaving Date]&lt;42826),IF(Table1[Date of Last Assessment]="",Table1[Social Networks and Relationships],Table1[Social Networks and Relationships2]),""))</f>
        <v/>
      </c>
      <c r="GI215" s="44" t="str">
        <f>IF(Table1[Leaving Date]="","",IF(AND(Table1[Leaving Date]&gt;42460,Table1[Leaving Date]&lt;42826),IF(Table1[Date of Last Assessment]="",Table1[Drug and Alcohol Misuse],Table1[Drug and Alcohol Misuse2]),""))</f>
        <v/>
      </c>
      <c r="GJ215" s="44" t="str">
        <f>IF(Table1[Leaving Date]="","",IF(AND(Table1[Leaving Date]&gt;42460,Table1[Leaving Date]&lt;42826),IF(Table1[Date of Last Assessment]="",Table1[Physical Health],Table1[Physical Health2]),""))</f>
        <v/>
      </c>
      <c r="GK215" s="44" t="str">
        <f>IF(Table1[Leaving Date]="","",IF(AND(Table1[Leaving Date]&gt;42460,Table1[Leaving Date]&lt;42826),IF(Table1[Date of Last Assessment]="",Table1[Emotional and Mental Health],Table1[Emotional and Mental Health2]),""))</f>
        <v/>
      </c>
      <c r="GL215" s="44" t="str">
        <f>IF(Table1[Leaving Date]="","",IF(AND(Table1[Leaving Date]&gt;42460,Table1[Leaving Date]&lt;42826),IF(Table1[Date of Last Assessment]="",Table1[Meaningful Use of Time],Table1[Meaningful Use of Time2]),""))</f>
        <v/>
      </c>
      <c r="GM215" s="44" t="str">
        <f>IF(Table1[Leaving Date]="","",IF(AND(Table1[Leaving Date]&gt;42460,Table1[Leaving Date]&lt;42826),IF(Table1[Date of Last Assessment]="",Table1[Managing Tenancy and Accommodation],Table1[Managing Tenancy and Accommodation2]),""))</f>
        <v/>
      </c>
      <c r="GN215" s="44" t="str">
        <f>IF(Table1[Leaving Date]="","",IF(AND(Table1[Leaving Date]&gt;42460,Table1[Leaving Date]&lt;42826),IF(Table1[Date of Last Assessment]="",Table1[Offending],Table1[Offending2]),""))</f>
        <v/>
      </c>
    </row>
    <row r="216" spans="2:196" ht="20.100000000000001" customHeight="1" x14ac:dyDescent="0.2">
      <c r="B216" s="86">
        <f>+'Service Data'!$C$5:$C$5</f>
        <v>0</v>
      </c>
      <c r="C216" s="86"/>
      <c r="D216" s="86"/>
      <c r="E216" s="86"/>
      <c r="F216" s="86"/>
      <c r="G216" s="86"/>
      <c r="H216" s="6"/>
      <c r="I216" s="99" t="str">
        <f ca="1">IF(Table1[[#This Row],[Date of Birth]]="","",SUM(TODAY()-Table1[[#This Row],[Date of Birth]])/365)</f>
        <v/>
      </c>
      <c r="L216" s="86"/>
      <c r="M216" s="77"/>
      <c r="N216" s="86"/>
      <c r="O216" s="86"/>
      <c r="P216" s="91"/>
      <c r="Q216" s="86"/>
      <c r="R216" s="77"/>
      <c r="S216" s="77"/>
      <c r="T216" s="68"/>
      <c r="U216" s="68"/>
      <c r="V216" s="67"/>
      <c r="W216" s="67"/>
      <c r="X216" s="67"/>
      <c r="Y216" s="67"/>
      <c r="Z216" s="67"/>
      <c r="AA216" s="67"/>
      <c r="AB216" s="67"/>
      <c r="AC216" s="67"/>
      <c r="AD216" s="67"/>
      <c r="AE216" s="67"/>
      <c r="AF216" s="67"/>
      <c r="AG216" s="67"/>
      <c r="AH216" s="67"/>
      <c r="AI216" s="67"/>
      <c r="AJ216" s="67"/>
      <c r="AK216" s="67"/>
      <c r="AL216" s="67"/>
      <c r="AM216" s="67"/>
      <c r="AN216" s="77"/>
      <c r="AO216" s="76"/>
      <c r="AP216" s="77"/>
      <c r="AQ216" s="76"/>
      <c r="AR216" s="76"/>
      <c r="AS216" s="76"/>
      <c r="AT216" s="76"/>
      <c r="AU216" s="76"/>
      <c r="AV216" s="77"/>
      <c r="AW216" s="76"/>
      <c r="AX216" s="77"/>
      <c r="AY216" s="76"/>
      <c r="AZ216" s="76"/>
      <c r="BA216" s="76"/>
      <c r="BB216" s="76"/>
      <c r="BC216" s="76"/>
      <c r="BD216" s="77"/>
      <c r="BE216" s="76"/>
      <c r="BF216" s="77"/>
      <c r="BG216" s="76"/>
      <c r="BH216" s="76"/>
      <c r="BI216" s="76"/>
      <c r="BJ216" s="76"/>
      <c r="BK216" s="76"/>
      <c r="BL216" s="77"/>
      <c r="BM216" s="76"/>
      <c r="BN216" s="77"/>
      <c r="BO216" s="76"/>
      <c r="BP216" s="76"/>
      <c r="BQ216" s="76"/>
      <c r="BR216" s="76"/>
      <c r="BS216" s="76"/>
      <c r="BT216" s="77"/>
      <c r="BU216" s="76"/>
      <c r="BV216" s="77"/>
      <c r="BW216" s="76"/>
      <c r="BX216" s="76"/>
      <c r="BY216" s="76"/>
      <c r="BZ216" s="76"/>
      <c r="CA216" s="76"/>
      <c r="CB216" s="77"/>
      <c r="CC216" s="76"/>
      <c r="CD216" s="77"/>
      <c r="CE216" s="76"/>
      <c r="CF216" s="76"/>
      <c r="CG216" s="76"/>
      <c r="CH216" s="76"/>
      <c r="CI216" s="76"/>
      <c r="CJ216" s="77"/>
      <c r="CK216" s="76"/>
      <c r="CL216" s="77"/>
      <c r="CM216" s="76"/>
      <c r="CN216" s="76"/>
      <c r="CO216" s="76"/>
      <c r="CP216" s="76"/>
      <c r="CQ216" s="76"/>
      <c r="CR216" s="78" t="str">
        <f t="shared" si="63"/>
        <v/>
      </c>
      <c r="CS216" s="79" t="str">
        <f t="shared" si="64"/>
        <v/>
      </c>
      <c r="CT216" s="79" t="str">
        <f t="shared" si="65"/>
        <v/>
      </c>
      <c r="CU216" s="79" t="str">
        <f t="shared" si="66"/>
        <v/>
      </c>
      <c r="CV216" s="79" t="str">
        <f t="shared" si="67"/>
        <v/>
      </c>
      <c r="CW216" s="79" t="str">
        <f t="shared" si="68"/>
        <v/>
      </c>
      <c r="CX216" s="79" t="str">
        <f t="shared" si="69"/>
        <v/>
      </c>
      <c r="CY216" s="79" t="str">
        <f t="shared" si="70"/>
        <v/>
      </c>
      <c r="CZ216" s="79" t="str">
        <f t="shared" si="71"/>
        <v/>
      </c>
      <c r="DA216" s="79" t="str">
        <f t="shared" si="72"/>
        <v/>
      </c>
      <c r="DB216" s="79" t="str">
        <f t="shared" si="73"/>
        <v/>
      </c>
      <c r="DC216" s="79" t="str">
        <f t="shared" si="74"/>
        <v/>
      </c>
      <c r="DD216" s="79" t="str">
        <f t="shared" si="75"/>
        <v/>
      </c>
      <c r="DE216" s="79" t="str">
        <f t="shared" si="76"/>
        <v/>
      </c>
      <c r="DF216" s="79" t="str">
        <f t="shared" si="77"/>
        <v/>
      </c>
      <c r="DG216" s="79" t="str">
        <f t="shared" si="78"/>
        <v/>
      </c>
      <c r="DH216" s="76"/>
      <c r="DI216" s="78"/>
      <c r="DJ216" s="76"/>
      <c r="DK216" s="77"/>
      <c r="DL216" s="77"/>
      <c r="DM216" s="77"/>
      <c r="DN216" s="80"/>
      <c r="DO216" s="80"/>
      <c r="DP216" s="92" t="str">
        <f>IF(Table1[Start Date]="","",IF(Table1[Start Date]&gt;42185,"",IF(AND(Table1[Leaving Date]&gt;1,Table1[Leaving Date]&lt;42095),"",1)))</f>
        <v/>
      </c>
      <c r="DQ216" s="92" t="str">
        <f>IF(Table1[Start Date]="","",IF(Table1[Start Date]&gt;42277,"",IF(AND(Table1[Leaving Date]&gt;1,Table1[Leaving Date]&lt;42186),"",1)))</f>
        <v/>
      </c>
      <c r="DR216" s="92" t="str">
        <f>IF(Table1[Start Date]="","",IF(Table1[Start Date]&gt;42369,"",IF(AND(Table1[Leaving Date]&gt;1,Table1[Leaving Date]&lt;42278),"",1)))</f>
        <v/>
      </c>
      <c r="DS216" s="92" t="str">
        <f>IF(Table1[Start Date]="","",IF(Table1[Start Date]&gt;42460,"",IF(AND(Table1[Leaving Date]&gt;1,Table1[Leaving Date]&lt;42370),"",1)))</f>
        <v/>
      </c>
      <c r="DT216" s="92" t="str">
        <f>IF(Table1[Start Date]="","",IF(Table1[Start Date]&gt;42551,"",IF(AND(Table1[Leaving Date]&gt;1,Table1[Leaving Date]&lt;42461),"",1)))</f>
        <v/>
      </c>
      <c r="DU216" s="92" t="str">
        <f>IF(Table1[Start Date]="","",IF(Table1[Start Date]&gt;42643,"",IF(AND(Table1[Leaving Date]&gt;1,Table1[Leaving Date]&lt;42552),"",1)))</f>
        <v/>
      </c>
      <c r="DV216" s="92" t="str">
        <f>IF(Table1[Start Date]="","",IF(Table1[Start Date]&gt;42735,"",IF(AND(Table1[Leaving Date]&gt;1,Table1[Leaving Date]&lt;42644),"",1)))</f>
        <v/>
      </c>
      <c r="DW216" s="92" t="str">
        <f>IF(Table1[Start Date]="","",IF(Table1[Start Date]&gt;42825,"",IF(AND(Table1[Leaving Date]&gt;1,Table1[Leaving Date]&lt;42736),"",1)))</f>
        <v/>
      </c>
      <c r="DX216"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216" s="44" t="e">
        <f>VLOOKUP(Table1[Referral Source],Lists!$G$2:$H$20,2,FALSE)</f>
        <v>#N/A</v>
      </c>
      <c r="DZ216" s="93" t="e">
        <f>SUM(Table1[Data Referral Quarter]+Table1[Data Referral Source])</f>
        <v>#N/A</v>
      </c>
      <c r="EA216" s="44" t="b">
        <f>IF(Table1[Referral Decision]="Accepted",100,IF(Table1[Referral Decision]="Rejected by Provider",200,IF(Table1[Referral Decision]="Rejected by Applicant",300)))</f>
        <v>0</v>
      </c>
      <c r="EB216" s="44">
        <f>SUM(Table1[Data Referral Quarter]+Table1[Data Referral Decision])</f>
        <v>0</v>
      </c>
      <c r="EC216" s="44" t="b">
        <f>IF(Table1[Start Date]&gt;42735,8000,IF(Table1[Start Date]&gt;42643,7000,IF(Table1[Start Date]&gt;42551,6000,IF(Table1[Start Date]&gt;42460,5000,IF(Table1[Start Date]&gt;42369,4000,IF(Table1[Start Date]&gt;42277,3000,IF(Table1[Start Date]&gt;42185,2000,IF(Table1[Start Date]&gt;42094,1000))))))))</f>
        <v>0</v>
      </c>
      <c r="ED216" s="44" t="str">
        <f>IF(Table1[Start Date]="","",IF(Table1[Current Local Authority]="Swindon",1,"2"))</f>
        <v/>
      </c>
      <c r="EE216" s="44" t="e">
        <f>SUM(Table1[Data Start Date]+Table1[Data Local Authority])</f>
        <v>#VALUE!</v>
      </c>
      <c r="EF216" s="44">
        <f>IF(Table1[Registered with GP]="Yes",1,0)</f>
        <v>0</v>
      </c>
      <c r="EG216" s="44">
        <f>SUM(Table1[Data Start Date]+Table1[Data GP Start])</f>
        <v>0</v>
      </c>
      <c r="EH216" s="44" t="str">
        <f>IF(Table1[EET]="NEET",1,IF(Table1[EET]="Education",2,IF(Table1[EET]="Employment",2,IF(Table1[EET]="Training",2,IF(Table1[EET]="Retired",3,"")))))</f>
        <v/>
      </c>
      <c r="EI216" s="44" t="e">
        <f>Table1[Data Start Date]+Table1[Data EET Start]</f>
        <v>#VALUE!</v>
      </c>
      <c r="EJ216" s="44" t="b">
        <f>IF(Table1[Leaving Date]&gt;42735,8000,IF(Table1[Leaving Date]&gt;42643,7000,IF(Table1[Leaving Date]&gt;42551,6000,IF(Table1[Leaving Date]&gt;42460,5000,IF(Table1[Leaving Date]&gt;42369,4000,IF(Table1[Leaving Date]&gt;42277,3000,IF(Table1[Leaving Date]&gt;42185,2000,IF(Table1[Leaving Date]&gt;42094,1000))))))))</f>
        <v>0</v>
      </c>
      <c r="EK216" s="44" t="e">
        <f>VLOOKUP(Table1[Reason for Leaving],Lists!$T$2:$U$15,2,FALSE)</f>
        <v>#N/A</v>
      </c>
      <c r="EL216" s="44" t="e">
        <f>SUM(Table1[Data Leavers Date]+Table1[Data Move On])</f>
        <v>#N/A</v>
      </c>
      <c r="EM216" s="44" t="b">
        <f>IF(Table1[Registered with GP2]="Yes",1,IF(Table1[Registered with GP2]="No",0,IF(Table1[Registered with GP]="Yes",1,IF(Table1[Registered with GP]="No",0))))</f>
        <v>0</v>
      </c>
      <c r="EN216" s="44">
        <f>SUM(Table1[Data Leavers Date]+Table1[Data GP End])</f>
        <v>0</v>
      </c>
      <c r="EO216" s="44" t="str">
        <f>IF(Table1[EET2]="NEET",1,IF(Table1[EET2]="Employment",2,IF(Table1[EET2]="Education",2,IF(Table1[EET2]="Training",2,IF(Table1[EET2]="Retired",3,IF(Table1[EET]="NEET",1,IF(Table1[EET]="Employment",2,IF(Table1[EET]="Education",2,IF(Table1[EET]="Training",2,IF(Table1[EET]="Retired",3,""))))))))))</f>
        <v/>
      </c>
      <c r="EP216" s="44" t="e">
        <f>+Table1[[#This Row],[Data Leavers Date]]+Table1[[#This Row],[Data EET End]]</f>
        <v>#VALUE!</v>
      </c>
      <c r="EQ216" s="44">
        <f>IF(Table1[Exit Form Received]="Yes",1,0)</f>
        <v>0</v>
      </c>
      <c r="ER216" s="44">
        <f>+Table1[[#This Row],[Data Leavers Date]]+Table1[[#This Row],[Data Exit Forms]]</f>
        <v>0</v>
      </c>
      <c r="ES216" s="44" t="str">
        <f>IF(Table1[Data Leavers Date]=1000,SUM(Table1[Leaving Date]-Table1[Start Date]),"")</f>
        <v/>
      </c>
      <c r="ET216" s="44" t="str">
        <f>IF(Table1[Data Leavers Date]=2000,SUM(Table1[Leaving Date]-Table1[Start Date]),"")</f>
        <v/>
      </c>
      <c r="EU216" s="44" t="str">
        <f>IF(Table1[Data Leavers Date]=3000,SUM(Table1[Leaving Date]-Table1[Start Date]),"")</f>
        <v/>
      </c>
      <c r="EV216" s="44" t="str">
        <f>IF(Table1[Data Leavers Date]=4000,SUM(Table1[Leaving Date]-Table1[Start Date]),"")</f>
        <v/>
      </c>
      <c r="EW216" s="44" t="str">
        <f>IF(Table1[Data Leavers Date]=5000,SUM(Table1[Leaving Date]-Table1[Start Date]),"")</f>
        <v/>
      </c>
      <c r="EX216" s="44" t="str">
        <f>IF(Table1[Data Leavers Date]=6000,SUM(Table1[Leaving Date]-Table1[Start Date]),"")</f>
        <v/>
      </c>
      <c r="EY216" s="44" t="str">
        <f>IF(Table1[Data Leavers Date]=7000,SUM(Table1[Leaving Date]-Table1[Start Date]),"")</f>
        <v/>
      </c>
      <c r="EZ216" s="44" t="str">
        <f>IF(Table1[Data Leavers Date]=8000,SUM(Table1[Leaving Date]-Table1[Start Date]),"")</f>
        <v/>
      </c>
      <c r="FA216" s="44" t="str">
        <f>IF(Table1[Date of Initial Assessment]="","",IF(AND(Table1[Start Date]&gt;42094,Table1[Start Date]&lt;42461),Table1[Motivation and Taking Responsibility],""))</f>
        <v/>
      </c>
      <c r="FB216" s="44" t="str">
        <f>IF(Table1[Date of Initial Assessment]="","",IF(AND(Table1[Start Date]&gt;42094,Table1[Start Date]&lt;42461),Table1[Self-Care and Living Skills],""))</f>
        <v/>
      </c>
      <c r="FC216" s="44" t="str">
        <f>IF(Table1[Date of Initial Assessment]="","",IF(AND(Table1[Start Date]&gt;42094,Table1[Start Date]&lt;42461),Table1[Managing Money and Personal Administration],""))</f>
        <v/>
      </c>
      <c r="FD216" s="44" t="str">
        <f>IF(Table1[Date of Initial Assessment]="","",IF(AND(Table1[Start Date]&gt;42094,Table1[Start Date]&lt;42461),Table1[Social Networks and Relationships],""))</f>
        <v/>
      </c>
      <c r="FE216" s="44" t="str">
        <f>IF(Table1[Date of Initial Assessment]="","",IF(AND(Table1[Start Date]&gt;42094,Table1[Start Date]&lt;42461),Table1[Drug and Alcohol Misuse],""))</f>
        <v/>
      </c>
      <c r="FF216" s="44" t="str">
        <f>IF(Table1[Date of Initial Assessment]="","",IF(AND(Table1[Start Date]&gt;42094,Table1[Start Date]&lt;42461),Table1[Physical Health],""))</f>
        <v/>
      </c>
      <c r="FG216" s="44" t="str">
        <f>IF(Table1[Date of Initial Assessment]="","",IF(AND(Table1[Start Date]&gt;42094,Table1[Start Date]&lt;42461),Table1[Emotional and Mental Health],""))</f>
        <v/>
      </c>
      <c r="FH216" s="44" t="str">
        <f>IF(Table1[Date of Initial Assessment]="","",IF(AND(Table1[Start Date]&gt;42094,Table1[Start Date]&lt;42461),Table1[Meaningful Use of Time],""))</f>
        <v/>
      </c>
      <c r="FI216" s="44" t="str">
        <f>IF(Table1[Date of Initial Assessment]="","",IF(AND(Table1[Start Date]&gt;42094,Table1[Start Date]&lt;42461),Table1[Managing Tenancy and Accommodation],""))</f>
        <v/>
      </c>
      <c r="FJ216" s="44" t="str">
        <f>IF(Table1[Date of Initial Assessment]="","",IF(AND(Table1[Start Date]&gt;42094,Table1[Start Date]&lt;42461),Table1[Offending],""))</f>
        <v/>
      </c>
      <c r="FK216" s="44" t="str">
        <f>IF(Table1[Leaving Date]="","",IF(Table1[Date of Initial Assessment]="","",IF(AND(Table1[Leaving Date]&gt;42094,Table1[Leaving Date]&lt;42461),IF(Table1[Date of Last Assessment]="",Table1[Motivation and Taking Responsibility],Table1[Motivation and Taking Responsibility2]),"")))</f>
        <v/>
      </c>
      <c r="FL216" s="44" t="str">
        <f>IF(Table1[Leaving Date]="","",IF(Table1[Date of Initial Assessment]="","",IF(AND(Table1[Leaving Date]&gt;42094,Table1[Leaving Date]&lt;42461),IF(Table1[Date of Last Assessment]="",Table1[Self-Care and Living Skills],Table1[Self-Care and Living Skills2]),"")))</f>
        <v/>
      </c>
      <c r="FM216" s="44" t="str">
        <f>IF(Table1[Leaving Date]="","",IF(Table1[Date of Initial Assessment]="","",IF(AND(Table1[Leaving Date]&gt;42094,Table1[Leaving Date]&lt;42461),IF(Table1[Date of Last Assessment]="",Table1[Managing Money and Personal Administration],Table1[Managing Money and Personal Administration2]),"")))</f>
        <v/>
      </c>
      <c r="FN216" s="44" t="str">
        <f>IF(Table1[Leaving Date]="","",IF(Table1[Date of Initial Assessment]="","",IF(AND(Table1[Leaving Date]&gt;42094,Table1[Leaving Date]&lt;42461),IF(Table1[Date of Last Assessment]="",Table1[Social Networks and Relationships],Table1[Social Networks and Relationships2]),"")))</f>
        <v/>
      </c>
      <c r="FO216" s="44" t="str">
        <f>IF(Table1[Leaving Date]="","",IF(Table1[Date of Initial Assessment]="","",IF(AND(Table1[Leaving Date]&gt;42094,Table1[Leaving Date]&lt;42461),IF(Table1[Date of Last Assessment]="",Table1[Drug and Alcohol Misuse],Table1[Drug and Alcohol Misuse2]),"")))</f>
        <v/>
      </c>
      <c r="FP216" s="44" t="str">
        <f>IF(Table1[Leaving Date]="","",IF(Table1[Date of Initial Assessment]="","",IF(AND(Table1[Leaving Date]&gt;42094,Table1[Leaving Date]&lt;42461),IF(Table1[Date of Last Assessment]="",Table1[Physical Health],Table1[Physical Health2]),"")))</f>
        <v/>
      </c>
      <c r="FQ216" s="44" t="str">
        <f>IF(Table1[Leaving Date]="","",IF(Table1[Date of Initial Assessment]="","",IF(AND(Table1[Leaving Date]&gt;42094,Table1[Leaving Date]&lt;42461),IF(Table1[Date of Last Assessment]="",Table1[Emotional and Mental Health],Table1[Emotional and Mental Health2]),"")))</f>
        <v/>
      </c>
      <c r="FR216" s="44" t="str">
        <f>IF(Table1[Leaving Date]="","",IF(Table1[Date of Initial Assessment]="","",IF(AND(Table1[Leaving Date]&gt;42094,Table1[Leaving Date]&lt;42461),IF(Table1[Date of Last Assessment]="",Table1[Meaningful Use of Time],Table1[Meaningful Use of Time2]),"")))</f>
        <v/>
      </c>
      <c r="FS216" s="44" t="str">
        <f>IF(Table1[Leaving Date]="","",IF(Table1[Date of Initial Assessment]="","",IF(AND(Table1[Leaving Date]&gt;42094,Table1[Leaving Date]&lt;42461),IF(Table1[Date of Last Assessment]="",Table1[Managing Tenancy and Accommodation],Table1[Managing Tenancy and Accommodation2]),"")))</f>
        <v/>
      </c>
      <c r="FT216" s="44" t="str">
        <f>IF(Table1[Leaving Date]="","",IF(Table1[Date of Initial Assessment]="","",IF(AND(Table1[Leaving Date]&gt;42094,Table1[Leaving Date]&lt;42461),IF(Table1[Date of Last Assessment]="",Table1[Offending],Table1[Offending2]),"")))</f>
        <v/>
      </c>
      <c r="FU216" s="44" t="str">
        <f>IF(Table1[Date of Initial Assessment]="","",IF(AND(Table1[Start Date]&gt;42460,Table1[Start Date]&lt;42826),Table1[Motivation and Taking Responsibility],""))</f>
        <v/>
      </c>
      <c r="FV216" s="44" t="str">
        <f>IF(Table1[Date of Initial Assessment]="","",IF(AND(Table1[Start Date]&gt;42460,Table1[Start Date]&lt;42826),Table1[Self-Care and Living Skills],""))</f>
        <v/>
      </c>
      <c r="FW216" s="44" t="str">
        <f>IF(Table1[Date of Initial Assessment]="","",IF(AND(Table1[Start Date]&gt;42460,Table1[Start Date]&lt;42826),Table1[Managing Money and Personal Administration],""))</f>
        <v/>
      </c>
      <c r="FX216" s="44" t="str">
        <f>IF(Table1[Date of Initial Assessment]="","",IF(AND(Table1[Start Date]&gt;42460,Table1[Start Date]&lt;42826),Table1[Social Networks and Relationships],""))</f>
        <v/>
      </c>
      <c r="FY216" s="44" t="str">
        <f>IF(Table1[Date of Initial Assessment]="","",IF(AND(Table1[Start Date]&gt;42460,Table1[Start Date]&lt;42826),Table1[Drug and Alcohol Misuse],""))</f>
        <v/>
      </c>
      <c r="FZ216" s="44" t="str">
        <f>IF(Table1[Date of Initial Assessment]="","",IF(AND(Table1[Start Date]&gt;42460,Table1[Start Date]&lt;42826),Table1[Physical Health],""))</f>
        <v/>
      </c>
      <c r="GA216" s="44" t="str">
        <f>IF(Table1[Date of Initial Assessment]="","",IF(AND(Table1[Start Date]&gt;42460,Table1[Start Date]&lt;42826),Table1[Emotional and Mental Health],""))</f>
        <v/>
      </c>
      <c r="GB216" s="44" t="str">
        <f>IF(Table1[Date of Initial Assessment]="","",IF(AND(Table1[Start Date]&gt;42460,Table1[Start Date]&lt;42826),Table1[Meaningful Use of Time],""))</f>
        <v/>
      </c>
      <c r="GC216" s="44" t="str">
        <f>IF(Table1[Date of Initial Assessment]="","",IF(AND(Table1[Start Date]&gt;42460,Table1[Start Date]&lt;42826),Table1[Managing Tenancy and Accommodation],""))</f>
        <v/>
      </c>
      <c r="GD216" s="44" t="str">
        <f>IF(Table1[Date of Initial Assessment]="","",IF(AND(Table1[Start Date]&gt;42460,Table1[Start Date]&lt;42826),Table1[Offending],""))</f>
        <v/>
      </c>
      <c r="GE216" s="44" t="str">
        <f>IF(Table1[Leaving Date]="","",IF(AND(Table1[Leaving Date]&gt;42460,Table1[Leaving Date]&lt;42826),IF(Table1[Date of Last Assessment]="",Table1[Motivation and Taking Responsibility],Table1[Motivation and Taking Responsibility2]),""))</f>
        <v/>
      </c>
      <c r="GF216" s="44" t="str">
        <f>IF(Table1[Leaving Date]="","",IF(AND(Table1[Leaving Date]&gt;42460,Table1[Leaving Date]&lt;42826),IF(Table1[Date of Last Assessment]="",Table1[Self-Care and Living Skills],Table1[Self-Care and Living Skills2]),""))</f>
        <v/>
      </c>
      <c r="GG216" s="44" t="str">
        <f>IF(Table1[Leaving Date]="","",IF(AND(Table1[Leaving Date]&gt;42460,Table1[Leaving Date]&lt;42826),IF(Table1[Date of Last Assessment]="",Table1[Managing Money and Personal Administration],Table1[Managing Money and Personal Administration2]),""))</f>
        <v/>
      </c>
      <c r="GH216" s="44" t="str">
        <f>IF(Table1[Leaving Date]="","",IF(AND(Table1[Leaving Date]&gt;42460,Table1[Leaving Date]&lt;42826),IF(Table1[Date of Last Assessment]="",Table1[Social Networks and Relationships],Table1[Social Networks and Relationships2]),""))</f>
        <v/>
      </c>
      <c r="GI216" s="44" t="str">
        <f>IF(Table1[Leaving Date]="","",IF(AND(Table1[Leaving Date]&gt;42460,Table1[Leaving Date]&lt;42826),IF(Table1[Date of Last Assessment]="",Table1[Drug and Alcohol Misuse],Table1[Drug and Alcohol Misuse2]),""))</f>
        <v/>
      </c>
      <c r="GJ216" s="44" t="str">
        <f>IF(Table1[Leaving Date]="","",IF(AND(Table1[Leaving Date]&gt;42460,Table1[Leaving Date]&lt;42826),IF(Table1[Date of Last Assessment]="",Table1[Physical Health],Table1[Physical Health2]),""))</f>
        <v/>
      </c>
      <c r="GK216" s="44" t="str">
        <f>IF(Table1[Leaving Date]="","",IF(AND(Table1[Leaving Date]&gt;42460,Table1[Leaving Date]&lt;42826),IF(Table1[Date of Last Assessment]="",Table1[Emotional and Mental Health],Table1[Emotional and Mental Health2]),""))</f>
        <v/>
      </c>
      <c r="GL216" s="44" t="str">
        <f>IF(Table1[Leaving Date]="","",IF(AND(Table1[Leaving Date]&gt;42460,Table1[Leaving Date]&lt;42826),IF(Table1[Date of Last Assessment]="",Table1[Meaningful Use of Time],Table1[Meaningful Use of Time2]),""))</f>
        <v/>
      </c>
      <c r="GM216" s="44" t="str">
        <f>IF(Table1[Leaving Date]="","",IF(AND(Table1[Leaving Date]&gt;42460,Table1[Leaving Date]&lt;42826),IF(Table1[Date of Last Assessment]="",Table1[Managing Tenancy and Accommodation],Table1[Managing Tenancy and Accommodation2]),""))</f>
        <v/>
      </c>
      <c r="GN216" s="44" t="str">
        <f>IF(Table1[Leaving Date]="","",IF(AND(Table1[Leaving Date]&gt;42460,Table1[Leaving Date]&lt;42826),IF(Table1[Date of Last Assessment]="",Table1[Offending],Table1[Offending2]),""))</f>
        <v/>
      </c>
    </row>
    <row r="217" spans="2:196" ht="20.100000000000001" customHeight="1" x14ac:dyDescent="0.2">
      <c r="B217" s="86">
        <f>+'Service Data'!$C$5:$C$5</f>
        <v>0</v>
      </c>
      <c r="C217" s="86"/>
      <c r="D217" s="86"/>
      <c r="E217" s="86"/>
      <c r="F217" s="86"/>
      <c r="G217" s="86"/>
      <c r="H217" s="6"/>
      <c r="I217" s="99" t="str">
        <f ca="1">IF(Table1[[#This Row],[Date of Birth]]="","",SUM(TODAY()-Table1[[#This Row],[Date of Birth]])/365)</f>
        <v/>
      </c>
      <c r="L217" s="86"/>
      <c r="M217" s="77"/>
      <c r="N217" s="86"/>
      <c r="O217" s="86"/>
      <c r="P217" s="91"/>
      <c r="Q217" s="86"/>
      <c r="R217" s="77"/>
      <c r="S217" s="77"/>
      <c r="T217" s="68"/>
      <c r="U217" s="68"/>
      <c r="V217" s="67"/>
      <c r="W217" s="67"/>
      <c r="X217" s="67"/>
      <c r="Y217" s="67"/>
      <c r="Z217" s="67"/>
      <c r="AA217" s="67"/>
      <c r="AB217" s="67"/>
      <c r="AC217" s="67"/>
      <c r="AD217" s="67"/>
      <c r="AE217" s="67"/>
      <c r="AF217" s="67"/>
      <c r="AG217" s="67"/>
      <c r="AH217" s="67"/>
      <c r="AI217" s="67"/>
      <c r="AJ217" s="67"/>
      <c r="AK217" s="67"/>
      <c r="AL217" s="67"/>
      <c r="AM217" s="67"/>
      <c r="AN217" s="77"/>
      <c r="AO217" s="76"/>
      <c r="AP217" s="77"/>
      <c r="AQ217" s="76"/>
      <c r="AR217" s="76"/>
      <c r="AS217" s="76"/>
      <c r="AT217" s="76"/>
      <c r="AU217" s="76"/>
      <c r="AV217" s="77"/>
      <c r="AW217" s="76"/>
      <c r="AX217" s="77"/>
      <c r="AY217" s="76"/>
      <c r="AZ217" s="76"/>
      <c r="BA217" s="76"/>
      <c r="BB217" s="76"/>
      <c r="BC217" s="76"/>
      <c r="BD217" s="77"/>
      <c r="BE217" s="76"/>
      <c r="BF217" s="77"/>
      <c r="BG217" s="76"/>
      <c r="BH217" s="76"/>
      <c r="BI217" s="76"/>
      <c r="BJ217" s="76"/>
      <c r="BK217" s="76"/>
      <c r="BL217" s="77"/>
      <c r="BM217" s="76"/>
      <c r="BN217" s="77"/>
      <c r="BO217" s="76"/>
      <c r="BP217" s="76"/>
      <c r="BQ217" s="76"/>
      <c r="BR217" s="76"/>
      <c r="BS217" s="76"/>
      <c r="BT217" s="77"/>
      <c r="BU217" s="76"/>
      <c r="BV217" s="77"/>
      <c r="BW217" s="76"/>
      <c r="BX217" s="76"/>
      <c r="BY217" s="76"/>
      <c r="BZ217" s="76"/>
      <c r="CA217" s="76"/>
      <c r="CB217" s="77"/>
      <c r="CC217" s="76"/>
      <c r="CD217" s="77"/>
      <c r="CE217" s="76"/>
      <c r="CF217" s="76"/>
      <c r="CG217" s="76"/>
      <c r="CH217" s="76"/>
      <c r="CI217" s="76"/>
      <c r="CJ217" s="77"/>
      <c r="CK217" s="76"/>
      <c r="CL217" s="77"/>
      <c r="CM217" s="76"/>
      <c r="CN217" s="76"/>
      <c r="CO217" s="76"/>
      <c r="CP217" s="76"/>
      <c r="CQ217" s="76"/>
      <c r="CR217" s="78" t="str">
        <f t="shared" si="63"/>
        <v/>
      </c>
      <c r="CS217" s="79" t="str">
        <f t="shared" si="64"/>
        <v/>
      </c>
      <c r="CT217" s="79" t="str">
        <f t="shared" si="65"/>
        <v/>
      </c>
      <c r="CU217" s="79" t="str">
        <f t="shared" si="66"/>
        <v/>
      </c>
      <c r="CV217" s="79" t="str">
        <f t="shared" si="67"/>
        <v/>
      </c>
      <c r="CW217" s="79" t="str">
        <f t="shared" si="68"/>
        <v/>
      </c>
      <c r="CX217" s="79" t="str">
        <f t="shared" si="69"/>
        <v/>
      </c>
      <c r="CY217" s="79" t="str">
        <f t="shared" si="70"/>
        <v/>
      </c>
      <c r="CZ217" s="79" t="str">
        <f t="shared" si="71"/>
        <v/>
      </c>
      <c r="DA217" s="79" t="str">
        <f t="shared" si="72"/>
        <v/>
      </c>
      <c r="DB217" s="79" t="str">
        <f t="shared" si="73"/>
        <v/>
      </c>
      <c r="DC217" s="79" t="str">
        <f t="shared" si="74"/>
        <v/>
      </c>
      <c r="DD217" s="79" t="str">
        <f t="shared" si="75"/>
        <v/>
      </c>
      <c r="DE217" s="79" t="str">
        <f t="shared" si="76"/>
        <v/>
      </c>
      <c r="DF217" s="79" t="str">
        <f t="shared" si="77"/>
        <v/>
      </c>
      <c r="DG217" s="79" t="str">
        <f t="shared" si="78"/>
        <v/>
      </c>
      <c r="DH217" s="76"/>
      <c r="DI217" s="78"/>
      <c r="DJ217" s="76"/>
      <c r="DK217" s="77"/>
      <c r="DL217" s="77"/>
      <c r="DM217" s="77"/>
      <c r="DN217" s="80"/>
      <c r="DO217" s="80"/>
      <c r="DP217" s="92" t="str">
        <f>IF(Table1[Start Date]="","",IF(Table1[Start Date]&gt;42185,"",IF(AND(Table1[Leaving Date]&gt;1,Table1[Leaving Date]&lt;42095),"",1)))</f>
        <v/>
      </c>
      <c r="DQ217" s="92" t="str">
        <f>IF(Table1[Start Date]="","",IF(Table1[Start Date]&gt;42277,"",IF(AND(Table1[Leaving Date]&gt;1,Table1[Leaving Date]&lt;42186),"",1)))</f>
        <v/>
      </c>
      <c r="DR217" s="92" t="str">
        <f>IF(Table1[Start Date]="","",IF(Table1[Start Date]&gt;42369,"",IF(AND(Table1[Leaving Date]&gt;1,Table1[Leaving Date]&lt;42278),"",1)))</f>
        <v/>
      </c>
      <c r="DS217" s="92" t="str">
        <f>IF(Table1[Start Date]="","",IF(Table1[Start Date]&gt;42460,"",IF(AND(Table1[Leaving Date]&gt;1,Table1[Leaving Date]&lt;42370),"",1)))</f>
        <v/>
      </c>
      <c r="DT217" s="92" t="str">
        <f>IF(Table1[Start Date]="","",IF(Table1[Start Date]&gt;42551,"",IF(AND(Table1[Leaving Date]&gt;1,Table1[Leaving Date]&lt;42461),"",1)))</f>
        <v/>
      </c>
      <c r="DU217" s="92" t="str">
        <f>IF(Table1[Start Date]="","",IF(Table1[Start Date]&gt;42643,"",IF(AND(Table1[Leaving Date]&gt;1,Table1[Leaving Date]&lt;42552),"",1)))</f>
        <v/>
      </c>
      <c r="DV217" s="92" t="str">
        <f>IF(Table1[Start Date]="","",IF(Table1[Start Date]&gt;42735,"",IF(AND(Table1[Leaving Date]&gt;1,Table1[Leaving Date]&lt;42644),"",1)))</f>
        <v/>
      </c>
      <c r="DW217" s="92" t="str">
        <f>IF(Table1[Start Date]="","",IF(Table1[Start Date]&gt;42825,"",IF(AND(Table1[Leaving Date]&gt;1,Table1[Leaving Date]&lt;42736),"",1)))</f>
        <v/>
      </c>
      <c r="DX217"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217" s="44" t="e">
        <f>VLOOKUP(Table1[Referral Source],Lists!$G$2:$H$20,2,FALSE)</f>
        <v>#N/A</v>
      </c>
      <c r="DZ217" s="93" t="e">
        <f>SUM(Table1[Data Referral Quarter]+Table1[Data Referral Source])</f>
        <v>#N/A</v>
      </c>
      <c r="EA217" s="44" t="b">
        <f>IF(Table1[Referral Decision]="Accepted",100,IF(Table1[Referral Decision]="Rejected by Provider",200,IF(Table1[Referral Decision]="Rejected by Applicant",300)))</f>
        <v>0</v>
      </c>
      <c r="EB217" s="44">
        <f>SUM(Table1[Data Referral Quarter]+Table1[Data Referral Decision])</f>
        <v>0</v>
      </c>
      <c r="EC217" s="44" t="b">
        <f>IF(Table1[Start Date]&gt;42735,8000,IF(Table1[Start Date]&gt;42643,7000,IF(Table1[Start Date]&gt;42551,6000,IF(Table1[Start Date]&gt;42460,5000,IF(Table1[Start Date]&gt;42369,4000,IF(Table1[Start Date]&gt;42277,3000,IF(Table1[Start Date]&gt;42185,2000,IF(Table1[Start Date]&gt;42094,1000))))))))</f>
        <v>0</v>
      </c>
      <c r="ED217" s="44" t="str">
        <f>IF(Table1[Start Date]="","",IF(Table1[Current Local Authority]="Swindon",1,"2"))</f>
        <v/>
      </c>
      <c r="EE217" s="44" t="e">
        <f>SUM(Table1[Data Start Date]+Table1[Data Local Authority])</f>
        <v>#VALUE!</v>
      </c>
      <c r="EF217" s="44">
        <f>IF(Table1[Registered with GP]="Yes",1,0)</f>
        <v>0</v>
      </c>
      <c r="EG217" s="44">
        <f>SUM(Table1[Data Start Date]+Table1[Data GP Start])</f>
        <v>0</v>
      </c>
      <c r="EH217" s="44" t="str">
        <f>IF(Table1[EET]="NEET",1,IF(Table1[EET]="Education",2,IF(Table1[EET]="Employment",2,IF(Table1[EET]="Training",2,IF(Table1[EET]="Retired",3,"")))))</f>
        <v/>
      </c>
      <c r="EI217" s="44" t="e">
        <f>Table1[Data Start Date]+Table1[Data EET Start]</f>
        <v>#VALUE!</v>
      </c>
      <c r="EJ217" s="44" t="b">
        <f>IF(Table1[Leaving Date]&gt;42735,8000,IF(Table1[Leaving Date]&gt;42643,7000,IF(Table1[Leaving Date]&gt;42551,6000,IF(Table1[Leaving Date]&gt;42460,5000,IF(Table1[Leaving Date]&gt;42369,4000,IF(Table1[Leaving Date]&gt;42277,3000,IF(Table1[Leaving Date]&gt;42185,2000,IF(Table1[Leaving Date]&gt;42094,1000))))))))</f>
        <v>0</v>
      </c>
      <c r="EK217" s="44" t="e">
        <f>VLOOKUP(Table1[Reason for Leaving],Lists!$T$2:$U$15,2,FALSE)</f>
        <v>#N/A</v>
      </c>
      <c r="EL217" s="44" t="e">
        <f>SUM(Table1[Data Leavers Date]+Table1[Data Move On])</f>
        <v>#N/A</v>
      </c>
      <c r="EM217" s="44" t="b">
        <f>IF(Table1[Registered with GP2]="Yes",1,IF(Table1[Registered with GP2]="No",0,IF(Table1[Registered with GP]="Yes",1,IF(Table1[Registered with GP]="No",0))))</f>
        <v>0</v>
      </c>
      <c r="EN217" s="44">
        <f>SUM(Table1[Data Leavers Date]+Table1[Data GP End])</f>
        <v>0</v>
      </c>
      <c r="EO217" s="44" t="str">
        <f>IF(Table1[EET2]="NEET",1,IF(Table1[EET2]="Employment",2,IF(Table1[EET2]="Education",2,IF(Table1[EET2]="Training",2,IF(Table1[EET2]="Retired",3,IF(Table1[EET]="NEET",1,IF(Table1[EET]="Employment",2,IF(Table1[EET]="Education",2,IF(Table1[EET]="Training",2,IF(Table1[EET]="Retired",3,""))))))))))</f>
        <v/>
      </c>
      <c r="EP217" s="44" t="e">
        <f>+Table1[[#This Row],[Data Leavers Date]]+Table1[[#This Row],[Data EET End]]</f>
        <v>#VALUE!</v>
      </c>
      <c r="EQ217" s="44">
        <f>IF(Table1[Exit Form Received]="Yes",1,0)</f>
        <v>0</v>
      </c>
      <c r="ER217" s="44">
        <f>+Table1[[#This Row],[Data Leavers Date]]+Table1[[#This Row],[Data Exit Forms]]</f>
        <v>0</v>
      </c>
      <c r="ES217" s="44" t="str">
        <f>IF(Table1[Data Leavers Date]=1000,SUM(Table1[Leaving Date]-Table1[Start Date]),"")</f>
        <v/>
      </c>
      <c r="ET217" s="44" t="str">
        <f>IF(Table1[Data Leavers Date]=2000,SUM(Table1[Leaving Date]-Table1[Start Date]),"")</f>
        <v/>
      </c>
      <c r="EU217" s="44" t="str">
        <f>IF(Table1[Data Leavers Date]=3000,SUM(Table1[Leaving Date]-Table1[Start Date]),"")</f>
        <v/>
      </c>
      <c r="EV217" s="44" t="str">
        <f>IF(Table1[Data Leavers Date]=4000,SUM(Table1[Leaving Date]-Table1[Start Date]),"")</f>
        <v/>
      </c>
      <c r="EW217" s="44" t="str">
        <f>IF(Table1[Data Leavers Date]=5000,SUM(Table1[Leaving Date]-Table1[Start Date]),"")</f>
        <v/>
      </c>
      <c r="EX217" s="44" t="str">
        <f>IF(Table1[Data Leavers Date]=6000,SUM(Table1[Leaving Date]-Table1[Start Date]),"")</f>
        <v/>
      </c>
      <c r="EY217" s="44" t="str">
        <f>IF(Table1[Data Leavers Date]=7000,SUM(Table1[Leaving Date]-Table1[Start Date]),"")</f>
        <v/>
      </c>
      <c r="EZ217" s="44" t="str">
        <f>IF(Table1[Data Leavers Date]=8000,SUM(Table1[Leaving Date]-Table1[Start Date]),"")</f>
        <v/>
      </c>
      <c r="FA217" s="44" t="str">
        <f>IF(Table1[Date of Initial Assessment]="","",IF(AND(Table1[Start Date]&gt;42094,Table1[Start Date]&lt;42461),Table1[Motivation and Taking Responsibility],""))</f>
        <v/>
      </c>
      <c r="FB217" s="44" t="str">
        <f>IF(Table1[Date of Initial Assessment]="","",IF(AND(Table1[Start Date]&gt;42094,Table1[Start Date]&lt;42461),Table1[Self-Care and Living Skills],""))</f>
        <v/>
      </c>
      <c r="FC217" s="44" t="str">
        <f>IF(Table1[Date of Initial Assessment]="","",IF(AND(Table1[Start Date]&gt;42094,Table1[Start Date]&lt;42461),Table1[Managing Money and Personal Administration],""))</f>
        <v/>
      </c>
      <c r="FD217" s="44" t="str">
        <f>IF(Table1[Date of Initial Assessment]="","",IF(AND(Table1[Start Date]&gt;42094,Table1[Start Date]&lt;42461),Table1[Social Networks and Relationships],""))</f>
        <v/>
      </c>
      <c r="FE217" s="44" t="str">
        <f>IF(Table1[Date of Initial Assessment]="","",IF(AND(Table1[Start Date]&gt;42094,Table1[Start Date]&lt;42461),Table1[Drug and Alcohol Misuse],""))</f>
        <v/>
      </c>
      <c r="FF217" s="44" t="str">
        <f>IF(Table1[Date of Initial Assessment]="","",IF(AND(Table1[Start Date]&gt;42094,Table1[Start Date]&lt;42461),Table1[Physical Health],""))</f>
        <v/>
      </c>
      <c r="FG217" s="44" t="str">
        <f>IF(Table1[Date of Initial Assessment]="","",IF(AND(Table1[Start Date]&gt;42094,Table1[Start Date]&lt;42461),Table1[Emotional and Mental Health],""))</f>
        <v/>
      </c>
      <c r="FH217" s="44" t="str">
        <f>IF(Table1[Date of Initial Assessment]="","",IF(AND(Table1[Start Date]&gt;42094,Table1[Start Date]&lt;42461),Table1[Meaningful Use of Time],""))</f>
        <v/>
      </c>
      <c r="FI217" s="44" t="str">
        <f>IF(Table1[Date of Initial Assessment]="","",IF(AND(Table1[Start Date]&gt;42094,Table1[Start Date]&lt;42461),Table1[Managing Tenancy and Accommodation],""))</f>
        <v/>
      </c>
      <c r="FJ217" s="44" t="str">
        <f>IF(Table1[Date of Initial Assessment]="","",IF(AND(Table1[Start Date]&gt;42094,Table1[Start Date]&lt;42461),Table1[Offending],""))</f>
        <v/>
      </c>
      <c r="FK217" s="44" t="str">
        <f>IF(Table1[Leaving Date]="","",IF(Table1[Date of Initial Assessment]="","",IF(AND(Table1[Leaving Date]&gt;42094,Table1[Leaving Date]&lt;42461),IF(Table1[Date of Last Assessment]="",Table1[Motivation and Taking Responsibility],Table1[Motivation and Taking Responsibility2]),"")))</f>
        <v/>
      </c>
      <c r="FL217" s="44" t="str">
        <f>IF(Table1[Leaving Date]="","",IF(Table1[Date of Initial Assessment]="","",IF(AND(Table1[Leaving Date]&gt;42094,Table1[Leaving Date]&lt;42461),IF(Table1[Date of Last Assessment]="",Table1[Self-Care and Living Skills],Table1[Self-Care and Living Skills2]),"")))</f>
        <v/>
      </c>
      <c r="FM217" s="44" t="str">
        <f>IF(Table1[Leaving Date]="","",IF(Table1[Date of Initial Assessment]="","",IF(AND(Table1[Leaving Date]&gt;42094,Table1[Leaving Date]&lt;42461),IF(Table1[Date of Last Assessment]="",Table1[Managing Money and Personal Administration],Table1[Managing Money and Personal Administration2]),"")))</f>
        <v/>
      </c>
      <c r="FN217" s="44" t="str">
        <f>IF(Table1[Leaving Date]="","",IF(Table1[Date of Initial Assessment]="","",IF(AND(Table1[Leaving Date]&gt;42094,Table1[Leaving Date]&lt;42461),IF(Table1[Date of Last Assessment]="",Table1[Social Networks and Relationships],Table1[Social Networks and Relationships2]),"")))</f>
        <v/>
      </c>
      <c r="FO217" s="44" t="str">
        <f>IF(Table1[Leaving Date]="","",IF(Table1[Date of Initial Assessment]="","",IF(AND(Table1[Leaving Date]&gt;42094,Table1[Leaving Date]&lt;42461),IF(Table1[Date of Last Assessment]="",Table1[Drug and Alcohol Misuse],Table1[Drug and Alcohol Misuse2]),"")))</f>
        <v/>
      </c>
      <c r="FP217" s="44" t="str">
        <f>IF(Table1[Leaving Date]="","",IF(Table1[Date of Initial Assessment]="","",IF(AND(Table1[Leaving Date]&gt;42094,Table1[Leaving Date]&lt;42461),IF(Table1[Date of Last Assessment]="",Table1[Physical Health],Table1[Physical Health2]),"")))</f>
        <v/>
      </c>
      <c r="FQ217" s="44" t="str">
        <f>IF(Table1[Leaving Date]="","",IF(Table1[Date of Initial Assessment]="","",IF(AND(Table1[Leaving Date]&gt;42094,Table1[Leaving Date]&lt;42461),IF(Table1[Date of Last Assessment]="",Table1[Emotional and Mental Health],Table1[Emotional and Mental Health2]),"")))</f>
        <v/>
      </c>
      <c r="FR217" s="44" t="str">
        <f>IF(Table1[Leaving Date]="","",IF(Table1[Date of Initial Assessment]="","",IF(AND(Table1[Leaving Date]&gt;42094,Table1[Leaving Date]&lt;42461),IF(Table1[Date of Last Assessment]="",Table1[Meaningful Use of Time],Table1[Meaningful Use of Time2]),"")))</f>
        <v/>
      </c>
      <c r="FS217" s="44" t="str">
        <f>IF(Table1[Leaving Date]="","",IF(Table1[Date of Initial Assessment]="","",IF(AND(Table1[Leaving Date]&gt;42094,Table1[Leaving Date]&lt;42461),IF(Table1[Date of Last Assessment]="",Table1[Managing Tenancy and Accommodation],Table1[Managing Tenancy and Accommodation2]),"")))</f>
        <v/>
      </c>
      <c r="FT217" s="44" t="str">
        <f>IF(Table1[Leaving Date]="","",IF(Table1[Date of Initial Assessment]="","",IF(AND(Table1[Leaving Date]&gt;42094,Table1[Leaving Date]&lt;42461),IF(Table1[Date of Last Assessment]="",Table1[Offending],Table1[Offending2]),"")))</f>
        <v/>
      </c>
      <c r="FU217" s="44" t="str">
        <f>IF(Table1[Date of Initial Assessment]="","",IF(AND(Table1[Start Date]&gt;42460,Table1[Start Date]&lt;42826),Table1[Motivation and Taking Responsibility],""))</f>
        <v/>
      </c>
      <c r="FV217" s="44" t="str">
        <f>IF(Table1[Date of Initial Assessment]="","",IF(AND(Table1[Start Date]&gt;42460,Table1[Start Date]&lt;42826),Table1[Self-Care and Living Skills],""))</f>
        <v/>
      </c>
      <c r="FW217" s="44" t="str">
        <f>IF(Table1[Date of Initial Assessment]="","",IF(AND(Table1[Start Date]&gt;42460,Table1[Start Date]&lt;42826),Table1[Managing Money and Personal Administration],""))</f>
        <v/>
      </c>
      <c r="FX217" s="44" t="str">
        <f>IF(Table1[Date of Initial Assessment]="","",IF(AND(Table1[Start Date]&gt;42460,Table1[Start Date]&lt;42826),Table1[Social Networks and Relationships],""))</f>
        <v/>
      </c>
      <c r="FY217" s="44" t="str">
        <f>IF(Table1[Date of Initial Assessment]="","",IF(AND(Table1[Start Date]&gt;42460,Table1[Start Date]&lt;42826),Table1[Drug and Alcohol Misuse],""))</f>
        <v/>
      </c>
      <c r="FZ217" s="44" t="str">
        <f>IF(Table1[Date of Initial Assessment]="","",IF(AND(Table1[Start Date]&gt;42460,Table1[Start Date]&lt;42826),Table1[Physical Health],""))</f>
        <v/>
      </c>
      <c r="GA217" s="44" t="str">
        <f>IF(Table1[Date of Initial Assessment]="","",IF(AND(Table1[Start Date]&gt;42460,Table1[Start Date]&lt;42826),Table1[Emotional and Mental Health],""))</f>
        <v/>
      </c>
      <c r="GB217" s="44" t="str">
        <f>IF(Table1[Date of Initial Assessment]="","",IF(AND(Table1[Start Date]&gt;42460,Table1[Start Date]&lt;42826),Table1[Meaningful Use of Time],""))</f>
        <v/>
      </c>
      <c r="GC217" s="44" t="str">
        <f>IF(Table1[Date of Initial Assessment]="","",IF(AND(Table1[Start Date]&gt;42460,Table1[Start Date]&lt;42826),Table1[Managing Tenancy and Accommodation],""))</f>
        <v/>
      </c>
      <c r="GD217" s="44" t="str">
        <f>IF(Table1[Date of Initial Assessment]="","",IF(AND(Table1[Start Date]&gt;42460,Table1[Start Date]&lt;42826),Table1[Offending],""))</f>
        <v/>
      </c>
      <c r="GE217" s="44" t="str">
        <f>IF(Table1[Leaving Date]="","",IF(AND(Table1[Leaving Date]&gt;42460,Table1[Leaving Date]&lt;42826),IF(Table1[Date of Last Assessment]="",Table1[Motivation and Taking Responsibility],Table1[Motivation and Taking Responsibility2]),""))</f>
        <v/>
      </c>
      <c r="GF217" s="44" t="str">
        <f>IF(Table1[Leaving Date]="","",IF(AND(Table1[Leaving Date]&gt;42460,Table1[Leaving Date]&lt;42826),IF(Table1[Date of Last Assessment]="",Table1[Self-Care and Living Skills],Table1[Self-Care and Living Skills2]),""))</f>
        <v/>
      </c>
      <c r="GG217" s="44" t="str">
        <f>IF(Table1[Leaving Date]="","",IF(AND(Table1[Leaving Date]&gt;42460,Table1[Leaving Date]&lt;42826),IF(Table1[Date of Last Assessment]="",Table1[Managing Money and Personal Administration],Table1[Managing Money and Personal Administration2]),""))</f>
        <v/>
      </c>
      <c r="GH217" s="44" t="str">
        <f>IF(Table1[Leaving Date]="","",IF(AND(Table1[Leaving Date]&gt;42460,Table1[Leaving Date]&lt;42826),IF(Table1[Date of Last Assessment]="",Table1[Social Networks and Relationships],Table1[Social Networks and Relationships2]),""))</f>
        <v/>
      </c>
      <c r="GI217" s="44" t="str">
        <f>IF(Table1[Leaving Date]="","",IF(AND(Table1[Leaving Date]&gt;42460,Table1[Leaving Date]&lt;42826),IF(Table1[Date of Last Assessment]="",Table1[Drug and Alcohol Misuse],Table1[Drug and Alcohol Misuse2]),""))</f>
        <v/>
      </c>
      <c r="GJ217" s="44" t="str">
        <f>IF(Table1[Leaving Date]="","",IF(AND(Table1[Leaving Date]&gt;42460,Table1[Leaving Date]&lt;42826),IF(Table1[Date of Last Assessment]="",Table1[Physical Health],Table1[Physical Health2]),""))</f>
        <v/>
      </c>
      <c r="GK217" s="44" t="str">
        <f>IF(Table1[Leaving Date]="","",IF(AND(Table1[Leaving Date]&gt;42460,Table1[Leaving Date]&lt;42826),IF(Table1[Date of Last Assessment]="",Table1[Emotional and Mental Health],Table1[Emotional and Mental Health2]),""))</f>
        <v/>
      </c>
      <c r="GL217" s="44" t="str">
        <f>IF(Table1[Leaving Date]="","",IF(AND(Table1[Leaving Date]&gt;42460,Table1[Leaving Date]&lt;42826),IF(Table1[Date of Last Assessment]="",Table1[Meaningful Use of Time],Table1[Meaningful Use of Time2]),""))</f>
        <v/>
      </c>
      <c r="GM217" s="44" t="str">
        <f>IF(Table1[Leaving Date]="","",IF(AND(Table1[Leaving Date]&gt;42460,Table1[Leaving Date]&lt;42826),IF(Table1[Date of Last Assessment]="",Table1[Managing Tenancy and Accommodation],Table1[Managing Tenancy and Accommodation2]),""))</f>
        <v/>
      </c>
      <c r="GN217" s="44" t="str">
        <f>IF(Table1[Leaving Date]="","",IF(AND(Table1[Leaving Date]&gt;42460,Table1[Leaving Date]&lt;42826),IF(Table1[Date of Last Assessment]="",Table1[Offending],Table1[Offending2]),""))</f>
        <v/>
      </c>
    </row>
    <row r="218" spans="2:196" ht="20.100000000000001" customHeight="1" x14ac:dyDescent="0.2">
      <c r="B218" s="86">
        <f>+'Service Data'!$C$5:$C$5</f>
        <v>0</v>
      </c>
      <c r="C218" s="86"/>
      <c r="D218" s="86"/>
      <c r="E218" s="86"/>
      <c r="F218" s="86"/>
      <c r="G218" s="86"/>
      <c r="H218" s="6"/>
      <c r="I218" s="99" t="str">
        <f ca="1">IF(Table1[[#This Row],[Date of Birth]]="","",SUM(TODAY()-Table1[[#This Row],[Date of Birth]])/365)</f>
        <v/>
      </c>
      <c r="L218" s="86"/>
      <c r="M218" s="77"/>
      <c r="N218" s="86"/>
      <c r="O218" s="86"/>
      <c r="P218" s="91"/>
      <c r="Q218" s="86"/>
      <c r="R218" s="77"/>
      <c r="S218" s="77"/>
      <c r="T218" s="68"/>
      <c r="U218" s="68"/>
      <c r="V218" s="67"/>
      <c r="W218" s="67"/>
      <c r="X218" s="67"/>
      <c r="Y218" s="67"/>
      <c r="Z218" s="67"/>
      <c r="AA218" s="67"/>
      <c r="AB218" s="67"/>
      <c r="AC218" s="67"/>
      <c r="AD218" s="67"/>
      <c r="AE218" s="67"/>
      <c r="AF218" s="67"/>
      <c r="AG218" s="67"/>
      <c r="AH218" s="67"/>
      <c r="AI218" s="67"/>
      <c r="AJ218" s="67"/>
      <c r="AK218" s="67"/>
      <c r="AL218" s="67"/>
      <c r="AM218" s="67"/>
      <c r="AN218" s="77"/>
      <c r="AO218" s="76"/>
      <c r="AP218" s="77"/>
      <c r="AQ218" s="76"/>
      <c r="AR218" s="76"/>
      <c r="AS218" s="76"/>
      <c r="AT218" s="76"/>
      <c r="AU218" s="76"/>
      <c r="AV218" s="77"/>
      <c r="AW218" s="76"/>
      <c r="AX218" s="77"/>
      <c r="AY218" s="76"/>
      <c r="AZ218" s="76"/>
      <c r="BA218" s="76"/>
      <c r="BB218" s="76"/>
      <c r="BC218" s="76"/>
      <c r="BD218" s="77"/>
      <c r="BE218" s="76"/>
      <c r="BF218" s="77"/>
      <c r="BG218" s="76"/>
      <c r="BH218" s="76"/>
      <c r="BI218" s="76"/>
      <c r="BJ218" s="76"/>
      <c r="BK218" s="76"/>
      <c r="BL218" s="77"/>
      <c r="BM218" s="76"/>
      <c r="BN218" s="77"/>
      <c r="BO218" s="76"/>
      <c r="BP218" s="76"/>
      <c r="BQ218" s="76"/>
      <c r="BR218" s="76"/>
      <c r="BS218" s="76"/>
      <c r="BT218" s="77"/>
      <c r="BU218" s="76"/>
      <c r="BV218" s="77"/>
      <c r="BW218" s="76"/>
      <c r="BX218" s="76"/>
      <c r="BY218" s="76"/>
      <c r="BZ218" s="76"/>
      <c r="CA218" s="76"/>
      <c r="CB218" s="77"/>
      <c r="CC218" s="76"/>
      <c r="CD218" s="77"/>
      <c r="CE218" s="76"/>
      <c r="CF218" s="76"/>
      <c r="CG218" s="76"/>
      <c r="CH218" s="76"/>
      <c r="CI218" s="76"/>
      <c r="CJ218" s="77"/>
      <c r="CK218" s="76"/>
      <c r="CL218" s="77"/>
      <c r="CM218" s="76"/>
      <c r="CN218" s="76"/>
      <c r="CO218" s="76"/>
      <c r="CP218" s="76"/>
      <c r="CQ218" s="76"/>
      <c r="CR218" s="78" t="str">
        <f t="shared" si="63"/>
        <v/>
      </c>
      <c r="CS218" s="79" t="str">
        <f t="shared" si="64"/>
        <v/>
      </c>
      <c r="CT218" s="79" t="str">
        <f t="shared" si="65"/>
        <v/>
      </c>
      <c r="CU218" s="79" t="str">
        <f t="shared" si="66"/>
        <v/>
      </c>
      <c r="CV218" s="79" t="str">
        <f t="shared" si="67"/>
        <v/>
      </c>
      <c r="CW218" s="79" t="str">
        <f t="shared" si="68"/>
        <v/>
      </c>
      <c r="CX218" s="79" t="str">
        <f t="shared" si="69"/>
        <v/>
      </c>
      <c r="CY218" s="79" t="str">
        <f t="shared" si="70"/>
        <v/>
      </c>
      <c r="CZ218" s="79" t="str">
        <f t="shared" si="71"/>
        <v/>
      </c>
      <c r="DA218" s="79" t="str">
        <f t="shared" si="72"/>
        <v/>
      </c>
      <c r="DB218" s="79" t="str">
        <f t="shared" si="73"/>
        <v/>
      </c>
      <c r="DC218" s="79" t="str">
        <f t="shared" si="74"/>
        <v/>
      </c>
      <c r="DD218" s="79" t="str">
        <f t="shared" si="75"/>
        <v/>
      </c>
      <c r="DE218" s="79" t="str">
        <f t="shared" si="76"/>
        <v/>
      </c>
      <c r="DF218" s="79" t="str">
        <f t="shared" si="77"/>
        <v/>
      </c>
      <c r="DG218" s="79" t="str">
        <f t="shared" si="78"/>
        <v/>
      </c>
      <c r="DH218" s="76"/>
      <c r="DI218" s="78"/>
      <c r="DJ218" s="76"/>
      <c r="DK218" s="77"/>
      <c r="DL218" s="77"/>
      <c r="DM218" s="77"/>
      <c r="DN218" s="80"/>
      <c r="DO218" s="80"/>
      <c r="DP218" s="92" t="str">
        <f>IF(Table1[Start Date]="","",IF(Table1[Start Date]&gt;42185,"",IF(AND(Table1[Leaving Date]&gt;1,Table1[Leaving Date]&lt;42095),"",1)))</f>
        <v/>
      </c>
      <c r="DQ218" s="92" t="str">
        <f>IF(Table1[Start Date]="","",IF(Table1[Start Date]&gt;42277,"",IF(AND(Table1[Leaving Date]&gt;1,Table1[Leaving Date]&lt;42186),"",1)))</f>
        <v/>
      </c>
      <c r="DR218" s="92" t="str">
        <f>IF(Table1[Start Date]="","",IF(Table1[Start Date]&gt;42369,"",IF(AND(Table1[Leaving Date]&gt;1,Table1[Leaving Date]&lt;42278),"",1)))</f>
        <v/>
      </c>
      <c r="DS218" s="92" t="str">
        <f>IF(Table1[Start Date]="","",IF(Table1[Start Date]&gt;42460,"",IF(AND(Table1[Leaving Date]&gt;1,Table1[Leaving Date]&lt;42370),"",1)))</f>
        <v/>
      </c>
      <c r="DT218" s="92" t="str">
        <f>IF(Table1[Start Date]="","",IF(Table1[Start Date]&gt;42551,"",IF(AND(Table1[Leaving Date]&gt;1,Table1[Leaving Date]&lt;42461),"",1)))</f>
        <v/>
      </c>
      <c r="DU218" s="92" t="str">
        <f>IF(Table1[Start Date]="","",IF(Table1[Start Date]&gt;42643,"",IF(AND(Table1[Leaving Date]&gt;1,Table1[Leaving Date]&lt;42552),"",1)))</f>
        <v/>
      </c>
      <c r="DV218" s="92" t="str">
        <f>IF(Table1[Start Date]="","",IF(Table1[Start Date]&gt;42735,"",IF(AND(Table1[Leaving Date]&gt;1,Table1[Leaving Date]&lt;42644),"",1)))</f>
        <v/>
      </c>
      <c r="DW218" s="92" t="str">
        <f>IF(Table1[Start Date]="","",IF(Table1[Start Date]&gt;42825,"",IF(AND(Table1[Leaving Date]&gt;1,Table1[Leaving Date]&lt;42736),"",1)))</f>
        <v/>
      </c>
      <c r="DX218"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218" s="44" t="e">
        <f>VLOOKUP(Table1[Referral Source],Lists!$G$2:$H$20,2,FALSE)</f>
        <v>#N/A</v>
      </c>
      <c r="DZ218" s="93" t="e">
        <f>SUM(Table1[Data Referral Quarter]+Table1[Data Referral Source])</f>
        <v>#N/A</v>
      </c>
      <c r="EA218" s="44" t="b">
        <f>IF(Table1[Referral Decision]="Accepted",100,IF(Table1[Referral Decision]="Rejected by Provider",200,IF(Table1[Referral Decision]="Rejected by Applicant",300)))</f>
        <v>0</v>
      </c>
      <c r="EB218" s="44">
        <f>SUM(Table1[Data Referral Quarter]+Table1[Data Referral Decision])</f>
        <v>0</v>
      </c>
      <c r="EC218" s="44" t="b">
        <f>IF(Table1[Start Date]&gt;42735,8000,IF(Table1[Start Date]&gt;42643,7000,IF(Table1[Start Date]&gt;42551,6000,IF(Table1[Start Date]&gt;42460,5000,IF(Table1[Start Date]&gt;42369,4000,IF(Table1[Start Date]&gt;42277,3000,IF(Table1[Start Date]&gt;42185,2000,IF(Table1[Start Date]&gt;42094,1000))))))))</f>
        <v>0</v>
      </c>
      <c r="ED218" s="44" t="str">
        <f>IF(Table1[Start Date]="","",IF(Table1[Current Local Authority]="Swindon",1,"2"))</f>
        <v/>
      </c>
      <c r="EE218" s="44" t="e">
        <f>SUM(Table1[Data Start Date]+Table1[Data Local Authority])</f>
        <v>#VALUE!</v>
      </c>
      <c r="EF218" s="44">
        <f>IF(Table1[Registered with GP]="Yes",1,0)</f>
        <v>0</v>
      </c>
      <c r="EG218" s="44">
        <f>SUM(Table1[Data Start Date]+Table1[Data GP Start])</f>
        <v>0</v>
      </c>
      <c r="EH218" s="44" t="str">
        <f>IF(Table1[EET]="NEET",1,IF(Table1[EET]="Education",2,IF(Table1[EET]="Employment",2,IF(Table1[EET]="Training",2,IF(Table1[EET]="Retired",3,"")))))</f>
        <v/>
      </c>
      <c r="EI218" s="44" t="e">
        <f>Table1[Data Start Date]+Table1[Data EET Start]</f>
        <v>#VALUE!</v>
      </c>
      <c r="EJ218" s="44" t="b">
        <f>IF(Table1[Leaving Date]&gt;42735,8000,IF(Table1[Leaving Date]&gt;42643,7000,IF(Table1[Leaving Date]&gt;42551,6000,IF(Table1[Leaving Date]&gt;42460,5000,IF(Table1[Leaving Date]&gt;42369,4000,IF(Table1[Leaving Date]&gt;42277,3000,IF(Table1[Leaving Date]&gt;42185,2000,IF(Table1[Leaving Date]&gt;42094,1000))))))))</f>
        <v>0</v>
      </c>
      <c r="EK218" s="44" t="e">
        <f>VLOOKUP(Table1[Reason for Leaving],Lists!$T$2:$U$15,2,FALSE)</f>
        <v>#N/A</v>
      </c>
      <c r="EL218" s="44" t="e">
        <f>SUM(Table1[Data Leavers Date]+Table1[Data Move On])</f>
        <v>#N/A</v>
      </c>
      <c r="EM218" s="44" t="b">
        <f>IF(Table1[Registered with GP2]="Yes",1,IF(Table1[Registered with GP2]="No",0,IF(Table1[Registered with GP]="Yes",1,IF(Table1[Registered with GP]="No",0))))</f>
        <v>0</v>
      </c>
      <c r="EN218" s="44">
        <f>SUM(Table1[Data Leavers Date]+Table1[Data GP End])</f>
        <v>0</v>
      </c>
      <c r="EO218" s="44" t="str">
        <f>IF(Table1[EET2]="NEET",1,IF(Table1[EET2]="Employment",2,IF(Table1[EET2]="Education",2,IF(Table1[EET2]="Training",2,IF(Table1[EET2]="Retired",3,IF(Table1[EET]="NEET",1,IF(Table1[EET]="Employment",2,IF(Table1[EET]="Education",2,IF(Table1[EET]="Training",2,IF(Table1[EET]="Retired",3,""))))))))))</f>
        <v/>
      </c>
      <c r="EP218" s="44" t="e">
        <f>+Table1[[#This Row],[Data Leavers Date]]+Table1[[#This Row],[Data EET End]]</f>
        <v>#VALUE!</v>
      </c>
      <c r="EQ218" s="44">
        <f>IF(Table1[Exit Form Received]="Yes",1,0)</f>
        <v>0</v>
      </c>
      <c r="ER218" s="44">
        <f>+Table1[[#This Row],[Data Leavers Date]]+Table1[[#This Row],[Data Exit Forms]]</f>
        <v>0</v>
      </c>
      <c r="ES218" s="44" t="str">
        <f>IF(Table1[Data Leavers Date]=1000,SUM(Table1[Leaving Date]-Table1[Start Date]),"")</f>
        <v/>
      </c>
      <c r="ET218" s="44" t="str">
        <f>IF(Table1[Data Leavers Date]=2000,SUM(Table1[Leaving Date]-Table1[Start Date]),"")</f>
        <v/>
      </c>
      <c r="EU218" s="44" t="str">
        <f>IF(Table1[Data Leavers Date]=3000,SUM(Table1[Leaving Date]-Table1[Start Date]),"")</f>
        <v/>
      </c>
      <c r="EV218" s="44" t="str">
        <f>IF(Table1[Data Leavers Date]=4000,SUM(Table1[Leaving Date]-Table1[Start Date]),"")</f>
        <v/>
      </c>
      <c r="EW218" s="44" t="str">
        <f>IF(Table1[Data Leavers Date]=5000,SUM(Table1[Leaving Date]-Table1[Start Date]),"")</f>
        <v/>
      </c>
      <c r="EX218" s="44" t="str">
        <f>IF(Table1[Data Leavers Date]=6000,SUM(Table1[Leaving Date]-Table1[Start Date]),"")</f>
        <v/>
      </c>
      <c r="EY218" s="44" t="str">
        <f>IF(Table1[Data Leavers Date]=7000,SUM(Table1[Leaving Date]-Table1[Start Date]),"")</f>
        <v/>
      </c>
      <c r="EZ218" s="44" t="str">
        <f>IF(Table1[Data Leavers Date]=8000,SUM(Table1[Leaving Date]-Table1[Start Date]),"")</f>
        <v/>
      </c>
      <c r="FA218" s="44" t="str">
        <f>IF(Table1[Date of Initial Assessment]="","",IF(AND(Table1[Start Date]&gt;42094,Table1[Start Date]&lt;42461),Table1[Motivation and Taking Responsibility],""))</f>
        <v/>
      </c>
      <c r="FB218" s="44" t="str">
        <f>IF(Table1[Date of Initial Assessment]="","",IF(AND(Table1[Start Date]&gt;42094,Table1[Start Date]&lt;42461),Table1[Self-Care and Living Skills],""))</f>
        <v/>
      </c>
      <c r="FC218" s="44" t="str">
        <f>IF(Table1[Date of Initial Assessment]="","",IF(AND(Table1[Start Date]&gt;42094,Table1[Start Date]&lt;42461),Table1[Managing Money and Personal Administration],""))</f>
        <v/>
      </c>
      <c r="FD218" s="44" t="str">
        <f>IF(Table1[Date of Initial Assessment]="","",IF(AND(Table1[Start Date]&gt;42094,Table1[Start Date]&lt;42461),Table1[Social Networks and Relationships],""))</f>
        <v/>
      </c>
      <c r="FE218" s="44" t="str">
        <f>IF(Table1[Date of Initial Assessment]="","",IF(AND(Table1[Start Date]&gt;42094,Table1[Start Date]&lt;42461),Table1[Drug and Alcohol Misuse],""))</f>
        <v/>
      </c>
      <c r="FF218" s="44" t="str">
        <f>IF(Table1[Date of Initial Assessment]="","",IF(AND(Table1[Start Date]&gt;42094,Table1[Start Date]&lt;42461),Table1[Physical Health],""))</f>
        <v/>
      </c>
      <c r="FG218" s="44" t="str">
        <f>IF(Table1[Date of Initial Assessment]="","",IF(AND(Table1[Start Date]&gt;42094,Table1[Start Date]&lt;42461),Table1[Emotional and Mental Health],""))</f>
        <v/>
      </c>
      <c r="FH218" s="44" t="str">
        <f>IF(Table1[Date of Initial Assessment]="","",IF(AND(Table1[Start Date]&gt;42094,Table1[Start Date]&lt;42461),Table1[Meaningful Use of Time],""))</f>
        <v/>
      </c>
      <c r="FI218" s="44" t="str">
        <f>IF(Table1[Date of Initial Assessment]="","",IF(AND(Table1[Start Date]&gt;42094,Table1[Start Date]&lt;42461),Table1[Managing Tenancy and Accommodation],""))</f>
        <v/>
      </c>
      <c r="FJ218" s="44" t="str">
        <f>IF(Table1[Date of Initial Assessment]="","",IF(AND(Table1[Start Date]&gt;42094,Table1[Start Date]&lt;42461),Table1[Offending],""))</f>
        <v/>
      </c>
      <c r="FK218" s="44" t="str">
        <f>IF(Table1[Leaving Date]="","",IF(Table1[Date of Initial Assessment]="","",IF(AND(Table1[Leaving Date]&gt;42094,Table1[Leaving Date]&lt;42461),IF(Table1[Date of Last Assessment]="",Table1[Motivation and Taking Responsibility],Table1[Motivation and Taking Responsibility2]),"")))</f>
        <v/>
      </c>
      <c r="FL218" s="44" t="str">
        <f>IF(Table1[Leaving Date]="","",IF(Table1[Date of Initial Assessment]="","",IF(AND(Table1[Leaving Date]&gt;42094,Table1[Leaving Date]&lt;42461),IF(Table1[Date of Last Assessment]="",Table1[Self-Care and Living Skills],Table1[Self-Care and Living Skills2]),"")))</f>
        <v/>
      </c>
      <c r="FM218" s="44" t="str">
        <f>IF(Table1[Leaving Date]="","",IF(Table1[Date of Initial Assessment]="","",IF(AND(Table1[Leaving Date]&gt;42094,Table1[Leaving Date]&lt;42461),IF(Table1[Date of Last Assessment]="",Table1[Managing Money and Personal Administration],Table1[Managing Money and Personal Administration2]),"")))</f>
        <v/>
      </c>
      <c r="FN218" s="44" t="str">
        <f>IF(Table1[Leaving Date]="","",IF(Table1[Date of Initial Assessment]="","",IF(AND(Table1[Leaving Date]&gt;42094,Table1[Leaving Date]&lt;42461),IF(Table1[Date of Last Assessment]="",Table1[Social Networks and Relationships],Table1[Social Networks and Relationships2]),"")))</f>
        <v/>
      </c>
      <c r="FO218" s="44" t="str">
        <f>IF(Table1[Leaving Date]="","",IF(Table1[Date of Initial Assessment]="","",IF(AND(Table1[Leaving Date]&gt;42094,Table1[Leaving Date]&lt;42461),IF(Table1[Date of Last Assessment]="",Table1[Drug and Alcohol Misuse],Table1[Drug and Alcohol Misuse2]),"")))</f>
        <v/>
      </c>
      <c r="FP218" s="44" t="str">
        <f>IF(Table1[Leaving Date]="","",IF(Table1[Date of Initial Assessment]="","",IF(AND(Table1[Leaving Date]&gt;42094,Table1[Leaving Date]&lt;42461),IF(Table1[Date of Last Assessment]="",Table1[Physical Health],Table1[Physical Health2]),"")))</f>
        <v/>
      </c>
      <c r="FQ218" s="44" t="str">
        <f>IF(Table1[Leaving Date]="","",IF(Table1[Date of Initial Assessment]="","",IF(AND(Table1[Leaving Date]&gt;42094,Table1[Leaving Date]&lt;42461),IF(Table1[Date of Last Assessment]="",Table1[Emotional and Mental Health],Table1[Emotional and Mental Health2]),"")))</f>
        <v/>
      </c>
      <c r="FR218" s="44" t="str">
        <f>IF(Table1[Leaving Date]="","",IF(Table1[Date of Initial Assessment]="","",IF(AND(Table1[Leaving Date]&gt;42094,Table1[Leaving Date]&lt;42461),IF(Table1[Date of Last Assessment]="",Table1[Meaningful Use of Time],Table1[Meaningful Use of Time2]),"")))</f>
        <v/>
      </c>
      <c r="FS218" s="44" t="str">
        <f>IF(Table1[Leaving Date]="","",IF(Table1[Date of Initial Assessment]="","",IF(AND(Table1[Leaving Date]&gt;42094,Table1[Leaving Date]&lt;42461),IF(Table1[Date of Last Assessment]="",Table1[Managing Tenancy and Accommodation],Table1[Managing Tenancy and Accommodation2]),"")))</f>
        <v/>
      </c>
      <c r="FT218" s="44" t="str">
        <f>IF(Table1[Leaving Date]="","",IF(Table1[Date of Initial Assessment]="","",IF(AND(Table1[Leaving Date]&gt;42094,Table1[Leaving Date]&lt;42461),IF(Table1[Date of Last Assessment]="",Table1[Offending],Table1[Offending2]),"")))</f>
        <v/>
      </c>
      <c r="FU218" s="44" t="str">
        <f>IF(Table1[Date of Initial Assessment]="","",IF(AND(Table1[Start Date]&gt;42460,Table1[Start Date]&lt;42826),Table1[Motivation and Taking Responsibility],""))</f>
        <v/>
      </c>
      <c r="FV218" s="44" t="str">
        <f>IF(Table1[Date of Initial Assessment]="","",IF(AND(Table1[Start Date]&gt;42460,Table1[Start Date]&lt;42826),Table1[Self-Care and Living Skills],""))</f>
        <v/>
      </c>
      <c r="FW218" s="44" t="str">
        <f>IF(Table1[Date of Initial Assessment]="","",IF(AND(Table1[Start Date]&gt;42460,Table1[Start Date]&lt;42826),Table1[Managing Money and Personal Administration],""))</f>
        <v/>
      </c>
      <c r="FX218" s="44" t="str">
        <f>IF(Table1[Date of Initial Assessment]="","",IF(AND(Table1[Start Date]&gt;42460,Table1[Start Date]&lt;42826),Table1[Social Networks and Relationships],""))</f>
        <v/>
      </c>
      <c r="FY218" s="44" t="str">
        <f>IF(Table1[Date of Initial Assessment]="","",IF(AND(Table1[Start Date]&gt;42460,Table1[Start Date]&lt;42826),Table1[Drug and Alcohol Misuse],""))</f>
        <v/>
      </c>
      <c r="FZ218" s="44" t="str">
        <f>IF(Table1[Date of Initial Assessment]="","",IF(AND(Table1[Start Date]&gt;42460,Table1[Start Date]&lt;42826),Table1[Physical Health],""))</f>
        <v/>
      </c>
      <c r="GA218" s="44" t="str">
        <f>IF(Table1[Date of Initial Assessment]="","",IF(AND(Table1[Start Date]&gt;42460,Table1[Start Date]&lt;42826),Table1[Emotional and Mental Health],""))</f>
        <v/>
      </c>
      <c r="GB218" s="44" t="str">
        <f>IF(Table1[Date of Initial Assessment]="","",IF(AND(Table1[Start Date]&gt;42460,Table1[Start Date]&lt;42826),Table1[Meaningful Use of Time],""))</f>
        <v/>
      </c>
      <c r="GC218" s="44" t="str">
        <f>IF(Table1[Date of Initial Assessment]="","",IF(AND(Table1[Start Date]&gt;42460,Table1[Start Date]&lt;42826),Table1[Managing Tenancy and Accommodation],""))</f>
        <v/>
      </c>
      <c r="GD218" s="44" t="str">
        <f>IF(Table1[Date of Initial Assessment]="","",IF(AND(Table1[Start Date]&gt;42460,Table1[Start Date]&lt;42826),Table1[Offending],""))</f>
        <v/>
      </c>
      <c r="GE218" s="44" t="str">
        <f>IF(Table1[Leaving Date]="","",IF(AND(Table1[Leaving Date]&gt;42460,Table1[Leaving Date]&lt;42826),IF(Table1[Date of Last Assessment]="",Table1[Motivation and Taking Responsibility],Table1[Motivation and Taking Responsibility2]),""))</f>
        <v/>
      </c>
      <c r="GF218" s="44" t="str">
        <f>IF(Table1[Leaving Date]="","",IF(AND(Table1[Leaving Date]&gt;42460,Table1[Leaving Date]&lt;42826),IF(Table1[Date of Last Assessment]="",Table1[Self-Care and Living Skills],Table1[Self-Care and Living Skills2]),""))</f>
        <v/>
      </c>
      <c r="GG218" s="44" t="str">
        <f>IF(Table1[Leaving Date]="","",IF(AND(Table1[Leaving Date]&gt;42460,Table1[Leaving Date]&lt;42826),IF(Table1[Date of Last Assessment]="",Table1[Managing Money and Personal Administration],Table1[Managing Money and Personal Administration2]),""))</f>
        <v/>
      </c>
      <c r="GH218" s="44" t="str">
        <f>IF(Table1[Leaving Date]="","",IF(AND(Table1[Leaving Date]&gt;42460,Table1[Leaving Date]&lt;42826),IF(Table1[Date of Last Assessment]="",Table1[Social Networks and Relationships],Table1[Social Networks and Relationships2]),""))</f>
        <v/>
      </c>
      <c r="GI218" s="44" t="str">
        <f>IF(Table1[Leaving Date]="","",IF(AND(Table1[Leaving Date]&gt;42460,Table1[Leaving Date]&lt;42826),IF(Table1[Date of Last Assessment]="",Table1[Drug and Alcohol Misuse],Table1[Drug and Alcohol Misuse2]),""))</f>
        <v/>
      </c>
      <c r="GJ218" s="44" t="str">
        <f>IF(Table1[Leaving Date]="","",IF(AND(Table1[Leaving Date]&gt;42460,Table1[Leaving Date]&lt;42826),IF(Table1[Date of Last Assessment]="",Table1[Physical Health],Table1[Physical Health2]),""))</f>
        <v/>
      </c>
      <c r="GK218" s="44" t="str">
        <f>IF(Table1[Leaving Date]="","",IF(AND(Table1[Leaving Date]&gt;42460,Table1[Leaving Date]&lt;42826),IF(Table1[Date of Last Assessment]="",Table1[Emotional and Mental Health],Table1[Emotional and Mental Health2]),""))</f>
        <v/>
      </c>
      <c r="GL218" s="44" t="str">
        <f>IF(Table1[Leaving Date]="","",IF(AND(Table1[Leaving Date]&gt;42460,Table1[Leaving Date]&lt;42826),IF(Table1[Date of Last Assessment]="",Table1[Meaningful Use of Time],Table1[Meaningful Use of Time2]),""))</f>
        <v/>
      </c>
      <c r="GM218" s="44" t="str">
        <f>IF(Table1[Leaving Date]="","",IF(AND(Table1[Leaving Date]&gt;42460,Table1[Leaving Date]&lt;42826),IF(Table1[Date of Last Assessment]="",Table1[Managing Tenancy and Accommodation],Table1[Managing Tenancy and Accommodation2]),""))</f>
        <v/>
      </c>
      <c r="GN218" s="44" t="str">
        <f>IF(Table1[Leaving Date]="","",IF(AND(Table1[Leaving Date]&gt;42460,Table1[Leaving Date]&lt;42826),IF(Table1[Date of Last Assessment]="",Table1[Offending],Table1[Offending2]),""))</f>
        <v/>
      </c>
    </row>
    <row r="219" spans="2:196" ht="20.100000000000001" customHeight="1" x14ac:dyDescent="0.2">
      <c r="B219" s="86">
        <f>+'Service Data'!$C$5:$C$5</f>
        <v>0</v>
      </c>
      <c r="C219" s="86"/>
      <c r="D219" s="86"/>
      <c r="E219" s="86"/>
      <c r="F219" s="86"/>
      <c r="G219" s="86"/>
      <c r="H219" s="6"/>
      <c r="I219" s="99" t="str">
        <f ca="1">IF(Table1[[#This Row],[Date of Birth]]="","",SUM(TODAY()-Table1[[#This Row],[Date of Birth]])/365)</f>
        <v/>
      </c>
      <c r="L219" s="86"/>
      <c r="M219" s="77"/>
      <c r="N219" s="86"/>
      <c r="O219" s="86"/>
      <c r="P219" s="91"/>
      <c r="Q219" s="86"/>
      <c r="R219" s="77"/>
      <c r="S219" s="77"/>
      <c r="T219" s="68"/>
      <c r="U219" s="68"/>
      <c r="V219" s="67"/>
      <c r="W219" s="67"/>
      <c r="X219" s="67"/>
      <c r="Y219" s="67"/>
      <c r="Z219" s="67"/>
      <c r="AA219" s="67"/>
      <c r="AB219" s="67"/>
      <c r="AC219" s="67"/>
      <c r="AD219" s="67"/>
      <c r="AE219" s="67"/>
      <c r="AF219" s="67"/>
      <c r="AG219" s="67"/>
      <c r="AH219" s="67"/>
      <c r="AI219" s="67"/>
      <c r="AJ219" s="67"/>
      <c r="AK219" s="67"/>
      <c r="AL219" s="67"/>
      <c r="AM219" s="67"/>
      <c r="AN219" s="77"/>
      <c r="AO219" s="76"/>
      <c r="AP219" s="77"/>
      <c r="AQ219" s="76"/>
      <c r="AR219" s="76"/>
      <c r="AS219" s="76"/>
      <c r="AT219" s="76"/>
      <c r="AU219" s="76"/>
      <c r="AV219" s="77"/>
      <c r="AW219" s="76"/>
      <c r="AX219" s="77"/>
      <c r="AY219" s="76"/>
      <c r="AZ219" s="76"/>
      <c r="BA219" s="76"/>
      <c r="BB219" s="76"/>
      <c r="BC219" s="76"/>
      <c r="BD219" s="77"/>
      <c r="BE219" s="76"/>
      <c r="BF219" s="77"/>
      <c r="BG219" s="76"/>
      <c r="BH219" s="76"/>
      <c r="BI219" s="76"/>
      <c r="BJ219" s="76"/>
      <c r="BK219" s="76"/>
      <c r="BL219" s="77"/>
      <c r="BM219" s="76"/>
      <c r="BN219" s="77"/>
      <c r="BO219" s="76"/>
      <c r="BP219" s="76"/>
      <c r="BQ219" s="76"/>
      <c r="BR219" s="76"/>
      <c r="BS219" s="76"/>
      <c r="BT219" s="77"/>
      <c r="BU219" s="76"/>
      <c r="BV219" s="77"/>
      <c r="BW219" s="76"/>
      <c r="BX219" s="76"/>
      <c r="BY219" s="76"/>
      <c r="BZ219" s="76"/>
      <c r="CA219" s="76"/>
      <c r="CB219" s="77"/>
      <c r="CC219" s="76"/>
      <c r="CD219" s="77"/>
      <c r="CE219" s="76"/>
      <c r="CF219" s="76"/>
      <c r="CG219" s="76"/>
      <c r="CH219" s="76"/>
      <c r="CI219" s="76"/>
      <c r="CJ219" s="77"/>
      <c r="CK219" s="76"/>
      <c r="CL219" s="77"/>
      <c r="CM219" s="76"/>
      <c r="CN219" s="76"/>
      <c r="CO219" s="76"/>
      <c r="CP219" s="76"/>
      <c r="CQ219" s="76"/>
      <c r="CR219" s="78" t="str">
        <f t="shared" si="63"/>
        <v/>
      </c>
      <c r="CS219" s="79" t="str">
        <f t="shared" si="64"/>
        <v/>
      </c>
      <c r="CT219" s="79" t="str">
        <f t="shared" si="65"/>
        <v/>
      </c>
      <c r="CU219" s="79" t="str">
        <f t="shared" si="66"/>
        <v/>
      </c>
      <c r="CV219" s="79" t="str">
        <f t="shared" si="67"/>
        <v/>
      </c>
      <c r="CW219" s="79" t="str">
        <f t="shared" si="68"/>
        <v/>
      </c>
      <c r="CX219" s="79" t="str">
        <f t="shared" si="69"/>
        <v/>
      </c>
      <c r="CY219" s="79" t="str">
        <f t="shared" si="70"/>
        <v/>
      </c>
      <c r="CZ219" s="79" t="str">
        <f t="shared" si="71"/>
        <v/>
      </c>
      <c r="DA219" s="79" t="str">
        <f t="shared" si="72"/>
        <v/>
      </c>
      <c r="DB219" s="79" t="str">
        <f t="shared" si="73"/>
        <v/>
      </c>
      <c r="DC219" s="79" t="str">
        <f t="shared" si="74"/>
        <v/>
      </c>
      <c r="DD219" s="79" t="str">
        <f t="shared" si="75"/>
        <v/>
      </c>
      <c r="DE219" s="79" t="str">
        <f t="shared" si="76"/>
        <v/>
      </c>
      <c r="DF219" s="79" t="str">
        <f t="shared" si="77"/>
        <v/>
      </c>
      <c r="DG219" s="79" t="str">
        <f t="shared" si="78"/>
        <v/>
      </c>
      <c r="DH219" s="76"/>
      <c r="DI219" s="78"/>
      <c r="DJ219" s="76"/>
      <c r="DK219" s="77"/>
      <c r="DL219" s="77"/>
      <c r="DM219" s="77"/>
      <c r="DN219" s="80"/>
      <c r="DO219" s="80"/>
      <c r="DP219" s="92" t="str">
        <f>IF(Table1[Start Date]="","",IF(Table1[Start Date]&gt;42185,"",IF(AND(Table1[Leaving Date]&gt;1,Table1[Leaving Date]&lt;42095),"",1)))</f>
        <v/>
      </c>
      <c r="DQ219" s="92" t="str">
        <f>IF(Table1[Start Date]="","",IF(Table1[Start Date]&gt;42277,"",IF(AND(Table1[Leaving Date]&gt;1,Table1[Leaving Date]&lt;42186),"",1)))</f>
        <v/>
      </c>
      <c r="DR219" s="92" t="str">
        <f>IF(Table1[Start Date]="","",IF(Table1[Start Date]&gt;42369,"",IF(AND(Table1[Leaving Date]&gt;1,Table1[Leaving Date]&lt;42278),"",1)))</f>
        <v/>
      </c>
      <c r="DS219" s="92" t="str">
        <f>IF(Table1[Start Date]="","",IF(Table1[Start Date]&gt;42460,"",IF(AND(Table1[Leaving Date]&gt;1,Table1[Leaving Date]&lt;42370),"",1)))</f>
        <v/>
      </c>
      <c r="DT219" s="92" t="str">
        <f>IF(Table1[Start Date]="","",IF(Table1[Start Date]&gt;42551,"",IF(AND(Table1[Leaving Date]&gt;1,Table1[Leaving Date]&lt;42461),"",1)))</f>
        <v/>
      </c>
      <c r="DU219" s="92" t="str">
        <f>IF(Table1[Start Date]="","",IF(Table1[Start Date]&gt;42643,"",IF(AND(Table1[Leaving Date]&gt;1,Table1[Leaving Date]&lt;42552),"",1)))</f>
        <v/>
      </c>
      <c r="DV219" s="92" t="str">
        <f>IF(Table1[Start Date]="","",IF(Table1[Start Date]&gt;42735,"",IF(AND(Table1[Leaving Date]&gt;1,Table1[Leaving Date]&lt;42644),"",1)))</f>
        <v/>
      </c>
      <c r="DW219" s="92" t="str">
        <f>IF(Table1[Start Date]="","",IF(Table1[Start Date]&gt;42825,"",IF(AND(Table1[Leaving Date]&gt;1,Table1[Leaving Date]&lt;42736),"",1)))</f>
        <v/>
      </c>
      <c r="DX219"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219" s="44" t="e">
        <f>VLOOKUP(Table1[Referral Source],Lists!$G$2:$H$20,2,FALSE)</f>
        <v>#N/A</v>
      </c>
      <c r="DZ219" s="93" t="e">
        <f>SUM(Table1[Data Referral Quarter]+Table1[Data Referral Source])</f>
        <v>#N/A</v>
      </c>
      <c r="EA219" s="44" t="b">
        <f>IF(Table1[Referral Decision]="Accepted",100,IF(Table1[Referral Decision]="Rejected by Provider",200,IF(Table1[Referral Decision]="Rejected by Applicant",300)))</f>
        <v>0</v>
      </c>
      <c r="EB219" s="44">
        <f>SUM(Table1[Data Referral Quarter]+Table1[Data Referral Decision])</f>
        <v>0</v>
      </c>
      <c r="EC219" s="44" t="b">
        <f>IF(Table1[Start Date]&gt;42735,8000,IF(Table1[Start Date]&gt;42643,7000,IF(Table1[Start Date]&gt;42551,6000,IF(Table1[Start Date]&gt;42460,5000,IF(Table1[Start Date]&gt;42369,4000,IF(Table1[Start Date]&gt;42277,3000,IF(Table1[Start Date]&gt;42185,2000,IF(Table1[Start Date]&gt;42094,1000))))))))</f>
        <v>0</v>
      </c>
      <c r="ED219" s="44" t="str">
        <f>IF(Table1[Start Date]="","",IF(Table1[Current Local Authority]="Swindon",1,"2"))</f>
        <v/>
      </c>
      <c r="EE219" s="44" t="e">
        <f>SUM(Table1[Data Start Date]+Table1[Data Local Authority])</f>
        <v>#VALUE!</v>
      </c>
      <c r="EF219" s="44">
        <f>IF(Table1[Registered with GP]="Yes",1,0)</f>
        <v>0</v>
      </c>
      <c r="EG219" s="44">
        <f>SUM(Table1[Data Start Date]+Table1[Data GP Start])</f>
        <v>0</v>
      </c>
      <c r="EH219" s="44" t="str">
        <f>IF(Table1[EET]="NEET",1,IF(Table1[EET]="Education",2,IF(Table1[EET]="Employment",2,IF(Table1[EET]="Training",2,IF(Table1[EET]="Retired",3,"")))))</f>
        <v/>
      </c>
      <c r="EI219" s="44" t="e">
        <f>Table1[Data Start Date]+Table1[Data EET Start]</f>
        <v>#VALUE!</v>
      </c>
      <c r="EJ219" s="44" t="b">
        <f>IF(Table1[Leaving Date]&gt;42735,8000,IF(Table1[Leaving Date]&gt;42643,7000,IF(Table1[Leaving Date]&gt;42551,6000,IF(Table1[Leaving Date]&gt;42460,5000,IF(Table1[Leaving Date]&gt;42369,4000,IF(Table1[Leaving Date]&gt;42277,3000,IF(Table1[Leaving Date]&gt;42185,2000,IF(Table1[Leaving Date]&gt;42094,1000))))))))</f>
        <v>0</v>
      </c>
      <c r="EK219" s="44" t="e">
        <f>VLOOKUP(Table1[Reason for Leaving],Lists!$T$2:$U$15,2,FALSE)</f>
        <v>#N/A</v>
      </c>
      <c r="EL219" s="44" t="e">
        <f>SUM(Table1[Data Leavers Date]+Table1[Data Move On])</f>
        <v>#N/A</v>
      </c>
      <c r="EM219" s="44" t="b">
        <f>IF(Table1[Registered with GP2]="Yes",1,IF(Table1[Registered with GP2]="No",0,IF(Table1[Registered with GP]="Yes",1,IF(Table1[Registered with GP]="No",0))))</f>
        <v>0</v>
      </c>
      <c r="EN219" s="44">
        <f>SUM(Table1[Data Leavers Date]+Table1[Data GP End])</f>
        <v>0</v>
      </c>
      <c r="EO219" s="44" t="str">
        <f>IF(Table1[EET2]="NEET",1,IF(Table1[EET2]="Employment",2,IF(Table1[EET2]="Education",2,IF(Table1[EET2]="Training",2,IF(Table1[EET2]="Retired",3,IF(Table1[EET]="NEET",1,IF(Table1[EET]="Employment",2,IF(Table1[EET]="Education",2,IF(Table1[EET]="Training",2,IF(Table1[EET]="Retired",3,""))))))))))</f>
        <v/>
      </c>
      <c r="EP219" s="44" t="e">
        <f>+Table1[[#This Row],[Data Leavers Date]]+Table1[[#This Row],[Data EET End]]</f>
        <v>#VALUE!</v>
      </c>
      <c r="EQ219" s="44">
        <f>IF(Table1[Exit Form Received]="Yes",1,0)</f>
        <v>0</v>
      </c>
      <c r="ER219" s="44">
        <f>+Table1[[#This Row],[Data Leavers Date]]+Table1[[#This Row],[Data Exit Forms]]</f>
        <v>0</v>
      </c>
      <c r="ES219" s="44" t="str">
        <f>IF(Table1[Data Leavers Date]=1000,SUM(Table1[Leaving Date]-Table1[Start Date]),"")</f>
        <v/>
      </c>
      <c r="ET219" s="44" t="str">
        <f>IF(Table1[Data Leavers Date]=2000,SUM(Table1[Leaving Date]-Table1[Start Date]),"")</f>
        <v/>
      </c>
      <c r="EU219" s="44" t="str">
        <f>IF(Table1[Data Leavers Date]=3000,SUM(Table1[Leaving Date]-Table1[Start Date]),"")</f>
        <v/>
      </c>
      <c r="EV219" s="44" t="str">
        <f>IF(Table1[Data Leavers Date]=4000,SUM(Table1[Leaving Date]-Table1[Start Date]),"")</f>
        <v/>
      </c>
      <c r="EW219" s="44" t="str">
        <f>IF(Table1[Data Leavers Date]=5000,SUM(Table1[Leaving Date]-Table1[Start Date]),"")</f>
        <v/>
      </c>
      <c r="EX219" s="44" t="str">
        <f>IF(Table1[Data Leavers Date]=6000,SUM(Table1[Leaving Date]-Table1[Start Date]),"")</f>
        <v/>
      </c>
      <c r="EY219" s="44" t="str">
        <f>IF(Table1[Data Leavers Date]=7000,SUM(Table1[Leaving Date]-Table1[Start Date]),"")</f>
        <v/>
      </c>
      <c r="EZ219" s="44" t="str">
        <f>IF(Table1[Data Leavers Date]=8000,SUM(Table1[Leaving Date]-Table1[Start Date]),"")</f>
        <v/>
      </c>
      <c r="FA219" s="44" t="str">
        <f>IF(Table1[Date of Initial Assessment]="","",IF(AND(Table1[Start Date]&gt;42094,Table1[Start Date]&lt;42461),Table1[Motivation and Taking Responsibility],""))</f>
        <v/>
      </c>
      <c r="FB219" s="44" t="str">
        <f>IF(Table1[Date of Initial Assessment]="","",IF(AND(Table1[Start Date]&gt;42094,Table1[Start Date]&lt;42461),Table1[Self-Care and Living Skills],""))</f>
        <v/>
      </c>
      <c r="FC219" s="44" t="str">
        <f>IF(Table1[Date of Initial Assessment]="","",IF(AND(Table1[Start Date]&gt;42094,Table1[Start Date]&lt;42461),Table1[Managing Money and Personal Administration],""))</f>
        <v/>
      </c>
      <c r="FD219" s="44" t="str">
        <f>IF(Table1[Date of Initial Assessment]="","",IF(AND(Table1[Start Date]&gt;42094,Table1[Start Date]&lt;42461),Table1[Social Networks and Relationships],""))</f>
        <v/>
      </c>
      <c r="FE219" s="44" t="str">
        <f>IF(Table1[Date of Initial Assessment]="","",IF(AND(Table1[Start Date]&gt;42094,Table1[Start Date]&lt;42461),Table1[Drug and Alcohol Misuse],""))</f>
        <v/>
      </c>
      <c r="FF219" s="44" t="str">
        <f>IF(Table1[Date of Initial Assessment]="","",IF(AND(Table1[Start Date]&gt;42094,Table1[Start Date]&lt;42461),Table1[Physical Health],""))</f>
        <v/>
      </c>
      <c r="FG219" s="44" t="str">
        <f>IF(Table1[Date of Initial Assessment]="","",IF(AND(Table1[Start Date]&gt;42094,Table1[Start Date]&lt;42461),Table1[Emotional and Mental Health],""))</f>
        <v/>
      </c>
      <c r="FH219" s="44" t="str">
        <f>IF(Table1[Date of Initial Assessment]="","",IF(AND(Table1[Start Date]&gt;42094,Table1[Start Date]&lt;42461),Table1[Meaningful Use of Time],""))</f>
        <v/>
      </c>
      <c r="FI219" s="44" t="str">
        <f>IF(Table1[Date of Initial Assessment]="","",IF(AND(Table1[Start Date]&gt;42094,Table1[Start Date]&lt;42461),Table1[Managing Tenancy and Accommodation],""))</f>
        <v/>
      </c>
      <c r="FJ219" s="44" t="str">
        <f>IF(Table1[Date of Initial Assessment]="","",IF(AND(Table1[Start Date]&gt;42094,Table1[Start Date]&lt;42461),Table1[Offending],""))</f>
        <v/>
      </c>
      <c r="FK219" s="44" t="str">
        <f>IF(Table1[Leaving Date]="","",IF(Table1[Date of Initial Assessment]="","",IF(AND(Table1[Leaving Date]&gt;42094,Table1[Leaving Date]&lt;42461),IF(Table1[Date of Last Assessment]="",Table1[Motivation and Taking Responsibility],Table1[Motivation and Taking Responsibility2]),"")))</f>
        <v/>
      </c>
      <c r="FL219" s="44" t="str">
        <f>IF(Table1[Leaving Date]="","",IF(Table1[Date of Initial Assessment]="","",IF(AND(Table1[Leaving Date]&gt;42094,Table1[Leaving Date]&lt;42461),IF(Table1[Date of Last Assessment]="",Table1[Self-Care and Living Skills],Table1[Self-Care and Living Skills2]),"")))</f>
        <v/>
      </c>
      <c r="FM219" s="44" t="str">
        <f>IF(Table1[Leaving Date]="","",IF(Table1[Date of Initial Assessment]="","",IF(AND(Table1[Leaving Date]&gt;42094,Table1[Leaving Date]&lt;42461),IF(Table1[Date of Last Assessment]="",Table1[Managing Money and Personal Administration],Table1[Managing Money and Personal Administration2]),"")))</f>
        <v/>
      </c>
      <c r="FN219" s="44" t="str">
        <f>IF(Table1[Leaving Date]="","",IF(Table1[Date of Initial Assessment]="","",IF(AND(Table1[Leaving Date]&gt;42094,Table1[Leaving Date]&lt;42461),IF(Table1[Date of Last Assessment]="",Table1[Social Networks and Relationships],Table1[Social Networks and Relationships2]),"")))</f>
        <v/>
      </c>
      <c r="FO219" s="44" t="str">
        <f>IF(Table1[Leaving Date]="","",IF(Table1[Date of Initial Assessment]="","",IF(AND(Table1[Leaving Date]&gt;42094,Table1[Leaving Date]&lt;42461),IF(Table1[Date of Last Assessment]="",Table1[Drug and Alcohol Misuse],Table1[Drug and Alcohol Misuse2]),"")))</f>
        <v/>
      </c>
      <c r="FP219" s="44" t="str">
        <f>IF(Table1[Leaving Date]="","",IF(Table1[Date of Initial Assessment]="","",IF(AND(Table1[Leaving Date]&gt;42094,Table1[Leaving Date]&lt;42461),IF(Table1[Date of Last Assessment]="",Table1[Physical Health],Table1[Physical Health2]),"")))</f>
        <v/>
      </c>
      <c r="FQ219" s="44" t="str">
        <f>IF(Table1[Leaving Date]="","",IF(Table1[Date of Initial Assessment]="","",IF(AND(Table1[Leaving Date]&gt;42094,Table1[Leaving Date]&lt;42461),IF(Table1[Date of Last Assessment]="",Table1[Emotional and Mental Health],Table1[Emotional and Mental Health2]),"")))</f>
        <v/>
      </c>
      <c r="FR219" s="44" t="str">
        <f>IF(Table1[Leaving Date]="","",IF(Table1[Date of Initial Assessment]="","",IF(AND(Table1[Leaving Date]&gt;42094,Table1[Leaving Date]&lt;42461),IF(Table1[Date of Last Assessment]="",Table1[Meaningful Use of Time],Table1[Meaningful Use of Time2]),"")))</f>
        <v/>
      </c>
      <c r="FS219" s="44" t="str">
        <f>IF(Table1[Leaving Date]="","",IF(Table1[Date of Initial Assessment]="","",IF(AND(Table1[Leaving Date]&gt;42094,Table1[Leaving Date]&lt;42461),IF(Table1[Date of Last Assessment]="",Table1[Managing Tenancy and Accommodation],Table1[Managing Tenancy and Accommodation2]),"")))</f>
        <v/>
      </c>
      <c r="FT219" s="44" t="str">
        <f>IF(Table1[Leaving Date]="","",IF(Table1[Date of Initial Assessment]="","",IF(AND(Table1[Leaving Date]&gt;42094,Table1[Leaving Date]&lt;42461),IF(Table1[Date of Last Assessment]="",Table1[Offending],Table1[Offending2]),"")))</f>
        <v/>
      </c>
      <c r="FU219" s="44" t="str">
        <f>IF(Table1[Date of Initial Assessment]="","",IF(AND(Table1[Start Date]&gt;42460,Table1[Start Date]&lt;42826),Table1[Motivation and Taking Responsibility],""))</f>
        <v/>
      </c>
      <c r="FV219" s="44" t="str">
        <f>IF(Table1[Date of Initial Assessment]="","",IF(AND(Table1[Start Date]&gt;42460,Table1[Start Date]&lt;42826),Table1[Self-Care and Living Skills],""))</f>
        <v/>
      </c>
      <c r="FW219" s="44" t="str">
        <f>IF(Table1[Date of Initial Assessment]="","",IF(AND(Table1[Start Date]&gt;42460,Table1[Start Date]&lt;42826),Table1[Managing Money and Personal Administration],""))</f>
        <v/>
      </c>
      <c r="FX219" s="44" t="str">
        <f>IF(Table1[Date of Initial Assessment]="","",IF(AND(Table1[Start Date]&gt;42460,Table1[Start Date]&lt;42826),Table1[Social Networks and Relationships],""))</f>
        <v/>
      </c>
      <c r="FY219" s="44" t="str">
        <f>IF(Table1[Date of Initial Assessment]="","",IF(AND(Table1[Start Date]&gt;42460,Table1[Start Date]&lt;42826),Table1[Drug and Alcohol Misuse],""))</f>
        <v/>
      </c>
      <c r="FZ219" s="44" t="str">
        <f>IF(Table1[Date of Initial Assessment]="","",IF(AND(Table1[Start Date]&gt;42460,Table1[Start Date]&lt;42826),Table1[Physical Health],""))</f>
        <v/>
      </c>
      <c r="GA219" s="44" t="str">
        <f>IF(Table1[Date of Initial Assessment]="","",IF(AND(Table1[Start Date]&gt;42460,Table1[Start Date]&lt;42826),Table1[Emotional and Mental Health],""))</f>
        <v/>
      </c>
      <c r="GB219" s="44" t="str">
        <f>IF(Table1[Date of Initial Assessment]="","",IF(AND(Table1[Start Date]&gt;42460,Table1[Start Date]&lt;42826),Table1[Meaningful Use of Time],""))</f>
        <v/>
      </c>
      <c r="GC219" s="44" t="str">
        <f>IF(Table1[Date of Initial Assessment]="","",IF(AND(Table1[Start Date]&gt;42460,Table1[Start Date]&lt;42826),Table1[Managing Tenancy and Accommodation],""))</f>
        <v/>
      </c>
      <c r="GD219" s="44" t="str">
        <f>IF(Table1[Date of Initial Assessment]="","",IF(AND(Table1[Start Date]&gt;42460,Table1[Start Date]&lt;42826),Table1[Offending],""))</f>
        <v/>
      </c>
      <c r="GE219" s="44" t="str">
        <f>IF(Table1[Leaving Date]="","",IF(AND(Table1[Leaving Date]&gt;42460,Table1[Leaving Date]&lt;42826),IF(Table1[Date of Last Assessment]="",Table1[Motivation and Taking Responsibility],Table1[Motivation and Taking Responsibility2]),""))</f>
        <v/>
      </c>
      <c r="GF219" s="44" t="str">
        <f>IF(Table1[Leaving Date]="","",IF(AND(Table1[Leaving Date]&gt;42460,Table1[Leaving Date]&lt;42826),IF(Table1[Date of Last Assessment]="",Table1[Self-Care and Living Skills],Table1[Self-Care and Living Skills2]),""))</f>
        <v/>
      </c>
      <c r="GG219" s="44" t="str">
        <f>IF(Table1[Leaving Date]="","",IF(AND(Table1[Leaving Date]&gt;42460,Table1[Leaving Date]&lt;42826),IF(Table1[Date of Last Assessment]="",Table1[Managing Money and Personal Administration],Table1[Managing Money and Personal Administration2]),""))</f>
        <v/>
      </c>
      <c r="GH219" s="44" t="str">
        <f>IF(Table1[Leaving Date]="","",IF(AND(Table1[Leaving Date]&gt;42460,Table1[Leaving Date]&lt;42826),IF(Table1[Date of Last Assessment]="",Table1[Social Networks and Relationships],Table1[Social Networks and Relationships2]),""))</f>
        <v/>
      </c>
      <c r="GI219" s="44" t="str">
        <f>IF(Table1[Leaving Date]="","",IF(AND(Table1[Leaving Date]&gt;42460,Table1[Leaving Date]&lt;42826),IF(Table1[Date of Last Assessment]="",Table1[Drug and Alcohol Misuse],Table1[Drug and Alcohol Misuse2]),""))</f>
        <v/>
      </c>
      <c r="GJ219" s="44" t="str">
        <f>IF(Table1[Leaving Date]="","",IF(AND(Table1[Leaving Date]&gt;42460,Table1[Leaving Date]&lt;42826),IF(Table1[Date of Last Assessment]="",Table1[Physical Health],Table1[Physical Health2]),""))</f>
        <v/>
      </c>
      <c r="GK219" s="44" t="str">
        <f>IF(Table1[Leaving Date]="","",IF(AND(Table1[Leaving Date]&gt;42460,Table1[Leaving Date]&lt;42826),IF(Table1[Date of Last Assessment]="",Table1[Emotional and Mental Health],Table1[Emotional and Mental Health2]),""))</f>
        <v/>
      </c>
      <c r="GL219" s="44" t="str">
        <f>IF(Table1[Leaving Date]="","",IF(AND(Table1[Leaving Date]&gt;42460,Table1[Leaving Date]&lt;42826),IF(Table1[Date of Last Assessment]="",Table1[Meaningful Use of Time],Table1[Meaningful Use of Time2]),""))</f>
        <v/>
      </c>
      <c r="GM219" s="44" t="str">
        <f>IF(Table1[Leaving Date]="","",IF(AND(Table1[Leaving Date]&gt;42460,Table1[Leaving Date]&lt;42826),IF(Table1[Date of Last Assessment]="",Table1[Managing Tenancy and Accommodation],Table1[Managing Tenancy and Accommodation2]),""))</f>
        <v/>
      </c>
      <c r="GN219" s="44" t="str">
        <f>IF(Table1[Leaving Date]="","",IF(AND(Table1[Leaving Date]&gt;42460,Table1[Leaving Date]&lt;42826),IF(Table1[Date of Last Assessment]="",Table1[Offending],Table1[Offending2]),""))</f>
        <v/>
      </c>
    </row>
    <row r="220" spans="2:196" ht="20.100000000000001" customHeight="1" x14ac:dyDescent="0.2">
      <c r="B220" s="86">
        <f>+'Service Data'!$C$5:$C$5</f>
        <v>0</v>
      </c>
      <c r="C220" s="86"/>
      <c r="D220" s="86"/>
      <c r="E220" s="86"/>
      <c r="F220" s="86"/>
      <c r="G220" s="86"/>
      <c r="H220" s="6"/>
      <c r="I220" s="99" t="str">
        <f ca="1">IF(Table1[[#This Row],[Date of Birth]]="","",SUM(TODAY()-Table1[[#This Row],[Date of Birth]])/365)</f>
        <v/>
      </c>
      <c r="L220" s="86"/>
      <c r="M220" s="77"/>
      <c r="N220" s="86"/>
      <c r="O220" s="86"/>
      <c r="P220" s="91"/>
      <c r="Q220" s="86"/>
      <c r="R220" s="77"/>
      <c r="S220" s="77"/>
      <c r="T220" s="68"/>
      <c r="U220" s="68"/>
      <c r="V220" s="67"/>
      <c r="W220" s="67"/>
      <c r="X220" s="67"/>
      <c r="Y220" s="67"/>
      <c r="Z220" s="67"/>
      <c r="AA220" s="67"/>
      <c r="AB220" s="67"/>
      <c r="AC220" s="67"/>
      <c r="AD220" s="67"/>
      <c r="AE220" s="67"/>
      <c r="AF220" s="67"/>
      <c r="AG220" s="67"/>
      <c r="AH220" s="67"/>
      <c r="AI220" s="67"/>
      <c r="AJ220" s="67"/>
      <c r="AK220" s="67"/>
      <c r="AL220" s="67"/>
      <c r="AM220" s="67"/>
      <c r="AN220" s="77"/>
      <c r="AO220" s="76"/>
      <c r="AP220" s="77"/>
      <c r="AQ220" s="76"/>
      <c r="AR220" s="76"/>
      <c r="AS220" s="76"/>
      <c r="AT220" s="76"/>
      <c r="AU220" s="76"/>
      <c r="AV220" s="77"/>
      <c r="AW220" s="76"/>
      <c r="AX220" s="77"/>
      <c r="AY220" s="76"/>
      <c r="AZ220" s="76"/>
      <c r="BA220" s="76"/>
      <c r="BB220" s="76"/>
      <c r="BC220" s="76"/>
      <c r="BD220" s="77"/>
      <c r="BE220" s="76"/>
      <c r="BF220" s="77"/>
      <c r="BG220" s="76"/>
      <c r="BH220" s="76"/>
      <c r="BI220" s="76"/>
      <c r="BJ220" s="76"/>
      <c r="BK220" s="76"/>
      <c r="BL220" s="77"/>
      <c r="BM220" s="76"/>
      <c r="BN220" s="77"/>
      <c r="BO220" s="76"/>
      <c r="BP220" s="76"/>
      <c r="BQ220" s="76"/>
      <c r="BR220" s="76"/>
      <c r="BS220" s="76"/>
      <c r="BT220" s="77"/>
      <c r="BU220" s="76"/>
      <c r="BV220" s="77"/>
      <c r="BW220" s="76"/>
      <c r="BX220" s="76"/>
      <c r="BY220" s="76"/>
      <c r="BZ220" s="76"/>
      <c r="CA220" s="76"/>
      <c r="CB220" s="77"/>
      <c r="CC220" s="76"/>
      <c r="CD220" s="77"/>
      <c r="CE220" s="76"/>
      <c r="CF220" s="76"/>
      <c r="CG220" s="76"/>
      <c r="CH220" s="76"/>
      <c r="CI220" s="76"/>
      <c r="CJ220" s="77"/>
      <c r="CK220" s="76"/>
      <c r="CL220" s="77"/>
      <c r="CM220" s="76"/>
      <c r="CN220" s="76"/>
      <c r="CO220" s="76"/>
      <c r="CP220" s="76"/>
      <c r="CQ220" s="76"/>
      <c r="CR220" s="78" t="str">
        <f t="shared" si="63"/>
        <v/>
      </c>
      <c r="CS220" s="79" t="str">
        <f t="shared" si="64"/>
        <v/>
      </c>
      <c r="CT220" s="79" t="str">
        <f t="shared" si="65"/>
        <v/>
      </c>
      <c r="CU220" s="79" t="str">
        <f t="shared" si="66"/>
        <v/>
      </c>
      <c r="CV220" s="79" t="str">
        <f t="shared" si="67"/>
        <v/>
      </c>
      <c r="CW220" s="79" t="str">
        <f t="shared" si="68"/>
        <v/>
      </c>
      <c r="CX220" s="79" t="str">
        <f t="shared" si="69"/>
        <v/>
      </c>
      <c r="CY220" s="79" t="str">
        <f t="shared" si="70"/>
        <v/>
      </c>
      <c r="CZ220" s="79" t="str">
        <f t="shared" si="71"/>
        <v/>
      </c>
      <c r="DA220" s="79" t="str">
        <f t="shared" si="72"/>
        <v/>
      </c>
      <c r="DB220" s="79" t="str">
        <f t="shared" si="73"/>
        <v/>
      </c>
      <c r="DC220" s="79" t="str">
        <f t="shared" si="74"/>
        <v/>
      </c>
      <c r="DD220" s="79" t="str">
        <f t="shared" si="75"/>
        <v/>
      </c>
      <c r="DE220" s="79" t="str">
        <f t="shared" si="76"/>
        <v/>
      </c>
      <c r="DF220" s="79" t="str">
        <f t="shared" si="77"/>
        <v/>
      </c>
      <c r="DG220" s="79" t="str">
        <f t="shared" si="78"/>
        <v/>
      </c>
      <c r="DH220" s="76"/>
      <c r="DI220" s="78"/>
      <c r="DJ220" s="76"/>
      <c r="DK220" s="77"/>
      <c r="DL220" s="77"/>
      <c r="DM220" s="77"/>
      <c r="DN220" s="80"/>
      <c r="DO220" s="80"/>
      <c r="DP220" s="92" t="str">
        <f>IF(Table1[Start Date]="","",IF(Table1[Start Date]&gt;42185,"",IF(AND(Table1[Leaving Date]&gt;1,Table1[Leaving Date]&lt;42095),"",1)))</f>
        <v/>
      </c>
      <c r="DQ220" s="92" t="str">
        <f>IF(Table1[Start Date]="","",IF(Table1[Start Date]&gt;42277,"",IF(AND(Table1[Leaving Date]&gt;1,Table1[Leaving Date]&lt;42186),"",1)))</f>
        <v/>
      </c>
      <c r="DR220" s="92" t="str">
        <f>IF(Table1[Start Date]="","",IF(Table1[Start Date]&gt;42369,"",IF(AND(Table1[Leaving Date]&gt;1,Table1[Leaving Date]&lt;42278),"",1)))</f>
        <v/>
      </c>
      <c r="DS220" s="92" t="str">
        <f>IF(Table1[Start Date]="","",IF(Table1[Start Date]&gt;42460,"",IF(AND(Table1[Leaving Date]&gt;1,Table1[Leaving Date]&lt;42370),"",1)))</f>
        <v/>
      </c>
      <c r="DT220" s="92" t="str">
        <f>IF(Table1[Start Date]="","",IF(Table1[Start Date]&gt;42551,"",IF(AND(Table1[Leaving Date]&gt;1,Table1[Leaving Date]&lt;42461),"",1)))</f>
        <v/>
      </c>
      <c r="DU220" s="92" t="str">
        <f>IF(Table1[Start Date]="","",IF(Table1[Start Date]&gt;42643,"",IF(AND(Table1[Leaving Date]&gt;1,Table1[Leaving Date]&lt;42552),"",1)))</f>
        <v/>
      </c>
      <c r="DV220" s="92" t="str">
        <f>IF(Table1[Start Date]="","",IF(Table1[Start Date]&gt;42735,"",IF(AND(Table1[Leaving Date]&gt;1,Table1[Leaving Date]&lt;42644),"",1)))</f>
        <v/>
      </c>
      <c r="DW220" s="92" t="str">
        <f>IF(Table1[Start Date]="","",IF(Table1[Start Date]&gt;42825,"",IF(AND(Table1[Leaving Date]&gt;1,Table1[Leaving Date]&lt;42736),"",1)))</f>
        <v/>
      </c>
      <c r="DX220"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220" s="44" t="e">
        <f>VLOOKUP(Table1[Referral Source],Lists!$G$2:$H$20,2,FALSE)</f>
        <v>#N/A</v>
      </c>
      <c r="DZ220" s="93" t="e">
        <f>SUM(Table1[Data Referral Quarter]+Table1[Data Referral Source])</f>
        <v>#N/A</v>
      </c>
      <c r="EA220" s="44" t="b">
        <f>IF(Table1[Referral Decision]="Accepted",100,IF(Table1[Referral Decision]="Rejected by Provider",200,IF(Table1[Referral Decision]="Rejected by Applicant",300)))</f>
        <v>0</v>
      </c>
      <c r="EB220" s="44">
        <f>SUM(Table1[Data Referral Quarter]+Table1[Data Referral Decision])</f>
        <v>0</v>
      </c>
      <c r="EC220" s="44" t="b">
        <f>IF(Table1[Start Date]&gt;42735,8000,IF(Table1[Start Date]&gt;42643,7000,IF(Table1[Start Date]&gt;42551,6000,IF(Table1[Start Date]&gt;42460,5000,IF(Table1[Start Date]&gt;42369,4000,IF(Table1[Start Date]&gt;42277,3000,IF(Table1[Start Date]&gt;42185,2000,IF(Table1[Start Date]&gt;42094,1000))))))))</f>
        <v>0</v>
      </c>
      <c r="ED220" s="44" t="str">
        <f>IF(Table1[Start Date]="","",IF(Table1[Current Local Authority]="Swindon",1,"2"))</f>
        <v/>
      </c>
      <c r="EE220" s="44" t="e">
        <f>SUM(Table1[Data Start Date]+Table1[Data Local Authority])</f>
        <v>#VALUE!</v>
      </c>
      <c r="EF220" s="44">
        <f>IF(Table1[Registered with GP]="Yes",1,0)</f>
        <v>0</v>
      </c>
      <c r="EG220" s="44">
        <f>SUM(Table1[Data Start Date]+Table1[Data GP Start])</f>
        <v>0</v>
      </c>
      <c r="EH220" s="44" t="str">
        <f>IF(Table1[EET]="NEET",1,IF(Table1[EET]="Education",2,IF(Table1[EET]="Employment",2,IF(Table1[EET]="Training",2,IF(Table1[EET]="Retired",3,"")))))</f>
        <v/>
      </c>
      <c r="EI220" s="44" t="e">
        <f>Table1[Data Start Date]+Table1[Data EET Start]</f>
        <v>#VALUE!</v>
      </c>
      <c r="EJ220" s="44" t="b">
        <f>IF(Table1[Leaving Date]&gt;42735,8000,IF(Table1[Leaving Date]&gt;42643,7000,IF(Table1[Leaving Date]&gt;42551,6000,IF(Table1[Leaving Date]&gt;42460,5000,IF(Table1[Leaving Date]&gt;42369,4000,IF(Table1[Leaving Date]&gt;42277,3000,IF(Table1[Leaving Date]&gt;42185,2000,IF(Table1[Leaving Date]&gt;42094,1000))))))))</f>
        <v>0</v>
      </c>
      <c r="EK220" s="44" t="e">
        <f>VLOOKUP(Table1[Reason for Leaving],Lists!$T$2:$U$15,2,FALSE)</f>
        <v>#N/A</v>
      </c>
      <c r="EL220" s="44" t="e">
        <f>SUM(Table1[Data Leavers Date]+Table1[Data Move On])</f>
        <v>#N/A</v>
      </c>
      <c r="EM220" s="44" t="b">
        <f>IF(Table1[Registered with GP2]="Yes",1,IF(Table1[Registered with GP2]="No",0,IF(Table1[Registered with GP]="Yes",1,IF(Table1[Registered with GP]="No",0))))</f>
        <v>0</v>
      </c>
      <c r="EN220" s="44">
        <f>SUM(Table1[Data Leavers Date]+Table1[Data GP End])</f>
        <v>0</v>
      </c>
      <c r="EO220" s="44" t="str">
        <f>IF(Table1[EET2]="NEET",1,IF(Table1[EET2]="Employment",2,IF(Table1[EET2]="Education",2,IF(Table1[EET2]="Training",2,IF(Table1[EET2]="Retired",3,IF(Table1[EET]="NEET",1,IF(Table1[EET]="Employment",2,IF(Table1[EET]="Education",2,IF(Table1[EET]="Training",2,IF(Table1[EET]="Retired",3,""))))))))))</f>
        <v/>
      </c>
      <c r="EP220" s="44" t="e">
        <f>+Table1[[#This Row],[Data Leavers Date]]+Table1[[#This Row],[Data EET End]]</f>
        <v>#VALUE!</v>
      </c>
      <c r="EQ220" s="44">
        <f>IF(Table1[Exit Form Received]="Yes",1,0)</f>
        <v>0</v>
      </c>
      <c r="ER220" s="44">
        <f>+Table1[[#This Row],[Data Leavers Date]]+Table1[[#This Row],[Data Exit Forms]]</f>
        <v>0</v>
      </c>
      <c r="ES220" s="44" t="str">
        <f>IF(Table1[Data Leavers Date]=1000,SUM(Table1[Leaving Date]-Table1[Start Date]),"")</f>
        <v/>
      </c>
      <c r="ET220" s="44" t="str">
        <f>IF(Table1[Data Leavers Date]=2000,SUM(Table1[Leaving Date]-Table1[Start Date]),"")</f>
        <v/>
      </c>
      <c r="EU220" s="44" t="str">
        <f>IF(Table1[Data Leavers Date]=3000,SUM(Table1[Leaving Date]-Table1[Start Date]),"")</f>
        <v/>
      </c>
      <c r="EV220" s="44" t="str">
        <f>IF(Table1[Data Leavers Date]=4000,SUM(Table1[Leaving Date]-Table1[Start Date]),"")</f>
        <v/>
      </c>
      <c r="EW220" s="44" t="str">
        <f>IF(Table1[Data Leavers Date]=5000,SUM(Table1[Leaving Date]-Table1[Start Date]),"")</f>
        <v/>
      </c>
      <c r="EX220" s="44" t="str">
        <f>IF(Table1[Data Leavers Date]=6000,SUM(Table1[Leaving Date]-Table1[Start Date]),"")</f>
        <v/>
      </c>
      <c r="EY220" s="44" t="str">
        <f>IF(Table1[Data Leavers Date]=7000,SUM(Table1[Leaving Date]-Table1[Start Date]),"")</f>
        <v/>
      </c>
      <c r="EZ220" s="44" t="str">
        <f>IF(Table1[Data Leavers Date]=8000,SUM(Table1[Leaving Date]-Table1[Start Date]),"")</f>
        <v/>
      </c>
      <c r="FA220" s="44" t="str">
        <f>IF(Table1[Date of Initial Assessment]="","",IF(AND(Table1[Start Date]&gt;42094,Table1[Start Date]&lt;42461),Table1[Motivation and Taking Responsibility],""))</f>
        <v/>
      </c>
      <c r="FB220" s="44" t="str">
        <f>IF(Table1[Date of Initial Assessment]="","",IF(AND(Table1[Start Date]&gt;42094,Table1[Start Date]&lt;42461),Table1[Self-Care and Living Skills],""))</f>
        <v/>
      </c>
      <c r="FC220" s="44" t="str">
        <f>IF(Table1[Date of Initial Assessment]="","",IF(AND(Table1[Start Date]&gt;42094,Table1[Start Date]&lt;42461),Table1[Managing Money and Personal Administration],""))</f>
        <v/>
      </c>
      <c r="FD220" s="44" t="str">
        <f>IF(Table1[Date of Initial Assessment]="","",IF(AND(Table1[Start Date]&gt;42094,Table1[Start Date]&lt;42461),Table1[Social Networks and Relationships],""))</f>
        <v/>
      </c>
      <c r="FE220" s="44" t="str">
        <f>IF(Table1[Date of Initial Assessment]="","",IF(AND(Table1[Start Date]&gt;42094,Table1[Start Date]&lt;42461),Table1[Drug and Alcohol Misuse],""))</f>
        <v/>
      </c>
      <c r="FF220" s="44" t="str">
        <f>IF(Table1[Date of Initial Assessment]="","",IF(AND(Table1[Start Date]&gt;42094,Table1[Start Date]&lt;42461),Table1[Physical Health],""))</f>
        <v/>
      </c>
      <c r="FG220" s="44" t="str">
        <f>IF(Table1[Date of Initial Assessment]="","",IF(AND(Table1[Start Date]&gt;42094,Table1[Start Date]&lt;42461),Table1[Emotional and Mental Health],""))</f>
        <v/>
      </c>
      <c r="FH220" s="44" t="str">
        <f>IF(Table1[Date of Initial Assessment]="","",IF(AND(Table1[Start Date]&gt;42094,Table1[Start Date]&lt;42461),Table1[Meaningful Use of Time],""))</f>
        <v/>
      </c>
      <c r="FI220" s="44" t="str">
        <f>IF(Table1[Date of Initial Assessment]="","",IF(AND(Table1[Start Date]&gt;42094,Table1[Start Date]&lt;42461),Table1[Managing Tenancy and Accommodation],""))</f>
        <v/>
      </c>
      <c r="FJ220" s="44" t="str">
        <f>IF(Table1[Date of Initial Assessment]="","",IF(AND(Table1[Start Date]&gt;42094,Table1[Start Date]&lt;42461),Table1[Offending],""))</f>
        <v/>
      </c>
      <c r="FK220" s="44" t="str">
        <f>IF(Table1[Leaving Date]="","",IF(Table1[Date of Initial Assessment]="","",IF(AND(Table1[Leaving Date]&gt;42094,Table1[Leaving Date]&lt;42461),IF(Table1[Date of Last Assessment]="",Table1[Motivation and Taking Responsibility],Table1[Motivation and Taking Responsibility2]),"")))</f>
        <v/>
      </c>
      <c r="FL220" s="44" t="str">
        <f>IF(Table1[Leaving Date]="","",IF(Table1[Date of Initial Assessment]="","",IF(AND(Table1[Leaving Date]&gt;42094,Table1[Leaving Date]&lt;42461),IF(Table1[Date of Last Assessment]="",Table1[Self-Care and Living Skills],Table1[Self-Care and Living Skills2]),"")))</f>
        <v/>
      </c>
      <c r="FM220" s="44" t="str">
        <f>IF(Table1[Leaving Date]="","",IF(Table1[Date of Initial Assessment]="","",IF(AND(Table1[Leaving Date]&gt;42094,Table1[Leaving Date]&lt;42461),IF(Table1[Date of Last Assessment]="",Table1[Managing Money and Personal Administration],Table1[Managing Money and Personal Administration2]),"")))</f>
        <v/>
      </c>
      <c r="FN220" s="44" t="str">
        <f>IF(Table1[Leaving Date]="","",IF(Table1[Date of Initial Assessment]="","",IF(AND(Table1[Leaving Date]&gt;42094,Table1[Leaving Date]&lt;42461),IF(Table1[Date of Last Assessment]="",Table1[Social Networks and Relationships],Table1[Social Networks and Relationships2]),"")))</f>
        <v/>
      </c>
      <c r="FO220" s="44" t="str">
        <f>IF(Table1[Leaving Date]="","",IF(Table1[Date of Initial Assessment]="","",IF(AND(Table1[Leaving Date]&gt;42094,Table1[Leaving Date]&lt;42461),IF(Table1[Date of Last Assessment]="",Table1[Drug and Alcohol Misuse],Table1[Drug and Alcohol Misuse2]),"")))</f>
        <v/>
      </c>
      <c r="FP220" s="44" t="str">
        <f>IF(Table1[Leaving Date]="","",IF(Table1[Date of Initial Assessment]="","",IF(AND(Table1[Leaving Date]&gt;42094,Table1[Leaving Date]&lt;42461),IF(Table1[Date of Last Assessment]="",Table1[Physical Health],Table1[Physical Health2]),"")))</f>
        <v/>
      </c>
      <c r="FQ220" s="44" t="str">
        <f>IF(Table1[Leaving Date]="","",IF(Table1[Date of Initial Assessment]="","",IF(AND(Table1[Leaving Date]&gt;42094,Table1[Leaving Date]&lt;42461),IF(Table1[Date of Last Assessment]="",Table1[Emotional and Mental Health],Table1[Emotional and Mental Health2]),"")))</f>
        <v/>
      </c>
      <c r="FR220" s="44" t="str">
        <f>IF(Table1[Leaving Date]="","",IF(Table1[Date of Initial Assessment]="","",IF(AND(Table1[Leaving Date]&gt;42094,Table1[Leaving Date]&lt;42461),IF(Table1[Date of Last Assessment]="",Table1[Meaningful Use of Time],Table1[Meaningful Use of Time2]),"")))</f>
        <v/>
      </c>
      <c r="FS220" s="44" t="str">
        <f>IF(Table1[Leaving Date]="","",IF(Table1[Date of Initial Assessment]="","",IF(AND(Table1[Leaving Date]&gt;42094,Table1[Leaving Date]&lt;42461),IF(Table1[Date of Last Assessment]="",Table1[Managing Tenancy and Accommodation],Table1[Managing Tenancy and Accommodation2]),"")))</f>
        <v/>
      </c>
      <c r="FT220" s="44" t="str">
        <f>IF(Table1[Leaving Date]="","",IF(Table1[Date of Initial Assessment]="","",IF(AND(Table1[Leaving Date]&gt;42094,Table1[Leaving Date]&lt;42461),IF(Table1[Date of Last Assessment]="",Table1[Offending],Table1[Offending2]),"")))</f>
        <v/>
      </c>
      <c r="FU220" s="44" t="str">
        <f>IF(Table1[Date of Initial Assessment]="","",IF(AND(Table1[Start Date]&gt;42460,Table1[Start Date]&lt;42826),Table1[Motivation and Taking Responsibility],""))</f>
        <v/>
      </c>
      <c r="FV220" s="44" t="str">
        <f>IF(Table1[Date of Initial Assessment]="","",IF(AND(Table1[Start Date]&gt;42460,Table1[Start Date]&lt;42826),Table1[Self-Care and Living Skills],""))</f>
        <v/>
      </c>
      <c r="FW220" s="44" t="str">
        <f>IF(Table1[Date of Initial Assessment]="","",IF(AND(Table1[Start Date]&gt;42460,Table1[Start Date]&lt;42826),Table1[Managing Money and Personal Administration],""))</f>
        <v/>
      </c>
      <c r="FX220" s="44" t="str">
        <f>IF(Table1[Date of Initial Assessment]="","",IF(AND(Table1[Start Date]&gt;42460,Table1[Start Date]&lt;42826),Table1[Social Networks and Relationships],""))</f>
        <v/>
      </c>
      <c r="FY220" s="44" t="str">
        <f>IF(Table1[Date of Initial Assessment]="","",IF(AND(Table1[Start Date]&gt;42460,Table1[Start Date]&lt;42826),Table1[Drug and Alcohol Misuse],""))</f>
        <v/>
      </c>
      <c r="FZ220" s="44" t="str">
        <f>IF(Table1[Date of Initial Assessment]="","",IF(AND(Table1[Start Date]&gt;42460,Table1[Start Date]&lt;42826),Table1[Physical Health],""))</f>
        <v/>
      </c>
      <c r="GA220" s="44" t="str">
        <f>IF(Table1[Date of Initial Assessment]="","",IF(AND(Table1[Start Date]&gt;42460,Table1[Start Date]&lt;42826),Table1[Emotional and Mental Health],""))</f>
        <v/>
      </c>
      <c r="GB220" s="44" t="str">
        <f>IF(Table1[Date of Initial Assessment]="","",IF(AND(Table1[Start Date]&gt;42460,Table1[Start Date]&lt;42826),Table1[Meaningful Use of Time],""))</f>
        <v/>
      </c>
      <c r="GC220" s="44" t="str">
        <f>IF(Table1[Date of Initial Assessment]="","",IF(AND(Table1[Start Date]&gt;42460,Table1[Start Date]&lt;42826),Table1[Managing Tenancy and Accommodation],""))</f>
        <v/>
      </c>
      <c r="GD220" s="44" t="str">
        <f>IF(Table1[Date of Initial Assessment]="","",IF(AND(Table1[Start Date]&gt;42460,Table1[Start Date]&lt;42826),Table1[Offending],""))</f>
        <v/>
      </c>
      <c r="GE220" s="44" t="str">
        <f>IF(Table1[Leaving Date]="","",IF(AND(Table1[Leaving Date]&gt;42460,Table1[Leaving Date]&lt;42826),IF(Table1[Date of Last Assessment]="",Table1[Motivation and Taking Responsibility],Table1[Motivation and Taking Responsibility2]),""))</f>
        <v/>
      </c>
      <c r="GF220" s="44" t="str">
        <f>IF(Table1[Leaving Date]="","",IF(AND(Table1[Leaving Date]&gt;42460,Table1[Leaving Date]&lt;42826),IF(Table1[Date of Last Assessment]="",Table1[Self-Care and Living Skills],Table1[Self-Care and Living Skills2]),""))</f>
        <v/>
      </c>
      <c r="GG220" s="44" t="str">
        <f>IF(Table1[Leaving Date]="","",IF(AND(Table1[Leaving Date]&gt;42460,Table1[Leaving Date]&lt;42826),IF(Table1[Date of Last Assessment]="",Table1[Managing Money and Personal Administration],Table1[Managing Money and Personal Administration2]),""))</f>
        <v/>
      </c>
      <c r="GH220" s="44" t="str">
        <f>IF(Table1[Leaving Date]="","",IF(AND(Table1[Leaving Date]&gt;42460,Table1[Leaving Date]&lt;42826),IF(Table1[Date of Last Assessment]="",Table1[Social Networks and Relationships],Table1[Social Networks and Relationships2]),""))</f>
        <v/>
      </c>
      <c r="GI220" s="44" t="str">
        <f>IF(Table1[Leaving Date]="","",IF(AND(Table1[Leaving Date]&gt;42460,Table1[Leaving Date]&lt;42826),IF(Table1[Date of Last Assessment]="",Table1[Drug and Alcohol Misuse],Table1[Drug and Alcohol Misuse2]),""))</f>
        <v/>
      </c>
      <c r="GJ220" s="44" t="str">
        <f>IF(Table1[Leaving Date]="","",IF(AND(Table1[Leaving Date]&gt;42460,Table1[Leaving Date]&lt;42826),IF(Table1[Date of Last Assessment]="",Table1[Physical Health],Table1[Physical Health2]),""))</f>
        <v/>
      </c>
      <c r="GK220" s="44" t="str">
        <f>IF(Table1[Leaving Date]="","",IF(AND(Table1[Leaving Date]&gt;42460,Table1[Leaving Date]&lt;42826),IF(Table1[Date of Last Assessment]="",Table1[Emotional and Mental Health],Table1[Emotional and Mental Health2]),""))</f>
        <v/>
      </c>
      <c r="GL220" s="44" t="str">
        <f>IF(Table1[Leaving Date]="","",IF(AND(Table1[Leaving Date]&gt;42460,Table1[Leaving Date]&lt;42826),IF(Table1[Date of Last Assessment]="",Table1[Meaningful Use of Time],Table1[Meaningful Use of Time2]),""))</f>
        <v/>
      </c>
      <c r="GM220" s="44" t="str">
        <f>IF(Table1[Leaving Date]="","",IF(AND(Table1[Leaving Date]&gt;42460,Table1[Leaving Date]&lt;42826),IF(Table1[Date of Last Assessment]="",Table1[Managing Tenancy and Accommodation],Table1[Managing Tenancy and Accommodation2]),""))</f>
        <v/>
      </c>
      <c r="GN220" s="44" t="str">
        <f>IF(Table1[Leaving Date]="","",IF(AND(Table1[Leaving Date]&gt;42460,Table1[Leaving Date]&lt;42826),IF(Table1[Date of Last Assessment]="",Table1[Offending],Table1[Offending2]),""))</f>
        <v/>
      </c>
    </row>
    <row r="221" spans="2:196" ht="20.100000000000001" customHeight="1" x14ac:dyDescent="0.2">
      <c r="B221" s="86">
        <f>+'Service Data'!$C$5:$C$5</f>
        <v>0</v>
      </c>
      <c r="C221" s="86"/>
      <c r="D221" s="86"/>
      <c r="E221" s="86"/>
      <c r="F221" s="86"/>
      <c r="G221" s="86"/>
      <c r="H221" s="6"/>
      <c r="I221" s="99" t="str">
        <f ca="1">IF(Table1[[#This Row],[Date of Birth]]="","",SUM(TODAY()-Table1[[#This Row],[Date of Birth]])/365)</f>
        <v/>
      </c>
      <c r="L221" s="86"/>
      <c r="M221" s="77"/>
      <c r="N221" s="86"/>
      <c r="O221" s="86"/>
      <c r="P221" s="91"/>
      <c r="Q221" s="86"/>
      <c r="R221" s="77"/>
      <c r="S221" s="77"/>
      <c r="T221" s="68"/>
      <c r="U221" s="68"/>
      <c r="V221" s="67"/>
      <c r="W221" s="67"/>
      <c r="X221" s="67"/>
      <c r="Y221" s="67"/>
      <c r="Z221" s="67"/>
      <c r="AA221" s="67"/>
      <c r="AB221" s="67"/>
      <c r="AC221" s="67"/>
      <c r="AD221" s="67"/>
      <c r="AE221" s="67"/>
      <c r="AF221" s="67"/>
      <c r="AG221" s="67"/>
      <c r="AH221" s="67"/>
      <c r="AI221" s="67"/>
      <c r="AJ221" s="67"/>
      <c r="AK221" s="67"/>
      <c r="AL221" s="67"/>
      <c r="AM221" s="67"/>
      <c r="AN221" s="77"/>
      <c r="AO221" s="76"/>
      <c r="AP221" s="77"/>
      <c r="AQ221" s="76"/>
      <c r="AR221" s="76"/>
      <c r="AS221" s="76"/>
      <c r="AT221" s="76"/>
      <c r="AU221" s="76"/>
      <c r="AV221" s="77"/>
      <c r="AW221" s="76"/>
      <c r="AX221" s="77"/>
      <c r="AY221" s="76"/>
      <c r="AZ221" s="76"/>
      <c r="BA221" s="76"/>
      <c r="BB221" s="76"/>
      <c r="BC221" s="76"/>
      <c r="BD221" s="77"/>
      <c r="BE221" s="76"/>
      <c r="BF221" s="77"/>
      <c r="BG221" s="76"/>
      <c r="BH221" s="76"/>
      <c r="BI221" s="76"/>
      <c r="BJ221" s="76"/>
      <c r="BK221" s="76"/>
      <c r="BL221" s="77"/>
      <c r="BM221" s="76"/>
      <c r="BN221" s="77"/>
      <c r="BO221" s="76"/>
      <c r="BP221" s="76"/>
      <c r="BQ221" s="76"/>
      <c r="BR221" s="76"/>
      <c r="BS221" s="76"/>
      <c r="BT221" s="77"/>
      <c r="BU221" s="76"/>
      <c r="BV221" s="77"/>
      <c r="BW221" s="76"/>
      <c r="BX221" s="76"/>
      <c r="BY221" s="76"/>
      <c r="BZ221" s="76"/>
      <c r="CA221" s="76"/>
      <c r="CB221" s="77"/>
      <c r="CC221" s="76"/>
      <c r="CD221" s="77"/>
      <c r="CE221" s="76"/>
      <c r="CF221" s="76"/>
      <c r="CG221" s="76"/>
      <c r="CH221" s="76"/>
      <c r="CI221" s="76"/>
      <c r="CJ221" s="77"/>
      <c r="CK221" s="76"/>
      <c r="CL221" s="77"/>
      <c r="CM221" s="76"/>
      <c r="CN221" s="76"/>
      <c r="CO221" s="76"/>
      <c r="CP221" s="76"/>
      <c r="CQ221" s="76"/>
      <c r="CR221" s="78" t="str">
        <f t="shared" si="63"/>
        <v/>
      </c>
      <c r="CS221" s="79" t="str">
        <f t="shared" si="64"/>
        <v/>
      </c>
      <c r="CT221" s="79" t="str">
        <f t="shared" si="65"/>
        <v/>
      </c>
      <c r="CU221" s="79" t="str">
        <f t="shared" si="66"/>
        <v/>
      </c>
      <c r="CV221" s="79" t="str">
        <f t="shared" si="67"/>
        <v/>
      </c>
      <c r="CW221" s="79" t="str">
        <f t="shared" si="68"/>
        <v/>
      </c>
      <c r="CX221" s="79" t="str">
        <f t="shared" si="69"/>
        <v/>
      </c>
      <c r="CY221" s="79" t="str">
        <f t="shared" si="70"/>
        <v/>
      </c>
      <c r="CZ221" s="79" t="str">
        <f t="shared" si="71"/>
        <v/>
      </c>
      <c r="DA221" s="79" t="str">
        <f t="shared" si="72"/>
        <v/>
      </c>
      <c r="DB221" s="79" t="str">
        <f t="shared" si="73"/>
        <v/>
      </c>
      <c r="DC221" s="79" t="str">
        <f t="shared" si="74"/>
        <v/>
      </c>
      <c r="DD221" s="79" t="str">
        <f t="shared" si="75"/>
        <v/>
      </c>
      <c r="DE221" s="79" t="str">
        <f t="shared" si="76"/>
        <v/>
      </c>
      <c r="DF221" s="79" t="str">
        <f t="shared" si="77"/>
        <v/>
      </c>
      <c r="DG221" s="79" t="str">
        <f t="shared" si="78"/>
        <v/>
      </c>
      <c r="DH221" s="76"/>
      <c r="DI221" s="78"/>
      <c r="DJ221" s="76"/>
      <c r="DK221" s="77"/>
      <c r="DL221" s="77"/>
      <c r="DM221" s="77"/>
      <c r="DN221" s="80"/>
      <c r="DO221" s="80"/>
      <c r="DP221" s="92" t="str">
        <f>IF(Table1[Start Date]="","",IF(Table1[Start Date]&gt;42185,"",IF(AND(Table1[Leaving Date]&gt;1,Table1[Leaving Date]&lt;42095),"",1)))</f>
        <v/>
      </c>
      <c r="DQ221" s="92" t="str">
        <f>IF(Table1[Start Date]="","",IF(Table1[Start Date]&gt;42277,"",IF(AND(Table1[Leaving Date]&gt;1,Table1[Leaving Date]&lt;42186),"",1)))</f>
        <v/>
      </c>
      <c r="DR221" s="92" t="str">
        <f>IF(Table1[Start Date]="","",IF(Table1[Start Date]&gt;42369,"",IF(AND(Table1[Leaving Date]&gt;1,Table1[Leaving Date]&lt;42278),"",1)))</f>
        <v/>
      </c>
      <c r="DS221" s="92" t="str">
        <f>IF(Table1[Start Date]="","",IF(Table1[Start Date]&gt;42460,"",IF(AND(Table1[Leaving Date]&gt;1,Table1[Leaving Date]&lt;42370),"",1)))</f>
        <v/>
      </c>
      <c r="DT221" s="92" t="str">
        <f>IF(Table1[Start Date]="","",IF(Table1[Start Date]&gt;42551,"",IF(AND(Table1[Leaving Date]&gt;1,Table1[Leaving Date]&lt;42461),"",1)))</f>
        <v/>
      </c>
      <c r="DU221" s="92" t="str">
        <f>IF(Table1[Start Date]="","",IF(Table1[Start Date]&gt;42643,"",IF(AND(Table1[Leaving Date]&gt;1,Table1[Leaving Date]&lt;42552),"",1)))</f>
        <v/>
      </c>
      <c r="DV221" s="92" t="str">
        <f>IF(Table1[Start Date]="","",IF(Table1[Start Date]&gt;42735,"",IF(AND(Table1[Leaving Date]&gt;1,Table1[Leaving Date]&lt;42644),"",1)))</f>
        <v/>
      </c>
      <c r="DW221" s="92" t="str">
        <f>IF(Table1[Start Date]="","",IF(Table1[Start Date]&gt;42825,"",IF(AND(Table1[Leaving Date]&gt;1,Table1[Leaving Date]&lt;42736),"",1)))</f>
        <v/>
      </c>
      <c r="DX221"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221" s="44" t="e">
        <f>VLOOKUP(Table1[Referral Source],Lists!$G$2:$H$20,2,FALSE)</f>
        <v>#N/A</v>
      </c>
      <c r="DZ221" s="93" t="e">
        <f>SUM(Table1[Data Referral Quarter]+Table1[Data Referral Source])</f>
        <v>#N/A</v>
      </c>
      <c r="EA221" s="44" t="b">
        <f>IF(Table1[Referral Decision]="Accepted",100,IF(Table1[Referral Decision]="Rejected by Provider",200,IF(Table1[Referral Decision]="Rejected by Applicant",300)))</f>
        <v>0</v>
      </c>
      <c r="EB221" s="44">
        <f>SUM(Table1[Data Referral Quarter]+Table1[Data Referral Decision])</f>
        <v>0</v>
      </c>
      <c r="EC221" s="44" t="b">
        <f>IF(Table1[Start Date]&gt;42735,8000,IF(Table1[Start Date]&gt;42643,7000,IF(Table1[Start Date]&gt;42551,6000,IF(Table1[Start Date]&gt;42460,5000,IF(Table1[Start Date]&gt;42369,4000,IF(Table1[Start Date]&gt;42277,3000,IF(Table1[Start Date]&gt;42185,2000,IF(Table1[Start Date]&gt;42094,1000))))))))</f>
        <v>0</v>
      </c>
      <c r="ED221" s="44" t="str">
        <f>IF(Table1[Start Date]="","",IF(Table1[Current Local Authority]="Swindon",1,"2"))</f>
        <v/>
      </c>
      <c r="EE221" s="44" t="e">
        <f>SUM(Table1[Data Start Date]+Table1[Data Local Authority])</f>
        <v>#VALUE!</v>
      </c>
      <c r="EF221" s="44">
        <f>IF(Table1[Registered with GP]="Yes",1,0)</f>
        <v>0</v>
      </c>
      <c r="EG221" s="44">
        <f>SUM(Table1[Data Start Date]+Table1[Data GP Start])</f>
        <v>0</v>
      </c>
      <c r="EH221" s="44" t="str">
        <f>IF(Table1[EET]="NEET",1,IF(Table1[EET]="Education",2,IF(Table1[EET]="Employment",2,IF(Table1[EET]="Training",2,IF(Table1[EET]="Retired",3,"")))))</f>
        <v/>
      </c>
      <c r="EI221" s="44" t="e">
        <f>Table1[Data Start Date]+Table1[Data EET Start]</f>
        <v>#VALUE!</v>
      </c>
      <c r="EJ221" s="44" t="b">
        <f>IF(Table1[Leaving Date]&gt;42735,8000,IF(Table1[Leaving Date]&gt;42643,7000,IF(Table1[Leaving Date]&gt;42551,6000,IF(Table1[Leaving Date]&gt;42460,5000,IF(Table1[Leaving Date]&gt;42369,4000,IF(Table1[Leaving Date]&gt;42277,3000,IF(Table1[Leaving Date]&gt;42185,2000,IF(Table1[Leaving Date]&gt;42094,1000))))))))</f>
        <v>0</v>
      </c>
      <c r="EK221" s="44" t="e">
        <f>VLOOKUP(Table1[Reason for Leaving],Lists!$T$2:$U$15,2,FALSE)</f>
        <v>#N/A</v>
      </c>
      <c r="EL221" s="44" t="e">
        <f>SUM(Table1[Data Leavers Date]+Table1[Data Move On])</f>
        <v>#N/A</v>
      </c>
      <c r="EM221" s="44" t="b">
        <f>IF(Table1[Registered with GP2]="Yes",1,IF(Table1[Registered with GP2]="No",0,IF(Table1[Registered with GP]="Yes",1,IF(Table1[Registered with GP]="No",0))))</f>
        <v>0</v>
      </c>
      <c r="EN221" s="44">
        <f>SUM(Table1[Data Leavers Date]+Table1[Data GP End])</f>
        <v>0</v>
      </c>
      <c r="EO221" s="44" t="str">
        <f>IF(Table1[EET2]="NEET",1,IF(Table1[EET2]="Employment",2,IF(Table1[EET2]="Education",2,IF(Table1[EET2]="Training",2,IF(Table1[EET2]="Retired",3,IF(Table1[EET]="NEET",1,IF(Table1[EET]="Employment",2,IF(Table1[EET]="Education",2,IF(Table1[EET]="Training",2,IF(Table1[EET]="Retired",3,""))))))))))</f>
        <v/>
      </c>
      <c r="EP221" s="44" t="e">
        <f>+Table1[[#This Row],[Data Leavers Date]]+Table1[[#This Row],[Data EET End]]</f>
        <v>#VALUE!</v>
      </c>
      <c r="EQ221" s="44">
        <f>IF(Table1[Exit Form Received]="Yes",1,0)</f>
        <v>0</v>
      </c>
      <c r="ER221" s="44">
        <f>+Table1[[#This Row],[Data Leavers Date]]+Table1[[#This Row],[Data Exit Forms]]</f>
        <v>0</v>
      </c>
      <c r="ES221" s="44" t="str">
        <f>IF(Table1[Data Leavers Date]=1000,SUM(Table1[Leaving Date]-Table1[Start Date]),"")</f>
        <v/>
      </c>
      <c r="ET221" s="44" t="str">
        <f>IF(Table1[Data Leavers Date]=2000,SUM(Table1[Leaving Date]-Table1[Start Date]),"")</f>
        <v/>
      </c>
      <c r="EU221" s="44" t="str">
        <f>IF(Table1[Data Leavers Date]=3000,SUM(Table1[Leaving Date]-Table1[Start Date]),"")</f>
        <v/>
      </c>
      <c r="EV221" s="44" t="str">
        <f>IF(Table1[Data Leavers Date]=4000,SUM(Table1[Leaving Date]-Table1[Start Date]),"")</f>
        <v/>
      </c>
      <c r="EW221" s="44" t="str">
        <f>IF(Table1[Data Leavers Date]=5000,SUM(Table1[Leaving Date]-Table1[Start Date]),"")</f>
        <v/>
      </c>
      <c r="EX221" s="44" t="str">
        <f>IF(Table1[Data Leavers Date]=6000,SUM(Table1[Leaving Date]-Table1[Start Date]),"")</f>
        <v/>
      </c>
      <c r="EY221" s="44" t="str">
        <f>IF(Table1[Data Leavers Date]=7000,SUM(Table1[Leaving Date]-Table1[Start Date]),"")</f>
        <v/>
      </c>
      <c r="EZ221" s="44" t="str">
        <f>IF(Table1[Data Leavers Date]=8000,SUM(Table1[Leaving Date]-Table1[Start Date]),"")</f>
        <v/>
      </c>
      <c r="FA221" s="44" t="str">
        <f>IF(Table1[Date of Initial Assessment]="","",IF(AND(Table1[Start Date]&gt;42094,Table1[Start Date]&lt;42461),Table1[Motivation and Taking Responsibility],""))</f>
        <v/>
      </c>
      <c r="FB221" s="44" t="str">
        <f>IF(Table1[Date of Initial Assessment]="","",IF(AND(Table1[Start Date]&gt;42094,Table1[Start Date]&lt;42461),Table1[Self-Care and Living Skills],""))</f>
        <v/>
      </c>
      <c r="FC221" s="44" t="str">
        <f>IF(Table1[Date of Initial Assessment]="","",IF(AND(Table1[Start Date]&gt;42094,Table1[Start Date]&lt;42461),Table1[Managing Money and Personal Administration],""))</f>
        <v/>
      </c>
      <c r="FD221" s="44" t="str">
        <f>IF(Table1[Date of Initial Assessment]="","",IF(AND(Table1[Start Date]&gt;42094,Table1[Start Date]&lt;42461),Table1[Social Networks and Relationships],""))</f>
        <v/>
      </c>
      <c r="FE221" s="44" t="str">
        <f>IF(Table1[Date of Initial Assessment]="","",IF(AND(Table1[Start Date]&gt;42094,Table1[Start Date]&lt;42461),Table1[Drug and Alcohol Misuse],""))</f>
        <v/>
      </c>
      <c r="FF221" s="44" t="str">
        <f>IF(Table1[Date of Initial Assessment]="","",IF(AND(Table1[Start Date]&gt;42094,Table1[Start Date]&lt;42461),Table1[Physical Health],""))</f>
        <v/>
      </c>
      <c r="FG221" s="44" t="str">
        <f>IF(Table1[Date of Initial Assessment]="","",IF(AND(Table1[Start Date]&gt;42094,Table1[Start Date]&lt;42461),Table1[Emotional and Mental Health],""))</f>
        <v/>
      </c>
      <c r="FH221" s="44" t="str">
        <f>IF(Table1[Date of Initial Assessment]="","",IF(AND(Table1[Start Date]&gt;42094,Table1[Start Date]&lt;42461),Table1[Meaningful Use of Time],""))</f>
        <v/>
      </c>
      <c r="FI221" s="44" t="str">
        <f>IF(Table1[Date of Initial Assessment]="","",IF(AND(Table1[Start Date]&gt;42094,Table1[Start Date]&lt;42461),Table1[Managing Tenancy and Accommodation],""))</f>
        <v/>
      </c>
      <c r="FJ221" s="44" t="str">
        <f>IF(Table1[Date of Initial Assessment]="","",IF(AND(Table1[Start Date]&gt;42094,Table1[Start Date]&lt;42461),Table1[Offending],""))</f>
        <v/>
      </c>
      <c r="FK221" s="44" t="str">
        <f>IF(Table1[Leaving Date]="","",IF(Table1[Date of Initial Assessment]="","",IF(AND(Table1[Leaving Date]&gt;42094,Table1[Leaving Date]&lt;42461),IF(Table1[Date of Last Assessment]="",Table1[Motivation and Taking Responsibility],Table1[Motivation and Taking Responsibility2]),"")))</f>
        <v/>
      </c>
      <c r="FL221" s="44" t="str">
        <f>IF(Table1[Leaving Date]="","",IF(Table1[Date of Initial Assessment]="","",IF(AND(Table1[Leaving Date]&gt;42094,Table1[Leaving Date]&lt;42461),IF(Table1[Date of Last Assessment]="",Table1[Self-Care and Living Skills],Table1[Self-Care and Living Skills2]),"")))</f>
        <v/>
      </c>
      <c r="FM221" s="44" t="str">
        <f>IF(Table1[Leaving Date]="","",IF(Table1[Date of Initial Assessment]="","",IF(AND(Table1[Leaving Date]&gt;42094,Table1[Leaving Date]&lt;42461),IF(Table1[Date of Last Assessment]="",Table1[Managing Money and Personal Administration],Table1[Managing Money and Personal Administration2]),"")))</f>
        <v/>
      </c>
      <c r="FN221" s="44" t="str">
        <f>IF(Table1[Leaving Date]="","",IF(Table1[Date of Initial Assessment]="","",IF(AND(Table1[Leaving Date]&gt;42094,Table1[Leaving Date]&lt;42461),IF(Table1[Date of Last Assessment]="",Table1[Social Networks and Relationships],Table1[Social Networks and Relationships2]),"")))</f>
        <v/>
      </c>
      <c r="FO221" s="44" t="str">
        <f>IF(Table1[Leaving Date]="","",IF(Table1[Date of Initial Assessment]="","",IF(AND(Table1[Leaving Date]&gt;42094,Table1[Leaving Date]&lt;42461),IF(Table1[Date of Last Assessment]="",Table1[Drug and Alcohol Misuse],Table1[Drug and Alcohol Misuse2]),"")))</f>
        <v/>
      </c>
      <c r="FP221" s="44" t="str">
        <f>IF(Table1[Leaving Date]="","",IF(Table1[Date of Initial Assessment]="","",IF(AND(Table1[Leaving Date]&gt;42094,Table1[Leaving Date]&lt;42461),IF(Table1[Date of Last Assessment]="",Table1[Physical Health],Table1[Physical Health2]),"")))</f>
        <v/>
      </c>
      <c r="FQ221" s="44" t="str">
        <f>IF(Table1[Leaving Date]="","",IF(Table1[Date of Initial Assessment]="","",IF(AND(Table1[Leaving Date]&gt;42094,Table1[Leaving Date]&lt;42461),IF(Table1[Date of Last Assessment]="",Table1[Emotional and Mental Health],Table1[Emotional and Mental Health2]),"")))</f>
        <v/>
      </c>
      <c r="FR221" s="44" t="str">
        <f>IF(Table1[Leaving Date]="","",IF(Table1[Date of Initial Assessment]="","",IF(AND(Table1[Leaving Date]&gt;42094,Table1[Leaving Date]&lt;42461),IF(Table1[Date of Last Assessment]="",Table1[Meaningful Use of Time],Table1[Meaningful Use of Time2]),"")))</f>
        <v/>
      </c>
      <c r="FS221" s="44" t="str">
        <f>IF(Table1[Leaving Date]="","",IF(Table1[Date of Initial Assessment]="","",IF(AND(Table1[Leaving Date]&gt;42094,Table1[Leaving Date]&lt;42461),IF(Table1[Date of Last Assessment]="",Table1[Managing Tenancy and Accommodation],Table1[Managing Tenancy and Accommodation2]),"")))</f>
        <v/>
      </c>
      <c r="FT221" s="44" t="str">
        <f>IF(Table1[Leaving Date]="","",IF(Table1[Date of Initial Assessment]="","",IF(AND(Table1[Leaving Date]&gt;42094,Table1[Leaving Date]&lt;42461),IF(Table1[Date of Last Assessment]="",Table1[Offending],Table1[Offending2]),"")))</f>
        <v/>
      </c>
      <c r="FU221" s="44" t="str">
        <f>IF(Table1[Date of Initial Assessment]="","",IF(AND(Table1[Start Date]&gt;42460,Table1[Start Date]&lt;42826),Table1[Motivation and Taking Responsibility],""))</f>
        <v/>
      </c>
      <c r="FV221" s="44" t="str">
        <f>IF(Table1[Date of Initial Assessment]="","",IF(AND(Table1[Start Date]&gt;42460,Table1[Start Date]&lt;42826),Table1[Self-Care and Living Skills],""))</f>
        <v/>
      </c>
      <c r="FW221" s="44" t="str">
        <f>IF(Table1[Date of Initial Assessment]="","",IF(AND(Table1[Start Date]&gt;42460,Table1[Start Date]&lt;42826),Table1[Managing Money and Personal Administration],""))</f>
        <v/>
      </c>
      <c r="FX221" s="44" t="str">
        <f>IF(Table1[Date of Initial Assessment]="","",IF(AND(Table1[Start Date]&gt;42460,Table1[Start Date]&lt;42826),Table1[Social Networks and Relationships],""))</f>
        <v/>
      </c>
      <c r="FY221" s="44" t="str">
        <f>IF(Table1[Date of Initial Assessment]="","",IF(AND(Table1[Start Date]&gt;42460,Table1[Start Date]&lt;42826),Table1[Drug and Alcohol Misuse],""))</f>
        <v/>
      </c>
      <c r="FZ221" s="44" t="str">
        <f>IF(Table1[Date of Initial Assessment]="","",IF(AND(Table1[Start Date]&gt;42460,Table1[Start Date]&lt;42826),Table1[Physical Health],""))</f>
        <v/>
      </c>
      <c r="GA221" s="44" t="str">
        <f>IF(Table1[Date of Initial Assessment]="","",IF(AND(Table1[Start Date]&gt;42460,Table1[Start Date]&lt;42826),Table1[Emotional and Mental Health],""))</f>
        <v/>
      </c>
      <c r="GB221" s="44" t="str">
        <f>IF(Table1[Date of Initial Assessment]="","",IF(AND(Table1[Start Date]&gt;42460,Table1[Start Date]&lt;42826),Table1[Meaningful Use of Time],""))</f>
        <v/>
      </c>
      <c r="GC221" s="44" t="str">
        <f>IF(Table1[Date of Initial Assessment]="","",IF(AND(Table1[Start Date]&gt;42460,Table1[Start Date]&lt;42826),Table1[Managing Tenancy and Accommodation],""))</f>
        <v/>
      </c>
      <c r="GD221" s="44" t="str">
        <f>IF(Table1[Date of Initial Assessment]="","",IF(AND(Table1[Start Date]&gt;42460,Table1[Start Date]&lt;42826),Table1[Offending],""))</f>
        <v/>
      </c>
      <c r="GE221" s="44" t="str">
        <f>IF(Table1[Leaving Date]="","",IF(AND(Table1[Leaving Date]&gt;42460,Table1[Leaving Date]&lt;42826),IF(Table1[Date of Last Assessment]="",Table1[Motivation and Taking Responsibility],Table1[Motivation and Taking Responsibility2]),""))</f>
        <v/>
      </c>
      <c r="GF221" s="44" t="str">
        <f>IF(Table1[Leaving Date]="","",IF(AND(Table1[Leaving Date]&gt;42460,Table1[Leaving Date]&lt;42826),IF(Table1[Date of Last Assessment]="",Table1[Self-Care and Living Skills],Table1[Self-Care and Living Skills2]),""))</f>
        <v/>
      </c>
      <c r="GG221" s="44" t="str">
        <f>IF(Table1[Leaving Date]="","",IF(AND(Table1[Leaving Date]&gt;42460,Table1[Leaving Date]&lt;42826),IF(Table1[Date of Last Assessment]="",Table1[Managing Money and Personal Administration],Table1[Managing Money and Personal Administration2]),""))</f>
        <v/>
      </c>
      <c r="GH221" s="44" t="str">
        <f>IF(Table1[Leaving Date]="","",IF(AND(Table1[Leaving Date]&gt;42460,Table1[Leaving Date]&lt;42826),IF(Table1[Date of Last Assessment]="",Table1[Social Networks and Relationships],Table1[Social Networks and Relationships2]),""))</f>
        <v/>
      </c>
      <c r="GI221" s="44" t="str">
        <f>IF(Table1[Leaving Date]="","",IF(AND(Table1[Leaving Date]&gt;42460,Table1[Leaving Date]&lt;42826),IF(Table1[Date of Last Assessment]="",Table1[Drug and Alcohol Misuse],Table1[Drug and Alcohol Misuse2]),""))</f>
        <v/>
      </c>
      <c r="GJ221" s="44" t="str">
        <f>IF(Table1[Leaving Date]="","",IF(AND(Table1[Leaving Date]&gt;42460,Table1[Leaving Date]&lt;42826),IF(Table1[Date of Last Assessment]="",Table1[Physical Health],Table1[Physical Health2]),""))</f>
        <v/>
      </c>
      <c r="GK221" s="44" t="str">
        <f>IF(Table1[Leaving Date]="","",IF(AND(Table1[Leaving Date]&gt;42460,Table1[Leaving Date]&lt;42826),IF(Table1[Date of Last Assessment]="",Table1[Emotional and Mental Health],Table1[Emotional and Mental Health2]),""))</f>
        <v/>
      </c>
      <c r="GL221" s="44" t="str">
        <f>IF(Table1[Leaving Date]="","",IF(AND(Table1[Leaving Date]&gt;42460,Table1[Leaving Date]&lt;42826),IF(Table1[Date of Last Assessment]="",Table1[Meaningful Use of Time],Table1[Meaningful Use of Time2]),""))</f>
        <v/>
      </c>
      <c r="GM221" s="44" t="str">
        <f>IF(Table1[Leaving Date]="","",IF(AND(Table1[Leaving Date]&gt;42460,Table1[Leaving Date]&lt;42826),IF(Table1[Date of Last Assessment]="",Table1[Managing Tenancy and Accommodation],Table1[Managing Tenancy and Accommodation2]),""))</f>
        <v/>
      </c>
      <c r="GN221" s="44" t="str">
        <f>IF(Table1[Leaving Date]="","",IF(AND(Table1[Leaving Date]&gt;42460,Table1[Leaving Date]&lt;42826),IF(Table1[Date of Last Assessment]="",Table1[Offending],Table1[Offending2]),""))</f>
        <v/>
      </c>
    </row>
    <row r="222" spans="2:196" ht="20.100000000000001" customHeight="1" x14ac:dyDescent="0.2">
      <c r="B222" s="86">
        <f>+'Service Data'!$C$5:$C$5</f>
        <v>0</v>
      </c>
      <c r="C222" s="86"/>
      <c r="D222" s="86"/>
      <c r="E222" s="86"/>
      <c r="F222" s="86"/>
      <c r="G222" s="86"/>
      <c r="H222" s="6"/>
      <c r="I222" s="99" t="str">
        <f ca="1">IF(Table1[[#This Row],[Date of Birth]]="","",SUM(TODAY()-Table1[[#This Row],[Date of Birth]])/365)</f>
        <v/>
      </c>
      <c r="L222" s="86"/>
      <c r="M222" s="77"/>
      <c r="N222" s="86"/>
      <c r="O222" s="86"/>
      <c r="P222" s="91"/>
      <c r="Q222" s="86"/>
      <c r="R222" s="77"/>
      <c r="S222" s="77"/>
      <c r="T222" s="68"/>
      <c r="U222" s="68"/>
      <c r="V222" s="67"/>
      <c r="W222" s="67"/>
      <c r="X222" s="67"/>
      <c r="Y222" s="67"/>
      <c r="Z222" s="67"/>
      <c r="AA222" s="67"/>
      <c r="AB222" s="67"/>
      <c r="AC222" s="67"/>
      <c r="AD222" s="67"/>
      <c r="AE222" s="67"/>
      <c r="AF222" s="67"/>
      <c r="AG222" s="67"/>
      <c r="AH222" s="67"/>
      <c r="AI222" s="67"/>
      <c r="AJ222" s="67"/>
      <c r="AK222" s="67"/>
      <c r="AL222" s="67"/>
      <c r="AM222" s="67"/>
      <c r="AN222" s="77"/>
      <c r="AO222" s="76"/>
      <c r="AP222" s="77"/>
      <c r="AQ222" s="76"/>
      <c r="AR222" s="76"/>
      <c r="AS222" s="76"/>
      <c r="AT222" s="76"/>
      <c r="AU222" s="76"/>
      <c r="AV222" s="77"/>
      <c r="AW222" s="76"/>
      <c r="AX222" s="77"/>
      <c r="AY222" s="76"/>
      <c r="AZ222" s="76"/>
      <c r="BA222" s="76"/>
      <c r="BB222" s="76"/>
      <c r="BC222" s="76"/>
      <c r="BD222" s="77"/>
      <c r="BE222" s="76"/>
      <c r="BF222" s="77"/>
      <c r="BG222" s="76"/>
      <c r="BH222" s="76"/>
      <c r="BI222" s="76"/>
      <c r="BJ222" s="76"/>
      <c r="BK222" s="76"/>
      <c r="BL222" s="77"/>
      <c r="BM222" s="76"/>
      <c r="BN222" s="77"/>
      <c r="BO222" s="76"/>
      <c r="BP222" s="76"/>
      <c r="BQ222" s="76"/>
      <c r="BR222" s="76"/>
      <c r="BS222" s="76"/>
      <c r="BT222" s="77"/>
      <c r="BU222" s="76"/>
      <c r="BV222" s="77"/>
      <c r="BW222" s="76"/>
      <c r="BX222" s="76"/>
      <c r="BY222" s="76"/>
      <c r="BZ222" s="76"/>
      <c r="CA222" s="76"/>
      <c r="CB222" s="77"/>
      <c r="CC222" s="76"/>
      <c r="CD222" s="77"/>
      <c r="CE222" s="76"/>
      <c r="CF222" s="76"/>
      <c r="CG222" s="76"/>
      <c r="CH222" s="76"/>
      <c r="CI222" s="76"/>
      <c r="CJ222" s="77"/>
      <c r="CK222" s="76"/>
      <c r="CL222" s="77"/>
      <c r="CM222" s="76"/>
      <c r="CN222" s="76"/>
      <c r="CO222" s="76"/>
      <c r="CP222" s="76"/>
      <c r="CQ222" s="76"/>
      <c r="CR222" s="78" t="str">
        <f t="shared" si="63"/>
        <v/>
      </c>
      <c r="CS222" s="79" t="str">
        <f t="shared" si="64"/>
        <v/>
      </c>
      <c r="CT222" s="79" t="str">
        <f t="shared" si="65"/>
        <v/>
      </c>
      <c r="CU222" s="79" t="str">
        <f t="shared" si="66"/>
        <v/>
      </c>
      <c r="CV222" s="79" t="str">
        <f t="shared" si="67"/>
        <v/>
      </c>
      <c r="CW222" s="79" t="str">
        <f t="shared" si="68"/>
        <v/>
      </c>
      <c r="CX222" s="79" t="str">
        <f t="shared" si="69"/>
        <v/>
      </c>
      <c r="CY222" s="79" t="str">
        <f t="shared" si="70"/>
        <v/>
      </c>
      <c r="CZ222" s="79" t="str">
        <f t="shared" si="71"/>
        <v/>
      </c>
      <c r="DA222" s="79" t="str">
        <f t="shared" si="72"/>
        <v/>
      </c>
      <c r="DB222" s="79" t="str">
        <f t="shared" si="73"/>
        <v/>
      </c>
      <c r="DC222" s="79" t="str">
        <f t="shared" si="74"/>
        <v/>
      </c>
      <c r="DD222" s="79" t="str">
        <f t="shared" si="75"/>
        <v/>
      </c>
      <c r="DE222" s="79" t="str">
        <f t="shared" si="76"/>
        <v/>
      </c>
      <c r="DF222" s="79" t="str">
        <f t="shared" si="77"/>
        <v/>
      </c>
      <c r="DG222" s="79" t="str">
        <f t="shared" si="78"/>
        <v/>
      </c>
      <c r="DH222" s="76"/>
      <c r="DI222" s="78"/>
      <c r="DJ222" s="76"/>
      <c r="DK222" s="77"/>
      <c r="DL222" s="77"/>
      <c r="DM222" s="77"/>
      <c r="DN222" s="80"/>
      <c r="DO222" s="80"/>
      <c r="DP222" s="92" t="str">
        <f>IF(Table1[Start Date]="","",IF(Table1[Start Date]&gt;42185,"",IF(AND(Table1[Leaving Date]&gt;1,Table1[Leaving Date]&lt;42095),"",1)))</f>
        <v/>
      </c>
      <c r="DQ222" s="92" t="str">
        <f>IF(Table1[Start Date]="","",IF(Table1[Start Date]&gt;42277,"",IF(AND(Table1[Leaving Date]&gt;1,Table1[Leaving Date]&lt;42186),"",1)))</f>
        <v/>
      </c>
      <c r="DR222" s="92" t="str">
        <f>IF(Table1[Start Date]="","",IF(Table1[Start Date]&gt;42369,"",IF(AND(Table1[Leaving Date]&gt;1,Table1[Leaving Date]&lt;42278),"",1)))</f>
        <v/>
      </c>
      <c r="DS222" s="92" t="str">
        <f>IF(Table1[Start Date]="","",IF(Table1[Start Date]&gt;42460,"",IF(AND(Table1[Leaving Date]&gt;1,Table1[Leaving Date]&lt;42370),"",1)))</f>
        <v/>
      </c>
      <c r="DT222" s="92" t="str">
        <f>IF(Table1[Start Date]="","",IF(Table1[Start Date]&gt;42551,"",IF(AND(Table1[Leaving Date]&gt;1,Table1[Leaving Date]&lt;42461),"",1)))</f>
        <v/>
      </c>
      <c r="DU222" s="92" t="str">
        <f>IF(Table1[Start Date]="","",IF(Table1[Start Date]&gt;42643,"",IF(AND(Table1[Leaving Date]&gt;1,Table1[Leaving Date]&lt;42552),"",1)))</f>
        <v/>
      </c>
      <c r="DV222" s="92" t="str">
        <f>IF(Table1[Start Date]="","",IF(Table1[Start Date]&gt;42735,"",IF(AND(Table1[Leaving Date]&gt;1,Table1[Leaving Date]&lt;42644),"",1)))</f>
        <v/>
      </c>
      <c r="DW222" s="92" t="str">
        <f>IF(Table1[Start Date]="","",IF(Table1[Start Date]&gt;42825,"",IF(AND(Table1[Leaving Date]&gt;1,Table1[Leaving Date]&lt;42736),"",1)))</f>
        <v/>
      </c>
      <c r="DX222"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222" s="44" t="e">
        <f>VLOOKUP(Table1[Referral Source],Lists!$G$2:$H$20,2,FALSE)</f>
        <v>#N/A</v>
      </c>
      <c r="DZ222" s="93" t="e">
        <f>SUM(Table1[Data Referral Quarter]+Table1[Data Referral Source])</f>
        <v>#N/A</v>
      </c>
      <c r="EA222" s="44" t="b">
        <f>IF(Table1[Referral Decision]="Accepted",100,IF(Table1[Referral Decision]="Rejected by Provider",200,IF(Table1[Referral Decision]="Rejected by Applicant",300)))</f>
        <v>0</v>
      </c>
      <c r="EB222" s="44">
        <f>SUM(Table1[Data Referral Quarter]+Table1[Data Referral Decision])</f>
        <v>0</v>
      </c>
      <c r="EC222" s="44" t="b">
        <f>IF(Table1[Start Date]&gt;42735,8000,IF(Table1[Start Date]&gt;42643,7000,IF(Table1[Start Date]&gt;42551,6000,IF(Table1[Start Date]&gt;42460,5000,IF(Table1[Start Date]&gt;42369,4000,IF(Table1[Start Date]&gt;42277,3000,IF(Table1[Start Date]&gt;42185,2000,IF(Table1[Start Date]&gt;42094,1000))))))))</f>
        <v>0</v>
      </c>
      <c r="ED222" s="44" t="str">
        <f>IF(Table1[Start Date]="","",IF(Table1[Current Local Authority]="Swindon",1,"2"))</f>
        <v/>
      </c>
      <c r="EE222" s="44" t="e">
        <f>SUM(Table1[Data Start Date]+Table1[Data Local Authority])</f>
        <v>#VALUE!</v>
      </c>
      <c r="EF222" s="44">
        <f>IF(Table1[Registered with GP]="Yes",1,0)</f>
        <v>0</v>
      </c>
      <c r="EG222" s="44">
        <f>SUM(Table1[Data Start Date]+Table1[Data GP Start])</f>
        <v>0</v>
      </c>
      <c r="EH222" s="44" t="str">
        <f>IF(Table1[EET]="NEET",1,IF(Table1[EET]="Education",2,IF(Table1[EET]="Employment",2,IF(Table1[EET]="Training",2,IF(Table1[EET]="Retired",3,"")))))</f>
        <v/>
      </c>
      <c r="EI222" s="44" t="e">
        <f>Table1[Data Start Date]+Table1[Data EET Start]</f>
        <v>#VALUE!</v>
      </c>
      <c r="EJ222" s="44" t="b">
        <f>IF(Table1[Leaving Date]&gt;42735,8000,IF(Table1[Leaving Date]&gt;42643,7000,IF(Table1[Leaving Date]&gt;42551,6000,IF(Table1[Leaving Date]&gt;42460,5000,IF(Table1[Leaving Date]&gt;42369,4000,IF(Table1[Leaving Date]&gt;42277,3000,IF(Table1[Leaving Date]&gt;42185,2000,IF(Table1[Leaving Date]&gt;42094,1000))))))))</f>
        <v>0</v>
      </c>
      <c r="EK222" s="44" t="e">
        <f>VLOOKUP(Table1[Reason for Leaving],Lists!$T$2:$U$15,2,FALSE)</f>
        <v>#N/A</v>
      </c>
      <c r="EL222" s="44" t="e">
        <f>SUM(Table1[Data Leavers Date]+Table1[Data Move On])</f>
        <v>#N/A</v>
      </c>
      <c r="EM222" s="44" t="b">
        <f>IF(Table1[Registered with GP2]="Yes",1,IF(Table1[Registered with GP2]="No",0,IF(Table1[Registered with GP]="Yes",1,IF(Table1[Registered with GP]="No",0))))</f>
        <v>0</v>
      </c>
      <c r="EN222" s="44">
        <f>SUM(Table1[Data Leavers Date]+Table1[Data GP End])</f>
        <v>0</v>
      </c>
      <c r="EO222" s="44" t="str">
        <f>IF(Table1[EET2]="NEET",1,IF(Table1[EET2]="Employment",2,IF(Table1[EET2]="Education",2,IF(Table1[EET2]="Training",2,IF(Table1[EET2]="Retired",3,IF(Table1[EET]="NEET",1,IF(Table1[EET]="Employment",2,IF(Table1[EET]="Education",2,IF(Table1[EET]="Training",2,IF(Table1[EET]="Retired",3,""))))))))))</f>
        <v/>
      </c>
      <c r="EP222" s="44" t="e">
        <f>+Table1[[#This Row],[Data Leavers Date]]+Table1[[#This Row],[Data EET End]]</f>
        <v>#VALUE!</v>
      </c>
      <c r="EQ222" s="44">
        <f>IF(Table1[Exit Form Received]="Yes",1,0)</f>
        <v>0</v>
      </c>
      <c r="ER222" s="44">
        <f>+Table1[[#This Row],[Data Leavers Date]]+Table1[[#This Row],[Data Exit Forms]]</f>
        <v>0</v>
      </c>
      <c r="ES222" s="44" t="str">
        <f>IF(Table1[Data Leavers Date]=1000,SUM(Table1[Leaving Date]-Table1[Start Date]),"")</f>
        <v/>
      </c>
      <c r="ET222" s="44" t="str">
        <f>IF(Table1[Data Leavers Date]=2000,SUM(Table1[Leaving Date]-Table1[Start Date]),"")</f>
        <v/>
      </c>
      <c r="EU222" s="44" t="str">
        <f>IF(Table1[Data Leavers Date]=3000,SUM(Table1[Leaving Date]-Table1[Start Date]),"")</f>
        <v/>
      </c>
      <c r="EV222" s="44" t="str">
        <f>IF(Table1[Data Leavers Date]=4000,SUM(Table1[Leaving Date]-Table1[Start Date]),"")</f>
        <v/>
      </c>
      <c r="EW222" s="44" t="str">
        <f>IF(Table1[Data Leavers Date]=5000,SUM(Table1[Leaving Date]-Table1[Start Date]),"")</f>
        <v/>
      </c>
      <c r="EX222" s="44" t="str">
        <f>IF(Table1[Data Leavers Date]=6000,SUM(Table1[Leaving Date]-Table1[Start Date]),"")</f>
        <v/>
      </c>
      <c r="EY222" s="44" t="str">
        <f>IF(Table1[Data Leavers Date]=7000,SUM(Table1[Leaving Date]-Table1[Start Date]),"")</f>
        <v/>
      </c>
      <c r="EZ222" s="44" t="str">
        <f>IF(Table1[Data Leavers Date]=8000,SUM(Table1[Leaving Date]-Table1[Start Date]),"")</f>
        <v/>
      </c>
      <c r="FA222" s="44" t="str">
        <f>IF(Table1[Date of Initial Assessment]="","",IF(AND(Table1[Start Date]&gt;42094,Table1[Start Date]&lt;42461),Table1[Motivation and Taking Responsibility],""))</f>
        <v/>
      </c>
      <c r="FB222" s="44" t="str">
        <f>IF(Table1[Date of Initial Assessment]="","",IF(AND(Table1[Start Date]&gt;42094,Table1[Start Date]&lt;42461),Table1[Self-Care and Living Skills],""))</f>
        <v/>
      </c>
      <c r="FC222" s="44" t="str">
        <f>IF(Table1[Date of Initial Assessment]="","",IF(AND(Table1[Start Date]&gt;42094,Table1[Start Date]&lt;42461),Table1[Managing Money and Personal Administration],""))</f>
        <v/>
      </c>
      <c r="FD222" s="44" t="str">
        <f>IF(Table1[Date of Initial Assessment]="","",IF(AND(Table1[Start Date]&gt;42094,Table1[Start Date]&lt;42461),Table1[Social Networks and Relationships],""))</f>
        <v/>
      </c>
      <c r="FE222" s="44" t="str">
        <f>IF(Table1[Date of Initial Assessment]="","",IF(AND(Table1[Start Date]&gt;42094,Table1[Start Date]&lt;42461),Table1[Drug and Alcohol Misuse],""))</f>
        <v/>
      </c>
      <c r="FF222" s="44" t="str">
        <f>IF(Table1[Date of Initial Assessment]="","",IF(AND(Table1[Start Date]&gt;42094,Table1[Start Date]&lt;42461),Table1[Physical Health],""))</f>
        <v/>
      </c>
      <c r="FG222" s="44" t="str">
        <f>IF(Table1[Date of Initial Assessment]="","",IF(AND(Table1[Start Date]&gt;42094,Table1[Start Date]&lt;42461),Table1[Emotional and Mental Health],""))</f>
        <v/>
      </c>
      <c r="FH222" s="44" t="str">
        <f>IF(Table1[Date of Initial Assessment]="","",IF(AND(Table1[Start Date]&gt;42094,Table1[Start Date]&lt;42461),Table1[Meaningful Use of Time],""))</f>
        <v/>
      </c>
      <c r="FI222" s="44" t="str">
        <f>IF(Table1[Date of Initial Assessment]="","",IF(AND(Table1[Start Date]&gt;42094,Table1[Start Date]&lt;42461),Table1[Managing Tenancy and Accommodation],""))</f>
        <v/>
      </c>
      <c r="FJ222" s="44" t="str">
        <f>IF(Table1[Date of Initial Assessment]="","",IF(AND(Table1[Start Date]&gt;42094,Table1[Start Date]&lt;42461),Table1[Offending],""))</f>
        <v/>
      </c>
      <c r="FK222" s="44" t="str">
        <f>IF(Table1[Leaving Date]="","",IF(Table1[Date of Initial Assessment]="","",IF(AND(Table1[Leaving Date]&gt;42094,Table1[Leaving Date]&lt;42461),IF(Table1[Date of Last Assessment]="",Table1[Motivation and Taking Responsibility],Table1[Motivation and Taking Responsibility2]),"")))</f>
        <v/>
      </c>
      <c r="FL222" s="44" t="str">
        <f>IF(Table1[Leaving Date]="","",IF(Table1[Date of Initial Assessment]="","",IF(AND(Table1[Leaving Date]&gt;42094,Table1[Leaving Date]&lt;42461),IF(Table1[Date of Last Assessment]="",Table1[Self-Care and Living Skills],Table1[Self-Care and Living Skills2]),"")))</f>
        <v/>
      </c>
      <c r="FM222" s="44" t="str">
        <f>IF(Table1[Leaving Date]="","",IF(Table1[Date of Initial Assessment]="","",IF(AND(Table1[Leaving Date]&gt;42094,Table1[Leaving Date]&lt;42461),IF(Table1[Date of Last Assessment]="",Table1[Managing Money and Personal Administration],Table1[Managing Money and Personal Administration2]),"")))</f>
        <v/>
      </c>
      <c r="FN222" s="44" t="str">
        <f>IF(Table1[Leaving Date]="","",IF(Table1[Date of Initial Assessment]="","",IF(AND(Table1[Leaving Date]&gt;42094,Table1[Leaving Date]&lt;42461),IF(Table1[Date of Last Assessment]="",Table1[Social Networks and Relationships],Table1[Social Networks and Relationships2]),"")))</f>
        <v/>
      </c>
      <c r="FO222" s="44" t="str">
        <f>IF(Table1[Leaving Date]="","",IF(Table1[Date of Initial Assessment]="","",IF(AND(Table1[Leaving Date]&gt;42094,Table1[Leaving Date]&lt;42461),IF(Table1[Date of Last Assessment]="",Table1[Drug and Alcohol Misuse],Table1[Drug and Alcohol Misuse2]),"")))</f>
        <v/>
      </c>
      <c r="FP222" s="44" t="str">
        <f>IF(Table1[Leaving Date]="","",IF(Table1[Date of Initial Assessment]="","",IF(AND(Table1[Leaving Date]&gt;42094,Table1[Leaving Date]&lt;42461),IF(Table1[Date of Last Assessment]="",Table1[Physical Health],Table1[Physical Health2]),"")))</f>
        <v/>
      </c>
      <c r="FQ222" s="44" t="str">
        <f>IF(Table1[Leaving Date]="","",IF(Table1[Date of Initial Assessment]="","",IF(AND(Table1[Leaving Date]&gt;42094,Table1[Leaving Date]&lt;42461),IF(Table1[Date of Last Assessment]="",Table1[Emotional and Mental Health],Table1[Emotional and Mental Health2]),"")))</f>
        <v/>
      </c>
      <c r="FR222" s="44" t="str">
        <f>IF(Table1[Leaving Date]="","",IF(Table1[Date of Initial Assessment]="","",IF(AND(Table1[Leaving Date]&gt;42094,Table1[Leaving Date]&lt;42461),IF(Table1[Date of Last Assessment]="",Table1[Meaningful Use of Time],Table1[Meaningful Use of Time2]),"")))</f>
        <v/>
      </c>
      <c r="FS222" s="44" t="str">
        <f>IF(Table1[Leaving Date]="","",IF(Table1[Date of Initial Assessment]="","",IF(AND(Table1[Leaving Date]&gt;42094,Table1[Leaving Date]&lt;42461),IF(Table1[Date of Last Assessment]="",Table1[Managing Tenancy and Accommodation],Table1[Managing Tenancy and Accommodation2]),"")))</f>
        <v/>
      </c>
      <c r="FT222" s="44" t="str">
        <f>IF(Table1[Leaving Date]="","",IF(Table1[Date of Initial Assessment]="","",IF(AND(Table1[Leaving Date]&gt;42094,Table1[Leaving Date]&lt;42461),IF(Table1[Date of Last Assessment]="",Table1[Offending],Table1[Offending2]),"")))</f>
        <v/>
      </c>
      <c r="FU222" s="44" t="str">
        <f>IF(Table1[Date of Initial Assessment]="","",IF(AND(Table1[Start Date]&gt;42460,Table1[Start Date]&lt;42826),Table1[Motivation and Taking Responsibility],""))</f>
        <v/>
      </c>
      <c r="FV222" s="44" t="str">
        <f>IF(Table1[Date of Initial Assessment]="","",IF(AND(Table1[Start Date]&gt;42460,Table1[Start Date]&lt;42826),Table1[Self-Care and Living Skills],""))</f>
        <v/>
      </c>
      <c r="FW222" s="44" t="str">
        <f>IF(Table1[Date of Initial Assessment]="","",IF(AND(Table1[Start Date]&gt;42460,Table1[Start Date]&lt;42826),Table1[Managing Money and Personal Administration],""))</f>
        <v/>
      </c>
      <c r="FX222" s="44" t="str">
        <f>IF(Table1[Date of Initial Assessment]="","",IF(AND(Table1[Start Date]&gt;42460,Table1[Start Date]&lt;42826),Table1[Social Networks and Relationships],""))</f>
        <v/>
      </c>
      <c r="FY222" s="44" t="str">
        <f>IF(Table1[Date of Initial Assessment]="","",IF(AND(Table1[Start Date]&gt;42460,Table1[Start Date]&lt;42826),Table1[Drug and Alcohol Misuse],""))</f>
        <v/>
      </c>
      <c r="FZ222" s="44" t="str">
        <f>IF(Table1[Date of Initial Assessment]="","",IF(AND(Table1[Start Date]&gt;42460,Table1[Start Date]&lt;42826),Table1[Physical Health],""))</f>
        <v/>
      </c>
      <c r="GA222" s="44" t="str">
        <f>IF(Table1[Date of Initial Assessment]="","",IF(AND(Table1[Start Date]&gt;42460,Table1[Start Date]&lt;42826),Table1[Emotional and Mental Health],""))</f>
        <v/>
      </c>
      <c r="GB222" s="44" t="str">
        <f>IF(Table1[Date of Initial Assessment]="","",IF(AND(Table1[Start Date]&gt;42460,Table1[Start Date]&lt;42826),Table1[Meaningful Use of Time],""))</f>
        <v/>
      </c>
      <c r="GC222" s="44" t="str">
        <f>IF(Table1[Date of Initial Assessment]="","",IF(AND(Table1[Start Date]&gt;42460,Table1[Start Date]&lt;42826),Table1[Managing Tenancy and Accommodation],""))</f>
        <v/>
      </c>
      <c r="GD222" s="44" t="str">
        <f>IF(Table1[Date of Initial Assessment]="","",IF(AND(Table1[Start Date]&gt;42460,Table1[Start Date]&lt;42826),Table1[Offending],""))</f>
        <v/>
      </c>
      <c r="GE222" s="44" t="str">
        <f>IF(Table1[Leaving Date]="","",IF(AND(Table1[Leaving Date]&gt;42460,Table1[Leaving Date]&lt;42826),IF(Table1[Date of Last Assessment]="",Table1[Motivation and Taking Responsibility],Table1[Motivation and Taking Responsibility2]),""))</f>
        <v/>
      </c>
      <c r="GF222" s="44" t="str">
        <f>IF(Table1[Leaving Date]="","",IF(AND(Table1[Leaving Date]&gt;42460,Table1[Leaving Date]&lt;42826),IF(Table1[Date of Last Assessment]="",Table1[Self-Care and Living Skills],Table1[Self-Care and Living Skills2]),""))</f>
        <v/>
      </c>
      <c r="GG222" s="44" t="str">
        <f>IF(Table1[Leaving Date]="","",IF(AND(Table1[Leaving Date]&gt;42460,Table1[Leaving Date]&lt;42826),IF(Table1[Date of Last Assessment]="",Table1[Managing Money and Personal Administration],Table1[Managing Money and Personal Administration2]),""))</f>
        <v/>
      </c>
      <c r="GH222" s="44" t="str">
        <f>IF(Table1[Leaving Date]="","",IF(AND(Table1[Leaving Date]&gt;42460,Table1[Leaving Date]&lt;42826),IF(Table1[Date of Last Assessment]="",Table1[Social Networks and Relationships],Table1[Social Networks and Relationships2]),""))</f>
        <v/>
      </c>
      <c r="GI222" s="44" t="str">
        <f>IF(Table1[Leaving Date]="","",IF(AND(Table1[Leaving Date]&gt;42460,Table1[Leaving Date]&lt;42826),IF(Table1[Date of Last Assessment]="",Table1[Drug and Alcohol Misuse],Table1[Drug and Alcohol Misuse2]),""))</f>
        <v/>
      </c>
      <c r="GJ222" s="44" t="str">
        <f>IF(Table1[Leaving Date]="","",IF(AND(Table1[Leaving Date]&gt;42460,Table1[Leaving Date]&lt;42826),IF(Table1[Date of Last Assessment]="",Table1[Physical Health],Table1[Physical Health2]),""))</f>
        <v/>
      </c>
      <c r="GK222" s="44" t="str">
        <f>IF(Table1[Leaving Date]="","",IF(AND(Table1[Leaving Date]&gt;42460,Table1[Leaving Date]&lt;42826),IF(Table1[Date of Last Assessment]="",Table1[Emotional and Mental Health],Table1[Emotional and Mental Health2]),""))</f>
        <v/>
      </c>
      <c r="GL222" s="44" t="str">
        <f>IF(Table1[Leaving Date]="","",IF(AND(Table1[Leaving Date]&gt;42460,Table1[Leaving Date]&lt;42826),IF(Table1[Date of Last Assessment]="",Table1[Meaningful Use of Time],Table1[Meaningful Use of Time2]),""))</f>
        <v/>
      </c>
      <c r="GM222" s="44" t="str">
        <f>IF(Table1[Leaving Date]="","",IF(AND(Table1[Leaving Date]&gt;42460,Table1[Leaving Date]&lt;42826),IF(Table1[Date of Last Assessment]="",Table1[Managing Tenancy and Accommodation],Table1[Managing Tenancy and Accommodation2]),""))</f>
        <v/>
      </c>
      <c r="GN222" s="44" t="str">
        <f>IF(Table1[Leaving Date]="","",IF(AND(Table1[Leaving Date]&gt;42460,Table1[Leaving Date]&lt;42826),IF(Table1[Date of Last Assessment]="",Table1[Offending],Table1[Offending2]),""))</f>
        <v/>
      </c>
    </row>
    <row r="223" spans="2:196" ht="20.100000000000001" customHeight="1" x14ac:dyDescent="0.2">
      <c r="B223" s="86">
        <f>+'Service Data'!$C$5:$C$5</f>
        <v>0</v>
      </c>
      <c r="C223" s="86"/>
      <c r="D223" s="86"/>
      <c r="E223" s="86"/>
      <c r="F223" s="86"/>
      <c r="G223" s="86"/>
      <c r="H223" s="6"/>
      <c r="I223" s="99" t="str">
        <f ca="1">IF(Table1[[#This Row],[Date of Birth]]="","",SUM(TODAY()-Table1[[#This Row],[Date of Birth]])/365)</f>
        <v/>
      </c>
      <c r="L223" s="86"/>
      <c r="M223" s="77"/>
      <c r="N223" s="86"/>
      <c r="O223" s="86"/>
      <c r="P223" s="91"/>
      <c r="Q223" s="86"/>
      <c r="R223" s="77"/>
      <c r="S223" s="77"/>
      <c r="T223" s="68"/>
      <c r="U223" s="68"/>
      <c r="V223" s="67"/>
      <c r="W223" s="67"/>
      <c r="X223" s="67"/>
      <c r="Y223" s="67"/>
      <c r="Z223" s="67"/>
      <c r="AA223" s="67"/>
      <c r="AB223" s="67"/>
      <c r="AC223" s="67"/>
      <c r="AD223" s="67"/>
      <c r="AE223" s="67"/>
      <c r="AF223" s="67"/>
      <c r="AG223" s="67"/>
      <c r="AH223" s="67"/>
      <c r="AI223" s="67"/>
      <c r="AJ223" s="67"/>
      <c r="AK223" s="67"/>
      <c r="AL223" s="67"/>
      <c r="AM223" s="67"/>
      <c r="AN223" s="77"/>
      <c r="AO223" s="76"/>
      <c r="AP223" s="77"/>
      <c r="AQ223" s="76"/>
      <c r="AR223" s="76"/>
      <c r="AS223" s="76"/>
      <c r="AT223" s="76"/>
      <c r="AU223" s="76"/>
      <c r="AV223" s="77"/>
      <c r="AW223" s="76"/>
      <c r="AX223" s="77"/>
      <c r="AY223" s="76"/>
      <c r="AZ223" s="76"/>
      <c r="BA223" s="76"/>
      <c r="BB223" s="76"/>
      <c r="BC223" s="76"/>
      <c r="BD223" s="77"/>
      <c r="BE223" s="76"/>
      <c r="BF223" s="77"/>
      <c r="BG223" s="76"/>
      <c r="BH223" s="76"/>
      <c r="BI223" s="76"/>
      <c r="BJ223" s="76"/>
      <c r="BK223" s="76"/>
      <c r="BL223" s="77"/>
      <c r="BM223" s="76"/>
      <c r="BN223" s="77"/>
      <c r="BO223" s="76"/>
      <c r="BP223" s="76"/>
      <c r="BQ223" s="76"/>
      <c r="BR223" s="76"/>
      <c r="BS223" s="76"/>
      <c r="BT223" s="77"/>
      <c r="BU223" s="76"/>
      <c r="BV223" s="77"/>
      <c r="BW223" s="76"/>
      <c r="BX223" s="76"/>
      <c r="BY223" s="76"/>
      <c r="BZ223" s="76"/>
      <c r="CA223" s="76"/>
      <c r="CB223" s="77"/>
      <c r="CC223" s="76"/>
      <c r="CD223" s="77"/>
      <c r="CE223" s="76"/>
      <c r="CF223" s="76"/>
      <c r="CG223" s="76"/>
      <c r="CH223" s="76"/>
      <c r="CI223" s="76"/>
      <c r="CJ223" s="77"/>
      <c r="CK223" s="76"/>
      <c r="CL223" s="77"/>
      <c r="CM223" s="76"/>
      <c r="CN223" s="76"/>
      <c r="CO223" s="76"/>
      <c r="CP223" s="76"/>
      <c r="CQ223" s="76"/>
      <c r="CR223" s="78" t="str">
        <f t="shared" si="63"/>
        <v/>
      </c>
      <c r="CS223" s="79" t="str">
        <f t="shared" si="64"/>
        <v/>
      </c>
      <c r="CT223" s="79" t="str">
        <f t="shared" si="65"/>
        <v/>
      </c>
      <c r="CU223" s="79" t="str">
        <f t="shared" si="66"/>
        <v/>
      </c>
      <c r="CV223" s="79" t="str">
        <f t="shared" si="67"/>
        <v/>
      </c>
      <c r="CW223" s="79" t="str">
        <f t="shared" si="68"/>
        <v/>
      </c>
      <c r="CX223" s="79" t="str">
        <f t="shared" si="69"/>
        <v/>
      </c>
      <c r="CY223" s="79" t="str">
        <f t="shared" si="70"/>
        <v/>
      </c>
      <c r="CZ223" s="79" t="str">
        <f t="shared" si="71"/>
        <v/>
      </c>
      <c r="DA223" s="79" t="str">
        <f t="shared" si="72"/>
        <v/>
      </c>
      <c r="DB223" s="79" t="str">
        <f t="shared" si="73"/>
        <v/>
      </c>
      <c r="DC223" s="79" t="str">
        <f t="shared" si="74"/>
        <v/>
      </c>
      <c r="DD223" s="79" t="str">
        <f t="shared" si="75"/>
        <v/>
      </c>
      <c r="DE223" s="79" t="str">
        <f t="shared" si="76"/>
        <v/>
      </c>
      <c r="DF223" s="79" t="str">
        <f t="shared" si="77"/>
        <v/>
      </c>
      <c r="DG223" s="79" t="str">
        <f t="shared" si="78"/>
        <v/>
      </c>
      <c r="DH223" s="76"/>
      <c r="DI223" s="78"/>
      <c r="DJ223" s="76"/>
      <c r="DK223" s="77"/>
      <c r="DL223" s="77"/>
      <c r="DM223" s="77"/>
      <c r="DN223" s="80"/>
      <c r="DO223" s="80"/>
      <c r="DP223" s="92" t="str">
        <f>IF(Table1[Start Date]="","",IF(Table1[Start Date]&gt;42185,"",IF(AND(Table1[Leaving Date]&gt;1,Table1[Leaving Date]&lt;42095),"",1)))</f>
        <v/>
      </c>
      <c r="DQ223" s="92" t="str">
        <f>IF(Table1[Start Date]="","",IF(Table1[Start Date]&gt;42277,"",IF(AND(Table1[Leaving Date]&gt;1,Table1[Leaving Date]&lt;42186),"",1)))</f>
        <v/>
      </c>
      <c r="DR223" s="92" t="str">
        <f>IF(Table1[Start Date]="","",IF(Table1[Start Date]&gt;42369,"",IF(AND(Table1[Leaving Date]&gt;1,Table1[Leaving Date]&lt;42278),"",1)))</f>
        <v/>
      </c>
      <c r="DS223" s="92" t="str">
        <f>IF(Table1[Start Date]="","",IF(Table1[Start Date]&gt;42460,"",IF(AND(Table1[Leaving Date]&gt;1,Table1[Leaving Date]&lt;42370),"",1)))</f>
        <v/>
      </c>
      <c r="DT223" s="92" t="str">
        <f>IF(Table1[Start Date]="","",IF(Table1[Start Date]&gt;42551,"",IF(AND(Table1[Leaving Date]&gt;1,Table1[Leaving Date]&lt;42461),"",1)))</f>
        <v/>
      </c>
      <c r="DU223" s="92" t="str">
        <f>IF(Table1[Start Date]="","",IF(Table1[Start Date]&gt;42643,"",IF(AND(Table1[Leaving Date]&gt;1,Table1[Leaving Date]&lt;42552),"",1)))</f>
        <v/>
      </c>
      <c r="DV223" s="92" t="str">
        <f>IF(Table1[Start Date]="","",IF(Table1[Start Date]&gt;42735,"",IF(AND(Table1[Leaving Date]&gt;1,Table1[Leaving Date]&lt;42644),"",1)))</f>
        <v/>
      </c>
      <c r="DW223" s="92" t="str">
        <f>IF(Table1[Start Date]="","",IF(Table1[Start Date]&gt;42825,"",IF(AND(Table1[Leaving Date]&gt;1,Table1[Leaving Date]&lt;42736),"",1)))</f>
        <v/>
      </c>
      <c r="DX223"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223" s="44" t="e">
        <f>VLOOKUP(Table1[Referral Source],Lists!$G$2:$H$20,2,FALSE)</f>
        <v>#N/A</v>
      </c>
      <c r="DZ223" s="93" t="e">
        <f>SUM(Table1[Data Referral Quarter]+Table1[Data Referral Source])</f>
        <v>#N/A</v>
      </c>
      <c r="EA223" s="44" t="b">
        <f>IF(Table1[Referral Decision]="Accepted",100,IF(Table1[Referral Decision]="Rejected by Provider",200,IF(Table1[Referral Decision]="Rejected by Applicant",300)))</f>
        <v>0</v>
      </c>
      <c r="EB223" s="44">
        <f>SUM(Table1[Data Referral Quarter]+Table1[Data Referral Decision])</f>
        <v>0</v>
      </c>
      <c r="EC223" s="44" t="b">
        <f>IF(Table1[Start Date]&gt;42735,8000,IF(Table1[Start Date]&gt;42643,7000,IF(Table1[Start Date]&gt;42551,6000,IF(Table1[Start Date]&gt;42460,5000,IF(Table1[Start Date]&gt;42369,4000,IF(Table1[Start Date]&gt;42277,3000,IF(Table1[Start Date]&gt;42185,2000,IF(Table1[Start Date]&gt;42094,1000))))))))</f>
        <v>0</v>
      </c>
      <c r="ED223" s="44" t="str">
        <f>IF(Table1[Start Date]="","",IF(Table1[Current Local Authority]="Swindon",1,"2"))</f>
        <v/>
      </c>
      <c r="EE223" s="44" t="e">
        <f>SUM(Table1[Data Start Date]+Table1[Data Local Authority])</f>
        <v>#VALUE!</v>
      </c>
      <c r="EF223" s="44">
        <f>IF(Table1[Registered with GP]="Yes",1,0)</f>
        <v>0</v>
      </c>
      <c r="EG223" s="44">
        <f>SUM(Table1[Data Start Date]+Table1[Data GP Start])</f>
        <v>0</v>
      </c>
      <c r="EH223" s="44" t="str">
        <f>IF(Table1[EET]="NEET",1,IF(Table1[EET]="Education",2,IF(Table1[EET]="Employment",2,IF(Table1[EET]="Training",2,IF(Table1[EET]="Retired",3,"")))))</f>
        <v/>
      </c>
      <c r="EI223" s="44" t="e">
        <f>Table1[Data Start Date]+Table1[Data EET Start]</f>
        <v>#VALUE!</v>
      </c>
      <c r="EJ223" s="44" t="b">
        <f>IF(Table1[Leaving Date]&gt;42735,8000,IF(Table1[Leaving Date]&gt;42643,7000,IF(Table1[Leaving Date]&gt;42551,6000,IF(Table1[Leaving Date]&gt;42460,5000,IF(Table1[Leaving Date]&gt;42369,4000,IF(Table1[Leaving Date]&gt;42277,3000,IF(Table1[Leaving Date]&gt;42185,2000,IF(Table1[Leaving Date]&gt;42094,1000))))))))</f>
        <v>0</v>
      </c>
      <c r="EK223" s="44" t="e">
        <f>VLOOKUP(Table1[Reason for Leaving],Lists!$T$2:$U$15,2,FALSE)</f>
        <v>#N/A</v>
      </c>
      <c r="EL223" s="44" t="e">
        <f>SUM(Table1[Data Leavers Date]+Table1[Data Move On])</f>
        <v>#N/A</v>
      </c>
      <c r="EM223" s="44" t="b">
        <f>IF(Table1[Registered with GP2]="Yes",1,IF(Table1[Registered with GP2]="No",0,IF(Table1[Registered with GP]="Yes",1,IF(Table1[Registered with GP]="No",0))))</f>
        <v>0</v>
      </c>
      <c r="EN223" s="44">
        <f>SUM(Table1[Data Leavers Date]+Table1[Data GP End])</f>
        <v>0</v>
      </c>
      <c r="EO223" s="44" t="str">
        <f>IF(Table1[EET2]="NEET",1,IF(Table1[EET2]="Employment",2,IF(Table1[EET2]="Education",2,IF(Table1[EET2]="Training",2,IF(Table1[EET2]="Retired",3,IF(Table1[EET]="NEET",1,IF(Table1[EET]="Employment",2,IF(Table1[EET]="Education",2,IF(Table1[EET]="Training",2,IF(Table1[EET]="Retired",3,""))))))))))</f>
        <v/>
      </c>
      <c r="EP223" s="44" t="e">
        <f>+Table1[[#This Row],[Data Leavers Date]]+Table1[[#This Row],[Data EET End]]</f>
        <v>#VALUE!</v>
      </c>
      <c r="EQ223" s="44">
        <f>IF(Table1[Exit Form Received]="Yes",1,0)</f>
        <v>0</v>
      </c>
      <c r="ER223" s="44">
        <f>+Table1[[#This Row],[Data Leavers Date]]+Table1[[#This Row],[Data Exit Forms]]</f>
        <v>0</v>
      </c>
      <c r="ES223" s="44" t="str">
        <f>IF(Table1[Data Leavers Date]=1000,SUM(Table1[Leaving Date]-Table1[Start Date]),"")</f>
        <v/>
      </c>
      <c r="ET223" s="44" t="str">
        <f>IF(Table1[Data Leavers Date]=2000,SUM(Table1[Leaving Date]-Table1[Start Date]),"")</f>
        <v/>
      </c>
      <c r="EU223" s="44" t="str">
        <f>IF(Table1[Data Leavers Date]=3000,SUM(Table1[Leaving Date]-Table1[Start Date]),"")</f>
        <v/>
      </c>
      <c r="EV223" s="44" t="str">
        <f>IF(Table1[Data Leavers Date]=4000,SUM(Table1[Leaving Date]-Table1[Start Date]),"")</f>
        <v/>
      </c>
      <c r="EW223" s="44" t="str">
        <f>IF(Table1[Data Leavers Date]=5000,SUM(Table1[Leaving Date]-Table1[Start Date]),"")</f>
        <v/>
      </c>
      <c r="EX223" s="44" t="str">
        <f>IF(Table1[Data Leavers Date]=6000,SUM(Table1[Leaving Date]-Table1[Start Date]),"")</f>
        <v/>
      </c>
      <c r="EY223" s="44" t="str">
        <f>IF(Table1[Data Leavers Date]=7000,SUM(Table1[Leaving Date]-Table1[Start Date]),"")</f>
        <v/>
      </c>
      <c r="EZ223" s="44" t="str">
        <f>IF(Table1[Data Leavers Date]=8000,SUM(Table1[Leaving Date]-Table1[Start Date]),"")</f>
        <v/>
      </c>
      <c r="FA223" s="44" t="str">
        <f>IF(Table1[Date of Initial Assessment]="","",IF(AND(Table1[Start Date]&gt;42094,Table1[Start Date]&lt;42461),Table1[Motivation and Taking Responsibility],""))</f>
        <v/>
      </c>
      <c r="FB223" s="44" t="str">
        <f>IF(Table1[Date of Initial Assessment]="","",IF(AND(Table1[Start Date]&gt;42094,Table1[Start Date]&lt;42461),Table1[Self-Care and Living Skills],""))</f>
        <v/>
      </c>
      <c r="FC223" s="44" t="str">
        <f>IF(Table1[Date of Initial Assessment]="","",IF(AND(Table1[Start Date]&gt;42094,Table1[Start Date]&lt;42461),Table1[Managing Money and Personal Administration],""))</f>
        <v/>
      </c>
      <c r="FD223" s="44" t="str">
        <f>IF(Table1[Date of Initial Assessment]="","",IF(AND(Table1[Start Date]&gt;42094,Table1[Start Date]&lt;42461),Table1[Social Networks and Relationships],""))</f>
        <v/>
      </c>
      <c r="FE223" s="44" t="str">
        <f>IF(Table1[Date of Initial Assessment]="","",IF(AND(Table1[Start Date]&gt;42094,Table1[Start Date]&lt;42461),Table1[Drug and Alcohol Misuse],""))</f>
        <v/>
      </c>
      <c r="FF223" s="44" t="str">
        <f>IF(Table1[Date of Initial Assessment]="","",IF(AND(Table1[Start Date]&gt;42094,Table1[Start Date]&lt;42461),Table1[Physical Health],""))</f>
        <v/>
      </c>
      <c r="FG223" s="44" t="str">
        <f>IF(Table1[Date of Initial Assessment]="","",IF(AND(Table1[Start Date]&gt;42094,Table1[Start Date]&lt;42461),Table1[Emotional and Mental Health],""))</f>
        <v/>
      </c>
      <c r="FH223" s="44" t="str">
        <f>IF(Table1[Date of Initial Assessment]="","",IF(AND(Table1[Start Date]&gt;42094,Table1[Start Date]&lt;42461),Table1[Meaningful Use of Time],""))</f>
        <v/>
      </c>
      <c r="FI223" s="44" t="str">
        <f>IF(Table1[Date of Initial Assessment]="","",IF(AND(Table1[Start Date]&gt;42094,Table1[Start Date]&lt;42461),Table1[Managing Tenancy and Accommodation],""))</f>
        <v/>
      </c>
      <c r="FJ223" s="44" t="str">
        <f>IF(Table1[Date of Initial Assessment]="","",IF(AND(Table1[Start Date]&gt;42094,Table1[Start Date]&lt;42461),Table1[Offending],""))</f>
        <v/>
      </c>
      <c r="FK223" s="44" t="str">
        <f>IF(Table1[Leaving Date]="","",IF(Table1[Date of Initial Assessment]="","",IF(AND(Table1[Leaving Date]&gt;42094,Table1[Leaving Date]&lt;42461),IF(Table1[Date of Last Assessment]="",Table1[Motivation and Taking Responsibility],Table1[Motivation and Taking Responsibility2]),"")))</f>
        <v/>
      </c>
      <c r="FL223" s="44" t="str">
        <f>IF(Table1[Leaving Date]="","",IF(Table1[Date of Initial Assessment]="","",IF(AND(Table1[Leaving Date]&gt;42094,Table1[Leaving Date]&lt;42461),IF(Table1[Date of Last Assessment]="",Table1[Self-Care and Living Skills],Table1[Self-Care and Living Skills2]),"")))</f>
        <v/>
      </c>
      <c r="FM223" s="44" t="str">
        <f>IF(Table1[Leaving Date]="","",IF(Table1[Date of Initial Assessment]="","",IF(AND(Table1[Leaving Date]&gt;42094,Table1[Leaving Date]&lt;42461),IF(Table1[Date of Last Assessment]="",Table1[Managing Money and Personal Administration],Table1[Managing Money and Personal Administration2]),"")))</f>
        <v/>
      </c>
      <c r="FN223" s="44" t="str">
        <f>IF(Table1[Leaving Date]="","",IF(Table1[Date of Initial Assessment]="","",IF(AND(Table1[Leaving Date]&gt;42094,Table1[Leaving Date]&lt;42461),IF(Table1[Date of Last Assessment]="",Table1[Social Networks and Relationships],Table1[Social Networks and Relationships2]),"")))</f>
        <v/>
      </c>
      <c r="FO223" s="44" t="str">
        <f>IF(Table1[Leaving Date]="","",IF(Table1[Date of Initial Assessment]="","",IF(AND(Table1[Leaving Date]&gt;42094,Table1[Leaving Date]&lt;42461),IF(Table1[Date of Last Assessment]="",Table1[Drug and Alcohol Misuse],Table1[Drug and Alcohol Misuse2]),"")))</f>
        <v/>
      </c>
      <c r="FP223" s="44" t="str">
        <f>IF(Table1[Leaving Date]="","",IF(Table1[Date of Initial Assessment]="","",IF(AND(Table1[Leaving Date]&gt;42094,Table1[Leaving Date]&lt;42461),IF(Table1[Date of Last Assessment]="",Table1[Physical Health],Table1[Physical Health2]),"")))</f>
        <v/>
      </c>
      <c r="FQ223" s="44" t="str">
        <f>IF(Table1[Leaving Date]="","",IF(Table1[Date of Initial Assessment]="","",IF(AND(Table1[Leaving Date]&gt;42094,Table1[Leaving Date]&lt;42461),IF(Table1[Date of Last Assessment]="",Table1[Emotional and Mental Health],Table1[Emotional and Mental Health2]),"")))</f>
        <v/>
      </c>
      <c r="FR223" s="44" t="str">
        <f>IF(Table1[Leaving Date]="","",IF(Table1[Date of Initial Assessment]="","",IF(AND(Table1[Leaving Date]&gt;42094,Table1[Leaving Date]&lt;42461),IF(Table1[Date of Last Assessment]="",Table1[Meaningful Use of Time],Table1[Meaningful Use of Time2]),"")))</f>
        <v/>
      </c>
      <c r="FS223" s="44" t="str">
        <f>IF(Table1[Leaving Date]="","",IF(Table1[Date of Initial Assessment]="","",IF(AND(Table1[Leaving Date]&gt;42094,Table1[Leaving Date]&lt;42461),IF(Table1[Date of Last Assessment]="",Table1[Managing Tenancy and Accommodation],Table1[Managing Tenancy and Accommodation2]),"")))</f>
        <v/>
      </c>
      <c r="FT223" s="44" t="str">
        <f>IF(Table1[Leaving Date]="","",IF(Table1[Date of Initial Assessment]="","",IF(AND(Table1[Leaving Date]&gt;42094,Table1[Leaving Date]&lt;42461),IF(Table1[Date of Last Assessment]="",Table1[Offending],Table1[Offending2]),"")))</f>
        <v/>
      </c>
      <c r="FU223" s="44" t="str">
        <f>IF(Table1[Date of Initial Assessment]="","",IF(AND(Table1[Start Date]&gt;42460,Table1[Start Date]&lt;42826),Table1[Motivation and Taking Responsibility],""))</f>
        <v/>
      </c>
      <c r="FV223" s="44" t="str">
        <f>IF(Table1[Date of Initial Assessment]="","",IF(AND(Table1[Start Date]&gt;42460,Table1[Start Date]&lt;42826),Table1[Self-Care and Living Skills],""))</f>
        <v/>
      </c>
      <c r="FW223" s="44" t="str">
        <f>IF(Table1[Date of Initial Assessment]="","",IF(AND(Table1[Start Date]&gt;42460,Table1[Start Date]&lt;42826),Table1[Managing Money and Personal Administration],""))</f>
        <v/>
      </c>
      <c r="FX223" s="44" t="str">
        <f>IF(Table1[Date of Initial Assessment]="","",IF(AND(Table1[Start Date]&gt;42460,Table1[Start Date]&lt;42826),Table1[Social Networks and Relationships],""))</f>
        <v/>
      </c>
      <c r="FY223" s="44" t="str">
        <f>IF(Table1[Date of Initial Assessment]="","",IF(AND(Table1[Start Date]&gt;42460,Table1[Start Date]&lt;42826),Table1[Drug and Alcohol Misuse],""))</f>
        <v/>
      </c>
      <c r="FZ223" s="44" t="str">
        <f>IF(Table1[Date of Initial Assessment]="","",IF(AND(Table1[Start Date]&gt;42460,Table1[Start Date]&lt;42826),Table1[Physical Health],""))</f>
        <v/>
      </c>
      <c r="GA223" s="44" t="str">
        <f>IF(Table1[Date of Initial Assessment]="","",IF(AND(Table1[Start Date]&gt;42460,Table1[Start Date]&lt;42826),Table1[Emotional and Mental Health],""))</f>
        <v/>
      </c>
      <c r="GB223" s="44" t="str">
        <f>IF(Table1[Date of Initial Assessment]="","",IF(AND(Table1[Start Date]&gt;42460,Table1[Start Date]&lt;42826),Table1[Meaningful Use of Time],""))</f>
        <v/>
      </c>
      <c r="GC223" s="44" t="str">
        <f>IF(Table1[Date of Initial Assessment]="","",IF(AND(Table1[Start Date]&gt;42460,Table1[Start Date]&lt;42826),Table1[Managing Tenancy and Accommodation],""))</f>
        <v/>
      </c>
      <c r="GD223" s="44" t="str">
        <f>IF(Table1[Date of Initial Assessment]="","",IF(AND(Table1[Start Date]&gt;42460,Table1[Start Date]&lt;42826),Table1[Offending],""))</f>
        <v/>
      </c>
      <c r="GE223" s="44" t="str">
        <f>IF(Table1[Leaving Date]="","",IF(AND(Table1[Leaving Date]&gt;42460,Table1[Leaving Date]&lt;42826),IF(Table1[Date of Last Assessment]="",Table1[Motivation and Taking Responsibility],Table1[Motivation and Taking Responsibility2]),""))</f>
        <v/>
      </c>
      <c r="GF223" s="44" t="str">
        <f>IF(Table1[Leaving Date]="","",IF(AND(Table1[Leaving Date]&gt;42460,Table1[Leaving Date]&lt;42826),IF(Table1[Date of Last Assessment]="",Table1[Self-Care and Living Skills],Table1[Self-Care and Living Skills2]),""))</f>
        <v/>
      </c>
      <c r="GG223" s="44" t="str">
        <f>IF(Table1[Leaving Date]="","",IF(AND(Table1[Leaving Date]&gt;42460,Table1[Leaving Date]&lt;42826),IF(Table1[Date of Last Assessment]="",Table1[Managing Money and Personal Administration],Table1[Managing Money and Personal Administration2]),""))</f>
        <v/>
      </c>
      <c r="GH223" s="44" t="str">
        <f>IF(Table1[Leaving Date]="","",IF(AND(Table1[Leaving Date]&gt;42460,Table1[Leaving Date]&lt;42826),IF(Table1[Date of Last Assessment]="",Table1[Social Networks and Relationships],Table1[Social Networks and Relationships2]),""))</f>
        <v/>
      </c>
      <c r="GI223" s="44" t="str">
        <f>IF(Table1[Leaving Date]="","",IF(AND(Table1[Leaving Date]&gt;42460,Table1[Leaving Date]&lt;42826),IF(Table1[Date of Last Assessment]="",Table1[Drug and Alcohol Misuse],Table1[Drug and Alcohol Misuse2]),""))</f>
        <v/>
      </c>
      <c r="GJ223" s="44" t="str">
        <f>IF(Table1[Leaving Date]="","",IF(AND(Table1[Leaving Date]&gt;42460,Table1[Leaving Date]&lt;42826),IF(Table1[Date of Last Assessment]="",Table1[Physical Health],Table1[Physical Health2]),""))</f>
        <v/>
      </c>
      <c r="GK223" s="44" t="str">
        <f>IF(Table1[Leaving Date]="","",IF(AND(Table1[Leaving Date]&gt;42460,Table1[Leaving Date]&lt;42826),IF(Table1[Date of Last Assessment]="",Table1[Emotional and Mental Health],Table1[Emotional and Mental Health2]),""))</f>
        <v/>
      </c>
      <c r="GL223" s="44" t="str">
        <f>IF(Table1[Leaving Date]="","",IF(AND(Table1[Leaving Date]&gt;42460,Table1[Leaving Date]&lt;42826),IF(Table1[Date of Last Assessment]="",Table1[Meaningful Use of Time],Table1[Meaningful Use of Time2]),""))</f>
        <v/>
      </c>
      <c r="GM223" s="44" t="str">
        <f>IF(Table1[Leaving Date]="","",IF(AND(Table1[Leaving Date]&gt;42460,Table1[Leaving Date]&lt;42826),IF(Table1[Date of Last Assessment]="",Table1[Managing Tenancy and Accommodation],Table1[Managing Tenancy and Accommodation2]),""))</f>
        <v/>
      </c>
      <c r="GN223" s="44" t="str">
        <f>IF(Table1[Leaving Date]="","",IF(AND(Table1[Leaving Date]&gt;42460,Table1[Leaving Date]&lt;42826),IF(Table1[Date of Last Assessment]="",Table1[Offending],Table1[Offending2]),""))</f>
        <v/>
      </c>
    </row>
    <row r="224" spans="2:196" ht="20.100000000000001" customHeight="1" x14ac:dyDescent="0.2">
      <c r="B224" s="86">
        <f>+'Service Data'!$C$5:$C$5</f>
        <v>0</v>
      </c>
      <c r="C224" s="86"/>
      <c r="D224" s="86"/>
      <c r="E224" s="86"/>
      <c r="F224" s="86"/>
      <c r="G224" s="86"/>
      <c r="H224" s="6"/>
      <c r="I224" s="99" t="str">
        <f ca="1">IF(Table1[[#This Row],[Date of Birth]]="","",SUM(TODAY()-Table1[[#This Row],[Date of Birth]])/365)</f>
        <v/>
      </c>
      <c r="L224" s="86"/>
      <c r="M224" s="77"/>
      <c r="N224" s="86"/>
      <c r="O224" s="86"/>
      <c r="P224" s="91"/>
      <c r="Q224" s="86"/>
      <c r="R224" s="77"/>
      <c r="S224" s="77"/>
      <c r="T224" s="68"/>
      <c r="U224" s="68"/>
      <c r="V224" s="67"/>
      <c r="W224" s="67"/>
      <c r="X224" s="67"/>
      <c r="Y224" s="67"/>
      <c r="Z224" s="67"/>
      <c r="AA224" s="67"/>
      <c r="AB224" s="67"/>
      <c r="AC224" s="67"/>
      <c r="AD224" s="67"/>
      <c r="AE224" s="67"/>
      <c r="AF224" s="67"/>
      <c r="AG224" s="67"/>
      <c r="AH224" s="67"/>
      <c r="AI224" s="67"/>
      <c r="AJ224" s="67"/>
      <c r="AK224" s="67"/>
      <c r="AL224" s="67"/>
      <c r="AM224" s="67"/>
      <c r="AN224" s="77"/>
      <c r="AO224" s="76"/>
      <c r="AP224" s="77"/>
      <c r="AQ224" s="76"/>
      <c r="AR224" s="76"/>
      <c r="AS224" s="76"/>
      <c r="AT224" s="76"/>
      <c r="AU224" s="76"/>
      <c r="AV224" s="77"/>
      <c r="AW224" s="76"/>
      <c r="AX224" s="77"/>
      <c r="AY224" s="76"/>
      <c r="AZ224" s="76"/>
      <c r="BA224" s="76"/>
      <c r="BB224" s="76"/>
      <c r="BC224" s="76"/>
      <c r="BD224" s="77"/>
      <c r="BE224" s="76"/>
      <c r="BF224" s="77"/>
      <c r="BG224" s="76"/>
      <c r="BH224" s="76"/>
      <c r="BI224" s="76"/>
      <c r="BJ224" s="76"/>
      <c r="BK224" s="76"/>
      <c r="BL224" s="77"/>
      <c r="BM224" s="76"/>
      <c r="BN224" s="77"/>
      <c r="BO224" s="76"/>
      <c r="BP224" s="76"/>
      <c r="BQ224" s="76"/>
      <c r="BR224" s="76"/>
      <c r="BS224" s="76"/>
      <c r="BT224" s="77"/>
      <c r="BU224" s="76"/>
      <c r="BV224" s="77"/>
      <c r="BW224" s="76"/>
      <c r="BX224" s="76"/>
      <c r="BY224" s="76"/>
      <c r="BZ224" s="76"/>
      <c r="CA224" s="76"/>
      <c r="CB224" s="77"/>
      <c r="CC224" s="76"/>
      <c r="CD224" s="77"/>
      <c r="CE224" s="76"/>
      <c r="CF224" s="76"/>
      <c r="CG224" s="76"/>
      <c r="CH224" s="76"/>
      <c r="CI224" s="76"/>
      <c r="CJ224" s="77"/>
      <c r="CK224" s="76"/>
      <c r="CL224" s="77"/>
      <c r="CM224" s="76"/>
      <c r="CN224" s="76"/>
      <c r="CO224" s="76"/>
      <c r="CP224" s="76"/>
      <c r="CQ224" s="76"/>
      <c r="CR224" s="78" t="str">
        <f t="shared" si="63"/>
        <v/>
      </c>
      <c r="CS224" s="79" t="str">
        <f t="shared" si="64"/>
        <v/>
      </c>
      <c r="CT224" s="79" t="str">
        <f t="shared" si="65"/>
        <v/>
      </c>
      <c r="CU224" s="79" t="str">
        <f t="shared" si="66"/>
        <v/>
      </c>
      <c r="CV224" s="79" t="str">
        <f t="shared" si="67"/>
        <v/>
      </c>
      <c r="CW224" s="79" t="str">
        <f t="shared" si="68"/>
        <v/>
      </c>
      <c r="CX224" s="79" t="str">
        <f t="shared" si="69"/>
        <v/>
      </c>
      <c r="CY224" s="79" t="str">
        <f t="shared" si="70"/>
        <v/>
      </c>
      <c r="CZ224" s="79" t="str">
        <f t="shared" si="71"/>
        <v/>
      </c>
      <c r="DA224" s="79" t="str">
        <f t="shared" si="72"/>
        <v/>
      </c>
      <c r="DB224" s="79" t="str">
        <f t="shared" si="73"/>
        <v/>
      </c>
      <c r="DC224" s="79" t="str">
        <f t="shared" si="74"/>
        <v/>
      </c>
      <c r="DD224" s="79" t="str">
        <f t="shared" si="75"/>
        <v/>
      </c>
      <c r="DE224" s="79" t="str">
        <f t="shared" si="76"/>
        <v/>
      </c>
      <c r="DF224" s="79" t="str">
        <f t="shared" si="77"/>
        <v/>
      </c>
      <c r="DG224" s="79" t="str">
        <f t="shared" si="78"/>
        <v/>
      </c>
      <c r="DH224" s="76"/>
      <c r="DI224" s="78"/>
      <c r="DJ224" s="76"/>
      <c r="DK224" s="77"/>
      <c r="DL224" s="77"/>
      <c r="DM224" s="77"/>
      <c r="DN224" s="80"/>
      <c r="DO224" s="80"/>
      <c r="DP224" s="92" t="str">
        <f>IF(Table1[Start Date]="","",IF(Table1[Start Date]&gt;42185,"",IF(AND(Table1[Leaving Date]&gt;1,Table1[Leaving Date]&lt;42095),"",1)))</f>
        <v/>
      </c>
      <c r="DQ224" s="92" t="str">
        <f>IF(Table1[Start Date]="","",IF(Table1[Start Date]&gt;42277,"",IF(AND(Table1[Leaving Date]&gt;1,Table1[Leaving Date]&lt;42186),"",1)))</f>
        <v/>
      </c>
      <c r="DR224" s="92" t="str">
        <f>IF(Table1[Start Date]="","",IF(Table1[Start Date]&gt;42369,"",IF(AND(Table1[Leaving Date]&gt;1,Table1[Leaving Date]&lt;42278),"",1)))</f>
        <v/>
      </c>
      <c r="DS224" s="92" t="str">
        <f>IF(Table1[Start Date]="","",IF(Table1[Start Date]&gt;42460,"",IF(AND(Table1[Leaving Date]&gt;1,Table1[Leaving Date]&lt;42370),"",1)))</f>
        <v/>
      </c>
      <c r="DT224" s="92" t="str">
        <f>IF(Table1[Start Date]="","",IF(Table1[Start Date]&gt;42551,"",IF(AND(Table1[Leaving Date]&gt;1,Table1[Leaving Date]&lt;42461),"",1)))</f>
        <v/>
      </c>
      <c r="DU224" s="92" t="str">
        <f>IF(Table1[Start Date]="","",IF(Table1[Start Date]&gt;42643,"",IF(AND(Table1[Leaving Date]&gt;1,Table1[Leaving Date]&lt;42552),"",1)))</f>
        <v/>
      </c>
      <c r="DV224" s="92" t="str">
        <f>IF(Table1[Start Date]="","",IF(Table1[Start Date]&gt;42735,"",IF(AND(Table1[Leaving Date]&gt;1,Table1[Leaving Date]&lt;42644),"",1)))</f>
        <v/>
      </c>
      <c r="DW224" s="92" t="str">
        <f>IF(Table1[Start Date]="","",IF(Table1[Start Date]&gt;42825,"",IF(AND(Table1[Leaving Date]&gt;1,Table1[Leaving Date]&lt;42736),"",1)))</f>
        <v/>
      </c>
      <c r="DX224"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224" s="44" t="e">
        <f>VLOOKUP(Table1[Referral Source],Lists!$G$2:$H$20,2,FALSE)</f>
        <v>#N/A</v>
      </c>
      <c r="DZ224" s="93" t="e">
        <f>SUM(Table1[Data Referral Quarter]+Table1[Data Referral Source])</f>
        <v>#N/A</v>
      </c>
      <c r="EA224" s="44" t="b">
        <f>IF(Table1[Referral Decision]="Accepted",100,IF(Table1[Referral Decision]="Rejected by Provider",200,IF(Table1[Referral Decision]="Rejected by Applicant",300)))</f>
        <v>0</v>
      </c>
      <c r="EB224" s="44">
        <f>SUM(Table1[Data Referral Quarter]+Table1[Data Referral Decision])</f>
        <v>0</v>
      </c>
      <c r="EC224" s="44" t="b">
        <f>IF(Table1[Start Date]&gt;42735,8000,IF(Table1[Start Date]&gt;42643,7000,IF(Table1[Start Date]&gt;42551,6000,IF(Table1[Start Date]&gt;42460,5000,IF(Table1[Start Date]&gt;42369,4000,IF(Table1[Start Date]&gt;42277,3000,IF(Table1[Start Date]&gt;42185,2000,IF(Table1[Start Date]&gt;42094,1000))))))))</f>
        <v>0</v>
      </c>
      <c r="ED224" s="44" t="str">
        <f>IF(Table1[Start Date]="","",IF(Table1[Current Local Authority]="Swindon",1,"2"))</f>
        <v/>
      </c>
      <c r="EE224" s="44" t="e">
        <f>SUM(Table1[Data Start Date]+Table1[Data Local Authority])</f>
        <v>#VALUE!</v>
      </c>
      <c r="EF224" s="44">
        <f>IF(Table1[Registered with GP]="Yes",1,0)</f>
        <v>0</v>
      </c>
      <c r="EG224" s="44">
        <f>SUM(Table1[Data Start Date]+Table1[Data GP Start])</f>
        <v>0</v>
      </c>
      <c r="EH224" s="44" t="str">
        <f>IF(Table1[EET]="NEET",1,IF(Table1[EET]="Education",2,IF(Table1[EET]="Employment",2,IF(Table1[EET]="Training",2,IF(Table1[EET]="Retired",3,"")))))</f>
        <v/>
      </c>
      <c r="EI224" s="44" t="e">
        <f>Table1[Data Start Date]+Table1[Data EET Start]</f>
        <v>#VALUE!</v>
      </c>
      <c r="EJ224" s="44" t="b">
        <f>IF(Table1[Leaving Date]&gt;42735,8000,IF(Table1[Leaving Date]&gt;42643,7000,IF(Table1[Leaving Date]&gt;42551,6000,IF(Table1[Leaving Date]&gt;42460,5000,IF(Table1[Leaving Date]&gt;42369,4000,IF(Table1[Leaving Date]&gt;42277,3000,IF(Table1[Leaving Date]&gt;42185,2000,IF(Table1[Leaving Date]&gt;42094,1000))))))))</f>
        <v>0</v>
      </c>
      <c r="EK224" s="44" t="e">
        <f>VLOOKUP(Table1[Reason for Leaving],Lists!$T$2:$U$15,2,FALSE)</f>
        <v>#N/A</v>
      </c>
      <c r="EL224" s="44" t="e">
        <f>SUM(Table1[Data Leavers Date]+Table1[Data Move On])</f>
        <v>#N/A</v>
      </c>
      <c r="EM224" s="44" t="b">
        <f>IF(Table1[Registered with GP2]="Yes",1,IF(Table1[Registered with GP2]="No",0,IF(Table1[Registered with GP]="Yes",1,IF(Table1[Registered with GP]="No",0))))</f>
        <v>0</v>
      </c>
      <c r="EN224" s="44">
        <f>SUM(Table1[Data Leavers Date]+Table1[Data GP End])</f>
        <v>0</v>
      </c>
      <c r="EO224" s="44" t="str">
        <f>IF(Table1[EET2]="NEET",1,IF(Table1[EET2]="Employment",2,IF(Table1[EET2]="Education",2,IF(Table1[EET2]="Training",2,IF(Table1[EET2]="Retired",3,IF(Table1[EET]="NEET",1,IF(Table1[EET]="Employment",2,IF(Table1[EET]="Education",2,IF(Table1[EET]="Training",2,IF(Table1[EET]="Retired",3,""))))))))))</f>
        <v/>
      </c>
      <c r="EP224" s="44" t="e">
        <f>+Table1[[#This Row],[Data Leavers Date]]+Table1[[#This Row],[Data EET End]]</f>
        <v>#VALUE!</v>
      </c>
      <c r="EQ224" s="44">
        <f>IF(Table1[Exit Form Received]="Yes",1,0)</f>
        <v>0</v>
      </c>
      <c r="ER224" s="44">
        <f>+Table1[[#This Row],[Data Leavers Date]]+Table1[[#This Row],[Data Exit Forms]]</f>
        <v>0</v>
      </c>
      <c r="ES224" s="44" t="str">
        <f>IF(Table1[Data Leavers Date]=1000,SUM(Table1[Leaving Date]-Table1[Start Date]),"")</f>
        <v/>
      </c>
      <c r="ET224" s="44" t="str">
        <f>IF(Table1[Data Leavers Date]=2000,SUM(Table1[Leaving Date]-Table1[Start Date]),"")</f>
        <v/>
      </c>
      <c r="EU224" s="44" t="str">
        <f>IF(Table1[Data Leavers Date]=3000,SUM(Table1[Leaving Date]-Table1[Start Date]),"")</f>
        <v/>
      </c>
      <c r="EV224" s="44" t="str">
        <f>IF(Table1[Data Leavers Date]=4000,SUM(Table1[Leaving Date]-Table1[Start Date]),"")</f>
        <v/>
      </c>
      <c r="EW224" s="44" t="str">
        <f>IF(Table1[Data Leavers Date]=5000,SUM(Table1[Leaving Date]-Table1[Start Date]),"")</f>
        <v/>
      </c>
      <c r="EX224" s="44" t="str">
        <f>IF(Table1[Data Leavers Date]=6000,SUM(Table1[Leaving Date]-Table1[Start Date]),"")</f>
        <v/>
      </c>
      <c r="EY224" s="44" t="str">
        <f>IF(Table1[Data Leavers Date]=7000,SUM(Table1[Leaving Date]-Table1[Start Date]),"")</f>
        <v/>
      </c>
      <c r="EZ224" s="44" t="str">
        <f>IF(Table1[Data Leavers Date]=8000,SUM(Table1[Leaving Date]-Table1[Start Date]),"")</f>
        <v/>
      </c>
      <c r="FA224" s="44" t="str">
        <f>IF(Table1[Date of Initial Assessment]="","",IF(AND(Table1[Start Date]&gt;42094,Table1[Start Date]&lt;42461),Table1[Motivation and Taking Responsibility],""))</f>
        <v/>
      </c>
      <c r="FB224" s="44" t="str">
        <f>IF(Table1[Date of Initial Assessment]="","",IF(AND(Table1[Start Date]&gt;42094,Table1[Start Date]&lt;42461),Table1[Self-Care and Living Skills],""))</f>
        <v/>
      </c>
      <c r="FC224" s="44" t="str">
        <f>IF(Table1[Date of Initial Assessment]="","",IF(AND(Table1[Start Date]&gt;42094,Table1[Start Date]&lt;42461),Table1[Managing Money and Personal Administration],""))</f>
        <v/>
      </c>
      <c r="FD224" s="44" t="str">
        <f>IF(Table1[Date of Initial Assessment]="","",IF(AND(Table1[Start Date]&gt;42094,Table1[Start Date]&lt;42461),Table1[Social Networks and Relationships],""))</f>
        <v/>
      </c>
      <c r="FE224" s="44" t="str">
        <f>IF(Table1[Date of Initial Assessment]="","",IF(AND(Table1[Start Date]&gt;42094,Table1[Start Date]&lt;42461),Table1[Drug and Alcohol Misuse],""))</f>
        <v/>
      </c>
      <c r="FF224" s="44" t="str">
        <f>IF(Table1[Date of Initial Assessment]="","",IF(AND(Table1[Start Date]&gt;42094,Table1[Start Date]&lt;42461),Table1[Physical Health],""))</f>
        <v/>
      </c>
      <c r="FG224" s="44" t="str">
        <f>IF(Table1[Date of Initial Assessment]="","",IF(AND(Table1[Start Date]&gt;42094,Table1[Start Date]&lt;42461),Table1[Emotional and Mental Health],""))</f>
        <v/>
      </c>
      <c r="FH224" s="44" t="str">
        <f>IF(Table1[Date of Initial Assessment]="","",IF(AND(Table1[Start Date]&gt;42094,Table1[Start Date]&lt;42461),Table1[Meaningful Use of Time],""))</f>
        <v/>
      </c>
      <c r="FI224" s="44" t="str">
        <f>IF(Table1[Date of Initial Assessment]="","",IF(AND(Table1[Start Date]&gt;42094,Table1[Start Date]&lt;42461),Table1[Managing Tenancy and Accommodation],""))</f>
        <v/>
      </c>
      <c r="FJ224" s="44" t="str">
        <f>IF(Table1[Date of Initial Assessment]="","",IF(AND(Table1[Start Date]&gt;42094,Table1[Start Date]&lt;42461),Table1[Offending],""))</f>
        <v/>
      </c>
      <c r="FK224" s="44" t="str">
        <f>IF(Table1[Leaving Date]="","",IF(Table1[Date of Initial Assessment]="","",IF(AND(Table1[Leaving Date]&gt;42094,Table1[Leaving Date]&lt;42461),IF(Table1[Date of Last Assessment]="",Table1[Motivation and Taking Responsibility],Table1[Motivation and Taking Responsibility2]),"")))</f>
        <v/>
      </c>
      <c r="FL224" s="44" t="str">
        <f>IF(Table1[Leaving Date]="","",IF(Table1[Date of Initial Assessment]="","",IF(AND(Table1[Leaving Date]&gt;42094,Table1[Leaving Date]&lt;42461),IF(Table1[Date of Last Assessment]="",Table1[Self-Care and Living Skills],Table1[Self-Care and Living Skills2]),"")))</f>
        <v/>
      </c>
      <c r="FM224" s="44" t="str">
        <f>IF(Table1[Leaving Date]="","",IF(Table1[Date of Initial Assessment]="","",IF(AND(Table1[Leaving Date]&gt;42094,Table1[Leaving Date]&lt;42461),IF(Table1[Date of Last Assessment]="",Table1[Managing Money and Personal Administration],Table1[Managing Money and Personal Administration2]),"")))</f>
        <v/>
      </c>
      <c r="FN224" s="44" t="str">
        <f>IF(Table1[Leaving Date]="","",IF(Table1[Date of Initial Assessment]="","",IF(AND(Table1[Leaving Date]&gt;42094,Table1[Leaving Date]&lt;42461),IF(Table1[Date of Last Assessment]="",Table1[Social Networks and Relationships],Table1[Social Networks and Relationships2]),"")))</f>
        <v/>
      </c>
      <c r="FO224" s="44" t="str">
        <f>IF(Table1[Leaving Date]="","",IF(Table1[Date of Initial Assessment]="","",IF(AND(Table1[Leaving Date]&gt;42094,Table1[Leaving Date]&lt;42461),IF(Table1[Date of Last Assessment]="",Table1[Drug and Alcohol Misuse],Table1[Drug and Alcohol Misuse2]),"")))</f>
        <v/>
      </c>
      <c r="FP224" s="44" t="str">
        <f>IF(Table1[Leaving Date]="","",IF(Table1[Date of Initial Assessment]="","",IF(AND(Table1[Leaving Date]&gt;42094,Table1[Leaving Date]&lt;42461),IF(Table1[Date of Last Assessment]="",Table1[Physical Health],Table1[Physical Health2]),"")))</f>
        <v/>
      </c>
      <c r="FQ224" s="44" t="str">
        <f>IF(Table1[Leaving Date]="","",IF(Table1[Date of Initial Assessment]="","",IF(AND(Table1[Leaving Date]&gt;42094,Table1[Leaving Date]&lt;42461),IF(Table1[Date of Last Assessment]="",Table1[Emotional and Mental Health],Table1[Emotional and Mental Health2]),"")))</f>
        <v/>
      </c>
      <c r="FR224" s="44" t="str">
        <f>IF(Table1[Leaving Date]="","",IF(Table1[Date of Initial Assessment]="","",IF(AND(Table1[Leaving Date]&gt;42094,Table1[Leaving Date]&lt;42461),IF(Table1[Date of Last Assessment]="",Table1[Meaningful Use of Time],Table1[Meaningful Use of Time2]),"")))</f>
        <v/>
      </c>
      <c r="FS224" s="44" t="str">
        <f>IF(Table1[Leaving Date]="","",IF(Table1[Date of Initial Assessment]="","",IF(AND(Table1[Leaving Date]&gt;42094,Table1[Leaving Date]&lt;42461),IF(Table1[Date of Last Assessment]="",Table1[Managing Tenancy and Accommodation],Table1[Managing Tenancy and Accommodation2]),"")))</f>
        <v/>
      </c>
      <c r="FT224" s="44" t="str">
        <f>IF(Table1[Leaving Date]="","",IF(Table1[Date of Initial Assessment]="","",IF(AND(Table1[Leaving Date]&gt;42094,Table1[Leaving Date]&lt;42461),IF(Table1[Date of Last Assessment]="",Table1[Offending],Table1[Offending2]),"")))</f>
        <v/>
      </c>
      <c r="FU224" s="44" t="str">
        <f>IF(Table1[Date of Initial Assessment]="","",IF(AND(Table1[Start Date]&gt;42460,Table1[Start Date]&lt;42826),Table1[Motivation and Taking Responsibility],""))</f>
        <v/>
      </c>
      <c r="FV224" s="44" t="str">
        <f>IF(Table1[Date of Initial Assessment]="","",IF(AND(Table1[Start Date]&gt;42460,Table1[Start Date]&lt;42826),Table1[Self-Care and Living Skills],""))</f>
        <v/>
      </c>
      <c r="FW224" s="44" t="str">
        <f>IF(Table1[Date of Initial Assessment]="","",IF(AND(Table1[Start Date]&gt;42460,Table1[Start Date]&lt;42826),Table1[Managing Money and Personal Administration],""))</f>
        <v/>
      </c>
      <c r="FX224" s="44" t="str">
        <f>IF(Table1[Date of Initial Assessment]="","",IF(AND(Table1[Start Date]&gt;42460,Table1[Start Date]&lt;42826),Table1[Social Networks and Relationships],""))</f>
        <v/>
      </c>
      <c r="FY224" s="44" t="str">
        <f>IF(Table1[Date of Initial Assessment]="","",IF(AND(Table1[Start Date]&gt;42460,Table1[Start Date]&lt;42826),Table1[Drug and Alcohol Misuse],""))</f>
        <v/>
      </c>
      <c r="FZ224" s="44" t="str">
        <f>IF(Table1[Date of Initial Assessment]="","",IF(AND(Table1[Start Date]&gt;42460,Table1[Start Date]&lt;42826),Table1[Physical Health],""))</f>
        <v/>
      </c>
      <c r="GA224" s="44" t="str">
        <f>IF(Table1[Date of Initial Assessment]="","",IF(AND(Table1[Start Date]&gt;42460,Table1[Start Date]&lt;42826),Table1[Emotional and Mental Health],""))</f>
        <v/>
      </c>
      <c r="GB224" s="44" t="str">
        <f>IF(Table1[Date of Initial Assessment]="","",IF(AND(Table1[Start Date]&gt;42460,Table1[Start Date]&lt;42826),Table1[Meaningful Use of Time],""))</f>
        <v/>
      </c>
      <c r="GC224" s="44" t="str">
        <f>IF(Table1[Date of Initial Assessment]="","",IF(AND(Table1[Start Date]&gt;42460,Table1[Start Date]&lt;42826),Table1[Managing Tenancy and Accommodation],""))</f>
        <v/>
      </c>
      <c r="GD224" s="44" t="str">
        <f>IF(Table1[Date of Initial Assessment]="","",IF(AND(Table1[Start Date]&gt;42460,Table1[Start Date]&lt;42826),Table1[Offending],""))</f>
        <v/>
      </c>
      <c r="GE224" s="44" t="str">
        <f>IF(Table1[Leaving Date]="","",IF(AND(Table1[Leaving Date]&gt;42460,Table1[Leaving Date]&lt;42826),IF(Table1[Date of Last Assessment]="",Table1[Motivation and Taking Responsibility],Table1[Motivation and Taking Responsibility2]),""))</f>
        <v/>
      </c>
      <c r="GF224" s="44" t="str">
        <f>IF(Table1[Leaving Date]="","",IF(AND(Table1[Leaving Date]&gt;42460,Table1[Leaving Date]&lt;42826),IF(Table1[Date of Last Assessment]="",Table1[Self-Care and Living Skills],Table1[Self-Care and Living Skills2]),""))</f>
        <v/>
      </c>
      <c r="GG224" s="44" t="str">
        <f>IF(Table1[Leaving Date]="","",IF(AND(Table1[Leaving Date]&gt;42460,Table1[Leaving Date]&lt;42826),IF(Table1[Date of Last Assessment]="",Table1[Managing Money and Personal Administration],Table1[Managing Money and Personal Administration2]),""))</f>
        <v/>
      </c>
      <c r="GH224" s="44" t="str">
        <f>IF(Table1[Leaving Date]="","",IF(AND(Table1[Leaving Date]&gt;42460,Table1[Leaving Date]&lt;42826),IF(Table1[Date of Last Assessment]="",Table1[Social Networks and Relationships],Table1[Social Networks and Relationships2]),""))</f>
        <v/>
      </c>
      <c r="GI224" s="44" t="str">
        <f>IF(Table1[Leaving Date]="","",IF(AND(Table1[Leaving Date]&gt;42460,Table1[Leaving Date]&lt;42826),IF(Table1[Date of Last Assessment]="",Table1[Drug and Alcohol Misuse],Table1[Drug and Alcohol Misuse2]),""))</f>
        <v/>
      </c>
      <c r="GJ224" s="44" t="str">
        <f>IF(Table1[Leaving Date]="","",IF(AND(Table1[Leaving Date]&gt;42460,Table1[Leaving Date]&lt;42826),IF(Table1[Date of Last Assessment]="",Table1[Physical Health],Table1[Physical Health2]),""))</f>
        <v/>
      </c>
      <c r="GK224" s="44" t="str">
        <f>IF(Table1[Leaving Date]="","",IF(AND(Table1[Leaving Date]&gt;42460,Table1[Leaving Date]&lt;42826),IF(Table1[Date of Last Assessment]="",Table1[Emotional and Mental Health],Table1[Emotional and Mental Health2]),""))</f>
        <v/>
      </c>
      <c r="GL224" s="44" t="str">
        <f>IF(Table1[Leaving Date]="","",IF(AND(Table1[Leaving Date]&gt;42460,Table1[Leaving Date]&lt;42826),IF(Table1[Date of Last Assessment]="",Table1[Meaningful Use of Time],Table1[Meaningful Use of Time2]),""))</f>
        <v/>
      </c>
      <c r="GM224" s="44" t="str">
        <f>IF(Table1[Leaving Date]="","",IF(AND(Table1[Leaving Date]&gt;42460,Table1[Leaving Date]&lt;42826),IF(Table1[Date of Last Assessment]="",Table1[Managing Tenancy and Accommodation],Table1[Managing Tenancy and Accommodation2]),""))</f>
        <v/>
      </c>
      <c r="GN224" s="44" t="str">
        <f>IF(Table1[Leaving Date]="","",IF(AND(Table1[Leaving Date]&gt;42460,Table1[Leaving Date]&lt;42826),IF(Table1[Date of Last Assessment]="",Table1[Offending],Table1[Offending2]),""))</f>
        <v/>
      </c>
    </row>
    <row r="225" spans="2:196" ht="20.100000000000001" customHeight="1" x14ac:dyDescent="0.2">
      <c r="B225" s="86">
        <f>+'Service Data'!$C$5:$C$5</f>
        <v>0</v>
      </c>
      <c r="C225" s="86"/>
      <c r="D225" s="86"/>
      <c r="E225" s="86"/>
      <c r="F225" s="86"/>
      <c r="G225" s="86"/>
      <c r="H225" s="6"/>
      <c r="I225" s="99" t="str">
        <f ca="1">IF(Table1[[#This Row],[Date of Birth]]="","",SUM(TODAY()-Table1[[#This Row],[Date of Birth]])/365)</f>
        <v/>
      </c>
      <c r="L225" s="86"/>
      <c r="M225" s="77"/>
      <c r="N225" s="86"/>
      <c r="O225" s="86"/>
      <c r="P225" s="91"/>
      <c r="Q225" s="86"/>
      <c r="R225" s="77"/>
      <c r="S225" s="77"/>
      <c r="T225" s="68"/>
      <c r="U225" s="68"/>
      <c r="V225" s="67"/>
      <c r="W225" s="67"/>
      <c r="X225" s="67"/>
      <c r="Y225" s="67"/>
      <c r="Z225" s="67"/>
      <c r="AA225" s="67"/>
      <c r="AB225" s="67"/>
      <c r="AC225" s="67"/>
      <c r="AD225" s="67"/>
      <c r="AE225" s="67"/>
      <c r="AF225" s="67"/>
      <c r="AG225" s="67"/>
      <c r="AH225" s="67"/>
      <c r="AI225" s="67"/>
      <c r="AJ225" s="67"/>
      <c r="AK225" s="67"/>
      <c r="AL225" s="67"/>
      <c r="AM225" s="67"/>
      <c r="AN225" s="77"/>
      <c r="AO225" s="76"/>
      <c r="AP225" s="77"/>
      <c r="AQ225" s="76"/>
      <c r="AR225" s="76"/>
      <c r="AS225" s="76"/>
      <c r="AT225" s="76"/>
      <c r="AU225" s="76"/>
      <c r="AV225" s="77"/>
      <c r="AW225" s="76"/>
      <c r="AX225" s="77"/>
      <c r="AY225" s="76"/>
      <c r="AZ225" s="76"/>
      <c r="BA225" s="76"/>
      <c r="BB225" s="76"/>
      <c r="BC225" s="76"/>
      <c r="BD225" s="77"/>
      <c r="BE225" s="76"/>
      <c r="BF225" s="77"/>
      <c r="BG225" s="76"/>
      <c r="BH225" s="76"/>
      <c r="BI225" s="76"/>
      <c r="BJ225" s="76"/>
      <c r="BK225" s="76"/>
      <c r="BL225" s="77"/>
      <c r="BM225" s="76"/>
      <c r="BN225" s="77"/>
      <c r="BO225" s="76"/>
      <c r="BP225" s="76"/>
      <c r="BQ225" s="76"/>
      <c r="BR225" s="76"/>
      <c r="BS225" s="76"/>
      <c r="BT225" s="77"/>
      <c r="BU225" s="76"/>
      <c r="BV225" s="77"/>
      <c r="BW225" s="76"/>
      <c r="BX225" s="76"/>
      <c r="BY225" s="76"/>
      <c r="BZ225" s="76"/>
      <c r="CA225" s="76"/>
      <c r="CB225" s="77"/>
      <c r="CC225" s="76"/>
      <c r="CD225" s="77"/>
      <c r="CE225" s="76"/>
      <c r="CF225" s="76"/>
      <c r="CG225" s="76"/>
      <c r="CH225" s="76"/>
      <c r="CI225" s="76"/>
      <c r="CJ225" s="77"/>
      <c r="CK225" s="76"/>
      <c r="CL225" s="77"/>
      <c r="CM225" s="76"/>
      <c r="CN225" s="76"/>
      <c r="CO225" s="76"/>
      <c r="CP225" s="76"/>
      <c r="CQ225" s="76"/>
      <c r="CR225" s="78" t="str">
        <f t="shared" si="63"/>
        <v/>
      </c>
      <c r="CS225" s="79" t="str">
        <f t="shared" si="64"/>
        <v/>
      </c>
      <c r="CT225" s="79" t="str">
        <f t="shared" si="65"/>
        <v/>
      </c>
      <c r="CU225" s="79" t="str">
        <f t="shared" si="66"/>
        <v/>
      </c>
      <c r="CV225" s="79" t="str">
        <f t="shared" si="67"/>
        <v/>
      </c>
      <c r="CW225" s="79" t="str">
        <f t="shared" si="68"/>
        <v/>
      </c>
      <c r="CX225" s="79" t="str">
        <f t="shared" si="69"/>
        <v/>
      </c>
      <c r="CY225" s="79" t="str">
        <f t="shared" si="70"/>
        <v/>
      </c>
      <c r="CZ225" s="79" t="str">
        <f t="shared" si="71"/>
        <v/>
      </c>
      <c r="DA225" s="79" t="str">
        <f t="shared" si="72"/>
        <v/>
      </c>
      <c r="DB225" s="79" t="str">
        <f t="shared" si="73"/>
        <v/>
      </c>
      <c r="DC225" s="79" t="str">
        <f t="shared" si="74"/>
        <v/>
      </c>
      <c r="DD225" s="79" t="str">
        <f t="shared" si="75"/>
        <v/>
      </c>
      <c r="DE225" s="79" t="str">
        <f t="shared" si="76"/>
        <v/>
      </c>
      <c r="DF225" s="79" t="str">
        <f t="shared" si="77"/>
        <v/>
      </c>
      <c r="DG225" s="79" t="str">
        <f t="shared" si="78"/>
        <v/>
      </c>
      <c r="DH225" s="76"/>
      <c r="DI225" s="78"/>
      <c r="DJ225" s="76"/>
      <c r="DK225" s="77"/>
      <c r="DL225" s="77"/>
      <c r="DM225" s="77"/>
      <c r="DN225" s="80"/>
      <c r="DO225" s="80"/>
      <c r="DP225" s="92" t="str">
        <f>IF(Table1[Start Date]="","",IF(Table1[Start Date]&gt;42185,"",IF(AND(Table1[Leaving Date]&gt;1,Table1[Leaving Date]&lt;42095),"",1)))</f>
        <v/>
      </c>
      <c r="DQ225" s="92" t="str">
        <f>IF(Table1[Start Date]="","",IF(Table1[Start Date]&gt;42277,"",IF(AND(Table1[Leaving Date]&gt;1,Table1[Leaving Date]&lt;42186),"",1)))</f>
        <v/>
      </c>
      <c r="DR225" s="92" t="str">
        <f>IF(Table1[Start Date]="","",IF(Table1[Start Date]&gt;42369,"",IF(AND(Table1[Leaving Date]&gt;1,Table1[Leaving Date]&lt;42278),"",1)))</f>
        <v/>
      </c>
      <c r="DS225" s="92" t="str">
        <f>IF(Table1[Start Date]="","",IF(Table1[Start Date]&gt;42460,"",IF(AND(Table1[Leaving Date]&gt;1,Table1[Leaving Date]&lt;42370),"",1)))</f>
        <v/>
      </c>
      <c r="DT225" s="92" t="str">
        <f>IF(Table1[Start Date]="","",IF(Table1[Start Date]&gt;42551,"",IF(AND(Table1[Leaving Date]&gt;1,Table1[Leaving Date]&lt;42461),"",1)))</f>
        <v/>
      </c>
      <c r="DU225" s="92" t="str">
        <f>IF(Table1[Start Date]="","",IF(Table1[Start Date]&gt;42643,"",IF(AND(Table1[Leaving Date]&gt;1,Table1[Leaving Date]&lt;42552),"",1)))</f>
        <v/>
      </c>
      <c r="DV225" s="92" t="str">
        <f>IF(Table1[Start Date]="","",IF(Table1[Start Date]&gt;42735,"",IF(AND(Table1[Leaving Date]&gt;1,Table1[Leaving Date]&lt;42644),"",1)))</f>
        <v/>
      </c>
      <c r="DW225" s="92" t="str">
        <f>IF(Table1[Start Date]="","",IF(Table1[Start Date]&gt;42825,"",IF(AND(Table1[Leaving Date]&gt;1,Table1[Leaving Date]&lt;42736),"",1)))</f>
        <v/>
      </c>
      <c r="DX225"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225" s="44" t="e">
        <f>VLOOKUP(Table1[Referral Source],Lists!$G$2:$H$20,2,FALSE)</f>
        <v>#N/A</v>
      </c>
      <c r="DZ225" s="93" t="e">
        <f>SUM(Table1[Data Referral Quarter]+Table1[Data Referral Source])</f>
        <v>#N/A</v>
      </c>
      <c r="EA225" s="44" t="b">
        <f>IF(Table1[Referral Decision]="Accepted",100,IF(Table1[Referral Decision]="Rejected by Provider",200,IF(Table1[Referral Decision]="Rejected by Applicant",300)))</f>
        <v>0</v>
      </c>
      <c r="EB225" s="44">
        <f>SUM(Table1[Data Referral Quarter]+Table1[Data Referral Decision])</f>
        <v>0</v>
      </c>
      <c r="EC225" s="44" t="b">
        <f>IF(Table1[Start Date]&gt;42735,8000,IF(Table1[Start Date]&gt;42643,7000,IF(Table1[Start Date]&gt;42551,6000,IF(Table1[Start Date]&gt;42460,5000,IF(Table1[Start Date]&gt;42369,4000,IF(Table1[Start Date]&gt;42277,3000,IF(Table1[Start Date]&gt;42185,2000,IF(Table1[Start Date]&gt;42094,1000))))))))</f>
        <v>0</v>
      </c>
      <c r="ED225" s="44" t="str">
        <f>IF(Table1[Start Date]="","",IF(Table1[Current Local Authority]="Swindon",1,"2"))</f>
        <v/>
      </c>
      <c r="EE225" s="44" t="e">
        <f>SUM(Table1[Data Start Date]+Table1[Data Local Authority])</f>
        <v>#VALUE!</v>
      </c>
      <c r="EF225" s="44">
        <f>IF(Table1[Registered with GP]="Yes",1,0)</f>
        <v>0</v>
      </c>
      <c r="EG225" s="44">
        <f>SUM(Table1[Data Start Date]+Table1[Data GP Start])</f>
        <v>0</v>
      </c>
      <c r="EH225" s="44" t="str">
        <f>IF(Table1[EET]="NEET",1,IF(Table1[EET]="Education",2,IF(Table1[EET]="Employment",2,IF(Table1[EET]="Training",2,IF(Table1[EET]="Retired",3,"")))))</f>
        <v/>
      </c>
      <c r="EI225" s="44" t="e">
        <f>Table1[Data Start Date]+Table1[Data EET Start]</f>
        <v>#VALUE!</v>
      </c>
      <c r="EJ225" s="44" t="b">
        <f>IF(Table1[Leaving Date]&gt;42735,8000,IF(Table1[Leaving Date]&gt;42643,7000,IF(Table1[Leaving Date]&gt;42551,6000,IF(Table1[Leaving Date]&gt;42460,5000,IF(Table1[Leaving Date]&gt;42369,4000,IF(Table1[Leaving Date]&gt;42277,3000,IF(Table1[Leaving Date]&gt;42185,2000,IF(Table1[Leaving Date]&gt;42094,1000))))))))</f>
        <v>0</v>
      </c>
      <c r="EK225" s="44" t="e">
        <f>VLOOKUP(Table1[Reason for Leaving],Lists!$T$2:$U$15,2,FALSE)</f>
        <v>#N/A</v>
      </c>
      <c r="EL225" s="44" t="e">
        <f>SUM(Table1[Data Leavers Date]+Table1[Data Move On])</f>
        <v>#N/A</v>
      </c>
      <c r="EM225" s="44" t="b">
        <f>IF(Table1[Registered with GP2]="Yes",1,IF(Table1[Registered with GP2]="No",0,IF(Table1[Registered with GP]="Yes",1,IF(Table1[Registered with GP]="No",0))))</f>
        <v>0</v>
      </c>
      <c r="EN225" s="44">
        <f>SUM(Table1[Data Leavers Date]+Table1[Data GP End])</f>
        <v>0</v>
      </c>
      <c r="EO225" s="44" t="str">
        <f>IF(Table1[EET2]="NEET",1,IF(Table1[EET2]="Employment",2,IF(Table1[EET2]="Education",2,IF(Table1[EET2]="Training",2,IF(Table1[EET2]="Retired",3,IF(Table1[EET]="NEET",1,IF(Table1[EET]="Employment",2,IF(Table1[EET]="Education",2,IF(Table1[EET]="Training",2,IF(Table1[EET]="Retired",3,""))))))))))</f>
        <v/>
      </c>
      <c r="EP225" s="44" t="e">
        <f>+Table1[[#This Row],[Data Leavers Date]]+Table1[[#This Row],[Data EET End]]</f>
        <v>#VALUE!</v>
      </c>
      <c r="EQ225" s="44">
        <f>IF(Table1[Exit Form Received]="Yes",1,0)</f>
        <v>0</v>
      </c>
      <c r="ER225" s="44">
        <f>+Table1[[#This Row],[Data Leavers Date]]+Table1[[#This Row],[Data Exit Forms]]</f>
        <v>0</v>
      </c>
      <c r="ES225" s="44" t="str">
        <f>IF(Table1[Data Leavers Date]=1000,SUM(Table1[Leaving Date]-Table1[Start Date]),"")</f>
        <v/>
      </c>
      <c r="ET225" s="44" t="str">
        <f>IF(Table1[Data Leavers Date]=2000,SUM(Table1[Leaving Date]-Table1[Start Date]),"")</f>
        <v/>
      </c>
      <c r="EU225" s="44" t="str">
        <f>IF(Table1[Data Leavers Date]=3000,SUM(Table1[Leaving Date]-Table1[Start Date]),"")</f>
        <v/>
      </c>
      <c r="EV225" s="44" t="str">
        <f>IF(Table1[Data Leavers Date]=4000,SUM(Table1[Leaving Date]-Table1[Start Date]),"")</f>
        <v/>
      </c>
      <c r="EW225" s="44" t="str">
        <f>IF(Table1[Data Leavers Date]=5000,SUM(Table1[Leaving Date]-Table1[Start Date]),"")</f>
        <v/>
      </c>
      <c r="EX225" s="44" t="str">
        <f>IF(Table1[Data Leavers Date]=6000,SUM(Table1[Leaving Date]-Table1[Start Date]),"")</f>
        <v/>
      </c>
      <c r="EY225" s="44" t="str">
        <f>IF(Table1[Data Leavers Date]=7000,SUM(Table1[Leaving Date]-Table1[Start Date]),"")</f>
        <v/>
      </c>
      <c r="EZ225" s="44" t="str">
        <f>IF(Table1[Data Leavers Date]=8000,SUM(Table1[Leaving Date]-Table1[Start Date]),"")</f>
        <v/>
      </c>
      <c r="FA225" s="44" t="str">
        <f>IF(Table1[Date of Initial Assessment]="","",IF(AND(Table1[Start Date]&gt;42094,Table1[Start Date]&lt;42461),Table1[Motivation and Taking Responsibility],""))</f>
        <v/>
      </c>
      <c r="FB225" s="44" t="str">
        <f>IF(Table1[Date of Initial Assessment]="","",IF(AND(Table1[Start Date]&gt;42094,Table1[Start Date]&lt;42461),Table1[Self-Care and Living Skills],""))</f>
        <v/>
      </c>
      <c r="FC225" s="44" t="str">
        <f>IF(Table1[Date of Initial Assessment]="","",IF(AND(Table1[Start Date]&gt;42094,Table1[Start Date]&lt;42461),Table1[Managing Money and Personal Administration],""))</f>
        <v/>
      </c>
      <c r="FD225" s="44" t="str">
        <f>IF(Table1[Date of Initial Assessment]="","",IF(AND(Table1[Start Date]&gt;42094,Table1[Start Date]&lt;42461),Table1[Social Networks and Relationships],""))</f>
        <v/>
      </c>
      <c r="FE225" s="44" t="str">
        <f>IF(Table1[Date of Initial Assessment]="","",IF(AND(Table1[Start Date]&gt;42094,Table1[Start Date]&lt;42461),Table1[Drug and Alcohol Misuse],""))</f>
        <v/>
      </c>
      <c r="FF225" s="44" t="str">
        <f>IF(Table1[Date of Initial Assessment]="","",IF(AND(Table1[Start Date]&gt;42094,Table1[Start Date]&lt;42461),Table1[Physical Health],""))</f>
        <v/>
      </c>
      <c r="FG225" s="44" t="str">
        <f>IF(Table1[Date of Initial Assessment]="","",IF(AND(Table1[Start Date]&gt;42094,Table1[Start Date]&lt;42461),Table1[Emotional and Mental Health],""))</f>
        <v/>
      </c>
      <c r="FH225" s="44" t="str">
        <f>IF(Table1[Date of Initial Assessment]="","",IF(AND(Table1[Start Date]&gt;42094,Table1[Start Date]&lt;42461),Table1[Meaningful Use of Time],""))</f>
        <v/>
      </c>
      <c r="FI225" s="44" t="str">
        <f>IF(Table1[Date of Initial Assessment]="","",IF(AND(Table1[Start Date]&gt;42094,Table1[Start Date]&lt;42461),Table1[Managing Tenancy and Accommodation],""))</f>
        <v/>
      </c>
      <c r="FJ225" s="44" t="str">
        <f>IF(Table1[Date of Initial Assessment]="","",IF(AND(Table1[Start Date]&gt;42094,Table1[Start Date]&lt;42461),Table1[Offending],""))</f>
        <v/>
      </c>
      <c r="FK225" s="44" t="str">
        <f>IF(Table1[Leaving Date]="","",IF(Table1[Date of Initial Assessment]="","",IF(AND(Table1[Leaving Date]&gt;42094,Table1[Leaving Date]&lt;42461),IF(Table1[Date of Last Assessment]="",Table1[Motivation and Taking Responsibility],Table1[Motivation and Taking Responsibility2]),"")))</f>
        <v/>
      </c>
      <c r="FL225" s="44" t="str">
        <f>IF(Table1[Leaving Date]="","",IF(Table1[Date of Initial Assessment]="","",IF(AND(Table1[Leaving Date]&gt;42094,Table1[Leaving Date]&lt;42461),IF(Table1[Date of Last Assessment]="",Table1[Self-Care and Living Skills],Table1[Self-Care and Living Skills2]),"")))</f>
        <v/>
      </c>
      <c r="FM225" s="44" t="str">
        <f>IF(Table1[Leaving Date]="","",IF(Table1[Date of Initial Assessment]="","",IF(AND(Table1[Leaving Date]&gt;42094,Table1[Leaving Date]&lt;42461),IF(Table1[Date of Last Assessment]="",Table1[Managing Money and Personal Administration],Table1[Managing Money and Personal Administration2]),"")))</f>
        <v/>
      </c>
      <c r="FN225" s="44" t="str">
        <f>IF(Table1[Leaving Date]="","",IF(Table1[Date of Initial Assessment]="","",IF(AND(Table1[Leaving Date]&gt;42094,Table1[Leaving Date]&lt;42461),IF(Table1[Date of Last Assessment]="",Table1[Social Networks and Relationships],Table1[Social Networks and Relationships2]),"")))</f>
        <v/>
      </c>
      <c r="FO225" s="44" t="str">
        <f>IF(Table1[Leaving Date]="","",IF(Table1[Date of Initial Assessment]="","",IF(AND(Table1[Leaving Date]&gt;42094,Table1[Leaving Date]&lt;42461),IF(Table1[Date of Last Assessment]="",Table1[Drug and Alcohol Misuse],Table1[Drug and Alcohol Misuse2]),"")))</f>
        <v/>
      </c>
      <c r="FP225" s="44" t="str">
        <f>IF(Table1[Leaving Date]="","",IF(Table1[Date of Initial Assessment]="","",IF(AND(Table1[Leaving Date]&gt;42094,Table1[Leaving Date]&lt;42461),IF(Table1[Date of Last Assessment]="",Table1[Physical Health],Table1[Physical Health2]),"")))</f>
        <v/>
      </c>
      <c r="FQ225" s="44" t="str">
        <f>IF(Table1[Leaving Date]="","",IF(Table1[Date of Initial Assessment]="","",IF(AND(Table1[Leaving Date]&gt;42094,Table1[Leaving Date]&lt;42461),IF(Table1[Date of Last Assessment]="",Table1[Emotional and Mental Health],Table1[Emotional and Mental Health2]),"")))</f>
        <v/>
      </c>
      <c r="FR225" s="44" t="str">
        <f>IF(Table1[Leaving Date]="","",IF(Table1[Date of Initial Assessment]="","",IF(AND(Table1[Leaving Date]&gt;42094,Table1[Leaving Date]&lt;42461),IF(Table1[Date of Last Assessment]="",Table1[Meaningful Use of Time],Table1[Meaningful Use of Time2]),"")))</f>
        <v/>
      </c>
      <c r="FS225" s="44" t="str">
        <f>IF(Table1[Leaving Date]="","",IF(Table1[Date of Initial Assessment]="","",IF(AND(Table1[Leaving Date]&gt;42094,Table1[Leaving Date]&lt;42461),IF(Table1[Date of Last Assessment]="",Table1[Managing Tenancy and Accommodation],Table1[Managing Tenancy and Accommodation2]),"")))</f>
        <v/>
      </c>
      <c r="FT225" s="44" t="str">
        <f>IF(Table1[Leaving Date]="","",IF(Table1[Date of Initial Assessment]="","",IF(AND(Table1[Leaving Date]&gt;42094,Table1[Leaving Date]&lt;42461),IF(Table1[Date of Last Assessment]="",Table1[Offending],Table1[Offending2]),"")))</f>
        <v/>
      </c>
      <c r="FU225" s="44" t="str">
        <f>IF(Table1[Date of Initial Assessment]="","",IF(AND(Table1[Start Date]&gt;42460,Table1[Start Date]&lt;42826),Table1[Motivation and Taking Responsibility],""))</f>
        <v/>
      </c>
      <c r="FV225" s="44" t="str">
        <f>IF(Table1[Date of Initial Assessment]="","",IF(AND(Table1[Start Date]&gt;42460,Table1[Start Date]&lt;42826),Table1[Self-Care and Living Skills],""))</f>
        <v/>
      </c>
      <c r="FW225" s="44" t="str">
        <f>IF(Table1[Date of Initial Assessment]="","",IF(AND(Table1[Start Date]&gt;42460,Table1[Start Date]&lt;42826),Table1[Managing Money and Personal Administration],""))</f>
        <v/>
      </c>
      <c r="FX225" s="44" t="str">
        <f>IF(Table1[Date of Initial Assessment]="","",IF(AND(Table1[Start Date]&gt;42460,Table1[Start Date]&lt;42826),Table1[Social Networks and Relationships],""))</f>
        <v/>
      </c>
      <c r="FY225" s="44" t="str">
        <f>IF(Table1[Date of Initial Assessment]="","",IF(AND(Table1[Start Date]&gt;42460,Table1[Start Date]&lt;42826),Table1[Drug and Alcohol Misuse],""))</f>
        <v/>
      </c>
      <c r="FZ225" s="44" t="str">
        <f>IF(Table1[Date of Initial Assessment]="","",IF(AND(Table1[Start Date]&gt;42460,Table1[Start Date]&lt;42826),Table1[Physical Health],""))</f>
        <v/>
      </c>
      <c r="GA225" s="44" t="str">
        <f>IF(Table1[Date of Initial Assessment]="","",IF(AND(Table1[Start Date]&gt;42460,Table1[Start Date]&lt;42826),Table1[Emotional and Mental Health],""))</f>
        <v/>
      </c>
      <c r="GB225" s="44" t="str">
        <f>IF(Table1[Date of Initial Assessment]="","",IF(AND(Table1[Start Date]&gt;42460,Table1[Start Date]&lt;42826),Table1[Meaningful Use of Time],""))</f>
        <v/>
      </c>
      <c r="GC225" s="44" t="str">
        <f>IF(Table1[Date of Initial Assessment]="","",IF(AND(Table1[Start Date]&gt;42460,Table1[Start Date]&lt;42826),Table1[Managing Tenancy and Accommodation],""))</f>
        <v/>
      </c>
      <c r="GD225" s="44" t="str">
        <f>IF(Table1[Date of Initial Assessment]="","",IF(AND(Table1[Start Date]&gt;42460,Table1[Start Date]&lt;42826),Table1[Offending],""))</f>
        <v/>
      </c>
      <c r="GE225" s="44" t="str">
        <f>IF(Table1[Leaving Date]="","",IF(AND(Table1[Leaving Date]&gt;42460,Table1[Leaving Date]&lt;42826),IF(Table1[Date of Last Assessment]="",Table1[Motivation and Taking Responsibility],Table1[Motivation and Taking Responsibility2]),""))</f>
        <v/>
      </c>
      <c r="GF225" s="44" t="str">
        <f>IF(Table1[Leaving Date]="","",IF(AND(Table1[Leaving Date]&gt;42460,Table1[Leaving Date]&lt;42826),IF(Table1[Date of Last Assessment]="",Table1[Self-Care and Living Skills],Table1[Self-Care and Living Skills2]),""))</f>
        <v/>
      </c>
      <c r="GG225" s="44" t="str">
        <f>IF(Table1[Leaving Date]="","",IF(AND(Table1[Leaving Date]&gt;42460,Table1[Leaving Date]&lt;42826),IF(Table1[Date of Last Assessment]="",Table1[Managing Money and Personal Administration],Table1[Managing Money and Personal Administration2]),""))</f>
        <v/>
      </c>
      <c r="GH225" s="44" t="str">
        <f>IF(Table1[Leaving Date]="","",IF(AND(Table1[Leaving Date]&gt;42460,Table1[Leaving Date]&lt;42826),IF(Table1[Date of Last Assessment]="",Table1[Social Networks and Relationships],Table1[Social Networks and Relationships2]),""))</f>
        <v/>
      </c>
      <c r="GI225" s="44" t="str">
        <f>IF(Table1[Leaving Date]="","",IF(AND(Table1[Leaving Date]&gt;42460,Table1[Leaving Date]&lt;42826),IF(Table1[Date of Last Assessment]="",Table1[Drug and Alcohol Misuse],Table1[Drug and Alcohol Misuse2]),""))</f>
        <v/>
      </c>
      <c r="GJ225" s="44" t="str">
        <f>IF(Table1[Leaving Date]="","",IF(AND(Table1[Leaving Date]&gt;42460,Table1[Leaving Date]&lt;42826),IF(Table1[Date of Last Assessment]="",Table1[Physical Health],Table1[Physical Health2]),""))</f>
        <v/>
      </c>
      <c r="GK225" s="44" t="str">
        <f>IF(Table1[Leaving Date]="","",IF(AND(Table1[Leaving Date]&gt;42460,Table1[Leaving Date]&lt;42826),IF(Table1[Date of Last Assessment]="",Table1[Emotional and Mental Health],Table1[Emotional and Mental Health2]),""))</f>
        <v/>
      </c>
      <c r="GL225" s="44" t="str">
        <f>IF(Table1[Leaving Date]="","",IF(AND(Table1[Leaving Date]&gt;42460,Table1[Leaving Date]&lt;42826),IF(Table1[Date of Last Assessment]="",Table1[Meaningful Use of Time],Table1[Meaningful Use of Time2]),""))</f>
        <v/>
      </c>
      <c r="GM225" s="44" t="str">
        <f>IF(Table1[Leaving Date]="","",IF(AND(Table1[Leaving Date]&gt;42460,Table1[Leaving Date]&lt;42826),IF(Table1[Date of Last Assessment]="",Table1[Managing Tenancy and Accommodation],Table1[Managing Tenancy and Accommodation2]),""))</f>
        <v/>
      </c>
      <c r="GN225" s="44" t="str">
        <f>IF(Table1[Leaving Date]="","",IF(AND(Table1[Leaving Date]&gt;42460,Table1[Leaving Date]&lt;42826),IF(Table1[Date of Last Assessment]="",Table1[Offending],Table1[Offending2]),""))</f>
        <v/>
      </c>
    </row>
    <row r="226" spans="2:196" ht="20.100000000000001" customHeight="1" x14ac:dyDescent="0.2">
      <c r="B226" s="86">
        <f>+'Service Data'!$C$5:$C$5</f>
        <v>0</v>
      </c>
      <c r="C226" s="86"/>
      <c r="D226" s="86"/>
      <c r="E226" s="86"/>
      <c r="F226" s="86"/>
      <c r="G226" s="86"/>
      <c r="H226" s="6"/>
      <c r="I226" s="99" t="str">
        <f ca="1">IF(Table1[[#This Row],[Date of Birth]]="","",SUM(TODAY()-Table1[[#This Row],[Date of Birth]])/365)</f>
        <v/>
      </c>
      <c r="L226" s="86"/>
      <c r="M226" s="77"/>
      <c r="N226" s="86"/>
      <c r="O226" s="86"/>
      <c r="P226" s="91"/>
      <c r="Q226" s="86"/>
      <c r="R226" s="77"/>
      <c r="S226" s="77"/>
      <c r="T226" s="68"/>
      <c r="U226" s="68"/>
      <c r="V226" s="67"/>
      <c r="W226" s="67"/>
      <c r="X226" s="67"/>
      <c r="Y226" s="67"/>
      <c r="Z226" s="67"/>
      <c r="AA226" s="67"/>
      <c r="AB226" s="67"/>
      <c r="AC226" s="67"/>
      <c r="AD226" s="67"/>
      <c r="AE226" s="67"/>
      <c r="AF226" s="67"/>
      <c r="AG226" s="67"/>
      <c r="AH226" s="67"/>
      <c r="AI226" s="67"/>
      <c r="AJ226" s="67"/>
      <c r="AK226" s="67"/>
      <c r="AL226" s="67"/>
      <c r="AM226" s="67"/>
      <c r="AN226" s="77"/>
      <c r="AO226" s="76"/>
      <c r="AP226" s="77"/>
      <c r="AQ226" s="76"/>
      <c r="AR226" s="76"/>
      <c r="AS226" s="76"/>
      <c r="AT226" s="76"/>
      <c r="AU226" s="76"/>
      <c r="AV226" s="77"/>
      <c r="AW226" s="76"/>
      <c r="AX226" s="77"/>
      <c r="AY226" s="76"/>
      <c r="AZ226" s="76"/>
      <c r="BA226" s="76"/>
      <c r="BB226" s="76"/>
      <c r="BC226" s="76"/>
      <c r="BD226" s="77"/>
      <c r="BE226" s="76"/>
      <c r="BF226" s="77"/>
      <c r="BG226" s="76"/>
      <c r="BH226" s="76"/>
      <c r="BI226" s="76"/>
      <c r="BJ226" s="76"/>
      <c r="BK226" s="76"/>
      <c r="BL226" s="77"/>
      <c r="BM226" s="76"/>
      <c r="BN226" s="77"/>
      <c r="BO226" s="76"/>
      <c r="BP226" s="76"/>
      <c r="BQ226" s="76"/>
      <c r="BR226" s="76"/>
      <c r="BS226" s="76"/>
      <c r="BT226" s="77"/>
      <c r="BU226" s="76"/>
      <c r="BV226" s="77"/>
      <c r="BW226" s="76"/>
      <c r="BX226" s="76"/>
      <c r="BY226" s="76"/>
      <c r="BZ226" s="76"/>
      <c r="CA226" s="76"/>
      <c r="CB226" s="77"/>
      <c r="CC226" s="76"/>
      <c r="CD226" s="77"/>
      <c r="CE226" s="76"/>
      <c r="CF226" s="76"/>
      <c r="CG226" s="76"/>
      <c r="CH226" s="76"/>
      <c r="CI226" s="76"/>
      <c r="CJ226" s="77"/>
      <c r="CK226" s="76"/>
      <c r="CL226" s="77"/>
      <c r="CM226" s="76"/>
      <c r="CN226" s="76"/>
      <c r="CO226" s="76"/>
      <c r="CP226" s="76"/>
      <c r="CQ226" s="76"/>
      <c r="CR226" s="78" t="str">
        <f t="shared" si="63"/>
        <v/>
      </c>
      <c r="CS226" s="79" t="str">
        <f t="shared" si="64"/>
        <v/>
      </c>
      <c r="CT226" s="79" t="str">
        <f t="shared" si="65"/>
        <v/>
      </c>
      <c r="CU226" s="79" t="str">
        <f t="shared" si="66"/>
        <v/>
      </c>
      <c r="CV226" s="79" t="str">
        <f t="shared" si="67"/>
        <v/>
      </c>
      <c r="CW226" s="79" t="str">
        <f t="shared" si="68"/>
        <v/>
      </c>
      <c r="CX226" s="79" t="str">
        <f t="shared" si="69"/>
        <v/>
      </c>
      <c r="CY226" s="79" t="str">
        <f t="shared" si="70"/>
        <v/>
      </c>
      <c r="CZ226" s="79" t="str">
        <f t="shared" si="71"/>
        <v/>
      </c>
      <c r="DA226" s="79" t="str">
        <f t="shared" si="72"/>
        <v/>
      </c>
      <c r="DB226" s="79" t="str">
        <f t="shared" si="73"/>
        <v/>
      </c>
      <c r="DC226" s="79" t="str">
        <f t="shared" si="74"/>
        <v/>
      </c>
      <c r="DD226" s="79" t="str">
        <f t="shared" si="75"/>
        <v/>
      </c>
      <c r="DE226" s="79" t="str">
        <f t="shared" si="76"/>
        <v/>
      </c>
      <c r="DF226" s="79" t="str">
        <f t="shared" si="77"/>
        <v/>
      </c>
      <c r="DG226" s="79" t="str">
        <f t="shared" si="78"/>
        <v/>
      </c>
      <c r="DH226" s="76"/>
      <c r="DI226" s="78"/>
      <c r="DJ226" s="76"/>
      <c r="DK226" s="77"/>
      <c r="DL226" s="77"/>
      <c r="DM226" s="77"/>
      <c r="DN226" s="80"/>
      <c r="DO226" s="80"/>
      <c r="DP226" s="92" t="str">
        <f>IF(Table1[Start Date]="","",IF(Table1[Start Date]&gt;42185,"",IF(AND(Table1[Leaving Date]&gt;1,Table1[Leaving Date]&lt;42095),"",1)))</f>
        <v/>
      </c>
      <c r="DQ226" s="92" t="str">
        <f>IF(Table1[Start Date]="","",IF(Table1[Start Date]&gt;42277,"",IF(AND(Table1[Leaving Date]&gt;1,Table1[Leaving Date]&lt;42186),"",1)))</f>
        <v/>
      </c>
      <c r="DR226" s="92" t="str">
        <f>IF(Table1[Start Date]="","",IF(Table1[Start Date]&gt;42369,"",IF(AND(Table1[Leaving Date]&gt;1,Table1[Leaving Date]&lt;42278),"",1)))</f>
        <v/>
      </c>
      <c r="DS226" s="92" t="str">
        <f>IF(Table1[Start Date]="","",IF(Table1[Start Date]&gt;42460,"",IF(AND(Table1[Leaving Date]&gt;1,Table1[Leaving Date]&lt;42370),"",1)))</f>
        <v/>
      </c>
      <c r="DT226" s="92" t="str">
        <f>IF(Table1[Start Date]="","",IF(Table1[Start Date]&gt;42551,"",IF(AND(Table1[Leaving Date]&gt;1,Table1[Leaving Date]&lt;42461),"",1)))</f>
        <v/>
      </c>
      <c r="DU226" s="92" t="str">
        <f>IF(Table1[Start Date]="","",IF(Table1[Start Date]&gt;42643,"",IF(AND(Table1[Leaving Date]&gt;1,Table1[Leaving Date]&lt;42552),"",1)))</f>
        <v/>
      </c>
      <c r="DV226" s="92" t="str">
        <f>IF(Table1[Start Date]="","",IF(Table1[Start Date]&gt;42735,"",IF(AND(Table1[Leaving Date]&gt;1,Table1[Leaving Date]&lt;42644),"",1)))</f>
        <v/>
      </c>
      <c r="DW226" s="92" t="str">
        <f>IF(Table1[Start Date]="","",IF(Table1[Start Date]&gt;42825,"",IF(AND(Table1[Leaving Date]&gt;1,Table1[Leaving Date]&lt;42736),"",1)))</f>
        <v/>
      </c>
      <c r="DX226"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226" s="44" t="e">
        <f>VLOOKUP(Table1[Referral Source],Lists!$G$2:$H$20,2,FALSE)</f>
        <v>#N/A</v>
      </c>
      <c r="DZ226" s="93" t="e">
        <f>SUM(Table1[Data Referral Quarter]+Table1[Data Referral Source])</f>
        <v>#N/A</v>
      </c>
      <c r="EA226" s="44" t="b">
        <f>IF(Table1[Referral Decision]="Accepted",100,IF(Table1[Referral Decision]="Rejected by Provider",200,IF(Table1[Referral Decision]="Rejected by Applicant",300)))</f>
        <v>0</v>
      </c>
      <c r="EB226" s="44">
        <f>SUM(Table1[Data Referral Quarter]+Table1[Data Referral Decision])</f>
        <v>0</v>
      </c>
      <c r="EC226" s="44" t="b">
        <f>IF(Table1[Start Date]&gt;42735,8000,IF(Table1[Start Date]&gt;42643,7000,IF(Table1[Start Date]&gt;42551,6000,IF(Table1[Start Date]&gt;42460,5000,IF(Table1[Start Date]&gt;42369,4000,IF(Table1[Start Date]&gt;42277,3000,IF(Table1[Start Date]&gt;42185,2000,IF(Table1[Start Date]&gt;42094,1000))))))))</f>
        <v>0</v>
      </c>
      <c r="ED226" s="44" t="str">
        <f>IF(Table1[Start Date]="","",IF(Table1[Current Local Authority]="Swindon",1,"2"))</f>
        <v/>
      </c>
      <c r="EE226" s="44" t="e">
        <f>SUM(Table1[Data Start Date]+Table1[Data Local Authority])</f>
        <v>#VALUE!</v>
      </c>
      <c r="EF226" s="44">
        <f>IF(Table1[Registered with GP]="Yes",1,0)</f>
        <v>0</v>
      </c>
      <c r="EG226" s="44">
        <f>SUM(Table1[Data Start Date]+Table1[Data GP Start])</f>
        <v>0</v>
      </c>
      <c r="EH226" s="44" t="str">
        <f>IF(Table1[EET]="NEET",1,IF(Table1[EET]="Education",2,IF(Table1[EET]="Employment",2,IF(Table1[EET]="Training",2,IF(Table1[EET]="Retired",3,"")))))</f>
        <v/>
      </c>
      <c r="EI226" s="44" t="e">
        <f>Table1[Data Start Date]+Table1[Data EET Start]</f>
        <v>#VALUE!</v>
      </c>
      <c r="EJ226" s="44" t="b">
        <f>IF(Table1[Leaving Date]&gt;42735,8000,IF(Table1[Leaving Date]&gt;42643,7000,IF(Table1[Leaving Date]&gt;42551,6000,IF(Table1[Leaving Date]&gt;42460,5000,IF(Table1[Leaving Date]&gt;42369,4000,IF(Table1[Leaving Date]&gt;42277,3000,IF(Table1[Leaving Date]&gt;42185,2000,IF(Table1[Leaving Date]&gt;42094,1000))))))))</f>
        <v>0</v>
      </c>
      <c r="EK226" s="44" t="e">
        <f>VLOOKUP(Table1[Reason for Leaving],Lists!$T$2:$U$15,2,FALSE)</f>
        <v>#N/A</v>
      </c>
      <c r="EL226" s="44" t="e">
        <f>SUM(Table1[Data Leavers Date]+Table1[Data Move On])</f>
        <v>#N/A</v>
      </c>
      <c r="EM226" s="44" t="b">
        <f>IF(Table1[Registered with GP2]="Yes",1,IF(Table1[Registered with GP2]="No",0,IF(Table1[Registered with GP]="Yes",1,IF(Table1[Registered with GP]="No",0))))</f>
        <v>0</v>
      </c>
      <c r="EN226" s="44">
        <f>SUM(Table1[Data Leavers Date]+Table1[Data GP End])</f>
        <v>0</v>
      </c>
      <c r="EO226" s="44" t="str">
        <f>IF(Table1[EET2]="NEET",1,IF(Table1[EET2]="Employment",2,IF(Table1[EET2]="Education",2,IF(Table1[EET2]="Training",2,IF(Table1[EET2]="Retired",3,IF(Table1[EET]="NEET",1,IF(Table1[EET]="Employment",2,IF(Table1[EET]="Education",2,IF(Table1[EET]="Training",2,IF(Table1[EET]="Retired",3,""))))))))))</f>
        <v/>
      </c>
      <c r="EP226" s="44" t="e">
        <f>+Table1[[#This Row],[Data Leavers Date]]+Table1[[#This Row],[Data EET End]]</f>
        <v>#VALUE!</v>
      </c>
      <c r="EQ226" s="44">
        <f>IF(Table1[Exit Form Received]="Yes",1,0)</f>
        <v>0</v>
      </c>
      <c r="ER226" s="44">
        <f>+Table1[[#This Row],[Data Leavers Date]]+Table1[[#This Row],[Data Exit Forms]]</f>
        <v>0</v>
      </c>
      <c r="ES226" s="44" t="str">
        <f>IF(Table1[Data Leavers Date]=1000,SUM(Table1[Leaving Date]-Table1[Start Date]),"")</f>
        <v/>
      </c>
      <c r="ET226" s="44" t="str">
        <f>IF(Table1[Data Leavers Date]=2000,SUM(Table1[Leaving Date]-Table1[Start Date]),"")</f>
        <v/>
      </c>
      <c r="EU226" s="44" t="str">
        <f>IF(Table1[Data Leavers Date]=3000,SUM(Table1[Leaving Date]-Table1[Start Date]),"")</f>
        <v/>
      </c>
      <c r="EV226" s="44" t="str">
        <f>IF(Table1[Data Leavers Date]=4000,SUM(Table1[Leaving Date]-Table1[Start Date]),"")</f>
        <v/>
      </c>
      <c r="EW226" s="44" t="str">
        <f>IF(Table1[Data Leavers Date]=5000,SUM(Table1[Leaving Date]-Table1[Start Date]),"")</f>
        <v/>
      </c>
      <c r="EX226" s="44" t="str">
        <f>IF(Table1[Data Leavers Date]=6000,SUM(Table1[Leaving Date]-Table1[Start Date]),"")</f>
        <v/>
      </c>
      <c r="EY226" s="44" t="str">
        <f>IF(Table1[Data Leavers Date]=7000,SUM(Table1[Leaving Date]-Table1[Start Date]),"")</f>
        <v/>
      </c>
      <c r="EZ226" s="44" t="str">
        <f>IF(Table1[Data Leavers Date]=8000,SUM(Table1[Leaving Date]-Table1[Start Date]),"")</f>
        <v/>
      </c>
      <c r="FA226" s="44" t="str">
        <f>IF(Table1[Date of Initial Assessment]="","",IF(AND(Table1[Start Date]&gt;42094,Table1[Start Date]&lt;42461),Table1[Motivation and Taking Responsibility],""))</f>
        <v/>
      </c>
      <c r="FB226" s="44" t="str">
        <f>IF(Table1[Date of Initial Assessment]="","",IF(AND(Table1[Start Date]&gt;42094,Table1[Start Date]&lt;42461),Table1[Self-Care and Living Skills],""))</f>
        <v/>
      </c>
      <c r="FC226" s="44" t="str">
        <f>IF(Table1[Date of Initial Assessment]="","",IF(AND(Table1[Start Date]&gt;42094,Table1[Start Date]&lt;42461),Table1[Managing Money and Personal Administration],""))</f>
        <v/>
      </c>
      <c r="FD226" s="44" t="str">
        <f>IF(Table1[Date of Initial Assessment]="","",IF(AND(Table1[Start Date]&gt;42094,Table1[Start Date]&lt;42461),Table1[Social Networks and Relationships],""))</f>
        <v/>
      </c>
      <c r="FE226" s="44" t="str">
        <f>IF(Table1[Date of Initial Assessment]="","",IF(AND(Table1[Start Date]&gt;42094,Table1[Start Date]&lt;42461),Table1[Drug and Alcohol Misuse],""))</f>
        <v/>
      </c>
      <c r="FF226" s="44" t="str">
        <f>IF(Table1[Date of Initial Assessment]="","",IF(AND(Table1[Start Date]&gt;42094,Table1[Start Date]&lt;42461),Table1[Physical Health],""))</f>
        <v/>
      </c>
      <c r="FG226" s="44" t="str">
        <f>IF(Table1[Date of Initial Assessment]="","",IF(AND(Table1[Start Date]&gt;42094,Table1[Start Date]&lt;42461),Table1[Emotional and Mental Health],""))</f>
        <v/>
      </c>
      <c r="FH226" s="44" t="str">
        <f>IF(Table1[Date of Initial Assessment]="","",IF(AND(Table1[Start Date]&gt;42094,Table1[Start Date]&lt;42461),Table1[Meaningful Use of Time],""))</f>
        <v/>
      </c>
      <c r="FI226" s="44" t="str">
        <f>IF(Table1[Date of Initial Assessment]="","",IF(AND(Table1[Start Date]&gt;42094,Table1[Start Date]&lt;42461),Table1[Managing Tenancy and Accommodation],""))</f>
        <v/>
      </c>
      <c r="FJ226" s="44" t="str">
        <f>IF(Table1[Date of Initial Assessment]="","",IF(AND(Table1[Start Date]&gt;42094,Table1[Start Date]&lt;42461),Table1[Offending],""))</f>
        <v/>
      </c>
      <c r="FK226" s="44" t="str">
        <f>IF(Table1[Leaving Date]="","",IF(Table1[Date of Initial Assessment]="","",IF(AND(Table1[Leaving Date]&gt;42094,Table1[Leaving Date]&lt;42461),IF(Table1[Date of Last Assessment]="",Table1[Motivation and Taking Responsibility],Table1[Motivation and Taking Responsibility2]),"")))</f>
        <v/>
      </c>
      <c r="FL226" s="44" t="str">
        <f>IF(Table1[Leaving Date]="","",IF(Table1[Date of Initial Assessment]="","",IF(AND(Table1[Leaving Date]&gt;42094,Table1[Leaving Date]&lt;42461),IF(Table1[Date of Last Assessment]="",Table1[Self-Care and Living Skills],Table1[Self-Care and Living Skills2]),"")))</f>
        <v/>
      </c>
      <c r="FM226" s="44" t="str">
        <f>IF(Table1[Leaving Date]="","",IF(Table1[Date of Initial Assessment]="","",IF(AND(Table1[Leaving Date]&gt;42094,Table1[Leaving Date]&lt;42461),IF(Table1[Date of Last Assessment]="",Table1[Managing Money and Personal Administration],Table1[Managing Money and Personal Administration2]),"")))</f>
        <v/>
      </c>
      <c r="FN226" s="44" t="str">
        <f>IF(Table1[Leaving Date]="","",IF(Table1[Date of Initial Assessment]="","",IF(AND(Table1[Leaving Date]&gt;42094,Table1[Leaving Date]&lt;42461),IF(Table1[Date of Last Assessment]="",Table1[Social Networks and Relationships],Table1[Social Networks and Relationships2]),"")))</f>
        <v/>
      </c>
      <c r="FO226" s="44" t="str">
        <f>IF(Table1[Leaving Date]="","",IF(Table1[Date of Initial Assessment]="","",IF(AND(Table1[Leaving Date]&gt;42094,Table1[Leaving Date]&lt;42461),IF(Table1[Date of Last Assessment]="",Table1[Drug and Alcohol Misuse],Table1[Drug and Alcohol Misuse2]),"")))</f>
        <v/>
      </c>
      <c r="FP226" s="44" t="str">
        <f>IF(Table1[Leaving Date]="","",IF(Table1[Date of Initial Assessment]="","",IF(AND(Table1[Leaving Date]&gt;42094,Table1[Leaving Date]&lt;42461),IF(Table1[Date of Last Assessment]="",Table1[Physical Health],Table1[Physical Health2]),"")))</f>
        <v/>
      </c>
      <c r="FQ226" s="44" t="str">
        <f>IF(Table1[Leaving Date]="","",IF(Table1[Date of Initial Assessment]="","",IF(AND(Table1[Leaving Date]&gt;42094,Table1[Leaving Date]&lt;42461),IF(Table1[Date of Last Assessment]="",Table1[Emotional and Mental Health],Table1[Emotional and Mental Health2]),"")))</f>
        <v/>
      </c>
      <c r="FR226" s="44" t="str">
        <f>IF(Table1[Leaving Date]="","",IF(Table1[Date of Initial Assessment]="","",IF(AND(Table1[Leaving Date]&gt;42094,Table1[Leaving Date]&lt;42461),IF(Table1[Date of Last Assessment]="",Table1[Meaningful Use of Time],Table1[Meaningful Use of Time2]),"")))</f>
        <v/>
      </c>
      <c r="FS226" s="44" t="str">
        <f>IF(Table1[Leaving Date]="","",IF(Table1[Date of Initial Assessment]="","",IF(AND(Table1[Leaving Date]&gt;42094,Table1[Leaving Date]&lt;42461),IF(Table1[Date of Last Assessment]="",Table1[Managing Tenancy and Accommodation],Table1[Managing Tenancy and Accommodation2]),"")))</f>
        <v/>
      </c>
      <c r="FT226" s="44" t="str">
        <f>IF(Table1[Leaving Date]="","",IF(Table1[Date of Initial Assessment]="","",IF(AND(Table1[Leaving Date]&gt;42094,Table1[Leaving Date]&lt;42461),IF(Table1[Date of Last Assessment]="",Table1[Offending],Table1[Offending2]),"")))</f>
        <v/>
      </c>
      <c r="FU226" s="44" t="str">
        <f>IF(Table1[Date of Initial Assessment]="","",IF(AND(Table1[Start Date]&gt;42460,Table1[Start Date]&lt;42826),Table1[Motivation and Taking Responsibility],""))</f>
        <v/>
      </c>
      <c r="FV226" s="44" t="str">
        <f>IF(Table1[Date of Initial Assessment]="","",IF(AND(Table1[Start Date]&gt;42460,Table1[Start Date]&lt;42826),Table1[Self-Care and Living Skills],""))</f>
        <v/>
      </c>
      <c r="FW226" s="44" t="str">
        <f>IF(Table1[Date of Initial Assessment]="","",IF(AND(Table1[Start Date]&gt;42460,Table1[Start Date]&lt;42826),Table1[Managing Money and Personal Administration],""))</f>
        <v/>
      </c>
      <c r="FX226" s="44" t="str">
        <f>IF(Table1[Date of Initial Assessment]="","",IF(AND(Table1[Start Date]&gt;42460,Table1[Start Date]&lt;42826),Table1[Social Networks and Relationships],""))</f>
        <v/>
      </c>
      <c r="FY226" s="44" t="str">
        <f>IF(Table1[Date of Initial Assessment]="","",IF(AND(Table1[Start Date]&gt;42460,Table1[Start Date]&lt;42826),Table1[Drug and Alcohol Misuse],""))</f>
        <v/>
      </c>
      <c r="FZ226" s="44" t="str">
        <f>IF(Table1[Date of Initial Assessment]="","",IF(AND(Table1[Start Date]&gt;42460,Table1[Start Date]&lt;42826),Table1[Physical Health],""))</f>
        <v/>
      </c>
      <c r="GA226" s="44" t="str">
        <f>IF(Table1[Date of Initial Assessment]="","",IF(AND(Table1[Start Date]&gt;42460,Table1[Start Date]&lt;42826),Table1[Emotional and Mental Health],""))</f>
        <v/>
      </c>
      <c r="GB226" s="44" t="str">
        <f>IF(Table1[Date of Initial Assessment]="","",IF(AND(Table1[Start Date]&gt;42460,Table1[Start Date]&lt;42826),Table1[Meaningful Use of Time],""))</f>
        <v/>
      </c>
      <c r="GC226" s="44" t="str">
        <f>IF(Table1[Date of Initial Assessment]="","",IF(AND(Table1[Start Date]&gt;42460,Table1[Start Date]&lt;42826),Table1[Managing Tenancy and Accommodation],""))</f>
        <v/>
      </c>
      <c r="GD226" s="44" t="str">
        <f>IF(Table1[Date of Initial Assessment]="","",IF(AND(Table1[Start Date]&gt;42460,Table1[Start Date]&lt;42826),Table1[Offending],""))</f>
        <v/>
      </c>
      <c r="GE226" s="44" t="str">
        <f>IF(Table1[Leaving Date]="","",IF(AND(Table1[Leaving Date]&gt;42460,Table1[Leaving Date]&lt;42826),IF(Table1[Date of Last Assessment]="",Table1[Motivation and Taking Responsibility],Table1[Motivation and Taking Responsibility2]),""))</f>
        <v/>
      </c>
      <c r="GF226" s="44" t="str">
        <f>IF(Table1[Leaving Date]="","",IF(AND(Table1[Leaving Date]&gt;42460,Table1[Leaving Date]&lt;42826),IF(Table1[Date of Last Assessment]="",Table1[Self-Care and Living Skills],Table1[Self-Care and Living Skills2]),""))</f>
        <v/>
      </c>
      <c r="GG226" s="44" t="str">
        <f>IF(Table1[Leaving Date]="","",IF(AND(Table1[Leaving Date]&gt;42460,Table1[Leaving Date]&lt;42826),IF(Table1[Date of Last Assessment]="",Table1[Managing Money and Personal Administration],Table1[Managing Money and Personal Administration2]),""))</f>
        <v/>
      </c>
      <c r="GH226" s="44" t="str">
        <f>IF(Table1[Leaving Date]="","",IF(AND(Table1[Leaving Date]&gt;42460,Table1[Leaving Date]&lt;42826),IF(Table1[Date of Last Assessment]="",Table1[Social Networks and Relationships],Table1[Social Networks and Relationships2]),""))</f>
        <v/>
      </c>
      <c r="GI226" s="44" t="str">
        <f>IF(Table1[Leaving Date]="","",IF(AND(Table1[Leaving Date]&gt;42460,Table1[Leaving Date]&lt;42826),IF(Table1[Date of Last Assessment]="",Table1[Drug and Alcohol Misuse],Table1[Drug and Alcohol Misuse2]),""))</f>
        <v/>
      </c>
      <c r="GJ226" s="44" t="str">
        <f>IF(Table1[Leaving Date]="","",IF(AND(Table1[Leaving Date]&gt;42460,Table1[Leaving Date]&lt;42826),IF(Table1[Date of Last Assessment]="",Table1[Physical Health],Table1[Physical Health2]),""))</f>
        <v/>
      </c>
      <c r="GK226" s="44" t="str">
        <f>IF(Table1[Leaving Date]="","",IF(AND(Table1[Leaving Date]&gt;42460,Table1[Leaving Date]&lt;42826),IF(Table1[Date of Last Assessment]="",Table1[Emotional and Mental Health],Table1[Emotional and Mental Health2]),""))</f>
        <v/>
      </c>
      <c r="GL226" s="44" t="str">
        <f>IF(Table1[Leaving Date]="","",IF(AND(Table1[Leaving Date]&gt;42460,Table1[Leaving Date]&lt;42826),IF(Table1[Date of Last Assessment]="",Table1[Meaningful Use of Time],Table1[Meaningful Use of Time2]),""))</f>
        <v/>
      </c>
      <c r="GM226" s="44" t="str">
        <f>IF(Table1[Leaving Date]="","",IF(AND(Table1[Leaving Date]&gt;42460,Table1[Leaving Date]&lt;42826),IF(Table1[Date of Last Assessment]="",Table1[Managing Tenancy and Accommodation],Table1[Managing Tenancy and Accommodation2]),""))</f>
        <v/>
      </c>
      <c r="GN226" s="44" t="str">
        <f>IF(Table1[Leaving Date]="","",IF(AND(Table1[Leaving Date]&gt;42460,Table1[Leaving Date]&lt;42826),IF(Table1[Date of Last Assessment]="",Table1[Offending],Table1[Offending2]),""))</f>
        <v/>
      </c>
    </row>
    <row r="227" spans="2:196" ht="20.100000000000001" customHeight="1" x14ac:dyDescent="0.2">
      <c r="B227" s="86">
        <f>+'Service Data'!$C$5:$C$5</f>
        <v>0</v>
      </c>
      <c r="C227" s="86"/>
      <c r="D227" s="86"/>
      <c r="E227" s="86"/>
      <c r="F227" s="86"/>
      <c r="G227" s="86"/>
      <c r="H227" s="6"/>
      <c r="I227" s="99" t="str">
        <f ca="1">IF(Table1[[#This Row],[Date of Birth]]="","",SUM(TODAY()-Table1[[#This Row],[Date of Birth]])/365)</f>
        <v/>
      </c>
      <c r="L227" s="86"/>
      <c r="M227" s="77"/>
      <c r="N227" s="86"/>
      <c r="O227" s="86"/>
      <c r="P227" s="91"/>
      <c r="Q227" s="86"/>
      <c r="R227" s="77"/>
      <c r="S227" s="77"/>
      <c r="T227" s="68"/>
      <c r="U227" s="68"/>
      <c r="V227" s="67"/>
      <c r="W227" s="67"/>
      <c r="X227" s="67"/>
      <c r="Y227" s="67"/>
      <c r="Z227" s="67"/>
      <c r="AA227" s="67"/>
      <c r="AB227" s="67"/>
      <c r="AC227" s="67"/>
      <c r="AD227" s="67"/>
      <c r="AE227" s="67"/>
      <c r="AF227" s="67"/>
      <c r="AG227" s="67"/>
      <c r="AH227" s="67"/>
      <c r="AI227" s="67"/>
      <c r="AJ227" s="67"/>
      <c r="AK227" s="67"/>
      <c r="AL227" s="67"/>
      <c r="AM227" s="67"/>
      <c r="AN227" s="77"/>
      <c r="AO227" s="76"/>
      <c r="AP227" s="77"/>
      <c r="AQ227" s="76"/>
      <c r="AR227" s="76"/>
      <c r="AS227" s="76"/>
      <c r="AT227" s="76"/>
      <c r="AU227" s="76"/>
      <c r="AV227" s="77"/>
      <c r="AW227" s="76"/>
      <c r="AX227" s="77"/>
      <c r="AY227" s="76"/>
      <c r="AZ227" s="76"/>
      <c r="BA227" s="76"/>
      <c r="BB227" s="76"/>
      <c r="BC227" s="76"/>
      <c r="BD227" s="77"/>
      <c r="BE227" s="76"/>
      <c r="BF227" s="77"/>
      <c r="BG227" s="76"/>
      <c r="BH227" s="76"/>
      <c r="BI227" s="76"/>
      <c r="BJ227" s="76"/>
      <c r="BK227" s="76"/>
      <c r="BL227" s="77"/>
      <c r="BM227" s="76"/>
      <c r="BN227" s="77"/>
      <c r="BO227" s="76"/>
      <c r="BP227" s="76"/>
      <c r="BQ227" s="76"/>
      <c r="BR227" s="76"/>
      <c r="BS227" s="76"/>
      <c r="BT227" s="77"/>
      <c r="BU227" s="76"/>
      <c r="BV227" s="77"/>
      <c r="BW227" s="76"/>
      <c r="BX227" s="76"/>
      <c r="BY227" s="76"/>
      <c r="BZ227" s="76"/>
      <c r="CA227" s="76"/>
      <c r="CB227" s="77"/>
      <c r="CC227" s="76"/>
      <c r="CD227" s="77"/>
      <c r="CE227" s="76"/>
      <c r="CF227" s="76"/>
      <c r="CG227" s="76"/>
      <c r="CH227" s="76"/>
      <c r="CI227" s="76"/>
      <c r="CJ227" s="77"/>
      <c r="CK227" s="76"/>
      <c r="CL227" s="77"/>
      <c r="CM227" s="76"/>
      <c r="CN227" s="76"/>
      <c r="CO227" s="76"/>
      <c r="CP227" s="76"/>
      <c r="CQ227" s="76"/>
      <c r="CR227" s="78" t="str">
        <f t="shared" si="63"/>
        <v/>
      </c>
      <c r="CS227" s="79" t="str">
        <f t="shared" si="64"/>
        <v/>
      </c>
      <c r="CT227" s="79" t="str">
        <f t="shared" si="65"/>
        <v/>
      </c>
      <c r="CU227" s="79" t="str">
        <f t="shared" si="66"/>
        <v/>
      </c>
      <c r="CV227" s="79" t="str">
        <f t="shared" si="67"/>
        <v/>
      </c>
      <c r="CW227" s="79" t="str">
        <f t="shared" si="68"/>
        <v/>
      </c>
      <c r="CX227" s="79" t="str">
        <f t="shared" si="69"/>
        <v/>
      </c>
      <c r="CY227" s="79" t="str">
        <f t="shared" si="70"/>
        <v/>
      </c>
      <c r="CZ227" s="79" t="str">
        <f t="shared" si="71"/>
        <v/>
      </c>
      <c r="DA227" s="79" t="str">
        <f t="shared" si="72"/>
        <v/>
      </c>
      <c r="DB227" s="79" t="str">
        <f t="shared" si="73"/>
        <v/>
      </c>
      <c r="DC227" s="79" t="str">
        <f t="shared" si="74"/>
        <v/>
      </c>
      <c r="DD227" s="79" t="str">
        <f t="shared" si="75"/>
        <v/>
      </c>
      <c r="DE227" s="79" t="str">
        <f t="shared" si="76"/>
        <v/>
      </c>
      <c r="DF227" s="79" t="str">
        <f t="shared" si="77"/>
        <v/>
      </c>
      <c r="DG227" s="79" t="str">
        <f t="shared" si="78"/>
        <v/>
      </c>
      <c r="DH227" s="76"/>
      <c r="DI227" s="78"/>
      <c r="DJ227" s="76"/>
      <c r="DK227" s="77"/>
      <c r="DL227" s="77"/>
      <c r="DM227" s="77"/>
      <c r="DN227" s="80"/>
      <c r="DO227" s="80"/>
      <c r="DP227" s="92" t="str">
        <f>IF(Table1[Start Date]="","",IF(Table1[Start Date]&gt;42185,"",IF(AND(Table1[Leaving Date]&gt;1,Table1[Leaving Date]&lt;42095),"",1)))</f>
        <v/>
      </c>
      <c r="DQ227" s="92" t="str">
        <f>IF(Table1[Start Date]="","",IF(Table1[Start Date]&gt;42277,"",IF(AND(Table1[Leaving Date]&gt;1,Table1[Leaving Date]&lt;42186),"",1)))</f>
        <v/>
      </c>
      <c r="DR227" s="92" t="str">
        <f>IF(Table1[Start Date]="","",IF(Table1[Start Date]&gt;42369,"",IF(AND(Table1[Leaving Date]&gt;1,Table1[Leaving Date]&lt;42278),"",1)))</f>
        <v/>
      </c>
      <c r="DS227" s="92" t="str">
        <f>IF(Table1[Start Date]="","",IF(Table1[Start Date]&gt;42460,"",IF(AND(Table1[Leaving Date]&gt;1,Table1[Leaving Date]&lt;42370),"",1)))</f>
        <v/>
      </c>
      <c r="DT227" s="92" t="str">
        <f>IF(Table1[Start Date]="","",IF(Table1[Start Date]&gt;42551,"",IF(AND(Table1[Leaving Date]&gt;1,Table1[Leaving Date]&lt;42461),"",1)))</f>
        <v/>
      </c>
      <c r="DU227" s="92" t="str">
        <f>IF(Table1[Start Date]="","",IF(Table1[Start Date]&gt;42643,"",IF(AND(Table1[Leaving Date]&gt;1,Table1[Leaving Date]&lt;42552),"",1)))</f>
        <v/>
      </c>
      <c r="DV227" s="92" t="str">
        <f>IF(Table1[Start Date]="","",IF(Table1[Start Date]&gt;42735,"",IF(AND(Table1[Leaving Date]&gt;1,Table1[Leaving Date]&lt;42644),"",1)))</f>
        <v/>
      </c>
      <c r="DW227" s="92" t="str">
        <f>IF(Table1[Start Date]="","",IF(Table1[Start Date]&gt;42825,"",IF(AND(Table1[Leaving Date]&gt;1,Table1[Leaving Date]&lt;42736),"",1)))</f>
        <v/>
      </c>
      <c r="DX227"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227" s="44" t="e">
        <f>VLOOKUP(Table1[Referral Source],Lists!$G$2:$H$20,2,FALSE)</f>
        <v>#N/A</v>
      </c>
      <c r="DZ227" s="93" t="e">
        <f>SUM(Table1[Data Referral Quarter]+Table1[Data Referral Source])</f>
        <v>#N/A</v>
      </c>
      <c r="EA227" s="44" t="b">
        <f>IF(Table1[Referral Decision]="Accepted",100,IF(Table1[Referral Decision]="Rejected by Provider",200,IF(Table1[Referral Decision]="Rejected by Applicant",300)))</f>
        <v>0</v>
      </c>
      <c r="EB227" s="44">
        <f>SUM(Table1[Data Referral Quarter]+Table1[Data Referral Decision])</f>
        <v>0</v>
      </c>
      <c r="EC227" s="44" t="b">
        <f>IF(Table1[Start Date]&gt;42735,8000,IF(Table1[Start Date]&gt;42643,7000,IF(Table1[Start Date]&gt;42551,6000,IF(Table1[Start Date]&gt;42460,5000,IF(Table1[Start Date]&gt;42369,4000,IF(Table1[Start Date]&gt;42277,3000,IF(Table1[Start Date]&gt;42185,2000,IF(Table1[Start Date]&gt;42094,1000))))))))</f>
        <v>0</v>
      </c>
      <c r="ED227" s="44" t="str">
        <f>IF(Table1[Start Date]="","",IF(Table1[Current Local Authority]="Swindon",1,"2"))</f>
        <v/>
      </c>
      <c r="EE227" s="44" t="e">
        <f>SUM(Table1[Data Start Date]+Table1[Data Local Authority])</f>
        <v>#VALUE!</v>
      </c>
      <c r="EF227" s="44">
        <f>IF(Table1[Registered with GP]="Yes",1,0)</f>
        <v>0</v>
      </c>
      <c r="EG227" s="44">
        <f>SUM(Table1[Data Start Date]+Table1[Data GP Start])</f>
        <v>0</v>
      </c>
      <c r="EH227" s="44" t="str">
        <f>IF(Table1[EET]="NEET",1,IF(Table1[EET]="Education",2,IF(Table1[EET]="Employment",2,IF(Table1[EET]="Training",2,IF(Table1[EET]="Retired",3,"")))))</f>
        <v/>
      </c>
      <c r="EI227" s="44" t="e">
        <f>Table1[Data Start Date]+Table1[Data EET Start]</f>
        <v>#VALUE!</v>
      </c>
      <c r="EJ227" s="44" t="b">
        <f>IF(Table1[Leaving Date]&gt;42735,8000,IF(Table1[Leaving Date]&gt;42643,7000,IF(Table1[Leaving Date]&gt;42551,6000,IF(Table1[Leaving Date]&gt;42460,5000,IF(Table1[Leaving Date]&gt;42369,4000,IF(Table1[Leaving Date]&gt;42277,3000,IF(Table1[Leaving Date]&gt;42185,2000,IF(Table1[Leaving Date]&gt;42094,1000))))))))</f>
        <v>0</v>
      </c>
      <c r="EK227" s="44" t="e">
        <f>VLOOKUP(Table1[Reason for Leaving],Lists!$T$2:$U$15,2,FALSE)</f>
        <v>#N/A</v>
      </c>
      <c r="EL227" s="44" t="e">
        <f>SUM(Table1[Data Leavers Date]+Table1[Data Move On])</f>
        <v>#N/A</v>
      </c>
      <c r="EM227" s="44" t="b">
        <f>IF(Table1[Registered with GP2]="Yes",1,IF(Table1[Registered with GP2]="No",0,IF(Table1[Registered with GP]="Yes",1,IF(Table1[Registered with GP]="No",0))))</f>
        <v>0</v>
      </c>
      <c r="EN227" s="44">
        <f>SUM(Table1[Data Leavers Date]+Table1[Data GP End])</f>
        <v>0</v>
      </c>
      <c r="EO227" s="44" t="str">
        <f>IF(Table1[EET2]="NEET",1,IF(Table1[EET2]="Employment",2,IF(Table1[EET2]="Education",2,IF(Table1[EET2]="Training",2,IF(Table1[EET2]="Retired",3,IF(Table1[EET]="NEET",1,IF(Table1[EET]="Employment",2,IF(Table1[EET]="Education",2,IF(Table1[EET]="Training",2,IF(Table1[EET]="Retired",3,""))))))))))</f>
        <v/>
      </c>
      <c r="EP227" s="44" t="e">
        <f>+Table1[[#This Row],[Data Leavers Date]]+Table1[[#This Row],[Data EET End]]</f>
        <v>#VALUE!</v>
      </c>
      <c r="EQ227" s="44">
        <f>IF(Table1[Exit Form Received]="Yes",1,0)</f>
        <v>0</v>
      </c>
      <c r="ER227" s="44">
        <f>+Table1[[#This Row],[Data Leavers Date]]+Table1[[#This Row],[Data Exit Forms]]</f>
        <v>0</v>
      </c>
      <c r="ES227" s="44" t="str">
        <f>IF(Table1[Data Leavers Date]=1000,SUM(Table1[Leaving Date]-Table1[Start Date]),"")</f>
        <v/>
      </c>
      <c r="ET227" s="44" t="str">
        <f>IF(Table1[Data Leavers Date]=2000,SUM(Table1[Leaving Date]-Table1[Start Date]),"")</f>
        <v/>
      </c>
      <c r="EU227" s="44" t="str">
        <f>IF(Table1[Data Leavers Date]=3000,SUM(Table1[Leaving Date]-Table1[Start Date]),"")</f>
        <v/>
      </c>
      <c r="EV227" s="44" t="str">
        <f>IF(Table1[Data Leavers Date]=4000,SUM(Table1[Leaving Date]-Table1[Start Date]),"")</f>
        <v/>
      </c>
      <c r="EW227" s="44" t="str">
        <f>IF(Table1[Data Leavers Date]=5000,SUM(Table1[Leaving Date]-Table1[Start Date]),"")</f>
        <v/>
      </c>
      <c r="EX227" s="44" t="str">
        <f>IF(Table1[Data Leavers Date]=6000,SUM(Table1[Leaving Date]-Table1[Start Date]),"")</f>
        <v/>
      </c>
      <c r="EY227" s="44" t="str">
        <f>IF(Table1[Data Leavers Date]=7000,SUM(Table1[Leaving Date]-Table1[Start Date]),"")</f>
        <v/>
      </c>
      <c r="EZ227" s="44" t="str">
        <f>IF(Table1[Data Leavers Date]=8000,SUM(Table1[Leaving Date]-Table1[Start Date]),"")</f>
        <v/>
      </c>
      <c r="FA227" s="44" t="str">
        <f>IF(Table1[Date of Initial Assessment]="","",IF(AND(Table1[Start Date]&gt;42094,Table1[Start Date]&lt;42461),Table1[Motivation and Taking Responsibility],""))</f>
        <v/>
      </c>
      <c r="FB227" s="44" t="str">
        <f>IF(Table1[Date of Initial Assessment]="","",IF(AND(Table1[Start Date]&gt;42094,Table1[Start Date]&lt;42461),Table1[Self-Care and Living Skills],""))</f>
        <v/>
      </c>
      <c r="FC227" s="44" t="str">
        <f>IF(Table1[Date of Initial Assessment]="","",IF(AND(Table1[Start Date]&gt;42094,Table1[Start Date]&lt;42461),Table1[Managing Money and Personal Administration],""))</f>
        <v/>
      </c>
      <c r="FD227" s="44" t="str">
        <f>IF(Table1[Date of Initial Assessment]="","",IF(AND(Table1[Start Date]&gt;42094,Table1[Start Date]&lt;42461),Table1[Social Networks and Relationships],""))</f>
        <v/>
      </c>
      <c r="FE227" s="44" t="str">
        <f>IF(Table1[Date of Initial Assessment]="","",IF(AND(Table1[Start Date]&gt;42094,Table1[Start Date]&lt;42461),Table1[Drug and Alcohol Misuse],""))</f>
        <v/>
      </c>
      <c r="FF227" s="44" t="str">
        <f>IF(Table1[Date of Initial Assessment]="","",IF(AND(Table1[Start Date]&gt;42094,Table1[Start Date]&lt;42461),Table1[Physical Health],""))</f>
        <v/>
      </c>
      <c r="FG227" s="44" t="str">
        <f>IF(Table1[Date of Initial Assessment]="","",IF(AND(Table1[Start Date]&gt;42094,Table1[Start Date]&lt;42461),Table1[Emotional and Mental Health],""))</f>
        <v/>
      </c>
      <c r="FH227" s="44" t="str">
        <f>IF(Table1[Date of Initial Assessment]="","",IF(AND(Table1[Start Date]&gt;42094,Table1[Start Date]&lt;42461),Table1[Meaningful Use of Time],""))</f>
        <v/>
      </c>
      <c r="FI227" s="44" t="str">
        <f>IF(Table1[Date of Initial Assessment]="","",IF(AND(Table1[Start Date]&gt;42094,Table1[Start Date]&lt;42461),Table1[Managing Tenancy and Accommodation],""))</f>
        <v/>
      </c>
      <c r="FJ227" s="44" t="str">
        <f>IF(Table1[Date of Initial Assessment]="","",IF(AND(Table1[Start Date]&gt;42094,Table1[Start Date]&lt;42461),Table1[Offending],""))</f>
        <v/>
      </c>
      <c r="FK227" s="44" t="str">
        <f>IF(Table1[Leaving Date]="","",IF(Table1[Date of Initial Assessment]="","",IF(AND(Table1[Leaving Date]&gt;42094,Table1[Leaving Date]&lt;42461),IF(Table1[Date of Last Assessment]="",Table1[Motivation and Taking Responsibility],Table1[Motivation and Taking Responsibility2]),"")))</f>
        <v/>
      </c>
      <c r="FL227" s="44" t="str">
        <f>IF(Table1[Leaving Date]="","",IF(Table1[Date of Initial Assessment]="","",IF(AND(Table1[Leaving Date]&gt;42094,Table1[Leaving Date]&lt;42461),IF(Table1[Date of Last Assessment]="",Table1[Self-Care and Living Skills],Table1[Self-Care and Living Skills2]),"")))</f>
        <v/>
      </c>
      <c r="FM227" s="44" t="str">
        <f>IF(Table1[Leaving Date]="","",IF(Table1[Date of Initial Assessment]="","",IF(AND(Table1[Leaving Date]&gt;42094,Table1[Leaving Date]&lt;42461),IF(Table1[Date of Last Assessment]="",Table1[Managing Money and Personal Administration],Table1[Managing Money and Personal Administration2]),"")))</f>
        <v/>
      </c>
      <c r="FN227" s="44" t="str">
        <f>IF(Table1[Leaving Date]="","",IF(Table1[Date of Initial Assessment]="","",IF(AND(Table1[Leaving Date]&gt;42094,Table1[Leaving Date]&lt;42461),IF(Table1[Date of Last Assessment]="",Table1[Social Networks and Relationships],Table1[Social Networks and Relationships2]),"")))</f>
        <v/>
      </c>
      <c r="FO227" s="44" t="str">
        <f>IF(Table1[Leaving Date]="","",IF(Table1[Date of Initial Assessment]="","",IF(AND(Table1[Leaving Date]&gt;42094,Table1[Leaving Date]&lt;42461),IF(Table1[Date of Last Assessment]="",Table1[Drug and Alcohol Misuse],Table1[Drug and Alcohol Misuse2]),"")))</f>
        <v/>
      </c>
      <c r="FP227" s="44" t="str">
        <f>IF(Table1[Leaving Date]="","",IF(Table1[Date of Initial Assessment]="","",IF(AND(Table1[Leaving Date]&gt;42094,Table1[Leaving Date]&lt;42461),IF(Table1[Date of Last Assessment]="",Table1[Physical Health],Table1[Physical Health2]),"")))</f>
        <v/>
      </c>
      <c r="FQ227" s="44" t="str">
        <f>IF(Table1[Leaving Date]="","",IF(Table1[Date of Initial Assessment]="","",IF(AND(Table1[Leaving Date]&gt;42094,Table1[Leaving Date]&lt;42461),IF(Table1[Date of Last Assessment]="",Table1[Emotional and Mental Health],Table1[Emotional and Mental Health2]),"")))</f>
        <v/>
      </c>
      <c r="FR227" s="44" t="str">
        <f>IF(Table1[Leaving Date]="","",IF(Table1[Date of Initial Assessment]="","",IF(AND(Table1[Leaving Date]&gt;42094,Table1[Leaving Date]&lt;42461),IF(Table1[Date of Last Assessment]="",Table1[Meaningful Use of Time],Table1[Meaningful Use of Time2]),"")))</f>
        <v/>
      </c>
      <c r="FS227" s="44" t="str">
        <f>IF(Table1[Leaving Date]="","",IF(Table1[Date of Initial Assessment]="","",IF(AND(Table1[Leaving Date]&gt;42094,Table1[Leaving Date]&lt;42461),IF(Table1[Date of Last Assessment]="",Table1[Managing Tenancy and Accommodation],Table1[Managing Tenancy and Accommodation2]),"")))</f>
        <v/>
      </c>
      <c r="FT227" s="44" t="str">
        <f>IF(Table1[Leaving Date]="","",IF(Table1[Date of Initial Assessment]="","",IF(AND(Table1[Leaving Date]&gt;42094,Table1[Leaving Date]&lt;42461),IF(Table1[Date of Last Assessment]="",Table1[Offending],Table1[Offending2]),"")))</f>
        <v/>
      </c>
      <c r="FU227" s="44" t="str">
        <f>IF(Table1[Date of Initial Assessment]="","",IF(AND(Table1[Start Date]&gt;42460,Table1[Start Date]&lt;42826),Table1[Motivation and Taking Responsibility],""))</f>
        <v/>
      </c>
      <c r="FV227" s="44" t="str">
        <f>IF(Table1[Date of Initial Assessment]="","",IF(AND(Table1[Start Date]&gt;42460,Table1[Start Date]&lt;42826),Table1[Self-Care and Living Skills],""))</f>
        <v/>
      </c>
      <c r="FW227" s="44" t="str">
        <f>IF(Table1[Date of Initial Assessment]="","",IF(AND(Table1[Start Date]&gt;42460,Table1[Start Date]&lt;42826),Table1[Managing Money and Personal Administration],""))</f>
        <v/>
      </c>
      <c r="FX227" s="44" t="str">
        <f>IF(Table1[Date of Initial Assessment]="","",IF(AND(Table1[Start Date]&gt;42460,Table1[Start Date]&lt;42826),Table1[Social Networks and Relationships],""))</f>
        <v/>
      </c>
      <c r="FY227" s="44" t="str">
        <f>IF(Table1[Date of Initial Assessment]="","",IF(AND(Table1[Start Date]&gt;42460,Table1[Start Date]&lt;42826),Table1[Drug and Alcohol Misuse],""))</f>
        <v/>
      </c>
      <c r="FZ227" s="44" t="str">
        <f>IF(Table1[Date of Initial Assessment]="","",IF(AND(Table1[Start Date]&gt;42460,Table1[Start Date]&lt;42826),Table1[Physical Health],""))</f>
        <v/>
      </c>
      <c r="GA227" s="44" t="str">
        <f>IF(Table1[Date of Initial Assessment]="","",IF(AND(Table1[Start Date]&gt;42460,Table1[Start Date]&lt;42826),Table1[Emotional and Mental Health],""))</f>
        <v/>
      </c>
      <c r="GB227" s="44" t="str">
        <f>IF(Table1[Date of Initial Assessment]="","",IF(AND(Table1[Start Date]&gt;42460,Table1[Start Date]&lt;42826),Table1[Meaningful Use of Time],""))</f>
        <v/>
      </c>
      <c r="GC227" s="44" t="str">
        <f>IF(Table1[Date of Initial Assessment]="","",IF(AND(Table1[Start Date]&gt;42460,Table1[Start Date]&lt;42826),Table1[Managing Tenancy and Accommodation],""))</f>
        <v/>
      </c>
      <c r="GD227" s="44" t="str">
        <f>IF(Table1[Date of Initial Assessment]="","",IF(AND(Table1[Start Date]&gt;42460,Table1[Start Date]&lt;42826),Table1[Offending],""))</f>
        <v/>
      </c>
      <c r="GE227" s="44" t="str">
        <f>IF(Table1[Leaving Date]="","",IF(AND(Table1[Leaving Date]&gt;42460,Table1[Leaving Date]&lt;42826),IF(Table1[Date of Last Assessment]="",Table1[Motivation and Taking Responsibility],Table1[Motivation and Taking Responsibility2]),""))</f>
        <v/>
      </c>
      <c r="GF227" s="44" t="str">
        <f>IF(Table1[Leaving Date]="","",IF(AND(Table1[Leaving Date]&gt;42460,Table1[Leaving Date]&lt;42826),IF(Table1[Date of Last Assessment]="",Table1[Self-Care and Living Skills],Table1[Self-Care and Living Skills2]),""))</f>
        <v/>
      </c>
      <c r="GG227" s="44" t="str">
        <f>IF(Table1[Leaving Date]="","",IF(AND(Table1[Leaving Date]&gt;42460,Table1[Leaving Date]&lt;42826),IF(Table1[Date of Last Assessment]="",Table1[Managing Money and Personal Administration],Table1[Managing Money and Personal Administration2]),""))</f>
        <v/>
      </c>
      <c r="GH227" s="44" t="str">
        <f>IF(Table1[Leaving Date]="","",IF(AND(Table1[Leaving Date]&gt;42460,Table1[Leaving Date]&lt;42826),IF(Table1[Date of Last Assessment]="",Table1[Social Networks and Relationships],Table1[Social Networks and Relationships2]),""))</f>
        <v/>
      </c>
      <c r="GI227" s="44" t="str">
        <f>IF(Table1[Leaving Date]="","",IF(AND(Table1[Leaving Date]&gt;42460,Table1[Leaving Date]&lt;42826),IF(Table1[Date of Last Assessment]="",Table1[Drug and Alcohol Misuse],Table1[Drug and Alcohol Misuse2]),""))</f>
        <v/>
      </c>
      <c r="GJ227" s="44" t="str">
        <f>IF(Table1[Leaving Date]="","",IF(AND(Table1[Leaving Date]&gt;42460,Table1[Leaving Date]&lt;42826),IF(Table1[Date of Last Assessment]="",Table1[Physical Health],Table1[Physical Health2]),""))</f>
        <v/>
      </c>
      <c r="GK227" s="44" t="str">
        <f>IF(Table1[Leaving Date]="","",IF(AND(Table1[Leaving Date]&gt;42460,Table1[Leaving Date]&lt;42826),IF(Table1[Date of Last Assessment]="",Table1[Emotional and Mental Health],Table1[Emotional and Mental Health2]),""))</f>
        <v/>
      </c>
      <c r="GL227" s="44" t="str">
        <f>IF(Table1[Leaving Date]="","",IF(AND(Table1[Leaving Date]&gt;42460,Table1[Leaving Date]&lt;42826),IF(Table1[Date of Last Assessment]="",Table1[Meaningful Use of Time],Table1[Meaningful Use of Time2]),""))</f>
        <v/>
      </c>
      <c r="GM227" s="44" t="str">
        <f>IF(Table1[Leaving Date]="","",IF(AND(Table1[Leaving Date]&gt;42460,Table1[Leaving Date]&lt;42826),IF(Table1[Date of Last Assessment]="",Table1[Managing Tenancy and Accommodation],Table1[Managing Tenancy and Accommodation2]),""))</f>
        <v/>
      </c>
      <c r="GN227" s="44" t="str">
        <f>IF(Table1[Leaving Date]="","",IF(AND(Table1[Leaving Date]&gt;42460,Table1[Leaving Date]&lt;42826),IF(Table1[Date of Last Assessment]="",Table1[Offending],Table1[Offending2]),""))</f>
        <v/>
      </c>
    </row>
    <row r="228" spans="2:196" ht="20.100000000000001" customHeight="1" x14ac:dyDescent="0.2">
      <c r="B228" s="86">
        <f>+'Service Data'!$C$5:$C$5</f>
        <v>0</v>
      </c>
      <c r="C228" s="86"/>
      <c r="D228" s="86"/>
      <c r="E228" s="86"/>
      <c r="F228" s="86"/>
      <c r="G228" s="86"/>
      <c r="H228" s="6"/>
      <c r="I228" s="99" t="str">
        <f ca="1">IF(Table1[[#This Row],[Date of Birth]]="","",SUM(TODAY()-Table1[[#This Row],[Date of Birth]])/365)</f>
        <v/>
      </c>
      <c r="L228" s="86"/>
      <c r="M228" s="77"/>
      <c r="N228" s="86"/>
      <c r="O228" s="86"/>
      <c r="P228" s="91"/>
      <c r="Q228" s="86"/>
      <c r="R228" s="77"/>
      <c r="S228" s="77"/>
      <c r="T228" s="68"/>
      <c r="U228" s="68"/>
      <c r="V228" s="67"/>
      <c r="W228" s="67"/>
      <c r="X228" s="67"/>
      <c r="Y228" s="67"/>
      <c r="Z228" s="67"/>
      <c r="AA228" s="67"/>
      <c r="AB228" s="67"/>
      <c r="AC228" s="67"/>
      <c r="AD228" s="67"/>
      <c r="AE228" s="67"/>
      <c r="AF228" s="67"/>
      <c r="AG228" s="67"/>
      <c r="AH228" s="67"/>
      <c r="AI228" s="67"/>
      <c r="AJ228" s="67"/>
      <c r="AK228" s="67"/>
      <c r="AL228" s="67"/>
      <c r="AM228" s="67"/>
      <c r="AN228" s="77"/>
      <c r="AO228" s="76"/>
      <c r="AP228" s="77"/>
      <c r="AQ228" s="76"/>
      <c r="AR228" s="76"/>
      <c r="AS228" s="76"/>
      <c r="AT228" s="76"/>
      <c r="AU228" s="76"/>
      <c r="AV228" s="77"/>
      <c r="AW228" s="76"/>
      <c r="AX228" s="77"/>
      <c r="AY228" s="76"/>
      <c r="AZ228" s="76"/>
      <c r="BA228" s="76"/>
      <c r="BB228" s="76"/>
      <c r="BC228" s="76"/>
      <c r="BD228" s="77"/>
      <c r="BE228" s="76"/>
      <c r="BF228" s="77"/>
      <c r="BG228" s="76"/>
      <c r="BH228" s="76"/>
      <c r="BI228" s="76"/>
      <c r="BJ228" s="76"/>
      <c r="BK228" s="76"/>
      <c r="BL228" s="77"/>
      <c r="BM228" s="76"/>
      <c r="BN228" s="77"/>
      <c r="BO228" s="76"/>
      <c r="BP228" s="76"/>
      <c r="BQ228" s="76"/>
      <c r="BR228" s="76"/>
      <c r="BS228" s="76"/>
      <c r="BT228" s="77"/>
      <c r="BU228" s="76"/>
      <c r="BV228" s="77"/>
      <c r="BW228" s="76"/>
      <c r="BX228" s="76"/>
      <c r="BY228" s="76"/>
      <c r="BZ228" s="76"/>
      <c r="CA228" s="76"/>
      <c r="CB228" s="77"/>
      <c r="CC228" s="76"/>
      <c r="CD228" s="77"/>
      <c r="CE228" s="76"/>
      <c r="CF228" s="76"/>
      <c r="CG228" s="76"/>
      <c r="CH228" s="76"/>
      <c r="CI228" s="76"/>
      <c r="CJ228" s="77"/>
      <c r="CK228" s="76"/>
      <c r="CL228" s="77"/>
      <c r="CM228" s="76"/>
      <c r="CN228" s="76"/>
      <c r="CO228" s="76"/>
      <c r="CP228" s="76"/>
      <c r="CQ228" s="76"/>
      <c r="CR228" s="78" t="str">
        <f t="shared" si="63"/>
        <v/>
      </c>
      <c r="CS228" s="79" t="str">
        <f t="shared" si="64"/>
        <v/>
      </c>
      <c r="CT228" s="79" t="str">
        <f t="shared" si="65"/>
        <v/>
      </c>
      <c r="CU228" s="79" t="str">
        <f t="shared" si="66"/>
        <v/>
      </c>
      <c r="CV228" s="79" t="str">
        <f t="shared" si="67"/>
        <v/>
      </c>
      <c r="CW228" s="79" t="str">
        <f t="shared" si="68"/>
        <v/>
      </c>
      <c r="CX228" s="79" t="str">
        <f t="shared" si="69"/>
        <v/>
      </c>
      <c r="CY228" s="79" t="str">
        <f t="shared" si="70"/>
        <v/>
      </c>
      <c r="CZ228" s="79" t="str">
        <f t="shared" si="71"/>
        <v/>
      </c>
      <c r="DA228" s="79" t="str">
        <f t="shared" si="72"/>
        <v/>
      </c>
      <c r="DB228" s="79" t="str">
        <f t="shared" si="73"/>
        <v/>
      </c>
      <c r="DC228" s="79" t="str">
        <f t="shared" si="74"/>
        <v/>
      </c>
      <c r="DD228" s="79" t="str">
        <f t="shared" si="75"/>
        <v/>
      </c>
      <c r="DE228" s="79" t="str">
        <f t="shared" si="76"/>
        <v/>
      </c>
      <c r="DF228" s="79" t="str">
        <f t="shared" si="77"/>
        <v/>
      </c>
      <c r="DG228" s="79" t="str">
        <f t="shared" si="78"/>
        <v/>
      </c>
      <c r="DH228" s="76"/>
      <c r="DI228" s="78"/>
      <c r="DJ228" s="76"/>
      <c r="DK228" s="77"/>
      <c r="DL228" s="77"/>
      <c r="DM228" s="77"/>
      <c r="DN228" s="80"/>
      <c r="DO228" s="80"/>
      <c r="DP228" s="92" t="str">
        <f>IF(Table1[Start Date]="","",IF(Table1[Start Date]&gt;42185,"",IF(AND(Table1[Leaving Date]&gt;1,Table1[Leaving Date]&lt;42095),"",1)))</f>
        <v/>
      </c>
      <c r="DQ228" s="92" t="str">
        <f>IF(Table1[Start Date]="","",IF(Table1[Start Date]&gt;42277,"",IF(AND(Table1[Leaving Date]&gt;1,Table1[Leaving Date]&lt;42186),"",1)))</f>
        <v/>
      </c>
      <c r="DR228" s="92" t="str">
        <f>IF(Table1[Start Date]="","",IF(Table1[Start Date]&gt;42369,"",IF(AND(Table1[Leaving Date]&gt;1,Table1[Leaving Date]&lt;42278),"",1)))</f>
        <v/>
      </c>
      <c r="DS228" s="92" t="str">
        <f>IF(Table1[Start Date]="","",IF(Table1[Start Date]&gt;42460,"",IF(AND(Table1[Leaving Date]&gt;1,Table1[Leaving Date]&lt;42370),"",1)))</f>
        <v/>
      </c>
      <c r="DT228" s="92" t="str">
        <f>IF(Table1[Start Date]="","",IF(Table1[Start Date]&gt;42551,"",IF(AND(Table1[Leaving Date]&gt;1,Table1[Leaving Date]&lt;42461),"",1)))</f>
        <v/>
      </c>
      <c r="DU228" s="92" t="str">
        <f>IF(Table1[Start Date]="","",IF(Table1[Start Date]&gt;42643,"",IF(AND(Table1[Leaving Date]&gt;1,Table1[Leaving Date]&lt;42552),"",1)))</f>
        <v/>
      </c>
      <c r="DV228" s="92" t="str">
        <f>IF(Table1[Start Date]="","",IF(Table1[Start Date]&gt;42735,"",IF(AND(Table1[Leaving Date]&gt;1,Table1[Leaving Date]&lt;42644),"",1)))</f>
        <v/>
      </c>
      <c r="DW228" s="92" t="str">
        <f>IF(Table1[Start Date]="","",IF(Table1[Start Date]&gt;42825,"",IF(AND(Table1[Leaving Date]&gt;1,Table1[Leaving Date]&lt;42736),"",1)))</f>
        <v/>
      </c>
      <c r="DX228"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228" s="44" t="e">
        <f>VLOOKUP(Table1[Referral Source],Lists!$G$2:$H$20,2,FALSE)</f>
        <v>#N/A</v>
      </c>
      <c r="DZ228" s="93" t="e">
        <f>SUM(Table1[Data Referral Quarter]+Table1[Data Referral Source])</f>
        <v>#N/A</v>
      </c>
      <c r="EA228" s="44" t="b">
        <f>IF(Table1[Referral Decision]="Accepted",100,IF(Table1[Referral Decision]="Rejected by Provider",200,IF(Table1[Referral Decision]="Rejected by Applicant",300)))</f>
        <v>0</v>
      </c>
      <c r="EB228" s="44">
        <f>SUM(Table1[Data Referral Quarter]+Table1[Data Referral Decision])</f>
        <v>0</v>
      </c>
      <c r="EC228" s="44" t="b">
        <f>IF(Table1[Start Date]&gt;42735,8000,IF(Table1[Start Date]&gt;42643,7000,IF(Table1[Start Date]&gt;42551,6000,IF(Table1[Start Date]&gt;42460,5000,IF(Table1[Start Date]&gt;42369,4000,IF(Table1[Start Date]&gt;42277,3000,IF(Table1[Start Date]&gt;42185,2000,IF(Table1[Start Date]&gt;42094,1000))))))))</f>
        <v>0</v>
      </c>
      <c r="ED228" s="44" t="str">
        <f>IF(Table1[Start Date]="","",IF(Table1[Current Local Authority]="Swindon",1,"2"))</f>
        <v/>
      </c>
      <c r="EE228" s="44" t="e">
        <f>SUM(Table1[Data Start Date]+Table1[Data Local Authority])</f>
        <v>#VALUE!</v>
      </c>
      <c r="EF228" s="44">
        <f>IF(Table1[Registered with GP]="Yes",1,0)</f>
        <v>0</v>
      </c>
      <c r="EG228" s="44">
        <f>SUM(Table1[Data Start Date]+Table1[Data GP Start])</f>
        <v>0</v>
      </c>
      <c r="EH228" s="44" t="str">
        <f>IF(Table1[EET]="NEET",1,IF(Table1[EET]="Education",2,IF(Table1[EET]="Employment",2,IF(Table1[EET]="Training",2,IF(Table1[EET]="Retired",3,"")))))</f>
        <v/>
      </c>
      <c r="EI228" s="44" t="e">
        <f>Table1[Data Start Date]+Table1[Data EET Start]</f>
        <v>#VALUE!</v>
      </c>
      <c r="EJ228" s="44" t="b">
        <f>IF(Table1[Leaving Date]&gt;42735,8000,IF(Table1[Leaving Date]&gt;42643,7000,IF(Table1[Leaving Date]&gt;42551,6000,IF(Table1[Leaving Date]&gt;42460,5000,IF(Table1[Leaving Date]&gt;42369,4000,IF(Table1[Leaving Date]&gt;42277,3000,IF(Table1[Leaving Date]&gt;42185,2000,IF(Table1[Leaving Date]&gt;42094,1000))))))))</f>
        <v>0</v>
      </c>
      <c r="EK228" s="44" t="e">
        <f>VLOOKUP(Table1[Reason for Leaving],Lists!$T$2:$U$15,2,FALSE)</f>
        <v>#N/A</v>
      </c>
      <c r="EL228" s="44" t="e">
        <f>SUM(Table1[Data Leavers Date]+Table1[Data Move On])</f>
        <v>#N/A</v>
      </c>
      <c r="EM228" s="44" t="b">
        <f>IF(Table1[Registered with GP2]="Yes",1,IF(Table1[Registered with GP2]="No",0,IF(Table1[Registered with GP]="Yes",1,IF(Table1[Registered with GP]="No",0))))</f>
        <v>0</v>
      </c>
      <c r="EN228" s="44">
        <f>SUM(Table1[Data Leavers Date]+Table1[Data GP End])</f>
        <v>0</v>
      </c>
      <c r="EO228" s="44" t="str">
        <f>IF(Table1[EET2]="NEET",1,IF(Table1[EET2]="Employment",2,IF(Table1[EET2]="Education",2,IF(Table1[EET2]="Training",2,IF(Table1[EET2]="Retired",3,IF(Table1[EET]="NEET",1,IF(Table1[EET]="Employment",2,IF(Table1[EET]="Education",2,IF(Table1[EET]="Training",2,IF(Table1[EET]="Retired",3,""))))))))))</f>
        <v/>
      </c>
      <c r="EP228" s="44" t="e">
        <f>+Table1[[#This Row],[Data Leavers Date]]+Table1[[#This Row],[Data EET End]]</f>
        <v>#VALUE!</v>
      </c>
      <c r="EQ228" s="44">
        <f>IF(Table1[Exit Form Received]="Yes",1,0)</f>
        <v>0</v>
      </c>
      <c r="ER228" s="44">
        <f>+Table1[[#This Row],[Data Leavers Date]]+Table1[[#This Row],[Data Exit Forms]]</f>
        <v>0</v>
      </c>
      <c r="ES228" s="44" t="str">
        <f>IF(Table1[Data Leavers Date]=1000,SUM(Table1[Leaving Date]-Table1[Start Date]),"")</f>
        <v/>
      </c>
      <c r="ET228" s="44" t="str">
        <f>IF(Table1[Data Leavers Date]=2000,SUM(Table1[Leaving Date]-Table1[Start Date]),"")</f>
        <v/>
      </c>
      <c r="EU228" s="44" t="str">
        <f>IF(Table1[Data Leavers Date]=3000,SUM(Table1[Leaving Date]-Table1[Start Date]),"")</f>
        <v/>
      </c>
      <c r="EV228" s="44" t="str">
        <f>IF(Table1[Data Leavers Date]=4000,SUM(Table1[Leaving Date]-Table1[Start Date]),"")</f>
        <v/>
      </c>
      <c r="EW228" s="44" t="str">
        <f>IF(Table1[Data Leavers Date]=5000,SUM(Table1[Leaving Date]-Table1[Start Date]),"")</f>
        <v/>
      </c>
      <c r="EX228" s="44" t="str">
        <f>IF(Table1[Data Leavers Date]=6000,SUM(Table1[Leaving Date]-Table1[Start Date]),"")</f>
        <v/>
      </c>
      <c r="EY228" s="44" t="str">
        <f>IF(Table1[Data Leavers Date]=7000,SUM(Table1[Leaving Date]-Table1[Start Date]),"")</f>
        <v/>
      </c>
      <c r="EZ228" s="44" t="str">
        <f>IF(Table1[Data Leavers Date]=8000,SUM(Table1[Leaving Date]-Table1[Start Date]),"")</f>
        <v/>
      </c>
      <c r="FA228" s="44" t="str">
        <f>IF(Table1[Date of Initial Assessment]="","",IF(AND(Table1[Start Date]&gt;42094,Table1[Start Date]&lt;42461),Table1[Motivation and Taking Responsibility],""))</f>
        <v/>
      </c>
      <c r="FB228" s="44" t="str">
        <f>IF(Table1[Date of Initial Assessment]="","",IF(AND(Table1[Start Date]&gt;42094,Table1[Start Date]&lt;42461),Table1[Self-Care and Living Skills],""))</f>
        <v/>
      </c>
      <c r="FC228" s="44" t="str">
        <f>IF(Table1[Date of Initial Assessment]="","",IF(AND(Table1[Start Date]&gt;42094,Table1[Start Date]&lt;42461),Table1[Managing Money and Personal Administration],""))</f>
        <v/>
      </c>
      <c r="FD228" s="44" t="str">
        <f>IF(Table1[Date of Initial Assessment]="","",IF(AND(Table1[Start Date]&gt;42094,Table1[Start Date]&lt;42461),Table1[Social Networks and Relationships],""))</f>
        <v/>
      </c>
      <c r="FE228" s="44" t="str">
        <f>IF(Table1[Date of Initial Assessment]="","",IF(AND(Table1[Start Date]&gt;42094,Table1[Start Date]&lt;42461),Table1[Drug and Alcohol Misuse],""))</f>
        <v/>
      </c>
      <c r="FF228" s="44" t="str">
        <f>IF(Table1[Date of Initial Assessment]="","",IF(AND(Table1[Start Date]&gt;42094,Table1[Start Date]&lt;42461),Table1[Physical Health],""))</f>
        <v/>
      </c>
      <c r="FG228" s="44" t="str">
        <f>IF(Table1[Date of Initial Assessment]="","",IF(AND(Table1[Start Date]&gt;42094,Table1[Start Date]&lt;42461),Table1[Emotional and Mental Health],""))</f>
        <v/>
      </c>
      <c r="FH228" s="44" t="str">
        <f>IF(Table1[Date of Initial Assessment]="","",IF(AND(Table1[Start Date]&gt;42094,Table1[Start Date]&lt;42461),Table1[Meaningful Use of Time],""))</f>
        <v/>
      </c>
      <c r="FI228" s="44" t="str">
        <f>IF(Table1[Date of Initial Assessment]="","",IF(AND(Table1[Start Date]&gt;42094,Table1[Start Date]&lt;42461),Table1[Managing Tenancy and Accommodation],""))</f>
        <v/>
      </c>
      <c r="FJ228" s="44" t="str">
        <f>IF(Table1[Date of Initial Assessment]="","",IF(AND(Table1[Start Date]&gt;42094,Table1[Start Date]&lt;42461),Table1[Offending],""))</f>
        <v/>
      </c>
      <c r="FK228" s="44" t="str">
        <f>IF(Table1[Leaving Date]="","",IF(Table1[Date of Initial Assessment]="","",IF(AND(Table1[Leaving Date]&gt;42094,Table1[Leaving Date]&lt;42461),IF(Table1[Date of Last Assessment]="",Table1[Motivation and Taking Responsibility],Table1[Motivation and Taking Responsibility2]),"")))</f>
        <v/>
      </c>
      <c r="FL228" s="44" t="str">
        <f>IF(Table1[Leaving Date]="","",IF(Table1[Date of Initial Assessment]="","",IF(AND(Table1[Leaving Date]&gt;42094,Table1[Leaving Date]&lt;42461),IF(Table1[Date of Last Assessment]="",Table1[Self-Care and Living Skills],Table1[Self-Care and Living Skills2]),"")))</f>
        <v/>
      </c>
      <c r="FM228" s="44" t="str">
        <f>IF(Table1[Leaving Date]="","",IF(Table1[Date of Initial Assessment]="","",IF(AND(Table1[Leaving Date]&gt;42094,Table1[Leaving Date]&lt;42461),IF(Table1[Date of Last Assessment]="",Table1[Managing Money and Personal Administration],Table1[Managing Money and Personal Administration2]),"")))</f>
        <v/>
      </c>
      <c r="FN228" s="44" t="str">
        <f>IF(Table1[Leaving Date]="","",IF(Table1[Date of Initial Assessment]="","",IF(AND(Table1[Leaving Date]&gt;42094,Table1[Leaving Date]&lt;42461),IF(Table1[Date of Last Assessment]="",Table1[Social Networks and Relationships],Table1[Social Networks and Relationships2]),"")))</f>
        <v/>
      </c>
      <c r="FO228" s="44" t="str">
        <f>IF(Table1[Leaving Date]="","",IF(Table1[Date of Initial Assessment]="","",IF(AND(Table1[Leaving Date]&gt;42094,Table1[Leaving Date]&lt;42461),IF(Table1[Date of Last Assessment]="",Table1[Drug and Alcohol Misuse],Table1[Drug and Alcohol Misuse2]),"")))</f>
        <v/>
      </c>
      <c r="FP228" s="44" t="str">
        <f>IF(Table1[Leaving Date]="","",IF(Table1[Date of Initial Assessment]="","",IF(AND(Table1[Leaving Date]&gt;42094,Table1[Leaving Date]&lt;42461),IF(Table1[Date of Last Assessment]="",Table1[Physical Health],Table1[Physical Health2]),"")))</f>
        <v/>
      </c>
      <c r="FQ228" s="44" t="str">
        <f>IF(Table1[Leaving Date]="","",IF(Table1[Date of Initial Assessment]="","",IF(AND(Table1[Leaving Date]&gt;42094,Table1[Leaving Date]&lt;42461),IF(Table1[Date of Last Assessment]="",Table1[Emotional and Mental Health],Table1[Emotional and Mental Health2]),"")))</f>
        <v/>
      </c>
      <c r="FR228" s="44" t="str">
        <f>IF(Table1[Leaving Date]="","",IF(Table1[Date of Initial Assessment]="","",IF(AND(Table1[Leaving Date]&gt;42094,Table1[Leaving Date]&lt;42461),IF(Table1[Date of Last Assessment]="",Table1[Meaningful Use of Time],Table1[Meaningful Use of Time2]),"")))</f>
        <v/>
      </c>
      <c r="FS228" s="44" t="str">
        <f>IF(Table1[Leaving Date]="","",IF(Table1[Date of Initial Assessment]="","",IF(AND(Table1[Leaving Date]&gt;42094,Table1[Leaving Date]&lt;42461),IF(Table1[Date of Last Assessment]="",Table1[Managing Tenancy and Accommodation],Table1[Managing Tenancy and Accommodation2]),"")))</f>
        <v/>
      </c>
      <c r="FT228" s="44" t="str">
        <f>IF(Table1[Leaving Date]="","",IF(Table1[Date of Initial Assessment]="","",IF(AND(Table1[Leaving Date]&gt;42094,Table1[Leaving Date]&lt;42461),IF(Table1[Date of Last Assessment]="",Table1[Offending],Table1[Offending2]),"")))</f>
        <v/>
      </c>
      <c r="FU228" s="44" t="str">
        <f>IF(Table1[Date of Initial Assessment]="","",IF(AND(Table1[Start Date]&gt;42460,Table1[Start Date]&lt;42826),Table1[Motivation and Taking Responsibility],""))</f>
        <v/>
      </c>
      <c r="FV228" s="44" t="str">
        <f>IF(Table1[Date of Initial Assessment]="","",IF(AND(Table1[Start Date]&gt;42460,Table1[Start Date]&lt;42826),Table1[Self-Care and Living Skills],""))</f>
        <v/>
      </c>
      <c r="FW228" s="44" t="str">
        <f>IF(Table1[Date of Initial Assessment]="","",IF(AND(Table1[Start Date]&gt;42460,Table1[Start Date]&lt;42826),Table1[Managing Money and Personal Administration],""))</f>
        <v/>
      </c>
      <c r="FX228" s="44" t="str">
        <f>IF(Table1[Date of Initial Assessment]="","",IF(AND(Table1[Start Date]&gt;42460,Table1[Start Date]&lt;42826),Table1[Social Networks and Relationships],""))</f>
        <v/>
      </c>
      <c r="FY228" s="44" t="str">
        <f>IF(Table1[Date of Initial Assessment]="","",IF(AND(Table1[Start Date]&gt;42460,Table1[Start Date]&lt;42826),Table1[Drug and Alcohol Misuse],""))</f>
        <v/>
      </c>
      <c r="FZ228" s="44" t="str">
        <f>IF(Table1[Date of Initial Assessment]="","",IF(AND(Table1[Start Date]&gt;42460,Table1[Start Date]&lt;42826),Table1[Physical Health],""))</f>
        <v/>
      </c>
      <c r="GA228" s="44" t="str">
        <f>IF(Table1[Date of Initial Assessment]="","",IF(AND(Table1[Start Date]&gt;42460,Table1[Start Date]&lt;42826),Table1[Emotional and Mental Health],""))</f>
        <v/>
      </c>
      <c r="GB228" s="44" t="str">
        <f>IF(Table1[Date of Initial Assessment]="","",IF(AND(Table1[Start Date]&gt;42460,Table1[Start Date]&lt;42826),Table1[Meaningful Use of Time],""))</f>
        <v/>
      </c>
      <c r="GC228" s="44" t="str">
        <f>IF(Table1[Date of Initial Assessment]="","",IF(AND(Table1[Start Date]&gt;42460,Table1[Start Date]&lt;42826),Table1[Managing Tenancy and Accommodation],""))</f>
        <v/>
      </c>
      <c r="GD228" s="44" t="str">
        <f>IF(Table1[Date of Initial Assessment]="","",IF(AND(Table1[Start Date]&gt;42460,Table1[Start Date]&lt;42826),Table1[Offending],""))</f>
        <v/>
      </c>
      <c r="GE228" s="44" t="str">
        <f>IF(Table1[Leaving Date]="","",IF(AND(Table1[Leaving Date]&gt;42460,Table1[Leaving Date]&lt;42826),IF(Table1[Date of Last Assessment]="",Table1[Motivation and Taking Responsibility],Table1[Motivation and Taking Responsibility2]),""))</f>
        <v/>
      </c>
      <c r="GF228" s="44" t="str">
        <f>IF(Table1[Leaving Date]="","",IF(AND(Table1[Leaving Date]&gt;42460,Table1[Leaving Date]&lt;42826),IF(Table1[Date of Last Assessment]="",Table1[Self-Care and Living Skills],Table1[Self-Care and Living Skills2]),""))</f>
        <v/>
      </c>
      <c r="GG228" s="44" t="str">
        <f>IF(Table1[Leaving Date]="","",IF(AND(Table1[Leaving Date]&gt;42460,Table1[Leaving Date]&lt;42826),IF(Table1[Date of Last Assessment]="",Table1[Managing Money and Personal Administration],Table1[Managing Money and Personal Administration2]),""))</f>
        <v/>
      </c>
      <c r="GH228" s="44" t="str">
        <f>IF(Table1[Leaving Date]="","",IF(AND(Table1[Leaving Date]&gt;42460,Table1[Leaving Date]&lt;42826),IF(Table1[Date of Last Assessment]="",Table1[Social Networks and Relationships],Table1[Social Networks and Relationships2]),""))</f>
        <v/>
      </c>
      <c r="GI228" s="44" t="str">
        <f>IF(Table1[Leaving Date]="","",IF(AND(Table1[Leaving Date]&gt;42460,Table1[Leaving Date]&lt;42826),IF(Table1[Date of Last Assessment]="",Table1[Drug and Alcohol Misuse],Table1[Drug and Alcohol Misuse2]),""))</f>
        <v/>
      </c>
      <c r="GJ228" s="44" t="str">
        <f>IF(Table1[Leaving Date]="","",IF(AND(Table1[Leaving Date]&gt;42460,Table1[Leaving Date]&lt;42826),IF(Table1[Date of Last Assessment]="",Table1[Physical Health],Table1[Physical Health2]),""))</f>
        <v/>
      </c>
      <c r="GK228" s="44" t="str">
        <f>IF(Table1[Leaving Date]="","",IF(AND(Table1[Leaving Date]&gt;42460,Table1[Leaving Date]&lt;42826),IF(Table1[Date of Last Assessment]="",Table1[Emotional and Mental Health],Table1[Emotional and Mental Health2]),""))</f>
        <v/>
      </c>
      <c r="GL228" s="44" t="str">
        <f>IF(Table1[Leaving Date]="","",IF(AND(Table1[Leaving Date]&gt;42460,Table1[Leaving Date]&lt;42826),IF(Table1[Date of Last Assessment]="",Table1[Meaningful Use of Time],Table1[Meaningful Use of Time2]),""))</f>
        <v/>
      </c>
      <c r="GM228" s="44" t="str">
        <f>IF(Table1[Leaving Date]="","",IF(AND(Table1[Leaving Date]&gt;42460,Table1[Leaving Date]&lt;42826),IF(Table1[Date of Last Assessment]="",Table1[Managing Tenancy and Accommodation],Table1[Managing Tenancy and Accommodation2]),""))</f>
        <v/>
      </c>
      <c r="GN228" s="44" t="str">
        <f>IF(Table1[Leaving Date]="","",IF(AND(Table1[Leaving Date]&gt;42460,Table1[Leaving Date]&lt;42826),IF(Table1[Date of Last Assessment]="",Table1[Offending],Table1[Offending2]),""))</f>
        <v/>
      </c>
    </row>
    <row r="229" spans="2:196" ht="20.100000000000001" customHeight="1" x14ac:dyDescent="0.2">
      <c r="B229" s="86">
        <f>+'Service Data'!$C$5:$C$5</f>
        <v>0</v>
      </c>
      <c r="C229" s="86"/>
      <c r="D229" s="86"/>
      <c r="E229" s="86"/>
      <c r="F229" s="86"/>
      <c r="G229" s="86"/>
      <c r="H229" s="6"/>
      <c r="I229" s="99" t="str">
        <f ca="1">IF(Table1[[#This Row],[Date of Birth]]="","",SUM(TODAY()-Table1[[#This Row],[Date of Birth]])/365)</f>
        <v/>
      </c>
      <c r="L229" s="86"/>
      <c r="M229" s="77"/>
      <c r="N229" s="86"/>
      <c r="O229" s="86"/>
      <c r="P229" s="91"/>
      <c r="Q229" s="86"/>
      <c r="R229" s="77"/>
      <c r="S229" s="77"/>
      <c r="T229" s="68"/>
      <c r="U229" s="68"/>
      <c r="V229" s="67"/>
      <c r="W229" s="67"/>
      <c r="X229" s="67"/>
      <c r="Y229" s="67"/>
      <c r="Z229" s="67"/>
      <c r="AA229" s="67"/>
      <c r="AB229" s="67"/>
      <c r="AC229" s="67"/>
      <c r="AD229" s="67"/>
      <c r="AE229" s="67"/>
      <c r="AF229" s="67"/>
      <c r="AG229" s="67"/>
      <c r="AH229" s="67"/>
      <c r="AI229" s="67"/>
      <c r="AJ229" s="67"/>
      <c r="AK229" s="67"/>
      <c r="AL229" s="67"/>
      <c r="AM229" s="67"/>
      <c r="AN229" s="77"/>
      <c r="AO229" s="76"/>
      <c r="AP229" s="77"/>
      <c r="AQ229" s="76"/>
      <c r="AR229" s="76"/>
      <c r="AS229" s="76"/>
      <c r="AT229" s="76"/>
      <c r="AU229" s="76"/>
      <c r="AV229" s="77"/>
      <c r="AW229" s="76"/>
      <c r="AX229" s="77"/>
      <c r="AY229" s="76"/>
      <c r="AZ229" s="76"/>
      <c r="BA229" s="76"/>
      <c r="BB229" s="76"/>
      <c r="BC229" s="76"/>
      <c r="BD229" s="77"/>
      <c r="BE229" s="76"/>
      <c r="BF229" s="77"/>
      <c r="BG229" s="76"/>
      <c r="BH229" s="76"/>
      <c r="BI229" s="76"/>
      <c r="BJ229" s="76"/>
      <c r="BK229" s="76"/>
      <c r="BL229" s="77"/>
      <c r="BM229" s="76"/>
      <c r="BN229" s="77"/>
      <c r="BO229" s="76"/>
      <c r="BP229" s="76"/>
      <c r="BQ229" s="76"/>
      <c r="BR229" s="76"/>
      <c r="BS229" s="76"/>
      <c r="BT229" s="77"/>
      <c r="BU229" s="76"/>
      <c r="BV229" s="77"/>
      <c r="BW229" s="76"/>
      <c r="BX229" s="76"/>
      <c r="BY229" s="76"/>
      <c r="BZ229" s="76"/>
      <c r="CA229" s="76"/>
      <c r="CB229" s="77"/>
      <c r="CC229" s="76"/>
      <c r="CD229" s="77"/>
      <c r="CE229" s="76"/>
      <c r="CF229" s="76"/>
      <c r="CG229" s="76"/>
      <c r="CH229" s="76"/>
      <c r="CI229" s="76"/>
      <c r="CJ229" s="77"/>
      <c r="CK229" s="76"/>
      <c r="CL229" s="77"/>
      <c r="CM229" s="76"/>
      <c r="CN229" s="76"/>
      <c r="CO229" s="76"/>
      <c r="CP229" s="76"/>
      <c r="CQ229" s="76"/>
      <c r="CR229" s="78" t="str">
        <f t="shared" si="63"/>
        <v/>
      </c>
      <c r="CS229" s="79" t="str">
        <f t="shared" si="64"/>
        <v/>
      </c>
      <c r="CT229" s="79" t="str">
        <f t="shared" si="65"/>
        <v/>
      </c>
      <c r="CU229" s="79" t="str">
        <f t="shared" si="66"/>
        <v/>
      </c>
      <c r="CV229" s="79" t="str">
        <f t="shared" si="67"/>
        <v/>
      </c>
      <c r="CW229" s="79" t="str">
        <f t="shared" si="68"/>
        <v/>
      </c>
      <c r="CX229" s="79" t="str">
        <f t="shared" si="69"/>
        <v/>
      </c>
      <c r="CY229" s="79" t="str">
        <f t="shared" si="70"/>
        <v/>
      </c>
      <c r="CZ229" s="79" t="str">
        <f t="shared" si="71"/>
        <v/>
      </c>
      <c r="DA229" s="79" t="str">
        <f t="shared" si="72"/>
        <v/>
      </c>
      <c r="DB229" s="79" t="str">
        <f t="shared" si="73"/>
        <v/>
      </c>
      <c r="DC229" s="79" t="str">
        <f t="shared" si="74"/>
        <v/>
      </c>
      <c r="DD229" s="79" t="str">
        <f t="shared" si="75"/>
        <v/>
      </c>
      <c r="DE229" s="79" t="str">
        <f t="shared" si="76"/>
        <v/>
      </c>
      <c r="DF229" s="79" t="str">
        <f t="shared" si="77"/>
        <v/>
      </c>
      <c r="DG229" s="79" t="str">
        <f t="shared" si="78"/>
        <v/>
      </c>
      <c r="DH229" s="76"/>
      <c r="DI229" s="78"/>
      <c r="DJ229" s="76"/>
      <c r="DK229" s="77"/>
      <c r="DL229" s="77"/>
      <c r="DM229" s="77"/>
      <c r="DN229" s="80"/>
      <c r="DO229" s="80"/>
      <c r="DP229" s="92" t="str">
        <f>IF(Table1[Start Date]="","",IF(Table1[Start Date]&gt;42185,"",IF(AND(Table1[Leaving Date]&gt;1,Table1[Leaving Date]&lt;42095),"",1)))</f>
        <v/>
      </c>
      <c r="DQ229" s="92" t="str">
        <f>IF(Table1[Start Date]="","",IF(Table1[Start Date]&gt;42277,"",IF(AND(Table1[Leaving Date]&gt;1,Table1[Leaving Date]&lt;42186),"",1)))</f>
        <v/>
      </c>
      <c r="DR229" s="92" t="str">
        <f>IF(Table1[Start Date]="","",IF(Table1[Start Date]&gt;42369,"",IF(AND(Table1[Leaving Date]&gt;1,Table1[Leaving Date]&lt;42278),"",1)))</f>
        <v/>
      </c>
      <c r="DS229" s="92" t="str">
        <f>IF(Table1[Start Date]="","",IF(Table1[Start Date]&gt;42460,"",IF(AND(Table1[Leaving Date]&gt;1,Table1[Leaving Date]&lt;42370),"",1)))</f>
        <v/>
      </c>
      <c r="DT229" s="92" t="str">
        <f>IF(Table1[Start Date]="","",IF(Table1[Start Date]&gt;42551,"",IF(AND(Table1[Leaving Date]&gt;1,Table1[Leaving Date]&lt;42461),"",1)))</f>
        <v/>
      </c>
      <c r="DU229" s="92" t="str">
        <f>IF(Table1[Start Date]="","",IF(Table1[Start Date]&gt;42643,"",IF(AND(Table1[Leaving Date]&gt;1,Table1[Leaving Date]&lt;42552),"",1)))</f>
        <v/>
      </c>
      <c r="DV229" s="92" t="str">
        <f>IF(Table1[Start Date]="","",IF(Table1[Start Date]&gt;42735,"",IF(AND(Table1[Leaving Date]&gt;1,Table1[Leaving Date]&lt;42644),"",1)))</f>
        <v/>
      </c>
      <c r="DW229" s="92" t="str">
        <f>IF(Table1[Start Date]="","",IF(Table1[Start Date]&gt;42825,"",IF(AND(Table1[Leaving Date]&gt;1,Table1[Leaving Date]&lt;42736),"",1)))</f>
        <v/>
      </c>
      <c r="DX229"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229" s="44" t="e">
        <f>VLOOKUP(Table1[Referral Source],Lists!$G$2:$H$20,2,FALSE)</f>
        <v>#N/A</v>
      </c>
      <c r="DZ229" s="93" t="e">
        <f>SUM(Table1[Data Referral Quarter]+Table1[Data Referral Source])</f>
        <v>#N/A</v>
      </c>
      <c r="EA229" s="44" t="b">
        <f>IF(Table1[Referral Decision]="Accepted",100,IF(Table1[Referral Decision]="Rejected by Provider",200,IF(Table1[Referral Decision]="Rejected by Applicant",300)))</f>
        <v>0</v>
      </c>
      <c r="EB229" s="44">
        <f>SUM(Table1[Data Referral Quarter]+Table1[Data Referral Decision])</f>
        <v>0</v>
      </c>
      <c r="EC229" s="44" t="b">
        <f>IF(Table1[Start Date]&gt;42735,8000,IF(Table1[Start Date]&gt;42643,7000,IF(Table1[Start Date]&gt;42551,6000,IF(Table1[Start Date]&gt;42460,5000,IF(Table1[Start Date]&gt;42369,4000,IF(Table1[Start Date]&gt;42277,3000,IF(Table1[Start Date]&gt;42185,2000,IF(Table1[Start Date]&gt;42094,1000))))))))</f>
        <v>0</v>
      </c>
      <c r="ED229" s="44" t="str">
        <f>IF(Table1[Start Date]="","",IF(Table1[Current Local Authority]="Swindon",1,"2"))</f>
        <v/>
      </c>
      <c r="EE229" s="44" t="e">
        <f>SUM(Table1[Data Start Date]+Table1[Data Local Authority])</f>
        <v>#VALUE!</v>
      </c>
      <c r="EF229" s="44">
        <f>IF(Table1[Registered with GP]="Yes",1,0)</f>
        <v>0</v>
      </c>
      <c r="EG229" s="44">
        <f>SUM(Table1[Data Start Date]+Table1[Data GP Start])</f>
        <v>0</v>
      </c>
      <c r="EH229" s="44" t="str">
        <f>IF(Table1[EET]="NEET",1,IF(Table1[EET]="Education",2,IF(Table1[EET]="Employment",2,IF(Table1[EET]="Training",2,IF(Table1[EET]="Retired",3,"")))))</f>
        <v/>
      </c>
      <c r="EI229" s="44" t="e">
        <f>Table1[Data Start Date]+Table1[Data EET Start]</f>
        <v>#VALUE!</v>
      </c>
      <c r="EJ229" s="44" t="b">
        <f>IF(Table1[Leaving Date]&gt;42735,8000,IF(Table1[Leaving Date]&gt;42643,7000,IF(Table1[Leaving Date]&gt;42551,6000,IF(Table1[Leaving Date]&gt;42460,5000,IF(Table1[Leaving Date]&gt;42369,4000,IF(Table1[Leaving Date]&gt;42277,3000,IF(Table1[Leaving Date]&gt;42185,2000,IF(Table1[Leaving Date]&gt;42094,1000))))))))</f>
        <v>0</v>
      </c>
      <c r="EK229" s="44" t="e">
        <f>VLOOKUP(Table1[Reason for Leaving],Lists!$T$2:$U$15,2,FALSE)</f>
        <v>#N/A</v>
      </c>
      <c r="EL229" s="44" t="e">
        <f>SUM(Table1[Data Leavers Date]+Table1[Data Move On])</f>
        <v>#N/A</v>
      </c>
      <c r="EM229" s="44" t="b">
        <f>IF(Table1[Registered with GP2]="Yes",1,IF(Table1[Registered with GP2]="No",0,IF(Table1[Registered with GP]="Yes",1,IF(Table1[Registered with GP]="No",0))))</f>
        <v>0</v>
      </c>
      <c r="EN229" s="44">
        <f>SUM(Table1[Data Leavers Date]+Table1[Data GP End])</f>
        <v>0</v>
      </c>
      <c r="EO229" s="44" t="str">
        <f>IF(Table1[EET2]="NEET",1,IF(Table1[EET2]="Employment",2,IF(Table1[EET2]="Education",2,IF(Table1[EET2]="Training",2,IF(Table1[EET2]="Retired",3,IF(Table1[EET]="NEET",1,IF(Table1[EET]="Employment",2,IF(Table1[EET]="Education",2,IF(Table1[EET]="Training",2,IF(Table1[EET]="Retired",3,""))))))))))</f>
        <v/>
      </c>
      <c r="EP229" s="44" t="e">
        <f>+Table1[[#This Row],[Data Leavers Date]]+Table1[[#This Row],[Data EET End]]</f>
        <v>#VALUE!</v>
      </c>
      <c r="EQ229" s="44">
        <f>IF(Table1[Exit Form Received]="Yes",1,0)</f>
        <v>0</v>
      </c>
      <c r="ER229" s="44">
        <f>+Table1[[#This Row],[Data Leavers Date]]+Table1[[#This Row],[Data Exit Forms]]</f>
        <v>0</v>
      </c>
      <c r="ES229" s="44" t="str">
        <f>IF(Table1[Data Leavers Date]=1000,SUM(Table1[Leaving Date]-Table1[Start Date]),"")</f>
        <v/>
      </c>
      <c r="ET229" s="44" t="str">
        <f>IF(Table1[Data Leavers Date]=2000,SUM(Table1[Leaving Date]-Table1[Start Date]),"")</f>
        <v/>
      </c>
      <c r="EU229" s="44" t="str">
        <f>IF(Table1[Data Leavers Date]=3000,SUM(Table1[Leaving Date]-Table1[Start Date]),"")</f>
        <v/>
      </c>
      <c r="EV229" s="44" t="str">
        <f>IF(Table1[Data Leavers Date]=4000,SUM(Table1[Leaving Date]-Table1[Start Date]),"")</f>
        <v/>
      </c>
      <c r="EW229" s="44" t="str">
        <f>IF(Table1[Data Leavers Date]=5000,SUM(Table1[Leaving Date]-Table1[Start Date]),"")</f>
        <v/>
      </c>
      <c r="EX229" s="44" t="str">
        <f>IF(Table1[Data Leavers Date]=6000,SUM(Table1[Leaving Date]-Table1[Start Date]),"")</f>
        <v/>
      </c>
      <c r="EY229" s="44" t="str">
        <f>IF(Table1[Data Leavers Date]=7000,SUM(Table1[Leaving Date]-Table1[Start Date]),"")</f>
        <v/>
      </c>
      <c r="EZ229" s="44" t="str">
        <f>IF(Table1[Data Leavers Date]=8000,SUM(Table1[Leaving Date]-Table1[Start Date]),"")</f>
        <v/>
      </c>
      <c r="FA229" s="44" t="str">
        <f>IF(Table1[Date of Initial Assessment]="","",IF(AND(Table1[Start Date]&gt;42094,Table1[Start Date]&lt;42461),Table1[Motivation and Taking Responsibility],""))</f>
        <v/>
      </c>
      <c r="FB229" s="44" t="str">
        <f>IF(Table1[Date of Initial Assessment]="","",IF(AND(Table1[Start Date]&gt;42094,Table1[Start Date]&lt;42461),Table1[Self-Care and Living Skills],""))</f>
        <v/>
      </c>
      <c r="FC229" s="44" t="str">
        <f>IF(Table1[Date of Initial Assessment]="","",IF(AND(Table1[Start Date]&gt;42094,Table1[Start Date]&lt;42461),Table1[Managing Money and Personal Administration],""))</f>
        <v/>
      </c>
      <c r="FD229" s="44" t="str">
        <f>IF(Table1[Date of Initial Assessment]="","",IF(AND(Table1[Start Date]&gt;42094,Table1[Start Date]&lt;42461),Table1[Social Networks and Relationships],""))</f>
        <v/>
      </c>
      <c r="FE229" s="44" t="str">
        <f>IF(Table1[Date of Initial Assessment]="","",IF(AND(Table1[Start Date]&gt;42094,Table1[Start Date]&lt;42461),Table1[Drug and Alcohol Misuse],""))</f>
        <v/>
      </c>
      <c r="FF229" s="44" t="str">
        <f>IF(Table1[Date of Initial Assessment]="","",IF(AND(Table1[Start Date]&gt;42094,Table1[Start Date]&lt;42461),Table1[Physical Health],""))</f>
        <v/>
      </c>
      <c r="FG229" s="44" t="str">
        <f>IF(Table1[Date of Initial Assessment]="","",IF(AND(Table1[Start Date]&gt;42094,Table1[Start Date]&lt;42461),Table1[Emotional and Mental Health],""))</f>
        <v/>
      </c>
      <c r="FH229" s="44" t="str">
        <f>IF(Table1[Date of Initial Assessment]="","",IF(AND(Table1[Start Date]&gt;42094,Table1[Start Date]&lt;42461),Table1[Meaningful Use of Time],""))</f>
        <v/>
      </c>
      <c r="FI229" s="44" t="str">
        <f>IF(Table1[Date of Initial Assessment]="","",IF(AND(Table1[Start Date]&gt;42094,Table1[Start Date]&lt;42461),Table1[Managing Tenancy and Accommodation],""))</f>
        <v/>
      </c>
      <c r="FJ229" s="44" t="str">
        <f>IF(Table1[Date of Initial Assessment]="","",IF(AND(Table1[Start Date]&gt;42094,Table1[Start Date]&lt;42461),Table1[Offending],""))</f>
        <v/>
      </c>
      <c r="FK229" s="44" t="str">
        <f>IF(Table1[Leaving Date]="","",IF(Table1[Date of Initial Assessment]="","",IF(AND(Table1[Leaving Date]&gt;42094,Table1[Leaving Date]&lt;42461),IF(Table1[Date of Last Assessment]="",Table1[Motivation and Taking Responsibility],Table1[Motivation and Taking Responsibility2]),"")))</f>
        <v/>
      </c>
      <c r="FL229" s="44" t="str">
        <f>IF(Table1[Leaving Date]="","",IF(Table1[Date of Initial Assessment]="","",IF(AND(Table1[Leaving Date]&gt;42094,Table1[Leaving Date]&lt;42461),IF(Table1[Date of Last Assessment]="",Table1[Self-Care and Living Skills],Table1[Self-Care and Living Skills2]),"")))</f>
        <v/>
      </c>
      <c r="FM229" s="44" t="str">
        <f>IF(Table1[Leaving Date]="","",IF(Table1[Date of Initial Assessment]="","",IF(AND(Table1[Leaving Date]&gt;42094,Table1[Leaving Date]&lt;42461),IF(Table1[Date of Last Assessment]="",Table1[Managing Money and Personal Administration],Table1[Managing Money and Personal Administration2]),"")))</f>
        <v/>
      </c>
      <c r="FN229" s="44" t="str">
        <f>IF(Table1[Leaving Date]="","",IF(Table1[Date of Initial Assessment]="","",IF(AND(Table1[Leaving Date]&gt;42094,Table1[Leaving Date]&lt;42461),IF(Table1[Date of Last Assessment]="",Table1[Social Networks and Relationships],Table1[Social Networks and Relationships2]),"")))</f>
        <v/>
      </c>
      <c r="FO229" s="44" t="str">
        <f>IF(Table1[Leaving Date]="","",IF(Table1[Date of Initial Assessment]="","",IF(AND(Table1[Leaving Date]&gt;42094,Table1[Leaving Date]&lt;42461),IF(Table1[Date of Last Assessment]="",Table1[Drug and Alcohol Misuse],Table1[Drug and Alcohol Misuse2]),"")))</f>
        <v/>
      </c>
      <c r="FP229" s="44" t="str">
        <f>IF(Table1[Leaving Date]="","",IF(Table1[Date of Initial Assessment]="","",IF(AND(Table1[Leaving Date]&gt;42094,Table1[Leaving Date]&lt;42461),IF(Table1[Date of Last Assessment]="",Table1[Physical Health],Table1[Physical Health2]),"")))</f>
        <v/>
      </c>
      <c r="FQ229" s="44" t="str">
        <f>IF(Table1[Leaving Date]="","",IF(Table1[Date of Initial Assessment]="","",IF(AND(Table1[Leaving Date]&gt;42094,Table1[Leaving Date]&lt;42461),IF(Table1[Date of Last Assessment]="",Table1[Emotional and Mental Health],Table1[Emotional and Mental Health2]),"")))</f>
        <v/>
      </c>
      <c r="FR229" s="44" t="str">
        <f>IF(Table1[Leaving Date]="","",IF(Table1[Date of Initial Assessment]="","",IF(AND(Table1[Leaving Date]&gt;42094,Table1[Leaving Date]&lt;42461),IF(Table1[Date of Last Assessment]="",Table1[Meaningful Use of Time],Table1[Meaningful Use of Time2]),"")))</f>
        <v/>
      </c>
      <c r="FS229" s="44" t="str">
        <f>IF(Table1[Leaving Date]="","",IF(Table1[Date of Initial Assessment]="","",IF(AND(Table1[Leaving Date]&gt;42094,Table1[Leaving Date]&lt;42461),IF(Table1[Date of Last Assessment]="",Table1[Managing Tenancy and Accommodation],Table1[Managing Tenancy and Accommodation2]),"")))</f>
        <v/>
      </c>
      <c r="FT229" s="44" t="str">
        <f>IF(Table1[Leaving Date]="","",IF(Table1[Date of Initial Assessment]="","",IF(AND(Table1[Leaving Date]&gt;42094,Table1[Leaving Date]&lt;42461),IF(Table1[Date of Last Assessment]="",Table1[Offending],Table1[Offending2]),"")))</f>
        <v/>
      </c>
      <c r="FU229" s="44" t="str">
        <f>IF(Table1[Date of Initial Assessment]="","",IF(AND(Table1[Start Date]&gt;42460,Table1[Start Date]&lt;42826),Table1[Motivation and Taking Responsibility],""))</f>
        <v/>
      </c>
      <c r="FV229" s="44" t="str">
        <f>IF(Table1[Date of Initial Assessment]="","",IF(AND(Table1[Start Date]&gt;42460,Table1[Start Date]&lt;42826),Table1[Self-Care and Living Skills],""))</f>
        <v/>
      </c>
      <c r="FW229" s="44" t="str">
        <f>IF(Table1[Date of Initial Assessment]="","",IF(AND(Table1[Start Date]&gt;42460,Table1[Start Date]&lt;42826),Table1[Managing Money and Personal Administration],""))</f>
        <v/>
      </c>
      <c r="FX229" s="44" t="str">
        <f>IF(Table1[Date of Initial Assessment]="","",IF(AND(Table1[Start Date]&gt;42460,Table1[Start Date]&lt;42826),Table1[Social Networks and Relationships],""))</f>
        <v/>
      </c>
      <c r="FY229" s="44" t="str">
        <f>IF(Table1[Date of Initial Assessment]="","",IF(AND(Table1[Start Date]&gt;42460,Table1[Start Date]&lt;42826),Table1[Drug and Alcohol Misuse],""))</f>
        <v/>
      </c>
      <c r="FZ229" s="44" t="str">
        <f>IF(Table1[Date of Initial Assessment]="","",IF(AND(Table1[Start Date]&gt;42460,Table1[Start Date]&lt;42826),Table1[Physical Health],""))</f>
        <v/>
      </c>
      <c r="GA229" s="44" t="str">
        <f>IF(Table1[Date of Initial Assessment]="","",IF(AND(Table1[Start Date]&gt;42460,Table1[Start Date]&lt;42826),Table1[Emotional and Mental Health],""))</f>
        <v/>
      </c>
      <c r="GB229" s="44" t="str">
        <f>IF(Table1[Date of Initial Assessment]="","",IF(AND(Table1[Start Date]&gt;42460,Table1[Start Date]&lt;42826),Table1[Meaningful Use of Time],""))</f>
        <v/>
      </c>
      <c r="GC229" s="44" t="str">
        <f>IF(Table1[Date of Initial Assessment]="","",IF(AND(Table1[Start Date]&gt;42460,Table1[Start Date]&lt;42826),Table1[Managing Tenancy and Accommodation],""))</f>
        <v/>
      </c>
      <c r="GD229" s="44" t="str">
        <f>IF(Table1[Date of Initial Assessment]="","",IF(AND(Table1[Start Date]&gt;42460,Table1[Start Date]&lt;42826),Table1[Offending],""))</f>
        <v/>
      </c>
      <c r="GE229" s="44" t="str">
        <f>IF(Table1[Leaving Date]="","",IF(AND(Table1[Leaving Date]&gt;42460,Table1[Leaving Date]&lt;42826),IF(Table1[Date of Last Assessment]="",Table1[Motivation and Taking Responsibility],Table1[Motivation and Taking Responsibility2]),""))</f>
        <v/>
      </c>
      <c r="GF229" s="44" t="str">
        <f>IF(Table1[Leaving Date]="","",IF(AND(Table1[Leaving Date]&gt;42460,Table1[Leaving Date]&lt;42826),IF(Table1[Date of Last Assessment]="",Table1[Self-Care and Living Skills],Table1[Self-Care and Living Skills2]),""))</f>
        <v/>
      </c>
      <c r="GG229" s="44" t="str">
        <f>IF(Table1[Leaving Date]="","",IF(AND(Table1[Leaving Date]&gt;42460,Table1[Leaving Date]&lt;42826),IF(Table1[Date of Last Assessment]="",Table1[Managing Money and Personal Administration],Table1[Managing Money and Personal Administration2]),""))</f>
        <v/>
      </c>
      <c r="GH229" s="44" t="str">
        <f>IF(Table1[Leaving Date]="","",IF(AND(Table1[Leaving Date]&gt;42460,Table1[Leaving Date]&lt;42826),IF(Table1[Date of Last Assessment]="",Table1[Social Networks and Relationships],Table1[Social Networks and Relationships2]),""))</f>
        <v/>
      </c>
      <c r="GI229" s="44" t="str">
        <f>IF(Table1[Leaving Date]="","",IF(AND(Table1[Leaving Date]&gt;42460,Table1[Leaving Date]&lt;42826),IF(Table1[Date of Last Assessment]="",Table1[Drug and Alcohol Misuse],Table1[Drug and Alcohol Misuse2]),""))</f>
        <v/>
      </c>
      <c r="GJ229" s="44" t="str">
        <f>IF(Table1[Leaving Date]="","",IF(AND(Table1[Leaving Date]&gt;42460,Table1[Leaving Date]&lt;42826),IF(Table1[Date of Last Assessment]="",Table1[Physical Health],Table1[Physical Health2]),""))</f>
        <v/>
      </c>
      <c r="GK229" s="44" t="str">
        <f>IF(Table1[Leaving Date]="","",IF(AND(Table1[Leaving Date]&gt;42460,Table1[Leaving Date]&lt;42826),IF(Table1[Date of Last Assessment]="",Table1[Emotional and Mental Health],Table1[Emotional and Mental Health2]),""))</f>
        <v/>
      </c>
      <c r="GL229" s="44" t="str">
        <f>IF(Table1[Leaving Date]="","",IF(AND(Table1[Leaving Date]&gt;42460,Table1[Leaving Date]&lt;42826),IF(Table1[Date of Last Assessment]="",Table1[Meaningful Use of Time],Table1[Meaningful Use of Time2]),""))</f>
        <v/>
      </c>
      <c r="GM229" s="44" t="str">
        <f>IF(Table1[Leaving Date]="","",IF(AND(Table1[Leaving Date]&gt;42460,Table1[Leaving Date]&lt;42826),IF(Table1[Date of Last Assessment]="",Table1[Managing Tenancy and Accommodation],Table1[Managing Tenancy and Accommodation2]),""))</f>
        <v/>
      </c>
      <c r="GN229" s="44" t="str">
        <f>IF(Table1[Leaving Date]="","",IF(AND(Table1[Leaving Date]&gt;42460,Table1[Leaving Date]&lt;42826),IF(Table1[Date of Last Assessment]="",Table1[Offending],Table1[Offending2]),""))</f>
        <v/>
      </c>
    </row>
    <row r="230" spans="2:196" ht="20.100000000000001" customHeight="1" x14ac:dyDescent="0.2">
      <c r="B230" s="86">
        <f>+'Service Data'!$C$5:$C$5</f>
        <v>0</v>
      </c>
      <c r="C230" s="86"/>
      <c r="D230" s="86"/>
      <c r="E230" s="86"/>
      <c r="F230" s="86"/>
      <c r="G230" s="86"/>
      <c r="H230" s="6"/>
      <c r="I230" s="99" t="str">
        <f ca="1">IF(Table1[[#This Row],[Date of Birth]]="","",SUM(TODAY()-Table1[[#This Row],[Date of Birth]])/365)</f>
        <v/>
      </c>
      <c r="L230" s="86"/>
      <c r="M230" s="77"/>
      <c r="N230" s="86"/>
      <c r="O230" s="86"/>
      <c r="P230" s="91"/>
      <c r="Q230" s="86"/>
      <c r="R230" s="77"/>
      <c r="S230" s="77"/>
      <c r="T230" s="68"/>
      <c r="U230" s="68"/>
      <c r="V230" s="67"/>
      <c r="W230" s="67"/>
      <c r="X230" s="67"/>
      <c r="Y230" s="67"/>
      <c r="Z230" s="67"/>
      <c r="AA230" s="67"/>
      <c r="AB230" s="67"/>
      <c r="AC230" s="67"/>
      <c r="AD230" s="67"/>
      <c r="AE230" s="67"/>
      <c r="AF230" s="67"/>
      <c r="AG230" s="67"/>
      <c r="AH230" s="67"/>
      <c r="AI230" s="67"/>
      <c r="AJ230" s="67"/>
      <c r="AK230" s="67"/>
      <c r="AL230" s="67"/>
      <c r="AM230" s="67"/>
      <c r="AN230" s="77"/>
      <c r="AO230" s="76"/>
      <c r="AP230" s="77"/>
      <c r="AQ230" s="76"/>
      <c r="AR230" s="76"/>
      <c r="AS230" s="76"/>
      <c r="AT230" s="76"/>
      <c r="AU230" s="76"/>
      <c r="AV230" s="77"/>
      <c r="AW230" s="76"/>
      <c r="AX230" s="77"/>
      <c r="AY230" s="76"/>
      <c r="AZ230" s="76"/>
      <c r="BA230" s="76"/>
      <c r="BB230" s="76"/>
      <c r="BC230" s="76"/>
      <c r="BD230" s="77"/>
      <c r="BE230" s="76"/>
      <c r="BF230" s="77"/>
      <c r="BG230" s="76"/>
      <c r="BH230" s="76"/>
      <c r="BI230" s="76"/>
      <c r="BJ230" s="76"/>
      <c r="BK230" s="76"/>
      <c r="BL230" s="77"/>
      <c r="BM230" s="76"/>
      <c r="BN230" s="77"/>
      <c r="BO230" s="76"/>
      <c r="BP230" s="76"/>
      <c r="BQ230" s="76"/>
      <c r="BR230" s="76"/>
      <c r="BS230" s="76"/>
      <c r="BT230" s="77"/>
      <c r="BU230" s="76"/>
      <c r="BV230" s="77"/>
      <c r="BW230" s="76"/>
      <c r="BX230" s="76"/>
      <c r="BY230" s="76"/>
      <c r="BZ230" s="76"/>
      <c r="CA230" s="76"/>
      <c r="CB230" s="77"/>
      <c r="CC230" s="76"/>
      <c r="CD230" s="77"/>
      <c r="CE230" s="76"/>
      <c r="CF230" s="76"/>
      <c r="CG230" s="76"/>
      <c r="CH230" s="76"/>
      <c r="CI230" s="76"/>
      <c r="CJ230" s="77"/>
      <c r="CK230" s="76"/>
      <c r="CL230" s="77"/>
      <c r="CM230" s="76"/>
      <c r="CN230" s="76"/>
      <c r="CO230" s="76"/>
      <c r="CP230" s="76"/>
      <c r="CQ230" s="76"/>
      <c r="CR230" s="78" t="str">
        <f t="shared" si="63"/>
        <v/>
      </c>
      <c r="CS230" s="79" t="str">
        <f t="shared" si="64"/>
        <v/>
      </c>
      <c r="CT230" s="79" t="str">
        <f t="shared" si="65"/>
        <v/>
      </c>
      <c r="CU230" s="79" t="str">
        <f t="shared" si="66"/>
        <v/>
      </c>
      <c r="CV230" s="79" t="str">
        <f t="shared" si="67"/>
        <v/>
      </c>
      <c r="CW230" s="79" t="str">
        <f t="shared" si="68"/>
        <v/>
      </c>
      <c r="CX230" s="79" t="str">
        <f t="shared" si="69"/>
        <v/>
      </c>
      <c r="CY230" s="79" t="str">
        <f t="shared" si="70"/>
        <v/>
      </c>
      <c r="CZ230" s="79" t="str">
        <f t="shared" si="71"/>
        <v/>
      </c>
      <c r="DA230" s="79" t="str">
        <f t="shared" si="72"/>
        <v/>
      </c>
      <c r="DB230" s="79" t="str">
        <f t="shared" si="73"/>
        <v/>
      </c>
      <c r="DC230" s="79" t="str">
        <f t="shared" si="74"/>
        <v/>
      </c>
      <c r="DD230" s="79" t="str">
        <f t="shared" si="75"/>
        <v/>
      </c>
      <c r="DE230" s="79" t="str">
        <f t="shared" si="76"/>
        <v/>
      </c>
      <c r="DF230" s="79" t="str">
        <f t="shared" si="77"/>
        <v/>
      </c>
      <c r="DG230" s="79" t="str">
        <f t="shared" si="78"/>
        <v/>
      </c>
      <c r="DH230" s="76"/>
      <c r="DI230" s="78"/>
      <c r="DJ230" s="76"/>
      <c r="DK230" s="77"/>
      <c r="DL230" s="77"/>
      <c r="DM230" s="77"/>
      <c r="DN230" s="80"/>
      <c r="DO230" s="80"/>
      <c r="DP230" s="92" t="str">
        <f>IF(Table1[Start Date]="","",IF(Table1[Start Date]&gt;42185,"",IF(AND(Table1[Leaving Date]&gt;1,Table1[Leaving Date]&lt;42095),"",1)))</f>
        <v/>
      </c>
      <c r="DQ230" s="92" t="str">
        <f>IF(Table1[Start Date]="","",IF(Table1[Start Date]&gt;42277,"",IF(AND(Table1[Leaving Date]&gt;1,Table1[Leaving Date]&lt;42186),"",1)))</f>
        <v/>
      </c>
      <c r="DR230" s="92" t="str">
        <f>IF(Table1[Start Date]="","",IF(Table1[Start Date]&gt;42369,"",IF(AND(Table1[Leaving Date]&gt;1,Table1[Leaving Date]&lt;42278),"",1)))</f>
        <v/>
      </c>
      <c r="DS230" s="92" t="str">
        <f>IF(Table1[Start Date]="","",IF(Table1[Start Date]&gt;42460,"",IF(AND(Table1[Leaving Date]&gt;1,Table1[Leaving Date]&lt;42370),"",1)))</f>
        <v/>
      </c>
      <c r="DT230" s="92" t="str">
        <f>IF(Table1[Start Date]="","",IF(Table1[Start Date]&gt;42551,"",IF(AND(Table1[Leaving Date]&gt;1,Table1[Leaving Date]&lt;42461),"",1)))</f>
        <v/>
      </c>
      <c r="DU230" s="92" t="str">
        <f>IF(Table1[Start Date]="","",IF(Table1[Start Date]&gt;42643,"",IF(AND(Table1[Leaving Date]&gt;1,Table1[Leaving Date]&lt;42552),"",1)))</f>
        <v/>
      </c>
      <c r="DV230" s="92" t="str">
        <f>IF(Table1[Start Date]="","",IF(Table1[Start Date]&gt;42735,"",IF(AND(Table1[Leaving Date]&gt;1,Table1[Leaving Date]&lt;42644),"",1)))</f>
        <v/>
      </c>
      <c r="DW230" s="92" t="str">
        <f>IF(Table1[Start Date]="","",IF(Table1[Start Date]&gt;42825,"",IF(AND(Table1[Leaving Date]&gt;1,Table1[Leaving Date]&lt;42736),"",1)))</f>
        <v/>
      </c>
      <c r="DX230"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230" s="44" t="e">
        <f>VLOOKUP(Table1[Referral Source],Lists!$G$2:$H$20,2,FALSE)</f>
        <v>#N/A</v>
      </c>
      <c r="DZ230" s="93" t="e">
        <f>SUM(Table1[Data Referral Quarter]+Table1[Data Referral Source])</f>
        <v>#N/A</v>
      </c>
      <c r="EA230" s="44" t="b">
        <f>IF(Table1[Referral Decision]="Accepted",100,IF(Table1[Referral Decision]="Rejected by Provider",200,IF(Table1[Referral Decision]="Rejected by Applicant",300)))</f>
        <v>0</v>
      </c>
      <c r="EB230" s="44">
        <f>SUM(Table1[Data Referral Quarter]+Table1[Data Referral Decision])</f>
        <v>0</v>
      </c>
      <c r="EC230" s="44" t="b">
        <f>IF(Table1[Start Date]&gt;42735,8000,IF(Table1[Start Date]&gt;42643,7000,IF(Table1[Start Date]&gt;42551,6000,IF(Table1[Start Date]&gt;42460,5000,IF(Table1[Start Date]&gt;42369,4000,IF(Table1[Start Date]&gt;42277,3000,IF(Table1[Start Date]&gt;42185,2000,IF(Table1[Start Date]&gt;42094,1000))))))))</f>
        <v>0</v>
      </c>
      <c r="ED230" s="44" t="str">
        <f>IF(Table1[Start Date]="","",IF(Table1[Current Local Authority]="Swindon",1,"2"))</f>
        <v/>
      </c>
      <c r="EE230" s="44" t="e">
        <f>SUM(Table1[Data Start Date]+Table1[Data Local Authority])</f>
        <v>#VALUE!</v>
      </c>
      <c r="EF230" s="44">
        <f>IF(Table1[Registered with GP]="Yes",1,0)</f>
        <v>0</v>
      </c>
      <c r="EG230" s="44">
        <f>SUM(Table1[Data Start Date]+Table1[Data GP Start])</f>
        <v>0</v>
      </c>
      <c r="EH230" s="44" t="str">
        <f>IF(Table1[EET]="NEET",1,IF(Table1[EET]="Education",2,IF(Table1[EET]="Employment",2,IF(Table1[EET]="Training",2,IF(Table1[EET]="Retired",3,"")))))</f>
        <v/>
      </c>
      <c r="EI230" s="44" t="e">
        <f>Table1[Data Start Date]+Table1[Data EET Start]</f>
        <v>#VALUE!</v>
      </c>
      <c r="EJ230" s="44" t="b">
        <f>IF(Table1[Leaving Date]&gt;42735,8000,IF(Table1[Leaving Date]&gt;42643,7000,IF(Table1[Leaving Date]&gt;42551,6000,IF(Table1[Leaving Date]&gt;42460,5000,IF(Table1[Leaving Date]&gt;42369,4000,IF(Table1[Leaving Date]&gt;42277,3000,IF(Table1[Leaving Date]&gt;42185,2000,IF(Table1[Leaving Date]&gt;42094,1000))))))))</f>
        <v>0</v>
      </c>
      <c r="EK230" s="44" t="e">
        <f>VLOOKUP(Table1[Reason for Leaving],Lists!$T$2:$U$15,2,FALSE)</f>
        <v>#N/A</v>
      </c>
      <c r="EL230" s="44" t="e">
        <f>SUM(Table1[Data Leavers Date]+Table1[Data Move On])</f>
        <v>#N/A</v>
      </c>
      <c r="EM230" s="44" t="b">
        <f>IF(Table1[Registered with GP2]="Yes",1,IF(Table1[Registered with GP2]="No",0,IF(Table1[Registered with GP]="Yes",1,IF(Table1[Registered with GP]="No",0))))</f>
        <v>0</v>
      </c>
      <c r="EN230" s="44">
        <f>SUM(Table1[Data Leavers Date]+Table1[Data GP End])</f>
        <v>0</v>
      </c>
      <c r="EO230" s="44" t="str">
        <f>IF(Table1[EET2]="NEET",1,IF(Table1[EET2]="Employment",2,IF(Table1[EET2]="Education",2,IF(Table1[EET2]="Training",2,IF(Table1[EET2]="Retired",3,IF(Table1[EET]="NEET",1,IF(Table1[EET]="Employment",2,IF(Table1[EET]="Education",2,IF(Table1[EET]="Training",2,IF(Table1[EET]="Retired",3,""))))))))))</f>
        <v/>
      </c>
      <c r="EP230" s="44" t="e">
        <f>+Table1[[#This Row],[Data Leavers Date]]+Table1[[#This Row],[Data EET End]]</f>
        <v>#VALUE!</v>
      </c>
      <c r="EQ230" s="44">
        <f>IF(Table1[Exit Form Received]="Yes",1,0)</f>
        <v>0</v>
      </c>
      <c r="ER230" s="44">
        <f>+Table1[[#This Row],[Data Leavers Date]]+Table1[[#This Row],[Data Exit Forms]]</f>
        <v>0</v>
      </c>
      <c r="ES230" s="44" t="str">
        <f>IF(Table1[Data Leavers Date]=1000,SUM(Table1[Leaving Date]-Table1[Start Date]),"")</f>
        <v/>
      </c>
      <c r="ET230" s="44" t="str">
        <f>IF(Table1[Data Leavers Date]=2000,SUM(Table1[Leaving Date]-Table1[Start Date]),"")</f>
        <v/>
      </c>
      <c r="EU230" s="44" t="str">
        <f>IF(Table1[Data Leavers Date]=3000,SUM(Table1[Leaving Date]-Table1[Start Date]),"")</f>
        <v/>
      </c>
      <c r="EV230" s="44" t="str">
        <f>IF(Table1[Data Leavers Date]=4000,SUM(Table1[Leaving Date]-Table1[Start Date]),"")</f>
        <v/>
      </c>
      <c r="EW230" s="44" t="str">
        <f>IF(Table1[Data Leavers Date]=5000,SUM(Table1[Leaving Date]-Table1[Start Date]),"")</f>
        <v/>
      </c>
      <c r="EX230" s="44" t="str">
        <f>IF(Table1[Data Leavers Date]=6000,SUM(Table1[Leaving Date]-Table1[Start Date]),"")</f>
        <v/>
      </c>
      <c r="EY230" s="44" t="str">
        <f>IF(Table1[Data Leavers Date]=7000,SUM(Table1[Leaving Date]-Table1[Start Date]),"")</f>
        <v/>
      </c>
      <c r="EZ230" s="44" t="str">
        <f>IF(Table1[Data Leavers Date]=8000,SUM(Table1[Leaving Date]-Table1[Start Date]),"")</f>
        <v/>
      </c>
      <c r="FA230" s="44" t="str">
        <f>IF(Table1[Date of Initial Assessment]="","",IF(AND(Table1[Start Date]&gt;42094,Table1[Start Date]&lt;42461),Table1[Motivation and Taking Responsibility],""))</f>
        <v/>
      </c>
      <c r="FB230" s="44" t="str">
        <f>IF(Table1[Date of Initial Assessment]="","",IF(AND(Table1[Start Date]&gt;42094,Table1[Start Date]&lt;42461),Table1[Self-Care and Living Skills],""))</f>
        <v/>
      </c>
      <c r="FC230" s="44" t="str">
        <f>IF(Table1[Date of Initial Assessment]="","",IF(AND(Table1[Start Date]&gt;42094,Table1[Start Date]&lt;42461),Table1[Managing Money and Personal Administration],""))</f>
        <v/>
      </c>
      <c r="FD230" s="44" t="str">
        <f>IF(Table1[Date of Initial Assessment]="","",IF(AND(Table1[Start Date]&gt;42094,Table1[Start Date]&lt;42461),Table1[Social Networks and Relationships],""))</f>
        <v/>
      </c>
      <c r="FE230" s="44" t="str">
        <f>IF(Table1[Date of Initial Assessment]="","",IF(AND(Table1[Start Date]&gt;42094,Table1[Start Date]&lt;42461),Table1[Drug and Alcohol Misuse],""))</f>
        <v/>
      </c>
      <c r="FF230" s="44" t="str">
        <f>IF(Table1[Date of Initial Assessment]="","",IF(AND(Table1[Start Date]&gt;42094,Table1[Start Date]&lt;42461),Table1[Physical Health],""))</f>
        <v/>
      </c>
      <c r="FG230" s="44" t="str">
        <f>IF(Table1[Date of Initial Assessment]="","",IF(AND(Table1[Start Date]&gt;42094,Table1[Start Date]&lt;42461),Table1[Emotional and Mental Health],""))</f>
        <v/>
      </c>
      <c r="FH230" s="44" t="str">
        <f>IF(Table1[Date of Initial Assessment]="","",IF(AND(Table1[Start Date]&gt;42094,Table1[Start Date]&lt;42461),Table1[Meaningful Use of Time],""))</f>
        <v/>
      </c>
      <c r="FI230" s="44" t="str">
        <f>IF(Table1[Date of Initial Assessment]="","",IF(AND(Table1[Start Date]&gt;42094,Table1[Start Date]&lt;42461),Table1[Managing Tenancy and Accommodation],""))</f>
        <v/>
      </c>
      <c r="FJ230" s="44" t="str">
        <f>IF(Table1[Date of Initial Assessment]="","",IF(AND(Table1[Start Date]&gt;42094,Table1[Start Date]&lt;42461),Table1[Offending],""))</f>
        <v/>
      </c>
      <c r="FK230" s="44" t="str">
        <f>IF(Table1[Leaving Date]="","",IF(Table1[Date of Initial Assessment]="","",IF(AND(Table1[Leaving Date]&gt;42094,Table1[Leaving Date]&lt;42461),IF(Table1[Date of Last Assessment]="",Table1[Motivation and Taking Responsibility],Table1[Motivation and Taking Responsibility2]),"")))</f>
        <v/>
      </c>
      <c r="FL230" s="44" t="str">
        <f>IF(Table1[Leaving Date]="","",IF(Table1[Date of Initial Assessment]="","",IF(AND(Table1[Leaving Date]&gt;42094,Table1[Leaving Date]&lt;42461),IF(Table1[Date of Last Assessment]="",Table1[Self-Care and Living Skills],Table1[Self-Care and Living Skills2]),"")))</f>
        <v/>
      </c>
      <c r="FM230" s="44" t="str">
        <f>IF(Table1[Leaving Date]="","",IF(Table1[Date of Initial Assessment]="","",IF(AND(Table1[Leaving Date]&gt;42094,Table1[Leaving Date]&lt;42461),IF(Table1[Date of Last Assessment]="",Table1[Managing Money and Personal Administration],Table1[Managing Money and Personal Administration2]),"")))</f>
        <v/>
      </c>
      <c r="FN230" s="44" t="str">
        <f>IF(Table1[Leaving Date]="","",IF(Table1[Date of Initial Assessment]="","",IF(AND(Table1[Leaving Date]&gt;42094,Table1[Leaving Date]&lt;42461),IF(Table1[Date of Last Assessment]="",Table1[Social Networks and Relationships],Table1[Social Networks and Relationships2]),"")))</f>
        <v/>
      </c>
      <c r="FO230" s="44" t="str">
        <f>IF(Table1[Leaving Date]="","",IF(Table1[Date of Initial Assessment]="","",IF(AND(Table1[Leaving Date]&gt;42094,Table1[Leaving Date]&lt;42461),IF(Table1[Date of Last Assessment]="",Table1[Drug and Alcohol Misuse],Table1[Drug and Alcohol Misuse2]),"")))</f>
        <v/>
      </c>
      <c r="FP230" s="44" t="str">
        <f>IF(Table1[Leaving Date]="","",IF(Table1[Date of Initial Assessment]="","",IF(AND(Table1[Leaving Date]&gt;42094,Table1[Leaving Date]&lt;42461),IF(Table1[Date of Last Assessment]="",Table1[Physical Health],Table1[Physical Health2]),"")))</f>
        <v/>
      </c>
      <c r="FQ230" s="44" t="str">
        <f>IF(Table1[Leaving Date]="","",IF(Table1[Date of Initial Assessment]="","",IF(AND(Table1[Leaving Date]&gt;42094,Table1[Leaving Date]&lt;42461),IF(Table1[Date of Last Assessment]="",Table1[Emotional and Mental Health],Table1[Emotional and Mental Health2]),"")))</f>
        <v/>
      </c>
      <c r="FR230" s="44" t="str">
        <f>IF(Table1[Leaving Date]="","",IF(Table1[Date of Initial Assessment]="","",IF(AND(Table1[Leaving Date]&gt;42094,Table1[Leaving Date]&lt;42461),IF(Table1[Date of Last Assessment]="",Table1[Meaningful Use of Time],Table1[Meaningful Use of Time2]),"")))</f>
        <v/>
      </c>
      <c r="FS230" s="44" t="str">
        <f>IF(Table1[Leaving Date]="","",IF(Table1[Date of Initial Assessment]="","",IF(AND(Table1[Leaving Date]&gt;42094,Table1[Leaving Date]&lt;42461),IF(Table1[Date of Last Assessment]="",Table1[Managing Tenancy and Accommodation],Table1[Managing Tenancy and Accommodation2]),"")))</f>
        <v/>
      </c>
      <c r="FT230" s="44" t="str">
        <f>IF(Table1[Leaving Date]="","",IF(Table1[Date of Initial Assessment]="","",IF(AND(Table1[Leaving Date]&gt;42094,Table1[Leaving Date]&lt;42461),IF(Table1[Date of Last Assessment]="",Table1[Offending],Table1[Offending2]),"")))</f>
        <v/>
      </c>
      <c r="FU230" s="44" t="str">
        <f>IF(Table1[Date of Initial Assessment]="","",IF(AND(Table1[Start Date]&gt;42460,Table1[Start Date]&lt;42826),Table1[Motivation and Taking Responsibility],""))</f>
        <v/>
      </c>
      <c r="FV230" s="44" t="str">
        <f>IF(Table1[Date of Initial Assessment]="","",IF(AND(Table1[Start Date]&gt;42460,Table1[Start Date]&lt;42826),Table1[Self-Care and Living Skills],""))</f>
        <v/>
      </c>
      <c r="FW230" s="44" t="str">
        <f>IF(Table1[Date of Initial Assessment]="","",IF(AND(Table1[Start Date]&gt;42460,Table1[Start Date]&lt;42826),Table1[Managing Money and Personal Administration],""))</f>
        <v/>
      </c>
      <c r="FX230" s="44" t="str">
        <f>IF(Table1[Date of Initial Assessment]="","",IF(AND(Table1[Start Date]&gt;42460,Table1[Start Date]&lt;42826),Table1[Social Networks and Relationships],""))</f>
        <v/>
      </c>
      <c r="FY230" s="44" t="str">
        <f>IF(Table1[Date of Initial Assessment]="","",IF(AND(Table1[Start Date]&gt;42460,Table1[Start Date]&lt;42826),Table1[Drug and Alcohol Misuse],""))</f>
        <v/>
      </c>
      <c r="FZ230" s="44" t="str">
        <f>IF(Table1[Date of Initial Assessment]="","",IF(AND(Table1[Start Date]&gt;42460,Table1[Start Date]&lt;42826),Table1[Physical Health],""))</f>
        <v/>
      </c>
      <c r="GA230" s="44" t="str">
        <f>IF(Table1[Date of Initial Assessment]="","",IF(AND(Table1[Start Date]&gt;42460,Table1[Start Date]&lt;42826),Table1[Emotional and Mental Health],""))</f>
        <v/>
      </c>
      <c r="GB230" s="44" t="str">
        <f>IF(Table1[Date of Initial Assessment]="","",IF(AND(Table1[Start Date]&gt;42460,Table1[Start Date]&lt;42826),Table1[Meaningful Use of Time],""))</f>
        <v/>
      </c>
      <c r="GC230" s="44" t="str">
        <f>IF(Table1[Date of Initial Assessment]="","",IF(AND(Table1[Start Date]&gt;42460,Table1[Start Date]&lt;42826),Table1[Managing Tenancy and Accommodation],""))</f>
        <v/>
      </c>
      <c r="GD230" s="44" t="str">
        <f>IF(Table1[Date of Initial Assessment]="","",IF(AND(Table1[Start Date]&gt;42460,Table1[Start Date]&lt;42826),Table1[Offending],""))</f>
        <v/>
      </c>
      <c r="GE230" s="44" t="str">
        <f>IF(Table1[Leaving Date]="","",IF(AND(Table1[Leaving Date]&gt;42460,Table1[Leaving Date]&lt;42826),IF(Table1[Date of Last Assessment]="",Table1[Motivation and Taking Responsibility],Table1[Motivation and Taking Responsibility2]),""))</f>
        <v/>
      </c>
      <c r="GF230" s="44" t="str">
        <f>IF(Table1[Leaving Date]="","",IF(AND(Table1[Leaving Date]&gt;42460,Table1[Leaving Date]&lt;42826),IF(Table1[Date of Last Assessment]="",Table1[Self-Care and Living Skills],Table1[Self-Care and Living Skills2]),""))</f>
        <v/>
      </c>
      <c r="GG230" s="44" t="str">
        <f>IF(Table1[Leaving Date]="","",IF(AND(Table1[Leaving Date]&gt;42460,Table1[Leaving Date]&lt;42826),IF(Table1[Date of Last Assessment]="",Table1[Managing Money and Personal Administration],Table1[Managing Money and Personal Administration2]),""))</f>
        <v/>
      </c>
      <c r="GH230" s="44" t="str">
        <f>IF(Table1[Leaving Date]="","",IF(AND(Table1[Leaving Date]&gt;42460,Table1[Leaving Date]&lt;42826),IF(Table1[Date of Last Assessment]="",Table1[Social Networks and Relationships],Table1[Social Networks and Relationships2]),""))</f>
        <v/>
      </c>
      <c r="GI230" s="44" t="str">
        <f>IF(Table1[Leaving Date]="","",IF(AND(Table1[Leaving Date]&gt;42460,Table1[Leaving Date]&lt;42826),IF(Table1[Date of Last Assessment]="",Table1[Drug and Alcohol Misuse],Table1[Drug and Alcohol Misuse2]),""))</f>
        <v/>
      </c>
      <c r="GJ230" s="44" t="str">
        <f>IF(Table1[Leaving Date]="","",IF(AND(Table1[Leaving Date]&gt;42460,Table1[Leaving Date]&lt;42826),IF(Table1[Date of Last Assessment]="",Table1[Physical Health],Table1[Physical Health2]),""))</f>
        <v/>
      </c>
      <c r="GK230" s="44" t="str">
        <f>IF(Table1[Leaving Date]="","",IF(AND(Table1[Leaving Date]&gt;42460,Table1[Leaving Date]&lt;42826),IF(Table1[Date of Last Assessment]="",Table1[Emotional and Mental Health],Table1[Emotional and Mental Health2]),""))</f>
        <v/>
      </c>
      <c r="GL230" s="44" t="str">
        <f>IF(Table1[Leaving Date]="","",IF(AND(Table1[Leaving Date]&gt;42460,Table1[Leaving Date]&lt;42826),IF(Table1[Date of Last Assessment]="",Table1[Meaningful Use of Time],Table1[Meaningful Use of Time2]),""))</f>
        <v/>
      </c>
      <c r="GM230" s="44" t="str">
        <f>IF(Table1[Leaving Date]="","",IF(AND(Table1[Leaving Date]&gt;42460,Table1[Leaving Date]&lt;42826),IF(Table1[Date of Last Assessment]="",Table1[Managing Tenancy and Accommodation],Table1[Managing Tenancy and Accommodation2]),""))</f>
        <v/>
      </c>
      <c r="GN230" s="44" t="str">
        <f>IF(Table1[Leaving Date]="","",IF(AND(Table1[Leaving Date]&gt;42460,Table1[Leaving Date]&lt;42826),IF(Table1[Date of Last Assessment]="",Table1[Offending],Table1[Offending2]),""))</f>
        <v/>
      </c>
    </row>
    <row r="231" spans="2:196" ht="20.100000000000001" customHeight="1" x14ac:dyDescent="0.2">
      <c r="B231" s="86">
        <f>+'Service Data'!$C$5:$C$5</f>
        <v>0</v>
      </c>
      <c r="C231" s="86"/>
      <c r="D231" s="86"/>
      <c r="E231" s="86"/>
      <c r="F231" s="86"/>
      <c r="G231" s="86"/>
      <c r="H231" s="6"/>
      <c r="I231" s="99" t="str">
        <f ca="1">IF(Table1[[#This Row],[Date of Birth]]="","",SUM(TODAY()-Table1[[#This Row],[Date of Birth]])/365)</f>
        <v/>
      </c>
      <c r="L231" s="86"/>
      <c r="M231" s="77"/>
      <c r="N231" s="86"/>
      <c r="O231" s="86"/>
      <c r="P231" s="91"/>
      <c r="Q231" s="86"/>
      <c r="R231" s="77"/>
      <c r="S231" s="77"/>
      <c r="T231" s="68"/>
      <c r="U231" s="68"/>
      <c r="V231" s="67"/>
      <c r="W231" s="67"/>
      <c r="X231" s="67"/>
      <c r="Y231" s="67"/>
      <c r="Z231" s="67"/>
      <c r="AA231" s="67"/>
      <c r="AB231" s="67"/>
      <c r="AC231" s="67"/>
      <c r="AD231" s="67"/>
      <c r="AE231" s="67"/>
      <c r="AF231" s="67"/>
      <c r="AG231" s="67"/>
      <c r="AH231" s="67"/>
      <c r="AI231" s="67"/>
      <c r="AJ231" s="67"/>
      <c r="AK231" s="67"/>
      <c r="AL231" s="67"/>
      <c r="AM231" s="67"/>
      <c r="AN231" s="77"/>
      <c r="AO231" s="76"/>
      <c r="AP231" s="77"/>
      <c r="AQ231" s="76"/>
      <c r="AR231" s="76"/>
      <c r="AS231" s="76"/>
      <c r="AT231" s="76"/>
      <c r="AU231" s="76"/>
      <c r="AV231" s="77"/>
      <c r="AW231" s="76"/>
      <c r="AX231" s="77"/>
      <c r="AY231" s="76"/>
      <c r="AZ231" s="76"/>
      <c r="BA231" s="76"/>
      <c r="BB231" s="76"/>
      <c r="BC231" s="76"/>
      <c r="BD231" s="77"/>
      <c r="BE231" s="76"/>
      <c r="BF231" s="77"/>
      <c r="BG231" s="76"/>
      <c r="BH231" s="76"/>
      <c r="BI231" s="76"/>
      <c r="BJ231" s="76"/>
      <c r="BK231" s="76"/>
      <c r="BL231" s="77"/>
      <c r="BM231" s="76"/>
      <c r="BN231" s="77"/>
      <c r="BO231" s="76"/>
      <c r="BP231" s="76"/>
      <c r="BQ231" s="76"/>
      <c r="BR231" s="76"/>
      <c r="BS231" s="76"/>
      <c r="BT231" s="77"/>
      <c r="BU231" s="76"/>
      <c r="BV231" s="77"/>
      <c r="BW231" s="76"/>
      <c r="BX231" s="76"/>
      <c r="BY231" s="76"/>
      <c r="BZ231" s="76"/>
      <c r="CA231" s="76"/>
      <c r="CB231" s="77"/>
      <c r="CC231" s="76"/>
      <c r="CD231" s="77"/>
      <c r="CE231" s="76"/>
      <c r="CF231" s="76"/>
      <c r="CG231" s="76"/>
      <c r="CH231" s="76"/>
      <c r="CI231" s="76"/>
      <c r="CJ231" s="77"/>
      <c r="CK231" s="76"/>
      <c r="CL231" s="77"/>
      <c r="CM231" s="76"/>
      <c r="CN231" s="76"/>
      <c r="CO231" s="76"/>
      <c r="CP231" s="76"/>
      <c r="CQ231" s="76"/>
      <c r="CR231" s="78" t="str">
        <f t="shared" si="63"/>
        <v/>
      </c>
      <c r="CS231" s="79" t="str">
        <f t="shared" si="64"/>
        <v/>
      </c>
      <c r="CT231" s="79" t="str">
        <f t="shared" si="65"/>
        <v/>
      </c>
      <c r="CU231" s="79" t="str">
        <f t="shared" si="66"/>
        <v/>
      </c>
      <c r="CV231" s="79" t="str">
        <f t="shared" si="67"/>
        <v/>
      </c>
      <c r="CW231" s="79" t="str">
        <f t="shared" si="68"/>
        <v/>
      </c>
      <c r="CX231" s="79" t="str">
        <f t="shared" si="69"/>
        <v/>
      </c>
      <c r="CY231" s="79" t="str">
        <f t="shared" si="70"/>
        <v/>
      </c>
      <c r="CZ231" s="79" t="str">
        <f t="shared" si="71"/>
        <v/>
      </c>
      <c r="DA231" s="79" t="str">
        <f t="shared" si="72"/>
        <v/>
      </c>
      <c r="DB231" s="79" t="str">
        <f t="shared" si="73"/>
        <v/>
      </c>
      <c r="DC231" s="79" t="str">
        <f t="shared" si="74"/>
        <v/>
      </c>
      <c r="DD231" s="79" t="str">
        <f t="shared" si="75"/>
        <v/>
      </c>
      <c r="DE231" s="79" t="str">
        <f t="shared" si="76"/>
        <v/>
      </c>
      <c r="DF231" s="79" t="str">
        <f t="shared" si="77"/>
        <v/>
      </c>
      <c r="DG231" s="79" t="str">
        <f t="shared" si="78"/>
        <v/>
      </c>
      <c r="DH231" s="76"/>
      <c r="DI231" s="78"/>
      <c r="DJ231" s="76"/>
      <c r="DK231" s="77"/>
      <c r="DL231" s="77"/>
      <c r="DM231" s="77"/>
      <c r="DN231" s="80"/>
      <c r="DO231" s="80"/>
      <c r="DP231" s="92" t="str">
        <f>IF(Table1[Start Date]="","",IF(Table1[Start Date]&gt;42185,"",IF(AND(Table1[Leaving Date]&gt;1,Table1[Leaving Date]&lt;42095),"",1)))</f>
        <v/>
      </c>
      <c r="DQ231" s="92" t="str">
        <f>IF(Table1[Start Date]="","",IF(Table1[Start Date]&gt;42277,"",IF(AND(Table1[Leaving Date]&gt;1,Table1[Leaving Date]&lt;42186),"",1)))</f>
        <v/>
      </c>
      <c r="DR231" s="92" t="str">
        <f>IF(Table1[Start Date]="","",IF(Table1[Start Date]&gt;42369,"",IF(AND(Table1[Leaving Date]&gt;1,Table1[Leaving Date]&lt;42278),"",1)))</f>
        <v/>
      </c>
      <c r="DS231" s="92" t="str">
        <f>IF(Table1[Start Date]="","",IF(Table1[Start Date]&gt;42460,"",IF(AND(Table1[Leaving Date]&gt;1,Table1[Leaving Date]&lt;42370),"",1)))</f>
        <v/>
      </c>
      <c r="DT231" s="92" t="str">
        <f>IF(Table1[Start Date]="","",IF(Table1[Start Date]&gt;42551,"",IF(AND(Table1[Leaving Date]&gt;1,Table1[Leaving Date]&lt;42461),"",1)))</f>
        <v/>
      </c>
      <c r="DU231" s="92" t="str">
        <f>IF(Table1[Start Date]="","",IF(Table1[Start Date]&gt;42643,"",IF(AND(Table1[Leaving Date]&gt;1,Table1[Leaving Date]&lt;42552),"",1)))</f>
        <v/>
      </c>
      <c r="DV231" s="92" t="str">
        <f>IF(Table1[Start Date]="","",IF(Table1[Start Date]&gt;42735,"",IF(AND(Table1[Leaving Date]&gt;1,Table1[Leaving Date]&lt;42644),"",1)))</f>
        <v/>
      </c>
      <c r="DW231" s="92" t="str">
        <f>IF(Table1[Start Date]="","",IF(Table1[Start Date]&gt;42825,"",IF(AND(Table1[Leaving Date]&gt;1,Table1[Leaving Date]&lt;42736),"",1)))</f>
        <v/>
      </c>
      <c r="DX231"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231" s="44" t="e">
        <f>VLOOKUP(Table1[Referral Source],Lists!$G$2:$H$20,2,FALSE)</f>
        <v>#N/A</v>
      </c>
      <c r="DZ231" s="93" t="e">
        <f>SUM(Table1[Data Referral Quarter]+Table1[Data Referral Source])</f>
        <v>#N/A</v>
      </c>
      <c r="EA231" s="44" t="b">
        <f>IF(Table1[Referral Decision]="Accepted",100,IF(Table1[Referral Decision]="Rejected by Provider",200,IF(Table1[Referral Decision]="Rejected by Applicant",300)))</f>
        <v>0</v>
      </c>
      <c r="EB231" s="44">
        <f>SUM(Table1[Data Referral Quarter]+Table1[Data Referral Decision])</f>
        <v>0</v>
      </c>
      <c r="EC231" s="44" t="b">
        <f>IF(Table1[Start Date]&gt;42735,8000,IF(Table1[Start Date]&gt;42643,7000,IF(Table1[Start Date]&gt;42551,6000,IF(Table1[Start Date]&gt;42460,5000,IF(Table1[Start Date]&gt;42369,4000,IF(Table1[Start Date]&gt;42277,3000,IF(Table1[Start Date]&gt;42185,2000,IF(Table1[Start Date]&gt;42094,1000))))))))</f>
        <v>0</v>
      </c>
      <c r="ED231" s="44" t="str">
        <f>IF(Table1[Start Date]="","",IF(Table1[Current Local Authority]="Swindon",1,"2"))</f>
        <v/>
      </c>
      <c r="EE231" s="44" t="e">
        <f>SUM(Table1[Data Start Date]+Table1[Data Local Authority])</f>
        <v>#VALUE!</v>
      </c>
      <c r="EF231" s="44">
        <f>IF(Table1[Registered with GP]="Yes",1,0)</f>
        <v>0</v>
      </c>
      <c r="EG231" s="44">
        <f>SUM(Table1[Data Start Date]+Table1[Data GP Start])</f>
        <v>0</v>
      </c>
      <c r="EH231" s="44" t="str">
        <f>IF(Table1[EET]="NEET",1,IF(Table1[EET]="Education",2,IF(Table1[EET]="Employment",2,IF(Table1[EET]="Training",2,IF(Table1[EET]="Retired",3,"")))))</f>
        <v/>
      </c>
      <c r="EI231" s="44" t="e">
        <f>Table1[Data Start Date]+Table1[Data EET Start]</f>
        <v>#VALUE!</v>
      </c>
      <c r="EJ231" s="44" t="b">
        <f>IF(Table1[Leaving Date]&gt;42735,8000,IF(Table1[Leaving Date]&gt;42643,7000,IF(Table1[Leaving Date]&gt;42551,6000,IF(Table1[Leaving Date]&gt;42460,5000,IF(Table1[Leaving Date]&gt;42369,4000,IF(Table1[Leaving Date]&gt;42277,3000,IF(Table1[Leaving Date]&gt;42185,2000,IF(Table1[Leaving Date]&gt;42094,1000))))))))</f>
        <v>0</v>
      </c>
      <c r="EK231" s="44" t="e">
        <f>VLOOKUP(Table1[Reason for Leaving],Lists!$T$2:$U$15,2,FALSE)</f>
        <v>#N/A</v>
      </c>
      <c r="EL231" s="44" t="e">
        <f>SUM(Table1[Data Leavers Date]+Table1[Data Move On])</f>
        <v>#N/A</v>
      </c>
      <c r="EM231" s="44" t="b">
        <f>IF(Table1[Registered with GP2]="Yes",1,IF(Table1[Registered with GP2]="No",0,IF(Table1[Registered with GP]="Yes",1,IF(Table1[Registered with GP]="No",0))))</f>
        <v>0</v>
      </c>
      <c r="EN231" s="44">
        <f>SUM(Table1[Data Leavers Date]+Table1[Data GP End])</f>
        <v>0</v>
      </c>
      <c r="EO231" s="44" t="str">
        <f>IF(Table1[EET2]="NEET",1,IF(Table1[EET2]="Employment",2,IF(Table1[EET2]="Education",2,IF(Table1[EET2]="Training",2,IF(Table1[EET2]="Retired",3,IF(Table1[EET]="NEET",1,IF(Table1[EET]="Employment",2,IF(Table1[EET]="Education",2,IF(Table1[EET]="Training",2,IF(Table1[EET]="Retired",3,""))))))))))</f>
        <v/>
      </c>
      <c r="EP231" s="44" t="e">
        <f>+Table1[[#This Row],[Data Leavers Date]]+Table1[[#This Row],[Data EET End]]</f>
        <v>#VALUE!</v>
      </c>
      <c r="EQ231" s="44">
        <f>IF(Table1[Exit Form Received]="Yes",1,0)</f>
        <v>0</v>
      </c>
      <c r="ER231" s="44">
        <f>+Table1[[#This Row],[Data Leavers Date]]+Table1[[#This Row],[Data Exit Forms]]</f>
        <v>0</v>
      </c>
      <c r="ES231" s="44" t="str">
        <f>IF(Table1[Data Leavers Date]=1000,SUM(Table1[Leaving Date]-Table1[Start Date]),"")</f>
        <v/>
      </c>
      <c r="ET231" s="44" t="str">
        <f>IF(Table1[Data Leavers Date]=2000,SUM(Table1[Leaving Date]-Table1[Start Date]),"")</f>
        <v/>
      </c>
      <c r="EU231" s="44" t="str">
        <f>IF(Table1[Data Leavers Date]=3000,SUM(Table1[Leaving Date]-Table1[Start Date]),"")</f>
        <v/>
      </c>
      <c r="EV231" s="44" t="str">
        <f>IF(Table1[Data Leavers Date]=4000,SUM(Table1[Leaving Date]-Table1[Start Date]),"")</f>
        <v/>
      </c>
      <c r="EW231" s="44" t="str">
        <f>IF(Table1[Data Leavers Date]=5000,SUM(Table1[Leaving Date]-Table1[Start Date]),"")</f>
        <v/>
      </c>
      <c r="EX231" s="44" t="str">
        <f>IF(Table1[Data Leavers Date]=6000,SUM(Table1[Leaving Date]-Table1[Start Date]),"")</f>
        <v/>
      </c>
      <c r="EY231" s="44" t="str">
        <f>IF(Table1[Data Leavers Date]=7000,SUM(Table1[Leaving Date]-Table1[Start Date]),"")</f>
        <v/>
      </c>
      <c r="EZ231" s="44" t="str">
        <f>IF(Table1[Data Leavers Date]=8000,SUM(Table1[Leaving Date]-Table1[Start Date]),"")</f>
        <v/>
      </c>
      <c r="FA231" s="44" t="str">
        <f>IF(Table1[Date of Initial Assessment]="","",IF(AND(Table1[Start Date]&gt;42094,Table1[Start Date]&lt;42461),Table1[Motivation and Taking Responsibility],""))</f>
        <v/>
      </c>
      <c r="FB231" s="44" t="str">
        <f>IF(Table1[Date of Initial Assessment]="","",IF(AND(Table1[Start Date]&gt;42094,Table1[Start Date]&lt;42461),Table1[Self-Care and Living Skills],""))</f>
        <v/>
      </c>
      <c r="FC231" s="44" t="str">
        <f>IF(Table1[Date of Initial Assessment]="","",IF(AND(Table1[Start Date]&gt;42094,Table1[Start Date]&lt;42461),Table1[Managing Money and Personal Administration],""))</f>
        <v/>
      </c>
      <c r="FD231" s="44" t="str">
        <f>IF(Table1[Date of Initial Assessment]="","",IF(AND(Table1[Start Date]&gt;42094,Table1[Start Date]&lt;42461),Table1[Social Networks and Relationships],""))</f>
        <v/>
      </c>
      <c r="FE231" s="44" t="str">
        <f>IF(Table1[Date of Initial Assessment]="","",IF(AND(Table1[Start Date]&gt;42094,Table1[Start Date]&lt;42461),Table1[Drug and Alcohol Misuse],""))</f>
        <v/>
      </c>
      <c r="FF231" s="44" t="str">
        <f>IF(Table1[Date of Initial Assessment]="","",IF(AND(Table1[Start Date]&gt;42094,Table1[Start Date]&lt;42461),Table1[Physical Health],""))</f>
        <v/>
      </c>
      <c r="FG231" s="44" t="str">
        <f>IF(Table1[Date of Initial Assessment]="","",IF(AND(Table1[Start Date]&gt;42094,Table1[Start Date]&lt;42461),Table1[Emotional and Mental Health],""))</f>
        <v/>
      </c>
      <c r="FH231" s="44" t="str">
        <f>IF(Table1[Date of Initial Assessment]="","",IF(AND(Table1[Start Date]&gt;42094,Table1[Start Date]&lt;42461),Table1[Meaningful Use of Time],""))</f>
        <v/>
      </c>
      <c r="FI231" s="44" t="str">
        <f>IF(Table1[Date of Initial Assessment]="","",IF(AND(Table1[Start Date]&gt;42094,Table1[Start Date]&lt;42461),Table1[Managing Tenancy and Accommodation],""))</f>
        <v/>
      </c>
      <c r="FJ231" s="44" t="str">
        <f>IF(Table1[Date of Initial Assessment]="","",IF(AND(Table1[Start Date]&gt;42094,Table1[Start Date]&lt;42461),Table1[Offending],""))</f>
        <v/>
      </c>
      <c r="FK231" s="44" t="str">
        <f>IF(Table1[Leaving Date]="","",IF(Table1[Date of Initial Assessment]="","",IF(AND(Table1[Leaving Date]&gt;42094,Table1[Leaving Date]&lt;42461),IF(Table1[Date of Last Assessment]="",Table1[Motivation and Taking Responsibility],Table1[Motivation and Taking Responsibility2]),"")))</f>
        <v/>
      </c>
      <c r="FL231" s="44" t="str">
        <f>IF(Table1[Leaving Date]="","",IF(Table1[Date of Initial Assessment]="","",IF(AND(Table1[Leaving Date]&gt;42094,Table1[Leaving Date]&lt;42461),IF(Table1[Date of Last Assessment]="",Table1[Self-Care and Living Skills],Table1[Self-Care and Living Skills2]),"")))</f>
        <v/>
      </c>
      <c r="FM231" s="44" t="str">
        <f>IF(Table1[Leaving Date]="","",IF(Table1[Date of Initial Assessment]="","",IF(AND(Table1[Leaving Date]&gt;42094,Table1[Leaving Date]&lt;42461),IF(Table1[Date of Last Assessment]="",Table1[Managing Money and Personal Administration],Table1[Managing Money and Personal Administration2]),"")))</f>
        <v/>
      </c>
      <c r="FN231" s="44" t="str">
        <f>IF(Table1[Leaving Date]="","",IF(Table1[Date of Initial Assessment]="","",IF(AND(Table1[Leaving Date]&gt;42094,Table1[Leaving Date]&lt;42461),IF(Table1[Date of Last Assessment]="",Table1[Social Networks and Relationships],Table1[Social Networks and Relationships2]),"")))</f>
        <v/>
      </c>
      <c r="FO231" s="44" t="str">
        <f>IF(Table1[Leaving Date]="","",IF(Table1[Date of Initial Assessment]="","",IF(AND(Table1[Leaving Date]&gt;42094,Table1[Leaving Date]&lt;42461),IF(Table1[Date of Last Assessment]="",Table1[Drug and Alcohol Misuse],Table1[Drug and Alcohol Misuse2]),"")))</f>
        <v/>
      </c>
      <c r="FP231" s="44" t="str">
        <f>IF(Table1[Leaving Date]="","",IF(Table1[Date of Initial Assessment]="","",IF(AND(Table1[Leaving Date]&gt;42094,Table1[Leaving Date]&lt;42461),IF(Table1[Date of Last Assessment]="",Table1[Physical Health],Table1[Physical Health2]),"")))</f>
        <v/>
      </c>
      <c r="FQ231" s="44" t="str">
        <f>IF(Table1[Leaving Date]="","",IF(Table1[Date of Initial Assessment]="","",IF(AND(Table1[Leaving Date]&gt;42094,Table1[Leaving Date]&lt;42461),IF(Table1[Date of Last Assessment]="",Table1[Emotional and Mental Health],Table1[Emotional and Mental Health2]),"")))</f>
        <v/>
      </c>
      <c r="FR231" s="44" t="str">
        <f>IF(Table1[Leaving Date]="","",IF(Table1[Date of Initial Assessment]="","",IF(AND(Table1[Leaving Date]&gt;42094,Table1[Leaving Date]&lt;42461),IF(Table1[Date of Last Assessment]="",Table1[Meaningful Use of Time],Table1[Meaningful Use of Time2]),"")))</f>
        <v/>
      </c>
      <c r="FS231" s="44" t="str">
        <f>IF(Table1[Leaving Date]="","",IF(Table1[Date of Initial Assessment]="","",IF(AND(Table1[Leaving Date]&gt;42094,Table1[Leaving Date]&lt;42461),IF(Table1[Date of Last Assessment]="",Table1[Managing Tenancy and Accommodation],Table1[Managing Tenancy and Accommodation2]),"")))</f>
        <v/>
      </c>
      <c r="FT231" s="44" t="str">
        <f>IF(Table1[Leaving Date]="","",IF(Table1[Date of Initial Assessment]="","",IF(AND(Table1[Leaving Date]&gt;42094,Table1[Leaving Date]&lt;42461),IF(Table1[Date of Last Assessment]="",Table1[Offending],Table1[Offending2]),"")))</f>
        <v/>
      </c>
      <c r="FU231" s="44" t="str">
        <f>IF(Table1[Date of Initial Assessment]="","",IF(AND(Table1[Start Date]&gt;42460,Table1[Start Date]&lt;42826),Table1[Motivation and Taking Responsibility],""))</f>
        <v/>
      </c>
      <c r="FV231" s="44" t="str">
        <f>IF(Table1[Date of Initial Assessment]="","",IF(AND(Table1[Start Date]&gt;42460,Table1[Start Date]&lt;42826),Table1[Self-Care and Living Skills],""))</f>
        <v/>
      </c>
      <c r="FW231" s="44" t="str">
        <f>IF(Table1[Date of Initial Assessment]="","",IF(AND(Table1[Start Date]&gt;42460,Table1[Start Date]&lt;42826),Table1[Managing Money and Personal Administration],""))</f>
        <v/>
      </c>
      <c r="FX231" s="44" t="str">
        <f>IF(Table1[Date of Initial Assessment]="","",IF(AND(Table1[Start Date]&gt;42460,Table1[Start Date]&lt;42826),Table1[Social Networks and Relationships],""))</f>
        <v/>
      </c>
      <c r="FY231" s="44" t="str">
        <f>IF(Table1[Date of Initial Assessment]="","",IF(AND(Table1[Start Date]&gt;42460,Table1[Start Date]&lt;42826),Table1[Drug and Alcohol Misuse],""))</f>
        <v/>
      </c>
      <c r="FZ231" s="44" t="str">
        <f>IF(Table1[Date of Initial Assessment]="","",IF(AND(Table1[Start Date]&gt;42460,Table1[Start Date]&lt;42826),Table1[Physical Health],""))</f>
        <v/>
      </c>
      <c r="GA231" s="44" t="str">
        <f>IF(Table1[Date of Initial Assessment]="","",IF(AND(Table1[Start Date]&gt;42460,Table1[Start Date]&lt;42826),Table1[Emotional and Mental Health],""))</f>
        <v/>
      </c>
      <c r="GB231" s="44" t="str">
        <f>IF(Table1[Date of Initial Assessment]="","",IF(AND(Table1[Start Date]&gt;42460,Table1[Start Date]&lt;42826),Table1[Meaningful Use of Time],""))</f>
        <v/>
      </c>
      <c r="GC231" s="44" t="str">
        <f>IF(Table1[Date of Initial Assessment]="","",IF(AND(Table1[Start Date]&gt;42460,Table1[Start Date]&lt;42826),Table1[Managing Tenancy and Accommodation],""))</f>
        <v/>
      </c>
      <c r="GD231" s="44" t="str">
        <f>IF(Table1[Date of Initial Assessment]="","",IF(AND(Table1[Start Date]&gt;42460,Table1[Start Date]&lt;42826),Table1[Offending],""))</f>
        <v/>
      </c>
      <c r="GE231" s="44" t="str">
        <f>IF(Table1[Leaving Date]="","",IF(AND(Table1[Leaving Date]&gt;42460,Table1[Leaving Date]&lt;42826),IF(Table1[Date of Last Assessment]="",Table1[Motivation and Taking Responsibility],Table1[Motivation and Taking Responsibility2]),""))</f>
        <v/>
      </c>
      <c r="GF231" s="44" t="str">
        <f>IF(Table1[Leaving Date]="","",IF(AND(Table1[Leaving Date]&gt;42460,Table1[Leaving Date]&lt;42826),IF(Table1[Date of Last Assessment]="",Table1[Self-Care and Living Skills],Table1[Self-Care and Living Skills2]),""))</f>
        <v/>
      </c>
      <c r="GG231" s="44" t="str">
        <f>IF(Table1[Leaving Date]="","",IF(AND(Table1[Leaving Date]&gt;42460,Table1[Leaving Date]&lt;42826),IF(Table1[Date of Last Assessment]="",Table1[Managing Money and Personal Administration],Table1[Managing Money and Personal Administration2]),""))</f>
        <v/>
      </c>
      <c r="GH231" s="44" t="str">
        <f>IF(Table1[Leaving Date]="","",IF(AND(Table1[Leaving Date]&gt;42460,Table1[Leaving Date]&lt;42826),IF(Table1[Date of Last Assessment]="",Table1[Social Networks and Relationships],Table1[Social Networks and Relationships2]),""))</f>
        <v/>
      </c>
      <c r="GI231" s="44" t="str">
        <f>IF(Table1[Leaving Date]="","",IF(AND(Table1[Leaving Date]&gt;42460,Table1[Leaving Date]&lt;42826),IF(Table1[Date of Last Assessment]="",Table1[Drug and Alcohol Misuse],Table1[Drug and Alcohol Misuse2]),""))</f>
        <v/>
      </c>
      <c r="GJ231" s="44" t="str">
        <f>IF(Table1[Leaving Date]="","",IF(AND(Table1[Leaving Date]&gt;42460,Table1[Leaving Date]&lt;42826),IF(Table1[Date of Last Assessment]="",Table1[Physical Health],Table1[Physical Health2]),""))</f>
        <v/>
      </c>
      <c r="GK231" s="44" t="str">
        <f>IF(Table1[Leaving Date]="","",IF(AND(Table1[Leaving Date]&gt;42460,Table1[Leaving Date]&lt;42826),IF(Table1[Date of Last Assessment]="",Table1[Emotional and Mental Health],Table1[Emotional and Mental Health2]),""))</f>
        <v/>
      </c>
      <c r="GL231" s="44" t="str">
        <f>IF(Table1[Leaving Date]="","",IF(AND(Table1[Leaving Date]&gt;42460,Table1[Leaving Date]&lt;42826),IF(Table1[Date of Last Assessment]="",Table1[Meaningful Use of Time],Table1[Meaningful Use of Time2]),""))</f>
        <v/>
      </c>
      <c r="GM231" s="44" t="str">
        <f>IF(Table1[Leaving Date]="","",IF(AND(Table1[Leaving Date]&gt;42460,Table1[Leaving Date]&lt;42826),IF(Table1[Date of Last Assessment]="",Table1[Managing Tenancy and Accommodation],Table1[Managing Tenancy and Accommodation2]),""))</f>
        <v/>
      </c>
      <c r="GN231" s="44" t="str">
        <f>IF(Table1[Leaving Date]="","",IF(AND(Table1[Leaving Date]&gt;42460,Table1[Leaving Date]&lt;42826),IF(Table1[Date of Last Assessment]="",Table1[Offending],Table1[Offending2]),""))</f>
        <v/>
      </c>
    </row>
    <row r="232" spans="2:196" ht="20.100000000000001" customHeight="1" x14ac:dyDescent="0.2">
      <c r="B232" s="86">
        <f>+'Service Data'!$C$5:$C$5</f>
        <v>0</v>
      </c>
      <c r="C232" s="86"/>
      <c r="D232" s="86"/>
      <c r="E232" s="86"/>
      <c r="F232" s="86"/>
      <c r="G232" s="86"/>
      <c r="H232" s="6"/>
      <c r="I232" s="99" t="str">
        <f ca="1">IF(Table1[[#This Row],[Date of Birth]]="","",SUM(TODAY()-Table1[[#This Row],[Date of Birth]])/365)</f>
        <v/>
      </c>
      <c r="L232" s="86"/>
      <c r="M232" s="77"/>
      <c r="N232" s="86"/>
      <c r="O232" s="86"/>
      <c r="P232" s="91"/>
      <c r="Q232" s="86"/>
      <c r="R232" s="77"/>
      <c r="S232" s="77"/>
      <c r="T232" s="68"/>
      <c r="U232" s="68"/>
      <c r="V232" s="67"/>
      <c r="W232" s="67"/>
      <c r="X232" s="67"/>
      <c r="Y232" s="67"/>
      <c r="Z232" s="67"/>
      <c r="AA232" s="67"/>
      <c r="AB232" s="67"/>
      <c r="AC232" s="67"/>
      <c r="AD232" s="67"/>
      <c r="AE232" s="67"/>
      <c r="AF232" s="67"/>
      <c r="AG232" s="67"/>
      <c r="AH232" s="67"/>
      <c r="AI232" s="67"/>
      <c r="AJ232" s="67"/>
      <c r="AK232" s="67"/>
      <c r="AL232" s="67"/>
      <c r="AM232" s="67"/>
      <c r="AN232" s="77"/>
      <c r="AO232" s="76"/>
      <c r="AP232" s="77"/>
      <c r="AQ232" s="76"/>
      <c r="AR232" s="76"/>
      <c r="AS232" s="76"/>
      <c r="AT232" s="76"/>
      <c r="AU232" s="76"/>
      <c r="AV232" s="77"/>
      <c r="AW232" s="76"/>
      <c r="AX232" s="77"/>
      <c r="AY232" s="76"/>
      <c r="AZ232" s="76"/>
      <c r="BA232" s="76"/>
      <c r="BB232" s="76"/>
      <c r="BC232" s="76"/>
      <c r="BD232" s="77"/>
      <c r="BE232" s="76"/>
      <c r="BF232" s="77"/>
      <c r="BG232" s="76"/>
      <c r="BH232" s="76"/>
      <c r="BI232" s="76"/>
      <c r="BJ232" s="76"/>
      <c r="BK232" s="76"/>
      <c r="BL232" s="77"/>
      <c r="BM232" s="76"/>
      <c r="BN232" s="77"/>
      <c r="BO232" s="76"/>
      <c r="BP232" s="76"/>
      <c r="BQ232" s="76"/>
      <c r="BR232" s="76"/>
      <c r="BS232" s="76"/>
      <c r="BT232" s="77"/>
      <c r="BU232" s="76"/>
      <c r="BV232" s="77"/>
      <c r="BW232" s="76"/>
      <c r="BX232" s="76"/>
      <c r="BY232" s="76"/>
      <c r="BZ232" s="76"/>
      <c r="CA232" s="76"/>
      <c r="CB232" s="77"/>
      <c r="CC232" s="76"/>
      <c r="CD232" s="77"/>
      <c r="CE232" s="76"/>
      <c r="CF232" s="76"/>
      <c r="CG232" s="76"/>
      <c r="CH232" s="76"/>
      <c r="CI232" s="76"/>
      <c r="CJ232" s="77"/>
      <c r="CK232" s="76"/>
      <c r="CL232" s="77"/>
      <c r="CM232" s="76"/>
      <c r="CN232" s="76"/>
      <c r="CO232" s="76"/>
      <c r="CP232" s="76"/>
      <c r="CQ232" s="76"/>
      <c r="CR232" s="78" t="str">
        <f t="shared" si="63"/>
        <v/>
      </c>
      <c r="CS232" s="79" t="str">
        <f t="shared" si="64"/>
        <v/>
      </c>
      <c r="CT232" s="79" t="str">
        <f t="shared" si="65"/>
        <v/>
      </c>
      <c r="CU232" s="79" t="str">
        <f t="shared" si="66"/>
        <v/>
      </c>
      <c r="CV232" s="79" t="str">
        <f t="shared" si="67"/>
        <v/>
      </c>
      <c r="CW232" s="79" t="str">
        <f t="shared" si="68"/>
        <v/>
      </c>
      <c r="CX232" s="79" t="str">
        <f t="shared" si="69"/>
        <v/>
      </c>
      <c r="CY232" s="79" t="str">
        <f t="shared" si="70"/>
        <v/>
      </c>
      <c r="CZ232" s="79" t="str">
        <f t="shared" si="71"/>
        <v/>
      </c>
      <c r="DA232" s="79" t="str">
        <f t="shared" si="72"/>
        <v/>
      </c>
      <c r="DB232" s="79" t="str">
        <f t="shared" si="73"/>
        <v/>
      </c>
      <c r="DC232" s="79" t="str">
        <f t="shared" si="74"/>
        <v/>
      </c>
      <c r="DD232" s="79" t="str">
        <f t="shared" si="75"/>
        <v/>
      </c>
      <c r="DE232" s="79" t="str">
        <f t="shared" si="76"/>
        <v/>
      </c>
      <c r="DF232" s="79" t="str">
        <f t="shared" si="77"/>
        <v/>
      </c>
      <c r="DG232" s="79" t="str">
        <f t="shared" si="78"/>
        <v/>
      </c>
      <c r="DH232" s="76"/>
      <c r="DI232" s="78"/>
      <c r="DJ232" s="76"/>
      <c r="DK232" s="77"/>
      <c r="DL232" s="77"/>
      <c r="DM232" s="77"/>
      <c r="DN232" s="80"/>
      <c r="DO232" s="80"/>
      <c r="DP232" s="92" t="str">
        <f>IF(Table1[Start Date]="","",IF(Table1[Start Date]&gt;42185,"",IF(AND(Table1[Leaving Date]&gt;1,Table1[Leaving Date]&lt;42095),"",1)))</f>
        <v/>
      </c>
      <c r="DQ232" s="92" t="str">
        <f>IF(Table1[Start Date]="","",IF(Table1[Start Date]&gt;42277,"",IF(AND(Table1[Leaving Date]&gt;1,Table1[Leaving Date]&lt;42186),"",1)))</f>
        <v/>
      </c>
      <c r="DR232" s="92" t="str">
        <f>IF(Table1[Start Date]="","",IF(Table1[Start Date]&gt;42369,"",IF(AND(Table1[Leaving Date]&gt;1,Table1[Leaving Date]&lt;42278),"",1)))</f>
        <v/>
      </c>
      <c r="DS232" s="92" t="str">
        <f>IF(Table1[Start Date]="","",IF(Table1[Start Date]&gt;42460,"",IF(AND(Table1[Leaving Date]&gt;1,Table1[Leaving Date]&lt;42370),"",1)))</f>
        <v/>
      </c>
      <c r="DT232" s="92" t="str">
        <f>IF(Table1[Start Date]="","",IF(Table1[Start Date]&gt;42551,"",IF(AND(Table1[Leaving Date]&gt;1,Table1[Leaving Date]&lt;42461),"",1)))</f>
        <v/>
      </c>
      <c r="DU232" s="92" t="str">
        <f>IF(Table1[Start Date]="","",IF(Table1[Start Date]&gt;42643,"",IF(AND(Table1[Leaving Date]&gt;1,Table1[Leaving Date]&lt;42552),"",1)))</f>
        <v/>
      </c>
      <c r="DV232" s="92" t="str">
        <f>IF(Table1[Start Date]="","",IF(Table1[Start Date]&gt;42735,"",IF(AND(Table1[Leaving Date]&gt;1,Table1[Leaving Date]&lt;42644),"",1)))</f>
        <v/>
      </c>
      <c r="DW232" s="92" t="str">
        <f>IF(Table1[Start Date]="","",IF(Table1[Start Date]&gt;42825,"",IF(AND(Table1[Leaving Date]&gt;1,Table1[Leaving Date]&lt;42736),"",1)))</f>
        <v/>
      </c>
      <c r="DX232"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232" s="44" t="e">
        <f>VLOOKUP(Table1[Referral Source],Lists!$G$2:$H$20,2,FALSE)</f>
        <v>#N/A</v>
      </c>
      <c r="DZ232" s="93" t="e">
        <f>SUM(Table1[Data Referral Quarter]+Table1[Data Referral Source])</f>
        <v>#N/A</v>
      </c>
      <c r="EA232" s="44" t="b">
        <f>IF(Table1[Referral Decision]="Accepted",100,IF(Table1[Referral Decision]="Rejected by Provider",200,IF(Table1[Referral Decision]="Rejected by Applicant",300)))</f>
        <v>0</v>
      </c>
      <c r="EB232" s="44">
        <f>SUM(Table1[Data Referral Quarter]+Table1[Data Referral Decision])</f>
        <v>0</v>
      </c>
      <c r="EC232" s="44" t="b">
        <f>IF(Table1[Start Date]&gt;42735,8000,IF(Table1[Start Date]&gt;42643,7000,IF(Table1[Start Date]&gt;42551,6000,IF(Table1[Start Date]&gt;42460,5000,IF(Table1[Start Date]&gt;42369,4000,IF(Table1[Start Date]&gt;42277,3000,IF(Table1[Start Date]&gt;42185,2000,IF(Table1[Start Date]&gt;42094,1000))))))))</f>
        <v>0</v>
      </c>
      <c r="ED232" s="44" t="str">
        <f>IF(Table1[Start Date]="","",IF(Table1[Current Local Authority]="Swindon",1,"2"))</f>
        <v/>
      </c>
      <c r="EE232" s="44" t="e">
        <f>SUM(Table1[Data Start Date]+Table1[Data Local Authority])</f>
        <v>#VALUE!</v>
      </c>
      <c r="EF232" s="44">
        <f>IF(Table1[Registered with GP]="Yes",1,0)</f>
        <v>0</v>
      </c>
      <c r="EG232" s="44">
        <f>SUM(Table1[Data Start Date]+Table1[Data GP Start])</f>
        <v>0</v>
      </c>
      <c r="EH232" s="44" t="str">
        <f>IF(Table1[EET]="NEET",1,IF(Table1[EET]="Education",2,IF(Table1[EET]="Employment",2,IF(Table1[EET]="Training",2,IF(Table1[EET]="Retired",3,"")))))</f>
        <v/>
      </c>
      <c r="EI232" s="44" t="e">
        <f>Table1[Data Start Date]+Table1[Data EET Start]</f>
        <v>#VALUE!</v>
      </c>
      <c r="EJ232" s="44" t="b">
        <f>IF(Table1[Leaving Date]&gt;42735,8000,IF(Table1[Leaving Date]&gt;42643,7000,IF(Table1[Leaving Date]&gt;42551,6000,IF(Table1[Leaving Date]&gt;42460,5000,IF(Table1[Leaving Date]&gt;42369,4000,IF(Table1[Leaving Date]&gt;42277,3000,IF(Table1[Leaving Date]&gt;42185,2000,IF(Table1[Leaving Date]&gt;42094,1000))))))))</f>
        <v>0</v>
      </c>
      <c r="EK232" s="44" t="e">
        <f>VLOOKUP(Table1[Reason for Leaving],Lists!$T$2:$U$15,2,FALSE)</f>
        <v>#N/A</v>
      </c>
      <c r="EL232" s="44" t="e">
        <f>SUM(Table1[Data Leavers Date]+Table1[Data Move On])</f>
        <v>#N/A</v>
      </c>
      <c r="EM232" s="44" t="b">
        <f>IF(Table1[Registered with GP2]="Yes",1,IF(Table1[Registered with GP2]="No",0,IF(Table1[Registered with GP]="Yes",1,IF(Table1[Registered with GP]="No",0))))</f>
        <v>0</v>
      </c>
      <c r="EN232" s="44">
        <f>SUM(Table1[Data Leavers Date]+Table1[Data GP End])</f>
        <v>0</v>
      </c>
      <c r="EO232" s="44" t="str">
        <f>IF(Table1[EET2]="NEET",1,IF(Table1[EET2]="Employment",2,IF(Table1[EET2]="Education",2,IF(Table1[EET2]="Training",2,IF(Table1[EET2]="Retired",3,IF(Table1[EET]="NEET",1,IF(Table1[EET]="Employment",2,IF(Table1[EET]="Education",2,IF(Table1[EET]="Training",2,IF(Table1[EET]="Retired",3,""))))))))))</f>
        <v/>
      </c>
      <c r="EP232" s="44" t="e">
        <f>+Table1[[#This Row],[Data Leavers Date]]+Table1[[#This Row],[Data EET End]]</f>
        <v>#VALUE!</v>
      </c>
      <c r="EQ232" s="44">
        <f>IF(Table1[Exit Form Received]="Yes",1,0)</f>
        <v>0</v>
      </c>
      <c r="ER232" s="44">
        <f>+Table1[[#This Row],[Data Leavers Date]]+Table1[[#This Row],[Data Exit Forms]]</f>
        <v>0</v>
      </c>
      <c r="ES232" s="44" t="str">
        <f>IF(Table1[Data Leavers Date]=1000,SUM(Table1[Leaving Date]-Table1[Start Date]),"")</f>
        <v/>
      </c>
      <c r="ET232" s="44" t="str">
        <f>IF(Table1[Data Leavers Date]=2000,SUM(Table1[Leaving Date]-Table1[Start Date]),"")</f>
        <v/>
      </c>
      <c r="EU232" s="44" t="str">
        <f>IF(Table1[Data Leavers Date]=3000,SUM(Table1[Leaving Date]-Table1[Start Date]),"")</f>
        <v/>
      </c>
      <c r="EV232" s="44" t="str">
        <f>IF(Table1[Data Leavers Date]=4000,SUM(Table1[Leaving Date]-Table1[Start Date]),"")</f>
        <v/>
      </c>
      <c r="EW232" s="44" t="str">
        <f>IF(Table1[Data Leavers Date]=5000,SUM(Table1[Leaving Date]-Table1[Start Date]),"")</f>
        <v/>
      </c>
      <c r="EX232" s="44" t="str">
        <f>IF(Table1[Data Leavers Date]=6000,SUM(Table1[Leaving Date]-Table1[Start Date]),"")</f>
        <v/>
      </c>
      <c r="EY232" s="44" t="str">
        <f>IF(Table1[Data Leavers Date]=7000,SUM(Table1[Leaving Date]-Table1[Start Date]),"")</f>
        <v/>
      </c>
      <c r="EZ232" s="44" t="str">
        <f>IF(Table1[Data Leavers Date]=8000,SUM(Table1[Leaving Date]-Table1[Start Date]),"")</f>
        <v/>
      </c>
      <c r="FA232" s="44" t="str">
        <f>IF(Table1[Date of Initial Assessment]="","",IF(AND(Table1[Start Date]&gt;42094,Table1[Start Date]&lt;42461),Table1[Motivation and Taking Responsibility],""))</f>
        <v/>
      </c>
      <c r="FB232" s="44" t="str">
        <f>IF(Table1[Date of Initial Assessment]="","",IF(AND(Table1[Start Date]&gt;42094,Table1[Start Date]&lt;42461),Table1[Self-Care and Living Skills],""))</f>
        <v/>
      </c>
      <c r="FC232" s="44" t="str">
        <f>IF(Table1[Date of Initial Assessment]="","",IF(AND(Table1[Start Date]&gt;42094,Table1[Start Date]&lt;42461),Table1[Managing Money and Personal Administration],""))</f>
        <v/>
      </c>
      <c r="FD232" s="44" t="str">
        <f>IF(Table1[Date of Initial Assessment]="","",IF(AND(Table1[Start Date]&gt;42094,Table1[Start Date]&lt;42461),Table1[Social Networks and Relationships],""))</f>
        <v/>
      </c>
      <c r="FE232" s="44" t="str">
        <f>IF(Table1[Date of Initial Assessment]="","",IF(AND(Table1[Start Date]&gt;42094,Table1[Start Date]&lt;42461),Table1[Drug and Alcohol Misuse],""))</f>
        <v/>
      </c>
      <c r="FF232" s="44" t="str">
        <f>IF(Table1[Date of Initial Assessment]="","",IF(AND(Table1[Start Date]&gt;42094,Table1[Start Date]&lt;42461),Table1[Physical Health],""))</f>
        <v/>
      </c>
      <c r="FG232" s="44" t="str">
        <f>IF(Table1[Date of Initial Assessment]="","",IF(AND(Table1[Start Date]&gt;42094,Table1[Start Date]&lt;42461),Table1[Emotional and Mental Health],""))</f>
        <v/>
      </c>
      <c r="FH232" s="44" t="str">
        <f>IF(Table1[Date of Initial Assessment]="","",IF(AND(Table1[Start Date]&gt;42094,Table1[Start Date]&lt;42461),Table1[Meaningful Use of Time],""))</f>
        <v/>
      </c>
      <c r="FI232" s="44" t="str">
        <f>IF(Table1[Date of Initial Assessment]="","",IF(AND(Table1[Start Date]&gt;42094,Table1[Start Date]&lt;42461),Table1[Managing Tenancy and Accommodation],""))</f>
        <v/>
      </c>
      <c r="FJ232" s="44" t="str">
        <f>IF(Table1[Date of Initial Assessment]="","",IF(AND(Table1[Start Date]&gt;42094,Table1[Start Date]&lt;42461),Table1[Offending],""))</f>
        <v/>
      </c>
      <c r="FK232" s="44" t="str">
        <f>IF(Table1[Leaving Date]="","",IF(Table1[Date of Initial Assessment]="","",IF(AND(Table1[Leaving Date]&gt;42094,Table1[Leaving Date]&lt;42461),IF(Table1[Date of Last Assessment]="",Table1[Motivation and Taking Responsibility],Table1[Motivation and Taking Responsibility2]),"")))</f>
        <v/>
      </c>
      <c r="FL232" s="44" t="str">
        <f>IF(Table1[Leaving Date]="","",IF(Table1[Date of Initial Assessment]="","",IF(AND(Table1[Leaving Date]&gt;42094,Table1[Leaving Date]&lt;42461),IF(Table1[Date of Last Assessment]="",Table1[Self-Care and Living Skills],Table1[Self-Care and Living Skills2]),"")))</f>
        <v/>
      </c>
      <c r="FM232" s="44" t="str">
        <f>IF(Table1[Leaving Date]="","",IF(Table1[Date of Initial Assessment]="","",IF(AND(Table1[Leaving Date]&gt;42094,Table1[Leaving Date]&lt;42461),IF(Table1[Date of Last Assessment]="",Table1[Managing Money and Personal Administration],Table1[Managing Money and Personal Administration2]),"")))</f>
        <v/>
      </c>
      <c r="FN232" s="44" t="str">
        <f>IF(Table1[Leaving Date]="","",IF(Table1[Date of Initial Assessment]="","",IF(AND(Table1[Leaving Date]&gt;42094,Table1[Leaving Date]&lt;42461),IF(Table1[Date of Last Assessment]="",Table1[Social Networks and Relationships],Table1[Social Networks and Relationships2]),"")))</f>
        <v/>
      </c>
      <c r="FO232" s="44" t="str">
        <f>IF(Table1[Leaving Date]="","",IF(Table1[Date of Initial Assessment]="","",IF(AND(Table1[Leaving Date]&gt;42094,Table1[Leaving Date]&lt;42461),IF(Table1[Date of Last Assessment]="",Table1[Drug and Alcohol Misuse],Table1[Drug and Alcohol Misuse2]),"")))</f>
        <v/>
      </c>
      <c r="FP232" s="44" t="str">
        <f>IF(Table1[Leaving Date]="","",IF(Table1[Date of Initial Assessment]="","",IF(AND(Table1[Leaving Date]&gt;42094,Table1[Leaving Date]&lt;42461),IF(Table1[Date of Last Assessment]="",Table1[Physical Health],Table1[Physical Health2]),"")))</f>
        <v/>
      </c>
      <c r="FQ232" s="44" t="str">
        <f>IF(Table1[Leaving Date]="","",IF(Table1[Date of Initial Assessment]="","",IF(AND(Table1[Leaving Date]&gt;42094,Table1[Leaving Date]&lt;42461),IF(Table1[Date of Last Assessment]="",Table1[Emotional and Mental Health],Table1[Emotional and Mental Health2]),"")))</f>
        <v/>
      </c>
      <c r="FR232" s="44" t="str">
        <f>IF(Table1[Leaving Date]="","",IF(Table1[Date of Initial Assessment]="","",IF(AND(Table1[Leaving Date]&gt;42094,Table1[Leaving Date]&lt;42461),IF(Table1[Date of Last Assessment]="",Table1[Meaningful Use of Time],Table1[Meaningful Use of Time2]),"")))</f>
        <v/>
      </c>
      <c r="FS232" s="44" t="str">
        <f>IF(Table1[Leaving Date]="","",IF(Table1[Date of Initial Assessment]="","",IF(AND(Table1[Leaving Date]&gt;42094,Table1[Leaving Date]&lt;42461),IF(Table1[Date of Last Assessment]="",Table1[Managing Tenancy and Accommodation],Table1[Managing Tenancy and Accommodation2]),"")))</f>
        <v/>
      </c>
      <c r="FT232" s="44" t="str">
        <f>IF(Table1[Leaving Date]="","",IF(Table1[Date of Initial Assessment]="","",IF(AND(Table1[Leaving Date]&gt;42094,Table1[Leaving Date]&lt;42461),IF(Table1[Date of Last Assessment]="",Table1[Offending],Table1[Offending2]),"")))</f>
        <v/>
      </c>
      <c r="FU232" s="44" t="str">
        <f>IF(Table1[Date of Initial Assessment]="","",IF(AND(Table1[Start Date]&gt;42460,Table1[Start Date]&lt;42826),Table1[Motivation and Taking Responsibility],""))</f>
        <v/>
      </c>
      <c r="FV232" s="44" t="str">
        <f>IF(Table1[Date of Initial Assessment]="","",IF(AND(Table1[Start Date]&gt;42460,Table1[Start Date]&lt;42826),Table1[Self-Care and Living Skills],""))</f>
        <v/>
      </c>
      <c r="FW232" s="44" t="str">
        <f>IF(Table1[Date of Initial Assessment]="","",IF(AND(Table1[Start Date]&gt;42460,Table1[Start Date]&lt;42826),Table1[Managing Money and Personal Administration],""))</f>
        <v/>
      </c>
      <c r="FX232" s="44" t="str">
        <f>IF(Table1[Date of Initial Assessment]="","",IF(AND(Table1[Start Date]&gt;42460,Table1[Start Date]&lt;42826),Table1[Social Networks and Relationships],""))</f>
        <v/>
      </c>
      <c r="FY232" s="44" t="str">
        <f>IF(Table1[Date of Initial Assessment]="","",IF(AND(Table1[Start Date]&gt;42460,Table1[Start Date]&lt;42826),Table1[Drug and Alcohol Misuse],""))</f>
        <v/>
      </c>
      <c r="FZ232" s="44" t="str">
        <f>IF(Table1[Date of Initial Assessment]="","",IF(AND(Table1[Start Date]&gt;42460,Table1[Start Date]&lt;42826),Table1[Physical Health],""))</f>
        <v/>
      </c>
      <c r="GA232" s="44" t="str">
        <f>IF(Table1[Date of Initial Assessment]="","",IF(AND(Table1[Start Date]&gt;42460,Table1[Start Date]&lt;42826),Table1[Emotional and Mental Health],""))</f>
        <v/>
      </c>
      <c r="GB232" s="44" t="str">
        <f>IF(Table1[Date of Initial Assessment]="","",IF(AND(Table1[Start Date]&gt;42460,Table1[Start Date]&lt;42826),Table1[Meaningful Use of Time],""))</f>
        <v/>
      </c>
      <c r="GC232" s="44" t="str">
        <f>IF(Table1[Date of Initial Assessment]="","",IF(AND(Table1[Start Date]&gt;42460,Table1[Start Date]&lt;42826),Table1[Managing Tenancy and Accommodation],""))</f>
        <v/>
      </c>
      <c r="GD232" s="44" t="str">
        <f>IF(Table1[Date of Initial Assessment]="","",IF(AND(Table1[Start Date]&gt;42460,Table1[Start Date]&lt;42826),Table1[Offending],""))</f>
        <v/>
      </c>
      <c r="GE232" s="44" t="str">
        <f>IF(Table1[Leaving Date]="","",IF(AND(Table1[Leaving Date]&gt;42460,Table1[Leaving Date]&lt;42826),IF(Table1[Date of Last Assessment]="",Table1[Motivation and Taking Responsibility],Table1[Motivation and Taking Responsibility2]),""))</f>
        <v/>
      </c>
      <c r="GF232" s="44" t="str">
        <f>IF(Table1[Leaving Date]="","",IF(AND(Table1[Leaving Date]&gt;42460,Table1[Leaving Date]&lt;42826),IF(Table1[Date of Last Assessment]="",Table1[Self-Care and Living Skills],Table1[Self-Care and Living Skills2]),""))</f>
        <v/>
      </c>
      <c r="GG232" s="44" t="str">
        <f>IF(Table1[Leaving Date]="","",IF(AND(Table1[Leaving Date]&gt;42460,Table1[Leaving Date]&lt;42826),IF(Table1[Date of Last Assessment]="",Table1[Managing Money and Personal Administration],Table1[Managing Money and Personal Administration2]),""))</f>
        <v/>
      </c>
      <c r="GH232" s="44" t="str">
        <f>IF(Table1[Leaving Date]="","",IF(AND(Table1[Leaving Date]&gt;42460,Table1[Leaving Date]&lt;42826),IF(Table1[Date of Last Assessment]="",Table1[Social Networks and Relationships],Table1[Social Networks and Relationships2]),""))</f>
        <v/>
      </c>
      <c r="GI232" s="44" t="str">
        <f>IF(Table1[Leaving Date]="","",IF(AND(Table1[Leaving Date]&gt;42460,Table1[Leaving Date]&lt;42826),IF(Table1[Date of Last Assessment]="",Table1[Drug and Alcohol Misuse],Table1[Drug and Alcohol Misuse2]),""))</f>
        <v/>
      </c>
      <c r="GJ232" s="44" t="str">
        <f>IF(Table1[Leaving Date]="","",IF(AND(Table1[Leaving Date]&gt;42460,Table1[Leaving Date]&lt;42826),IF(Table1[Date of Last Assessment]="",Table1[Physical Health],Table1[Physical Health2]),""))</f>
        <v/>
      </c>
      <c r="GK232" s="44" t="str">
        <f>IF(Table1[Leaving Date]="","",IF(AND(Table1[Leaving Date]&gt;42460,Table1[Leaving Date]&lt;42826),IF(Table1[Date of Last Assessment]="",Table1[Emotional and Mental Health],Table1[Emotional and Mental Health2]),""))</f>
        <v/>
      </c>
      <c r="GL232" s="44" t="str">
        <f>IF(Table1[Leaving Date]="","",IF(AND(Table1[Leaving Date]&gt;42460,Table1[Leaving Date]&lt;42826),IF(Table1[Date of Last Assessment]="",Table1[Meaningful Use of Time],Table1[Meaningful Use of Time2]),""))</f>
        <v/>
      </c>
      <c r="GM232" s="44" t="str">
        <f>IF(Table1[Leaving Date]="","",IF(AND(Table1[Leaving Date]&gt;42460,Table1[Leaving Date]&lt;42826),IF(Table1[Date of Last Assessment]="",Table1[Managing Tenancy and Accommodation],Table1[Managing Tenancy and Accommodation2]),""))</f>
        <v/>
      </c>
      <c r="GN232" s="44" t="str">
        <f>IF(Table1[Leaving Date]="","",IF(AND(Table1[Leaving Date]&gt;42460,Table1[Leaving Date]&lt;42826),IF(Table1[Date of Last Assessment]="",Table1[Offending],Table1[Offending2]),""))</f>
        <v/>
      </c>
    </row>
    <row r="233" spans="2:196" ht="20.100000000000001" customHeight="1" x14ac:dyDescent="0.2">
      <c r="B233" s="86">
        <f>+'Service Data'!$C$5:$C$5</f>
        <v>0</v>
      </c>
      <c r="C233" s="86"/>
      <c r="D233" s="86"/>
      <c r="E233" s="86"/>
      <c r="F233" s="86"/>
      <c r="G233" s="86"/>
      <c r="H233" s="6"/>
      <c r="I233" s="99" t="str">
        <f ca="1">IF(Table1[[#This Row],[Date of Birth]]="","",SUM(TODAY()-Table1[[#This Row],[Date of Birth]])/365)</f>
        <v/>
      </c>
      <c r="L233" s="86"/>
      <c r="M233" s="77"/>
      <c r="N233" s="86"/>
      <c r="O233" s="86"/>
      <c r="P233" s="91"/>
      <c r="Q233" s="86"/>
      <c r="R233" s="77"/>
      <c r="S233" s="77"/>
      <c r="T233" s="68"/>
      <c r="U233" s="68"/>
      <c r="V233" s="67"/>
      <c r="W233" s="67"/>
      <c r="X233" s="67"/>
      <c r="Y233" s="67"/>
      <c r="Z233" s="67"/>
      <c r="AA233" s="67"/>
      <c r="AB233" s="67"/>
      <c r="AC233" s="67"/>
      <c r="AD233" s="67"/>
      <c r="AE233" s="67"/>
      <c r="AF233" s="67"/>
      <c r="AG233" s="67"/>
      <c r="AH233" s="67"/>
      <c r="AI233" s="67"/>
      <c r="AJ233" s="67"/>
      <c r="AK233" s="67"/>
      <c r="AL233" s="67"/>
      <c r="AM233" s="67"/>
      <c r="AN233" s="77"/>
      <c r="AO233" s="76"/>
      <c r="AP233" s="77"/>
      <c r="AQ233" s="76"/>
      <c r="AR233" s="76"/>
      <c r="AS233" s="76"/>
      <c r="AT233" s="76"/>
      <c r="AU233" s="76"/>
      <c r="AV233" s="77"/>
      <c r="AW233" s="76"/>
      <c r="AX233" s="77"/>
      <c r="AY233" s="76"/>
      <c r="AZ233" s="76"/>
      <c r="BA233" s="76"/>
      <c r="BB233" s="76"/>
      <c r="BC233" s="76"/>
      <c r="BD233" s="77"/>
      <c r="BE233" s="76"/>
      <c r="BF233" s="77"/>
      <c r="BG233" s="76"/>
      <c r="BH233" s="76"/>
      <c r="BI233" s="76"/>
      <c r="BJ233" s="76"/>
      <c r="BK233" s="76"/>
      <c r="BL233" s="77"/>
      <c r="BM233" s="76"/>
      <c r="BN233" s="77"/>
      <c r="BO233" s="76"/>
      <c r="BP233" s="76"/>
      <c r="BQ233" s="76"/>
      <c r="BR233" s="76"/>
      <c r="BS233" s="76"/>
      <c r="BT233" s="77"/>
      <c r="BU233" s="76"/>
      <c r="BV233" s="77"/>
      <c r="BW233" s="76"/>
      <c r="BX233" s="76"/>
      <c r="BY233" s="76"/>
      <c r="BZ233" s="76"/>
      <c r="CA233" s="76"/>
      <c r="CB233" s="77"/>
      <c r="CC233" s="76"/>
      <c r="CD233" s="77"/>
      <c r="CE233" s="76"/>
      <c r="CF233" s="76"/>
      <c r="CG233" s="76"/>
      <c r="CH233" s="76"/>
      <c r="CI233" s="76"/>
      <c r="CJ233" s="77"/>
      <c r="CK233" s="76"/>
      <c r="CL233" s="77"/>
      <c r="CM233" s="76"/>
      <c r="CN233" s="76"/>
      <c r="CO233" s="76"/>
      <c r="CP233" s="76"/>
      <c r="CQ233" s="76"/>
      <c r="CR233" s="78" t="str">
        <f t="shared" si="63"/>
        <v/>
      </c>
      <c r="CS233" s="79" t="str">
        <f t="shared" si="64"/>
        <v/>
      </c>
      <c r="CT233" s="79" t="str">
        <f t="shared" si="65"/>
        <v/>
      </c>
      <c r="CU233" s="79" t="str">
        <f t="shared" si="66"/>
        <v/>
      </c>
      <c r="CV233" s="79" t="str">
        <f t="shared" si="67"/>
        <v/>
      </c>
      <c r="CW233" s="79" t="str">
        <f t="shared" si="68"/>
        <v/>
      </c>
      <c r="CX233" s="79" t="str">
        <f t="shared" si="69"/>
        <v/>
      </c>
      <c r="CY233" s="79" t="str">
        <f t="shared" si="70"/>
        <v/>
      </c>
      <c r="CZ233" s="79" t="str">
        <f t="shared" si="71"/>
        <v/>
      </c>
      <c r="DA233" s="79" t="str">
        <f t="shared" si="72"/>
        <v/>
      </c>
      <c r="DB233" s="79" t="str">
        <f t="shared" si="73"/>
        <v/>
      </c>
      <c r="DC233" s="79" t="str">
        <f t="shared" si="74"/>
        <v/>
      </c>
      <c r="DD233" s="79" t="str">
        <f t="shared" si="75"/>
        <v/>
      </c>
      <c r="DE233" s="79" t="str">
        <f t="shared" si="76"/>
        <v/>
      </c>
      <c r="DF233" s="79" t="str">
        <f t="shared" si="77"/>
        <v/>
      </c>
      <c r="DG233" s="79" t="str">
        <f t="shared" si="78"/>
        <v/>
      </c>
      <c r="DH233" s="76"/>
      <c r="DI233" s="78"/>
      <c r="DJ233" s="76"/>
      <c r="DK233" s="77"/>
      <c r="DL233" s="77"/>
      <c r="DM233" s="77"/>
      <c r="DN233" s="80"/>
      <c r="DO233" s="80"/>
      <c r="DP233" s="92" t="str">
        <f>IF(Table1[Start Date]="","",IF(Table1[Start Date]&gt;42185,"",IF(AND(Table1[Leaving Date]&gt;1,Table1[Leaving Date]&lt;42095),"",1)))</f>
        <v/>
      </c>
      <c r="DQ233" s="92" t="str">
        <f>IF(Table1[Start Date]="","",IF(Table1[Start Date]&gt;42277,"",IF(AND(Table1[Leaving Date]&gt;1,Table1[Leaving Date]&lt;42186),"",1)))</f>
        <v/>
      </c>
      <c r="DR233" s="92" t="str">
        <f>IF(Table1[Start Date]="","",IF(Table1[Start Date]&gt;42369,"",IF(AND(Table1[Leaving Date]&gt;1,Table1[Leaving Date]&lt;42278),"",1)))</f>
        <v/>
      </c>
      <c r="DS233" s="92" t="str">
        <f>IF(Table1[Start Date]="","",IF(Table1[Start Date]&gt;42460,"",IF(AND(Table1[Leaving Date]&gt;1,Table1[Leaving Date]&lt;42370),"",1)))</f>
        <v/>
      </c>
      <c r="DT233" s="92" t="str">
        <f>IF(Table1[Start Date]="","",IF(Table1[Start Date]&gt;42551,"",IF(AND(Table1[Leaving Date]&gt;1,Table1[Leaving Date]&lt;42461),"",1)))</f>
        <v/>
      </c>
      <c r="DU233" s="92" t="str">
        <f>IF(Table1[Start Date]="","",IF(Table1[Start Date]&gt;42643,"",IF(AND(Table1[Leaving Date]&gt;1,Table1[Leaving Date]&lt;42552),"",1)))</f>
        <v/>
      </c>
      <c r="DV233" s="92" t="str">
        <f>IF(Table1[Start Date]="","",IF(Table1[Start Date]&gt;42735,"",IF(AND(Table1[Leaving Date]&gt;1,Table1[Leaving Date]&lt;42644),"",1)))</f>
        <v/>
      </c>
      <c r="DW233" s="92" t="str">
        <f>IF(Table1[Start Date]="","",IF(Table1[Start Date]&gt;42825,"",IF(AND(Table1[Leaving Date]&gt;1,Table1[Leaving Date]&lt;42736),"",1)))</f>
        <v/>
      </c>
      <c r="DX233"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233" s="44" t="e">
        <f>VLOOKUP(Table1[Referral Source],Lists!$G$2:$H$20,2,FALSE)</f>
        <v>#N/A</v>
      </c>
      <c r="DZ233" s="93" t="e">
        <f>SUM(Table1[Data Referral Quarter]+Table1[Data Referral Source])</f>
        <v>#N/A</v>
      </c>
      <c r="EA233" s="44" t="b">
        <f>IF(Table1[Referral Decision]="Accepted",100,IF(Table1[Referral Decision]="Rejected by Provider",200,IF(Table1[Referral Decision]="Rejected by Applicant",300)))</f>
        <v>0</v>
      </c>
      <c r="EB233" s="44">
        <f>SUM(Table1[Data Referral Quarter]+Table1[Data Referral Decision])</f>
        <v>0</v>
      </c>
      <c r="EC233" s="44" t="b">
        <f>IF(Table1[Start Date]&gt;42735,8000,IF(Table1[Start Date]&gt;42643,7000,IF(Table1[Start Date]&gt;42551,6000,IF(Table1[Start Date]&gt;42460,5000,IF(Table1[Start Date]&gt;42369,4000,IF(Table1[Start Date]&gt;42277,3000,IF(Table1[Start Date]&gt;42185,2000,IF(Table1[Start Date]&gt;42094,1000))))))))</f>
        <v>0</v>
      </c>
      <c r="ED233" s="44" t="str">
        <f>IF(Table1[Start Date]="","",IF(Table1[Current Local Authority]="Swindon",1,"2"))</f>
        <v/>
      </c>
      <c r="EE233" s="44" t="e">
        <f>SUM(Table1[Data Start Date]+Table1[Data Local Authority])</f>
        <v>#VALUE!</v>
      </c>
      <c r="EF233" s="44">
        <f>IF(Table1[Registered with GP]="Yes",1,0)</f>
        <v>0</v>
      </c>
      <c r="EG233" s="44">
        <f>SUM(Table1[Data Start Date]+Table1[Data GP Start])</f>
        <v>0</v>
      </c>
      <c r="EH233" s="44" t="str">
        <f>IF(Table1[EET]="NEET",1,IF(Table1[EET]="Education",2,IF(Table1[EET]="Employment",2,IF(Table1[EET]="Training",2,IF(Table1[EET]="Retired",3,"")))))</f>
        <v/>
      </c>
      <c r="EI233" s="44" t="e">
        <f>Table1[Data Start Date]+Table1[Data EET Start]</f>
        <v>#VALUE!</v>
      </c>
      <c r="EJ233" s="44" t="b">
        <f>IF(Table1[Leaving Date]&gt;42735,8000,IF(Table1[Leaving Date]&gt;42643,7000,IF(Table1[Leaving Date]&gt;42551,6000,IF(Table1[Leaving Date]&gt;42460,5000,IF(Table1[Leaving Date]&gt;42369,4000,IF(Table1[Leaving Date]&gt;42277,3000,IF(Table1[Leaving Date]&gt;42185,2000,IF(Table1[Leaving Date]&gt;42094,1000))))))))</f>
        <v>0</v>
      </c>
      <c r="EK233" s="44" t="e">
        <f>VLOOKUP(Table1[Reason for Leaving],Lists!$T$2:$U$15,2,FALSE)</f>
        <v>#N/A</v>
      </c>
      <c r="EL233" s="44" t="e">
        <f>SUM(Table1[Data Leavers Date]+Table1[Data Move On])</f>
        <v>#N/A</v>
      </c>
      <c r="EM233" s="44" t="b">
        <f>IF(Table1[Registered with GP2]="Yes",1,IF(Table1[Registered with GP2]="No",0,IF(Table1[Registered with GP]="Yes",1,IF(Table1[Registered with GP]="No",0))))</f>
        <v>0</v>
      </c>
      <c r="EN233" s="44">
        <f>SUM(Table1[Data Leavers Date]+Table1[Data GP End])</f>
        <v>0</v>
      </c>
      <c r="EO233" s="44" t="str">
        <f>IF(Table1[EET2]="NEET",1,IF(Table1[EET2]="Employment",2,IF(Table1[EET2]="Education",2,IF(Table1[EET2]="Training",2,IF(Table1[EET2]="Retired",3,IF(Table1[EET]="NEET",1,IF(Table1[EET]="Employment",2,IF(Table1[EET]="Education",2,IF(Table1[EET]="Training",2,IF(Table1[EET]="Retired",3,""))))))))))</f>
        <v/>
      </c>
      <c r="EP233" s="44" t="e">
        <f>+Table1[[#This Row],[Data Leavers Date]]+Table1[[#This Row],[Data EET End]]</f>
        <v>#VALUE!</v>
      </c>
      <c r="EQ233" s="44">
        <f>IF(Table1[Exit Form Received]="Yes",1,0)</f>
        <v>0</v>
      </c>
      <c r="ER233" s="44">
        <f>+Table1[[#This Row],[Data Leavers Date]]+Table1[[#This Row],[Data Exit Forms]]</f>
        <v>0</v>
      </c>
      <c r="ES233" s="44" t="str">
        <f>IF(Table1[Data Leavers Date]=1000,SUM(Table1[Leaving Date]-Table1[Start Date]),"")</f>
        <v/>
      </c>
      <c r="ET233" s="44" t="str">
        <f>IF(Table1[Data Leavers Date]=2000,SUM(Table1[Leaving Date]-Table1[Start Date]),"")</f>
        <v/>
      </c>
      <c r="EU233" s="44" t="str">
        <f>IF(Table1[Data Leavers Date]=3000,SUM(Table1[Leaving Date]-Table1[Start Date]),"")</f>
        <v/>
      </c>
      <c r="EV233" s="44" t="str">
        <f>IF(Table1[Data Leavers Date]=4000,SUM(Table1[Leaving Date]-Table1[Start Date]),"")</f>
        <v/>
      </c>
      <c r="EW233" s="44" t="str">
        <f>IF(Table1[Data Leavers Date]=5000,SUM(Table1[Leaving Date]-Table1[Start Date]),"")</f>
        <v/>
      </c>
      <c r="EX233" s="44" t="str">
        <f>IF(Table1[Data Leavers Date]=6000,SUM(Table1[Leaving Date]-Table1[Start Date]),"")</f>
        <v/>
      </c>
      <c r="EY233" s="44" t="str">
        <f>IF(Table1[Data Leavers Date]=7000,SUM(Table1[Leaving Date]-Table1[Start Date]),"")</f>
        <v/>
      </c>
      <c r="EZ233" s="44" t="str">
        <f>IF(Table1[Data Leavers Date]=8000,SUM(Table1[Leaving Date]-Table1[Start Date]),"")</f>
        <v/>
      </c>
      <c r="FA233" s="44" t="str">
        <f>IF(Table1[Date of Initial Assessment]="","",IF(AND(Table1[Start Date]&gt;42094,Table1[Start Date]&lt;42461),Table1[Motivation and Taking Responsibility],""))</f>
        <v/>
      </c>
      <c r="FB233" s="44" t="str">
        <f>IF(Table1[Date of Initial Assessment]="","",IF(AND(Table1[Start Date]&gt;42094,Table1[Start Date]&lt;42461),Table1[Self-Care and Living Skills],""))</f>
        <v/>
      </c>
      <c r="FC233" s="44" t="str">
        <f>IF(Table1[Date of Initial Assessment]="","",IF(AND(Table1[Start Date]&gt;42094,Table1[Start Date]&lt;42461),Table1[Managing Money and Personal Administration],""))</f>
        <v/>
      </c>
      <c r="FD233" s="44" t="str">
        <f>IF(Table1[Date of Initial Assessment]="","",IF(AND(Table1[Start Date]&gt;42094,Table1[Start Date]&lt;42461),Table1[Social Networks and Relationships],""))</f>
        <v/>
      </c>
      <c r="FE233" s="44" t="str">
        <f>IF(Table1[Date of Initial Assessment]="","",IF(AND(Table1[Start Date]&gt;42094,Table1[Start Date]&lt;42461),Table1[Drug and Alcohol Misuse],""))</f>
        <v/>
      </c>
      <c r="FF233" s="44" t="str">
        <f>IF(Table1[Date of Initial Assessment]="","",IF(AND(Table1[Start Date]&gt;42094,Table1[Start Date]&lt;42461),Table1[Physical Health],""))</f>
        <v/>
      </c>
      <c r="FG233" s="44" t="str">
        <f>IF(Table1[Date of Initial Assessment]="","",IF(AND(Table1[Start Date]&gt;42094,Table1[Start Date]&lt;42461),Table1[Emotional and Mental Health],""))</f>
        <v/>
      </c>
      <c r="FH233" s="44" t="str">
        <f>IF(Table1[Date of Initial Assessment]="","",IF(AND(Table1[Start Date]&gt;42094,Table1[Start Date]&lt;42461),Table1[Meaningful Use of Time],""))</f>
        <v/>
      </c>
      <c r="FI233" s="44" t="str">
        <f>IF(Table1[Date of Initial Assessment]="","",IF(AND(Table1[Start Date]&gt;42094,Table1[Start Date]&lt;42461),Table1[Managing Tenancy and Accommodation],""))</f>
        <v/>
      </c>
      <c r="FJ233" s="44" t="str">
        <f>IF(Table1[Date of Initial Assessment]="","",IF(AND(Table1[Start Date]&gt;42094,Table1[Start Date]&lt;42461),Table1[Offending],""))</f>
        <v/>
      </c>
      <c r="FK233" s="44" t="str">
        <f>IF(Table1[Leaving Date]="","",IF(Table1[Date of Initial Assessment]="","",IF(AND(Table1[Leaving Date]&gt;42094,Table1[Leaving Date]&lt;42461),IF(Table1[Date of Last Assessment]="",Table1[Motivation and Taking Responsibility],Table1[Motivation and Taking Responsibility2]),"")))</f>
        <v/>
      </c>
      <c r="FL233" s="44" t="str">
        <f>IF(Table1[Leaving Date]="","",IF(Table1[Date of Initial Assessment]="","",IF(AND(Table1[Leaving Date]&gt;42094,Table1[Leaving Date]&lt;42461),IF(Table1[Date of Last Assessment]="",Table1[Self-Care and Living Skills],Table1[Self-Care and Living Skills2]),"")))</f>
        <v/>
      </c>
      <c r="FM233" s="44" t="str">
        <f>IF(Table1[Leaving Date]="","",IF(Table1[Date of Initial Assessment]="","",IF(AND(Table1[Leaving Date]&gt;42094,Table1[Leaving Date]&lt;42461),IF(Table1[Date of Last Assessment]="",Table1[Managing Money and Personal Administration],Table1[Managing Money and Personal Administration2]),"")))</f>
        <v/>
      </c>
      <c r="FN233" s="44" t="str">
        <f>IF(Table1[Leaving Date]="","",IF(Table1[Date of Initial Assessment]="","",IF(AND(Table1[Leaving Date]&gt;42094,Table1[Leaving Date]&lt;42461),IF(Table1[Date of Last Assessment]="",Table1[Social Networks and Relationships],Table1[Social Networks and Relationships2]),"")))</f>
        <v/>
      </c>
      <c r="FO233" s="44" t="str">
        <f>IF(Table1[Leaving Date]="","",IF(Table1[Date of Initial Assessment]="","",IF(AND(Table1[Leaving Date]&gt;42094,Table1[Leaving Date]&lt;42461),IF(Table1[Date of Last Assessment]="",Table1[Drug and Alcohol Misuse],Table1[Drug and Alcohol Misuse2]),"")))</f>
        <v/>
      </c>
      <c r="FP233" s="44" t="str">
        <f>IF(Table1[Leaving Date]="","",IF(Table1[Date of Initial Assessment]="","",IF(AND(Table1[Leaving Date]&gt;42094,Table1[Leaving Date]&lt;42461),IF(Table1[Date of Last Assessment]="",Table1[Physical Health],Table1[Physical Health2]),"")))</f>
        <v/>
      </c>
      <c r="FQ233" s="44" t="str">
        <f>IF(Table1[Leaving Date]="","",IF(Table1[Date of Initial Assessment]="","",IF(AND(Table1[Leaving Date]&gt;42094,Table1[Leaving Date]&lt;42461),IF(Table1[Date of Last Assessment]="",Table1[Emotional and Mental Health],Table1[Emotional and Mental Health2]),"")))</f>
        <v/>
      </c>
      <c r="FR233" s="44" t="str">
        <f>IF(Table1[Leaving Date]="","",IF(Table1[Date of Initial Assessment]="","",IF(AND(Table1[Leaving Date]&gt;42094,Table1[Leaving Date]&lt;42461),IF(Table1[Date of Last Assessment]="",Table1[Meaningful Use of Time],Table1[Meaningful Use of Time2]),"")))</f>
        <v/>
      </c>
      <c r="FS233" s="44" t="str">
        <f>IF(Table1[Leaving Date]="","",IF(Table1[Date of Initial Assessment]="","",IF(AND(Table1[Leaving Date]&gt;42094,Table1[Leaving Date]&lt;42461),IF(Table1[Date of Last Assessment]="",Table1[Managing Tenancy and Accommodation],Table1[Managing Tenancy and Accommodation2]),"")))</f>
        <v/>
      </c>
      <c r="FT233" s="44" t="str">
        <f>IF(Table1[Leaving Date]="","",IF(Table1[Date of Initial Assessment]="","",IF(AND(Table1[Leaving Date]&gt;42094,Table1[Leaving Date]&lt;42461),IF(Table1[Date of Last Assessment]="",Table1[Offending],Table1[Offending2]),"")))</f>
        <v/>
      </c>
      <c r="FU233" s="44" t="str">
        <f>IF(Table1[Date of Initial Assessment]="","",IF(AND(Table1[Start Date]&gt;42460,Table1[Start Date]&lt;42826),Table1[Motivation and Taking Responsibility],""))</f>
        <v/>
      </c>
      <c r="FV233" s="44" t="str">
        <f>IF(Table1[Date of Initial Assessment]="","",IF(AND(Table1[Start Date]&gt;42460,Table1[Start Date]&lt;42826),Table1[Self-Care and Living Skills],""))</f>
        <v/>
      </c>
      <c r="FW233" s="44" t="str">
        <f>IF(Table1[Date of Initial Assessment]="","",IF(AND(Table1[Start Date]&gt;42460,Table1[Start Date]&lt;42826),Table1[Managing Money and Personal Administration],""))</f>
        <v/>
      </c>
      <c r="FX233" s="44" t="str">
        <f>IF(Table1[Date of Initial Assessment]="","",IF(AND(Table1[Start Date]&gt;42460,Table1[Start Date]&lt;42826),Table1[Social Networks and Relationships],""))</f>
        <v/>
      </c>
      <c r="FY233" s="44" t="str">
        <f>IF(Table1[Date of Initial Assessment]="","",IF(AND(Table1[Start Date]&gt;42460,Table1[Start Date]&lt;42826),Table1[Drug and Alcohol Misuse],""))</f>
        <v/>
      </c>
      <c r="FZ233" s="44" t="str">
        <f>IF(Table1[Date of Initial Assessment]="","",IF(AND(Table1[Start Date]&gt;42460,Table1[Start Date]&lt;42826),Table1[Physical Health],""))</f>
        <v/>
      </c>
      <c r="GA233" s="44" t="str">
        <f>IF(Table1[Date of Initial Assessment]="","",IF(AND(Table1[Start Date]&gt;42460,Table1[Start Date]&lt;42826),Table1[Emotional and Mental Health],""))</f>
        <v/>
      </c>
      <c r="GB233" s="44" t="str">
        <f>IF(Table1[Date of Initial Assessment]="","",IF(AND(Table1[Start Date]&gt;42460,Table1[Start Date]&lt;42826),Table1[Meaningful Use of Time],""))</f>
        <v/>
      </c>
      <c r="GC233" s="44" t="str">
        <f>IF(Table1[Date of Initial Assessment]="","",IF(AND(Table1[Start Date]&gt;42460,Table1[Start Date]&lt;42826),Table1[Managing Tenancy and Accommodation],""))</f>
        <v/>
      </c>
      <c r="GD233" s="44" t="str">
        <f>IF(Table1[Date of Initial Assessment]="","",IF(AND(Table1[Start Date]&gt;42460,Table1[Start Date]&lt;42826),Table1[Offending],""))</f>
        <v/>
      </c>
      <c r="GE233" s="44" t="str">
        <f>IF(Table1[Leaving Date]="","",IF(AND(Table1[Leaving Date]&gt;42460,Table1[Leaving Date]&lt;42826),IF(Table1[Date of Last Assessment]="",Table1[Motivation and Taking Responsibility],Table1[Motivation and Taking Responsibility2]),""))</f>
        <v/>
      </c>
      <c r="GF233" s="44" t="str">
        <f>IF(Table1[Leaving Date]="","",IF(AND(Table1[Leaving Date]&gt;42460,Table1[Leaving Date]&lt;42826),IF(Table1[Date of Last Assessment]="",Table1[Self-Care and Living Skills],Table1[Self-Care and Living Skills2]),""))</f>
        <v/>
      </c>
      <c r="GG233" s="44" t="str">
        <f>IF(Table1[Leaving Date]="","",IF(AND(Table1[Leaving Date]&gt;42460,Table1[Leaving Date]&lt;42826),IF(Table1[Date of Last Assessment]="",Table1[Managing Money and Personal Administration],Table1[Managing Money and Personal Administration2]),""))</f>
        <v/>
      </c>
      <c r="GH233" s="44" t="str">
        <f>IF(Table1[Leaving Date]="","",IF(AND(Table1[Leaving Date]&gt;42460,Table1[Leaving Date]&lt;42826),IF(Table1[Date of Last Assessment]="",Table1[Social Networks and Relationships],Table1[Social Networks and Relationships2]),""))</f>
        <v/>
      </c>
      <c r="GI233" s="44" t="str">
        <f>IF(Table1[Leaving Date]="","",IF(AND(Table1[Leaving Date]&gt;42460,Table1[Leaving Date]&lt;42826),IF(Table1[Date of Last Assessment]="",Table1[Drug and Alcohol Misuse],Table1[Drug and Alcohol Misuse2]),""))</f>
        <v/>
      </c>
      <c r="GJ233" s="44" t="str">
        <f>IF(Table1[Leaving Date]="","",IF(AND(Table1[Leaving Date]&gt;42460,Table1[Leaving Date]&lt;42826),IF(Table1[Date of Last Assessment]="",Table1[Physical Health],Table1[Physical Health2]),""))</f>
        <v/>
      </c>
      <c r="GK233" s="44" t="str">
        <f>IF(Table1[Leaving Date]="","",IF(AND(Table1[Leaving Date]&gt;42460,Table1[Leaving Date]&lt;42826),IF(Table1[Date of Last Assessment]="",Table1[Emotional and Mental Health],Table1[Emotional and Mental Health2]),""))</f>
        <v/>
      </c>
      <c r="GL233" s="44" t="str">
        <f>IF(Table1[Leaving Date]="","",IF(AND(Table1[Leaving Date]&gt;42460,Table1[Leaving Date]&lt;42826),IF(Table1[Date of Last Assessment]="",Table1[Meaningful Use of Time],Table1[Meaningful Use of Time2]),""))</f>
        <v/>
      </c>
      <c r="GM233" s="44" t="str">
        <f>IF(Table1[Leaving Date]="","",IF(AND(Table1[Leaving Date]&gt;42460,Table1[Leaving Date]&lt;42826),IF(Table1[Date of Last Assessment]="",Table1[Managing Tenancy and Accommodation],Table1[Managing Tenancy and Accommodation2]),""))</f>
        <v/>
      </c>
      <c r="GN233" s="44" t="str">
        <f>IF(Table1[Leaving Date]="","",IF(AND(Table1[Leaving Date]&gt;42460,Table1[Leaving Date]&lt;42826),IF(Table1[Date of Last Assessment]="",Table1[Offending],Table1[Offending2]),""))</f>
        <v/>
      </c>
    </row>
    <row r="234" spans="2:196" ht="20.100000000000001" customHeight="1" x14ac:dyDescent="0.2">
      <c r="B234" s="86">
        <f>+'Service Data'!$C$5:$C$5</f>
        <v>0</v>
      </c>
      <c r="C234" s="86"/>
      <c r="D234" s="86"/>
      <c r="E234" s="86"/>
      <c r="F234" s="86"/>
      <c r="G234" s="86"/>
      <c r="H234" s="6"/>
      <c r="I234" s="99" t="str">
        <f ca="1">IF(Table1[[#This Row],[Date of Birth]]="","",SUM(TODAY()-Table1[[#This Row],[Date of Birth]])/365)</f>
        <v/>
      </c>
      <c r="L234" s="86"/>
      <c r="M234" s="77"/>
      <c r="N234" s="86"/>
      <c r="O234" s="86"/>
      <c r="P234" s="91"/>
      <c r="Q234" s="86"/>
      <c r="R234" s="77"/>
      <c r="S234" s="77"/>
      <c r="T234" s="68"/>
      <c r="U234" s="68"/>
      <c r="V234" s="67"/>
      <c r="W234" s="67"/>
      <c r="X234" s="67"/>
      <c r="Y234" s="67"/>
      <c r="Z234" s="67"/>
      <c r="AA234" s="67"/>
      <c r="AB234" s="67"/>
      <c r="AC234" s="67"/>
      <c r="AD234" s="67"/>
      <c r="AE234" s="67"/>
      <c r="AF234" s="67"/>
      <c r="AG234" s="67"/>
      <c r="AH234" s="67"/>
      <c r="AI234" s="67"/>
      <c r="AJ234" s="67"/>
      <c r="AK234" s="67"/>
      <c r="AL234" s="67"/>
      <c r="AM234" s="67"/>
      <c r="AN234" s="77"/>
      <c r="AO234" s="76"/>
      <c r="AP234" s="77"/>
      <c r="AQ234" s="76"/>
      <c r="AR234" s="76"/>
      <c r="AS234" s="76"/>
      <c r="AT234" s="76"/>
      <c r="AU234" s="76"/>
      <c r="AV234" s="77"/>
      <c r="AW234" s="76"/>
      <c r="AX234" s="77"/>
      <c r="AY234" s="76"/>
      <c r="AZ234" s="76"/>
      <c r="BA234" s="76"/>
      <c r="BB234" s="76"/>
      <c r="BC234" s="76"/>
      <c r="BD234" s="77"/>
      <c r="BE234" s="76"/>
      <c r="BF234" s="77"/>
      <c r="BG234" s="76"/>
      <c r="BH234" s="76"/>
      <c r="BI234" s="76"/>
      <c r="BJ234" s="76"/>
      <c r="BK234" s="76"/>
      <c r="BL234" s="77"/>
      <c r="BM234" s="76"/>
      <c r="BN234" s="77"/>
      <c r="BO234" s="76"/>
      <c r="BP234" s="76"/>
      <c r="BQ234" s="76"/>
      <c r="BR234" s="76"/>
      <c r="BS234" s="76"/>
      <c r="BT234" s="77"/>
      <c r="BU234" s="76"/>
      <c r="BV234" s="77"/>
      <c r="BW234" s="76"/>
      <c r="BX234" s="76"/>
      <c r="BY234" s="76"/>
      <c r="BZ234" s="76"/>
      <c r="CA234" s="76"/>
      <c r="CB234" s="77"/>
      <c r="CC234" s="76"/>
      <c r="CD234" s="77"/>
      <c r="CE234" s="76"/>
      <c r="CF234" s="76"/>
      <c r="CG234" s="76"/>
      <c r="CH234" s="76"/>
      <c r="CI234" s="76"/>
      <c r="CJ234" s="77"/>
      <c r="CK234" s="76"/>
      <c r="CL234" s="77"/>
      <c r="CM234" s="76"/>
      <c r="CN234" s="76"/>
      <c r="CO234" s="76"/>
      <c r="CP234" s="76"/>
      <c r="CQ234" s="76"/>
      <c r="CR234" s="78" t="str">
        <f t="shared" si="63"/>
        <v/>
      </c>
      <c r="CS234" s="79" t="str">
        <f t="shared" si="64"/>
        <v/>
      </c>
      <c r="CT234" s="79" t="str">
        <f t="shared" si="65"/>
        <v/>
      </c>
      <c r="CU234" s="79" t="str">
        <f t="shared" si="66"/>
        <v/>
      </c>
      <c r="CV234" s="79" t="str">
        <f t="shared" si="67"/>
        <v/>
      </c>
      <c r="CW234" s="79" t="str">
        <f t="shared" si="68"/>
        <v/>
      </c>
      <c r="CX234" s="79" t="str">
        <f t="shared" si="69"/>
        <v/>
      </c>
      <c r="CY234" s="79" t="str">
        <f t="shared" si="70"/>
        <v/>
      </c>
      <c r="CZ234" s="79" t="str">
        <f t="shared" si="71"/>
        <v/>
      </c>
      <c r="DA234" s="79" t="str">
        <f t="shared" si="72"/>
        <v/>
      </c>
      <c r="DB234" s="79" t="str">
        <f t="shared" si="73"/>
        <v/>
      </c>
      <c r="DC234" s="79" t="str">
        <f t="shared" si="74"/>
        <v/>
      </c>
      <c r="DD234" s="79" t="str">
        <f t="shared" si="75"/>
        <v/>
      </c>
      <c r="DE234" s="79" t="str">
        <f t="shared" si="76"/>
        <v/>
      </c>
      <c r="DF234" s="79" t="str">
        <f t="shared" si="77"/>
        <v/>
      </c>
      <c r="DG234" s="79" t="str">
        <f t="shared" si="78"/>
        <v/>
      </c>
      <c r="DH234" s="76"/>
      <c r="DI234" s="78"/>
      <c r="DJ234" s="76"/>
      <c r="DK234" s="77"/>
      <c r="DL234" s="77"/>
      <c r="DM234" s="77"/>
      <c r="DN234" s="80"/>
      <c r="DO234" s="80"/>
      <c r="DP234" s="92" t="str">
        <f>IF(Table1[Start Date]="","",IF(Table1[Start Date]&gt;42185,"",IF(AND(Table1[Leaving Date]&gt;1,Table1[Leaving Date]&lt;42095),"",1)))</f>
        <v/>
      </c>
      <c r="DQ234" s="92" t="str">
        <f>IF(Table1[Start Date]="","",IF(Table1[Start Date]&gt;42277,"",IF(AND(Table1[Leaving Date]&gt;1,Table1[Leaving Date]&lt;42186),"",1)))</f>
        <v/>
      </c>
      <c r="DR234" s="92" t="str">
        <f>IF(Table1[Start Date]="","",IF(Table1[Start Date]&gt;42369,"",IF(AND(Table1[Leaving Date]&gt;1,Table1[Leaving Date]&lt;42278),"",1)))</f>
        <v/>
      </c>
      <c r="DS234" s="92" t="str">
        <f>IF(Table1[Start Date]="","",IF(Table1[Start Date]&gt;42460,"",IF(AND(Table1[Leaving Date]&gt;1,Table1[Leaving Date]&lt;42370),"",1)))</f>
        <v/>
      </c>
      <c r="DT234" s="92" t="str">
        <f>IF(Table1[Start Date]="","",IF(Table1[Start Date]&gt;42551,"",IF(AND(Table1[Leaving Date]&gt;1,Table1[Leaving Date]&lt;42461),"",1)))</f>
        <v/>
      </c>
      <c r="DU234" s="92" t="str">
        <f>IF(Table1[Start Date]="","",IF(Table1[Start Date]&gt;42643,"",IF(AND(Table1[Leaving Date]&gt;1,Table1[Leaving Date]&lt;42552),"",1)))</f>
        <v/>
      </c>
      <c r="DV234" s="92" t="str">
        <f>IF(Table1[Start Date]="","",IF(Table1[Start Date]&gt;42735,"",IF(AND(Table1[Leaving Date]&gt;1,Table1[Leaving Date]&lt;42644),"",1)))</f>
        <v/>
      </c>
      <c r="DW234" s="92" t="str">
        <f>IF(Table1[Start Date]="","",IF(Table1[Start Date]&gt;42825,"",IF(AND(Table1[Leaving Date]&gt;1,Table1[Leaving Date]&lt;42736),"",1)))</f>
        <v/>
      </c>
      <c r="DX234"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234" s="44" t="e">
        <f>VLOOKUP(Table1[Referral Source],Lists!$G$2:$H$20,2,FALSE)</f>
        <v>#N/A</v>
      </c>
      <c r="DZ234" s="93" t="e">
        <f>SUM(Table1[Data Referral Quarter]+Table1[Data Referral Source])</f>
        <v>#N/A</v>
      </c>
      <c r="EA234" s="44" t="b">
        <f>IF(Table1[Referral Decision]="Accepted",100,IF(Table1[Referral Decision]="Rejected by Provider",200,IF(Table1[Referral Decision]="Rejected by Applicant",300)))</f>
        <v>0</v>
      </c>
      <c r="EB234" s="44">
        <f>SUM(Table1[Data Referral Quarter]+Table1[Data Referral Decision])</f>
        <v>0</v>
      </c>
      <c r="EC234" s="44" t="b">
        <f>IF(Table1[Start Date]&gt;42735,8000,IF(Table1[Start Date]&gt;42643,7000,IF(Table1[Start Date]&gt;42551,6000,IF(Table1[Start Date]&gt;42460,5000,IF(Table1[Start Date]&gt;42369,4000,IF(Table1[Start Date]&gt;42277,3000,IF(Table1[Start Date]&gt;42185,2000,IF(Table1[Start Date]&gt;42094,1000))))))))</f>
        <v>0</v>
      </c>
      <c r="ED234" s="44" t="str">
        <f>IF(Table1[Start Date]="","",IF(Table1[Current Local Authority]="Swindon",1,"2"))</f>
        <v/>
      </c>
      <c r="EE234" s="44" t="e">
        <f>SUM(Table1[Data Start Date]+Table1[Data Local Authority])</f>
        <v>#VALUE!</v>
      </c>
      <c r="EF234" s="44">
        <f>IF(Table1[Registered with GP]="Yes",1,0)</f>
        <v>0</v>
      </c>
      <c r="EG234" s="44">
        <f>SUM(Table1[Data Start Date]+Table1[Data GP Start])</f>
        <v>0</v>
      </c>
      <c r="EH234" s="44" t="str">
        <f>IF(Table1[EET]="NEET",1,IF(Table1[EET]="Education",2,IF(Table1[EET]="Employment",2,IF(Table1[EET]="Training",2,IF(Table1[EET]="Retired",3,"")))))</f>
        <v/>
      </c>
      <c r="EI234" s="44" t="e">
        <f>Table1[Data Start Date]+Table1[Data EET Start]</f>
        <v>#VALUE!</v>
      </c>
      <c r="EJ234" s="44" t="b">
        <f>IF(Table1[Leaving Date]&gt;42735,8000,IF(Table1[Leaving Date]&gt;42643,7000,IF(Table1[Leaving Date]&gt;42551,6000,IF(Table1[Leaving Date]&gt;42460,5000,IF(Table1[Leaving Date]&gt;42369,4000,IF(Table1[Leaving Date]&gt;42277,3000,IF(Table1[Leaving Date]&gt;42185,2000,IF(Table1[Leaving Date]&gt;42094,1000))))))))</f>
        <v>0</v>
      </c>
      <c r="EK234" s="44" t="e">
        <f>VLOOKUP(Table1[Reason for Leaving],Lists!$T$2:$U$15,2,FALSE)</f>
        <v>#N/A</v>
      </c>
      <c r="EL234" s="44" t="e">
        <f>SUM(Table1[Data Leavers Date]+Table1[Data Move On])</f>
        <v>#N/A</v>
      </c>
      <c r="EM234" s="44" t="b">
        <f>IF(Table1[Registered with GP2]="Yes",1,IF(Table1[Registered with GP2]="No",0,IF(Table1[Registered with GP]="Yes",1,IF(Table1[Registered with GP]="No",0))))</f>
        <v>0</v>
      </c>
      <c r="EN234" s="44">
        <f>SUM(Table1[Data Leavers Date]+Table1[Data GP End])</f>
        <v>0</v>
      </c>
      <c r="EO234" s="44" t="str">
        <f>IF(Table1[EET2]="NEET",1,IF(Table1[EET2]="Employment",2,IF(Table1[EET2]="Education",2,IF(Table1[EET2]="Training",2,IF(Table1[EET2]="Retired",3,IF(Table1[EET]="NEET",1,IF(Table1[EET]="Employment",2,IF(Table1[EET]="Education",2,IF(Table1[EET]="Training",2,IF(Table1[EET]="Retired",3,""))))))))))</f>
        <v/>
      </c>
      <c r="EP234" s="44" t="e">
        <f>+Table1[[#This Row],[Data Leavers Date]]+Table1[[#This Row],[Data EET End]]</f>
        <v>#VALUE!</v>
      </c>
      <c r="EQ234" s="44">
        <f>IF(Table1[Exit Form Received]="Yes",1,0)</f>
        <v>0</v>
      </c>
      <c r="ER234" s="44">
        <f>+Table1[[#This Row],[Data Leavers Date]]+Table1[[#This Row],[Data Exit Forms]]</f>
        <v>0</v>
      </c>
      <c r="ES234" s="44" t="str">
        <f>IF(Table1[Data Leavers Date]=1000,SUM(Table1[Leaving Date]-Table1[Start Date]),"")</f>
        <v/>
      </c>
      <c r="ET234" s="44" t="str">
        <f>IF(Table1[Data Leavers Date]=2000,SUM(Table1[Leaving Date]-Table1[Start Date]),"")</f>
        <v/>
      </c>
      <c r="EU234" s="44" t="str">
        <f>IF(Table1[Data Leavers Date]=3000,SUM(Table1[Leaving Date]-Table1[Start Date]),"")</f>
        <v/>
      </c>
      <c r="EV234" s="44" t="str">
        <f>IF(Table1[Data Leavers Date]=4000,SUM(Table1[Leaving Date]-Table1[Start Date]),"")</f>
        <v/>
      </c>
      <c r="EW234" s="44" t="str">
        <f>IF(Table1[Data Leavers Date]=5000,SUM(Table1[Leaving Date]-Table1[Start Date]),"")</f>
        <v/>
      </c>
      <c r="EX234" s="44" t="str">
        <f>IF(Table1[Data Leavers Date]=6000,SUM(Table1[Leaving Date]-Table1[Start Date]),"")</f>
        <v/>
      </c>
      <c r="EY234" s="44" t="str">
        <f>IF(Table1[Data Leavers Date]=7000,SUM(Table1[Leaving Date]-Table1[Start Date]),"")</f>
        <v/>
      </c>
      <c r="EZ234" s="44" t="str">
        <f>IF(Table1[Data Leavers Date]=8000,SUM(Table1[Leaving Date]-Table1[Start Date]),"")</f>
        <v/>
      </c>
      <c r="FA234" s="44" t="str">
        <f>IF(Table1[Date of Initial Assessment]="","",IF(AND(Table1[Start Date]&gt;42094,Table1[Start Date]&lt;42461),Table1[Motivation and Taking Responsibility],""))</f>
        <v/>
      </c>
      <c r="FB234" s="44" t="str">
        <f>IF(Table1[Date of Initial Assessment]="","",IF(AND(Table1[Start Date]&gt;42094,Table1[Start Date]&lt;42461),Table1[Self-Care and Living Skills],""))</f>
        <v/>
      </c>
      <c r="FC234" s="44" t="str">
        <f>IF(Table1[Date of Initial Assessment]="","",IF(AND(Table1[Start Date]&gt;42094,Table1[Start Date]&lt;42461),Table1[Managing Money and Personal Administration],""))</f>
        <v/>
      </c>
      <c r="FD234" s="44" t="str">
        <f>IF(Table1[Date of Initial Assessment]="","",IF(AND(Table1[Start Date]&gt;42094,Table1[Start Date]&lt;42461),Table1[Social Networks and Relationships],""))</f>
        <v/>
      </c>
      <c r="FE234" s="44" t="str">
        <f>IF(Table1[Date of Initial Assessment]="","",IF(AND(Table1[Start Date]&gt;42094,Table1[Start Date]&lt;42461),Table1[Drug and Alcohol Misuse],""))</f>
        <v/>
      </c>
      <c r="FF234" s="44" t="str">
        <f>IF(Table1[Date of Initial Assessment]="","",IF(AND(Table1[Start Date]&gt;42094,Table1[Start Date]&lt;42461),Table1[Physical Health],""))</f>
        <v/>
      </c>
      <c r="FG234" s="44" t="str">
        <f>IF(Table1[Date of Initial Assessment]="","",IF(AND(Table1[Start Date]&gt;42094,Table1[Start Date]&lt;42461),Table1[Emotional and Mental Health],""))</f>
        <v/>
      </c>
      <c r="FH234" s="44" t="str">
        <f>IF(Table1[Date of Initial Assessment]="","",IF(AND(Table1[Start Date]&gt;42094,Table1[Start Date]&lt;42461),Table1[Meaningful Use of Time],""))</f>
        <v/>
      </c>
      <c r="FI234" s="44" t="str">
        <f>IF(Table1[Date of Initial Assessment]="","",IF(AND(Table1[Start Date]&gt;42094,Table1[Start Date]&lt;42461),Table1[Managing Tenancy and Accommodation],""))</f>
        <v/>
      </c>
      <c r="FJ234" s="44" t="str">
        <f>IF(Table1[Date of Initial Assessment]="","",IF(AND(Table1[Start Date]&gt;42094,Table1[Start Date]&lt;42461),Table1[Offending],""))</f>
        <v/>
      </c>
      <c r="FK234" s="44" t="str">
        <f>IF(Table1[Leaving Date]="","",IF(Table1[Date of Initial Assessment]="","",IF(AND(Table1[Leaving Date]&gt;42094,Table1[Leaving Date]&lt;42461),IF(Table1[Date of Last Assessment]="",Table1[Motivation and Taking Responsibility],Table1[Motivation and Taking Responsibility2]),"")))</f>
        <v/>
      </c>
      <c r="FL234" s="44" t="str">
        <f>IF(Table1[Leaving Date]="","",IF(Table1[Date of Initial Assessment]="","",IF(AND(Table1[Leaving Date]&gt;42094,Table1[Leaving Date]&lt;42461),IF(Table1[Date of Last Assessment]="",Table1[Self-Care and Living Skills],Table1[Self-Care and Living Skills2]),"")))</f>
        <v/>
      </c>
      <c r="FM234" s="44" t="str">
        <f>IF(Table1[Leaving Date]="","",IF(Table1[Date of Initial Assessment]="","",IF(AND(Table1[Leaving Date]&gt;42094,Table1[Leaving Date]&lt;42461),IF(Table1[Date of Last Assessment]="",Table1[Managing Money and Personal Administration],Table1[Managing Money and Personal Administration2]),"")))</f>
        <v/>
      </c>
      <c r="FN234" s="44" t="str">
        <f>IF(Table1[Leaving Date]="","",IF(Table1[Date of Initial Assessment]="","",IF(AND(Table1[Leaving Date]&gt;42094,Table1[Leaving Date]&lt;42461),IF(Table1[Date of Last Assessment]="",Table1[Social Networks and Relationships],Table1[Social Networks and Relationships2]),"")))</f>
        <v/>
      </c>
      <c r="FO234" s="44" t="str">
        <f>IF(Table1[Leaving Date]="","",IF(Table1[Date of Initial Assessment]="","",IF(AND(Table1[Leaving Date]&gt;42094,Table1[Leaving Date]&lt;42461),IF(Table1[Date of Last Assessment]="",Table1[Drug and Alcohol Misuse],Table1[Drug and Alcohol Misuse2]),"")))</f>
        <v/>
      </c>
      <c r="FP234" s="44" t="str">
        <f>IF(Table1[Leaving Date]="","",IF(Table1[Date of Initial Assessment]="","",IF(AND(Table1[Leaving Date]&gt;42094,Table1[Leaving Date]&lt;42461),IF(Table1[Date of Last Assessment]="",Table1[Physical Health],Table1[Physical Health2]),"")))</f>
        <v/>
      </c>
      <c r="FQ234" s="44" t="str">
        <f>IF(Table1[Leaving Date]="","",IF(Table1[Date of Initial Assessment]="","",IF(AND(Table1[Leaving Date]&gt;42094,Table1[Leaving Date]&lt;42461),IF(Table1[Date of Last Assessment]="",Table1[Emotional and Mental Health],Table1[Emotional and Mental Health2]),"")))</f>
        <v/>
      </c>
      <c r="FR234" s="44" t="str">
        <f>IF(Table1[Leaving Date]="","",IF(Table1[Date of Initial Assessment]="","",IF(AND(Table1[Leaving Date]&gt;42094,Table1[Leaving Date]&lt;42461),IF(Table1[Date of Last Assessment]="",Table1[Meaningful Use of Time],Table1[Meaningful Use of Time2]),"")))</f>
        <v/>
      </c>
      <c r="FS234" s="44" t="str">
        <f>IF(Table1[Leaving Date]="","",IF(Table1[Date of Initial Assessment]="","",IF(AND(Table1[Leaving Date]&gt;42094,Table1[Leaving Date]&lt;42461),IF(Table1[Date of Last Assessment]="",Table1[Managing Tenancy and Accommodation],Table1[Managing Tenancy and Accommodation2]),"")))</f>
        <v/>
      </c>
      <c r="FT234" s="44" t="str">
        <f>IF(Table1[Leaving Date]="","",IF(Table1[Date of Initial Assessment]="","",IF(AND(Table1[Leaving Date]&gt;42094,Table1[Leaving Date]&lt;42461),IF(Table1[Date of Last Assessment]="",Table1[Offending],Table1[Offending2]),"")))</f>
        <v/>
      </c>
      <c r="FU234" s="44" t="str">
        <f>IF(Table1[Date of Initial Assessment]="","",IF(AND(Table1[Start Date]&gt;42460,Table1[Start Date]&lt;42826),Table1[Motivation and Taking Responsibility],""))</f>
        <v/>
      </c>
      <c r="FV234" s="44" t="str">
        <f>IF(Table1[Date of Initial Assessment]="","",IF(AND(Table1[Start Date]&gt;42460,Table1[Start Date]&lt;42826),Table1[Self-Care and Living Skills],""))</f>
        <v/>
      </c>
      <c r="FW234" s="44" t="str">
        <f>IF(Table1[Date of Initial Assessment]="","",IF(AND(Table1[Start Date]&gt;42460,Table1[Start Date]&lt;42826),Table1[Managing Money and Personal Administration],""))</f>
        <v/>
      </c>
      <c r="FX234" s="44" t="str">
        <f>IF(Table1[Date of Initial Assessment]="","",IF(AND(Table1[Start Date]&gt;42460,Table1[Start Date]&lt;42826),Table1[Social Networks and Relationships],""))</f>
        <v/>
      </c>
      <c r="FY234" s="44" t="str">
        <f>IF(Table1[Date of Initial Assessment]="","",IF(AND(Table1[Start Date]&gt;42460,Table1[Start Date]&lt;42826),Table1[Drug and Alcohol Misuse],""))</f>
        <v/>
      </c>
      <c r="FZ234" s="44" t="str">
        <f>IF(Table1[Date of Initial Assessment]="","",IF(AND(Table1[Start Date]&gt;42460,Table1[Start Date]&lt;42826),Table1[Physical Health],""))</f>
        <v/>
      </c>
      <c r="GA234" s="44" t="str">
        <f>IF(Table1[Date of Initial Assessment]="","",IF(AND(Table1[Start Date]&gt;42460,Table1[Start Date]&lt;42826),Table1[Emotional and Mental Health],""))</f>
        <v/>
      </c>
      <c r="GB234" s="44" t="str">
        <f>IF(Table1[Date of Initial Assessment]="","",IF(AND(Table1[Start Date]&gt;42460,Table1[Start Date]&lt;42826),Table1[Meaningful Use of Time],""))</f>
        <v/>
      </c>
      <c r="GC234" s="44" t="str">
        <f>IF(Table1[Date of Initial Assessment]="","",IF(AND(Table1[Start Date]&gt;42460,Table1[Start Date]&lt;42826),Table1[Managing Tenancy and Accommodation],""))</f>
        <v/>
      </c>
      <c r="GD234" s="44" t="str">
        <f>IF(Table1[Date of Initial Assessment]="","",IF(AND(Table1[Start Date]&gt;42460,Table1[Start Date]&lt;42826),Table1[Offending],""))</f>
        <v/>
      </c>
      <c r="GE234" s="44" t="str">
        <f>IF(Table1[Leaving Date]="","",IF(AND(Table1[Leaving Date]&gt;42460,Table1[Leaving Date]&lt;42826),IF(Table1[Date of Last Assessment]="",Table1[Motivation and Taking Responsibility],Table1[Motivation and Taking Responsibility2]),""))</f>
        <v/>
      </c>
      <c r="GF234" s="44" t="str">
        <f>IF(Table1[Leaving Date]="","",IF(AND(Table1[Leaving Date]&gt;42460,Table1[Leaving Date]&lt;42826),IF(Table1[Date of Last Assessment]="",Table1[Self-Care and Living Skills],Table1[Self-Care and Living Skills2]),""))</f>
        <v/>
      </c>
      <c r="GG234" s="44" t="str">
        <f>IF(Table1[Leaving Date]="","",IF(AND(Table1[Leaving Date]&gt;42460,Table1[Leaving Date]&lt;42826),IF(Table1[Date of Last Assessment]="",Table1[Managing Money and Personal Administration],Table1[Managing Money and Personal Administration2]),""))</f>
        <v/>
      </c>
      <c r="GH234" s="44" t="str">
        <f>IF(Table1[Leaving Date]="","",IF(AND(Table1[Leaving Date]&gt;42460,Table1[Leaving Date]&lt;42826),IF(Table1[Date of Last Assessment]="",Table1[Social Networks and Relationships],Table1[Social Networks and Relationships2]),""))</f>
        <v/>
      </c>
      <c r="GI234" s="44" t="str">
        <f>IF(Table1[Leaving Date]="","",IF(AND(Table1[Leaving Date]&gt;42460,Table1[Leaving Date]&lt;42826),IF(Table1[Date of Last Assessment]="",Table1[Drug and Alcohol Misuse],Table1[Drug and Alcohol Misuse2]),""))</f>
        <v/>
      </c>
      <c r="GJ234" s="44" t="str">
        <f>IF(Table1[Leaving Date]="","",IF(AND(Table1[Leaving Date]&gt;42460,Table1[Leaving Date]&lt;42826),IF(Table1[Date of Last Assessment]="",Table1[Physical Health],Table1[Physical Health2]),""))</f>
        <v/>
      </c>
      <c r="GK234" s="44" t="str">
        <f>IF(Table1[Leaving Date]="","",IF(AND(Table1[Leaving Date]&gt;42460,Table1[Leaving Date]&lt;42826),IF(Table1[Date of Last Assessment]="",Table1[Emotional and Mental Health],Table1[Emotional and Mental Health2]),""))</f>
        <v/>
      </c>
      <c r="GL234" s="44" t="str">
        <f>IF(Table1[Leaving Date]="","",IF(AND(Table1[Leaving Date]&gt;42460,Table1[Leaving Date]&lt;42826),IF(Table1[Date of Last Assessment]="",Table1[Meaningful Use of Time],Table1[Meaningful Use of Time2]),""))</f>
        <v/>
      </c>
      <c r="GM234" s="44" t="str">
        <f>IF(Table1[Leaving Date]="","",IF(AND(Table1[Leaving Date]&gt;42460,Table1[Leaving Date]&lt;42826),IF(Table1[Date of Last Assessment]="",Table1[Managing Tenancy and Accommodation],Table1[Managing Tenancy and Accommodation2]),""))</f>
        <v/>
      </c>
      <c r="GN234" s="44" t="str">
        <f>IF(Table1[Leaving Date]="","",IF(AND(Table1[Leaving Date]&gt;42460,Table1[Leaving Date]&lt;42826),IF(Table1[Date of Last Assessment]="",Table1[Offending],Table1[Offending2]),""))</f>
        <v/>
      </c>
    </row>
    <row r="235" spans="2:196" ht="20.100000000000001" customHeight="1" x14ac:dyDescent="0.2">
      <c r="B235" s="86">
        <f>+'Service Data'!$C$5:$C$5</f>
        <v>0</v>
      </c>
      <c r="C235" s="86"/>
      <c r="D235" s="86"/>
      <c r="E235" s="86"/>
      <c r="F235" s="86"/>
      <c r="G235" s="86"/>
      <c r="H235" s="6"/>
      <c r="I235" s="99" t="str">
        <f ca="1">IF(Table1[[#This Row],[Date of Birth]]="","",SUM(TODAY()-Table1[[#This Row],[Date of Birth]])/365)</f>
        <v/>
      </c>
      <c r="L235" s="86"/>
      <c r="M235" s="77"/>
      <c r="N235" s="86"/>
      <c r="O235" s="86"/>
      <c r="P235" s="91"/>
      <c r="Q235" s="86"/>
      <c r="R235" s="77"/>
      <c r="S235" s="77"/>
      <c r="T235" s="68"/>
      <c r="U235" s="68"/>
      <c r="V235" s="67"/>
      <c r="W235" s="67"/>
      <c r="X235" s="67"/>
      <c r="Y235" s="67"/>
      <c r="Z235" s="67"/>
      <c r="AA235" s="67"/>
      <c r="AB235" s="67"/>
      <c r="AC235" s="67"/>
      <c r="AD235" s="67"/>
      <c r="AE235" s="67"/>
      <c r="AF235" s="67"/>
      <c r="AG235" s="67"/>
      <c r="AH235" s="67"/>
      <c r="AI235" s="67"/>
      <c r="AJ235" s="67"/>
      <c r="AK235" s="67"/>
      <c r="AL235" s="67"/>
      <c r="AM235" s="67"/>
      <c r="AN235" s="77"/>
      <c r="AO235" s="76"/>
      <c r="AP235" s="77"/>
      <c r="AQ235" s="76"/>
      <c r="AR235" s="76"/>
      <c r="AS235" s="76"/>
      <c r="AT235" s="76"/>
      <c r="AU235" s="76"/>
      <c r="AV235" s="77"/>
      <c r="AW235" s="76"/>
      <c r="AX235" s="77"/>
      <c r="AY235" s="76"/>
      <c r="AZ235" s="76"/>
      <c r="BA235" s="76"/>
      <c r="BB235" s="76"/>
      <c r="BC235" s="76"/>
      <c r="BD235" s="77"/>
      <c r="BE235" s="76"/>
      <c r="BF235" s="77"/>
      <c r="BG235" s="76"/>
      <c r="BH235" s="76"/>
      <c r="BI235" s="76"/>
      <c r="BJ235" s="76"/>
      <c r="BK235" s="76"/>
      <c r="BL235" s="77"/>
      <c r="BM235" s="76"/>
      <c r="BN235" s="77"/>
      <c r="BO235" s="76"/>
      <c r="BP235" s="76"/>
      <c r="BQ235" s="76"/>
      <c r="BR235" s="76"/>
      <c r="BS235" s="76"/>
      <c r="BT235" s="77"/>
      <c r="BU235" s="76"/>
      <c r="BV235" s="77"/>
      <c r="BW235" s="76"/>
      <c r="BX235" s="76"/>
      <c r="BY235" s="76"/>
      <c r="BZ235" s="76"/>
      <c r="CA235" s="76"/>
      <c r="CB235" s="77"/>
      <c r="CC235" s="76"/>
      <c r="CD235" s="77"/>
      <c r="CE235" s="76"/>
      <c r="CF235" s="76"/>
      <c r="CG235" s="76"/>
      <c r="CH235" s="76"/>
      <c r="CI235" s="76"/>
      <c r="CJ235" s="77"/>
      <c r="CK235" s="76"/>
      <c r="CL235" s="77"/>
      <c r="CM235" s="76"/>
      <c r="CN235" s="76"/>
      <c r="CO235" s="76"/>
      <c r="CP235" s="76"/>
      <c r="CQ235" s="76"/>
      <c r="CR235" s="78" t="str">
        <f t="shared" si="63"/>
        <v/>
      </c>
      <c r="CS235" s="79" t="str">
        <f t="shared" si="64"/>
        <v/>
      </c>
      <c r="CT235" s="79" t="str">
        <f t="shared" si="65"/>
        <v/>
      </c>
      <c r="CU235" s="79" t="str">
        <f t="shared" si="66"/>
        <v/>
      </c>
      <c r="CV235" s="79" t="str">
        <f t="shared" si="67"/>
        <v/>
      </c>
      <c r="CW235" s="79" t="str">
        <f t="shared" si="68"/>
        <v/>
      </c>
      <c r="CX235" s="79" t="str">
        <f t="shared" si="69"/>
        <v/>
      </c>
      <c r="CY235" s="79" t="str">
        <f t="shared" si="70"/>
        <v/>
      </c>
      <c r="CZ235" s="79" t="str">
        <f t="shared" si="71"/>
        <v/>
      </c>
      <c r="DA235" s="79" t="str">
        <f t="shared" si="72"/>
        <v/>
      </c>
      <c r="DB235" s="79" t="str">
        <f t="shared" si="73"/>
        <v/>
      </c>
      <c r="DC235" s="79" t="str">
        <f t="shared" si="74"/>
        <v/>
      </c>
      <c r="DD235" s="79" t="str">
        <f t="shared" si="75"/>
        <v/>
      </c>
      <c r="DE235" s="79" t="str">
        <f t="shared" si="76"/>
        <v/>
      </c>
      <c r="DF235" s="79" t="str">
        <f t="shared" si="77"/>
        <v/>
      </c>
      <c r="DG235" s="79" t="str">
        <f t="shared" si="78"/>
        <v/>
      </c>
      <c r="DH235" s="76"/>
      <c r="DI235" s="78"/>
      <c r="DJ235" s="76"/>
      <c r="DK235" s="77"/>
      <c r="DL235" s="77"/>
      <c r="DM235" s="77"/>
      <c r="DN235" s="80"/>
      <c r="DO235" s="80"/>
      <c r="DP235" s="92" t="str">
        <f>IF(Table1[Start Date]="","",IF(Table1[Start Date]&gt;42185,"",IF(AND(Table1[Leaving Date]&gt;1,Table1[Leaving Date]&lt;42095),"",1)))</f>
        <v/>
      </c>
      <c r="DQ235" s="92" t="str">
        <f>IF(Table1[Start Date]="","",IF(Table1[Start Date]&gt;42277,"",IF(AND(Table1[Leaving Date]&gt;1,Table1[Leaving Date]&lt;42186),"",1)))</f>
        <v/>
      </c>
      <c r="DR235" s="92" t="str">
        <f>IF(Table1[Start Date]="","",IF(Table1[Start Date]&gt;42369,"",IF(AND(Table1[Leaving Date]&gt;1,Table1[Leaving Date]&lt;42278),"",1)))</f>
        <v/>
      </c>
      <c r="DS235" s="92" t="str">
        <f>IF(Table1[Start Date]="","",IF(Table1[Start Date]&gt;42460,"",IF(AND(Table1[Leaving Date]&gt;1,Table1[Leaving Date]&lt;42370),"",1)))</f>
        <v/>
      </c>
      <c r="DT235" s="92" t="str">
        <f>IF(Table1[Start Date]="","",IF(Table1[Start Date]&gt;42551,"",IF(AND(Table1[Leaving Date]&gt;1,Table1[Leaving Date]&lt;42461),"",1)))</f>
        <v/>
      </c>
      <c r="DU235" s="92" t="str">
        <f>IF(Table1[Start Date]="","",IF(Table1[Start Date]&gt;42643,"",IF(AND(Table1[Leaving Date]&gt;1,Table1[Leaving Date]&lt;42552),"",1)))</f>
        <v/>
      </c>
      <c r="DV235" s="92" t="str">
        <f>IF(Table1[Start Date]="","",IF(Table1[Start Date]&gt;42735,"",IF(AND(Table1[Leaving Date]&gt;1,Table1[Leaving Date]&lt;42644),"",1)))</f>
        <v/>
      </c>
      <c r="DW235" s="92" t="str">
        <f>IF(Table1[Start Date]="","",IF(Table1[Start Date]&gt;42825,"",IF(AND(Table1[Leaving Date]&gt;1,Table1[Leaving Date]&lt;42736),"",1)))</f>
        <v/>
      </c>
      <c r="DX235"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235" s="44" t="e">
        <f>VLOOKUP(Table1[Referral Source],Lists!$G$2:$H$20,2,FALSE)</f>
        <v>#N/A</v>
      </c>
      <c r="DZ235" s="93" t="e">
        <f>SUM(Table1[Data Referral Quarter]+Table1[Data Referral Source])</f>
        <v>#N/A</v>
      </c>
      <c r="EA235" s="44" t="b">
        <f>IF(Table1[Referral Decision]="Accepted",100,IF(Table1[Referral Decision]="Rejected by Provider",200,IF(Table1[Referral Decision]="Rejected by Applicant",300)))</f>
        <v>0</v>
      </c>
      <c r="EB235" s="44">
        <f>SUM(Table1[Data Referral Quarter]+Table1[Data Referral Decision])</f>
        <v>0</v>
      </c>
      <c r="EC235" s="44" t="b">
        <f>IF(Table1[Start Date]&gt;42735,8000,IF(Table1[Start Date]&gt;42643,7000,IF(Table1[Start Date]&gt;42551,6000,IF(Table1[Start Date]&gt;42460,5000,IF(Table1[Start Date]&gt;42369,4000,IF(Table1[Start Date]&gt;42277,3000,IF(Table1[Start Date]&gt;42185,2000,IF(Table1[Start Date]&gt;42094,1000))))))))</f>
        <v>0</v>
      </c>
      <c r="ED235" s="44" t="str">
        <f>IF(Table1[Start Date]="","",IF(Table1[Current Local Authority]="Swindon",1,"2"))</f>
        <v/>
      </c>
      <c r="EE235" s="44" t="e">
        <f>SUM(Table1[Data Start Date]+Table1[Data Local Authority])</f>
        <v>#VALUE!</v>
      </c>
      <c r="EF235" s="44">
        <f>IF(Table1[Registered with GP]="Yes",1,0)</f>
        <v>0</v>
      </c>
      <c r="EG235" s="44">
        <f>SUM(Table1[Data Start Date]+Table1[Data GP Start])</f>
        <v>0</v>
      </c>
      <c r="EH235" s="44" t="str">
        <f>IF(Table1[EET]="NEET",1,IF(Table1[EET]="Education",2,IF(Table1[EET]="Employment",2,IF(Table1[EET]="Training",2,IF(Table1[EET]="Retired",3,"")))))</f>
        <v/>
      </c>
      <c r="EI235" s="44" t="e">
        <f>Table1[Data Start Date]+Table1[Data EET Start]</f>
        <v>#VALUE!</v>
      </c>
      <c r="EJ235" s="44" t="b">
        <f>IF(Table1[Leaving Date]&gt;42735,8000,IF(Table1[Leaving Date]&gt;42643,7000,IF(Table1[Leaving Date]&gt;42551,6000,IF(Table1[Leaving Date]&gt;42460,5000,IF(Table1[Leaving Date]&gt;42369,4000,IF(Table1[Leaving Date]&gt;42277,3000,IF(Table1[Leaving Date]&gt;42185,2000,IF(Table1[Leaving Date]&gt;42094,1000))))))))</f>
        <v>0</v>
      </c>
      <c r="EK235" s="44" t="e">
        <f>VLOOKUP(Table1[Reason for Leaving],Lists!$T$2:$U$15,2,FALSE)</f>
        <v>#N/A</v>
      </c>
      <c r="EL235" s="44" t="e">
        <f>SUM(Table1[Data Leavers Date]+Table1[Data Move On])</f>
        <v>#N/A</v>
      </c>
      <c r="EM235" s="44" t="b">
        <f>IF(Table1[Registered with GP2]="Yes",1,IF(Table1[Registered with GP2]="No",0,IF(Table1[Registered with GP]="Yes",1,IF(Table1[Registered with GP]="No",0))))</f>
        <v>0</v>
      </c>
      <c r="EN235" s="44">
        <f>SUM(Table1[Data Leavers Date]+Table1[Data GP End])</f>
        <v>0</v>
      </c>
      <c r="EO235" s="44" t="str">
        <f>IF(Table1[EET2]="NEET",1,IF(Table1[EET2]="Employment",2,IF(Table1[EET2]="Education",2,IF(Table1[EET2]="Training",2,IF(Table1[EET2]="Retired",3,IF(Table1[EET]="NEET",1,IF(Table1[EET]="Employment",2,IF(Table1[EET]="Education",2,IF(Table1[EET]="Training",2,IF(Table1[EET]="Retired",3,""))))))))))</f>
        <v/>
      </c>
      <c r="EP235" s="44" t="e">
        <f>+Table1[[#This Row],[Data Leavers Date]]+Table1[[#This Row],[Data EET End]]</f>
        <v>#VALUE!</v>
      </c>
      <c r="EQ235" s="44">
        <f>IF(Table1[Exit Form Received]="Yes",1,0)</f>
        <v>0</v>
      </c>
      <c r="ER235" s="44">
        <f>+Table1[[#This Row],[Data Leavers Date]]+Table1[[#This Row],[Data Exit Forms]]</f>
        <v>0</v>
      </c>
      <c r="ES235" s="44" t="str">
        <f>IF(Table1[Data Leavers Date]=1000,SUM(Table1[Leaving Date]-Table1[Start Date]),"")</f>
        <v/>
      </c>
      <c r="ET235" s="44" t="str">
        <f>IF(Table1[Data Leavers Date]=2000,SUM(Table1[Leaving Date]-Table1[Start Date]),"")</f>
        <v/>
      </c>
      <c r="EU235" s="44" t="str">
        <f>IF(Table1[Data Leavers Date]=3000,SUM(Table1[Leaving Date]-Table1[Start Date]),"")</f>
        <v/>
      </c>
      <c r="EV235" s="44" t="str">
        <f>IF(Table1[Data Leavers Date]=4000,SUM(Table1[Leaving Date]-Table1[Start Date]),"")</f>
        <v/>
      </c>
      <c r="EW235" s="44" t="str">
        <f>IF(Table1[Data Leavers Date]=5000,SUM(Table1[Leaving Date]-Table1[Start Date]),"")</f>
        <v/>
      </c>
      <c r="EX235" s="44" t="str">
        <f>IF(Table1[Data Leavers Date]=6000,SUM(Table1[Leaving Date]-Table1[Start Date]),"")</f>
        <v/>
      </c>
      <c r="EY235" s="44" t="str">
        <f>IF(Table1[Data Leavers Date]=7000,SUM(Table1[Leaving Date]-Table1[Start Date]),"")</f>
        <v/>
      </c>
      <c r="EZ235" s="44" t="str">
        <f>IF(Table1[Data Leavers Date]=8000,SUM(Table1[Leaving Date]-Table1[Start Date]),"")</f>
        <v/>
      </c>
      <c r="FA235" s="44" t="str">
        <f>IF(Table1[Date of Initial Assessment]="","",IF(AND(Table1[Start Date]&gt;42094,Table1[Start Date]&lt;42461),Table1[Motivation and Taking Responsibility],""))</f>
        <v/>
      </c>
      <c r="FB235" s="44" t="str">
        <f>IF(Table1[Date of Initial Assessment]="","",IF(AND(Table1[Start Date]&gt;42094,Table1[Start Date]&lt;42461),Table1[Self-Care and Living Skills],""))</f>
        <v/>
      </c>
      <c r="FC235" s="44" t="str">
        <f>IF(Table1[Date of Initial Assessment]="","",IF(AND(Table1[Start Date]&gt;42094,Table1[Start Date]&lt;42461),Table1[Managing Money and Personal Administration],""))</f>
        <v/>
      </c>
      <c r="FD235" s="44" t="str">
        <f>IF(Table1[Date of Initial Assessment]="","",IF(AND(Table1[Start Date]&gt;42094,Table1[Start Date]&lt;42461),Table1[Social Networks and Relationships],""))</f>
        <v/>
      </c>
      <c r="FE235" s="44" t="str">
        <f>IF(Table1[Date of Initial Assessment]="","",IF(AND(Table1[Start Date]&gt;42094,Table1[Start Date]&lt;42461),Table1[Drug and Alcohol Misuse],""))</f>
        <v/>
      </c>
      <c r="FF235" s="44" t="str">
        <f>IF(Table1[Date of Initial Assessment]="","",IF(AND(Table1[Start Date]&gt;42094,Table1[Start Date]&lt;42461),Table1[Physical Health],""))</f>
        <v/>
      </c>
      <c r="FG235" s="44" t="str">
        <f>IF(Table1[Date of Initial Assessment]="","",IF(AND(Table1[Start Date]&gt;42094,Table1[Start Date]&lt;42461),Table1[Emotional and Mental Health],""))</f>
        <v/>
      </c>
      <c r="FH235" s="44" t="str">
        <f>IF(Table1[Date of Initial Assessment]="","",IF(AND(Table1[Start Date]&gt;42094,Table1[Start Date]&lt;42461),Table1[Meaningful Use of Time],""))</f>
        <v/>
      </c>
      <c r="FI235" s="44" t="str">
        <f>IF(Table1[Date of Initial Assessment]="","",IF(AND(Table1[Start Date]&gt;42094,Table1[Start Date]&lt;42461),Table1[Managing Tenancy and Accommodation],""))</f>
        <v/>
      </c>
      <c r="FJ235" s="44" t="str">
        <f>IF(Table1[Date of Initial Assessment]="","",IF(AND(Table1[Start Date]&gt;42094,Table1[Start Date]&lt;42461),Table1[Offending],""))</f>
        <v/>
      </c>
      <c r="FK235" s="44" t="str">
        <f>IF(Table1[Leaving Date]="","",IF(Table1[Date of Initial Assessment]="","",IF(AND(Table1[Leaving Date]&gt;42094,Table1[Leaving Date]&lt;42461),IF(Table1[Date of Last Assessment]="",Table1[Motivation and Taking Responsibility],Table1[Motivation and Taking Responsibility2]),"")))</f>
        <v/>
      </c>
      <c r="FL235" s="44" t="str">
        <f>IF(Table1[Leaving Date]="","",IF(Table1[Date of Initial Assessment]="","",IF(AND(Table1[Leaving Date]&gt;42094,Table1[Leaving Date]&lt;42461),IF(Table1[Date of Last Assessment]="",Table1[Self-Care and Living Skills],Table1[Self-Care and Living Skills2]),"")))</f>
        <v/>
      </c>
      <c r="FM235" s="44" t="str">
        <f>IF(Table1[Leaving Date]="","",IF(Table1[Date of Initial Assessment]="","",IF(AND(Table1[Leaving Date]&gt;42094,Table1[Leaving Date]&lt;42461),IF(Table1[Date of Last Assessment]="",Table1[Managing Money and Personal Administration],Table1[Managing Money and Personal Administration2]),"")))</f>
        <v/>
      </c>
      <c r="FN235" s="44" t="str">
        <f>IF(Table1[Leaving Date]="","",IF(Table1[Date of Initial Assessment]="","",IF(AND(Table1[Leaving Date]&gt;42094,Table1[Leaving Date]&lt;42461),IF(Table1[Date of Last Assessment]="",Table1[Social Networks and Relationships],Table1[Social Networks and Relationships2]),"")))</f>
        <v/>
      </c>
      <c r="FO235" s="44" t="str">
        <f>IF(Table1[Leaving Date]="","",IF(Table1[Date of Initial Assessment]="","",IF(AND(Table1[Leaving Date]&gt;42094,Table1[Leaving Date]&lt;42461),IF(Table1[Date of Last Assessment]="",Table1[Drug and Alcohol Misuse],Table1[Drug and Alcohol Misuse2]),"")))</f>
        <v/>
      </c>
      <c r="FP235" s="44" t="str">
        <f>IF(Table1[Leaving Date]="","",IF(Table1[Date of Initial Assessment]="","",IF(AND(Table1[Leaving Date]&gt;42094,Table1[Leaving Date]&lt;42461),IF(Table1[Date of Last Assessment]="",Table1[Physical Health],Table1[Physical Health2]),"")))</f>
        <v/>
      </c>
      <c r="FQ235" s="44" t="str">
        <f>IF(Table1[Leaving Date]="","",IF(Table1[Date of Initial Assessment]="","",IF(AND(Table1[Leaving Date]&gt;42094,Table1[Leaving Date]&lt;42461),IF(Table1[Date of Last Assessment]="",Table1[Emotional and Mental Health],Table1[Emotional and Mental Health2]),"")))</f>
        <v/>
      </c>
      <c r="FR235" s="44" t="str">
        <f>IF(Table1[Leaving Date]="","",IF(Table1[Date of Initial Assessment]="","",IF(AND(Table1[Leaving Date]&gt;42094,Table1[Leaving Date]&lt;42461),IF(Table1[Date of Last Assessment]="",Table1[Meaningful Use of Time],Table1[Meaningful Use of Time2]),"")))</f>
        <v/>
      </c>
      <c r="FS235" s="44" t="str">
        <f>IF(Table1[Leaving Date]="","",IF(Table1[Date of Initial Assessment]="","",IF(AND(Table1[Leaving Date]&gt;42094,Table1[Leaving Date]&lt;42461),IF(Table1[Date of Last Assessment]="",Table1[Managing Tenancy and Accommodation],Table1[Managing Tenancy and Accommodation2]),"")))</f>
        <v/>
      </c>
      <c r="FT235" s="44" t="str">
        <f>IF(Table1[Leaving Date]="","",IF(Table1[Date of Initial Assessment]="","",IF(AND(Table1[Leaving Date]&gt;42094,Table1[Leaving Date]&lt;42461),IF(Table1[Date of Last Assessment]="",Table1[Offending],Table1[Offending2]),"")))</f>
        <v/>
      </c>
      <c r="FU235" s="44" t="str">
        <f>IF(Table1[Date of Initial Assessment]="","",IF(AND(Table1[Start Date]&gt;42460,Table1[Start Date]&lt;42826),Table1[Motivation and Taking Responsibility],""))</f>
        <v/>
      </c>
      <c r="FV235" s="44" t="str">
        <f>IF(Table1[Date of Initial Assessment]="","",IF(AND(Table1[Start Date]&gt;42460,Table1[Start Date]&lt;42826),Table1[Self-Care and Living Skills],""))</f>
        <v/>
      </c>
      <c r="FW235" s="44" t="str">
        <f>IF(Table1[Date of Initial Assessment]="","",IF(AND(Table1[Start Date]&gt;42460,Table1[Start Date]&lt;42826),Table1[Managing Money and Personal Administration],""))</f>
        <v/>
      </c>
      <c r="FX235" s="44" t="str">
        <f>IF(Table1[Date of Initial Assessment]="","",IF(AND(Table1[Start Date]&gt;42460,Table1[Start Date]&lt;42826),Table1[Social Networks and Relationships],""))</f>
        <v/>
      </c>
      <c r="FY235" s="44" t="str">
        <f>IF(Table1[Date of Initial Assessment]="","",IF(AND(Table1[Start Date]&gt;42460,Table1[Start Date]&lt;42826),Table1[Drug and Alcohol Misuse],""))</f>
        <v/>
      </c>
      <c r="FZ235" s="44" t="str">
        <f>IF(Table1[Date of Initial Assessment]="","",IF(AND(Table1[Start Date]&gt;42460,Table1[Start Date]&lt;42826),Table1[Physical Health],""))</f>
        <v/>
      </c>
      <c r="GA235" s="44" t="str">
        <f>IF(Table1[Date of Initial Assessment]="","",IF(AND(Table1[Start Date]&gt;42460,Table1[Start Date]&lt;42826),Table1[Emotional and Mental Health],""))</f>
        <v/>
      </c>
      <c r="GB235" s="44" t="str">
        <f>IF(Table1[Date of Initial Assessment]="","",IF(AND(Table1[Start Date]&gt;42460,Table1[Start Date]&lt;42826),Table1[Meaningful Use of Time],""))</f>
        <v/>
      </c>
      <c r="GC235" s="44" t="str">
        <f>IF(Table1[Date of Initial Assessment]="","",IF(AND(Table1[Start Date]&gt;42460,Table1[Start Date]&lt;42826),Table1[Managing Tenancy and Accommodation],""))</f>
        <v/>
      </c>
      <c r="GD235" s="44" t="str">
        <f>IF(Table1[Date of Initial Assessment]="","",IF(AND(Table1[Start Date]&gt;42460,Table1[Start Date]&lt;42826),Table1[Offending],""))</f>
        <v/>
      </c>
      <c r="GE235" s="44" t="str">
        <f>IF(Table1[Leaving Date]="","",IF(AND(Table1[Leaving Date]&gt;42460,Table1[Leaving Date]&lt;42826),IF(Table1[Date of Last Assessment]="",Table1[Motivation and Taking Responsibility],Table1[Motivation and Taking Responsibility2]),""))</f>
        <v/>
      </c>
      <c r="GF235" s="44" t="str">
        <f>IF(Table1[Leaving Date]="","",IF(AND(Table1[Leaving Date]&gt;42460,Table1[Leaving Date]&lt;42826),IF(Table1[Date of Last Assessment]="",Table1[Self-Care and Living Skills],Table1[Self-Care and Living Skills2]),""))</f>
        <v/>
      </c>
      <c r="GG235" s="44" t="str">
        <f>IF(Table1[Leaving Date]="","",IF(AND(Table1[Leaving Date]&gt;42460,Table1[Leaving Date]&lt;42826),IF(Table1[Date of Last Assessment]="",Table1[Managing Money and Personal Administration],Table1[Managing Money and Personal Administration2]),""))</f>
        <v/>
      </c>
      <c r="GH235" s="44" t="str">
        <f>IF(Table1[Leaving Date]="","",IF(AND(Table1[Leaving Date]&gt;42460,Table1[Leaving Date]&lt;42826),IF(Table1[Date of Last Assessment]="",Table1[Social Networks and Relationships],Table1[Social Networks and Relationships2]),""))</f>
        <v/>
      </c>
      <c r="GI235" s="44" t="str">
        <f>IF(Table1[Leaving Date]="","",IF(AND(Table1[Leaving Date]&gt;42460,Table1[Leaving Date]&lt;42826),IF(Table1[Date of Last Assessment]="",Table1[Drug and Alcohol Misuse],Table1[Drug and Alcohol Misuse2]),""))</f>
        <v/>
      </c>
      <c r="GJ235" s="44" t="str">
        <f>IF(Table1[Leaving Date]="","",IF(AND(Table1[Leaving Date]&gt;42460,Table1[Leaving Date]&lt;42826),IF(Table1[Date of Last Assessment]="",Table1[Physical Health],Table1[Physical Health2]),""))</f>
        <v/>
      </c>
      <c r="GK235" s="44" t="str">
        <f>IF(Table1[Leaving Date]="","",IF(AND(Table1[Leaving Date]&gt;42460,Table1[Leaving Date]&lt;42826),IF(Table1[Date of Last Assessment]="",Table1[Emotional and Mental Health],Table1[Emotional and Mental Health2]),""))</f>
        <v/>
      </c>
      <c r="GL235" s="44" t="str">
        <f>IF(Table1[Leaving Date]="","",IF(AND(Table1[Leaving Date]&gt;42460,Table1[Leaving Date]&lt;42826),IF(Table1[Date of Last Assessment]="",Table1[Meaningful Use of Time],Table1[Meaningful Use of Time2]),""))</f>
        <v/>
      </c>
      <c r="GM235" s="44" t="str">
        <f>IF(Table1[Leaving Date]="","",IF(AND(Table1[Leaving Date]&gt;42460,Table1[Leaving Date]&lt;42826),IF(Table1[Date of Last Assessment]="",Table1[Managing Tenancy and Accommodation],Table1[Managing Tenancy and Accommodation2]),""))</f>
        <v/>
      </c>
      <c r="GN235" s="44" t="str">
        <f>IF(Table1[Leaving Date]="","",IF(AND(Table1[Leaving Date]&gt;42460,Table1[Leaving Date]&lt;42826),IF(Table1[Date of Last Assessment]="",Table1[Offending],Table1[Offending2]),""))</f>
        <v/>
      </c>
    </row>
    <row r="236" spans="2:196" ht="20.100000000000001" customHeight="1" x14ac:dyDescent="0.2">
      <c r="B236" s="86">
        <f>+'Service Data'!$C$5:$C$5</f>
        <v>0</v>
      </c>
      <c r="C236" s="86"/>
      <c r="D236" s="86"/>
      <c r="E236" s="86"/>
      <c r="F236" s="86"/>
      <c r="G236" s="86"/>
      <c r="H236" s="6"/>
      <c r="I236" s="99" t="str">
        <f ca="1">IF(Table1[[#This Row],[Date of Birth]]="","",SUM(TODAY()-Table1[[#This Row],[Date of Birth]])/365)</f>
        <v/>
      </c>
      <c r="L236" s="86"/>
      <c r="M236" s="77"/>
      <c r="N236" s="86"/>
      <c r="O236" s="86"/>
      <c r="P236" s="91"/>
      <c r="Q236" s="86"/>
      <c r="R236" s="77"/>
      <c r="S236" s="77"/>
      <c r="T236" s="68"/>
      <c r="U236" s="68"/>
      <c r="V236" s="67"/>
      <c r="W236" s="67"/>
      <c r="X236" s="67"/>
      <c r="Y236" s="67"/>
      <c r="Z236" s="67"/>
      <c r="AA236" s="67"/>
      <c r="AB236" s="67"/>
      <c r="AC236" s="67"/>
      <c r="AD236" s="67"/>
      <c r="AE236" s="67"/>
      <c r="AF236" s="67"/>
      <c r="AG236" s="67"/>
      <c r="AH236" s="67"/>
      <c r="AI236" s="67"/>
      <c r="AJ236" s="67"/>
      <c r="AK236" s="67"/>
      <c r="AL236" s="67"/>
      <c r="AM236" s="67"/>
      <c r="AN236" s="77"/>
      <c r="AO236" s="76"/>
      <c r="AP236" s="77"/>
      <c r="AQ236" s="76"/>
      <c r="AR236" s="76"/>
      <c r="AS236" s="76"/>
      <c r="AT236" s="76"/>
      <c r="AU236" s="76"/>
      <c r="AV236" s="77"/>
      <c r="AW236" s="76"/>
      <c r="AX236" s="77"/>
      <c r="AY236" s="76"/>
      <c r="AZ236" s="76"/>
      <c r="BA236" s="76"/>
      <c r="BB236" s="76"/>
      <c r="BC236" s="76"/>
      <c r="BD236" s="77"/>
      <c r="BE236" s="76"/>
      <c r="BF236" s="77"/>
      <c r="BG236" s="76"/>
      <c r="BH236" s="76"/>
      <c r="BI236" s="76"/>
      <c r="BJ236" s="76"/>
      <c r="BK236" s="76"/>
      <c r="BL236" s="77"/>
      <c r="BM236" s="76"/>
      <c r="BN236" s="77"/>
      <c r="BO236" s="76"/>
      <c r="BP236" s="76"/>
      <c r="BQ236" s="76"/>
      <c r="BR236" s="76"/>
      <c r="BS236" s="76"/>
      <c r="BT236" s="77"/>
      <c r="BU236" s="76"/>
      <c r="BV236" s="77"/>
      <c r="BW236" s="76"/>
      <c r="BX236" s="76"/>
      <c r="BY236" s="76"/>
      <c r="BZ236" s="76"/>
      <c r="CA236" s="76"/>
      <c r="CB236" s="77"/>
      <c r="CC236" s="76"/>
      <c r="CD236" s="77"/>
      <c r="CE236" s="76"/>
      <c r="CF236" s="76"/>
      <c r="CG236" s="76"/>
      <c r="CH236" s="76"/>
      <c r="CI236" s="76"/>
      <c r="CJ236" s="77"/>
      <c r="CK236" s="76"/>
      <c r="CL236" s="77"/>
      <c r="CM236" s="76"/>
      <c r="CN236" s="76"/>
      <c r="CO236" s="76"/>
      <c r="CP236" s="76"/>
      <c r="CQ236" s="76"/>
      <c r="CR236" s="78" t="str">
        <f t="shared" si="63"/>
        <v/>
      </c>
      <c r="CS236" s="79" t="str">
        <f t="shared" si="64"/>
        <v/>
      </c>
      <c r="CT236" s="79" t="str">
        <f t="shared" si="65"/>
        <v/>
      </c>
      <c r="CU236" s="79" t="str">
        <f t="shared" si="66"/>
        <v/>
      </c>
      <c r="CV236" s="79" t="str">
        <f t="shared" si="67"/>
        <v/>
      </c>
      <c r="CW236" s="79" t="str">
        <f t="shared" si="68"/>
        <v/>
      </c>
      <c r="CX236" s="79" t="str">
        <f t="shared" si="69"/>
        <v/>
      </c>
      <c r="CY236" s="79" t="str">
        <f t="shared" si="70"/>
        <v/>
      </c>
      <c r="CZ236" s="79" t="str">
        <f t="shared" si="71"/>
        <v/>
      </c>
      <c r="DA236" s="79" t="str">
        <f t="shared" si="72"/>
        <v/>
      </c>
      <c r="DB236" s="79" t="str">
        <f t="shared" si="73"/>
        <v/>
      </c>
      <c r="DC236" s="79" t="str">
        <f t="shared" si="74"/>
        <v/>
      </c>
      <c r="DD236" s="79" t="str">
        <f t="shared" si="75"/>
        <v/>
      </c>
      <c r="DE236" s="79" t="str">
        <f t="shared" si="76"/>
        <v/>
      </c>
      <c r="DF236" s="79" t="str">
        <f t="shared" si="77"/>
        <v/>
      </c>
      <c r="DG236" s="79" t="str">
        <f t="shared" si="78"/>
        <v/>
      </c>
      <c r="DH236" s="76"/>
      <c r="DI236" s="78"/>
      <c r="DJ236" s="76"/>
      <c r="DK236" s="77"/>
      <c r="DL236" s="77"/>
      <c r="DM236" s="77"/>
      <c r="DN236" s="80"/>
      <c r="DO236" s="80"/>
      <c r="DP236" s="92" t="str">
        <f>IF(Table1[Start Date]="","",IF(Table1[Start Date]&gt;42185,"",IF(AND(Table1[Leaving Date]&gt;1,Table1[Leaving Date]&lt;42095),"",1)))</f>
        <v/>
      </c>
      <c r="DQ236" s="92" t="str">
        <f>IF(Table1[Start Date]="","",IF(Table1[Start Date]&gt;42277,"",IF(AND(Table1[Leaving Date]&gt;1,Table1[Leaving Date]&lt;42186),"",1)))</f>
        <v/>
      </c>
      <c r="DR236" s="92" t="str">
        <f>IF(Table1[Start Date]="","",IF(Table1[Start Date]&gt;42369,"",IF(AND(Table1[Leaving Date]&gt;1,Table1[Leaving Date]&lt;42278),"",1)))</f>
        <v/>
      </c>
      <c r="DS236" s="92" t="str">
        <f>IF(Table1[Start Date]="","",IF(Table1[Start Date]&gt;42460,"",IF(AND(Table1[Leaving Date]&gt;1,Table1[Leaving Date]&lt;42370),"",1)))</f>
        <v/>
      </c>
      <c r="DT236" s="92" t="str">
        <f>IF(Table1[Start Date]="","",IF(Table1[Start Date]&gt;42551,"",IF(AND(Table1[Leaving Date]&gt;1,Table1[Leaving Date]&lt;42461),"",1)))</f>
        <v/>
      </c>
      <c r="DU236" s="92" t="str">
        <f>IF(Table1[Start Date]="","",IF(Table1[Start Date]&gt;42643,"",IF(AND(Table1[Leaving Date]&gt;1,Table1[Leaving Date]&lt;42552),"",1)))</f>
        <v/>
      </c>
      <c r="DV236" s="92" t="str">
        <f>IF(Table1[Start Date]="","",IF(Table1[Start Date]&gt;42735,"",IF(AND(Table1[Leaving Date]&gt;1,Table1[Leaving Date]&lt;42644),"",1)))</f>
        <v/>
      </c>
      <c r="DW236" s="92" t="str">
        <f>IF(Table1[Start Date]="","",IF(Table1[Start Date]&gt;42825,"",IF(AND(Table1[Leaving Date]&gt;1,Table1[Leaving Date]&lt;42736),"",1)))</f>
        <v/>
      </c>
      <c r="DX236"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236" s="44" t="e">
        <f>VLOOKUP(Table1[Referral Source],Lists!$G$2:$H$20,2,FALSE)</f>
        <v>#N/A</v>
      </c>
      <c r="DZ236" s="93" t="e">
        <f>SUM(Table1[Data Referral Quarter]+Table1[Data Referral Source])</f>
        <v>#N/A</v>
      </c>
      <c r="EA236" s="44" t="b">
        <f>IF(Table1[Referral Decision]="Accepted",100,IF(Table1[Referral Decision]="Rejected by Provider",200,IF(Table1[Referral Decision]="Rejected by Applicant",300)))</f>
        <v>0</v>
      </c>
      <c r="EB236" s="44">
        <f>SUM(Table1[Data Referral Quarter]+Table1[Data Referral Decision])</f>
        <v>0</v>
      </c>
      <c r="EC236" s="44" t="b">
        <f>IF(Table1[Start Date]&gt;42735,8000,IF(Table1[Start Date]&gt;42643,7000,IF(Table1[Start Date]&gt;42551,6000,IF(Table1[Start Date]&gt;42460,5000,IF(Table1[Start Date]&gt;42369,4000,IF(Table1[Start Date]&gt;42277,3000,IF(Table1[Start Date]&gt;42185,2000,IF(Table1[Start Date]&gt;42094,1000))))))))</f>
        <v>0</v>
      </c>
      <c r="ED236" s="44" t="str">
        <f>IF(Table1[Start Date]="","",IF(Table1[Current Local Authority]="Swindon",1,"2"))</f>
        <v/>
      </c>
      <c r="EE236" s="44" t="e">
        <f>SUM(Table1[Data Start Date]+Table1[Data Local Authority])</f>
        <v>#VALUE!</v>
      </c>
      <c r="EF236" s="44">
        <f>IF(Table1[Registered with GP]="Yes",1,0)</f>
        <v>0</v>
      </c>
      <c r="EG236" s="44">
        <f>SUM(Table1[Data Start Date]+Table1[Data GP Start])</f>
        <v>0</v>
      </c>
      <c r="EH236" s="44" t="str">
        <f>IF(Table1[EET]="NEET",1,IF(Table1[EET]="Education",2,IF(Table1[EET]="Employment",2,IF(Table1[EET]="Training",2,IF(Table1[EET]="Retired",3,"")))))</f>
        <v/>
      </c>
      <c r="EI236" s="44" t="e">
        <f>Table1[Data Start Date]+Table1[Data EET Start]</f>
        <v>#VALUE!</v>
      </c>
      <c r="EJ236" s="44" t="b">
        <f>IF(Table1[Leaving Date]&gt;42735,8000,IF(Table1[Leaving Date]&gt;42643,7000,IF(Table1[Leaving Date]&gt;42551,6000,IF(Table1[Leaving Date]&gt;42460,5000,IF(Table1[Leaving Date]&gt;42369,4000,IF(Table1[Leaving Date]&gt;42277,3000,IF(Table1[Leaving Date]&gt;42185,2000,IF(Table1[Leaving Date]&gt;42094,1000))))))))</f>
        <v>0</v>
      </c>
      <c r="EK236" s="44" t="e">
        <f>VLOOKUP(Table1[Reason for Leaving],Lists!$T$2:$U$15,2,FALSE)</f>
        <v>#N/A</v>
      </c>
      <c r="EL236" s="44" t="e">
        <f>SUM(Table1[Data Leavers Date]+Table1[Data Move On])</f>
        <v>#N/A</v>
      </c>
      <c r="EM236" s="44" t="b">
        <f>IF(Table1[Registered with GP2]="Yes",1,IF(Table1[Registered with GP2]="No",0,IF(Table1[Registered with GP]="Yes",1,IF(Table1[Registered with GP]="No",0))))</f>
        <v>0</v>
      </c>
      <c r="EN236" s="44">
        <f>SUM(Table1[Data Leavers Date]+Table1[Data GP End])</f>
        <v>0</v>
      </c>
      <c r="EO236" s="44" t="str">
        <f>IF(Table1[EET2]="NEET",1,IF(Table1[EET2]="Employment",2,IF(Table1[EET2]="Education",2,IF(Table1[EET2]="Training",2,IF(Table1[EET2]="Retired",3,IF(Table1[EET]="NEET",1,IF(Table1[EET]="Employment",2,IF(Table1[EET]="Education",2,IF(Table1[EET]="Training",2,IF(Table1[EET]="Retired",3,""))))))))))</f>
        <v/>
      </c>
      <c r="EP236" s="44" t="e">
        <f>+Table1[[#This Row],[Data Leavers Date]]+Table1[[#This Row],[Data EET End]]</f>
        <v>#VALUE!</v>
      </c>
      <c r="EQ236" s="44">
        <f>IF(Table1[Exit Form Received]="Yes",1,0)</f>
        <v>0</v>
      </c>
      <c r="ER236" s="44">
        <f>+Table1[[#This Row],[Data Leavers Date]]+Table1[[#This Row],[Data Exit Forms]]</f>
        <v>0</v>
      </c>
      <c r="ES236" s="44" t="str">
        <f>IF(Table1[Data Leavers Date]=1000,SUM(Table1[Leaving Date]-Table1[Start Date]),"")</f>
        <v/>
      </c>
      <c r="ET236" s="44" t="str">
        <f>IF(Table1[Data Leavers Date]=2000,SUM(Table1[Leaving Date]-Table1[Start Date]),"")</f>
        <v/>
      </c>
      <c r="EU236" s="44" t="str">
        <f>IF(Table1[Data Leavers Date]=3000,SUM(Table1[Leaving Date]-Table1[Start Date]),"")</f>
        <v/>
      </c>
      <c r="EV236" s="44" t="str">
        <f>IF(Table1[Data Leavers Date]=4000,SUM(Table1[Leaving Date]-Table1[Start Date]),"")</f>
        <v/>
      </c>
      <c r="EW236" s="44" t="str">
        <f>IF(Table1[Data Leavers Date]=5000,SUM(Table1[Leaving Date]-Table1[Start Date]),"")</f>
        <v/>
      </c>
      <c r="EX236" s="44" t="str">
        <f>IF(Table1[Data Leavers Date]=6000,SUM(Table1[Leaving Date]-Table1[Start Date]),"")</f>
        <v/>
      </c>
      <c r="EY236" s="44" t="str">
        <f>IF(Table1[Data Leavers Date]=7000,SUM(Table1[Leaving Date]-Table1[Start Date]),"")</f>
        <v/>
      </c>
      <c r="EZ236" s="44" t="str">
        <f>IF(Table1[Data Leavers Date]=8000,SUM(Table1[Leaving Date]-Table1[Start Date]),"")</f>
        <v/>
      </c>
      <c r="FA236" s="44" t="str">
        <f>IF(Table1[Date of Initial Assessment]="","",IF(AND(Table1[Start Date]&gt;42094,Table1[Start Date]&lt;42461),Table1[Motivation and Taking Responsibility],""))</f>
        <v/>
      </c>
      <c r="FB236" s="44" t="str">
        <f>IF(Table1[Date of Initial Assessment]="","",IF(AND(Table1[Start Date]&gt;42094,Table1[Start Date]&lt;42461),Table1[Self-Care and Living Skills],""))</f>
        <v/>
      </c>
      <c r="FC236" s="44" t="str">
        <f>IF(Table1[Date of Initial Assessment]="","",IF(AND(Table1[Start Date]&gt;42094,Table1[Start Date]&lt;42461),Table1[Managing Money and Personal Administration],""))</f>
        <v/>
      </c>
      <c r="FD236" s="44" t="str">
        <f>IF(Table1[Date of Initial Assessment]="","",IF(AND(Table1[Start Date]&gt;42094,Table1[Start Date]&lt;42461),Table1[Social Networks and Relationships],""))</f>
        <v/>
      </c>
      <c r="FE236" s="44" t="str">
        <f>IF(Table1[Date of Initial Assessment]="","",IF(AND(Table1[Start Date]&gt;42094,Table1[Start Date]&lt;42461),Table1[Drug and Alcohol Misuse],""))</f>
        <v/>
      </c>
      <c r="FF236" s="44" t="str">
        <f>IF(Table1[Date of Initial Assessment]="","",IF(AND(Table1[Start Date]&gt;42094,Table1[Start Date]&lt;42461),Table1[Physical Health],""))</f>
        <v/>
      </c>
      <c r="FG236" s="44" t="str">
        <f>IF(Table1[Date of Initial Assessment]="","",IF(AND(Table1[Start Date]&gt;42094,Table1[Start Date]&lt;42461),Table1[Emotional and Mental Health],""))</f>
        <v/>
      </c>
      <c r="FH236" s="44" t="str">
        <f>IF(Table1[Date of Initial Assessment]="","",IF(AND(Table1[Start Date]&gt;42094,Table1[Start Date]&lt;42461),Table1[Meaningful Use of Time],""))</f>
        <v/>
      </c>
      <c r="FI236" s="44" t="str">
        <f>IF(Table1[Date of Initial Assessment]="","",IF(AND(Table1[Start Date]&gt;42094,Table1[Start Date]&lt;42461),Table1[Managing Tenancy and Accommodation],""))</f>
        <v/>
      </c>
      <c r="FJ236" s="44" t="str">
        <f>IF(Table1[Date of Initial Assessment]="","",IF(AND(Table1[Start Date]&gt;42094,Table1[Start Date]&lt;42461),Table1[Offending],""))</f>
        <v/>
      </c>
      <c r="FK236" s="44" t="str">
        <f>IF(Table1[Leaving Date]="","",IF(Table1[Date of Initial Assessment]="","",IF(AND(Table1[Leaving Date]&gt;42094,Table1[Leaving Date]&lt;42461),IF(Table1[Date of Last Assessment]="",Table1[Motivation and Taking Responsibility],Table1[Motivation and Taking Responsibility2]),"")))</f>
        <v/>
      </c>
      <c r="FL236" s="44" t="str">
        <f>IF(Table1[Leaving Date]="","",IF(Table1[Date of Initial Assessment]="","",IF(AND(Table1[Leaving Date]&gt;42094,Table1[Leaving Date]&lt;42461),IF(Table1[Date of Last Assessment]="",Table1[Self-Care and Living Skills],Table1[Self-Care and Living Skills2]),"")))</f>
        <v/>
      </c>
      <c r="FM236" s="44" t="str">
        <f>IF(Table1[Leaving Date]="","",IF(Table1[Date of Initial Assessment]="","",IF(AND(Table1[Leaving Date]&gt;42094,Table1[Leaving Date]&lt;42461),IF(Table1[Date of Last Assessment]="",Table1[Managing Money and Personal Administration],Table1[Managing Money and Personal Administration2]),"")))</f>
        <v/>
      </c>
      <c r="FN236" s="44" t="str">
        <f>IF(Table1[Leaving Date]="","",IF(Table1[Date of Initial Assessment]="","",IF(AND(Table1[Leaving Date]&gt;42094,Table1[Leaving Date]&lt;42461),IF(Table1[Date of Last Assessment]="",Table1[Social Networks and Relationships],Table1[Social Networks and Relationships2]),"")))</f>
        <v/>
      </c>
      <c r="FO236" s="44" t="str">
        <f>IF(Table1[Leaving Date]="","",IF(Table1[Date of Initial Assessment]="","",IF(AND(Table1[Leaving Date]&gt;42094,Table1[Leaving Date]&lt;42461),IF(Table1[Date of Last Assessment]="",Table1[Drug and Alcohol Misuse],Table1[Drug and Alcohol Misuse2]),"")))</f>
        <v/>
      </c>
      <c r="FP236" s="44" t="str">
        <f>IF(Table1[Leaving Date]="","",IF(Table1[Date of Initial Assessment]="","",IF(AND(Table1[Leaving Date]&gt;42094,Table1[Leaving Date]&lt;42461),IF(Table1[Date of Last Assessment]="",Table1[Physical Health],Table1[Physical Health2]),"")))</f>
        <v/>
      </c>
      <c r="FQ236" s="44" t="str">
        <f>IF(Table1[Leaving Date]="","",IF(Table1[Date of Initial Assessment]="","",IF(AND(Table1[Leaving Date]&gt;42094,Table1[Leaving Date]&lt;42461),IF(Table1[Date of Last Assessment]="",Table1[Emotional and Mental Health],Table1[Emotional and Mental Health2]),"")))</f>
        <v/>
      </c>
      <c r="FR236" s="44" t="str">
        <f>IF(Table1[Leaving Date]="","",IF(Table1[Date of Initial Assessment]="","",IF(AND(Table1[Leaving Date]&gt;42094,Table1[Leaving Date]&lt;42461),IF(Table1[Date of Last Assessment]="",Table1[Meaningful Use of Time],Table1[Meaningful Use of Time2]),"")))</f>
        <v/>
      </c>
      <c r="FS236" s="44" t="str">
        <f>IF(Table1[Leaving Date]="","",IF(Table1[Date of Initial Assessment]="","",IF(AND(Table1[Leaving Date]&gt;42094,Table1[Leaving Date]&lt;42461),IF(Table1[Date of Last Assessment]="",Table1[Managing Tenancy and Accommodation],Table1[Managing Tenancy and Accommodation2]),"")))</f>
        <v/>
      </c>
      <c r="FT236" s="44" t="str">
        <f>IF(Table1[Leaving Date]="","",IF(Table1[Date of Initial Assessment]="","",IF(AND(Table1[Leaving Date]&gt;42094,Table1[Leaving Date]&lt;42461),IF(Table1[Date of Last Assessment]="",Table1[Offending],Table1[Offending2]),"")))</f>
        <v/>
      </c>
      <c r="FU236" s="44" t="str">
        <f>IF(Table1[Date of Initial Assessment]="","",IF(AND(Table1[Start Date]&gt;42460,Table1[Start Date]&lt;42826),Table1[Motivation and Taking Responsibility],""))</f>
        <v/>
      </c>
      <c r="FV236" s="44" t="str">
        <f>IF(Table1[Date of Initial Assessment]="","",IF(AND(Table1[Start Date]&gt;42460,Table1[Start Date]&lt;42826),Table1[Self-Care and Living Skills],""))</f>
        <v/>
      </c>
      <c r="FW236" s="44" t="str">
        <f>IF(Table1[Date of Initial Assessment]="","",IF(AND(Table1[Start Date]&gt;42460,Table1[Start Date]&lt;42826),Table1[Managing Money and Personal Administration],""))</f>
        <v/>
      </c>
      <c r="FX236" s="44" t="str">
        <f>IF(Table1[Date of Initial Assessment]="","",IF(AND(Table1[Start Date]&gt;42460,Table1[Start Date]&lt;42826),Table1[Social Networks and Relationships],""))</f>
        <v/>
      </c>
      <c r="FY236" s="44" t="str">
        <f>IF(Table1[Date of Initial Assessment]="","",IF(AND(Table1[Start Date]&gt;42460,Table1[Start Date]&lt;42826),Table1[Drug and Alcohol Misuse],""))</f>
        <v/>
      </c>
      <c r="FZ236" s="44" t="str">
        <f>IF(Table1[Date of Initial Assessment]="","",IF(AND(Table1[Start Date]&gt;42460,Table1[Start Date]&lt;42826),Table1[Physical Health],""))</f>
        <v/>
      </c>
      <c r="GA236" s="44" t="str">
        <f>IF(Table1[Date of Initial Assessment]="","",IF(AND(Table1[Start Date]&gt;42460,Table1[Start Date]&lt;42826),Table1[Emotional and Mental Health],""))</f>
        <v/>
      </c>
      <c r="GB236" s="44" t="str">
        <f>IF(Table1[Date of Initial Assessment]="","",IF(AND(Table1[Start Date]&gt;42460,Table1[Start Date]&lt;42826),Table1[Meaningful Use of Time],""))</f>
        <v/>
      </c>
      <c r="GC236" s="44" t="str">
        <f>IF(Table1[Date of Initial Assessment]="","",IF(AND(Table1[Start Date]&gt;42460,Table1[Start Date]&lt;42826),Table1[Managing Tenancy and Accommodation],""))</f>
        <v/>
      </c>
      <c r="GD236" s="44" t="str">
        <f>IF(Table1[Date of Initial Assessment]="","",IF(AND(Table1[Start Date]&gt;42460,Table1[Start Date]&lt;42826),Table1[Offending],""))</f>
        <v/>
      </c>
      <c r="GE236" s="44" t="str">
        <f>IF(Table1[Leaving Date]="","",IF(AND(Table1[Leaving Date]&gt;42460,Table1[Leaving Date]&lt;42826),IF(Table1[Date of Last Assessment]="",Table1[Motivation and Taking Responsibility],Table1[Motivation and Taking Responsibility2]),""))</f>
        <v/>
      </c>
      <c r="GF236" s="44" t="str">
        <f>IF(Table1[Leaving Date]="","",IF(AND(Table1[Leaving Date]&gt;42460,Table1[Leaving Date]&lt;42826),IF(Table1[Date of Last Assessment]="",Table1[Self-Care and Living Skills],Table1[Self-Care and Living Skills2]),""))</f>
        <v/>
      </c>
      <c r="GG236" s="44" t="str">
        <f>IF(Table1[Leaving Date]="","",IF(AND(Table1[Leaving Date]&gt;42460,Table1[Leaving Date]&lt;42826),IF(Table1[Date of Last Assessment]="",Table1[Managing Money and Personal Administration],Table1[Managing Money and Personal Administration2]),""))</f>
        <v/>
      </c>
      <c r="GH236" s="44" t="str">
        <f>IF(Table1[Leaving Date]="","",IF(AND(Table1[Leaving Date]&gt;42460,Table1[Leaving Date]&lt;42826),IF(Table1[Date of Last Assessment]="",Table1[Social Networks and Relationships],Table1[Social Networks and Relationships2]),""))</f>
        <v/>
      </c>
      <c r="GI236" s="44" t="str">
        <f>IF(Table1[Leaving Date]="","",IF(AND(Table1[Leaving Date]&gt;42460,Table1[Leaving Date]&lt;42826),IF(Table1[Date of Last Assessment]="",Table1[Drug and Alcohol Misuse],Table1[Drug and Alcohol Misuse2]),""))</f>
        <v/>
      </c>
      <c r="GJ236" s="44" t="str">
        <f>IF(Table1[Leaving Date]="","",IF(AND(Table1[Leaving Date]&gt;42460,Table1[Leaving Date]&lt;42826),IF(Table1[Date of Last Assessment]="",Table1[Physical Health],Table1[Physical Health2]),""))</f>
        <v/>
      </c>
      <c r="GK236" s="44" t="str">
        <f>IF(Table1[Leaving Date]="","",IF(AND(Table1[Leaving Date]&gt;42460,Table1[Leaving Date]&lt;42826),IF(Table1[Date of Last Assessment]="",Table1[Emotional and Mental Health],Table1[Emotional and Mental Health2]),""))</f>
        <v/>
      </c>
      <c r="GL236" s="44" t="str">
        <f>IF(Table1[Leaving Date]="","",IF(AND(Table1[Leaving Date]&gt;42460,Table1[Leaving Date]&lt;42826),IF(Table1[Date of Last Assessment]="",Table1[Meaningful Use of Time],Table1[Meaningful Use of Time2]),""))</f>
        <v/>
      </c>
      <c r="GM236" s="44" t="str">
        <f>IF(Table1[Leaving Date]="","",IF(AND(Table1[Leaving Date]&gt;42460,Table1[Leaving Date]&lt;42826),IF(Table1[Date of Last Assessment]="",Table1[Managing Tenancy and Accommodation],Table1[Managing Tenancy and Accommodation2]),""))</f>
        <v/>
      </c>
      <c r="GN236" s="44" t="str">
        <f>IF(Table1[Leaving Date]="","",IF(AND(Table1[Leaving Date]&gt;42460,Table1[Leaving Date]&lt;42826),IF(Table1[Date of Last Assessment]="",Table1[Offending],Table1[Offending2]),""))</f>
        <v/>
      </c>
    </row>
    <row r="237" spans="2:196" ht="20.100000000000001" customHeight="1" x14ac:dyDescent="0.2">
      <c r="B237" s="86">
        <f>+'Service Data'!$C$5:$C$5</f>
        <v>0</v>
      </c>
      <c r="C237" s="86"/>
      <c r="D237" s="86"/>
      <c r="E237" s="86"/>
      <c r="F237" s="86"/>
      <c r="G237" s="86"/>
      <c r="H237" s="6"/>
      <c r="I237" s="99" t="str">
        <f ca="1">IF(Table1[[#This Row],[Date of Birth]]="","",SUM(TODAY()-Table1[[#This Row],[Date of Birth]])/365)</f>
        <v/>
      </c>
      <c r="L237" s="86"/>
      <c r="M237" s="77"/>
      <c r="N237" s="86"/>
      <c r="O237" s="86"/>
      <c r="P237" s="91"/>
      <c r="Q237" s="86"/>
      <c r="R237" s="77"/>
      <c r="S237" s="77"/>
      <c r="T237" s="68"/>
      <c r="U237" s="68"/>
      <c r="V237" s="67"/>
      <c r="W237" s="67"/>
      <c r="X237" s="67"/>
      <c r="Y237" s="67"/>
      <c r="Z237" s="67"/>
      <c r="AA237" s="67"/>
      <c r="AB237" s="67"/>
      <c r="AC237" s="67"/>
      <c r="AD237" s="67"/>
      <c r="AE237" s="67"/>
      <c r="AF237" s="67"/>
      <c r="AG237" s="67"/>
      <c r="AH237" s="67"/>
      <c r="AI237" s="67"/>
      <c r="AJ237" s="67"/>
      <c r="AK237" s="67"/>
      <c r="AL237" s="67"/>
      <c r="AM237" s="67"/>
      <c r="AN237" s="77"/>
      <c r="AO237" s="76"/>
      <c r="AP237" s="77"/>
      <c r="AQ237" s="76"/>
      <c r="AR237" s="76"/>
      <c r="AS237" s="76"/>
      <c r="AT237" s="76"/>
      <c r="AU237" s="76"/>
      <c r="AV237" s="77"/>
      <c r="AW237" s="76"/>
      <c r="AX237" s="77"/>
      <c r="AY237" s="76"/>
      <c r="AZ237" s="76"/>
      <c r="BA237" s="76"/>
      <c r="BB237" s="76"/>
      <c r="BC237" s="76"/>
      <c r="BD237" s="77"/>
      <c r="BE237" s="76"/>
      <c r="BF237" s="77"/>
      <c r="BG237" s="76"/>
      <c r="BH237" s="76"/>
      <c r="BI237" s="76"/>
      <c r="BJ237" s="76"/>
      <c r="BK237" s="76"/>
      <c r="BL237" s="77"/>
      <c r="BM237" s="76"/>
      <c r="BN237" s="77"/>
      <c r="BO237" s="76"/>
      <c r="BP237" s="76"/>
      <c r="BQ237" s="76"/>
      <c r="BR237" s="76"/>
      <c r="BS237" s="76"/>
      <c r="BT237" s="77"/>
      <c r="BU237" s="76"/>
      <c r="BV237" s="77"/>
      <c r="BW237" s="76"/>
      <c r="BX237" s="76"/>
      <c r="BY237" s="76"/>
      <c r="BZ237" s="76"/>
      <c r="CA237" s="76"/>
      <c r="CB237" s="77"/>
      <c r="CC237" s="76"/>
      <c r="CD237" s="77"/>
      <c r="CE237" s="76"/>
      <c r="CF237" s="76"/>
      <c r="CG237" s="76"/>
      <c r="CH237" s="76"/>
      <c r="CI237" s="76"/>
      <c r="CJ237" s="77"/>
      <c r="CK237" s="76"/>
      <c r="CL237" s="77"/>
      <c r="CM237" s="76"/>
      <c r="CN237" s="76"/>
      <c r="CO237" s="76"/>
      <c r="CP237" s="76"/>
      <c r="CQ237" s="76"/>
      <c r="CR237" s="78" t="str">
        <f t="shared" si="63"/>
        <v/>
      </c>
      <c r="CS237" s="79" t="str">
        <f t="shared" si="64"/>
        <v/>
      </c>
      <c r="CT237" s="79" t="str">
        <f t="shared" si="65"/>
        <v/>
      </c>
      <c r="CU237" s="79" t="str">
        <f t="shared" si="66"/>
        <v/>
      </c>
      <c r="CV237" s="79" t="str">
        <f t="shared" si="67"/>
        <v/>
      </c>
      <c r="CW237" s="79" t="str">
        <f t="shared" si="68"/>
        <v/>
      </c>
      <c r="CX237" s="79" t="str">
        <f t="shared" si="69"/>
        <v/>
      </c>
      <c r="CY237" s="79" t="str">
        <f t="shared" si="70"/>
        <v/>
      </c>
      <c r="CZ237" s="79" t="str">
        <f t="shared" si="71"/>
        <v/>
      </c>
      <c r="DA237" s="79" t="str">
        <f t="shared" si="72"/>
        <v/>
      </c>
      <c r="DB237" s="79" t="str">
        <f t="shared" si="73"/>
        <v/>
      </c>
      <c r="DC237" s="79" t="str">
        <f t="shared" si="74"/>
        <v/>
      </c>
      <c r="DD237" s="79" t="str">
        <f t="shared" si="75"/>
        <v/>
      </c>
      <c r="DE237" s="79" t="str">
        <f t="shared" si="76"/>
        <v/>
      </c>
      <c r="DF237" s="79" t="str">
        <f t="shared" si="77"/>
        <v/>
      </c>
      <c r="DG237" s="79" t="str">
        <f t="shared" si="78"/>
        <v/>
      </c>
      <c r="DH237" s="76"/>
      <c r="DI237" s="78"/>
      <c r="DJ237" s="76"/>
      <c r="DK237" s="77"/>
      <c r="DL237" s="77"/>
      <c r="DM237" s="77"/>
      <c r="DN237" s="80"/>
      <c r="DO237" s="80"/>
      <c r="DP237" s="92" t="str">
        <f>IF(Table1[Start Date]="","",IF(Table1[Start Date]&gt;42185,"",IF(AND(Table1[Leaving Date]&gt;1,Table1[Leaving Date]&lt;42095),"",1)))</f>
        <v/>
      </c>
      <c r="DQ237" s="92" t="str">
        <f>IF(Table1[Start Date]="","",IF(Table1[Start Date]&gt;42277,"",IF(AND(Table1[Leaving Date]&gt;1,Table1[Leaving Date]&lt;42186),"",1)))</f>
        <v/>
      </c>
      <c r="DR237" s="92" t="str">
        <f>IF(Table1[Start Date]="","",IF(Table1[Start Date]&gt;42369,"",IF(AND(Table1[Leaving Date]&gt;1,Table1[Leaving Date]&lt;42278),"",1)))</f>
        <v/>
      </c>
      <c r="DS237" s="92" t="str">
        <f>IF(Table1[Start Date]="","",IF(Table1[Start Date]&gt;42460,"",IF(AND(Table1[Leaving Date]&gt;1,Table1[Leaving Date]&lt;42370),"",1)))</f>
        <v/>
      </c>
      <c r="DT237" s="92" t="str">
        <f>IF(Table1[Start Date]="","",IF(Table1[Start Date]&gt;42551,"",IF(AND(Table1[Leaving Date]&gt;1,Table1[Leaving Date]&lt;42461),"",1)))</f>
        <v/>
      </c>
      <c r="DU237" s="92" t="str">
        <f>IF(Table1[Start Date]="","",IF(Table1[Start Date]&gt;42643,"",IF(AND(Table1[Leaving Date]&gt;1,Table1[Leaving Date]&lt;42552),"",1)))</f>
        <v/>
      </c>
      <c r="DV237" s="92" t="str">
        <f>IF(Table1[Start Date]="","",IF(Table1[Start Date]&gt;42735,"",IF(AND(Table1[Leaving Date]&gt;1,Table1[Leaving Date]&lt;42644),"",1)))</f>
        <v/>
      </c>
      <c r="DW237" s="92" t="str">
        <f>IF(Table1[Start Date]="","",IF(Table1[Start Date]&gt;42825,"",IF(AND(Table1[Leaving Date]&gt;1,Table1[Leaving Date]&lt;42736),"",1)))</f>
        <v/>
      </c>
      <c r="DX237"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237" s="44" t="e">
        <f>VLOOKUP(Table1[Referral Source],Lists!$G$2:$H$20,2,FALSE)</f>
        <v>#N/A</v>
      </c>
      <c r="DZ237" s="93" t="e">
        <f>SUM(Table1[Data Referral Quarter]+Table1[Data Referral Source])</f>
        <v>#N/A</v>
      </c>
      <c r="EA237" s="44" t="b">
        <f>IF(Table1[Referral Decision]="Accepted",100,IF(Table1[Referral Decision]="Rejected by Provider",200,IF(Table1[Referral Decision]="Rejected by Applicant",300)))</f>
        <v>0</v>
      </c>
      <c r="EB237" s="44">
        <f>SUM(Table1[Data Referral Quarter]+Table1[Data Referral Decision])</f>
        <v>0</v>
      </c>
      <c r="EC237" s="44" t="b">
        <f>IF(Table1[Start Date]&gt;42735,8000,IF(Table1[Start Date]&gt;42643,7000,IF(Table1[Start Date]&gt;42551,6000,IF(Table1[Start Date]&gt;42460,5000,IF(Table1[Start Date]&gt;42369,4000,IF(Table1[Start Date]&gt;42277,3000,IF(Table1[Start Date]&gt;42185,2000,IF(Table1[Start Date]&gt;42094,1000))))))))</f>
        <v>0</v>
      </c>
      <c r="ED237" s="44" t="str">
        <f>IF(Table1[Start Date]="","",IF(Table1[Current Local Authority]="Swindon",1,"2"))</f>
        <v/>
      </c>
      <c r="EE237" s="44" t="e">
        <f>SUM(Table1[Data Start Date]+Table1[Data Local Authority])</f>
        <v>#VALUE!</v>
      </c>
      <c r="EF237" s="44">
        <f>IF(Table1[Registered with GP]="Yes",1,0)</f>
        <v>0</v>
      </c>
      <c r="EG237" s="44">
        <f>SUM(Table1[Data Start Date]+Table1[Data GP Start])</f>
        <v>0</v>
      </c>
      <c r="EH237" s="44" t="str">
        <f>IF(Table1[EET]="NEET",1,IF(Table1[EET]="Education",2,IF(Table1[EET]="Employment",2,IF(Table1[EET]="Training",2,IF(Table1[EET]="Retired",3,"")))))</f>
        <v/>
      </c>
      <c r="EI237" s="44" t="e">
        <f>Table1[Data Start Date]+Table1[Data EET Start]</f>
        <v>#VALUE!</v>
      </c>
      <c r="EJ237" s="44" t="b">
        <f>IF(Table1[Leaving Date]&gt;42735,8000,IF(Table1[Leaving Date]&gt;42643,7000,IF(Table1[Leaving Date]&gt;42551,6000,IF(Table1[Leaving Date]&gt;42460,5000,IF(Table1[Leaving Date]&gt;42369,4000,IF(Table1[Leaving Date]&gt;42277,3000,IF(Table1[Leaving Date]&gt;42185,2000,IF(Table1[Leaving Date]&gt;42094,1000))))))))</f>
        <v>0</v>
      </c>
      <c r="EK237" s="44" t="e">
        <f>VLOOKUP(Table1[Reason for Leaving],Lists!$T$2:$U$15,2,FALSE)</f>
        <v>#N/A</v>
      </c>
      <c r="EL237" s="44" t="e">
        <f>SUM(Table1[Data Leavers Date]+Table1[Data Move On])</f>
        <v>#N/A</v>
      </c>
      <c r="EM237" s="44" t="b">
        <f>IF(Table1[Registered with GP2]="Yes",1,IF(Table1[Registered with GP2]="No",0,IF(Table1[Registered with GP]="Yes",1,IF(Table1[Registered with GP]="No",0))))</f>
        <v>0</v>
      </c>
      <c r="EN237" s="44">
        <f>SUM(Table1[Data Leavers Date]+Table1[Data GP End])</f>
        <v>0</v>
      </c>
      <c r="EO237" s="44" t="str">
        <f>IF(Table1[EET2]="NEET",1,IF(Table1[EET2]="Employment",2,IF(Table1[EET2]="Education",2,IF(Table1[EET2]="Training",2,IF(Table1[EET2]="Retired",3,IF(Table1[EET]="NEET",1,IF(Table1[EET]="Employment",2,IF(Table1[EET]="Education",2,IF(Table1[EET]="Training",2,IF(Table1[EET]="Retired",3,""))))))))))</f>
        <v/>
      </c>
      <c r="EP237" s="44" t="e">
        <f>+Table1[[#This Row],[Data Leavers Date]]+Table1[[#This Row],[Data EET End]]</f>
        <v>#VALUE!</v>
      </c>
      <c r="EQ237" s="44">
        <f>IF(Table1[Exit Form Received]="Yes",1,0)</f>
        <v>0</v>
      </c>
      <c r="ER237" s="44">
        <f>+Table1[[#This Row],[Data Leavers Date]]+Table1[[#This Row],[Data Exit Forms]]</f>
        <v>0</v>
      </c>
      <c r="ES237" s="44" t="str">
        <f>IF(Table1[Data Leavers Date]=1000,SUM(Table1[Leaving Date]-Table1[Start Date]),"")</f>
        <v/>
      </c>
      <c r="ET237" s="44" t="str">
        <f>IF(Table1[Data Leavers Date]=2000,SUM(Table1[Leaving Date]-Table1[Start Date]),"")</f>
        <v/>
      </c>
      <c r="EU237" s="44" t="str">
        <f>IF(Table1[Data Leavers Date]=3000,SUM(Table1[Leaving Date]-Table1[Start Date]),"")</f>
        <v/>
      </c>
      <c r="EV237" s="44" t="str">
        <f>IF(Table1[Data Leavers Date]=4000,SUM(Table1[Leaving Date]-Table1[Start Date]),"")</f>
        <v/>
      </c>
      <c r="EW237" s="44" t="str">
        <f>IF(Table1[Data Leavers Date]=5000,SUM(Table1[Leaving Date]-Table1[Start Date]),"")</f>
        <v/>
      </c>
      <c r="EX237" s="44" t="str">
        <f>IF(Table1[Data Leavers Date]=6000,SUM(Table1[Leaving Date]-Table1[Start Date]),"")</f>
        <v/>
      </c>
      <c r="EY237" s="44" t="str">
        <f>IF(Table1[Data Leavers Date]=7000,SUM(Table1[Leaving Date]-Table1[Start Date]),"")</f>
        <v/>
      </c>
      <c r="EZ237" s="44" t="str">
        <f>IF(Table1[Data Leavers Date]=8000,SUM(Table1[Leaving Date]-Table1[Start Date]),"")</f>
        <v/>
      </c>
      <c r="FA237" s="44" t="str">
        <f>IF(Table1[Date of Initial Assessment]="","",IF(AND(Table1[Start Date]&gt;42094,Table1[Start Date]&lt;42461),Table1[Motivation and Taking Responsibility],""))</f>
        <v/>
      </c>
      <c r="FB237" s="44" t="str">
        <f>IF(Table1[Date of Initial Assessment]="","",IF(AND(Table1[Start Date]&gt;42094,Table1[Start Date]&lt;42461),Table1[Self-Care and Living Skills],""))</f>
        <v/>
      </c>
      <c r="FC237" s="44" t="str">
        <f>IF(Table1[Date of Initial Assessment]="","",IF(AND(Table1[Start Date]&gt;42094,Table1[Start Date]&lt;42461),Table1[Managing Money and Personal Administration],""))</f>
        <v/>
      </c>
      <c r="FD237" s="44" t="str">
        <f>IF(Table1[Date of Initial Assessment]="","",IF(AND(Table1[Start Date]&gt;42094,Table1[Start Date]&lt;42461),Table1[Social Networks and Relationships],""))</f>
        <v/>
      </c>
      <c r="FE237" s="44" t="str">
        <f>IF(Table1[Date of Initial Assessment]="","",IF(AND(Table1[Start Date]&gt;42094,Table1[Start Date]&lt;42461),Table1[Drug and Alcohol Misuse],""))</f>
        <v/>
      </c>
      <c r="FF237" s="44" t="str">
        <f>IF(Table1[Date of Initial Assessment]="","",IF(AND(Table1[Start Date]&gt;42094,Table1[Start Date]&lt;42461),Table1[Physical Health],""))</f>
        <v/>
      </c>
      <c r="FG237" s="44" t="str">
        <f>IF(Table1[Date of Initial Assessment]="","",IF(AND(Table1[Start Date]&gt;42094,Table1[Start Date]&lt;42461),Table1[Emotional and Mental Health],""))</f>
        <v/>
      </c>
      <c r="FH237" s="44" t="str">
        <f>IF(Table1[Date of Initial Assessment]="","",IF(AND(Table1[Start Date]&gt;42094,Table1[Start Date]&lt;42461),Table1[Meaningful Use of Time],""))</f>
        <v/>
      </c>
      <c r="FI237" s="44" t="str">
        <f>IF(Table1[Date of Initial Assessment]="","",IF(AND(Table1[Start Date]&gt;42094,Table1[Start Date]&lt;42461),Table1[Managing Tenancy and Accommodation],""))</f>
        <v/>
      </c>
      <c r="FJ237" s="44" t="str">
        <f>IF(Table1[Date of Initial Assessment]="","",IF(AND(Table1[Start Date]&gt;42094,Table1[Start Date]&lt;42461),Table1[Offending],""))</f>
        <v/>
      </c>
      <c r="FK237" s="44" t="str">
        <f>IF(Table1[Leaving Date]="","",IF(Table1[Date of Initial Assessment]="","",IF(AND(Table1[Leaving Date]&gt;42094,Table1[Leaving Date]&lt;42461),IF(Table1[Date of Last Assessment]="",Table1[Motivation and Taking Responsibility],Table1[Motivation and Taking Responsibility2]),"")))</f>
        <v/>
      </c>
      <c r="FL237" s="44" t="str">
        <f>IF(Table1[Leaving Date]="","",IF(Table1[Date of Initial Assessment]="","",IF(AND(Table1[Leaving Date]&gt;42094,Table1[Leaving Date]&lt;42461),IF(Table1[Date of Last Assessment]="",Table1[Self-Care and Living Skills],Table1[Self-Care and Living Skills2]),"")))</f>
        <v/>
      </c>
      <c r="FM237" s="44" t="str">
        <f>IF(Table1[Leaving Date]="","",IF(Table1[Date of Initial Assessment]="","",IF(AND(Table1[Leaving Date]&gt;42094,Table1[Leaving Date]&lt;42461),IF(Table1[Date of Last Assessment]="",Table1[Managing Money and Personal Administration],Table1[Managing Money and Personal Administration2]),"")))</f>
        <v/>
      </c>
      <c r="FN237" s="44" t="str">
        <f>IF(Table1[Leaving Date]="","",IF(Table1[Date of Initial Assessment]="","",IF(AND(Table1[Leaving Date]&gt;42094,Table1[Leaving Date]&lt;42461),IF(Table1[Date of Last Assessment]="",Table1[Social Networks and Relationships],Table1[Social Networks and Relationships2]),"")))</f>
        <v/>
      </c>
      <c r="FO237" s="44" t="str">
        <f>IF(Table1[Leaving Date]="","",IF(Table1[Date of Initial Assessment]="","",IF(AND(Table1[Leaving Date]&gt;42094,Table1[Leaving Date]&lt;42461),IF(Table1[Date of Last Assessment]="",Table1[Drug and Alcohol Misuse],Table1[Drug and Alcohol Misuse2]),"")))</f>
        <v/>
      </c>
      <c r="FP237" s="44" t="str">
        <f>IF(Table1[Leaving Date]="","",IF(Table1[Date of Initial Assessment]="","",IF(AND(Table1[Leaving Date]&gt;42094,Table1[Leaving Date]&lt;42461),IF(Table1[Date of Last Assessment]="",Table1[Physical Health],Table1[Physical Health2]),"")))</f>
        <v/>
      </c>
      <c r="FQ237" s="44" t="str">
        <f>IF(Table1[Leaving Date]="","",IF(Table1[Date of Initial Assessment]="","",IF(AND(Table1[Leaving Date]&gt;42094,Table1[Leaving Date]&lt;42461),IF(Table1[Date of Last Assessment]="",Table1[Emotional and Mental Health],Table1[Emotional and Mental Health2]),"")))</f>
        <v/>
      </c>
      <c r="FR237" s="44" t="str">
        <f>IF(Table1[Leaving Date]="","",IF(Table1[Date of Initial Assessment]="","",IF(AND(Table1[Leaving Date]&gt;42094,Table1[Leaving Date]&lt;42461),IF(Table1[Date of Last Assessment]="",Table1[Meaningful Use of Time],Table1[Meaningful Use of Time2]),"")))</f>
        <v/>
      </c>
      <c r="FS237" s="44" t="str">
        <f>IF(Table1[Leaving Date]="","",IF(Table1[Date of Initial Assessment]="","",IF(AND(Table1[Leaving Date]&gt;42094,Table1[Leaving Date]&lt;42461),IF(Table1[Date of Last Assessment]="",Table1[Managing Tenancy and Accommodation],Table1[Managing Tenancy and Accommodation2]),"")))</f>
        <v/>
      </c>
      <c r="FT237" s="44" t="str">
        <f>IF(Table1[Leaving Date]="","",IF(Table1[Date of Initial Assessment]="","",IF(AND(Table1[Leaving Date]&gt;42094,Table1[Leaving Date]&lt;42461),IF(Table1[Date of Last Assessment]="",Table1[Offending],Table1[Offending2]),"")))</f>
        <v/>
      </c>
      <c r="FU237" s="44" t="str">
        <f>IF(Table1[Date of Initial Assessment]="","",IF(AND(Table1[Start Date]&gt;42460,Table1[Start Date]&lt;42826),Table1[Motivation and Taking Responsibility],""))</f>
        <v/>
      </c>
      <c r="FV237" s="44" t="str">
        <f>IF(Table1[Date of Initial Assessment]="","",IF(AND(Table1[Start Date]&gt;42460,Table1[Start Date]&lt;42826),Table1[Self-Care and Living Skills],""))</f>
        <v/>
      </c>
      <c r="FW237" s="44" t="str">
        <f>IF(Table1[Date of Initial Assessment]="","",IF(AND(Table1[Start Date]&gt;42460,Table1[Start Date]&lt;42826),Table1[Managing Money and Personal Administration],""))</f>
        <v/>
      </c>
      <c r="FX237" s="44" t="str">
        <f>IF(Table1[Date of Initial Assessment]="","",IF(AND(Table1[Start Date]&gt;42460,Table1[Start Date]&lt;42826),Table1[Social Networks and Relationships],""))</f>
        <v/>
      </c>
      <c r="FY237" s="44" t="str">
        <f>IF(Table1[Date of Initial Assessment]="","",IF(AND(Table1[Start Date]&gt;42460,Table1[Start Date]&lt;42826),Table1[Drug and Alcohol Misuse],""))</f>
        <v/>
      </c>
      <c r="FZ237" s="44" t="str">
        <f>IF(Table1[Date of Initial Assessment]="","",IF(AND(Table1[Start Date]&gt;42460,Table1[Start Date]&lt;42826),Table1[Physical Health],""))</f>
        <v/>
      </c>
      <c r="GA237" s="44" t="str">
        <f>IF(Table1[Date of Initial Assessment]="","",IF(AND(Table1[Start Date]&gt;42460,Table1[Start Date]&lt;42826),Table1[Emotional and Mental Health],""))</f>
        <v/>
      </c>
      <c r="GB237" s="44" t="str">
        <f>IF(Table1[Date of Initial Assessment]="","",IF(AND(Table1[Start Date]&gt;42460,Table1[Start Date]&lt;42826),Table1[Meaningful Use of Time],""))</f>
        <v/>
      </c>
      <c r="GC237" s="44" t="str">
        <f>IF(Table1[Date of Initial Assessment]="","",IF(AND(Table1[Start Date]&gt;42460,Table1[Start Date]&lt;42826),Table1[Managing Tenancy and Accommodation],""))</f>
        <v/>
      </c>
      <c r="GD237" s="44" t="str">
        <f>IF(Table1[Date of Initial Assessment]="","",IF(AND(Table1[Start Date]&gt;42460,Table1[Start Date]&lt;42826),Table1[Offending],""))</f>
        <v/>
      </c>
      <c r="GE237" s="44" t="str">
        <f>IF(Table1[Leaving Date]="","",IF(AND(Table1[Leaving Date]&gt;42460,Table1[Leaving Date]&lt;42826),IF(Table1[Date of Last Assessment]="",Table1[Motivation and Taking Responsibility],Table1[Motivation and Taking Responsibility2]),""))</f>
        <v/>
      </c>
      <c r="GF237" s="44" t="str">
        <f>IF(Table1[Leaving Date]="","",IF(AND(Table1[Leaving Date]&gt;42460,Table1[Leaving Date]&lt;42826),IF(Table1[Date of Last Assessment]="",Table1[Self-Care and Living Skills],Table1[Self-Care and Living Skills2]),""))</f>
        <v/>
      </c>
      <c r="GG237" s="44" t="str">
        <f>IF(Table1[Leaving Date]="","",IF(AND(Table1[Leaving Date]&gt;42460,Table1[Leaving Date]&lt;42826),IF(Table1[Date of Last Assessment]="",Table1[Managing Money and Personal Administration],Table1[Managing Money and Personal Administration2]),""))</f>
        <v/>
      </c>
      <c r="GH237" s="44" t="str">
        <f>IF(Table1[Leaving Date]="","",IF(AND(Table1[Leaving Date]&gt;42460,Table1[Leaving Date]&lt;42826),IF(Table1[Date of Last Assessment]="",Table1[Social Networks and Relationships],Table1[Social Networks and Relationships2]),""))</f>
        <v/>
      </c>
      <c r="GI237" s="44" t="str">
        <f>IF(Table1[Leaving Date]="","",IF(AND(Table1[Leaving Date]&gt;42460,Table1[Leaving Date]&lt;42826),IF(Table1[Date of Last Assessment]="",Table1[Drug and Alcohol Misuse],Table1[Drug and Alcohol Misuse2]),""))</f>
        <v/>
      </c>
      <c r="GJ237" s="44" t="str">
        <f>IF(Table1[Leaving Date]="","",IF(AND(Table1[Leaving Date]&gt;42460,Table1[Leaving Date]&lt;42826),IF(Table1[Date of Last Assessment]="",Table1[Physical Health],Table1[Physical Health2]),""))</f>
        <v/>
      </c>
      <c r="GK237" s="44" t="str">
        <f>IF(Table1[Leaving Date]="","",IF(AND(Table1[Leaving Date]&gt;42460,Table1[Leaving Date]&lt;42826),IF(Table1[Date of Last Assessment]="",Table1[Emotional and Mental Health],Table1[Emotional and Mental Health2]),""))</f>
        <v/>
      </c>
      <c r="GL237" s="44" t="str">
        <f>IF(Table1[Leaving Date]="","",IF(AND(Table1[Leaving Date]&gt;42460,Table1[Leaving Date]&lt;42826),IF(Table1[Date of Last Assessment]="",Table1[Meaningful Use of Time],Table1[Meaningful Use of Time2]),""))</f>
        <v/>
      </c>
      <c r="GM237" s="44" t="str">
        <f>IF(Table1[Leaving Date]="","",IF(AND(Table1[Leaving Date]&gt;42460,Table1[Leaving Date]&lt;42826),IF(Table1[Date of Last Assessment]="",Table1[Managing Tenancy and Accommodation],Table1[Managing Tenancy and Accommodation2]),""))</f>
        <v/>
      </c>
      <c r="GN237" s="44" t="str">
        <f>IF(Table1[Leaving Date]="","",IF(AND(Table1[Leaving Date]&gt;42460,Table1[Leaving Date]&lt;42826),IF(Table1[Date of Last Assessment]="",Table1[Offending],Table1[Offending2]),""))</f>
        <v/>
      </c>
    </row>
    <row r="238" spans="2:196" ht="20.100000000000001" customHeight="1" x14ac:dyDescent="0.2">
      <c r="B238" s="86">
        <f>+'Service Data'!$C$5:$C$5</f>
        <v>0</v>
      </c>
      <c r="C238" s="86"/>
      <c r="D238" s="86"/>
      <c r="E238" s="86"/>
      <c r="F238" s="86"/>
      <c r="G238" s="86"/>
      <c r="H238" s="6"/>
      <c r="I238" s="99" t="str">
        <f ca="1">IF(Table1[[#This Row],[Date of Birth]]="","",SUM(TODAY()-Table1[[#This Row],[Date of Birth]])/365)</f>
        <v/>
      </c>
      <c r="L238" s="86"/>
      <c r="M238" s="77"/>
      <c r="N238" s="86"/>
      <c r="O238" s="86"/>
      <c r="P238" s="91"/>
      <c r="Q238" s="86"/>
      <c r="R238" s="77"/>
      <c r="S238" s="77"/>
      <c r="T238" s="68"/>
      <c r="U238" s="68"/>
      <c r="V238" s="67"/>
      <c r="W238" s="67"/>
      <c r="X238" s="67"/>
      <c r="Y238" s="67"/>
      <c r="Z238" s="67"/>
      <c r="AA238" s="67"/>
      <c r="AB238" s="67"/>
      <c r="AC238" s="67"/>
      <c r="AD238" s="67"/>
      <c r="AE238" s="67"/>
      <c r="AF238" s="67"/>
      <c r="AG238" s="67"/>
      <c r="AH238" s="67"/>
      <c r="AI238" s="67"/>
      <c r="AJ238" s="67"/>
      <c r="AK238" s="67"/>
      <c r="AL238" s="67"/>
      <c r="AM238" s="67"/>
      <c r="AN238" s="77"/>
      <c r="AO238" s="76"/>
      <c r="AP238" s="77"/>
      <c r="AQ238" s="76"/>
      <c r="AR238" s="76"/>
      <c r="AS238" s="76"/>
      <c r="AT238" s="76"/>
      <c r="AU238" s="76"/>
      <c r="AV238" s="77"/>
      <c r="AW238" s="76"/>
      <c r="AX238" s="77"/>
      <c r="AY238" s="76"/>
      <c r="AZ238" s="76"/>
      <c r="BA238" s="76"/>
      <c r="BB238" s="76"/>
      <c r="BC238" s="76"/>
      <c r="BD238" s="77"/>
      <c r="BE238" s="76"/>
      <c r="BF238" s="77"/>
      <c r="BG238" s="76"/>
      <c r="BH238" s="76"/>
      <c r="BI238" s="76"/>
      <c r="BJ238" s="76"/>
      <c r="BK238" s="76"/>
      <c r="BL238" s="77"/>
      <c r="BM238" s="76"/>
      <c r="BN238" s="77"/>
      <c r="BO238" s="76"/>
      <c r="BP238" s="76"/>
      <c r="BQ238" s="76"/>
      <c r="BR238" s="76"/>
      <c r="BS238" s="76"/>
      <c r="BT238" s="77"/>
      <c r="BU238" s="76"/>
      <c r="BV238" s="77"/>
      <c r="BW238" s="76"/>
      <c r="BX238" s="76"/>
      <c r="BY238" s="76"/>
      <c r="BZ238" s="76"/>
      <c r="CA238" s="76"/>
      <c r="CB238" s="77"/>
      <c r="CC238" s="76"/>
      <c r="CD238" s="77"/>
      <c r="CE238" s="76"/>
      <c r="CF238" s="76"/>
      <c r="CG238" s="76"/>
      <c r="CH238" s="76"/>
      <c r="CI238" s="76"/>
      <c r="CJ238" s="77"/>
      <c r="CK238" s="76"/>
      <c r="CL238" s="77"/>
      <c r="CM238" s="76"/>
      <c r="CN238" s="76"/>
      <c r="CO238" s="76"/>
      <c r="CP238" s="76"/>
      <c r="CQ238" s="76"/>
      <c r="CR238" s="78" t="str">
        <f t="shared" si="63"/>
        <v/>
      </c>
      <c r="CS238" s="79" t="str">
        <f t="shared" si="64"/>
        <v/>
      </c>
      <c r="CT238" s="79" t="str">
        <f t="shared" si="65"/>
        <v/>
      </c>
      <c r="CU238" s="79" t="str">
        <f t="shared" si="66"/>
        <v/>
      </c>
      <c r="CV238" s="79" t="str">
        <f t="shared" si="67"/>
        <v/>
      </c>
      <c r="CW238" s="79" t="str">
        <f t="shared" si="68"/>
        <v/>
      </c>
      <c r="CX238" s="79" t="str">
        <f t="shared" si="69"/>
        <v/>
      </c>
      <c r="CY238" s="79" t="str">
        <f t="shared" si="70"/>
        <v/>
      </c>
      <c r="CZ238" s="79" t="str">
        <f t="shared" si="71"/>
        <v/>
      </c>
      <c r="DA238" s="79" t="str">
        <f t="shared" si="72"/>
        <v/>
      </c>
      <c r="DB238" s="79" t="str">
        <f t="shared" si="73"/>
        <v/>
      </c>
      <c r="DC238" s="79" t="str">
        <f t="shared" si="74"/>
        <v/>
      </c>
      <c r="DD238" s="79" t="str">
        <f t="shared" si="75"/>
        <v/>
      </c>
      <c r="DE238" s="79" t="str">
        <f t="shared" si="76"/>
        <v/>
      </c>
      <c r="DF238" s="79" t="str">
        <f t="shared" si="77"/>
        <v/>
      </c>
      <c r="DG238" s="79" t="str">
        <f t="shared" si="78"/>
        <v/>
      </c>
      <c r="DH238" s="76"/>
      <c r="DI238" s="78"/>
      <c r="DJ238" s="76"/>
      <c r="DK238" s="77"/>
      <c r="DL238" s="77"/>
      <c r="DM238" s="77"/>
      <c r="DN238" s="80"/>
      <c r="DO238" s="80"/>
      <c r="DP238" s="92" t="str">
        <f>IF(Table1[Start Date]="","",IF(Table1[Start Date]&gt;42185,"",IF(AND(Table1[Leaving Date]&gt;1,Table1[Leaving Date]&lt;42095),"",1)))</f>
        <v/>
      </c>
      <c r="DQ238" s="92" t="str">
        <f>IF(Table1[Start Date]="","",IF(Table1[Start Date]&gt;42277,"",IF(AND(Table1[Leaving Date]&gt;1,Table1[Leaving Date]&lt;42186),"",1)))</f>
        <v/>
      </c>
      <c r="DR238" s="92" t="str">
        <f>IF(Table1[Start Date]="","",IF(Table1[Start Date]&gt;42369,"",IF(AND(Table1[Leaving Date]&gt;1,Table1[Leaving Date]&lt;42278),"",1)))</f>
        <v/>
      </c>
      <c r="DS238" s="92" t="str">
        <f>IF(Table1[Start Date]="","",IF(Table1[Start Date]&gt;42460,"",IF(AND(Table1[Leaving Date]&gt;1,Table1[Leaving Date]&lt;42370),"",1)))</f>
        <v/>
      </c>
      <c r="DT238" s="92" t="str">
        <f>IF(Table1[Start Date]="","",IF(Table1[Start Date]&gt;42551,"",IF(AND(Table1[Leaving Date]&gt;1,Table1[Leaving Date]&lt;42461),"",1)))</f>
        <v/>
      </c>
      <c r="DU238" s="92" t="str">
        <f>IF(Table1[Start Date]="","",IF(Table1[Start Date]&gt;42643,"",IF(AND(Table1[Leaving Date]&gt;1,Table1[Leaving Date]&lt;42552),"",1)))</f>
        <v/>
      </c>
      <c r="DV238" s="92" t="str">
        <f>IF(Table1[Start Date]="","",IF(Table1[Start Date]&gt;42735,"",IF(AND(Table1[Leaving Date]&gt;1,Table1[Leaving Date]&lt;42644),"",1)))</f>
        <v/>
      </c>
      <c r="DW238" s="92" t="str">
        <f>IF(Table1[Start Date]="","",IF(Table1[Start Date]&gt;42825,"",IF(AND(Table1[Leaving Date]&gt;1,Table1[Leaving Date]&lt;42736),"",1)))</f>
        <v/>
      </c>
      <c r="DX238"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238" s="44" t="e">
        <f>VLOOKUP(Table1[Referral Source],Lists!$G$2:$H$20,2,FALSE)</f>
        <v>#N/A</v>
      </c>
      <c r="DZ238" s="93" t="e">
        <f>SUM(Table1[Data Referral Quarter]+Table1[Data Referral Source])</f>
        <v>#N/A</v>
      </c>
      <c r="EA238" s="44" t="b">
        <f>IF(Table1[Referral Decision]="Accepted",100,IF(Table1[Referral Decision]="Rejected by Provider",200,IF(Table1[Referral Decision]="Rejected by Applicant",300)))</f>
        <v>0</v>
      </c>
      <c r="EB238" s="44">
        <f>SUM(Table1[Data Referral Quarter]+Table1[Data Referral Decision])</f>
        <v>0</v>
      </c>
      <c r="EC238" s="44" t="b">
        <f>IF(Table1[Start Date]&gt;42735,8000,IF(Table1[Start Date]&gt;42643,7000,IF(Table1[Start Date]&gt;42551,6000,IF(Table1[Start Date]&gt;42460,5000,IF(Table1[Start Date]&gt;42369,4000,IF(Table1[Start Date]&gt;42277,3000,IF(Table1[Start Date]&gt;42185,2000,IF(Table1[Start Date]&gt;42094,1000))))))))</f>
        <v>0</v>
      </c>
      <c r="ED238" s="44" t="str">
        <f>IF(Table1[Start Date]="","",IF(Table1[Current Local Authority]="Swindon",1,"2"))</f>
        <v/>
      </c>
      <c r="EE238" s="44" t="e">
        <f>SUM(Table1[Data Start Date]+Table1[Data Local Authority])</f>
        <v>#VALUE!</v>
      </c>
      <c r="EF238" s="44">
        <f>IF(Table1[Registered with GP]="Yes",1,0)</f>
        <v>0</v>
      </c>
      <c r="EG238" s="44">
        <f>SUM(Table1[Data Start Date]+Table1[Data GP Start])</f>
        <v>0</v>
      </c>
      <c r="EH238" s="44" t="str">
        <f>IF(Table1[EET]="NEET",1,IF(Table1[EET]="Education",2,IF(Table1[EET]="Employment",2,IF(Table1[EET]="Training",2,IF(Table1[EET]="Retired",3,"")))))</f>
        <v/>
      </c>
      <c r="EI238" s="44" t="e">
        <f>Table1[Data Start Date]+Table1[Data EET Start]</f>
        <v>#VALUE!</v>
      </c>
      <c r="EJ238" s="44" t="b">
        <f>IF(Table1[Leaving Date]&gt;42735,8000,IF(Table1[Leaving Date]&gt;42643,7000,IF(Table1[Leaving Date]&gt;42551,6000,IF(Table1[Leaving Date]&gt;42460,5000,IF(Table1[Leaving Date]&gt;42369,4000,IF(Table1[Leaving Date]&gt;42277,3000,IF(Table1[Leaving Date]&gt;42185,2000,IF(Table1[Leaving Date]&gt;42094,1000))))))))</f>
        <v>0</v>
      </c>
      <c r="EK238" s="44" t="e">
        <f>VLOOKUP(Table1[Reason for Leaving],Lists!$T$2:$U$15,2,FALSE)</f>
        <v>#N/A</v>
      </c>
      <c r="EL238" s="44" t="e">
        <f>SUM(Table1[Data Leavers Date]+Table1[Data Move On])</f>
        <v>#N/A</v>
      </c>
      <c r="EM238" s="44" t="b">
        <f>IF(Table1[Registered with GP2]="Yes",1,IF(Table1[Registered with GP2]="No",0,IF(Table1[Registered with GP]="Yes",1,IF(Table1[Registered with GP]="No",0))))</f>
        <v>0</v>
      </c>
      <c r="EN238" s="44">
        <f>SUM(Table1[Data Leavers Date]+Table1[Data GP End])</f>
        <v>0</v>
      </c>
      <c r="EO238" s="44" t="str">
        <f>IF(Table1[EET2]="NEET",1,IF(Table1[EET2]="Employment",2,IF(Table1[EET2]="Education",2,IF(Table1[EET2]="Training",2,IF(Table1[EET2]="Retired",3,IF(Table1[EET]="NEET",1,IF(Table1[EET]="Employment",2,IF(Table1[EET]="Education",2,IF(Table1[EET]="Training",2,IF(Table1[EET]="Retired",3,""))))))))))</f>
        <v/>
      </c>
      <c r="EP238" s="44" t="e">
        <f>+Table1[[#This Row],[Data Leavers Date]]+Table1[[#This Row],[Data EET End]]</f>
        <v>#VALUE!</v>
      </c>
      <c r="EQ238" s="44">
        <f>IF(Table1[Exit Form Received]="Yes",1,0)</f>
        <v>0</v>
      </c>
      <c r="ER238" s="44">
        <f>+Table1[[#This Row],[Data Leavers Date]]+Table1[[#This Row],[Data Exit Forms]]</f>
        <v>0</v>
      </c>
      <c r="ES238" s="44" t="str">
        <f>IF(Table1[Data Leavers Date]=1000,SUM(Table1[Leaving Date]-Table1[Start Date]),"")</f>
        <v/>
      </c>
      <c r="ET238" s="44" t="str">
        <f>IF(Table1[Data Leavers Date]=2000,SUM(Table1[Leaving Date]-Table1[Start Date]),"")</f>
        <v/>
      </c>
      <c r="EU238" s="44" t="str">
        <f>IF(Table1[Data Leavers Date]=3000,SUM(Table1[Leaving Date]-Table1[Start Date]),"")</f>
        <v/>
      </c>
      <c r="EV238" s="44" t="str">
        <f>IF(Table1[Data Leavers Date]=4000,SUM(Table1[Leaving Date]-Table1[Start Date]),"")</f>
        <v/>
      </c>
      <c r="EW238" s="44" t="str">
        <f>IF(Table1[Data Leavers Date]=5000,SUM(Table1[Leaving Date]-Table1[Start Date]),"")</f>
        <v/>
      </c>
      <c r="EX238" s="44" t="str">
        <f>IF(Table1[Data Leavers Date]=6000,SUM(Table1[Leaving Date]-Table1[Start Date]),"")</f>
        <v/>
      </c>
      <c r="EY238" s="44" t="str">
        <f>IF(Table1[Data Leavers Date]=7000,SUM(Table1[Leaving Date]-Table1[Start Date]),"")</f>
        <v/>
      </c>
      <c r="EZ238" s="44" t="str">
        <f>IF(Table1[Data Leavers Date]=8000,SUM(Table1[Leaving Date]-Table1[Start Date]),"")</f>
        <v/>
      </c>
      <c r="FA238" s="44" t="str">
        <f>IF(Table1[Date of Initial Assessment]="","",IF(AND(Table1[Start Date]&gt;42094,Table1[Start Date]&lt;42461),Table1[Motivation and Taking Responsibility],""))</f>
        <v/>
      </c>
      <c r="FB238" s="44" t="str">
        <f>IF(Table1[Date of Initial Assessment]="","",IF(AND(Table1[Start Date]&gt;42094,Table1[Start Date]&lt;42461),Table1[Self-Care and Living Skills],""))</f>
        <v/>
      </c>
      <c r="FC238" s="44" t="str">
        <f>IF(Table1[Date of Initial Assessment]="","",IF(AND(Table1[Start Date]&gt;42094,Table1[Start Date]&lt;42461),Table1[Managing Money and Personal Administration],""))</f>
        <v/>
      </c>
      <c r="FD238" s="44" t="str">
        <f>IF(Table1[Date of Initial Assessment]="","",IF(AND(Table1[Start Date]&gt;42094,Table1[Start Date]&lt;42461),Table1[Social Networks and Relationships],""))</f>
        <v/>
      </c>
      <c r="FE238" s="44" t="str">
        <f>IF(Table1[Date of Initial Assessment]="","",IF(AND(Table1[Start Date]&gt;42094,Table1[Start Date]&lt;42461),Table1[Drug and Alcohol Misuse],""))</f>
        <v/>
      </c>
      <c r="FF238" s="44" t="str">
        <f>IF(Table1[Date of Initial Assessment]="","",IF(AND(Table1[Start Date]&gt;42094,Table1[Start Date]&lt;42461),Table1[Physical Health],""))</f>
        <v/>
      </c>
      <c r="FG238" s="44" t="str">
        <f>IF(Table1[Date of Initial Assessment]="","",IF(AND(Table1[Start Date]&gt;42094,Table1[Start Date]&lt;42461),Table1[Emotional and Mental Health],""))</f>
        <v/>
      </c>
      <c r="FH238" s="44" t="str">
        <f>IF(Table1[Date of Initial Assessment]="","",IF(AND(Table1[Start Date]&gt;42094,Table1[Start Date]&lt;42461),Table1[Meaningful Use of Time],""))</f>
        <v/>
      </c>
      <c r="FI238" s="44" t="str">
        <f>IF(Table1[Date of Initial Assessment]="","",IF(AND(Table1[Start Date]&gt;42094,Table1[Start Date]&lt;42461),Table1[Managing Tenancy and Accommodation],""))</f>
        <v/>
      </c>
      <c r="FJ238" s="44" t="str">
        <f>IF(Table1[Date of Initial Assessment]="","",IF(AND(Table1[Start Date]&gt;42094,Table1[Start Date]&lt;42461),Table1[Offending],""))</f>
        <v/>
      </c>
      <c r="FK238" s="44" t="str">
        <f>IF(Table1[Leaving Date]="","",IF(Table1[Date of Initial Assessment]="","",IF(AND(Table1[Leaving Date]&gt;42094,Table1[Leaving Date]&lt;42461),IF(Table1[Date of Last Assessment]="",Table1[Motivation and Taking Responsibility],Table1[Motivation and Taking Responsibility2]),"")))</f>
        <v/>
      </c>
      <c r="FL238" s="44" t="str">
        <f>IF(Table1[Leaving Date]="","",IF(Table1[Date of Initial Assessment]="","",IF(AND(Table1[Leaving Date]&gt;42094,Table1[Leaving Date]&lt;42461),IF(Table1[Date of Last Assessment]="",Table1[Self-Care and Living Skills],Table1[Self-Care and Living Skills2]),"")))</f>
        <v/>
      </c>
      <c r="FM238" s="44" t="str">
        <f>IF(Table1[Leaving Date]="","",IF(Table1[Date of Initial Assessment]="","",IF(AND(Table1[Leaving Date]&gt;42094,Table1[Leaving Date]&lt;42461),IF(Table1[Date of Last Assessment]="",Table1[Managing Money and Personal Administration],Table1[Managing Money and Personal Administration2]),"")))</f>
        <v/>
      </c>
      <c r="FN238" s="44" t="str">
        <f>IF(Table1[Leaving Date]="","",IF(Table1[Date of Initial Assessment]="","",IF(AND(Table1[Leaving Date]&gt;42094,Table1[Leaving Date]&lt;42461),IF(Table1[Date of Last Assessment]="",Table1[Social Networks and Relationships],Table1[Social Networks and Relationships2]),"")))</f>
        <v/>
      </c>
      <c r="FO238" s="44" t="str">
        <f>IF(Table1[Leaving Date]="","",IF(Table1[Date of Initial Assessment]="","",IF(AND(Table1[Leaving Date]&gt;42094,Table1[Leaving Date]&lt;42461),IF(Table1[Date of Last Assessment]="",Table1[Drug and Alcohol Misuse],Table1[Drug and Alcohol Misuse2]),"")))</f>
        <v/>
      </c>
      <c r="FP238" s="44" t="str">
        <f>IF(Table1[Leaving Date]="","",IF(Table1[Date of Initial Assessment]="","",IF(AND(Table1[Leaving Date]&gt;42094,Table1[Leaving Date]&lt;42461),IF(Table1[Date of Last Assessment]="",Table1[Physical Health],Table1[Physical Health2]),"")))</f>
        <v/>
      </c>
      <c r="FQ238" s="44" t="str">
        <f>IF(Table1[Leaving Date]="","",IF(Table1[Date of Initial Assessment]="","",IF(AND(Table1[Leaving Date]&gt;42094,Table1[Leaving Date]&lt;42461),IF(Table1[Date of Last Assessment]="",Table1[Emotional and Mental Health],Table1[Emotional and Mental Health2]),"")))</f>
        <v/>
      </c>
      <c r="FR238" s="44" t="str">
        <f>IF(Table1[Leaving Date]="","",IF(Table1[Date of Initial Assessment]="","",IF(AND(Table1[Leaving Date]&gt;42094,Table1[Leaving Date]&lt;42461),IF(Table1[Date of Last Assessment]="",Table1[Meaningful Use of Time],Table1[Meaningful Use of Time2]),"")))</f>
        <v/>
      </c>
      <c r="FS238" s="44" t="str">
        <f>IF(Table1[Leaving Date]="","",IF(Table1[Date of Initial Assessment]="","",IF(AND(Table1[Leaving Date]&gt;42094,Table1[Leaving Date]&lt;42461),IF(Table1[Date of Last Assessment]="",Table1[Managing Tenancy and Accommodation],Table1[Managing Tenancy and Accommodation2]),"")))</f>
        <v/>
      </c>
      <c r="FT238" s="44" t="str">
        <f>IF(Table1[Leaving Date]="","",IF(Table1[Date of Initial Assessment]="","",IF(AND(Table1[Leaving Date]&gt;42094,Table1[Leaving Date]&lt;42461),IF(Table1[Date of Last Assessment]="",Table1[Offending],Table1[Offending2]),"")))</f>
        <v/>
      </c>
      <c r="FU238" s="44" t="str">
        <f>IF(Table1[Date of Initial Assessment]="","",IF(AND(Table1[Start Date]&gt;42460,Table1[Start Date]&lt;42826),Table1[Motivation and Taking Responsibility],""))</f>
        <v/>
      </c>
      <c r="FV238" s="44" t="str">
        <f>IF(Table1[Date of Initial Assessment]="","",IF(AND(Table1[Start Date]&gt;42460,Table1[Start Date]&lt;42826),Table1[Self-Care and Living Skills],""))</f>
        <v/>
      </c>
      <c r="FW238" s="44" t="str">
        <f>IF(Table1[Date of Initial Assessment]="","",IF(AND(Table1[Start Date]&gt;42460,Table1[Start Date]&lt;42826),Table1[Managing Money and Personal Administration],""))</f>
        <v/>
      </c>
      <c r="FX238" s="44" t="str">
        <f>IF(Table1[Date of Initial Assessment]="","",IF(AND(Table1[Start Date]&gt;42460,Table1[Start Date]&lt;42826),Table1[Social Networks and Relationships],""))</f>
        <v/>
      </c>
      <c r="FY238" s="44" t="str">
        <f>IF(Table1[Date of Initial Assessment]="","",IF(AND(Table1[Start Date]&gt;42460,Table1[Start Date]&lt;42826),Table1[Drug and Alcohol Misuse],""))</f>
        <v/>
      </c>
      <c r="FZ238" s="44" t="str">
        <f>IF(Table1[Date of Initial Assessment]="","",IF(AND(Table1[Start Date]&gt;42460,Table1[Start Date]&lt;42826),Table1[Physical Health],""))</f>
        <v/>
      </c>
      <c r="GA238" s="44" t="str">
        <f>IF(Table1[Date of Initial Assessment]="","",IF(AND(Table1[Start Date]&gt;42460,Table1[Start Date]&lt;42826),Table1[Emotional and Mental Health],""))</f>
        <v/>
      </c>
      <c r="GB238" s="44" t="str">
        <f>IF(Table1[Date of Initial Assessment]="","",IF(AND(Table1[Start Date]&gt;42460,Table1[Start Date]&lt;42826),Table1[Meaningful Use of Time],""))</f>
        <v/>
      </c>
      <c r="GC238" s="44" t="str">
        <f>IF(Table1[Date of Initial Assessment]="","",IF(AND(Table1[Start Date]&gt;42460,Table1[Start Date]&lt;42826),Table1[Managing Tenancy and Accommodation],""))</f>
        <v/>
      </c>
      <c r="GD238" s="44" t="str">
        <f>IF(Table1[Date of Initial Assessment]="","",IF(AND(Table1[Start Date]&gt;42460,Table1[Start Date]&lt;42826),Table1[Offending],""))</f>
        <v/>
      </c>
      <c r="GE238" s="44" t="str">
        <f>IF(Table1[Leaving Date]="","",IF(AND(Table1[Leaving Date]&gt;42460,Table1[Leaving Date]&lt;42826),IF(Table1[Date of Last Assessment]="",Table1[Motivation and Taking Responsibility],Table1[Motivation and Taking Responsibility2]),""))</f>
        <v/>
      </c>
      <c r="GF238" s="44" t="str">
        <f>IF(Table1[Leaving Date]="","",IF(AND(Table1[Leaving Date]&gt;42460,Table1[Leaving Date]&lt;42826),IF(Table1[Date of Last Assessment]="",Table1[Self-Care and Living Skills],Table1[Self-Care and Living Skills2]),""))</f>
        <v/>
      </c>
      <c r="GG238" s="44" t="str">
        <f>IF(Table1[Leaving Date]="","",IF(AND(Table1[Leaving Date]&gt;42460,Table1[Leaving Date]&lt;42826),IF(Table1[Date of Last Assessment]="",Table1[Managing Money and Personal Administration],Table1[Managing Money and Personal Administration2]),""))</f>
        <v/>
      </c>
      <c r="GH238" s="44" t="str">
        <f>IF(Table1[Leaving Date]="","",IF(AND(Table1[Leaving Date]&gt;42460,Table1[Leaving Date]&lt;42826),IF(Table1[Date of Last Assessment]="",Table1[Social Networks and Relationships],Table1[Social Networks and Relationships2]),""))</f>
        <v/>
      </c>
      <c r="GI238" s="44" t="str">
        <f>IF(Table1[Leaving Date]="","",IF(AND(Table1[Leaving Date]&gt;42460,Table1[Leaving Date]&lt;42826),IF(Table1[Date of Last Assessment]="",Table1[Drug and Alcohol Misuse],Table1[Drug and Alcohol Misuse2]),""))</f>
        <v/>
      </c>
      <c r="GJ238" s="44" t="str">
        <f>IF(Table1[Leaving Date]="","",IF(AND(Table1[Leaving Date]&gt;42460,Table1[Leaving Date]&lt;42826),IF(Table1[Date of Last Assessment]="",Table1[Physical Health],Table1[Physical Health2]),""))</f>
        <v/>
      </c>
      <c r="GK238" s="44" t="str">
        <f>IF(Table1[Leaving Date]="","",IF(AND(Table1[Leaving Date]&gt;42460,Table1[Leaving Date]&lt;42826),IF(Table1[Date of Last Assessment]="",Table1[Emotional and Mental Health],Table1[Emotional and Mental Health2]),""))</f>
        <v/>
      </c>
      <c r="GL238" s="44" t="str">
        <f>IF(Table1[Leaving Date]="","",IF(AND(Table1[Leaving Date]&gt;42460,Table1[Leaving Date]&lt;42826),IF(Table1[Date of Last Assessment]="",Table1[Meaningful Use of Time],Table1[Meaningful Use of Time2]),""))</f>
        <v/>
      </c>
      <c r="GM238" s="44" t="str">
        <f>IF(Table1[Leaving Date]="","",IF(AND(Table1[Leaving Date]&gt;42460,Table1[Leaving Date]&lt;42826),IF(Table1[Date of Last Assessment]="",Table1[Managing Tenancy and Accommodation],Table1[Managing Tenancy and Accommodation2]),""))</f>
        <v/>
      </c>
      <c r="GN238" s="44" t="str">
        <f>IF(Table1[Leaving Date]="","",IF(AND(Table1[Leaving Date]&gt;42460,Table1[Leaving Date]&lt;42826),IF(Table1[Date of Last Assessment]="",Table1[Offending],Table1[Offending2]),""))</f>
        <v/>
      </c>
    </row>
    <row r="239" spans="2:196" ht="20.100000000000001" customHeight="1" x14ac:dyDescent="0.2">
      <c r="B239" s="86">
        <f>+'Service Data'!$C$5:$C$5</f>
        <v>0</v>
      </c>
      <c r="C239" s="86"/>
      <c r="D239" s="86"/>
      <c r="E239" s="86"/>
      <c r="F239" s="86"/>
      <c r="G239" s="86"/>
      <c r="H239" s="6"/>
      <c r="I239" s="99" t="str">
        <f ca="1">IF(Table1[[#This Row],[Date of Birth]]="","",SUM(TODAY()-Table1[[#This Row],[Date of Birth]])/365)</f>
        <v/>
      </c>
      <c r="L239" s="86"/>
      <c r="M239" s="77"/>
      <c r="N239" s="86"/>
      <c r="O239" s="86"/>
      <c r="P239" s="91"/>
      <c r="Q239" s="86"/>
      <c r="R239" s="77"/>
      <c r="S239" s="77"/>
      <c r="T239" s="68"/>
      <c r="U239" s="68"/>
      <c r="V239" s="67"/>
      <c r="W239" s="67"/>
      <c r="X239" s="67"/>
      <c r="Y239" s="67"/>
      <c r="Z239" s="67"/>
      <c r="AA239" s="67"/>
      <c r="AB239" s="67"/>
      <c r="AC239" s="67"/>
      <c r="AD239" s="67"/>
      <c r="AE239" s="67"/>
      <c r="AF239" s="67"/>
      <c r="AG239" s="67"/>
      <c r="AH239" s="67"/>
      <c r="AI239" s="67"/>
      <c r="AJ239" s="67"/>
      <c r="AK239" s="67"/>
      <c r="AL239" s="67"/>
      <c r="AM239" s="67"/>
      <c r="AN239" s="77"/>
      <c r="AO239" s="76"/>
      <c r="AP239" s="77"/>
      <c r="AQ239" s="76"/>
      <c r="AR239" s="76"/>
      <c r="AS239" s="76"/>
      <c r="AT239" s="76"/>
      <c r="AU239" s="76"/>
      <c r="AV239" s="77"/>
      <c r="AW239" s="76"/>
      <c r="AX239" s="77"/>
      <c r="AY239" s="76"/>
      <c r="AZ239" s="76"/>
      <c r="BA239" s="76"/>
      <c r="BB239" s="76"/>
      <c r="BC239" s="76"/>
      <c r="BD239" s="77"/>
      <c r="BE239" s="76"/>
      <c r="BF239" s="77"/>
      <c r="BG239" s="76"/>
      <c r="BH239" s="76"/>
      <c r="BI239" s="76"/>
      <c r="BJ239" s="76"/>
      <c r="BK239" s="76"/>
      <c r="BL239" s="77"/>
      <c r="BM239" s="76"/>
      <c r="BN239" s="77"/>
      <c r="BO239" s="76"/>
      <c r="BP239" s="76"/>
      <c r="BQ239" s="76"/>
      <c r="BR239" s="76"/>
      <c r="BS239" s="76"/>
      <c r="BT239" s="77"/>
      <c r="BU239" s="76"/>
      <c r="BV239" s="77"/>
      <c r="BW239" s="76"/>
      <c r="BX239" s="76"/>
      <c r="BY239" s="76"/>
      <c r="BZ239" s="76"/>
      <c r="CA239" s="76"/>
      <c r="CB239" s="77"/>
      <c r="CC239" s="76"/>
      <c r="CD239" s="77"/>
      <c r="CE239" s="76"/>
      <c r="CF239" s="76"/>
      <c r="CG239" s="76"/>
      <c r="CH239" s="76"/>
      <c r="CI239" s="76"/>
      <c r="CJ239" s="77"/>
      <c r="CK239" s="76"/>
      <c r="CL239" s="77"/>
      <c r="CM239" s="76"/>
      <c r="CN239" s="76"/>
      <c r="CO239" s="76"/>
      <c r="CP239" s="76"/>
      <c r="CQ239" s="76"/>
      <c r="CR239" s="78" t="str">
        <f t="shared" si="63"/>
        <v/>
      </c>
      <c r="CS239" s="79" t="str">
        <f t="shared" si="64"/>
        <v/>
      </c>
      <c r="CT239" s="79" t="str">
        <f t="shared" si="65"/>
        <v/>
      </c>
      <c r="CU239" s="79" t="str">
        <f t="shared" si="66"/>
        <v/>
      </c>
      <c r="CV239" s="79" t="str">
        <f t="shared" si="67"/>
        <v/>
      </c>
      <c r="CW239" s="79" t="str">
        <f t="shared" si="68"/>
        <v/>
      </c>
      <c r="CX239" s="79" t="str">
        <f t="shared" si="69"/>
        <v/>
      </c>
      <c r="CY239" s="79" t="str">
        <f t="shared" si="70"/>
        <v/>
      </c>
      <c r="CZ239" s="79" t="str">
        <f t="shared" si="71"/>
        <v/>
      </c>
      <c r="DA239" s="79" t="str">
        <f t="shared" si="72"/>
        <v/>
      </c>
      <c r="DB239" s="79" t="str">
        <f t="shared" si="73"/>
        <v/>
      </c>
      <c r="DC239" s="79" t="str">
        <f t="shared" si="74"/>
        <v/>
      </c>
      <c r="DD239" s="79" t="str">
        <f t="shared" si="75"/>
        <v/>
      </c>
      <c r="DE239" s="79" t="str">
        <f t="shared" si="76"/>
        <v/>
      </c>
      <c r="DF239" s="79" t="str">
        <f t="shared" si="77"/>
        <v/>
      </c>
      <c r="DG239" s="79" t="str">
        <f t="shared" si="78"/>
        <v/>
      </c>
      <c r="DH239" s="76"/>
      <c r="DI239" s="78"/>
      <c r="DJ239" s="76"/>
      <c r="DK239" s="77"/>
      <c r="DL239" s="77"/>
      <c r="DM239" s="77"/>
      <c r="DN239" s="80"/>
      <c r="DO239" s="80"/>
      <c r="DP239" s="92" t="str">
        <f>IF(Table1[Start Date]="","",IF(Table1[Start Date]&gt;42185,"",IF(AND(Table1[Leaving Date]&gt;1,Table1[Leaving Date]&lt;42095),"",1)))</f>
        <v/>
      </c>
      <c r="DQ239" s="92" t="str">
        <f>IF(Table1[Start Date]="","",IF(Table1[Start Date]&gt;42277,"",IF(AND(Table1[Leaving Date]&gt;1,Table1[Leaving Date]&lt;42186),"",1)))</f>
        <v/>
      </c>
      <c r="DR239" s="92" t="str">
        <f>IF(Table1[Start Date]="","",IF(Table1[Start Date]&gt;42369,"",IF(AND(Table1[Leaving Date]&gt;1,Table1[Leaving Date]&lt;42278),"",1)))</f>
        <v/>
      </c>
      <c r="DS239" s="92" t="str">
        <f>IF(Table1[Start Date]="","",IF(Table1[Start Date]&gt;42460,"",IF(AND(Table1[Leaving Date]&gt;1,Table1[Leaving Date]&lt;42370),"",1)))</f>
        <v/>
      </c>
      <c r="DT239" s="92" t="str">
        <f>IF(Table1[Start Date]="","",IF(Table1[Start Date]&gt;42551,"",IF(AND(Table1[Leaving Date]&gt;1,Table1[Leaving Date]&lt;42461),"",1)))</f>
        <v/>
      </c>
      <c r="DU239" s="92" t="str">
        <f>IF(Table1[Start Date]="","",IF(Table1[Start Date]&gt;42643,"",IF(AND(Table1[Leaving Date]&gt;1,Table1[Leaving Date]&lt;42552),"",1)))</f>
        <v/>
      </c>
      <c r="DV239" s="92" t="str">
        <f>IF(Table1[Start Date]="","",IF(Table1[Start Date]&gt;42735,"",IF(AND(Table1[Leaving Date]&gt;1,Table1[Leaving Date]&lt;42644),"",1)))</f>
        <v/>
      </c>
      <c r="DW239" s="92" t="str">
        <f>IF(Table1[Start Date]="","",IF(Table1[Start Date]&gt;42825,"",IF(AND(Table1[Leaving Date]&gt;1,Table1[Leaving Date]&lt;42736),"",1)))</f>
        <v/>
      </c>
      <c r="DX239"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239" s="44" t="e">
        <f>VLOOKUP(Table1[Referral Source],Lists!$G$2:$H$20,2,FALSE)</f>
        <v>#N/A</v>
      </c>
      <c r="DZ239" s="93" t="e">
        <f>SUM(Table1[Data Referral Quarter]+Table1[Data Referral Source])</f>
        <v>#N/A</v>
      </c>
      <c r="EA239" s="44" t="b">
        <f>IF(Table1[Referral Decision]="Accepted",100,IF(Table1[Referral Decision]="Rejected by Provider",200,IF(Table1[Referral Decision]="Rejected by Applicant",300)))</f>
        <v>0</v>
      </c>
      <c r="EB239" s="44">
        <f>SUM(Table1[Data Referral Quarter]+Table1[Data Referral Decision])</f>
        <v>0</v>
      </c>
      <c r="EC239" s="44" t="b">
        <f>IF(Table1[Start Date]&gt;42735,8000,IF(Table1[Start Date]&gt;42643,7000,IF(Table1[Start Date]&gt;42551,6000,IF(Table1[Start Date]&gt;42460,5000,IF(Table1[Start Date]&gt;42369,4000,IF(Table1[Start Date]&gt;42277,3000,IF(Table1[Start Date]&gt;42185,2000,IF(Table1[Start Date]&gt;42094,1000))))))))</f>
        <v>0</v>
      </c>
      <c r="ED239" s="44" t="str">
        <f>IF(Table1[Start Date]="","",IF(Table1[Current Local Authority]="Swindon",1,"2"))</f>
        <v/>
      </c>
      <c r="EE239" s="44" t="e">
        <f>SUM(Table1[Data Start Date]+Table1[Data Local Authority])</f>
        <v>#VALUE!</v>
      </c>
      <c r="EF239" s="44">
        <f>IF(Table1[Registered with GP]="Yes",1,0)</f>
        <v>0</v>
      </c>
      <c r="EG239" s="44">
        <f>SUM(Table1[Data Start Date]+Table1[Data GP Start])</f>
        <v>0</v>
      </c>
      <c r="EH239" s="44" t="str">
        <f>IF(Table1[EET]="NEET",1,IF(Table1[EET]="Education",2,IF(Table1[EET]="Employment",2,IF(Table1[EET]="Training",2,IF(Table1[EET]="Retired",3,"")))))</f>
        <v/>
      </c>
      <c r="EI239" s="44" t="e">
        <f>Table1[Data Start Date]+Table1[Data EET Start]</f>
        <v>#VALUE!</v>
      </c>
      <c r="EJ239" s="44" t="b">
        <f>IF(Table1[Leaving Date]&gt;42735,8000,IF(Table1[Leaving Date]&gt;42643,7000,IF(Table1[Leaving Date]&gt;42551,6000,IF(Table1[Leaving Date]&gt;42460,5000,IF(Table1[Leaving Date]&gt;42369,4000,IF(Table1[Leaving Date]&gt;42277,3000,IF(Table1[Leaving Date]&gt;42185,2000,IF(Table1[Leaving Date]&gt;42094,1000))))))))</f>
        <v>0</v>
      </c>
      <c r="EK239" s="44" t="e">
        <f>VLOOKUP(Table1[Reason for Leaving],Lists!$T$2:$U$15,2,FALSE)</f>
        <v>#N/A</v>
      </c>
      <c r="EL239" s="44" t="e">
        <f>SUM(Table1[Data Leavers Date]+Table1[Data Move On])</f>
        <v>#N/A</v>
      </c>
      <c r="EM239" s="44" t="b">
        <f>IF(Table1[Registered with GP2]="Yes",1,IF(Table1[Registered with GP2]="No",0,IF(Table1[Registered with GP]="Yes",1,IF(Table1[Registered with GP]="No",0))))</f>
        <v>0</v>
      </c>
      <c r="EN239" s="44">
        <f>SUM(Table1[Data Leavers Date]+Table1[Data GP End])</f>
        <v>0</v>
      </c>
      <c r="EO239" s="44" t="str">
        <f>IF(Table1[EET2]="NEET",1,IF(Table1[EET2]="Employment",2,IF(Table1[EET2]="Education",2,IF(Table1[EET2]="Training",2,IF(Table1[EET2]="Retired",3,IF(Table1[EET]="NEET",1,IF(Table1[EET]="Employment",2,IF(Table1[EET]="Education",2,IF(Table1[EET]="Training",2,IF(Table1[EET]="Retired",3,""))))))))))</f>
        <v/>
      </c>
      <c r="EP239" s="44" t="e">
        <f>+Table1[[#This Row],[Data Leavers Date]]+Table1[[#This Row],[Data EET End]]</f>
        <v>#VALUE!</v>
      </c>
      <c r="EQ239" s="44">
        <f>IF(Table1[Exit Form Received]="Yes",1,0)</f>
        <v>0</v>
      </c>
      <c r="ER239" s="44">
        <f>+Table1[[#This Row],[Data Leavers Date]]+Table1[[#This Row],[Data Exit Forms]]</f>
        <v>0</v>
      </c>
      <c r="ES239" s="44" t="str">
        <f>IF(Table1[Data Leavers Date]=1000,SUM(Table1[Leaving Date]-Table1[Start Date]),"")</f>
        <v/>
      </c>
      <c r="ET239" s="44" t="str">
        <f>IF(Table1[Data Leavers Date]=2000,SUM(Table1[Leaving Date]-Table1[Start Date]),"")</f>
        <v/>
      </c>
      <c r="EU239" s="44" t="str">
        <f>IF(Table1[Data Leavers Date]=3000,SUM(Table1[Leaving Date]-Table1[Start Date]),"")</f>
        <v/>
      </c>
      <c r="EV239" s="44" t="str">
        <f>IF(Table1[Data Leavers Date]=4000,SUM(Table1[Leaving Date]-Table1[Start Date]),"")</f>
        <v/>
      </c>
      <c r="EW239" s="44" t="str">
        <f>IF(Table1[Data Leavers Date]=5000,SUM(Table1[Leaving Date]-Table1[Start Date]),"")</f>
        <v/>
      </c>
      <c r="EX239" s="44" t="str">
        <f>IF(Table1[Data Leavers Date]=6000,SUM(Table1[Leaving Date]-Table1[Start Date]),"")</f>
        <v/>
      </c>
      <c r="EY239" s="44" t="str">
        <f>IF(Table1[Data Leavers Date]=7000,SUM(Table1[Leaving Date]-Table1[Start Date]),"")</f>
        <v/>
      </c>
      <c r="EZ239" s="44" t="str">
        <f>IF(Table1[Data Leavers Date]=8000,SUM(Table1[Leaving Date]-Table1[Start Date]),"")</f>
        <v/>
      </c>
      <c r="FA239" s="44" t="str">
        <f>IF(Table1[Date of Initial Assessment]="","",IF(AND(Table1[Start Date]&gt;42094,Table1[Start Date]&lt;42461),Table1[Motivation and Taking Responsibility],""))</f>
        <v/>
      </c>
      <c r="FB239" s="44" t="str">
        <f>IF(Table1[Date of Initial Assessment]="","",IF(AND(Table1[Start Date]&gt;42094,Table1[Start Date]&lt;42461),Table1[Self-Care and Living Skills],""))</f>
        <v/>
      </c>
      <c r="FC239" s="44" t="str">
        <f>IF(Table1[Date of Initial Assessment]="","",IF(AND(Table1[Start Date]&gt;42094,Table1[Start Date]&lt;42461),Table1[Managing Money and Personal Administration],""))</f>
        <v/>
      </c>
      <c r="FD239" s="44" t="str">
        <f>IF(Table1[Date of Initial Assessment]="","",IF(AND(Table1[Start Date]&gt;42094,Table1[Start Date]&lt;42461),Table1[Social Networks and Relationships],""))</f>
        <v/>
      </c>
      <c r="FE239" s="44" t="str">
        <f>IF(Table1[Date of Initial Assessment]="","",IF(AND(Table1[Start Date]&gt;42094,Table1[Start Date]&lt;42461),Table1[Drug and Alcohol Misuse],""))</f>
        <v/>
      </c>
      <c r="FF239" s="44" t="str">
        <f>IF(Table1[Date of Initial Assessment]="","",IF(AND(Table1[Start Date]&gt;42094,Table1[Start Date]&lt;42461),Table1[Physical Health],""))</f>
        <v/>
      </c>
      <c r="FG239" s="44" t="str">
        <f>IF(Table1[Date of Initial Assessment]="","",IF(AND(Table1[Start Date]&gt;42094,Table1[Start Date]&lt;42461),Table1[Emotional and Mental Health],""))</f>
        <v/>
      </c>
      <c r="FH239" s="44" t="str">
        <f>IF(Table1[Date of Initial Assessment]="","",IF(AND(Table1[Start Date]&gt;42094,Table1[Start Date]&lt;42461),Table1[Meaningful Use of Time],""))</f>
        <v/>
      </c>
      <c r="FI239" s="44" t="str">
        <f>IF(Table1[Date of Initial Assessment]="","",IF(AND(Table1[Start Date]&gt;42094,Table1[Start Date]&lt;42461),Table1[Managing Tenancy and Accommodation],""))</f>
        <v/>
      </c>
      <c r="FJ239" s="44" t="str">
        <f>IF(Table1[Date of Initial Assessment]="","",IF(AND(Table1[Start Date]&gt;42094,Table1[Start Date]&lt;42461),Table1[Offending],""))</f>
        <v/>
      </c>
      <c r="FK239" s="44" t="str">
        <f>IF(Table1[Leaving Date]="","",IF(Table1[Date of Initial Assessment]="","",IF(AND(Table1[Leaving Date]&gt;42094,Table1[Leaving Date]&lt;42461),IF(Table1[Date of Last Assessment]="",Table1[Motivation and Taking Responsibility],Table1[Motivation and Taking Responsibility2]),"")))</f>
        <v/>
      </c>
      <c r="FL239" s="44" t="str">
        <f>IF(Table1[Leaving Date]="","",IF(Table1[Date of Initial Assessment]="","",IF(AND(Table1[Leaving Date]&gt;42094,Table1[Leaving Date]&lt;42461),IF(Table1[Date of Last Assessment]="",Table1[Self-Care and Living Skills],Table1[Self-Care and Living Skills2]),"")))</f>
        <v/>
      </c>
      <c r="FM239" s="44" t="str">
        <f>IF(Table1[Leaving Date]="","",IF(Table1[Date of Initial Assessment]="","",IF(AND(Table1[Leaving Date]&gt;42094,Table1[Leaving Date]&lt;42461),IF(Table1[Date of Last Assessment]="",Table1[Managing Money and Personal Administration],Table1[Managing Money and Personal Administration2]),"")))</f>
        <v/>
      </c>
      <c r="FN239" s="44" t="str">
        <f>IF(Table1[Leaving Date]="","",IF(Table1[Date of Initial Assessment]="","",IF(AND(Table1[Leaving Date]&gt;42094,Table1[Leaving Date]&lt;42461),IF(Table1[Date of Last Assessment]="",Table1[Social Networks and Relationships],Table1[Social Networks and Relationships2]),"")))</f>
        <v/>
      </c>
      <c r="FO239" s="44" t="str">
        <f>IF(Table1[Leaving Date]="","",IF(Table1[Date of Initial Assessment]="","",IF(AND(Table1[Leaving Date]&gt;42094,Table1[Leaving Date]&lt;42461),IF(Table1[Date of Last Assessment]="",Table1[Drug and Alcohol Misuse],Table1[Drug and Alcohol Misuse2]),"")))</f>
        <v/>
      </c>
      <c r="FP239" s="44" t="str">
        <f>IF(Table1[Leaving Date]="","",IF(Table1[Date of Initial Assessment]="","",IF(AND(Table1[Leaving Date]&gt;42094,Table1[Leaving Date]&lt;42461),IF(Table1[Date of Last Assessment]="",Table1[Physical Health],Table1[Physical Health2]),"")))</f>
        <v/>
      </c>
      <c r="FQ239" s="44" t="str">
        <f>IF(Table1[Leaving Date]="","",IF(Table1[Date of Initial Assessment]="","",IF(AND(Table1[Leaving Date]&gt;42094,Table1[Leaving Date]&lt;42461),IF(Table1[Date of Last Assessment]="",Table1[Emotional and Mental Health],Table1[Emotional and Mental Health2]),"")))</f>
        <v/>
      </c>
      <c r="FR239" s="44" t="str">
        <f>IF(Table1[Leaving Date]="","",IF(Table1[Date of Initial Assessment]="","",IF(AND(Table1[Leaving Date]&gt;42094,Table1[Leaving Date]&lt;42461),IF(Table1[Date of Last Assessment]="",Table1[Meaningful Use of Time],Table1[Meaningful Use of Time2]),"")))</f>
        <v/>
      </c>
      <c r="FS239" s="44" t="str">
        <f>IF(Table1[Leaving Date]="","",IF(Table1[Date of Initial Assessment]="","",IF(AND(Table1[Leaving Date]&gt;42094,Table1[Leaving Date]&lt;42461),IF(Table1[Date of Last Assessment]="",Table1[Managing Tenancy and Accommodation],Table1[Managing Tenancy and Accommodation2]),"")))</f>
        <v/>
      </c>
      <c r="FT239" s="44" t="str">
        <f>IF(Table1[Leaving Date]="","",IF(Table1[Date of Initial Assessment]="","",IF(AND(Table1[Leaving Date]&gt;42094,Table1[Leaving Date]&lt;42461),IF(Table1[Date of Last Assessment]="",Table1[Offending],Table1[Offending2]),"")))</f>
        <v/>
      </c>
      <c r="FU239" s="44" t="str">
        <f>IF(Table1[Date of Initial Assessment]="","",IF(AND(Table1[Start Date]&gt;42460,Table1[Start Date]&lt;42826),Table1[Motivation and Taking Responsibility],""))</f>
        <v/>
      </c>
      <c r="FV239" s="44" t="str">
        <f>IF(Table1[Date of Initial Assessment]="","",IF(AND(Table1[Start Date]&gt;42460,Table1[Start Date]&lt;42826),Table1[Self-Care and Living Skills],""))</f>
        <v/>
      </c>
      <c r="FW239" s="44" t="str">
        <f>IF(Table1[Date of Initial Assessment]="","",IF(AND(Table1[Start Date]&gt;42460,Table1[Start Date]&lt;42826),Table1[Managing Money and Personal Administration],""))</f>
        <v/>
      </c>
      <c r="FX239" s="44" t="str">
        <f>IF(Table1[Date of Initial Assessment]="","",IF(AND(Table1[Start Date]&gt;42460,Table1[Start Date]&lt;42826),Table1[Social Networks and Relationships],""))</f>
        <v/>
      </c>
      <c r="FY239" s="44" t="str">
        <f>IF(Table1[Date of Initial Assessment]="","",IF(AND(Table1[Start Date]&gt;42460,Table1[Start Date]&lt;42826),Table1[Drug and Alcohol Misuse],""))</f>
        <v/>
      </c>
      <c r="FZ239" s="44" t="str">
        <f>IF(Table1[Date of Initial Assessment]="","",IF(AND(Table1[Start Date]&gt;42460,Table1[Start Date]&lt;42826),Table1[Physical Health],""))</f>
        <v/>
      </c>
      <c r="GA239" s="44" t="str">
        <f>IF(Table1[Date of Initial Assessment]="","",IF(AND(Table1[Start Date]&gt;42460,Table1[Start Date]&lt;42826),Table1[Emotional and Mental Health],""))</f>
        <v/>
      </c>
      <c r="GB239" s="44" t="str">
        <f>IF(Table1[Date of Initial Assessment]="","",IF(AND(Table1[Start Date]&gt;42460,Table1[Start Date]&lt;42826),Table1[Meaningful Use of Time],""))</f>
        <v/>
      </c>
      <c r="GC239" s="44" t="str">
        <f>IF(Table1[Date of Initial Assessment]="","",IF(AND(Table1[Start Date]&gt;42460,Table1[Start Date]&lt;42826),Table1[Managing Tenancy and Accommodation],""))</f>
        <v/>
      </c>
      <c r="GD239" s="44" t="str">
        <f>IF(Table1[Date of Initial Assessment]="","",IF(AND(Table1[Start Date]&gt;42460,Table1[Start Date]&lt;42826),Table1[Offending],""))</f>
        <v/>
      </c>
      <c r="GE239" s="44" t="str">
        <f>IF(Table1[Leaving Date]="","",IF(AND(Table1[Leaving Date]&gt;42460,Table1[Leaving Date]&lt;42826),IF(Table1[Date of Last Assessment]="",Table1[Motivation and Taking Responsibility],Table1[Motivation and Taking Responsibility2]),""))</f>
        <v/>
      </c>
      <c r="GF239" s="44" t="str">
        <f>IF(Table1[Leaving Date]="","",IF(AND(Table1[Leaving Date]&gt;42460,Table1[Leaving Date]&lt;42826),IF(Table1[Date of Last Assessment]="",Table1[Self-Care and Living Skills],Table1[Self-Care and Living Skills2]),""))</f>
        <v/>
      </c>
      <c r="GG239" s="44" t="str">
        <f>IF(Table1[Leaving Date]="","",IF(AND(Table1[Leaving Date]&gt;42460,Table1[Leaving Date]&lt;42826),IF(Table1[Date of Last Assessment]="",Table1[Managing Money and Personal Administration],Table1[Managing Money and Personal Administration2]),""))</f>
        <v/>
      </c>
      <c r="GH239" s="44" t="str">
        <f>IF(Table1[Leaving Date]="","",IF(AND(Table1[Leaving Date]&gt;42460,Table1[Leaving Date]&lt;42826),IF(Table1[Date of Last Assessment]="",Table1[Social Networks and Relationships],Table1[Social Networks and Relationships2]),""))</f>
        <v/>
      </c>
      <c r="GI239" s="44" t="str">
        <f>IF(Table1[Leaving Date]="","",IF(AND(Table1[Leaving Date]&gt;42460,Table1[Leaving Date]&lt;42826),IF(Table1[Date of Last Assessment]="",Table1[Drug and Alcohol Misuse],Table1[Drug and Alcohol Misuse2]),""))</f>
        <v/>
      </c>
      <c r="GJ239" s="44" t="str">
        <f>IF(Table1[Leaving Date]="","",IF(AND(Table1[Leaving Date]&gt;42460,Table1[Leaving Date]&lt;42826),IF(Table1[Date of Last Assessment]="",Table1[Physical Health],Table1[Physical Health2]),""))</f>
        <v/>
      </c>
      <c r="GK239" s="44" t="str">
        <f>IF(Table1[Leaving Date]="","",IF(AND(Table1[Leaving Date]&gt;42460,Table1[Leaving Date]&lt;42826),IF(Table1[Date of Last Assessment]="",Table1[Emotional and Mental Health],Table1[Emotional and Mental Health2]),""))</f>
        <v/>
      </c>
      <c r="GL239" s="44" t="str">
        <f>IF(Table1[Leaving Date]="","",IF(AND(Table1[Leaving Date]&gt;42460,Table1[Leaving Date]&lt;42826),IF(Table1[Date of Last Assessment]="",Table1[Meaningful Use of Time],Table1[Meaningful Use of Time2]),""))</f>
        <v/>
      </c>
      <c r="GM239" s="44" t="str">
        <f>IF(Table1[Leaving Date]="","",IF(AND(Table1[Leaving Date]&gt;42460,Table1[Leaving Date]&lt;42826),IF(Table1[Date of Last Assessment]="",Table1[Managing Tenancy and Accommodation],Table1[Managing Tenancy and Accommodation2]),""))</f>
        <v/>
      </c>
      <c r="GN239" s="44" t="str">
        <f>IF(Table1[Leaving Date]="","",IF(AND(Table1[Leaving Date]&gt;42460,Table1[Leaving Date]&lt;42826),IF(Table1[Date of Last Assessment]="",Table1[Offending],Table1[Offending2]),""))</f>
        <v/>
      </c>
    </row>
    <row r="240" spans="2:196" ht="20.100000000000001" customHeight="1" x14ac:dyDescent="0.2">
      <c r="B240" s="86">
        <f>+'Service Data'!$C$5:$C$5</f>
        <v>0</v>
      </c>
      <c r="C240" s="86"/>
      <c r="D240" s="86"/>
      <c r="E240" s="86"/>
      <c r="F240" s="86"/>
      <c r="G240" s="86"/>
      <c r="H240" s="6"/>
      <c r="I240" s="99" t="str">
        <f ca="1">IF(Table1[[#This Row],[Date of Birth]]="","",SUM(TODAY()-Table1[[#This Row],[Date of Birth]])/365)</f>
        <v/>
      </c>
      <c r="L240" s="86"/>
      <c r="M240" s="77"/>
      <c r="N240" s="86"/>
      <c r="O240" s="86"/>
      <c r="P240" s="91"/>
      <c r="Q240" s="86"/>
      <c r="R240" s="77"/>
      <c r="S240" s="77"/>
      <c r="T240" s="68"/>
      <c r="U240" s="68"/>
      <c r="V240" s="67"/>
      <c r="W240" s="67"/>
      <c r="X240" s="67"/>
      <c r="Y240" s="67"/>
      <c r="Z240" s="67"/>
      <c r="AA240" s="67"/>
      <c r="AB240" s="67"/>
      <c r="AC240" s="67"/>
      <c r="AD240" s="67"/>
      <c r="AE240" s="67"/>
      <c r="AF240" s="67"/>
      <c r="AG240" s="67"/>
      <c r="AH240" s="67"/>
      <c r="AI240" s="67"/>
      <c r="AJ240" s="67"/>
      <c r="AK240" s="67"/>
      <c r="AL240" s="67"/>
      <c r="AM240" s="67"/>
      <c r="AN240" s="77"/>
      <c r="AO240" s="76"/>
      <c r="AP240" s="77"/>
      <c r="AQ240" s="76"/>
      <c r="AR240" s="76"/>
      <c r="AS240" s="76"/>
      <c r="AT240" s="76"/>
      <c r="AU240" s="76"/>
      <c r="AV240" s="77"/>
      <c r="AW240" s="76"/>
      <c r="AX240" s="77"/>
      <c r="AY240" s="76"/>
      <c r="AZ240" s="76"/>
      <c r="BA240" s="76"/>
      <c r="BB240" s="76"/>
      <c r="BC240" s="76"/>
      <c r="BD240" s="77"/>
      <c r="BE240" s="76"/>
      <c r="BF240" s="77"/>
      <c r="BG240" s="76"/>
      <c r="BH240" s="76"/>
      <c r="BI240" s="76"/>
      <c r="BJ240" s="76"/>
      <c r="BK240" s="76"/>
      <c r="BL240" s="77"/>
      <c r="BM240" s="76"/>
      <c r="BN240" s="77"/>
      <c r="BO240" s="76"/>
      <c r="BP240" s="76"/>
      <c r="BQ240" s="76"/>
      <c r="BR240" s="76"/>
      <c r="BS240" s="76"/>
      <c r="BT240" s="77"/>
      <c r="BU240" s="76"/>
      <c r="BV240" s="77"/>
      <c r="BW240" s="76"/>
      <c r="BX240" s="76"/>
      <c r="BY240" s="76"/>
      <c r="BZ240" s="76"/>
      <c r="CA240" s="76"/>
      <c r="CB240" s="77"/>
      <c r="CC240" s="76"/>
      <c r="CD240" s="77"/>
      <c r="CE240" s="76"/>
      <c r="CF240" s="76"/>
      <c r="CG240" s="76"/>
      <c r="CH240" s="76"/>
      <c r="CI240" s="76"/>
      <c r="CJ240" s="77"/>
      <c r="CK240" s="76"/>
      <c r="CL240" s="77"/>
      <c r="CM240" s="76"/>
      <c r="CN240" s="76"/>
      <c r="CO240" s="76"/>
      <c r="CP240" s="76"/>
      <c r="CQ240" s="76"/>
      <c r="CR240" s="78" t="str">
        <f t="shared" si="63"/>
        <v/>
      </c>
      <c r="CS240" s="79" t="str">
        <f t="shared" si="64"/>
        <v/>
      </c>
      <c r="CT240" s="79" t="str">
        <f t="shared" si="65"/>
        <v/>
      </c>
      <c r="CU240" s="79" t="str">
        <f t="shared" si="66"/>
        <v/>
      </c>
      <c r="CV240" s="79" t="str">
        <f t="shared" si="67"/>
        <v/>
      </c>
      <c r="CW240" s="79" t="str">
        <f t="shared" si="68"/>
        <v/>
      </c>
      <c r="CX240" s="79" t="str">
        <f t="shared" si="69"/>
        <v/>
      </c>
      <c r="CY240" s="79" t="str">
        <f t="shared" si="70"/>
        <v/>
      </c>
      <c r="CZ240" s="79" t="str">
        <f t="shared" si="71"/>
        <v/>
      </c>
      <c r="DA240" s="79" t="str">
        <f t="shared" si="72"/>
        <v/>
      </c>
      <c r="DB240" s="79" t="str">
        <f t="shared" si="73"/>
        <v/>
      </c>
      <c r="DC240" s="79" t="str">
        <f t="shared" si="74"/>
        <v/>
      </c>
      <c r="DD240" s="79" t="str">
        <f t="shared" si="75"/>
        <v/>
      </c>
      <c r="DE240" s="79" t="str">
        <f t="shared" si="76"/>
        <v/>
      </c>
      <c r="DF240" s="79" t="str">
        <f t="shared" si="77"/>
        <v/>
      </c>
      <c r="DG240" s="79" t="str">
        <f t="shared" si="78"/>
        <v/>
      </c>
      <c r="DH240" s="76"/>
      <c r="DI240" s="78"/>
      <c r="DJ240" s="76"/>
      <c r="DK240" s="77"/>
      <c r="DL240" s="77"/>
      <c r="DM240" s="77"/>
      <c r="DN240" s="80"/>
      <c r="DO240" s="80"/>
      <c r="DP240" s="92" t="str">
        <f>IF(Table1[Start Date]="","",IF(Table1[Start Date]&gt;42185,"",IF(AND(Table1[Leaving Date]&gt;1,Table1[Leaving Date]&lt;42095),"",1)))</f>
        <v/>
      </c>
      <c r="DQ240" s="92" t="str">
        <f>IF(Table1[Start Date]="","",IF(Table1[Start Date]&gt;42277,"",IF(AND(Table1[Leaving Date]&gt;1,Table1[Leaving Date]&lt;42186),"",1)))</f>
        <v/>
      </c>
      <c r="DR240" s="92" t="str">
        <f>IF(Table1[Start Date]="","",IF(Table1[Start Date]&gt;42369,"",IF(AND(Table1[Leaving Date]&gt;1,Table1[Leaving Date]&lt;42278),"",1)))</f>
        <v/>
      </c>
      <c r="DS240" s="92" t="str">
        <f>IF(Table1[Start Date]="","",IF(Table1[Start Date]&gt;42460,"",IF(AND(Table1[Leaving Date]&gt;1,Table1[Leaving Date]&lt;42370),"",1)))</f>
        <v/>
      </c>
      <c r="DT240" s="92" t="str">
        <f>IF(Table1[Start Date]="","",IF(Table1[Start Date]&gt;42551,"",IF(AND(Table1[Leaving Date]&gt;1,Table1[Leaving Date]&lt;42461),"",1)))</f>
        <v/>
      </c>
      <c r="DU240" s="92" t="str">
        <f>IF(Table1[Start Date]="","",IF(Table1[Start Date]&gt;42643,"",IF(AND(Table1[Leaving Date]&gt;1,Table1[Leaving Date]&lt;42552),"",1)))</f>
        <v/>
      </c>
      <c r="DV240" s="92" t="str">
        <f>IF(Table1[Start Date]="","",IF(Table1[Start Date]&gt;42735,"",IF(AND(Table1[Leaving Date]&gt;1,Table1[Leaving Date]&lt;42644),"",1)))</f>
        <v/>
      </c>
      <c r="DW240" s="92" t="str">
        <f>IF(Table1[Start Date]="","",IF(Table1[Start Date]&gt;42825,"",IF(AND(Table1[Leaving Date]&gt;1,Table1[Leaving Date]&lt;42736),"",1)))</f>
        <v/>
      </c>
      <c r="DX240"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240" s="44" t="e">
        <f>VLOOKUP(Table1[Referral Source],Lists!$G$2:$H$20,2,FALSE)</f>
        <v>#N/A</v>
      </c>
      <c r="DZ240" s="93" t="e">
        <f>SUM(Table1[Data Referral Quarter]+Table1[Data Referral Source])</f>
        <v>#N/A</v>
      </c>
      <c r="EA240" s="44" t="b">
        <f>IF(Table1[Referral Decision]="Accepted",100,IF(Table1[Referral Decision]="Rejected by Provider",200,IF(Table1[Referral Decision]="Rejected by Applicant",300)))</f>
        <v>0</v>
      </c>
      <c r="EB240" s="44">
        <f>SUM(Table1[Data Referral Quarter]+Table1[Data Referral Decision])</f>
        <v>0</v>
      </c>
      <c r="EC240" s="44" t="b">
        <f>IF(Table1[Start Date]&gt;42735,8000,IF(Table1[Start Date]&gt;42643,7000,IF(Table1[Start Date]&gt;42551,6000,IF(Table1[Start Date]&gt;42460,5000,IF(Table1[Start Date]&gt;42369,4000,IF(Table1[Start Date]&gt;42277,3000,IF(Table1[Start Date]&gt;42185,2000,IF(Table1[Start Date]&gt;42094,1000))))))))</f>
        <v>0</v>
      </c>
      <c r="ED240" s="44" t="str">
        <f>IF(Table1[Start Date]="","",IF(Table1[Current Local Authority]="Swindon",1,"2"))</f>
        <v/>
      </c>
      <c r="EE240" s="44" t="e">
        <f>SUM(Table1[Data Start Date]+Table1[Data Local Authority])</f>
        <v>#VALUE!</v>
      </c>
      <c r="EF240" s="44">
        <f>IF(Table1[Registered with GP]="Yes",1,0)</f>
        <v>0</v>
      </c>
      <c r="EG240" s="44">
        <f>SUM(Table1[Data Start Date]+Table1[Data GP Start])</f>
        <v>0</v>
      </c>
      <c r="EH240" s="44" t="str">
        <f>IF(Table1[EET]="NEET",1,IF(Table1[EET]="Education",2,IF(Table1[EET]="Employment",2,IF(Table1[EET]="Training",2,IF(Table1[EET]="Retired",3,"")))))</f>
        <v/>
      </c>
      <c r="EI240" s="44" t="e">
        <f>Table1[Data Start Date]+Table1[Data EET Start]</f>
        <v>#VALUE!</v>
      </c>
      <c r="EJ240" s="44" t="b">
        <f>IF(Table1[Leaving Date]&gt;42735,8000,IF(Table1[Leaving Date]&gt;42643,7000,IF(Table1[Leaving Date]&gt;42551,6000,IF(Table1[Leaving Date]&gt;42460,5000,IF(Table1[Leaving Date]&gt;42369,4000,IF(Table1[Leaving Date]&gt;42277,3000,IF(Table1[Leaving Date]&gt;42185,2000,IF(Table1[Leaving Date]&gt;42094,1000))))))))</f>
        <v>0</v>
      </c>
      <c r="EK240" s="44" t="e">
        <f>VLOOKUP(Table1[Reason for Leaving],Lists!$T$2:$U$15,2,FALSE)</f>
        <v>#N/A</v>
      </c>
      <c r="EL240" s="44" t="e">
        <f>SUM(Table1[Data Leavers Date]+Table1[Data Move On])</f>
        <v>#N/A</v>
      </c>
      <c r="EM240" s="44" t="b">
        <f>IF(Table1[Registered with GP2]="Yes",1,IF(Table1[Registered with GP2]="No",0,IF(Table1[Registered with GP]="Yes",1,IF(Table1[Registered with GP]="No",0))))</f>
        <v>0</v>
      </c>
      <c r="EN240" s="44">
        <f>SUM(Table1[Data Leavers Date]+Table1[Data GP End])</f>
        <v>0</v>
      </c>
      <c r="EO240" s="44" t="str">
        <f>IF(Table1[EET2]="NEET",1,IF(Table1[EET2]="Employment",2,IF(Table1[EET2]="Education",2,IF(Table1[EET2]="Training",2,IF(Table1[EET2]="Retired",3,IF(Table1[EET]="NEET",1,IF(Table1[EET]="Employment",2,IF(Table1[EET]="Education",2,IF(Table1[EET]="Training",2,IF(Table1[EET]="Retired",3,""))))))))))</f>
        <v/>
      </c>
      <c r="EP240" s="44" t="e">
        <f>+Table1[[#This Row],[Data Leavers Date]]+Table1[[#This Row],[Data EET End]]</f>
        <v>#VALUE!</v>
      </c>
      <c r="EQ240" s="44">
        <f>IF(Table1[Exit Form Received]="Yes",1,0)</f>
        <v>0</v>
      </c>
      <c r="ER240" s="44">
        <f>+Table1[[#This Row],[Data Leavers Date]]+Table1[[#This Row],[Data Exit Forms]]</f>
        <v>0</v>
      </c>
      <c r="ES240" s="44" t="str">
        <f>IF(Table1[Data Leavers Date]=1000,SUM(Table1[Leaving Date]-Table1[Start Date]),"")</f>
        <v/>
      </c>
      <c r="ET240" s="44" t="str">
        <f>IF(Table1[Data Leavers Date]=2000,SUM(Table1[Leaving Date]-Table1[Start Date]),"")</f>
        <v/>
      </c>
      <c r="EU240" s="44" t="str">
        <f>IF(Table1[Data Leavers Date]=3000,SUM(Table1[Leaving Date]-Table1[Start Date]),"")</f>
        <v/>
      </c>
      <c r="EV240" s="44" t="str">
        <f>IF(Table1[Data Leavers Date]=4000,SUM(Table1[Leaving Date]-Table1[Start Date]),"")</f>
        <v/>
      </c>
      <c r="EW240" s="44" t="str">
        <f>IF(Table1[Data Leavers Date]=5000,SUM(Table1[Leaving Date]-Table1[Start Date]),"")</f>
        <v/>
      </c>
      <c r="EX240" s="44" t="str">
        <f>IF(Table1[Data Leavers Date]=6000,SUM(Table1[Leaving Date]-Table1[Start Date]),"")</f>
        <v/>
      </c>
      <c r="EY240" s="44" t="str">
        <f>IF(Table1[Data Leavers Date]=7000,SUM(Table1[Leaving Date]-Table1[Start Date]),"")</f>
        <v/>
      </c>
      <c r="EZ240" s="44" t="str">
        <f>IF(Table1[Data Leavers Date]=8000,SUM(Table1[Leaving Date]-Table1[Start Date]),"")</f>
        <v/>
      </c>
      <c r="FA240" s="44" t="str">
        <f>IF(Table1[Date of Initial Assessment]="","",IF(AND(Table1[Start Date]&gt;42094,Table1[Start Date]&lt;42461),Table1[Motivation and Taking Responsibility],""))</f>
        <v/>
      </c>
      <c r="FB240" s="44" t="str">
        <f>IF(Table1[Date of Initial Assessment]="","",IF(AND(Table1[Start Date]&gt;42094,Table1[Start Date]&lt;42461),Table1[Self-Care and Living Skills],""))</f>
        <v/>
      </c>
      <c r="FC240" s="44" t="str">
        <f>IF(Table1[Date of Initial Assessment]="","",IF(AND(Table1[Start Date]&gt;42094,Table1[Start Date]&lt;42461),Table1[Managing Money and Personal Administration],""))</f>
        <v/>
      </c>
      <c r="FD240" s="44" t="str">
        <f>IF(Table1[Date of Initial Assessment]="","",IF(AND(Table1[Start Date]&gt;42094,Table1[Start Date]&lt;42461),Table1[Social Networks and Relationships],""))</f>
        <v/>
      </c>
      <c r="FE240" s="44" t="str">
        <f>IF(Table1[Date of Initial Assessment]="","",IF(AND(Table1[Start Date]&gt;42094,Table1[Start Date]&lt;42461),Table1[Drug and Alcohol Misuse],""))</f>
        <v/>
      </c>
      <c r="FF240" s="44" t="str">
        <f>IF(Table1[Date of Initial Assessment]="","",IF(AND(Table1[Start Date]&gt;42094,Table1[Start Date]&lt;42461),Table1[Physical Health],""))</f>
        <v/>
      </c>
      <c r="FG240" s="44" t="str">
        <f>IF(Table1[Date of Initial Assessment]="","",IF(AND(Table1[Start Date]&gt;42094,Table1[Start Date]&lt;42461),Table1[Emotional and Mental Health],""))</f>
        <v/>
      </c>
      <c r="FH240" s="44" t="str">
        <f>IF(Table1[Date of Initial Assessment]="","",IF(AND(Table1[Start Date]&gt;42094,Table1[Start Date]&lt;42461),Table1[Meaningful Use of Time],""))</f>
        <v/>
      </c>
      <c r="FI240" s="44" t="str">
        <f>IF(Table1[Date of Initial Assessment]="","",IF(AND(Table1[Start Date]&gt;42094,Table1[Start Date]&lt;42461),Table1[Managing Tenancy and Accommodation],""))</f>
        <v/>
      </c>
      <c r="FJ240" s="44" t="str">
        <f>IF(Table1[Date of Initial Assessment]="","",IF(AND(Table1[Start Date]&gt;42094,Table1[Start Date]&lt;42461),Table1[Offending],""))</f>
        <v/>
      </c>
      <c r="FK240" s="44" t="str">
        <f>IF(Table1[Leaving Date]="","",IF(Table1[Date of Initial Assessment]="","",IF(AND(Table1[Leaving Date]&gt;42094,Table1[Leaving Date]&lt;42461),IF(Table1[Date of Last Assessment]="",Table1[Motivation and Taking Responsibility],Table1[Motivation and Taking Responsibility2]),"")))</f>
        <v/>
      </c>
      <c r="FL240" s="44" t="str">
        <f>IF(Table1[Leaving Date]="","",IF(Table1[Date of Initial Assessment]="","",IF(AND(Table1[Leaving Date]&gt;42094,Table1[Leaving Date]&lt;42461),IF(Table1[Date of Last Assessment]="",Table1[Self-Care and Living Skills],Table1[Self-Care and Living Skills2]),"")))</f>
        <v/>
      </c>
      <c r="FM240" s="44" t="str">
        <f>IF(Table1[Leaving Date]="","",IF(Table1[Date of Initial Assessment]="","",IF(AND(Table1[Leaving Date]&gt;42094,Table1[Leaving Date]&lt;42461),IF(Table1[Date of Last Assessment]="",Table1[Managing Money and Personal Administration],Table1[Managing Money and Personal Administration2]),"")))</f>
        <v/>
      </c>
      <c r="FN240" s="44" t="str">
        <f>IF(Table1[Leaving Date]="","",IF(Table1[Date of Initial Assessment]="","",IF(AND(Table1[Leaving Date]&gt;42094,Table1[Leaving Date]&lt;42461),IF(Table1[Date of Last Assessment]="",Table1[Social Networks and Relationships],Table1[Social Networks and Relationships2]),"")))</f>
        <v/>
      </c>
      <c r="FO240" s="44" t="str">
        <f>IF(Table1[Leaving Date]="","",IF(Table1[Date of Initial Assessment]="","",IF(AND(Table1[Leaving Date]&gt;42094,Table1[Leaving Date]&lt;42461),IF(Table1[Date of Last Assessment]="",Table1[Drug and Alcohol Misuse],Table1[Drug and Alcohol Misuse2]),"")))</f>
        <v/>
      </c>
      <c r="FP240" s="44" t="str">
        <f>IF(Table1[Leaving Date]="","",IF(Table1[Date of Initial Assessment]="","",IF(AND(Table1[Leaving Date]&gt;42094,Table1[Leaving Date]&lt;42461),IF(Table1[Date of Last Assessment]="",Table1[Physical Health],Table1[Physical Health2]),"")))</f>
        <v/>
      </c>
      <c r="FQ240" s="44" t="str">
        <f>IF(Table1[Leaving Date]="","",IF(Table1[Date of Initial Assessment]="","",IF(AND(Table1[Leaving Date]&gt;42094,Table1[Leaving Date]&lt;42461),IF(Table1[Date of Last Assessment]="",Table1[Emotional and Mental Health],Table1[Emotional and Mental Health2]),"")))</f>
        <v/>
      </c>
      <c r="FR240" s="44" t="str">
        <f>IF(Table1[Leaving Date]="","",IF(Table1[Date of Initial Assessment]="","",IF(AND(Table1[Leaving Date]&gt;42094,Table1[Leaving Date]&lt;42461),IF(Table1[Date of Last Assessment]="",Table1[Meaningful Use of Time],Table1[Meaningful Use of Time2]),"")))</f>
        <v/>
      </c>
      <c r="FS240" s="44" t="str">
        <f>IF(Table1[Leaving Date]="","",IF(Table1[Date of Initial Assessment]="","",IF(AND(Table1[Leaving Date]&gt;42094,Table1[Leaving Date]&lt;42461),IF(Table1[Date of Last Assessment]="",Table1[Managing Tenancy and Accommodation],Table1[Managing Tenancy and Accommodation2]),"")))</f>
        <v/>
      </c>
      <c r="FT240" s="44" t="str">
        <f>IF(Table1[Leaving Date]="","",IF(Table1[Date of Initial Assessment]="","",IF(AND(Table1[Leaving Date]&gt;42094,Table1[Leaving Date]&lt;42461),IF(Table1[Date of Last Assessment]="",Table1[Offending],Table1[Offending2]),"")))</f>
        <v/>
      </c>
      <c r="FU240" s="44" t="str">
        <f>IF(Table1[Date of Initial Assessment]="","",IF(AND(Table1[Start Date]&gt;42460,Table1[Start Date]&lt;42826),Table1[Motivation and Taking Responsibility],""))</f>
        <v/>
      </c>
      <c r="FV240" s="44" t="str">
        <f>IF(Table1[Date of Initial Assessment]="","",IF(AND(Table1[Start Date]&gt;42460,Table1[Start Date]&lt;42826),Table1[Self-Care and Living Skills],""))</f>
        <v/>
      </c>
      <c r="FW240" s="44" t="str">
        <f>IF(Table1[Date of Initial Assessment]="","",IF(AND(Table1[Start Date]&gt;42460,Table1[Start Date]&lt;42826),Table1[Managing Money and Personal Administration],""))</f>
        <v/>
      </c>
      <c r="FX240" s="44" t="str">
        <f>IF(Table1[Date of Initial Assessment]="","",IF(AND(Table1[Start Date]&gt;42460,Table1[Start Date]&lt;42826),Table1[Social Networks and Relationships],""))</f>
        <v/>
      </c>
      <c r="FY240" s="44" t="str">
        <f>IF(Table1[Date of Initial Assessment]="","",IF(AND(Table1[Start Date]&gt;42460,Table1[Start Date]&lt;42826),Table1[Drug and Alcohol Misuse],""))</f>
        <v/>
      </c>
      <c r="FZ240" s="44" t="str">
        <f>IF(Table1[Date of Initial Assessment]="","",IF(AND(Table1[Start Date]&gt;42460,Table1[Start Date]&lt;42826),Table1[Physical Health],""))</f>
        <v/>
      </c>
      <c r="GA240" s="44" t="str">
        <f>IF(Table1[Date of Initial Assessment]="","",IF(AND(Table1[Start Date]&gt;42460,Table1[Start Date]&lt;42826),Table1[Emotional and Mental Health],""))</f>
        <v/>
      </c>
      <c r="GB240" s="44" t="str">
        <f>IF(Table1[Date of Initial Assessment]="","",IF(AND(Table1[Start Date]&gt;42460,Table1[Start Date]&lt;42826),Table1[Meaningful Use of Time],""))</f>
        <v/>
      </c>
      <c r="GC240" s="44" t="str">
        <f>IF(Table1[Date of Initial Assessment]="","",IF(AND(Table1[Start Date]&gt;42460,Table1[Start Date]&lt;42826),Table1[Managing Tenancy and Accommodation],""))</f>
        <v/>
      </c>
      <c r="GD240" s="44" t="str">
        <f>IF(Table1[Date of Initial Assessment]="","",IF(AND(Table1[Start Date]&gt;42460,Table1[Start Date]&lt;42826),Table1[Offending],""))</f>
        <v/>
      </c>
      <c r="GE240" s="44" t="str">
        <f>IF(Table1[Leaving Date]="","",IF(AND(Table1[Leaving Date]&gt;42460,Table1[Leaving Date]&lt;42826),IF(Table1[Date of Last Assessment]="",Table1[Motivation and Taking Responsibility],Table1[Motivation and Taking Responsibility2]),""))</f>
        <v/>
      </c>
      <c r="GF240" s="44" t="str">
        <f>IF(Table1[Leaving Date]="","",IF(AND(Table1[Leaving Date]&gt;42460,Table1[Leaving Date]&lt;42826),IF(Table1[Date of Last Assessment]="",Table1[Self-Care and Living Skills],Table1[Self-Care and Living Skills2]),""))</f>
        <v/>
      </c>
      <c r="GG240" s="44" t="str">
        <f>IF(Table1[Leaving Date]="","",IF(AND(Table1[Leaving Date]&gt;42460,Table1[Leaving Date]&lt;42826),IF(Table1[Date of Last Assessment]="",Table1[Managing Money and Personal Administration],Table1[Managing Money and Personal Administration2]),""))</f>
        <v/>
      </c>
      <c r="GH240" s="44" t="str">
        <f>IF(Table1[Leaving Date]="","",IF(AND(Table1[Leaving Date]&gt;42460,Table1[Leaving Date]&lt;42826),IF(Table1[Date of Last Assessment]="",Table1[Social Networks and Relationships],Table1[Social Networks and Relationships2]),""))</f>
        <v/>
      </c>
      <c r="GI240" s="44" t="str">
        <f>IF(Table1[Leaving Date]="","",IF(AND(Table1[Leaving Date]&gt;42460,Table1[Leaving Date]&lt;42826),IF(Table1[Date of Last Assessment]="",Table1[Drug and Alcohol Misuse],Table1[Drug and Alcohol Misuse2]),""))</f>
        <v/>
      </c>
      <c r="GJ240" s="44" t="str">
        <f>IF(Table1[Leaving Date]="","",IF(AND(Table1[Leaving Date]&gt;42460,Table1[Leaving Date]&lt;42826),IF(Table1[Date of Last Assessment]="",Table1[Physical Health],Table1[Physical Health2]),""))</f>
        <v/>
      </c>
      <c r="GK240" s="44" t="str">
        <f>IF(Table1[Leaving Date]="","",IF(AND(Table1[Leaving Date]&gt;42460,Table1[Leaving Date]&lt;42826),IF(Table1[Date of Last Assessment]="",Table1[Emotional and Mental Health],Table1[Emotional and Mental Health2]),""))</f>
        <v/>
      </c>
      <c r="GL240" s="44" t="str">
        <f>IF(Table1[Leaving Date]="","",IF(AND(Table1[Leaving Date]&gt;42460,Table1[Leaving Date]&lt;42826),IF(Table1[Date of Last Assessment]="",Table1[Meaningful Use of Time],Table1[Meaningful Use of Time2]),""))</f>
        <v/>
      </c>
      <c r="GM240" s="44" t="str">
        <f>IF(Table1[Leaving Date]="","",IF(AND(Table1[Leaving Date]&gt;42460,Table1[Leaving Date]&lt;42826),IF(Table1[Date of Last Assessment]="",Table1[Managing Tenancy and Accommodation],Table1[Managing Tenancy and Accommodation2]),""))</f>
        <v/>
      </c>
      <c r="GN240" s="44" t="str">
        <f>IF(Table1[Leaving Date]="","",IF(AND(Table1[Leaving Date]&gt;42460,Table1[Leaving Date]&lt;42826),IF(Table1[Date of Last Assessment]="",Table1[Offending],Table1[Offending2]),""))</f>
        <v/>
      </c>
    </row>
    <row r="241" spans="2:196" ht="20.100000000000001" customHeight="1" x14ac:dyDescent="0.2">
      <c r="B241" s="86">
        <f>+'Service Data'!$C$5:$C$5</f>
        <v>0</v>
      </c>
      <c r="C241" s="86"/>
      <c r="D241" s="86"/>
      <c r="E241" s="86"/>
      <c r="F241" s="86"/>
      <c r="G241" s="86"/>
      <c r="H241" s="6"/>
      <c r="I241" s="99" t="str">
        <f ca="1">IF(Table1[[#This Row],[Date of Birth]]="","",SUM(TODAY()-Table1[[#This Row],[Date of Birth]])/365)</f>
        <v/>
      </c>
      <c r="L241" s="86"/>
      <c r="M241" s="77"/>
      <c r="N241" s="86"/>
      <c r="O241" s="86"/>
      <c r="P241" s="91"/>
      <c r="Q241" s="86"/>
      <c r="R241" s="77"/>
      <c r="S241" s="77"/>
      <c r="T241" s="68"/>
      <c r="U241" s="68"/>
      <c r="V241" s="67"/>
      <c r="W241" s="67"/>
      <c r="X241" s="67"/>
      <c r="Y241" s="67"/>
      <c r="Z241" s="67"/>
      <c r="AA241" s="67"/>
      <c r="AB241" s="67"/>
      <c r="AC241" s="67"/>
      <c r="AD241" s="67"/>
      <c r="AE241" s="67"/>
      <c r="AF241" s="67"/>
      <c r="AG241" s="67"/>
      <c r="AH241" s="67"/>
      <c r="AI241" s="67"/>
      <c r="AJ241" s="67"/>
      <c r="AK241" s="67"/>
      <c r="AL241" s="67"/>
      <c r="AM241" s="67"/>
      <c r="AN241" s="77"/>
      <c r="AO241" s="76"/>
      <c r="AP241" s="77"/>
      <c r="AQ241" s="76"/>
      <c r="AR241" s="76"/>
      <c r="AS241" s="76"/>
      <c r="AT241" s="76"/>
      <c r="AU241" s="76"/>
      <c r="AV241" s="77"/>
      <c r="AW241" s="76"/>
      <c r="AX241" s="77"/>
      <c r="AY241" s="76"/>
      <c r="AZ241" s="76"/>
      <c r="BA241" s="76"/>
      <c r="BB241" s="76"/>
      <c r="BC241" s="76"/>
      <c r="BD241" s="77"/>
      <c r="BE241" s="76"/>
      <c r="BF241" s="77"/>
      <c r="BG241" s="76"/>
      <c r="BH241" s="76"/>
      <c r="BI241" s="76"/>
      <c r="BJ241" s="76"/>
      <c r="BK241" s="76"/>
      <c r="BL241" s="77"/>
      <c r="BM241" s="76"/>
      <c r="BN241" s="77"/>
      <c r="BO241" s="76"/>
      <c r="BP241" s="76"/>
      <c r="BQ241" s="76"/>
      <c r="BR241" s="76"/>
      <c r="BS241" s="76"/>
      <c r="BT241" s="77"/>
      <c r="BU241" s="76"/>
      <c r="BV241" s="77"/>
      <c r="BW241" s="76"/>
      <c r="BX241" s="76"/>
      <c r="BY241" s="76"/>
      <c r="BZ241" s="76"/>
      <c r="CA241" s="76"/>
      <c r="CB241" s="77"/>
      <c r="CC241" s="76"/>
      <c r="CD241" s="77"/>
      <c r="CE241" s="76"/>
      <c r="CF241" s="76"/>
      <c r="CG241" s="76"/>
      <c r="CH241" s="76"/>
      <c r="CI241" s="76"/>
      <c r="CJ241" s="77"/>
      <c r="CK241" s="76"/>
      <c r="CL241" s="77"/>
      <c r="CM241" s="76"/>
      <c r="CN241" s="76"/>
      <c r="CO241" s="76"/>
      <c r="CP241" s="76"/>
      <c r="CQ241" s="76"/>
      <c r="CR241" s="78" t="str">
        <f t="shared" si="63"/>
        <v/>
      </c>
      <c r="CS241" s="79" t="str">
        <f t="shared" si="64"/>
        <v/>
      </c>
      <c r="CT241" s="79" t="str">
        <f t="shared" si="65"/>
        <v/>
      </c>
      <c r="CU241" s="79" t="str">
        <f t="shared" si="66"/>
        <v/>
      </c>
      <c r="CV241" s="79" t="str">
        <f t="shared" si="67"/>
        <v/>
      </c>
      <c r="CW241" s="79" t="str">
        <f t="shared" si="68"/>
        <v/>
      </c>
      <c r="CX241" s="79" t="str">
        <f t="shared" si="69"/>
        <v/>
      </c>
      <c r="CY241" s="79" t="str">
        <f t="shared" si="70"/>
        <v/>
      </c>
      <c r="CZ241" s="79" t="str">
        <f t="shared" si="71"/>
        <v/>
      </c>
      <c r="DA241" s="79" t="str">
        <f t="shared" si="72"/>
        <v/>
      </c>
      <c r="DB241" s="79" t="str">
        <f t="shared" si="73"/>
        <v/>
      </c>
      <c r="DC241" s="79" t="str">
        <f t="shared" si="74"/>
        <v/>
      </c>
      <c r="DD241" s="79" t="str">
        <f t="shared" si="75"/>
        <v/>
      </c>
      <c r="DE241" s="79" t="str">
        <f t="shared" si="76"/>
        <v/>
      </c>
      <c r="DF241" s="79" t="str">
        <f t="shared" si="77"/>
        <v/>
      </c>
      <c r="DG241" s="79" t="str">
        <f t="shared" si="78"/>
        <v/>
      </c>
      <c r="DH241" s="76"/>
      <c r="DI241" s="78"/>
      <c r="DJ241" s="76"/>
      <c r="DK241" s="77"/>
      <c r="DL241" s="77"/>
      <c r="DM241" s="77"/>
      <c r="DN241" s="80"/>
      <c r="DO241" s="80"/>
      <c r="DP241" s="92" t="str">
        <f>IF(Table1[Start Date]="","",IF(Table1[Start Date]&gt;42185,"",IF(AND(Table1[Leaving Date]&gt;1,Table1[Leaving Date]&lt;42095),"",1)))</f>
        <v/>
      </c>
      <c r="DQ241" s="92" t="str">
        <f>IF(Table1[Start Date]="","",IF(Table1[Start Date]&gt;42277,"",IF(AND(Table1[Leaving Date]&gt;1,Table1[Leaving Date]&lt;42186),"",1)))</f>
        <v/>
      </c>
      <c r="DR241" s="92" t="str">
        <f>IF(Table1[Start Date]="","",IF(Table1[Start Date]&gt;42369,"",IF(AND(Table1[Leaving Date]&gt;1,Table1[Leaving Date]&lt;42278),"",1)))</f>
        <v/>
      </c>
      <c r="DS241" s="92" t="str">
        <f>IF(Table1[Start Date]="","",IF(Table1[Start Date]&gt;42460,"",IF(AND(Table1[Leaving Date]&gt;1,Table1[Leaving Date]&lt;42370),"",1)))</f>
        <v/>
      </c>
      <c r="DT241" s="92" t="str">
        <f>IF(Table1[Start Date]="","",IF(Table1[Start Date]&gt;42551,"",IF(AND(Table1[Leaving Date]&gt;1,Table1[Leaving Date]&lt;42461),"",1)))</f>
        <v/>
      </c>
      <c r="DU241" s="92" t="str">
        <f>IF(Table1[Start Date]="","",IF(Table1[Start Date]&gt;42643,"",IF(AND(Table1[Leaving Date]&gt;1,Table1[Leaving Date]&lt;42552),"",1)))</f>
        <v/>
      </c>
      <c r="DV241" s="92" t="str">
        <f>IF(Table1[Start Date]="","",IF(Table1[Start Date]&gt;42735,"",IF(AND(Table1[Leaving Date]&gt;1,Table1[Leaving Date]&lt;42644),"",1)))</f>
        <v/>
      </c>
      <c r="DW241" s="92" t="str">
        <f>IF(Table1[Start Date]="","",IF(Table1[Start Date]&gt;42825,"",IF(AND(Table1[Leaving Date]&gt;1,Table1[Leaving Date]&lt;42736),"",1)))</f>
        <v/>
      </c>
      <c r="DX241"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241" s="44" t="e">
        <f>VLOOKUP(Table1[Referral Source],Lists!$G$2:$H$20,2,FALSE)</f>
        <v>#N/A</v>
      </c>
      <c r="DZ241" s="93" t="e">
        <f>SUM(Table1[Data Referral Quarter]+Table1[Data Referral Source])</f>
        <v>#N/A</v>
      </c>
      <c r="EA241" s="44" t="b">
        <f>IF(Table1[Referral Decision]="Accepted",100,IF(Table1[Referral Decision]="Rejected by Provider",200,IF(Table1[Referral Decision]="Rejected by Applicant",300)))</f>
        <v>0</v>
      </c>
      <c r="EB241" s="44">
        <f>SUM(Table1[Data Referral Quarter]+Table1[Data Referral Decision])</f>
        <v>0</v>
      </c>
      <c r="EC241" s="44" t="b">
        <f>IF(Table1[Start Date]&gt;42735,8000,IF(Table1[Start Date]&gt;42643,7000,IF(Table1[Start Date]&gt;42551,6000,IF(Table1[Start Date]&gt;42460,5000,IF(Table1[Start Date]&gt;42369,4000,IF(Table1[Start Date]&gt;42277,3000,IF(Table1[Start Date]&gt;42185,2000,IF(Table1[Start Date]&gt;42094,1000))))))))</f>
        <v>0</v>
      </c>
      <c r="ED241" s="44" t="str">
        <f>IF(Table1[Start Date]="","",IF(Table1[Current Local Authority]="Swindon",1,"2"))</f>
        <v/>
      </c>
      <c r="EE241" s="44" t="e">
        <f>SUM(Table1[Data Start Date]+Table1[Data Local Authority])</f>
        <v>#VALUE!</v>
      </c>
      <c r="EF241" s="44">
        <f>IF(Table1[Registered with GP]="Yes",1,0)</f>
        <v>0</v>
      </c>
      <c r="EG241" s="44">
        <f>SUM(Table1[Data Start Date]+Table1[Data GP Start])</f>
        <v>0</v>
      </c>
      <c r="EH241" s="44" t="str">
        <f>IF(Table1[EET]="NEET",1,IF(Table1[EET]="Education",2,IF(Table1[EET]="Employment",2,IF(Table1[EET]="Training",2,IF(Table1[EET]="Retired",3,"")))))</f>
        <v/>
      </c>
      <c r="EI241" s="44" t="e">
        <f>Table1[Data Start Date]+Table1[Data EET Start]</f>
        <v>#VALUE!</v>
      </c>
      <c r="EJ241" s="44" t="b">
        <f>IF(Table1[Leaving Date]&gt;42735,8000,IF(Table1[Leaving Date]&gt;42643,7000,IF(Table1[Leaving Date]&gt;42551,6000,IF(Table1[Leaving Date]&gt;42460,5000,IF(Table1[Leaving Date]&gt;42369,4000,IF(Table1[Leaving Date]&gt;42277,3000,IF(Table1[Leaving Date]&gt;42185,2000,IF(Table1[Leaving Date]&gt;42094,1000))))))))</f>
        <v>0</v>
      </c>
      <c r="EK241" s="44" t="e">
        <f>VLOOKUP(Table1[Reason for Leaving],Lists!$T$2:$U$15,2,FALSE)</f>
        <v>#N/A</v>
      </c>
      <c r="EL241" s="44" t="e">
        <f>SUM(Table1[Data Leavers Date]+Table1[Data Move On])</f>
        <v>#N/A</v>
      </c>
      <c r="EM241" s="44" t="b">
        <f>IF(Table1[Registered with GP2]="Yes",1,IF(Table1[Registered with GP2]="No",0,IF(Table1[Registered with GP]="Yes",1,IF(Table1[Registered with GP]="No",0))))</f>
        <v>0</v>
      </c>
      <c r="EN241" s="44">
        <f>SUM(Table1[Data Leavers Date]+Table1[Data GP End])</f>
        <v>0</v>
      </c>
      <c r="EO241" s="44" t="str">
        <f>IF(Table1[EET2]="NEET",1,IF(Table1[EET2]="Employment",2,IF(Table1[EET2]="Education",2,IF(Table1[EET2]="Training",2,IF(Table1[EET2]="Retired",3,IF(Table1[EET]="NEET",1,IF(Table1[EET]="Employment",2,IF(Table1[EET]="Education",2,IF(Table1[EET]="Training",2,IF(Table1[EET]="Retired",3,""))))))))))</f>
        <v/>
      </c>
      <c r="EP241" s="44" t="e">
        <f>+Table1[[#This Row],[Data Leavers Date]]+Table1[[#This Row],[Data EET End]]</f>
        <v>#VALUE!</v>
      </c>
      <c r="EQ241" s="44">
        <f>IF(Table1[Exit Form Received]="Yes",1,0)</f>
        <v>0</v>
      </c>
      <c r="ER241" s="44">
        <f>+Table1[[#This Row],[Data Leavers Date]]+Table1[[#This Row],[Data Exit Forms]]</f>
        <v>0</v>
      </c>
      <c r="ES241" s="44" t="str">
        <f>IF(Table1[Data Leavers Date]=1000,SUM(Table1[Leaving Date]-Table1[Start Date]),"")</f>
        <v/>
      </c>
      <c r="ET241" s="44" t="str">
        <f>IF(Table1[Data Leavers Date]=2000,SUM(Table1[Leaving Date]-Table1[Start Date]),"")</f>
        <v/>
      </c>
      <c r="EU241" s="44" t="str">
        <f>IF(Table1[Data Leavers Date]=3000,SUM(Table1[Leaving Date]-Table1[Start Date]),"")</f>
        <v/>
      </c>
      <c r="EV241" s="44" t="str">
        <f>IF(Table1[Data Leavers Date]=4000,SUM(Table1[Leaving Date]-Table1[Start Date]),"")</f>
        <v/>
      </c>
      <c r="EW241" s="44" t="str">
        <f>IF(Table1[Data Leavers Date]=5000,SUM(Table1[Leaving Date]-Table1[Start Date]),"")</f>
        <v/>
      </c>
      <c r="EX241" s="44" t="str">
        <f>IF(Table1[Data Leavers Date]=6000,SUM(Table1[Leaving Date]-Table1[Start Date]),"")</f>
        <v/>
      </c>
      <c r="EY241" s="44" t="str">
        <f>IF(Table1[Data Leavers Date]=7000,SUM(Table1[Leaving Date]-Table1[Start Date]),"")</f>
        <v/>
      </c>
      <c r="EZ241" s="44" t="str">
        <f>IF(Table1[Data Leavers Date]=8000,SUM(Table1[Leaving Date]-Table1[Start Date]),"")</f>
        <v/>
      </c>
      <c r="FA241" s="44" t="str">
        <f>IF(Table1[Date of Initial Assessment]="","",IF(AND(Table1[Start Date]&gt;42094,Table1[Start Date]&lt;42461),Table1[Motivation and Taking Responsibility],""))</f>
        <v/>
      </c>
      <c r="FB241" s="44" t="str">
        <f>IF(Table1[Date of Initial Assessment]="","",IF(AND(Table1[Start Date]&gt;42094,Table1[Start Date]&lt;42461),Table1[Self-Care and Living Skills],""))</f>
        <v/>
      </c>
      <c r="FC241" s="44" t="str">
        <f>IF(Table1[Date of Initial Assessment]="","",IF(AND(Table1[Start Date]&gt;42094,Table1[Start Date]&lt;42461),Table1[Managing Money and Personal Administration],""))</f>
        <v/>
      </c>
      <c r="FD241" s="44" t="str">
        <f>IF(Table1[Date of Initial Assessment]="","",IF(AND(Table1[Start Date]&gt;42094,Table1[Start Date]&lt;42461),Table1[Social Networks and Relationships],""))</f>
        <v/>
      </c>
      <c r="FE241" s="44" t="str">
        <f>IF(Table1[Date of Initial Assessment]="","",IF(AND(Table1[Start Date]&gt;42094,Table1[Start Date]&lt;42461),Table1[Drug and Alcohol Misuse],""))</f>
        <v/>
      </c>
      <c r="FF241" s="44" t="str">
        <f>IF(Table1[Date of Initial Assessment]="","",IF(AND(Table1[Start Date]&gt;42094,Table1[Start Date]&lt;42461),Table1[Physical Health],""))</f>
        <v/>
      </c>
      <c r="FG241" s="44" t="str">
        <f>IF(Table1[Date of Initial Assessment]="","",IF(AND(Table1[Start Date]&gt;42094,Table1[Start Date]&lt;42461),Table1[Emotional and Mental Health],""))</f>
        <v/>
      </c>
      <c r="FH241" s="44" t="str">
        <f>IF(Table1[Date of Initial Assessment]="","",IF(AND(Table1[Start Date]&gt;42094,Table1[Start Date]&lt;42461),Table1[Meaningful Use of Time],""))</f>
        <v/>
      </c>
      <c r="FI241" s="44" t="str">
        <f>IF(Table1[Date of Initial Assessment]="","",IF(AND(Table1[Start Date]&gt;42094,Table1[Start Date]&lt;42461),Table1[Managing Tenancy and Accommodation],""))</f>
        <v/>
      </c>
      <c r="FJ241" s="44" t="str">
        <f>IF(Table1[Date of Initial Assessment]="","",IF(AND(Table1[Start Date]&gt;42094,Table1[Start Date]&lt;42461),Table1[Offending],""))</f>
        <v/>
      </c>
      <c r="FK241" s="44" t="str">
        <f>IF(Table1[Leaving Date]="","",IF(Table1[Date of Initial Assessment]="","",IF(AND(Table1[Leaving Date]&gt;42094,Table1[Leaving Date]&lt;42461),IF(Table1[Date of Last Assessment]="",Table1[Motivation and Taking Responsibility],Table1[Motivation and Taking Responsibility2]),"")))</f>
        <v/>
      </c>
      <c r="FL241" s="44" t="str">
        <f>IF(Table1[Leaving Date]="","",IF(Table1[Date of Initial Assessment]="","",IF(AND(Table1[Leaving Date]&gt;42094,Table1[Leaving Date]&lt;42461),IF(Table1[Date of Last Assessment]="",Table1[Self-Care and Living Skills],Table1[Self-Care and Living Skills2]),"")))</f>
        <v/>
      </c>
      <c r="FM241" s="44" t="str">
        <f>IF(Table1[Leaving Date]="","",IF(Table1[Date of Initial Assessment]="","",IF(AND(Table1[Leaving Date]&gt;42094,Table1[Leaving Date]&lt;42461),IF(Table1[Date of Last Assessment]="",Table1[Managing Money and Personal Administration],Table1[Managing Money and Personal Administration2]),"")))</f>
        <v/>
      </c>
      <c r="FN241" s="44" t="str">
        <f>IF(Table1[Leaving Date]="","",IF(Table1[Date of Initial Assessment]="","",IF(AND(Table1[Leaving Date]&gt;42094,Table1[Leaving Date]&lt;42461),IF(Table1[Date of Last Assessment]="",Table1[Social Networks and Relationships],Table1[Social Networks and Relationships2]),"")))</f>
        <v/>
      </c>
      <c r="FO241" s="44" t="str">
        <f>IF(Table1[Leaving Date]="","",IF(Table1[Date of Initial Assessment]="","",IF(AND(Table1[Leaving Date]&gt;42094,Table1[Leaving Date]&lt;42461),IF(Table1[Date of Last Assessment]="",Table1[Drug and Alcohol Misuse],Table1[Drug and Alcohol Misuse2]),"")))</f>
        <v/>
      </c>
      <c r="FP241" s="44" t="str">
        <f>IF(Table1[Leaving Date]="","",IF(Table1[Date of Initial Assessment]="","",IF(AND(Table1[Leaving Date]&gt;42094,Table1[Leaving Date]&lt;42461),IF(Table1[Date of Last Assessment]="",Table1[Physical Health],Table1[Physical Health2]),"")))</f>
        <v/>
      </c>
      <c r="FQ241" s="44" t="str">
        <f>IF(Table1[Leaving Date]="","",IF(Table1[Date of Initial Assessment]="","",IF(AND(Table1[Leaving Date]&gt;42094,Table1[Leaving Date]&lt;42461),IF(Table1[Date of Last Assessment]="",Table1[Emotional and Mental Health],Table1[Emotional and Mental Health2]),"")))</f>
        <v/>
      </c>
      <c r="FR241" s="44" t="str">
        <f>IF(Table1[Leaving Date]="","",IF(Table1[Date of Initial Assessment]="","",IF(AND(Table1[Leaving Date]&gt;42094,Table1[Leaving Date]&lt;42461),IF(Table1[Date of Last Assessment]="",Table1[Meaningful Use of Time],Table1[Meaningful Use of Time2]),"")))</f>
        <v/>
      </c>
      <c r="FS241" s="44" t="str">
        <f>IF(Table1[Leaving Date]="","",IF(Table1[Date of Initial Assessment]="","",IF(AND(Table1[Leaving Date]&gt;42094,Table1[Leaving Date]&lt;42461),IF(Table1[Date of Last Assessment]="",Table1[Managing Tenancy and Accommodation],Table1[Managing Tenancy and Accommodation2]),"")))</f>
        <v/>
      </c>
      <c r="FT241" s="44" t="str">
        <f>IF(Table1[Leaving Date]="","",IF(Table1[Date of Initial Assessment]="","",IF(AND(Table1[Leaving Date]&gt;42094,Table1[Leaving Date]&lt;42461),IF(Table1[Date of Last Assessment]="",Table1[Offending],Table1[Offending2]),"")))</f>
        <v/>
      </c>
      <c r="FU241" s="44" t="str">
        <f>IF(Table1[Date of Initial Assessment]="","",IF(AND(Table1[Start Date]&gt;42460,Table1[Start Date]&lt;42826),Table1[Motivation and Taking Responsibility],""))</f>
        <v/>
      </c>
      <c r="FV241" s="44" t="str">
        <f>IF(Table1[Date of Initial Assessment]="","",IF(AND(Table1[Start Date]&gt;42460,Table1[Start Date]&lt;42826),Table1[Self-Care and Living Skills],""))</f>
        <v/>
      </c>
      <c r="FW241" s="44" t="str">
        <f>IF(Table1[Date of Initial Assessment]="","",IF(AND(Table1[Start Date]&gt;42460,Table1[Start Date]&lt;42826),Table1[Managing Money and Personal Administration],""))</f>
        <v/>
      </c>
      <c r="FX241" s="44" t="str">
        <f>IF(Table1[Date of Initial Assessment]="","",IF(AND(Table1[Start Date]&gt;42460,Table1[Start Date]&lt;42826),Table1[Social Networks and Relationships],""))</f>
        <v/>
      </c>
      <c r="FY241" s="44" t="str">
        <f>IF(Table1[Date of Initial Assessment]="","",IF(AND(Table1[Start Date]&gt;42460,Table1[Start Date]&lt;42826),Table1[Drug and Alcohol Misuse],""))</f>
        <v/>
      </c>
      <c r="FZ241" s="44" t="str">
        <f>IF(Table1[Date of Initial Assessment]="","",IF(AND(Table1[Start Date]&gt;42460,Table1[Start Date]&lt;42826),Table1[Physical Health],""))</f>
        <v/>
      </c>
      <c r="GA241" s="44" t="str">
        <f>IF(Table1[Date of Initial Assessment]="","",IF(AND(Table1[Start Date]&gt;42460,Table1[Start Date]&lt;42826),Table1[Emotional and Mental Health],""))</f>
        <v/>
      </c>
      <c r="GB241" s="44" t="str">
        <f>IF(Table1[Date of Initial Assessment]="","",IF(AND(Table1[Start Date]&gt;42460,Table1[Start Date]&lt;42826),Table1[Meaningful Use of Time],""))</f>
        <v/>
      </c>
      <c r="GC241" s="44" t="str">
        <f>IF(Table1[Date of Initial Assessment]="","",IF(AND(Table1[Start Date]&gt;42460,Table1[Start Date]&lt;42826),Table1[Managing Tenancy and Accommodation],""))</f>
        <v/>
      </c>
      <c r="GD241" s="44" t="str">
        <f>IF(Table1[Date of Initial Assessment]="","",IF(AND(Table1[Start Date]&gt;42460,Table1[Start Date]&lt;42826),Table1[Offending],""))</f>
        <v/>
      </c>
      <c r="GE241" s="44" t="str">
        <f>IF(Table1[Leaving Date]="","",IF(AND(Table1[Leaving Date]&gt;42460,Table1[Leaving Date]&lt;42826),IF(Table1[Date of Last Assessment]="",Table1[Motivation and Taking Responsibility],Table1[Motivation and Taking Responsibility2]),""))</f>
        <v/>
      </c>
      <c r="GF241" s="44" t="str">
        <f>IF(Table1[Leaving Date]="","",IF(AND(Table1[Leaving Date]&gt;42460,Table1[Leaving Date]&lt;42826),IF(Table1[Date of Last Assessment]="",Table1[Self-Care and Living Skills],Table1[Self-Care and Living Skills2]),""))</f>
        <v/>
      </c>
      <c r="GG241" s="44" t="str">
        <f>IF(Table1[Leaving Date]="","",IF(AND(Table1[Leaving Date]&gt;42460,Table1[Leaving Date]&lt;42826),IF(Table1[Date of Last Assessment]="",Table1[Managing Money and Personal Administration],Table1[Managing Money and Personal Administration2]),""))</f>
        <v/>
      </c>
      <c r="GH241" s="44" t="str">
        <f>IF(Table1[Leaving Date]="","",IF(AND(Table1[Leaving Date]&gt;42460,Table1[Leaving Date]&lt;42826),IF(Table1[Date of Last Assessment]="",Table1[Social Networks and Relationships],Table1[Social Networks and Relationships2]),""))</f>
        <v/>
      </c>
      <c r="GI241" s="44" t="str">
        <f>IF(Table1[Leaving Date]="","",IF(AND(Table1[Leaving Date]&gt;42460,Table1[Leaving Date]&lt;42826),IF(Table1[Date of Last Assessment]="",Table1[Drug and Alcohol Misuse],Table1[Drug and Alcohol Misuse2]),""))</f>
        <v/>
      </c>
      <c r="GJ241" s="44" t="str">
        <f>IF(Table1[Leaving Date]="","",IF(AND(Table1[Leaving Date]&gt;42460,Table1[Leaving Date]&lt;42826),IF(Table1[Date of Last Assessment]="",Table1[Physical Health],Table1[Physical Health2]),""))</f>
        <v/>
      </c>
      <c r="GK241" s="44" t="str">
        <f>IF(Table1[Leaving Date]="","",IF(AND(Table1[Leaving Date]&gt;42460,Table1[Leaving Date]&lt;42826),IF(Table1[Date of Last Assessment]="",Table1[Emotional and Mental Health],Table1[Emotional and Mental Health2]),""))</f>
        <v/>
      </c>
      <c r="GL241" s="44" t="str">
        <f>IF(Table1[Leaving Date]="","",IF(AND(Table1[Leaving Date]&gt;42460,Table1[Leaving Date]&lt;42826),IF(Table1[Date of Last Assessment]="",Table1[Meaningful Use of Time],Table1[Meaningful Use of Time2]),""))</f>
        <v/>
      </c>
      <c r="GM241" s="44" t="str">
        <f>IF(Table1[Leaving Date]="","",IF(AND(Table1[Leaving Date]&gt;42460,Table1[Leaving Date]&lt;42826),IF(Table1[Date of Last Assessment]="",Table1[Managing Tenancy and Accommodation],Table1[Managing Tenancy and Accommodation2]),""))</f>
        <v/>
      </c>
      <c r="GN241" s="44" t="str">
        <f>IF(Table1[Leaving Date]="","",IF(AND(Table1[Leaving Date]&gt;42460,Table1[Leaving Date]&lt;42826),IF(Table1[Date of Last Assessment]="",Table1[Offending],Table1[Offending2]),""))</f>
        <v/>
      </c>
    </row>
    <row r="242" spans="2:196" ht="20.100000000000001" customHeight="1" x14ac:dyDescent="0.2">
      <c r="B242" s="86">
        <f>+'Service Data'!$C$5:$C$5</f>
        <v>0</v>
      </c>
      <c r="C242" s="86"/>
      <c r="D242" s="86"/>
      <c r="E242" s="86"/>
      <c r="F242" s="86"/>
      <c r="G242" s="86"/>
      <c r="H242" s="6"/>
      <c r="I242" s="99" t="str">
        <f ca="1">IF(Table1[[#This Row],[Date of Birth]]="","",SUM(TODAY()-Table1[[#This Row],[Date of Birth]])/365)</f>
        <v/>
      </c>
      <c r="L242" s="86"/>
      <c r="M242" s="77"/>
      <c r="N242" s="86"/>
      <c r="O242" s="86"/>
      <c r="P242" s="91"/>
      <c r="Q242" s="86"/>
      <c r="R242" s="77"/>
      <c r="S242" s="77"/>
      <c r="T242" s="68"/>
      <c r="U242" s="68"/>
      <c r="V242" s="67"/>
      <c r="W242" s="67"/>
      <c r="X242" s="67"/>
      <c r="Y242" s="67"/>
      <c r="Z242" s="67"/>
      <c r="AA242" s="67"/>
      <c r="AB242" s="67"/>
      <c r="AC242" s="67"/>
      <c r="AD242" s="67"/>
      <c r="AE242" s="67"/>
      <c r="AF242" s="67"/>
      <c r="AG242" s="67"/>
      <c r="AH242" s="67"/>
      <c r="AI242" s="67"/>
      <c r="AJ242" s="67"/>
      <c r="AK242" s="67"/>
      <c r="AL242" s="67"/>
      <c r="AM242" s="67"/>
      <c r="AN242" s="77"/>
      <c r="AO242" s="76"/>
      <c r="AP242" s="77"/>
      <c r="AQ242" s="76"/>
      <c r="AR242" s="76"/>
      <c r="AS242" s="76"/>
      <c r="AT242" s="76"/>
      <c r="AU242" s="76"/>
      <c r="AV242" s="77"/>
      <c r="AW242" s="76"/>
      <c r="AX242" s="77"/>
      <c r="AY242" s="76"/>
      <c r="AZ242" s="76"/>
      <c r="BA242" s="76"/>
      <c r="BB242" s="76"/>
      <c r="BC242" s="76"/>
      <c r="BD242" s="77"/>
      <c r="BE242" s="76"/>
      <c r="BF242" s="77"/>
      <c r="BG242" s="76"/>
      <c r="BH242" s="76"/>
      <c r="BI242" s="76"/>
      <c r="BJ242" s="76"/>
      <c r="BK242" s="76"/>
      <c r="BL242" s="77"/>
      <c r="BM242" s="76"/>
      <c r="BN242" s="77"/>
      <c r="BO242" s="76"/>
      <c r="BP242" s="76"/>
      <c r="BQ242" s="76"/>
      <c r="BR242" s="76"/>
      <c r="BS242" s="76"/>
      <c r="BT242" s="77"/>
      <c r="BU242" s="76"/>
      <c r="BV242" s="77"/>
      <c r="BW242" s="76"/>
      <c r="BX242" s="76"/>
      <c r="BY242" s="76"/>
      <c r="BZ242" s="76"/>
      <c r="CA242" s="76"/>
      <c r="CB242" s="77"/>
      <c r="CC242" s="76"/>
      <c r="CD242" s="77"/>
      <c r="CE242" s="76"/>
      <c r="CF242" s="76"/>
      <c r="CG242" s="76"/>
      <c r="CH242" s="76"/>
      <c r="CI242" s="76"/>
      <c r="CJ242" s="77"/>
      <c r="CK242" s="76"/>
      <c r="CL242" s="77"/>
      <c r="CM242" s="76"/>
      <c r="CN242" s="76"/>
      <c r="CO242" s="76"/>
      <c r="CP242" s="76"/>
      <c r="CQ242" s="76"/>
      <c r="CR242" s="78" t="str">
        <f t="shared" si="63"/>
        <v/>
      </c>
      <c r="CS242" s="79" t="str">
        <f t="shared" si="64"/>
        <v/>
      </c>
      <c r="CT242" s="79" t="str">
        <f t="shared" si="65"/>
        <v/>
      </c>
      <c r="CU242" s="79" t="str">
        <f t="shared" si="66"/>
        <v/>
      </c>
      <c r="CV242" s="79" t="str">
        <f t="shared" si="67"/>
        <v/>
      </c>
      <c r="CW242" s="79" t="str">
        <f t="shared" si="68"/>
        <v/>
      </c>
      <c r="CX242" s="79" t="str">
        <f t="shared" si="69"/>
        <v/>
      </c>
      <c r="CY242" s="79" t="str">
        <f t="shared" si="70"/>
        <v/>
      </c>
      <c r="CZ242" s="79" t="str">
        <f t="shared" si="71"/>
        <v/>
      </c>
      <c r="DA242" s="79" t="str">
        <f t="shared" si="72"/>
        <v/>
      </c>
      <c r="DB242" s="79" t="str">
        <f t="shared" si="73"/>
        <v/>
      </c>
      <c r="DC242" s="79" t="str">
        <f t="shared" si="74"/>
        <v/>
      </c>
      <c r="DD242" s="79" t="str">
        <f t="shared" si="75"/>
        <v/>
      </c>
      <c r="DE242" s="79" t="str">
        <f t="shared" si="76"/>
        <v/>
      </c>
      <c r="DF242" s="79" t="str">
        <f t="shared" si="77"/>
        <v/>
      </c>
      <c r="DG242" s="79" t="str">
        <f t="shared" si="78"/>
        <v/>
      </c>
      <c r="DH242" s="76"/>
      <c r="DI242" s="78"/>
      <c r="DJ242" s="76"/>
      <c r="DK242" s="77"/>
      <c r="DL242" s="77"/>
      <c r="DM242" s="77"/>
      <c r="DN242" s="80"/>
      <c r="DO242" s="80"/>
      <c r="DP242" s="92" t="str">
        <f>IF(Table1[Start Date]="","",IF(Table1[Start Date]&gt;42185,"",IF(AND(Table1[Leaving Date]&gt;1,Table1[Leaving Date]&lt;42095),"",1)))</f>
        <v/>
      </c>
      <c r="DQ242" s="92" t="str">
        <f>IF(Table1[Start Date]="","",IF(Table1[Start Date]&gt;42277,"",IF(AND(Table1[Leaving Date]&gt;1,Table1[Leaving Date]&lt;42186),"",1)))</f>
        <v/>
      </c>
      <c r="DR242" s="92" t="str">
        <f>IF(Table1[Start Date]="","",IF(Table1[Start Date]&gt;42369,"",IF(AND(Table1[Leaving Date]&gt;1,Table1[Leaving Date]&lt;42278),"",1)))</f>
        <v/>
      </c>
      <c r="DS242" s="92" t="str">
        <f>IF(Table1[Start Date]="","",IF(Table1[Start Date]&gt;42460,"",IF(AND(Table1[Leaving Date]&gt;1,Table1[Leaving Date]&lt;42370),"",1)))</f>
        <v/>
      </c>
      <c r="DT242" s="92" t="str">
        <f>IF(Table1[Start Date]="","",IF(Table1[Start Date]&gt;42551,"",IF(AND(Table1[Leaving Date]&gt;1,Table1[Leaving Date]&lt;42461),"",1)))</f>
        <v/>
      </c>
      <c r="DU242" s="92" t="str">
        <f>IF(Table1[Start Date]="","",IF(Table1[Start Date]&gt;42643,"",IF(AND(Table1[Leaving Date]&gt;1,Table1[Leaving Date]&lt;42552),"",1)))</f>
        <v/>
      </c>
      <c r="DV242" s="92" t="str">
        <f>IF(Table1[Start Date]="","",IF(Table1[Start Date]&gt;42735,"",IF(AND(Table1[Leaving Date]&gt;1,Table1[Leaving Date]&lt;42644),"",1)))</f>
        <v/>
      </c>
      <c r="DW242" s="92" t="str">
        <f>IF(Table1[Start Date]="","",IF(Table1[Start Date]&gt;42825,"",IF(AND(Table1[Leaving Date]&gt;1,Table1[Leaving Date]&lt;42736),"",1)))</f>
        <v/>
      </c>
      <c r="DX242"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242" s="44" t="e">
        <f>VLOOKUP(Table1[Referral Source],Lists!$G$2:$H$20,2,FALSE)</f>
        <v>#N/A</v>
      </c>
      <c r="DZ242" s="93" t="e">
        <f>SUM(Table1[Data Referral Quarter]+Table1[Data Referral Source])</f>
        <v>#N/A</v>
      </c>
      <c r="EA242" s="44" t="b">
        <f>IF(Table1[Referral Decision]="Accepted",100,IF(Table1[Referral Decision]="Rejected by Provider",200,IF(Table1[Referral Decision]="Rejected by Applicant",300)))</f>
        <v>0</v>
      </c>
      <c r="EB242" s="44">
        <f>SUM(Table1[Data Referral Quarter]+Table1[Data Referral Decision])</f>
        <v>0</v>
      </c>
      <c r="EC242" s="44" t="b">
        <f>IF(Table1[Start Date]&gt;42735,8000,IF(Table1[Start Date]&gt;42643,7000,IF(Table1[Start Date]&gt;42551,6000,IF(Table1[Start Date]&gt;42460,5000,IF(Table1[Start Date]&gt;42369,4000,IF(Table1[Start Date]&gt;42277,3000,IF(Table1[Start Date]&gt;42185,2000,IF(Table1[Start Date]&gt;42094,1000))))))))</f>
        <v>0</v>
      </c>
      <c r="ED242" s="44" t="str">
        <f>IF(Table1[Start Date]="","",IF(Table1[Current Local Authority]="Swindon",1,"2"))</f>
        <v/>
      </c>
      <c r="EE242" s="44" t="e">
        <f>SUM(Table1[Data Start Date]+Table1[Data Local Authority])</f>
        <v>#VALUE!</v>
      </c>
      <c r="EF242" s="44">
        <f>IF(Table1[Registered with GP]="Yes",1,0)</f>
        <v>0</v>
      </c>
      <c r="EG242" s="44">
        <f>SUM(Table1[Data Start Date]+Table1[Data GP Start])</f>
        <v>0</v>
      </c>
      <c r="EH242" s="44" t="str">
        <f>IF(Table1[EET]="NEET",1,IF(Table1[EET]="Education",2,IF(Table1[EET]="Employment",2,IF(Table1[EET]="Training",2,IF(Table1[EET]="Retired",3,"")))))</f>
        <v/>
      </c>
      <c r="EI242" s="44" t="e">
        <f>Table1[Data Start Date]+Table1[Data EET Start]</f>
        <v>#VALUE!</v>
      </c>
      <c r="EJ242" s="44" t="b">
        <f>IF(Table1[Leaving Date]&gt;42735,8000,IF(Table1[Leaving Date]&gt;42643,7000,IF(Table1[Leaving Date]&gt;42551,6000,IF(Table1[Leaving Date]&gt;42460,5000,IF(Table1[Leaving Date]&gt;42369,4000,IF(Table1[Leaving Date]&gt;42277,3000,IF(Table1[Leaving Date]&gt;42185,2000,IF(Table1[Leaving Date]&gt;42094,1000))))))))</f>
        <v>0</v>
      </c>
      <c r="EK242" s="44" t="e">
        <f>VLOOKUP(Table1[Reason for Leaving],Lists!$T$2:$U$15,2,FALSE)</f>
        <v>#N/A</v>
      </c>
      <c r="EL242" s="44" t="e">
        <f>SUM(Table1[Data Leavers Date]+Table1[Data Move On])</f>
        <v>#N/A</v>
      </c>
      <c r="EM242" s="44" t="b">
        <f>IF(Table1[Registered with GP2]="Yes",1,IF(Table1[Registered with GP2]="No",0,IF(Table1[Registered with GP]="Yes",1,IF(Table1[Registered with GP]="No",0))))</f>
        <v>0</v>
      </c>
      <c r="EN242" s="44">
        <f>SUM(Table1[Data Leavers Date]+Table1[Data GP End])</f>
        <v>0</v>
      </c>
      <c r="EO242" s="44" t="str">
        <f>IF(Table1[EET2]="NEET",1,IF(Table1[EET2]="Employment",2,IF(Table1[EET2]="Education",2,IF(Table1[EET2]="Training",2,IF(Table1[EET2]="Retired",3,IF(Table1[EET]="NEET",1,IF(Table1[EET]="Employment",2,IF(Table1[EET]="Education",2,IF(Table1[EET]="Training",2,IF(Table1[EET]="Retired",3,""))))))))))</f>
        <v/>
      </c>
      <c r="EP242" s="44" t="e">
        <f>+Table1[[#This Row],[Data Leavers Date]]+Table1[[#This Row],[Data EET End]]</f>
        <v>#VALUE!</v>
      </c>
      <c r="EQ242" s="44">
        <f>IF(Table1[Exit Form Received]="Yes",1,0)</f>
        <v>0</v>
      </c>
      <c r="ER242" s="44">
        <f>+Table1[[#This Row],[Data Leavers Date]]+Table1[[#This Row],[Data Exit Forms]]</f>
        <v>0</v>
      </c>
      <c r="ES242" s="44" t="str">
        <f>IF(Table1[Data Leavers Date]=1000,SUM(Table1[Leaving Date]-Table1[Start Date]),"")</f>
        <v/>
      </c>
      <c r="ET242" s="44" t="str">
        <f>IF(Table1[Data Leavers Date]=2000,SUM(Table1[Leaving Date]-Table1[Start Date]),"")</f>
        <v/>
      </c>
      <c r="EU242" s="44" t="str">
        <f>IF(Table1[Data Leavers Date]=3000,SUM(Table1[Leaving Date]-Table1[Start Date]),"")</f>
        <v/>
      </c>
      <c r="EV242" s="44" t="str">
        <f>IF(Table1[Data Leavers Date]=4000,SUM(Table1[Leaving Date]-Table1[Start Date]),"")</f>
        <v/>
      </c>
      <c r="EW242" s="44" t="str">
        <f>IF(Table1[Data Leavers Date]=5000,SUM(Table1[Leaving Date]-Table1[Start Date]),"")</f>
        <v/>
      </c>
      <c r="EX242" s="44" t="str">
        <f>IF(Table1[Data Leavers Date]=6000,SUM(Table1[Leaving Date]-Table1[Start Date]),"")</f>
        <v/>
      </c>
      <c r="EY242" s="44" t="str">
        <f>IF(Table1[Data Leavers Date]=7000,SUM(Table1[Leaving Date]-Table1[Start Date]),"")</f>
        <v/>
      </c>
      <c r="EZ242" s="44" t="str">
        <f>IF(Table1[Data Leavers Date]=8000,SUM(Table1[Leaving Date]-Table1[Start Date]),"")</f>
        <v/>
      </c>
      <c r="FA242" s="44" t="str">
        <f>IF(Table1[Date of Initial Assessment]="","",IF(AND(Table1[Start Date]&gt;42094,Table1[Start Date]&lt;42461),Table1[Motivation and Taking Responsibility],""))</f>
        <v/>
      </c>
      <c r="FB242" s="44" t="str">
        <f>IF(Table1[Date of Initial Assessment]="","",IF(AND(Table1[Start Date]&gt;42094,Table1[Start Date]&lt;42461),Table1[Self-Care and Living Skills],""))</f>
        <v/>
      </c>
      <c r="FC242" s="44" t="str">
        <f>IF(Table1[Date of Initial Assessment]="","",IF(AND(Table1[Start Date]&gt;42094,Table1[Start Date]&lt;42461),Table1[Managing Money and Personal Administration],""))</f>
        <v/>
      </c>
      <c r="FD242" s="44" t="str">
        <f>IF(Table1[Date of Initial Assessment]="","",IF(AND(Table1[Start Date]&gt;42094,Table1[Start Date]&lt;42461),Table1[Social Networks and Relationships],""))</f>
        <v/>
      </c>
      <c r="FE242" s="44" t="str">
        <f>IF(Table1[Date of Initial Assessment]="","",IF(AND(Table1[Start Date]&gt;42094,Table1[Start Date]&lt;42461),Table1[Drug and Alcohol Misuse],""))</f>
        <v/>
      </c>
      <c r="FF242" s="44" t="str">
        <f>IF(Table1[Date of Initial Assessment]="","",IF(AND(Table1[Start Date]&gt;42094,Table1[Start Date]&lt;42461),Table1[Physical Health],""))</f>
        <v/>
      </c>
      <c r="FG242" s="44" t="str">
        <f>IF(Table1[Date of Initial Assessment]="","",IF(AND(Table1[Start Date]&gt;42094,Table1[Start Date]&lt;42461),Table1[Emotional and Mental Health],""))</f>
        <v/>
      </c>
      <c r="FH242" s="44" t="str">
        <f>IF(Table1[Date of Initial Assessment]="","",IF(AND(Table1[Start Date]&gt;42094,Table1[Start Date]&lt;42461),Table1[Meaningful Use of Time],""))</f>
        <v/>
      </c>
      <c r="FI242" s="44" t="str">
        <f>IF(Table1[Date of Initial Assessment]="","",IF(AND(Table1[Start Date]&gt;42094,Table1[Start Date]&lt;42461),Table1[Managing Tenancy and Accommodation],""))</f>
        <v/>
      </c>
      <c r="FJ242" s="44" t="str">
        <f>IF(Table1[Date of Initial Assessment]="","",IF(AND(Table1[Start Date]&gt;42094,Table1[Start Date]&lt;42461),Table1[Offending],""))</f>
        <v/>
      </c>
      <c r="FK242" s="44" t="str">
        <f>IF(Table1[Leaving Date]="","",IF(Table1[Date of Initial Assessment]="","",IF(AND(Table1[Leaving Date]&gt;42094,Table1[Leaving Date]&lt;42461),IF(Table1[Date of Last Assessment]="",Table1[Motivation and Taking Responsibility],Table1[Motivation and Taking Responsibility2]),"")))</f>
        <v/>
      </c>
      <c r="FL242" s="44" t="str">
        <f>IF(Table1[Leaving Date]="","",IF(Table1[Date of Initial Assessment]="","",IF(AND(Table1[Leaving Date]&gt;42094,Table1[Leaving Date]&lt;42461),IF(Table1[Date of Last Assessment]="",Table1[Self-Care and Living Skills],Table1[Self-Care and Living Skills2]),"")))</f>
        <v/>
      </c>
      <c r="FM242" s="44" t="str">
        <f>IF(Table1[Leaving Date]="","",IF(Table1[Date of Initial Assessment]="","",IF(AND(Table1[Leaving Date]&gt;42094,Table1[Leaving Date]&lt;42461),IF(Table1[Date of Last Assessment]="",Table1[Managing Money and Personal Administration],Table1[Managing Money and Personal Administration2]),"")))</f>
        <v/>
      </c>
      <c r="FN242" s="44" t="str">
        <f>IF(Table1[Leaving Date]="","",IF(Table1[Date of Initial Assessment]="","",IF(AND(Table1[Leaving Date]&gt;42094,Table1[Leaving Date]&lt;42461),IF(Table1[Date of Last Assessment]="",Table1[Social Networks and Relationships],Table1[Social Networks and Relationships2]),"")))</f>
        <v/>
      </c>
      <c r="FO242" s="44" t="str">
        <f>IF(Table1[Leaving Date]="","",IF(Table1[Date of Initial Assessment]="","",IF(AND(Table1[Leaving Date]&gt;42094,Table1[Leaving Date]&lt;42461),IF(Table1[Date of Last Assessment]="",Table1[Drug and Alcohol Misuse],Table1[Drug and Alcohol Misuse2]),"")))</f>
        <v/>
      </c>
      <c r="FP242" s="44" t="str">
        <f>IF(Table1[Leaving Date]="","",IF(Table1[Date of Initial Assessment]="","",IF(AND(Table1[Leaving Date]&gt;42094,Table1[Leaving Date]&lt;42461),IF(Table1[Date of Last Assessment]="",Table1[Physical Health],Table1[Physical Health2]),"")))</f>
        <v/>
      </c>
      <c r="FQ242" s="44" t="str">
        <f>IF(Table1[Leaving Date]="","",IF(Table1[Date of Initial Assessment]="","",IF(AND(Table1[Leaving Date]&gt;42094,Table1[Leaving Date]&lt;42461),IF(Table1[Date of Last Assessment]="",Table1[Emotional and Mental Health],Table1[Emotional and Mental Health2]),"")))</f>
        <v/>
      </c>
      <c r="FR242" s="44" t="str">
        <f>IF(Table1[Leaving Date]="","",IF(Table1[Date of Initial Assessment]="","",IF(AND(Table1[Leaving Date]&gt;42094,Table1[Leaving Date]&lt;42461),IF(Table1[Date of Last Assessment]="",Table1[Meaningful Use of Time],Table1[Meaningful Use of Time2]),"")))</f>
        <v/>
      </c>
      <c r="FS242" s="44" t="str">
        <f>IF(Table1[Leaving Date]="","",IF(Table1[Date of Initial Assessment]="","",IF(AND(Table1[Leaving Date]&gt;42094,Table1[Leaving Date]&lt;42461),IF(Table1[Date of Last Assessment]="",Table1[Managing Tenancy and Accommodation],Table1[Managing Tenancy and Accommodation2]),"")))</f>
        <v/>
      </c>
      <c r="FT242" s="44" t="str">
        <f>IF(Table1[Leaving Date]="","",IF(Table1[Date of Initial Assessment]="","",IF(AND(Table1[Leaving Date]&gt;42094,Table1[Leaving Date]&lt;42461),IF(Table1[Date of Last Assessment]="",Table1[Offending],Table1[Offending2]),"")))</f>
        <v/>
      </c>
      <c r="FU242" s="44" t="str">
        <f>IF(Table1[Date of Initial Assessment]="","",IF(AND(Table1[Start Date]&gt;42460,Table1[Start Date]&lt;42826),Table1[Motivation and Taking Responsibility],""))</f>
        <v/>
      </c>
      <c r="FV242" s="44" t="str">
        <f>IF(Table1[Date of Initial Assessment]="","",IF(AND(Table1[Start Date]&gt;42460,Table1[Start Date]&lt;42826),Table1[Self-Care and Living Skills],""))</f>
        <v/>
      </c>
      <c r="FW242" s="44" t="str">
        <f>IF(Table1[Date of Initial Assessment]="","",IF(AND(Table1[Start Date]&gt;42460,Table1[Start Date]&lt;42826),Table1[Managing Money and Personal Administration],""))</f>
        <v/>
      </c>
      <c r="FX242" s="44" t="str">
        <f>IF(Table1[Date of Initial Assessment]="","",IF(AND(Table1[Start Date]&gt;42460,Table1[Start Date]&lt;42826),Table1[Social Networks and Relationships],""))</f>
        <v/>
      </c>
      <c r="FY242" s="44" t="str">
        <f>IF(Table1[Date of Initial Assessment]="","",IF(AND(Table1[Start Date]&gt;42460,Table1[Start Date]&lt;42826),Table1[Drug and Alcohol Misuse],""))</f>
        <v/>
      </c>
      <c r="FZ242" s="44" t="str">
        <f>IF(Table1[Date of Initial Assessment]="","",IF(AND(Table1[Start Date]&gt;42460,Table1[Start Date]&lt;42826),Table1[Physical Health],""))</f>
        <v/>
      </c>
      <c r="GA242" s="44" t="str">
        <f>IF(Table1[Date of Initial Assessment]="","",IF(AND(Table1[Start Date]&gt;42460,Table1[Start Date]&lt;42826),Table1[Emotional and Mental Health],""))</f>
        <v/>
      </c>
      <c r="GB242" s="44" t="str">
        <f>IF(Table1[Date of Initial Assessment]="","",IF(AND(Table1[Start Date]&gt;42460,Table1[Start Date]&lt;42826),Table1[Meaningful Use of Time],""))</f>
        <v/>
      </c>
      <c r="GC242" s="44" t="str">
        <f>IF(Table1[Date of Initial Assessment]="","",IF(AND(Table1[Start Date]&gt;42460,Table1[Start Date]&lt;42826),Table1[Managing Tenancy and Accommodation],""))</f>
        <v/>
      </c>
      <c r="GD242" s="44" t="str">
        <f>IF(Table1[Date of Initial Assessment]="","",IF(AND(Table1[Start Date]&gt;42460,Table1[Start Date]&lt;42826),Table1[Offending],""))</f>
        <v/>
      </c>
      <c r="GE242" s="44" t="str">
        <f>IF(Table1[Leaving Date]="","",IF(AND(Table1[Leaving Date]&gt;42460,Table1[Leaving Date]&lt;42826),IF(Table1[Date of Last Assessment]="",Table1[Motivation and Taking Responsibility],Table1[Motivation and Taking Responsibility2]),""))</f>
        <v/>
      </c>
      <c r="GF242" s="44" t="str">
        <f>IF(Table1[Leaving Date]="","",IF(AND(Table1[Leaving Date]&gt;42460,Table1[Leaving Date]&lt;42826),IF(Table1[Date of Last Assessment]="",Table1[Self-Care and Living Skills],Table1[Self-Care and Living Skills2]),""))</f>
        <v/>
      </c>
      <c r="GG242" s="44" t="str">
        <f>IF(Table1[Leaving Date]="","",IF(AND(Table1[Leaving Date]&gt;42460,Table1[Leaving Date]&lt;42826),IF(Table1[Date of Last Assessment]="",Table1[Managing Money and Personal Administration],Table1[Managing Money and Personal Administration2]),""))</f>
        <v/>
      </c>
      <c r="GH242" s="44" t="str">
        <f>IF(Table1[Leaving Date]="","",IF(AND(Table1[Leaving Date]&gt;42460,Table1[Leaving Date]&lt;42826),IF(Table1[Date of Last Assessment]="",Table1[Social Networks and Relationships],Table1[Social Networks and Relationships2]),""))</f>
        <v/>
      </c>
      <c r="GI242" s="44" t="str">
        <f>IF(Table1[Leaving Date]="","",IF(AND(Table1[Leaving Date]&gt;42460,Table1[Leaving Date]&lt;42826),IF(Table1[Date of Last Assessment]="",Table1[Drug and Alcohol Misuse],Table1[Drug and Alcohol Misuse2]),""))</f>
        <v/>
      </c>
      <c r="GJ242" s="44" t="str">
        <f>IF(Table1[Leaving Date]="","",IF(AND(Table1[Leaving Date]&gt;42460,Table1[Leaving Date]&lt;42826),IF(Table1[Date of Last Assessment]="",Table1[Physical Health],Table1[Physical Health2]),""))</f>
        <v/>
      </c>
      <c r="GK242" s="44" t="str">
        <f>IF(Table1[Leaving Date]="","",IF(AND(Table1[Leaving Date]&gt;42460,Table1[Leaving Date]&lt;42826),IF(Table1[Date of Last Assessment]="",Table1[Emotional and Mental Health],Table1[Emotional and Mental Health2]),""))</f>
        <v/>
      </c>
      <c r="GL242" s="44" t="str">
        <f>IF(Table1[Leaving Date]="","",IF(AND(Table1[Leaving Date]&gt;42460,Table1[Leaving Date]&lt;42826),IF(Table1[Date of Last Assessment]="",Table1[Meaningful Use of Time],Table1[Meaningful Use of Time2]),""))</f>
        <v/>
      </c>
      <c r="GM242" s="44" t="str">
        <f>IF(Table1[Leaving Date]="","",IF(AND(Table1[Leaving Date]&gt;42460,Table1[Leaving Date]&lt;42826),IF(Table1[Date of Last Assessment]="",Table1[Managing Tenancy and Accommodation],Table1[Managing Tenancy and Accommodation2]),""))</f>
        <v/>
      </c>
      <c r="GN242" s="44" t="str">
        <f>IF(Table1[Leaving Date]="","",IF(AND(Table1[Leaving Date]&gt;42460,Table1[Leaving Date]&lt;42826),IF(Table1[Date of Last Assessment]="",Table1[Offending],Table1[Offending2]),""))</f>
        <v/>
      </c>
    </row>
    <row r="243" spans="2:196" ht="20.100000000000001" customHeight="1" x14ac:dyDescent="0.2">
      <c r="B243" s="86">
        <f>+'Service Data'!$C$5:$C$5</f>
        <v>0</v>
      </c>
      <c r="C243" s="86"/>
      <c r="D243" s="86"/>
      <c r="E243" s="86"/>
      <c r="F243" s="86"/>
      <c r="G243" s="86"/>
      <c r="H243" s="6"/>
      <c r="I243" s="99" t="str">
        <f ca="1">IF(Table1[[#This Row],[Date of Birth]]="","",SUM(TODAY()-Table1[[#This Row],[Date of Birth]])/365)</f>
        <v/>
      </c>
      <c r="L243" s="86"/>
      <c r="M243" s="77"/>
      <c r="N243" s="86"/>
      <c r="O243" s="86"/>
      <c r="P243" s="91"/>
      <c r="Q243" s="86"/>
      <c r="R243" s="77"/>
      <c r="S243" s="77"/>
      <c r="T243" s="68"/>
      <c r="U243" s="68"/>
      <c r="V243" s="67"/>
      <c r="W243" s="67"/>
      <c r="X243" s="67"/>
      <c r="Y243" s="67"/>
      <c r="Z243" s="67"/>
      <c r="AA243" s="67"/>
      <c r="AB243" s="67"/>
      <c r="AC243" s="67"/>
      <c r="AD243" s="67"/>
      <c r="AE243" s="67"/>
      <c r="AF243" s="67"/>
      <c r="AG243" s="67"/>
      <c r="AH243" s="67"/>
      <c r="AI243" s="67"/>
      <c r="AJ243" s="67"/>
      <c r="AK243" s="67"/>
      <c r="AL243" s="67"/>
      <c r="AM243" s="67"/>
      <c r="AN243" s="77"/>
      <c r="AO243" s="76"/>
      <c r="AP243" s="77"/>
      <c r="AQ243" s="76"/>
      <c r="AR243" s="76"/>
      <c r="AS243" s="76"/>
      <c r="AT243" s="76"/>
      <c r="AU243" s="76"/>
      <c r="AV243" s="77"/>
      <c r="AW243" s="76"/>
      <c r="AX243" s="77"/>
      <c r="AY243" s="76"/>
      <c r="AZ243" s="76"/>
      <c r="BA243" s="76"/>
      <c r="BB243" s="76"/>
      <c r="BC243" s="76"/>
      <c r="BD243" s="77"/>
      <c r="BE243" s="76"/>
      <c r="BF243" s="77"/>
      <c r="BG243" s="76"/>
      <c r="BH243" s="76"/>
      <c r="BI243" s="76"/>
      <c r="BJ243" s="76"/>
      <c r="BK243" s="76"/>
      <c r="BL243" s="77"/>
      <c r="BM243" s="76"/>
      <c r="BN243" s="77"/>
      <c r="BO243" s="76"/>
      <c r="BP243" s="76"/>
      <c r="BQ243" s="76"/>
      <c r="BR243" s="76"/>
      <c r="BS243" s="76"/>
      <c r="BT243" s="77"/>
      <c r="BU243" s="76"/>
      <c r="BV243" s="77"/>
      <c r="BW243" s="76"/>
      <c r="BX243" s="76"/>
      <c r="BY243" s="76"/>
      <c r="BZ243" s="76"/>
      <c r="CA243" s="76"/>
      <c r="CB243" s="77"/>
      <c r="CC243" s="76"/>
      <c r="CD243" s="77"/>
      <c r="CE243" s="76"/>
      <c r="CF243" s="76"/>
      <c r="CG243" s="76"/>
      <c r="CH243" s="76"/>
      <c r="CI243" s="76"/>
      <c r="CJ243" s="77"/>
      <c r="CK243" s="76"/>
      <c r="CL243" s="77"/>
      <c r="CM243" s="76"/>
      <c r="CN243" s="76"/>
      <c r="CO243" s="76"/>
      <c r="CP243" s="76"/>
      <c r="CQ243" s="76"/>
      <c r="CR243" s="78" t="str">
        <f t="shared" si="63"/>
        <v/>
      </c>
      <c r="CS243" s="79" t="str">
        <f t="shared" si="64"/>
        <v/>
      </c>
      <c r="CT243" s="79" t="str">
        <f t="shared" si="65"/>
        <v/>
      </c>
      <c r="CU243" s="79" t="str">
        <f t="shared" si="66"/>
        <v/>
      </c>
      <c r="CV243" s="79" t="str">
        <f t="shared" si="67"/>
        <v/>
      </c>
      <c r="CW243" s="79" t="str">
        <f t="shared" si="68"/>
        <v/>
      </c>
      <c r="CX243" s="79" t="str">
        <f t="shared" si="69"/>
        <v/>
      </c>
      <c r="CY243" s="79" t="str">
        <f t="shared" si="70"/>
        <v/>
      </c>
      <c r="CZ243" s="79" t="str">
        <f t="shared" si="71"/>
        <v/>
      </c>
      <c r="DA243" s="79" t="str">
        <f t="shared" si="72"/>
        <v/>
      </c>
      <c r="DB243" s="79" t="str">
        <f t="shared" si="73"/>
        <v/>
      </c>
      <c r="DC243" s="79" t="str">
        <f t="shared" si="74"/>
        <v/>
      </c>
      <c r="DD243" s="79" t="str">
        <f t="shared" si="75"/>
        <v/>
      </c>
      <c r="DE243" s="79" t="str">
        <f t="shared" si="76"/>
        <v/>
      </c>
      <c r="DF243" s="79" t="str">
        <f t="shared" si="77"/>
        <v/>
      </c>
      <c r="DG243" s="79" t="str">
        <f t="shared" si="78"/>
        <v/>
      </c>
      <c r="DH243" s="76"/>
      <c r="DI243" s="78"/>
      <c r="DJ243" s="76"/>
      <c r="DK243" s="77"/>
      <c r="DL243" s="77"/>
      <c r="DM243" s="77"/>
      <c r="DN243" s="80"/>
      <c r="DO243" s="80"/>
      <c r="DP243" s="92" t="str">
        <f>IF(Table1[Start Date]="","",IF(Table1[Start Date]&gt;42185,"",IF(AND(Table1[Leaving Date]&gt;1,Table1[Leaving Date]&lt;42095),"",1)))</f>
        <v/>
      </c>
      <c r="DQ243" s="92" t="str">
        <f>IF(Table1[Start Date]="","",IF(Table1[Start Date]&gt;42277,"",IF(AND(Table1[Leaving Date]&gt;1,Table1[Leaving Date]&lt;42186),"",1)))</f>
        <v/>
      </c>
      <c r="DR243" s="92" t="str">
        <f>IF(Table1[Start Date]="","",IF(Table1[Start Date]&gt;42369,"",IF(AND(Table1[Leaving Date]&gt;1,Table1[Leaving Date]&lt;42278),"",1)))</f>
        <v/>
      </c>
      <c r="DS243" s="92" t="str">
        <f>IF(Table1[Start Date]="","",IF(Table1[Start Date]&gt;42460,"",IF(AND(Table1[Leaving Date]&gt;1,Table1[Leaving Date]&lt;42370),"",1)))</f>
        <v/>
      </c>
      <c r="DT243" s="92" t="str">
        <f>IF(Table1[Start Date]="","",IF(Table1[Start Date]&gt;42551,"",IF(AND(Table1[Leaving Date]&gt;1,Table1[Leaving Date]&lt;42461),"",1)))</f>
        <v/>
      </c>
      <c r="DU243" s="92" t="str">
        <f>IF(Table1[Start Date]="","",IF(Table1[Start Date]&gt;42643,"",IF(AND(Table1[Leaving Date]&gt;1,Table1[Leaving Date]&lt;42552),"",1)))</f>
        <v/>
      </c>
      <c r="DV243" s="92" t="str">
        <f>IF(Table1[Start Date]="","",IF(Table1[Start Date]&gt;42735,"",IF(AND(Table1[Leaving Date]&gt;1,Table1[Leaving Date]&lt;42644),"",1)))</f>
        <v/>
      </c>
      <c r="DW243" s="92" t="str">
        <f>IF(Table1[Start Date]="","",IF(Table1[Start Date]&gt;42825,"",IF(AND(Table1[Leaving Date]&gt;1,Table1[Leaving Date]&lt;42736),"",1)))</f>
        <v/>
      </c>
      <c r="DX243"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243" s="44" t="e">
        <f>VLOOKUP(Table1[Referral Source],Lists!$G$2:$H$20,2,FALSE)</f>
        <v>#N/A</v>
      </c>
      <c r="DZ243" s="93" t="e">
        <f>SUM(Table1[Data Referral Quarter]+Table1[Data Referral Source])</f>
        <v>#N/A</v>
      </c>
      <c r="EA243" s="44" t="b">
        <f>IF(Table1[Referral Decision]="Accepted",100,IF(Table1[Referral Decision]="Rejected by Provider",200,IF(Table1[Referral Decision]="Rejected by Applicant",300)))</f>
        <v>0</v>
      </c>
      <c r="EB243" s="44">
        <f>SUM(Table1[Data Referral Quarter]+Table1[Data Referral Decision])</f>
        <v>0</v>
      </c>
      <c r="EC243" s="44" t="b">
        <f>IF(Table1[Start Date]&gt;42735,8000,IF(Table1[Start Date]&gt;42643,7000,IF(Table1[Start Date]&gt;42551,6000,IF(Table1[Start Date]&gt;42460,5000,IF(Table1[Start Date]&gt;42369,4000,IF(Table1[Start Date]&gt;42277,3000,IF(Table1[Start Date]&gt;42185,2000,IF(Table1[Start Date]&gt;42094,1000))))))))</f>
        <v>0</v>
      </c>
      <c r="ED243" s="44" t="str">
        <f>IF(Table1[Start Date]="","",IF(Table1[Current Local Authority]="Swindon",1,"2"))</f>
        <v/>
      </c>
      <c r="EE243" s="44" t="e">
        <f>SUM(Table1[Data Start Date]+Table1[Data Local Authority])</f>
        <v>#VALUE!</v>
      </c>
      <c r="EF243" s="44">
        <f>IF(Table1[Registered with GP]="Yes",1,0)</f>
        <v>0</v>
      </c>
      <c r="EG243" s="44">
        <f>SUM(Table1[Data Start Date]+Table1[Data GP Start])</f>
        <v>0</v>
      </c>
      <c r="EH243" s="44" t="str">
        <f>IF(Table1[EET]="NEET",1,IF(Table1[EET]="Education",2,IF(Table1[EET]="Employment",2,IF(Table1[EET]="Training",2,IF(Table1[EET]="Retired",3,"")))))</f>
        <v/>
      </c>
      <c r="EI243" s="44" t="e">
        <f>Table1[Data Start Date]+Table1[Data EET Start]</f>
        <v>#VALUE!</v>
      </c>
      <c r="EJ243" s="44" t="b">
        <f>IF(Table1[Leaving Date]&gt;42735,8000,IF(Table1[Leaving Date]&gt;42643,7000,IF(Table1[Leaving Date]&gt;42551,6000,IF(Table1[Leaving Date]&gt;42460,5000,IF(Table1[Leaving Date]&gt;42369,4000,IF(Table1[Leaving Date]&gt;42277,3000,IF(Table1[Leaving Date]&gt;42185,2000,IF(Table1[Leaving Date]&gt;42094,1000))))))))</f>
        <v>0</v>
      </c>
      <c r="EK243" s="44" t="e">
        <f>VLOOKUP(Table1[Reason for Leaving],Lists!$T$2:$U$15,2,FALSE)</f>
        <v>#N/A</v>
      </c>
      <c r="EL243" s="44" t="e">
        <f>SUM(Table1[Data Leavers Date]+Table1[Data Move On])</f>
        <v>#N/A</v>
      </c>
      <c r="EM243" s="44" t="b">
        <f>IF(Table1[Registered with GP2]="Yes",1,IF(Table1[Registered with GP2]="No",0,IF(Table1[Registered with GP]="Yes",1,IF(Table1[Registered with GP]="No",0))))</f>
        <v>0</v>
      </c>
      <c r="EN243" s="44">
        <f>SUM(Table1[Data Leavers Date]+Table1[Data GP End])</f>
        <v>0</v>
      </c>
      <c r="EO243" s="44" t="str">
        <f>IF(Table1[EET2]="NEET",1,IF(Table1[EET2]="Employment",2,IF(Table1[EET2]="Education",2,IF(Table1[EET2]="Training",2,IF(Table1[EET2]="Retired",3,IF(Table1[EET]="NEET",1,IF(Table1[EET]="Employment",2,IF(Table1[EET]="Education",2,IF(Table1[EET]="Training",2,IF(Table1[EET]="Retired",3,""))))))))))</f>
        <v/>
      </c>
      <c r="EP243" s="44" t="e">
        <f>+Table1[[#This Row],[Data Leavers Date]]+Table1[[#This Row],[Data EET End]]</f>
        <v>#VALUE!</v>
      </c>
      <c r="EQ243" s="44">
        <f>IF(Table1[Exit Form Received]="Yes",1,0)</f>
        <v>0</v>
      </c>
      <c r="ER243" s="44">
        <f>+Table1[[#This Row],[Data Leavers Date]]+Table1[[#This Row],[Data Exit Forms]]</f>
        <v>0</v>
      </c>
      <c r="ES243" s="44" t="str">
        <f>IF(Table1[Data Leavers Date]=1000,SUM(Table1[Leaving Date]-Table1[Start Date]),"")</f>
        <v/>
      </c>
      <c r="ET243" s="44" t="str">
        <f>IF(Table1[Data Leavers Date]=2000,SUM(Table1[Leaving Date]-Table1[Start Date]),"")</f>
        <v/>
      </c>
      <c r="EU243" s="44" t="str">
        <f>IF(Table1[Data Leavers Date]=3000,SUM(Table1[Leaving Date]-Table1[Start Date]),"")</f>
        <v/>
      </c>
      <c r="EV243" s="44" t="str">
        <f>IF(Table1[Data Leavers Date]=4000,SUM(Table1[Leaving Date]-Table1[Start Date]),"")</f>
        <v/>
      </c>
      <c r="EW243" s="44" t="str">
        <f>IF(Table1[Data Leavers Date]=5000,SUM(Table1[Leaving Date]-Table1[Start Date]),"")</f>
        <v/>
      </c>
      <c r="EX243" s="44" t="str">
        <f>IF(Table1[Data Leavers Date]=6000,SUM(Table1[Leaving Date]-Table1[Start Date]),"")</f>
        <v/>
      </c>
      <c r="EY243" s="44" t="str">
        <f>IF(Table1[Data Leavers Date]=7000,SUM(Table1[Leaving Date]-Table1[Start Date]),"")</f>
        <v/>
      </c>
      <c r="EZ243" s="44" t="str">
        <f>IF(Table1[Data Leavers Date]=8000,SUM(Table1[Leaving Date]-Table1[Start Date]),"")</f>
        <v/>
      </c>
      <c r="FA243" s="44" t="str">
        <f>IF(Table1[Date of Initial Assessment]="","",IF(AND(Table1[Start Date]&gt;42094,Table1[Start Date]&lt;42461),Table1[Motivation and Taking Responsibility],""))</f>
        <v/>
      </c>
      <c r="FB243" s="44" t="str">
        <f>IF(Table1[Date of Initial Assessment]="","",IF(AND(Table1[Start Date]&gt;42094,Table1[Start Date]&lt;42461),Table1[Self-Care and Living Skills],""))</f>
        <v/>
      </c>
      <c r="FC243" s="44" t="str">
        <f>IF(Table1[Date of Initial Assessment]="","",IF(AND(Table1[Start Date]&gt;42094,Table1[Start Date]&lt;42461),Table1[Managing Money and Personal Administration],""))</f>
        <v/>
      </c>
      <c r="FD243" s="44" t="str">
        <f>IF(Table1[Date of Initial Assessment]="","",IF(AND(Table1[Start Date]&gt;42094,Table1[Start Date]&lt;42461),Table1[Social Networks and Relationships],""))</f>
        <v/>
      </c>
      <c r="FE243" s="44" t="str">
        <f>IF(Table1[Date of Initial Assessment]="","",IF(AND(Table1[Start Date]&gt;42094,Table1[Start Date]&lt;42461),Table1[Drug and Alcohol Misuse],""))</f>
        <v/>
      </c>
      <c r="FF243" s="44" t="str">
        <f>IF(Table1[Date of Initial Assessment]="","",IF(AND(Table1[Start Date]&gt;42094,Table1[Start Date]&lt;42461),Table1[Physical Health],""))</f>
        <v/>
      </c>
      <c r="FG243" s="44" t="str">
        <f>IF(Table1[Date of Initial Assessment]="","",IF(AND(Table1[Start Date]&gt;42094,Table1[Start Date]&lt;42461),Table1[Emotional and Mental Health],""))</f>
        <v/>
      </c>
      <c r="FH243" s="44" t="str">
        <f>IF(Table1[Date of Initial Assessment]="","",IF(AND(Table1[Start Date]&gt;42094,Table1[Start Date]&lt;42461),Table1[Meaningful Use of Time],""))</f>
        <v/>
      </c>
      <c r="FI243" s="44" t="str">
        <f>IF(Table1[Date of Initial Assessment]="","",IF(AND(Table1[Start Date]&gt;42094,Table1[Start Date]&lt;42461),Table1[Managing Tenancy and Accommodation],""))</f>
        <v/>
      </c>
      <c r="FJ243" s="44" t="str">
        <f>IF(Table1[Date of Initial Assessment]="","",IF(AND(Table1[Start Date]&gt;42094,Table1[Start Date]&lt;42461),Table1[Offending],""))</f>
        <v/>
      </c>
      <c r="FK243" s="44" t="str">
        <f>IF(Table1[Leaving Date]="","",IF(Table1[Date of Initial Assessment]="","",IF(AND(Table1[Leaving Date]&gt;42094,Table1[Leaving Date]&lt;42461),IF(Table1[Date of Last Assessment]="",Table1[Motivation and Taking Responsibility],Table1[Motivation and Taking Responsibility2]),"")))</f>
        <v/>
      </c>
      <c r="FL243" s="44" t="str">
        <f>IF(Table1[Leaving Date]="","",IF(Table1[Date of Initial Assessment]="","",IF(AND(Table1[Leaving Date]&gt;42094,Table1[Leaving Date]&lt;42461),IF(Table1[Date of Last Assessment]="",Table1[Self-Care and Living Skills],Table1[Self-Care and Living Skills2]),"")))</f>
        <v/>
      </c>
      <c r="FM243" s="44" t="str">
        <f>IF(Table1[Leaving Date]="","",IF(Table1[Date of Initial Assessment]="","",IF(AND(Table1[Leaving Date]&gt;42094,Table1[Leaving Date]&lt;42461),IF(Table1[Date of Last Assessment]="",Table1[Managing Money and Personal Administration],Table1[Managing Money and Personal Administration2]),"")))</f>
        <v/>
      </c>
      <c r="FN243" s="44" t="str">
        <f>IF(Table1[Leaving Date]="","",IF(Table1[Date of Initial Assessment]="","",IF(AND(Table1[Leaving Date]&gt;42094,Table1[Leaving Date]&lt;42461),IF(Table1[Date of Last Assessment]="",Table1[Social Networks and Relationships],Table1[Social Networks and Relationships2]),"")))</f>
        <v/>
      </c>
      <c r="FO243" s="44" t="str">
        <f>IF(Table1[Leaving Date]="","",IF(Table1[Date of Initial Assessment]="","",IF(AND(Table1[Leaving Date]&gt;42094,Table1[Leaving Date]&lt;42461),IF(Table1[Date of Last Assessment]="",Table1[Drug and Alcohol Misuse],Table1[Drug and Alcohol Misuse2]),"")))</f>
        <v/>
      </c>
      <c r="FP243" s="44" t="str">
        <f>IF(Table1[Leaving Date]="","",IF(Table1[Date of Initial Assessment]="","",IF(AND(Table1[Leaving Date]&gt;42094,Table1[Leaving Date]&lt;42461),IF(Table1[Date of Last Assessment]="",Table1[Physical Health],Table1[Physical Health2]),"")))</f>
        <v/>
      </c>
      <c r="FQ243" s="44" t="str">
        <f>IF(Table1[Leaving Date]="","",IF(Table1[Date of Initial Assessment]="","",IF(AND(Table1[Leaving Date]&gt;42094,Table1[Leaving Date]&lt;42461),IF(Table1[Date of Last Assessment]="",Table1[Emotional and Mental Health],Table1[Emotional and Mental Health2]),"")))</f>
        <v/>
      </c>
      <c r="FR243" s="44" t="str">
        <f>IF(Table1[Leaving Date]="","",IF(Table1[Date of Initial Assessment]="","",IF(AND(Table1[Leaving Date]&gt;42094,Table1[Leaving Date]&lt;42461),IF(Table1[Date of Last Assessment]="",Table1[Meaningful Use of Time],Table1[Meaningful Use of Time2]),"")))</f>
        <v/>
      </c>
      <c r="FS243" s="44" t="str">
        <f>IF(Table1[Leaving Date]="","",IF(Table1[Date of Initial Assessment]="","",IF(AND(Table1[Leaving Date]&gt;42094,Table1[Leaving Date]&lt;42461),IF(Table1[Date of Last Assessment]="",Table1[Managing Tenancy and Accommodation],Table1[Managing Tenancy and Accommodation2]),"")))</f>
        <v/>
      </c>
      <c r="FT243" s="44" t="str">
        <f>IF(Table1[Leaving Date]="","",IF(Table1[Date of Initial Assessment]="","",IF(AND(Table1[Leaving Date]&gt;42094,Table1[Leaving Date]&lt;42461),IF(Table1[Date of Last Assessment]="",Table1[Offending],Table1[Offending2]),"")))</f>
        <v/>
      </c>
      <c r="FU243" s="44" t="str">
        <f>IF(Table1[Date of Initial Assessment]="","",IF(AND(Table1[Start Date]&gt;42460,Table1[Start Date]&lt;42826),Table1[Motivation and Taking Responsibility],""))</f>
        <v/>
      </c>
      <c r="FV243" s="44" t="str">
        <f>IF(Table1[Date of Initial Assessment]="","",IF(AND(Table1[Start Date]&gt;42460,Table1[Start Date]&lt;42826),Table1[Self-Care and Living Skills],""))</f>
        <v/>
      </c>
      <c r="FW243" s="44" t="str">
        <f>IF(Table1[Date of Initial Assessment]="","",IF(AND(Table1[Start Date]&gt;42460,Table1[Start Date]&lt;42826),Table1[Managing Money and Personal Administration],""))</f>
        <v/>
      </c>
      <c r="FX243" s="44" t="str">
        <f>IF(Table1[Date of Initial Assessment]="","",IF(AND(Table1[Start Date]&gt;42460,Table1[Start Date]&lt;42826),Table1[Social Networks and Relationships],""))</f>
        <v/>
      </c>
      <c r="FY243" s="44" t="str">
        <f>IF(Table1[Date of Initial Assessment]="","",IF(AND(Table1[Start Date]&gt;42460,Table1[Start Date]&lt;42826),Table1[Drug and Alcohol Misuse],""))</f>
        <v/>
      </c>
      <c r="FZ243" s="44" t="str">
        <f>IF(Table1[Date of Initial Assessment]="","",IF(AND(Table1[Start Date]&gt;42460,Table1[Start Date]&lt;42826),Table1[Physical Health],""))</f>
        <v/>
      </c>
      <c r="GA243" s="44" t="str">
        <f>IF(Table1[Date of Initial Assessment]="","",IF(AND(Table1[Start Date]&gt;42460,Table1[Start Date]&lt;42826),Table1[Emotional and Mental Health],""))</f>
        <v/>
      </c>
      <c r="GB243" s="44" t="str">
        <f>IF(Table1[Date of Initial Assessment]="","",IF(AND(Table1[Start Date]&gt;42460,Table1[Start Date]&lt;42826),Table1[Meaningful Use of Time],""))</f>
        <v/>
      </c>
      <c r="GC243" s="44" t="str">
        <f>IF(Table1[Date of Initial Assessment]="","",IF(AND(Table1[Start Date]&gt;42460,Table1[Start Date]&lt;42826),Table1[Managing Tenancy and Accommodation],""))</f>
        <v/>
      </c>
      <c r="GD243" s="44" t="str">
        <f>IF(Table1[Date of Initial Assessment]="","",IF(AND(Table1[Start Date]&gt;42460,Table1[Start Date]&lt;42826),Table1[Offending],""))</f>
        <v/>
      </c>
      <c r="GE243" s="44" t="str">
        <f>IF(Table1[Leaving Date]="","",IF(AND(Table1[Leaving Date]&gt;42460,Table1[Leaving Date]&lt;42826),IF(Table1[Date of Last Assessment]="",Table1[Motivation and Taking Responsibility],Table1[Motivation and Taking Responsibility2]),""))</f>
        <v/>
      </c>
      <c r="GF243" s="44" t="str">
        <f>IF(Table1[Leaving Date]="","",IF(AND(Table1[Leaving Date]&gt;42460,Table1[Leaving Date]&lt;42826),IF(Table1[Date of Last Assessment]="",Table1[Self-Care and Living Skills],Table1[Self-Care and Living Skills2]),""))</f>
        <v/>
      </c>
      <c r="GG243" s="44" t="str">
        <f>IF(Table1[Leaving Date]="","",IF(AND(Table1[Leaving Date]&gt;42460,Table1[Leaving Date]&lt;42826),IF(Table1[Date of Last Assessment]="",Table1[Managing Money and Personal Administration],Table1[Managing Money and Personal Administration2]),""))</f>
        <v/>
      </c>
      <c r="GH243" s="44" t="str">
        <f>IF(Table1[Leaving Date]="","",IF(AND(Table1[Leaving Date]&gt;42460,Table1[Leaving Date]&lt;42826),IF(Table1[Date of Last Assessment]="",Table1[Social Networks and Relationships],Table1[Social Networks and Relationships2]),""))</f>
        <v/>
      </c>
      <c r="GI243" s="44" t="str">
        <f>IF(Table1[Leaving Date]="","",IF(AND(Table1[Leaving Date]&gt;42460,Table1[Leaving Date]&lt;42826),IF(Table1[Date of Last Assessment]="",Table1[Drug and Alcohol Misuse],Table1[Drug and Alcohol Misuse2]),""))</f>
        <v/>
      </c>
      <c r="GJ243" s="44" t="str">
        <f>IF(Table1[Leaving Date]="","",IF(AND(Table1[Leaving Date]&gt;42460,Table1[Leaving Date]&lt;42826),IF(Table1[Date of Last Assessment]="",Table1[Physical Health],Table1[Physical Health2]),""))</f>
        <v/>
      </c>
      <c r="GK243" s="44" t="str">
        <f>IF(Table1[Leaving Date]="","",IF(AND(Table1[Leaving Date]&gt;42460,Table1[Leaving Date]&lt;42826),IF(Table1[Date of Last Assessment]="",Table1[Emotional and Mental Health],Table1[Emotional and Mental Health2]),""))</f>
        <v/>
      </c>
      <c r="GL243" s="44" t="str">
        <f>IF(Table1[Leaving Date]="","",IF(AND(Table1[Leaving Date]&gt;42460,Table1[Leaving Date]&lt;42826),IF(Table1[Date of Last Assessment]="",Table1[Meaningful Use of Time],Table1[Meaningful Use of Time2]),""))</f>
        <v/>
      </c>
      <c r="GM243" s="44" t="str">
        <f>IF(Table1[Leaving Date]="","",IF(AND(Table1[Leaving Date]&gt;42460,Table1[Leaving Date]&lt;42826),IF(Table1[Date of Last Assessment]="",Table1[Managing Tenancy and Accommodation],Table1[Managing Tenancy and Accommodation2]),""))</f>
        <v/>
      </c>
      <c r="GN243" s="44" t="str">
        <f>IF(Table1[Leaving Date]="","",IF(AND(Table1[Leaving Date]&gt;42460,Table1[Leaving Date]&lt;42826),IF(Table1[Date of Last Assessment]="",Table1[Offending],Table1[Offending2]),""))</f>
        <v/>
      </c>
    </row>
    <row r="244" spans="2:196" ht="20.100000000000001" customHeight="1" x14ac:dyDescent="0.2">
      <c r="B244" s="86">
        <f>+'Service Data'!$C$5:$C$5</f>
        <v>0</v>
      </c>
      <c r="C244" s="86"/>
      <c r="D244" s="86"/>
      <c r="E244" s="86"/>
      <c r="F244" s="86"/>
      <c r="G244" s="86"/>
      <c r="H244" s="6"/>
      <c r="I244" s="99" t="str">
        <f ca="1">IF(Table1[[#This Row],[Date of Birth]]="","",SUM(TODAY()-Table1[[#This Row],[Date of Birth]])/365)</f>
        <v/>
      </c>
      <c r="L244" s="86"/>
      <c r="M244" s="77"/>
      <c r="N244" s="86"/>
      <c r="O244" s="86"/>
      <c r="P244" s="91"/>
      <c r="Q244" s="86"/>
      <c r="R244" s="77"/>
      <c r="S244" s="77"/>
      <c r="T244" s="68"/>
      <c r="U244" s="68"/>
      <c r="V244" s="67"/>
      <c r="W244" s="67"/>
      <c r="X244" s="67"/>
      <c r="Y244" s="67"/>
      <c r="Z244" s="67"/>
      <c r="AA244" s="67"/>
      <c r="AB244" s="67"/>
      <c r="AC244" s="67"/>
      <c r="AD244" s="67"/>
      <c r="AE244" s="67"/>
      <c r="AF244" s="67"/>
      <c r="AG244" s="67"/>
      <c r="AH244" s="67"/>
      <c r="AI244" s="67"/>
      <c r="AJ244" s="67"/>
      <c r="AK244" s="67"/>
      <c r="AL244" s="67"/>
      <c r="AM244" s="67"/>
      <c r="AN244" s="77"/>
      <c r="AO244" s="76"/>
      <c r="AP244" s="77"/>
      <c r="AQ244" s="76"/>
      <c r="AR244" s="76"/>
      <c r="AS244" s="76"/>
      <c r="AT244" s="76"/>
      <c r="AU244" s="76"/>
      <c r="AV244" s="77"/>
      <c r="AW244" s="76"/>
      <c r="AX244" s="77"/>
      <c r="AY244" s="76"/>
      <c r="AZ244" s="76"/>
      <c r="BA244" s="76"/>
      <c r="BB244" s="76"/>
      <c r="BC244" s="76"/>
      <c r="BD244" s="77"/>
      <c r="BE244" s="76"/>
      <c r="BF244" s="77"/>
      <c r="BG244" s="76"/>
      <c r="BH244" s="76"/>
      <c r="BI244" s="76"/>
      <c r="BJ244" s="76"/>
      <c r="BK244" s="76"/>
      <c r="BL244" s="77"/>
      <c r="BM244" s="76"/>
      <c r="BN244" s="77"/>
      <c r="BO244" s="76"/>
      <c r="BP244" s="76"/>
      <c r="BQ244" s="76"/>
      <c r="BR244" s="76"/>
      <c r="BS244" s="76"/>
      <c r="BT244" s="77"/>
      <c r="BU244" s="76"/>
      <c r="BV244" s="77"/>
      <c r="BW244" s="76"/>
      <c r="BX244" s="76"/>
      <c r="BY244" s="76"/>
      <c r="BZ244" s="76"/>
      <c r="CA244" s="76"/>
      <c r="CB244" s="77"/>
      <c r="CC244" s="76"/>
      <c r="CD244" s="77"/>
      <c r="CE244" s="76"/>
      <c r="CF244" s="76"/>
      <c r="CG244" s="76"/>
      <c r="CH244" s="76"/>
      <c r="CI244" s="76"/>
      <c r="CJ244" s="77"/>
      <c r="CK244" s="76"/>
      <c r="CL244" s="77"/>
      <c r="CM244" s="76"/>
      <c r="CN244" s="76"/>
      <c r="CO244" s="76"/>
      <c r="CP244" s="76"/>
      <c r="CQ244" s="76"/>
      <c r="CR244" s="78" t="str">
        <f t="shared" si="63"/>
        <v/>
      </c>
      <c r="CS244" s="79" t="str">
        <f t="shared" si="64"/>
        <v/>
      </c>
      <c r="CT244" s="79" t="str">
        <f t="shared" si="65"/>
        <v/>
      </c>
      <c r="CU244" s="79" t="str">
        <f t="shared" si="66"/>
        <v/>
      </c>
      <c r="CV244" s="79" t="str">
        <f t="shared" si="67"/>
        <v/>
      </c>
      <c r="CW244" s="79" t="str">
        <f t="shared" si="68"/>
        <v/>
      </c>
      <c r="CX244" s="79" t="str">
        <f t="shared" si="69"/>
        <v/>
      </c>
      <c r="CY244" s="79" t="str">
        <f t="shared" si="70"/>
        <v/>
      </c>
      <c r="CZ244" s="79" t="str">
        <f t="shared" si="71"/>
        <v/>
      </c>
      <c r="DA244" s="79" t="str">
        <f t="shared" si="72"/>
        <v/>
      </c>
      <c r="DB244" s="79" t="str">
        <f t="shared" si="73"/>
        <v/>
      </c>
      <c r="DC244" s="79" t="str">
        <f t="shared" si="74"/>
        <v/>
      </c>
      <c r="DD244" s="79" t="str">
        <f t="shared" si="75"/>
        <v/>
      </c>
      <c r="DE244" s="79" t="str">
        <f t="shared" si="76"/>
        <v/>
      </c>
      <c r="DF244" s="79" t="str">
        <f t="shared" si="77"/>
        <v/>
      </c>
      <c r="DG244" s="79" t="str">
        <f t="shared" si="78"/>
        <v/>
      </c>
      <c r="DH244" s="76"/>
      <c r="DI244" s="78"/>
      <c r="DJ244" s="76"/>
      <c r="DK244" s="77"/>
      <c r="DL244" s="77"/>
      <c r="DM244" s="77"/>
      <c r="DN244" s="80"/>
      <c r="DO244" s="80"/>
      <c r="DP244" s="92" t="str">
        <f>IF(Table1[Start Date]="","",IF(Table1[Start Date]&gt;42185,"",IF(AND(Table1[Leaving Date]&gt;1,Table1[Leaving Date]&lt;42095),"",1)))</f>
        <v/>
      </c>
      <c r="DQ244" s="92" t="str">
        <f>IF(Table1[Start Date]="","",IF(Table1[Start Date]&gt;42277,"",IF(AND(Table1[Leaving Date]&gt;1,Table1[Leaving Date]&lt;42186),"",1)))</f>
        <v/>
      </c>
      <c r="DR244" s="92" t="str">
        <f>IF(Table1[Start Date]="","",IF(Table1[Start Date]&gt;42369,"",IF(AND(Table1[Leaving Date]&gt;1,Table1[Leaving Date]&lt;42278),"",1)))</f>
        <v/>
      </c>
      <c r="DS244" s="92" t="str">
        <f>IF(Table1[Start Date]="","",IF(Table1[Start Date]&gt;42460,"",IF(AND(Table1[Leaving Date]&gt;1,Table1[Leaving Date]&lt;42370),"",1)))</f>
        <v/>
      </c>
      <c r="DT244" s="92" t="str">
        <f>IF(Table1[Start Date]="","",IF(Table1[Start Date]&gt;42551,"",IF(AND(Table1[Leaving Date]&gt;1,Table1[Leaving Date]&lt;42461),"",1)))</f>
        <v/>
      </c>
      <c r="DU244" s="92" t="str">
        <f>IF(Table1[Start Date]="","",IF(Table1[Start Date]&gt;42643,"",IF(AND(Table1[Leaving Date]&gt;1,Table1[Leaving Date]&lt;42552),"",1)))</f>
        <v/>
      </c>
      <c r="DV244" s="92" t="str">
        <f>IF(Table1[Start Date]="","",IF(Table1[Start Date]&gt;42735,"",IF(AND(Table1[Leaving Date]&gt;1,Table1[Leaving Date]&lt;42644),"",1)))</f>
        <v/>
      </c>
      <c r="DW244" s="92" t="str">
        <f>IF(Table1[Start Date]="","",IF(Table1[Start Date]&gt;42825,"",IF(AND(Table1[Leaving Date]&gt;1,Table1[Leaving Date]&lt;42736),"",1)))</f>
        <v/>
      </c>
      <c r="DX244"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244" s="44" t="e">
        <f>VLOOKUP(Table1[Referral Source],Lists!$G$2:$H$20,2,FALSE)</f>
        <v>#N/A</v>
      </c>
      <c r="DZ244" s="93" t="e">
        <f>SUM(Table1[Data Referral Quarter]+Table1[Data Referral Source])</f>
        <v>#N/A</v>
      </c>
      <c r="EA244" s="44" t="b">
        <f>IF(Table1[Referral Decision]="Accepted",100,IF(Table1[Referral Decision]="Rejected by Provider",200,IF(Table1[Referral Decision]="Rejected by Applicant",300)))</f>
        <v>0</v>
      </c>
      <c r="EB244" s="44">
        <f>SUM(Table1[Data Referral Quarter]+Table1[Data Referral Decision])</f>
        <v>0</v>
      </c>
      <c r="EC244" s="44" t="b">
        <f>IF(Table1[Start Date]&gt;42735,8000,IF(Table1[Start Date]&gt;42643,7000,IF(Table1[Start Date]&gt;42551,6000,IF(Table1[Start Date]&gt;42460,5000,IF(Table1[Start Date]&gt;42369,4000,IF(Table1[Start Date]&gt;42277,3000,IF(Table1[Start Date]&gt;42185,2000,IF(Table1[Start Date]&gt;42094,1000))))))))</f>
        <v>0</v>
      </c>
      <c r="ED244" s="44" t="str">
        <f>IF(Table1[Start Date]="","",IF(Table1[Current Local Authority]="Swindon",1,"2"))</f>
        <v/>
      </c>
      <c r="EE244" s="44" t="e">
        <f>SUM(Table1[Data Start Date]+Table1[Data Local Authority])</f>
        <v>#VALUE!</v>
      </c>
      <c r="EF244" s="44">
        <f>IF(Table1[Registered with GP]="Yes",1,0)</f>
        <v>0</v>
      </c>
      <c r="EG244" s="44">
        <f>SUM(Table1[Data Start Date]+Table1[Data GP Start])</f>
        <v>0</v>
      </c>
      <c r="EH244" s="44" t="str">
        <f>IF(Table1[EET]="NEET",1,IF(Table1[EET]="Education",2,IF(Table1[EET]="Employment",2,IF(Table1[EET]="Training",2,IF(Table1[EET]="Retired",3,"")))))</f>
        <v/>
      </c>
      <c r="EI244" s="44" t="e">
        <f>Table1[Data Start Date]+Table1[Data EET Start]</f>
        <v>#VALUE!</v>
      </c>
      <c r="EJ244" s="44" t="b">
        <f>IF(Table1[Leaving Date]&gt;42735,8000,IF(Table1[Leaving Date]&gt;42643,7000,IF(Table1[Leaving Date]&gt;42551,6000,IF(Table1[Leaving Date]&gt;42460,5000,IF(Table1[Leaving Date]&gt;42369,4000,IF(Table1[Leaving Date]&gt;42277,3000,IF(Table1[Leaving Date]&gt;42185,2000,IF(Table1[Leaving Date]&gt;42094,1000))))))))</f>
        <v>0</v>
      </c>
      <c r="EK244" s="44" t="e">
        <f>VLOOKUP(Table1[Reason for Leaving],Lists!$T$2:$U$15,2,FALSE)</f>
        <v>#N/A</v>
      </c>
      <c r="EL244" s="44" t="e">
        <f>SUM(Table1[Data Leavers Date]+Table1[Data Move On])</f>
        <v>#N/A</v>
      </c>
      <c r="EM244" s="44" t="b">
        <f>IF(Table1[Registered with GP2]="Yes",1,IF(Table1[Registered with GP2]="No",0,IF(Table1[Registered with GP]="Yes",1,IF(Table1[Registered with GP]="No",0))))</f>
        <v>0</v>
      </c>
      <c r="EN244" s="44">
        <f>SUM(Table1[Data Leavers Date]+Table1[Data GP End])</f>
        <v>0</v>
      </c>
      <c r="EO244" s="44" t="str">
        <f>IF(Table1[EET2]="NEET",1,IF(Table1[EET2]="Employment",2,IF(Table1[EET2]="Education",2,IF(Table1[EET2]="Training",2,IF(Table1[EET2]="Retired",3,IF(Table1[EET]="NEET",1,IF(Table1[EET]="Employment",2,IF(Table1[EET]="Education",2,IF(Table1[EET]="Training",2,IF(Table1[EET]="Retired",3,""))))))))))</f>
        <v/>
      </c>
      <c r="EP244" s="44" t="e">
        <f>+Table1[[#This Row],[Data Leavers Date]]+Table1[[#This Row],[Data EET End]]</f>
        <v>#VALUE!</v>
      </c>
      <c r="EQ244" s="44">
        <f>IF(Table1[Exit Form Received]="Yes",1,0)</f>
        <v>0</v>
      </c>
      <c r="ER244" s="44">
        <f>+Table1[[#This Row],[Data Leavers Date]]+Table1[[#This Row],[Data Exit Forms]]</f>
        <v>0</v>
      </c>
      <c r="ES244" s="44" t="str">
        <f>IF(Table1[Data Leavers Date]=1000,SUM(Table1[Leaving Date]-Table1[Start Date]),"")</f>
        <v/>
      </c>
      <c r="ET244" s="44" t="str">
        <f>IF(Table1[Data Leavers Date]=2000,SUM(Table1[Leaving Date]-Table1[Start Date]),"")</f>
        <v/>
      </c>
      <c r="EU244" s="44" t="str">
        <f>IF(Table1[Data Leavers Date]=3000,SUM(Table1[Leaving Date]-Table1[Start Date]),"")</f>
        <v/>
      </c>
      <c r="EV244" s="44" t="str">
        <f>IF(Table1[Data Leavers Date]=4000,SUM(Table1[Leaving Date]-Table1[Start Date]),"")</f>
        <v/>
      </c>
      <c r="EW244" s="44" t="str">
        <f>IF(Table1[Data Leavers Date]=5000,SUM(Table1[Leaving Date]-Table1[Start Date]),"")</f>
        <v/>
      </c>
      <c r="EX244" s="44" t="str">
        <f>IF(Table1[Data Leavers Date]=6000,SUM(Table1[Leaving Date]-Table1[Start Date]),"")</f>
        <v/>
      </c>
      <c r="EY244" s="44" t="str">
        <f>IF(Table1[Data Leavers Date]=7000,SUM(Table1[Leaving Date]-Table1[Start Date]),"")</f>
        <v/>
      </c>
      <c r="EZ244" s="44" t="str">
        <f>IF(Table1[Data Leavers Date]=8000,SUM(Table1[Leaving Date]-Table1[Start Date]),"")</f>
        <v/>
      </c>
      <c r="FA244" s="44" t="str">
        <f>IF(Table1[Date of Initial Assessment]="","",IF(AND(Table1[Start Date]&gt;42094,Table1[Start Date]&lt;42461),Table1[Motivation and Taking Responsibility],""))</f>
        <v/>
      </c>
      <c r="FB244" s="44" t="str">
        <f>IF(Table1[Date of Initial Assessment]="","",IF(AND(Table1[Start Date]&gt;42094,Table1[Start Date]&lt;42461),Table1[Self-Care and Living Skills],""))</f>
        <v/>
      </c>
      <c r="FC244" s="44" t="str">
        <f>IF(Table1[Date of Initial Assessment]="","",IF(AND(Table1[Start Date]&gt;42094,Table1[Start Date]&lt;42461),Table1[Managing Money and Personal Administration],""))</f>
        <v/>
      </c>
      <c r="FD244" s="44" t="str">
        <f>IF(Table1[Date of Initial Assessment]="","",IF(AND(Table1[Start Date]&gt;42094,Table1[Start Date]&lt;42461),Table1[Social Networks and Relationships],""))</f>
        <v/>
      </c>
      <c r="FE244" s="44" t="str">
        <f>IF(Table1[Date of Initial Assessment]="","",IF(AND(Table1[Start Date]&gt;42094,Table1[Start Date]&lt;42461),Table1[Drug and Alcohol Misuse],""))</f>
        <v/>
      </c>
      <c r="FF244" s="44" t="str">
        <f>IF(Table1[Date of Initial Assessment]="","",IF(AND(Table1[Start Date]&gt;42094,Table1[Start Date]&lt;42461),Table1[Physical Health],""))</f>
        <v/>
      </c>
      <c r="FG244" s="44" t="str">
        <f>IF(Table1[Date of Initial Assessment]="","",IF(AND(Table1[Start Date]&gt;42094,Table1[Start Date]&lt;42461),Table1[Emotional and Mental Health],""))</f>
        <v/>
      </c>
      <c r="FH244" s="44" t="str">
        <f>IF(Table1[Date of Initial Assessment]="","",IF(AND(Table1[Start Date]&gt;42094,Table1[Start Date]&lt;42461),Table1[Meaningful Use of Time],""))</f>
        <v/>
      </c>
      <c r="FI244" s="44" t="str">
        <f>IF(Table1[Date of Initial Assessment]="","",IF(AND(Table1[Start Date]&gt;42094,Table1[Start Date]&lt;42461),Table1[Managing Tenancy and Accommodation],""))</f>
        <v/>
      </c>
      <c r="FJ244" s="44" t="str">
        <f>IF(Table1[Date of Initial Assessment]="","",IF(AND(Table1[Start Date]&gt;42094,Table1[Start Date]&lt;42461),Table1[Offending],""))</f>
        <v/>
      </c>
      <c r="FK244" s="44" t="str">
        <f>IF(Table1[Leaving Date]="","",IF(Table1[Date of Initial Assessment]="","",IF(AND(Table1[Leaving Date]&gt;42094,Table1[Leaving Date]&lt;42461),IF(Table1[Date of Last Assessment]="",Table1[Motivation and Taking Responsibility],Table1[Motivation and Taking Responsibility2]),"")))</f>
        <v/>
      </c>
      <c r="FL244" s="44" t="str">
        <f>IF(Table1[Leaving Date]="","",IF(Table1[Date of Initial Assessment]="","",IF(AND(Table1[Leaving Date]&gt;42094,Table1[Leaving Date]&lt;42461),IF(Table1[Date of Last Assessment]="",Table1[Self-Care and Living Skills],Table1[Self-Care and Living Skills2]),"")))</f>
        <v/>
      </c>
      <c r="FM244" s="44" t="str">
        <f>IF(Table1[Leaving Date]="","",IF(Table1[Date of Initial Assessment]="","",IF(AND(Table1[Leaving Date]&gt;42094,Table1[Leaving Date]&lt;42461),IF(Table1[Date of Last Assessment]="",Table1[Managing Money and Personal Administration],Table1[Managing Money and Personal Administration2]),"")))</f>
        <v/>
      </c>
      <c r="FN244" s="44" t="str">
        <f>IF(Table1[Leaving Date]="","",IF(Table1[Date of Initial Assessment]="","",IF(AND(Table1[Leaving Date]&gt;42094,Table1[Leaving Date]&lt;42461),IF(Table1[Date of Last Assessment]="",Table1[Social Networks and Relationships],Table1[Social Networks and Relationships2]),"")))</f>
        <v/>
      </c>
      <c r="FO244" s="44" t="str">
        <f>IF(Table1[Leaving Date]="","",IF(Table1[Date of Initial Assessment]="","",IF(AND(Table1[Leaving Date]&gt;42094,Table1[Leaving Date]&lt;42461),IF(Table1[Date of Last Assessment]="",Table1[Drug and Alcohol Misuse],Table1[Drug and Alcohol Misuse2]),"")))</f>
        <v/>
      </c>
      <c r="FP244" s="44" t="str">
        <f>IF(Table1[Leaving Date]="","",IF(Table1[Date of Initial Assessment]="","",IF(AND(Table1[Leaving Date]&gt;42094,Table1[Leaving Date]&lt;42461),IF(Table1[Date of Last Assessment]="",Table1[Physical Health],Table1[Physical Health2]),"")))</f>
        <v/>
      </c>
      <c r="FQ244" s="44" t="str">
        <f>IF(Table1[Leaving Date]="","",IF(Table1[Date of Initial Assessment]="","",IF(AND(Table1[Leaving Date]&gt;42094,Table1[Leaving Date]&lt;42461),IF(Table1[Date of Last Assessment]="",Table1[Emotional and Mental Health],Table1[Emotional and Mental Health2]),"")))</f>
        <v/>
      </c>
      <c r="FR244" s="44" t="str">
        <f>IF(Table1[Leaving Date]="","",IF(Table1[Date of Initial Assessment]="","",IF(AND(Table1[Leaving Date]&gt;42094,Table1[Leaving Date]&lt;42461),IF(Table1[Date of Last Assessment]="",Table1[Meaningful Use of Time],Table1[Meaningful Use of Time2]),"")))</f>
        <v/>
      </c>
      <c r="FS244" s="44" t="str">
        <f>IF(Table1[Leaving Date]="","",IF(Table1[Date of Initial Assessment]="","",IF(AND(Table1[Leaving Date]&gt;42094,Table1[Leaving Date]&lt;42461),IF(Table1[Date of Last Assessment]="",Table1[Managing Tenancy and Accommodation],Table1[Managing Tenancy and Accommodation2]),"")))</f>
        <v/>
      </c>
      <c r="FT244" s="44" t="str">
        <f>IF(Table1[Leaving Date]="","",IF(Table1[Date of Initial Assessment]="","",IF(AND(Table1[Leaving Date]&gt;42094,Table1[Leaving Date]&lt;42461),IF(Table1[Date of Last Assessment]="",Table1[Offending],Table1[Offending2]),"")))</f>
        <v/>
      </c>
      <c r="FU244" s="44" t="str">
        <f>IF(Table1[Date of Initial Assessment]="","",IF(AND(Table1[Start Date]&gt;42460,Table1[Start Date]&lt;42826),Table1[Motivation and Taking Responsibility],""))</f>
        <v/>
      </c>
      <c r="FV244" s="44" t="str">
        <f>IF(Table1[Date of Initial Assessment]="","",IF(AND(Table1[Start Date]&gt;42460,Table1[Start Date]&lt;42826),Table1[Self-Care and Living Skills],""))</f>
        <v/>
      </c>
      <c r="FW244" s="44" t="str">
        <f>IF(Table1[Date of Initial Assessment]="","",IF(AND(Table1[Start Date]&gt;42460,Table1[Start Date]&lt;42826),Table1[Managing Money and Personal Administration],""))</f>
        <v/>
      </c>
      <c r="FX244" s="44" t="str">
        <f>IF(Table1[Date of Initial Assessment]="","",IF(AND(Table1[Start Date]&gt;42460,Table1[Start Date]&lt;42826),Table1[Social Networks and Relationships],""))</f>
        <v/>
      </c>
      <c r="FY244" s="44" t="str">
        <f>IF(Table1[Date of Initial Assessment]="","",IF(AND(Table1[Start Date]&gt;42460,Table1[Start Date]&lt;42826),Table1[Drug and Alcohol Misuse],""))</f>
        <v/>
      </c>
      <c r="FZ244" s="44" t="str">
        <f>IF(Table1[Date of Initial Assessment]="","",IF(AND(Table1[Start Date]&gt;42460,Table1[Start Date]&lt;42826),Table1[Physical Health],""))</f>
        <v/>
      </c>
      <c r="GA244" s="44" t="str">
        <f>IF(Table1[Date of Initial Assessment]="","",IF(AND(Table1[Start Date]&gt;42460,Table1[Start Date]&lt;42826),Table1[Emotional and Mental Health],""))</f>
        <v/>
      </c>
      <c r="GB244" s="44" t="str">
        <f>IF(Table1[Date of Initial Assessment]="","",IF(AND(Table1[Start Date]&gt;42460,Table1[Start Date]&lt;42826),Table1[Meaningful Use of Time],""))</f>
        <v/>
      </c>
      <c r="GC244" s="44" t="str">
        <f>IF(Table1[Date of Initial Assessment]="","",IF(AND(Table1[Start Date]&gt;42460,Table1[Start Date]&lt;42826),Table1[Managing Tenancy and Accommodation],""))</f>
        <v/>
      </c>
      <c r="GD244" s="44" t="str">
        <f>IF(Table1[Date of Initial Assessment]="","",IF(AND(Table1[Start Date]&gt;42460,Table1[Start Date]&lt;42826),Table1[Offending],""))</f>
        <v/>
      </c>
      <c r="GE244" s="44" t="str">
        <f>IF(Table1[Leaving Date]="","",IF(AND(Table1[Leaving Date]&gt;42460,Table1[Leaving Date]&lt;42826),IF(Table1[Date of Last Assessment]="",Table1[Motivation and Taking Responsibility],Table1[Motivation and Taking Responsibility2]),""))</f>
        <v/>
      </c>
      <c r="GF244" s="44" t="str">
        <f>IF(Table1[Leaving Date]="","",IF(AND(Table1[Leaving Date]&gt;42460,Table1[Leaving Date]&lt;42826),IF(Table1[Date of Last Assessment]="",Table1[Self-Care and Living Skills],Table1[Self-Care and Living Skills2]),""))</f>
        <v/>
      </c>
      <c r="GG244" s="44" t="str">
        <f>IF(Table1[Leaving Date]="","",IF(AND(Table1[Leaving Date]&gt;42460,Table1[Leaving Date]&lt;42826),IF(Table1[Date of Last Assessment]="",Table1[Managing Money and Personal Administration],Table1[Managing Money and Personal Administration2]),""))</f>
        <v/>
      </c>
      <c r="GH244" s="44" t="str">
        <f>IF(Table1[Leaving Date]="","",IF(AND(Table1[Leaving Date]&gt;42460,Table1[Leaving Date]&lt;42826),IF(Table1[Date of Last Assessment]="",Table1[Social Networks and Relationships],Table1[Social Networks and Relationships2]),""))</f>
        <v/>
      </c>
      <c r="GI244" s="44" t="str">
        <f>IF(Table1[Leaving Date]="","",IF(AND(Table1[Leaving Date]&gt;42460,Table1[Leaving Date]&lt;42826),IF(Table1[Date of Last Assessment]="",Table1[Drug and Alcohol Misuse],Table1[Drug and Alcohol Misuse2]),""))</f>
        <v/>
      </c>
      <c r="GJ244" s="44" t="str">
        <f>IF(Table1[Leaving Date]="","",IF(AND(Table1[Leaving Date]&gt;42460,Table1[Leaving Date]&lt;42826),IF(Table1[Date of Last Assessment]="",Table1[Physical Health],Table1[Physical Health2]),""))</f>
        <v/>
      </c>
      <c r="GK244" s="44" t="str">
        <f>IF(Table1[Leaving Date]="","",IF(AND(Table1[Leaving Date]&gt;42460,Table1[Leaving Date]&lt;42826),IF(Table1[Date of Last Assessment]="",Table1[Emotional and Mental Health],Table1[Emotional and Mental Health2]),""))</f>
        <v/>
      </c>
      <c r="GL244" s="44" t="str">
        <f>IF(Table1[Leaving Date]="","",IF(AND(Table1[Leaving Date]&gt;42460,Table1[Leaving Date]&lt;42826),IF(Table1[Date of Last Assessment]="",Table1[Meaningful Use of Time],Table1[Meaningful Use of Time2]),""))</f>
        <v/>
      </c>
      <c r="GM244" s="44" t="str">
        <f>IF(Table1[Leaving Date]="","",IF(AND(Table1[Leaving Date]&gt;42460,Table1[Leaving Date]&lt;42826),IF(Table1[Date of Last Assessment]="",Table1[Managing Tenancy and Accommodation],Table1[Managing Tenancy and Accommodation2]),""))</f>
        <v/>
      </c>
      <c r="GN244" s="44" t="str">
        <f>IF(Table1[Leaving Date]="","",IF(AND(Table1[Leaving Date]&gt;42460,Table1[Leaving Date]&lt;42826),IF(Table1[Date of Last Assessment]="",Table1[Offending],Table1[Offending2]),""))</f>
        <v/>
      </c>
    </row>
    <row r="245" spans="2:196" ht="20.100000000000001" customHeight="1" x14ac:dyDescent="0.2">
      <c r="B245" s="86">
        <f>+'Service Data'!$C$5:$C$5</f>
        <v>0</v>
      </c>
      <c r="C245" s="86"/>
      <c r="D245" s="86"/>
      <c r="E245" s="86"/>
      <c r="F245" s="86"/>
      <c r="G245" s="86"/>
      <c r="H245" s="6"/>
      <c r="I245" s="99" t="str">
        <f ca="1">IF(Table1[[#This Row],[Date of Birth]]="","",SUM(TODAY()-Table1[[#This Row],[Date of Birth]])/365)</f>
        <v/>
      </c>
      <c r="L245" s="86"/>
      <c r="M245" s="77"/>
      <c r="N245" s="86"/>
      <c r="O245" s="86"/>
      <c r="P245" s="91"/>
      <c r="Q245" s="86"/>
      <c r="R245" s="77"/>
      <c r="S245" s="77"/>
      <c r="T245" s="68"/>
      <c r="U245" s="68"/>
      <c r="V245" s="67"/>
      <c r="W245" s="67"/>
      <c r="X245" s="67"/>
      <c r="Y245" s="67"/>
      <c r="Z245" s="67"/>
      <c r="AA245" s="67"/>
      <c r="AB245" s="67"/>
      <c r="AC245" s="67"/>
      <c r="AD245" s="67"/>
      <c r="AE245" s="67"/>
      <c r="AF245" s="67"/>
      <c r="AG245" s="67"/>
      <c r="AH245" s="67"/>
      <c r="AI245" s="67"/>
      <c r="AJ245" s="67"/>
      <c r="AK245" s="67"/>
      <c r="AL245" s="67"/>
      <c r="AM245" s="67"/>
      <c r="AN245" s="77"/>
      <c r="AO245" s="76"/>
      <c r="AP245" s="77"/>
      <c r="AQ245" s="76"/>
      <c r="AR245" s="76"/>
      <c r="AS245" s="76"/>
      <c r="AT245" s="76"/>
      <c r="AU245" s="76"/>
      <c r="AV245" s="77"/>
      <c r="AW245" s="76"/>
      <c r="AX245" s="77"/>
      <c r="AY245" s="76"/>
      <c r="AZ245" s="76"/>
      <c r="BA245" s="76"/>
      <c r="BB245" s="76"/>
      <c r="BC245" s="76"/>
      <c r="BD245" s="77"/>
      <c r="BE245" s="76"/>
      <c r="BF245" s="77"/>
      <c r="BG245" s="76"/>
      <c r="BH245" s="76"/>
      <c r="BI245" s="76"/>
      <c r="BJ245" s="76"/>
      <c r="BK245" s="76"/>
      <c r="BL245" s="77"/>
      <c r="BM245" s="76"/>
      <c r="BN245" s="77"/>
      <c r="BO245" s="76"/>
      <c r="BP245" s="76"/>
      <c r="BQ245" s="76"/>
      <c r="BR245" s="76"/>
      <c r="BS245" s="76"/>
      <c r="BT245" s="77"/>
      <c r="BU245" s="76"/>
      <c r="BV245" s="77"/>
      <c r="BW245" s="76"/>
      <c r="BX245" s="76"/>
      <c r="BY245" s="76"/>
      <c r="BZ245" s="76"/>
      <c r="CA245" s="76"/>
      <c r="CB245" s="77"/>
      <c r="CC245" s="76"/>
      <c r="CD245" s="77"/>
      <c r="CE245" s="76"/>
      <c r="CF245" s="76"/>
      <c r="CG245" s="76"/>
      <c r="CH245" s="76"/>
      <c r="CI245" s="76"/>
      <c r="CJ245" s="77"/>
      <c r="CK245" s="76"/>
      <c r="CL245" s="77"/>
      <c r="CM245" s="76"/>
      <c r="CN245" s="76"/>
      <c r="CO245" s="76"/>
      <c r="CP245" s="76"/>
      <c r="CQ245" s="76"/>
      <c r="CR245" s="78" t="str">
        <f t="shared" si="63"/>
        <v/>
      </c>
      <c r="CS245" s="79" t="str">
        <f t="shared" si="64"/>
        <v/>
      </c>
      <c r="CT245" s="79" t="str">
        <f t="shared" si="65"/>
        <v/>
      </c>
      <c r="CU245" s="79" t="str">
        <f t="shared" si="66"/>
        <v/>
      </c>
      <c r="CV245" s="79" t="str">
        <f t="shared" si="67"/>
        <v/>
      </c>
      <c r="CW245" s="79" t="str">
        <f t="shared" si="68"/>
        <v/>
      </c>
      <c r="CX245" s="79" t="str">
        <f t="shared" si="69"/>
        <v/>
      </c>
      <c r="CY245" s="79" t="str">
        <f t="shared" si="70"/>
        <v/>
      </c>
      <c r="CZ245" s="79" t="str">
        <f t="shared" si="71"/>
        <v/>
      </c>
      <c r="DA245" s="79" t="str">
        <f t="shared" si="72"/>
        <v/>
      </c>
      <c r="DB245" s="79" t="str">
        <f t="shared" si="73"/>
        <v/>
      </c>
      <c r="DC245" s="79" t="str">
        <f t="shared" si="74"/>
        <v/>
      </c>
      <c r="DD245" s="79" t="str">
        <f t="shared" si="75"/>
        <v/>
      </c>
      <c r="DE245" s="79" t="str">
        <f t="shared" si="76"/>
        <v/>
      </c>
      <c r="DF245" s="79" t="str">
        <f t="shared" si="77"/>
        <v/>
      </c>
      <c r="DG245" s="79" t="str">
        <f t="shared" si="78"/>
        <v/>
      </c>
      <c r="DH245" s="76"/>
      <c r="DI245" s="78"/>
      <c r="DJ245" s="76"/>
      <c r="DK245" s="77"/>
      <c r="DL245" s="77"/>
      <c r="DM245" s="77"/>
      <c r="DN245" s="80"/>
      <c r="DO245" s="80"/>
      <c r="DP245" s="92" t="str">
        <f>IF(Table1[Start Date]="","",IF(Table1[Start Date]&gt;42185,"",IF(AND(Table1[Leaving Date]&gt;1,Table1[Leaving Date]&lt;42095),"",1)))</f>
        <v/>
      </c>
      <c r="DQ245" s="92" t="str">
        <f>IF(Table1[Start Date]="","",IF(Table1[Start Date]&gt;42277,"",IF(AND(Table1[Leaving Date]&gt;1,Table1[Leaving Date]&lt;42186),"",1)))</f>
        <v/>
      </c>
      <c r="DR245" s="92" t="str">
        <f>IF(Table1[Start Date]="","",IF(Table1[Start Date]&gt;42369,"",IF(AND(Table1[Leaving Date]&gt;1,Table1[Leaving Date]&lt;42278),"",1)))</f>
        <v/>
      </c>
      <c r="DS245" s="92" t="str">
        <f>IF(Table1[Start Date]="","",IF(Table1[Start Date]&gt;42460,"",IF(AND(Table1[Leaving Date]&gt;1,Table1[Leaving Date]&lt;42370),"",1)))</f>
        <v/>
      </c>
      <c r="DT245" s="92" t="str">
        <f>IF(Table1[Start Date]="","",IF(Table1[Start Date]&gt;42551,"",IF(AND(Table1[Leaving Date]&gt;1,Table1[Leaving Date]&lt;42461),"",1)))</f>
        <v/>
      </c>
      <c r="DU245" s="92" t="str">
        <f>IF(Table1[Start Date]="","",IF(Table1[Start Date]&gt;42643,"",IF(AND(Table1[Leaving Date]&gt;1,Table1[Leaving Date]&lt;42552),"",1)))</f>
        <v/>
      </c>
      <c r="DV245" s="92" t="str">
        <f>IF(Table1[Start Date]="","",IF(Table1[Start Date]&gt;42735,"",IF(AND(Table1[Leaving Date]&gt;1,Table1[Leaving Date]&lt;42644),"",1)))</f>
        <v/>
      </c>
      <c r="DW245" s="92" t="str">
        <f>IF(Table1[Start Date]="","",IF(Table1[Start Date]&gt;42825,"",IF(AND(Table1[Leaving Date]&gt;1,Table1[Leaving Date]&lt;42736),"",1)))</f>
        <v/>
      </c>
      <c r="DX245"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245" s="44" t="e">
        <f>VLOOKUP(Table1[Referral Source],Lists!$G$2:$H$20,2,FALSE)</f>
        <v>#N/A</v>
      </c>
      <c r="DZ245" s="93" t="e">
        <f>SUM(Table1[Data Referral Quarter]+Table1[Data Referral Source])</f>
        <v>#N/A</v>
      </c>
      <c r="EA245" s="44" t="b">
        <f>IF(Table1[Referral Decision]="Accepted",100,IF(Table1[Referral Decision]="Rejected by Provider",200,IF(Table1[Referral Decision]="Rejected by Applicant",300)))</f>
        <v>0</v>
      </c>
      <c r="EB245" s="44">
        <f>SUM(Table1[Data Referral Quarter]+Table1[Data Referral Decision])</f>
        <v>0</v>
      </c>
      <c r="EC245" s="44" t="b">
        <f>IF(Table1[Start Date]&gt;42735,8000,IF(Table1[Start Date]&gt;42643,7000,IF(Table1[Start Date]&gt;42551,6000,IF(Table1[Start Date]&gt;42460,5000,IF(Table1[Start Date]&gt;42369,4000,IF(Table1[Start Date]&gt;42277,3000,IF(Table1[Start Date]&gt;42185,2000,IF(Table1[Start Date]&gt;42094,1000))))))))</f>
        <v>0</v>
      </c>
      <c r="ED245" s="44" t="str">
        <f>IF(Table1[Start Date]="","",IF(Table1[Current Local Authority]="Swindon",1,"2"))</f>
        <v/>
      </c>
      <c r="EE245" s="44" t="e">
        <f>SUM(Table1[Data Start Date]+Table1[Data Local Authority])</f>
        <v>#VALUE!</v>
      </c>
      <c r="EF245" s="44">
        <f>IF(Table1[Registered with GP]="Yes",1,0)</f>
        <v>0</v>
      </c>
      <c r="EG245" s="44">
        <f>SUM(Table1[Data Start Date]+Table1[Data GP Start])</f>
        <v>0</v>
      </c>
      <c r="EH245" s="44" t="str">
        <f>IF(Table1[EET]="NEET",1,IF(Table1[EET]="Education",2,IF(Table1[EET]="Employment",2,IF(Table1[EET]="Training",2,IF(Table1[EET]="Retired",3,"")))))</f>
        <v/>
      </c>
      <c r="EI245" s="44" t="e">
        <f>Table1[Data Start Date]+Table1[Data EET Start]</f>
        <v>#VALUE!</v>
      </c>
      <c r="EJ245" s="44" t="b">
        <f>IF(Table1[Leaving Date]&gt;42735,8000,IF(Table1[Leaving Date]&gt;42643,7000,IF(Table1[Leaving Date]&gt;42551,6000,IF(Table1[Leaving Date]&gt;42460,5000,IF(Table1[Leaving Date]&gt;42369,4000,IF(Table1[Leaving Date]&gt;42277,3000,IF(Table1[Leaving Date]&gt;42185,2000,IF(Table1[Leaving Date]&gt;42094,1000))))))))</f>
        <v>0</v>
      </c>
      <c r="EK245" s="44" t="e">
        <f>VLOOKUP(Table1[Reason for Leaving],Lists!$T$2:$U$15,2,FALSE)</f>
        <v>#N/A</v>
      </c>
      <c r="EL245" s="44" t="e">
        <f>SUM(Table1[Data Leavers Date]+Table1[Data Move On])</f>
        <v>#N/A</v>
      </c>
      <c r="EM245" s="44" t="b">
        <f>IF(Table1[Registered with GP2]="Yes",1,IF(Table1[Registered with GP2]="No",0,IF(Table1[Registered with GP]="Yes",1,IF(Table1[Registered with GP]="No",0))))</f>
        <v>0</v>
      </c>
      <c r="EN245" s="44">
        <f>SUM(Table1[Data Leavers Date]+Table1[Data GP End])</f>
        <v>0</v>
      </c>
      <c r="EO245" s="44" t="str">
        <f>IF(Table1[EET2]="NEET",1,IF(Table1[EET2]="Employment",2,IF(Table1[EET2]="Education",2,IF(Table1[EET2]="Training",2,IF(Table1[EET2]="Retired",3,IF(Table1[EET]="NEET",1,IF(Table1[EET]="Employment",2,IF(Table1[EET]="Education",2,IF(Table1[EET]="Training",2,IF(Table1[EET]="Retired",3,""))))))))))</f>
        <v/>
      </c>
      <c r="EP245" s="44" t="e">
        <f>+Table1[[#This Row],[Data Leavers Date]]+Table1[[#This Row],[Data EET End]]</f>
        <v>#VALUE!</v>
      </c>
      <c r="EQ245" s="44">
        <f>IF(Table1[Exit Form Received]="Yes",1,0)</f>
        <v>0</v>
      </c>
      <c r="ER245" s="44">
        <f>+Table1[[#This Row],[Data Leavers Date]]+Table1[[#This Row],[Data Exit Forms]]</f>
        <v>0</v>
      </c>
      <c r="ES245" s="44" t="str">
        <f>IF(Table1[Data Leavers Date]=1000,SUM(Table1[Leaving Date]-Table1[Start Date]),"")</f>
        <v/>
      </c>
      <c r="ET245" s="44" t="str">
        <f>IF(Table1[Data Leavers Date]=2000,SUM(Table1[Leaving Date]-Table1[Start Date]),"")</f>
        <v/>
      </c>
      <c r="EU245" s="44" t="str">
        <f>IF(Table1[Data Leavers Date]=3000,SUM(Table1[Leaving Date]-Table1[Start Date]),"")</f>
        <v/>
      </c>
      <c r="EV245" s="44" t="str">
        <f>IF(Table1[Data Leavers Date]=4000,SUM(Table1[Leaving Date]-Table1[Start Date]),"")</f>
        <v/>
      </c>
      <c r="EW245" s="44" t="str">
        <f>IF(Table1[Data Leavers Date]=5000,SUM(Table1[Leaving Date]-Table1[Start Date]),"")</f>
        <v/>
      </c>
      <c r="EX245" s="44" t="str">
        <f>IF(Table1[Data Leavers Date]=6000,SUM(Table1[Leaving Date]-Table1[Start Date]),"")</f>
        <v/>
      </c>
      <c r="EY245" s="44" t="str">
        <f>IF(Table1[Data Leavers Date]=7000,SUM(Table1[Leaving Date]-Table1[Start Date]),"")</f>
        <v/>
      </c>
      <c r="EZ245" s="44" t="str">
        <f>IF(Table1[Data Leavers Date]=8000,SUM(Table1[Leaving Date]-Table1[Start Date]),"")</f>
        <v/>
      </c>
      <c r="FA245" s="44" t="str">
        <f>IF(Table1[Date of Initial Assessment]="","",IF(AND(Table1[Start Date]&gt;42094,Table1[Start Date]&lt;42461),Table1[Motivation and Taking Responsibility],""))</f>
        <v/>
      </c>
      <c r="FB245" s="44" t="str">
        <f>IF(Table1[Date of Initial Assessment]="","",IF(AND(Table1[Start Date]&gt;42094,Table1[Start Date]&lt;42461),Table1[Self-Care and Living Skills],""))</f>
        <v/>
      </c>
      <c r="FC245" s="44" t="str">
        <f>IF(Table1[Date of Initial Assessment]="","",IF(AND(Table1[Start Date]&gt;42094,Table1[Start Date]&lt;42461),Table1[Managing Money and Personal Administration],""))</f>
        <v/>
      </c>
      <c r="FD245" s="44" t="str">
        <f>IF(Table1[Date of Initial Assessment]="","",IF(AND(Table1[Start Date]&gt;42094,Table1[Start Date]&lt;42461),Table1[Social Networks and Relationships],""))</f>
        <v/>
      </c>
      <c r="FE245" s="44" t="str">
        <f>IF(Table1[Date of Initial Assessment]="","",IF(AND(Table1[Start Date]&gt;42094,Table1[Start Date]&lt;42461),Table1[Drug and Alcohol Misuse],""))</f>
        <v/>
      </c>
      <c r="FF245" s="44" t="str">
        <f>IF(Table1[Date of Initial Assessment]="","",IF(AND(Table1[Start Date]&gt;42094,Table1[Start Date]&lt;42461),Table1[Physical Health],""))</f>
        <v/>
      </c>
      <c r="FG245" s="44" t="str">
        <f>IF(Table1[Date of Initial Assessment]="","",IF(AND(Table1[Start Date]&gt;42094,Table1[Start Date]&lt;42461),Table1[Emotional and Mental Health],""))</f>
        <v/>
      </c>
      <c r="FH245" s="44" t="str">
        <f>IF(Table1[Date of Initial Assessment]="","",IF(AND(Table1[Start Date]&gt;42094,Table1[Start Date]&lt;42461),Table1[Meaningful Use of Time],""))</f>
        <v/>
      </c>
      <c r="FI245" s="44" t="str">
        <f>IF(Table1[Date of Initial Assessment]="","",IF(AND(Table1[Start Date]&gt;42094,Table1[Start Date]&lt;42461),Table1[Managing Tenancy and Accommodation],""))</f>
        <v/>
      </c>
      <c r="FJ245" s="44" t="str">
        <f>IF(Table1[Date of Initial Assessment]="","",IF(AND(Table1[Start Date]&gt;42094,Table1[Start Date]&lt;42461),Table1[Offending],""))</f>
        <v/>
      </c>
      <c r="FK245" s="44" t="str">
        <f>IF(Table1[Leaving Date]="","",IF(Table1[Date of Initial Assessment]="","",IF(AND(Table1[Leaving Date]&gt;42094,Table1[Leaving Date]&lt;42461),IF(Table1[Date of Last Assessment]="",Table1[Motivation and Taking Responsibility],Table1[Motivation and Taking Responsibility2]),"")))</f>
        <v/>
      </c>
      <c r="FL245" s="44" t="str">
        <f>IF(Table1[Leaving Date]="","",IF(Table1[Date of Initial Assessment]="","",IF(AND(Table1[Leaving Date]&gt;42094,Table1[Leaving Date]&lt;42461),IF(Table1[Date of Last Assessment]="",Table1[Self-Care and Living Skills],Table1[Self-Care and Living Skills2]),"")))</f>
        <v/>
      </c>
      <c r="FM245" s="44" t="str">
        <f>IF(Table1[Leaving Date]="","",IF(Table1[Date of Initial Assessment]="","",IF(AND(Table1[Leaving Date]&gt;42094,Table1[Leaving Date]&lt;42461),IF(Table1[Date of Last Assessment]="",Table1[Managing Money and Personal Administration],Table1[Managing Money and Personal Administration2]),"")))</f>
        <v/>
      </c>
      <c r="FN245" s="44" t="str">
        <f>IF(Table1[Leaving Date]="","",IF(Table1[Date of Initial Assessment]="","",IF(AND(Table1[Leaving Date]&gt;42094,Table1[Leaving Date]&lt;42461),IF(Table1[Date of Last Assessment]="",Table1[Social Networks and Relationships],Table1[Social Networks and Relationships2]),"")))</f>
        <v/>
      </c>
      <c r="FO245" s="44" t="str">
        <f>IF(Table1[Leaving Date]="","",IF(Table1[Date of Initial Assessment]="","",IF(AND(Table1[Leaving Date]&gt;42094,Table1[Leaving Date]&lt;42461),IF(Table1[Date of Last Assessment]="",Table1[Drug and Alcohol Misuse],Table1[Drug and Alcohol Misuse2]),"")))</f>
        <v/>
      </c>
      <c r="FP245" s="44" t="str">
        <f>IF(Table1[Leaving Date]="","",IF(Table1[Date of Initial Assessment]="","",IF(AND(Table1[Leaving Date]&gt;42094,Table1[Leaving Date]&lt;42461),IF(Table1[Date of Last Assessment]="",Table1[Physical Health],Table1[Physical Health2]),"")))</f>
        <v/>
      </c>
      <c r="FQ245" s="44" t="str">
        <f>IF(Table1[Leaving Date]="","",IF(Table1[Date of Initial Assessment]="","",IF(AND(Table1[Leaving Date]&gt;42094,Table1[Leaving Date]&lt;42461),IF(Table1[Date of Last Assessment]="",Table1[Emotional and Mental Health],Table1[Emotional and Mental Health2]),"")))</f>
        <v/>
      </c>
      <c r="FR245" s="44" t="str">
        <f>IF(Table1[Leaving Date]="","",IF(Table1[Date of Initial Assessment]="","",IF(AND(Table1[Leaving Date]&gt;42094,Table1[Leaving Date]&lt;42461),IF(Table1[Date of Last Assessment]="",Table1[Meaningful Use of Time],Table1[Meaningful Use of Time2]),"")))</f>
        <v/>
      </c>
      <c r="FS245" s="44" t="str">
        <f>IF(Table1[Leaving Date]="","",IF(Table1[Date of Initial Assessment]="","",IF(AND(Table1[Leaving Date]&gt;42094,Table1[Leaving Date]&lt;42461),IF(Table1[Date of Last Assessment]="",Table1[Managing Tenancy and Accommodation],Table1[Managing Tenancy and Accommodation2]),"")))</f>
        <v/>
      </c>
      <c r="FT245" s="44" t="str">
        <f>IF(Table1[Leaving Date]="","",IF(Table1[Date of Initial Assessment]="","",IF(AND(Table1[Leaving Date]&gt;42094,Table1[Leaving Date]&lt;42461),IF(Table1[Date of Last Assessment]="",Table1[Offending],Table1[Offending2]),"")))</f>
        <v/>
      </c>
      <c r="FU245" s="44" t="str">
        <f>IF(Table1[Date of Initial Assessment]="","",IF(AND(Table1[Start Date]&gt;42460,Table1[Start Date]&lt;42826),Table1[Motivation and Taking Responsibility],""))</f>
        <v/>
      </c>
      <c r="FV245" s="44" t="str">
        <f>IF(Table1[Date of Initial Assessment]="","",IF(AND(Table1[Start Date]&gt;42460,Table1[Start Date]&lt;42826),Table1[Self-Care and Living Skills],""))</f>
        <v/>
      </c>
      <c r="FW245" s="44" t="str">
        <f>IF(Table1[Date of Initial Assessment]="","",IF(AND(Table1[Start Date]&gt;42460,Table1[Start Date]&lt;42826),Table1[Managing Money and Personal Administration],""))</f>
        <v/>
      </c>
      <c r="FX245" s="44" t="str">
        <f>IF(Table1[Date of Initial Assessment]="","",IF(AND(Table1[Start Date]&gt;42460,Table1[Start Date]&lt;42826),Table1[Social Networks and Relationships],""))</f>
        <v/>
      </c>
      <c r="FY245" s="44" t="str">
        <f>IF(Table1[Date of Initial Assessment]="","",IF(AND(Table1[Start Date]&gt;42460,Table1[Start Date]&lt;42826),Table1[Drug and Alcohol Misuse],""))</f>
        <v/>
      </c>
      <c r="FZ245" s="44" t="str">
        <f>IF(Table1[Date of Initial Assessment]="","",IF(AND(Table1[Start Date]&gt;42460,Table1[Start Date]&lt;42826),Table1[Physical Health],""))</f>
        <v/>
      </c>
      <c r="GA245" s="44" t="str">
        <f>IF(Table1[Date of Initial Assessment]="","",IF(AND(Table1[Start Date]&gt;42460,Table1[Start Date]&lt;42826),Table1[Emotional and Mental Health],""))</f>
        <v/>
      </c>
      <c r="GB245" s="44" t="str">
        <f>IF(Table1[Date of Initial Assessment]="","",IF(AND(Table1[Start Date]&gt;42460,Table1[Start Date]&lt;42826),Table1[Meaningful Use of Time],""))</f>
        <v/>
      </c>
      <c r="GC245" s="44" t="str">
        <f>IF(Table1[Date of Initial Assessment]="","",IF(AND(Table1[Start Date]&gt;42460,Table1[Start Date]&lt;42826),Table1[Managing Tenancy and Accommodation],""))</f>
        <v/>
      </c>
      <c r="GD245" s="44" t="str">
        <f>IF(Table1[Date of Initial Assessment]="","",IF(AND(Table1[Start Date]&gt;42460,Table1[Start Date]&lt;42826),Table1[Offending],""))</f>
        <v/>
      </c>
      <c r="GE245" s="44" t="str">
        <f>IF(Table1[Leaving Date]="","",IF(AND(Table1[Leaving Date]&gt;42460,Table1[Leaving Date]&lt;42826),IF(Table1[Date of Last Assessment]="",Table1[Motivation and Taking Responsibility],Table1[Motivation and Taking Responsibility2]),""))</f>
        <v/>
      </c>
      <c r="GF245" s="44" t="str">
        <f>IF(Table1[Leaving Date]="","",IF(AND(Table1[Leaving Date]&gt;42460,Table1[Leaving Date]&lt;42826),IF(Table1[Date of Last Assessment]="",Table1[Self-Care and Living Skills],Table1[Self-Care and Living Skills2]),""))</f>
        <v/>
      </c>
      <c r="GG245" s="44" t="str">
        <f>IF(Table1[Leaving Date]="","",IF(AND(Table1[Leaving Date]&gt;42460,Table1[Leaving Date]&lt;42826),IF(Table1[Date of Last Assessment]="",Table1[Managing Money and Personal Administration],Table1[Managing Money and Personal Administration2]),""))</f>
        <v/>
      </c>
      <c r="GH245" s="44" t="str">
        <f>IF(Table1[Leaving Date]="","",IF(AND(Table1[Leaving Date]&gt;42460,Table1[Leaving Date]&lt;42826),IF(Table1[Date of Last Assessment]="",Table1[Social Networks and Relationships],Table1[Social Networks and Relationships2]),""))</f>
        <v/>
      </c>
      <c r="GI245" s="44" t="str">
        <f>IF(Table1[Leaving Date]="","",IF(AND(Table1[Leaving Date]&gt;42460,Table1[Leaving Date]&lt;42826),IF(Table1[Date of Last Assessment]="",Table1[Drug and Alcohol Misuse],Table1[Drug and Alcohol Misuse2]),""))</f>
        <v/>
      </c>
      <c r="GJ245" s="44" t="str">
        <f>IF(Table1[Leaving Date]="","",IF(AND(Table1[Leaving Date]&gt;42460,Table1[Leaving Date]&lt;42826),IF(Table1[Date of Last Assessment]="",Table1[Physical Health],Table1[Physical Health2]),""))</f>
        <v/>
      </c>
      <c r="GK245" s="44" t="str">
        <f>IF(Table1[Leaving Date]="","",IF(AND(Table1[Leaving Date]&gt;42460,Table1[Leaving Date]&lt;42826),IF(Table1[Date of Last Assessment]="",Table1[Emotional and Mental Health],Table1[Emotional and Mental Health2]),""))</f>
        <v/>
      </c>
      <c r="GL245" s="44" t="str">
        <f>IF(Table1[Leaving Date]="","",IF(AND(Table1[Leaving Date]&gt;42460,Table1[Leaving Date]&lt;42826),IF(Table1[Date of Last Assessment]="",Table1[Meaningful Use of Time],Table1[Meaningful Use of Time2]),""))</f>
        <v/>
      </c>
      <c r="GM245" s="44" t="str">
        <f>IF(Table1[Leaving Date]="","",IF(AND(Table1[Leaving Date]&gt;42460,Table1[Leaving Date]&lt;42826),IF(Table1[Date of Last Assessment]="",Table1[Managing Tenancy and Accommodation],Table1[Managing Tenancy and Accommodation2]),""))</f>
        <v/>
      </c>
      <c r="GN245" s="44" t="str">
        <f>IF(Table1[Leaving Date]="","",IF(AND(Table1[Leaving Date]&gt;42460,Table1[Leaving Date]&lt;42826),IF(Table1[Date of Last Assessment]="",Table1[Offending],Table1[Offending2]),""))</f>
        <v/>
      </c>
    </row>
    <row r="246" spans="2:196" ht="20.100000000000001" customHeight="1" x14ac:dyDescent="0.2">
      <c r="B246" s="86">
        <f>+'Service Data'!$C$5:$C$5</f>
        <v>0</v>
      </c>
      <c r="C246" s="86"/>
      <c r="D246" s="86"/>
      <c r="E246" s="86"/>
      <c r="F246" s="86"/>
      <c r="G246" s="86"/>
      <c r="H246" s="6"/>
      <c r="I246" s="99" t="str">
        <f ca="1">IF(Table1[[#This Row],[Date of Birth]]="","",SUM(TODAY()-Table1[[#This Row],[Date of Birth]])/365)</f>
        <v/>
      </c>
      <c r="L246" s="86"/>
      <c r="M246" s="77"/>
      <c r="N246" s="86"/>
      <c r="O246" s="86"/>
      <c r="P246" s="91"/>
      <c r="Q246" s="86"/>
      <c r="R246" s="77"/>
      <c r="S246" s="77"/>
      <c r="T246" s="68"/>
      <c r="U246" s="68"/>
      <c r="V246" s="67"/>
      <c r="W246" s="67"/>
      <c r="X246" s="67"/>
      <c r="Y246" s="67"/>
      <c r="Z246" s="67"/>
      <c r="AA246" s="67"/>
      <c r="AB246" s="67"/>
      <c r="AC246" s="67"/>
      <c r="AD246" s="67"/>
      <c r="AE246" s="67"/>
      <c r="AF246" s="67"/>
      <c r="AG246" s="67"/>
      <c r="AH246" s="67"/>
      <c r="AI246" s="67"/>
      <c r="AJ246" s="67"/>
      <c r="AK246" s="67"/>
      <c r="AL246" s="67"/>
      <c r="AM246" s="67"/>
      <c r="AN246" s="77"/>
      <c r="AO246" s="76"/>
      <c r="AP246" s="77"/>
      <c r="AQ246" s="76"/>
      <c r="AR246" s="76"/>
      <c r="AS246" s="76"/>
      <c r="AT246" s="76"/>
      <c r="AU246" s="76"/>
      <c r="AV246" s="77"/>
      <c r="AW246" s="76"/>
      <c r="AX246" s="77"/>
      <c r="AY246" s="76"/>
      <c r="AZ246" s="76"/>
      <c r="BA246" s="76"/>
      <c r="BB246" s="76"/>
      <c r="BC246" s="76"/>
      <c r="BD246" s="77"/>
      <c r="BE246" s="76"/>
      <c r="BF246" s="77"/>
      <c r="BG246" s="76"/>
      <c r="BH246" s="76"/>
      <c r="BI246" s="76"/>
      <c r="BJ246" s="76"/>
      <c r="BK246" s="76"/>
      <c r="BL246" s="77"/>
      <c r="BM246" s="76"/>
      <c r="BN246" s="77"/>
      <c r="BO246" s="76"/>
      <c r="BP246" s="76"/>
      <c r="BQ246" s="76"/>
      <c r="BR246" s="76"/>
      <c r="BS246" s="76"/>
      <c r="BT246" s="77"/>
      <c r="BU246" s="76"/>
      <c r="BV246" s="77"/>
      <c r="BW246" s="76"/>
      <c r="BX246" s="76"/>
      <c r="BY246" s="76"/>
      <c r="BZ246" s="76"/>
      <c r="CA246" s="76"/>
      <c r="CB246" s="77"/>
      <c r="CC246" s="76"/>
      <c r="CD246" s="77"/>
      <c r="CE246" s="76"/>
      <c r="CF246" s="76"/>
      <c r="CG246" s="76"/>
      <c r="CH246" s="76"/>
      <c r="CI246" s="76"/>
      <c r="CJ246" s="77"/>
      <c r="CK246" s="76"/>
      <c r="CL246" s="77"/>
      <c r="CM246" s="76"/>
      <c r="CN246" s="76"/>
      <c r="CO246" s="76"/>
      <c r="CP246" s="76"/>
      <c r="CQ246" s="76"/>
      <c r="CR246" s="78" t="str">
        <f t="shared" si="63"/>
        <v/>
      </c>
      <c r="CS246" s="79" t="str">
        <f t="shared" si="64"/>
        <v/>
      </c>
      <c r="CT246" s="79" t="str">
        <f t="shared" si="65"/>
        <v/>
      </c>
      <c r="CU246" s="79" t="str">
        <f t="shared" si="66"/>
        <v/>
      </c>
      <c r="CV246" s="79" t="str">
        <f t="shared" si="67"/>
        <v/>
      </c>
      <c r="CW246" s="79" t="str">
        <f t="shared" si="68"/>
        <v/>
      </c>
      <c r="CX246" s="79" t="str">
        <f t="shared" si="69"/>
        <v/>
      </c>
      <c r="CY246" s="79" t="str">
        <f t="shared" si="70"/>
        <v/>
      </c>
      <c r="CZ246" s="79" t="str">
        <f t="shared" si="71"/>
        <v/>
      </c>
      <c r="DA246" s="79" t="str">
        <f t="shared" si="72"/>
        <v/>
      </c>
      <c r="DB246" s="79" t="str">
        <f t="shared" si="73"/>
        <v/>
      </c>
      <c r="DC246" s="79" t="str">
        <f t="shared" si="74"/>
        <v/>
      </c>
      <c r="DD246" s="79" t="str">
        <f t="shared" si="75"/>
        <v/>
      </c>
      <c r="DE246" s="79" t="str">
        <f t="shared" si="76"/>
        <v/>
      </c>
      <c r="DF246" s="79" t="str">
        <f t="shared" si="77"/>
        <v/>
      </c>
      <c r="DG246" s="79" t="str">
        <f t="shared" si="78"/>
        <v/>
      </c>
      <c r="DH246" s="76"/>
      <c r="DI246" s="78"/>
      <c r="DJ246" s="76"/>
      <c r="DK246" s="77"/>
      <c r="DL246" s="77"/>
      <c r="DM246" s="77"/>
      <c r="DN246" s="80"/>
      <c r="DO246" s="80"/>
      <c r="DP246" s="92" t="str">
        <f>IF(Table1[Start Date]="","",IF(Table1[Start Date]&gt;42185,"",IF(AND(Table1[Leaving Date]&gt;1,Table1[Leaving Date]&lt;42095),"",1)))</f>
        <v/>
      </c>
      <c r="DQ246" s="92" t="str">
        <f>IF(Table1[Start Date]="","",IF(Table1[Start Date]&gt;42277,"",IF(AND(Table1[Leaving Date]&gt;1,Table1[Leaving Date]&lt;42186),"",1)))</f>
        <v/>
      </c>
      <c r="DR246" s="92" t="str">
        <f>IF(Table1[Start Date]="","",IF(Table1[Start Date]&gt;42369,"",IF(AND(Table1[Leaving Date]&gt;1,Table1[Leaving Date]&lt;42278),"",1)))</f>
        <v/>
      </c>
      <c r="DS246" s="92" t="str">
        <f>IF(Table1[Start Date]="","",IF(Table1[Start Date]&gt;42460,"",IF(AND(Table1[Leaving Date]&gt;1,Table1[Leaving Date]&lt;42370),"",1)))</f>
        <v/>
      </c>
      <c r="DT246" s="92" t="str">
        <f>IF(Table1[Start Date]="","",IF(Table1[Start Date]&gt;42551,"",IF(AND(Table1[Leaving Date]&gt;1,Table1[Leaving Date]&lt;42461),"",1)))</f>
        <v/>
      </c>
      <c r="DU246" s="92" t="str">
        <f>IF(Table1[Start Date]="","",IF(Table1[Start Date]&gt;42643,"",IF(AND(Table1[Leaving Date]&gt;1,Table1[Leaving Date]&lt;42552),"",1)))</f>
        <v/>
      </c>
      <c r="DV246" s="92" t="str">
        <f>IF(Table1[Start Date]="","",IF(Table1[Start Date]&gt;42735,"",IF(AND(Table1[Leaving Date]&gt;1,Table1[Leaving Date]&lt;42644),"",1)))</f>
        <v/>
      </c>
      <c r="DW246" s="92" t="str">
        <f>IF(Table1[Start Date]="","",IF(Table1[Start Date]&gt;42825,"",IF(AND(Table1[Leaving Date]&gt;1,Table1[Leaving Date]&lt;42736),"",1)))</f>
        <v/>
      </c>
      <c r="DX246"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246" s="44" t="e">
        <f>VLOOKUP(Table1[Referral Source],Lists!$G$2:$H$20,2,FALSE)</f>
        <v>#N/A</v>
      </c>
      <c r="DZ246" s="93" t="e">
        <f>SUM(Table1[Data Referral Quarter]+Table1[Data Referral Source])</f>
        <v>#N/A</v>
      </c>
      <c r="EA246" s="44" t="b">
        <f>IF(Table1[Referral Decision]="Accepted",100,IF(Table1[Referral Decision]="Rejected by Provider",200,IF(Table1[Referral Decision]="Rejected by Applicant",300)))</f>
        <v>0</v>
      </c>
      <c r="EB246" s="44">
        <f>SUM(Table1[Data Referral Quarter]+Table1[Data Referral Decision])</f>
        <v>0</v>
      </c>
      <c r="EC246" s="44" t="b">
        <f>IF(Table1[Start Date]&gt;42735,8000,IF(Table1[Start Date]&gt;42643,7000,IF(Table1[Start Date]&gt;42551,6000,IF(Table1[Start Date]&gt;42460,5000,IF(Table1[Start Date]&gt;42369,4000,IF(Table1[Start Date]&gt;42277,3000,IF(Table1[Start Date]&gt;42185,2000,IF(Table1[Start Date]&gt;42094,1000))))))))</f>
        <v>0</v>
      </c>
      <c r="ED246" s="44" t="str">
        <f>IF(Table1[Start Date]="","",IF(Table1[Current Local Authority]="Swindon",1,"2"))</f>
        <v/>
      </c>
      <c r="EE246" s="44" t="e">
        <f>SUM(Table1[Data Start Date]+Table1[Data Local Authority])</f>
        <v>#VALUE!</v>
      </c>
      <c r="EF246" s="44">
        <f>IF(Table1[Registered with GP]="Yes",1,0)</f>
        <v>0</v>
      </c>
      <c r="EG246" s="44">
        <f>SUM(Table1[Data Start Date]+Table1[Data GP Start])</f>
        <v>0</v>
      </c>
      <c r="EH246" s="44" t="str">
        <f>IF(Table1[EET]="NEET",1,IF(Table1[EET]="Education",2,IF(Table1[EET]="Employment",2,IF(Table1[EET]="Training",2,IF(Table1[EET]="Retired",3,"")))))</f>
        <v/>
      </c>
      <c r="EI246" s="44" t="e">
        <f>Table1[Data Start Date]+Table1[Data EET Start]</f>
        <v>#VALUE!</v>
      </c>
      <c r="EJ246" s="44" t="b">
        <f>IF(Table1[Leaving Date]&gt;42735,8000,IF(Table1[Leaving Date]&gt;42643,7000,IF(Table1[Leaving Date]&gt;42551,6000,IF(Table1[Leaving Date]&gt;42460,5000,IF(Table1[Leaving Date]&gt;42369,4000,IF(Table1[Leaving Date]&gt;42277,3000,IF(Table1[Leaving Date]&gt;42185,2000,IF(Table1[Leaving Date]&gt;42094,1000))))))))</f>
        <v>0</v>
      </c>
      <c r="EK246" s="44" t="e">
        <f>VLOOKUP(Table1[Reason for Leaving],Lists!$T$2:$U$15,2,FALSE)</f>
        <v>#N/A</v>
      </c>
      <c r="EL246" s="44" t="e">
        <f>SUM(Table1[Data Leavers Date]+Table1[Data Move On])</f>
        <v>#N/A</v>
      </c>
      <c r="EM246" s="44" t="b">
        <f>IF(Table1[Registered with GP2]="Yes",1,IF(Table1[Registered with GP2]="No",0,IF(Table1[Registered with GP]="Yes",1,IF(Table1[Registered with GP]="No",0))))</f>
        <v>0</v>
      </c>
      <c r="EN246" s="44">
        <f>SUM(Table1[Data Leavers Date]+Table1[Data GP End])</f>
        <v>0</v>
      </c>
      <c r="EO246" s="44" t="str">
        <f>IF(Table1[EET2]="NEET",1,IF(Table1[EET2]="Employment",2,IF(Table1[EET2]="Education",2,IF(Table1[EET2]="Training",2,IF(Table1[EET2]="Retired",3,IF(Table1[EET]="NEET",1,IF(Table1[EET]="Employment",2,IF(Table1[EET]="Education",2,IF(Table1[EET]="Training",2,IF(Table1[EET]="Retired",3,""))))))))))</f>
        <v/>
      </c>
      <c r="EP246" s="44" t="e">
        <f>+Table1[[#This Row],[Data Leavers Date]]+Table1[[#This Row],[Data EET End]]</f>
        <v>#VALUE!</v>
      </c>
      <c r="EQ246" s="44">
        <f>IF(Table1[Exit Form Received]="Yes",1,0)</f>
        <v>0</v>
      </c>
      <c r="ER246" s="44">
        <f>+Table1[[#This Row],[Data Leavers Date]]+Table1[[#This Row],[Data Exit Forms]]</f>
        <v>0</v>
      </c>
      <c r="ES246" s="44" t="str">
        <f>IF(Table1[Data Leavers Date]=1000,SUM(Table1[Leaving Date]-Table1[Start Date]),"")</f>
        <v/>
      </c>
      <c r="ET246" s="44" t="str">
        <f>IF(Table1[Data Leavers Date]=2000,SUM(Table1[Leaving Date]-Table1[Start Date]),"")</f>
        <v/>
      </c>
      <c r="EU246" s="44" t="str">
        <f>IF(Table1[Data Leavers Date]=3000,SUM(Table1[Leaving Date]-Table1[Start Date]),"")</f>
        <v/>
      </c>
      <c r="EV246" s="44" t="str">
        <f>IF(Table1[Data Leavers Date]=4000,SUM(Table1[Leaving Date]-Table1[Start Date]),"")</f>
        <v/>
      </c>
      <c r="EW246" s="44" t="str">
        <f>IF(Table1[Data Leavers Date]=5000,SUM(Table1[Leaving Date]-Table1[Start Date]),"")</f>
        <v/>
      </c>
      <c r="EX246" s="44" t="str">
        <f>IF(Table1[Data Leavers Date]=6000,SUM(Table1[Leaving Date]-Table1[Start Date]),"")</f>
        <v/>
      </c>
      <c r="EY246" s="44" t="str">
        <f>IF(Table1[Data Leavers Date]=7000,SUM(Table1[Leaving Date]-Table1[Start Date]),"")</f>
        <v/>
      </c>
      <c r="EZ246" s="44" t="str">
        <f>IF(Table1[Data Leavers Date]=8000,SUM(Table1[Leaving Date]-Table1[Start Date]),"")</f>
        <v/>
      </c>
      <c r="FA246" s="44" t="str">
        <f>IF(Table1[Date of Initial Assessment]="","",IF(AND(Table1[Start Date]&gt;42094,Table1[Start Date]&lt;42461),Table1[Motivation and Taking Responsibility],""))</f>
        <v/>
      </c>
      <c r="FB246" s="44" t="str">
        <f>IF(Table1[Date of Initial Assessment]="","",IF(AND(Table1[Start Date]&gt;42094,Table1[Start Date]&lt;42461),Table1[Self-Care and Living Skills],""))</f>
        <v/>
      </c>
      <c r="FC246" s="44" t="str">
        <f>IF(Table1[Date of Initial Assessment]="","",IF(AND(Table1[Start Date]&gt;42094,Table1[Start Date]&lt;42461),Table1[Managing Money and Personal Administration],""))</f>
        <v/>
      </c>
      <c r="FD246" s="44" t="str">
        <f>IF(Table1[Date of Initial Assessment]="","",IF(AND(Table1[Start Date]&gt;42094,Table1[Start Date]&lt;42461),Table1[Social Networks and Relationships],""))</f>
        <v/>
      </c>
      <c r="FE246" s="44" t="str">
        <f>IF(Table1[Date of Initial Assessment]="","",IF(AND(Table1[Start Date]&gt;42094,Table1[Start Date]&lt;42461),Table1[Drug and Alcohol Misuse],""))</f>
        <v/>
      </c>
      <c r="FF246" s="44" t="str">
        <f>IF(Table1[Date of Initial Assessment]="","",IF(AND(Table1[Start Date]&gt;42094,Table1[Start Date]&lt;42461),Table1[Physical Health],""))</f>
        <v/>
      </c>
      <c r="FG246" s="44" t="str">
        <f>IF(Table1[Date of Initial Assessment]="","",IF(AND(Table1[Start Date]&gt;42094,Table1[Start Date]&lt;42461),Table1[Emotional and Mental Health],""))</f>
        <v/>
      </c>
      <c r="FH246" s="44" t="str">
        <f>IF(Table1[Date of Initial Assessment]="","",IF(AND(Table1[Start Date]&gt;42094,Table1[Start Date]&lt;42461),Table1[Meaningful Use of Time],""))</f>
        <v/>
      </c>
      <c r="FI246" s="44" t="str">
        <f>IF(Table1[Date of Initial Assessment]="","",IF(AND(Table1[Start Date]&gt;42094,Table1[Start Date]&lt;42461),Table1[Managing Tenancy and Accommodation],""))</f>
        <v/>
      </c>
      <c r="FJ246" s="44" t="str">
        <f>IF(Table1[Date of Initial Assessment]="","",IF(AND(Table1[Start Date]&gt;42094,Table1[Start Date]&lt;42461),Table1[Offending],""))</f>
        <v/>
      </c>
      <c r="FK246" s="44" t="str">
        <f>IF(Table1[Leaving Date]="","",IF(Table1[Date of Initial Assessment]="","",IF(AND(Table1[Leaving Date]&gt;42094,Table1[Leaving Date]&lt;42461),IF(Table1[Date of Last Assessment]="",Table1[Motivation and Taking Responsibility],Table1[Motivation and Taking Responsibility2]),"")))</f>
        <v/>
      </c>
      <c r="FL246" s="44" t="str">
        <f>IF(Table1[Leaving Date]="","",IF(Table1[Date of Initial Assessment]="","",IF(AND(Table1[Leaving Date]&gt;42094,Table1[Leaving Date]&lt;42461),IF(Table1[Date of Last Assessment]="",Table1[Self-Care and Living Skills],Table1[Self-Care and Living Skills2]),"")))</f>
        <v/>
      </c>
      <c r="FM246" s="44" t="str">
        <f>IF(Table1[Leaving Date]="","",IF(Table1[Date of Initial Assessment]="","",IF(AND(Table1[Leaving Date]&gt;42094,Table1[Leaving Date]&lt;42461),IF(Table1[Date of Last Assessment]="",Table1[Managing Money and Personal Administration],Table1[Managing Money and Personal Administration2]),"")))</f>
        <v/>
      </c>
      <c r="FN246" s="44" t="str">
        <f>IF(Table1[Leaving Date]="","",IF(Table1[Date of Initial Assessment]="","",IF(AND(Table1[Leaving Date]&gt;42094,Table1[Leaving Date]&lt;42461),IF(Table1[Date of Last Assessment]="",Table1[Social Networks and Relationships],Table1[Social Networks and Relationships2]),"")))</f>
        <v/>
      </c>
      <c r="FO246" s="44" t="str">
        <f>IF(Table1[Leaving Date]="","",IF(Table1[Date of Initial Assessment]="","",IF(AND(Table1[Leaving Date]&gt;42094,Table1[Leaving Date]&lt;42461),IF(Table1[Date of Last Assessment]="",Table1[Drug and Alcohol Misuse],Table1[Drug and Alcohol Misuse2]),"")))</f>
        <v/>
      </c>
      <c r="FP246" s="44" t="str">
        <f>IF(Table1[Leaving Date]="","",IF(Table1[Date of Initial Assessment]="","",IF(AND(Table1[Leaving Date]&gt;42094,Table1[Leaving Date]&lt;42461),IF(Table1[Date of Last Assessment]="",Table1[Physical Health],Table1[Physical Health2]),"")))</f>
        <v/>
      </c>
      <c r="FQ246" s="44" t="str">
        <f>IF(Table1[Leaving Date]="","",IF(Table1[Date of Initial Assessment]="","",IF(AND(Table1[Leaving Date]&gt;42094,Table1[Leaving Date]&lt;42461),IF(Table1[Date of Last Assessment]="",Table1[Emotional and Mental Health],Table1[Emotional and Mental Health2]),"")))</f>
        <v/>
      </c>
      <c r="FR246" s="44" t="str">
        <f>IF(Table1[Leaving Date]="","",IF(Table1[Date of Initial Assessment]="","",IF(AND(Table1[Leaving Date]&gt;42094,Table1[Leaving Date]&lt;42461),IF(Table1[Date of Last Assessment]="",Table1[Meaningful Use of Time],Table1[Meaningful Use of Time2]),"")))</f>
        <v/>
      </c>
      <c r="FS246" s="44" t="str">
        <f>IF(Table1[Leaving Date]="","",IF(Table1[Date of Initial Assessment]="","",IF(AND(Table1[Leaving Date]&gt;42094,Table1[Leaving Date]&lt;42461),IF(Table1[Date of Last Assessment]="",Table1[Managing Tenancy and Accommodation],Table1[Managing Tenancy and Accommodation2]),"")))</f>
        <v/>
      </c>
      <c r="FT246" s="44" t="str">
        <f>IF(Table1[Leaving Date]="","",IF(Table1[Date of Initial Assessment]="","",IF(AND(Table1[Leaving Date]&gt;42094,Table1[Leaving Date]&lt;42461),IF(Table1[Date of Last Assessment]="",Table1[Offending],Table1[Offending2]),"")))</f>
        <v/>
      </c>
      <c r="FU246" s="44" t="str">
        <f>IF(Table1[Date of Initial Assessment]="","",IF(AND(Table1[Start Date]&gt;42460,Table1[Start Date]&lt;42826),Table1[Motivation and Taking Responsibility],""))</f>
        <v/>
      </c>
      <c r="FV246" s="44" t="str">
        <f>IF(Table1[Date of Initial Assessment]="","",IF(AND(Table1[Start Date]&gt;42460,Table1[Start Date]&lt;42826),Table1[Self-Care and Living Skills],""))</f>
        <v/>
      </c>
      <c r="FW246" s="44" t="str">
        <f>IF(Table1[Date of Initial Assessment]="","",IF(AND(Table1[Start Date]&gt;42460,Table1[Start Date]&lt;42826),Table1[Managing Money and Personal Administration],""))</f>
        <v/>
      </c>
      <c r="FX246" s="44" t="str">
        <f>IF(Table1[Date of Initial Assessment]="","",IF(AND(Table1[Start Date]&gt;42460,Table1[Start Date]&lt;42826),Table1[Social Networks and Relationships],""))</f>
        <v/>
      </c>
      <c r="FY246" s="44" t="str">
        <f>IF(Table1[Date of Initial Assessment]="","",IF(AND(Table1[Start Date]&gt;42460,Table1[Start Date]&lt;42826),Table1[Drug and Alcohol Misuse],""))</f>
        <v/>
      </c>
      <c r="FZ246" s="44" t="str">
        <f>IF(Table1[Date of Initial Assessment]="","",IF(AND(Table1[Start Date]&gt;42460,Table1[Start Date]&lt;42826),Table1[Physical Health],""))</f>
        <v/>
      </c>
      <c r="GA246" s="44" t="str">
        <f>IF(Table1[Date of Initial Assessment]="","",IF(AND(Table1[Start Date]&gt;42460,Table1[Start Date]&lt;42826),Table1[Emotional and Mental Health],""))</f>
        <v/>
      </c>
      <c r="GB246" s="44" t="str">
        <f>IF(Table1[Date of Initial Assessment]="","",IF(AND(Table1[Start Date]&gt;42460,Table1[Start Date]&lt;42826),Table1[Meaningful Use of Time],""))</f>
        <v/>
      </c>
      <c r="GC246" s="44" t="str">
        <f>IF(Table1[Date of Initial Assessment]="","",IF(AND(Table1[Start Date]&gt;42460,Table1[Start Date]&lt;42826),Table1[Managing Tenancy and Accommodation],""))</f>
        <v/>
      </c>
      <c r="GD246" s="44" t="str">
        <f>IF(Table1[Date of Initial Assessment]="","",IF(AND(Table1[Start Date]&gt;42460,Table1[Start Date]&lt;42826),Table1[Offending],""))</f>
        <v/>
      </c>
      <c r="GE246" s="44" t="str">
        <f>IF(Table1[Leaving Date]="","",IF(AND(Table1[Leaving Date]&gt;42460,Table1[Leaving Date]&lt;42826),IF(Table1[Date of Last Assessment]="",Table1[Motivation and Taking Responsibility],Table1[Motivation and Taking Responsibility2]),""))</f>
        <v/>
      </c>
      <c r="GF246" s="44" t="str">
        <f>IF(Table1[Leaving Date]="","",IF(AND(Table1[Leaving Date]&gt;42460,Table1[Leaving Date]&lt;42826),IF(Table1[Date of Last Assessment]="",Table1[Self-Care and Living Skills],Table1[Self-Care and Living Skills2]),""))</f>
        <v/>
      </c>
      <c r="GG246" s="44" t="str">
        <f>IF(Table1[Leaving Date]="","",IF(AND(Table1[Leaving Date]&gt;42460,Table1[Leaving Date]&lt;42826),IF(Table1[Date of Last Assessment]="",Table1[Managing Money and Personal Administration],Table1[Managing Money and Personal Administration2]),""))</f>
        <v/>
      </c>
      <c r="GH246" s="44" t="str">
        <f>IF(Table1[Leaving Date]="","",IF(AND(Table1[Leaving Date]&gt;42460,Table1[Leaving Date]&lt;42826),IF(Table1[Date of Last Assessment]="",Table1[Social Networks and Relationships],Table1[Social Networks and Relationships2]),""))</f>
        <v/>
      </c>
      <c r="GI246" s="44" t="str">
        <f>IF(Table1[Leaving Date]="","",IF(AND(Table1[Leaving Date]&gt;42460,Table1[Leaving Date]&lt;42826),IF(Table1[Date of Last Assessment]="",Table1[Drug and Alcohol Misuse],Table1[Drug and Alcohol Misuse2]),""))</f>
        <v/>
      </c>
      <c r="GJ246" s="44" t="str">
        <f>IF(Table1[Leaving Date]="","",IF(AND(Table1[Leaving Date]&gt;42460,Table1[Leaving Date]&lt;42826),IF(Table1[Date of Last Assessment]="",Table1[Physical Health],Table1[Physical Health2]),""))</f>
        <v/>
      </c>
      <c r="GK246" s="44" t="str">
        <f>IF(Table1[Leaving Date]="","",IF(AND(Table1[Leaving Date]&gt;42460,Table1[Leaving Date]&lt;42826),IF(Table1[Date of Last Assessment]="",Table1[Emotional and Mental Health],Table1[Emotional and Mental Health2]),""))</f>
        <v/>
      </c>
      <c r="GL246" s="44" t="str">
        <f>IF(Table1[Leaving Date]="","",IF(AND(Table1[Leaving Date]&gt;42460,Table1[Leaving Date]&lt;42826),IF(Table1[Date of Last Assessment]="",Table1[Meaningful Use of Time],Table1[Meaningful Use of Time2]),""))</f>
        <v/>
      </c>
      <c r="GM246" s="44" t="str">
        <f>IF(Table1[Leaving Date]="","",IF(AND(Table1[Leaving Date]&gt;42460,Table1[Leaving Date]&lt;42826),IF(Table1[Date of Last Assessment]="",Table1[Managing Tenancy and Accommodation],Table1[Managing Tenancy and Accommodation2]),""))</f>
        <v/>
      </c>
      <c r="GN246" s="44" t="str">
        <f>IF(Table1[Leaving Date]="","",IF(AND(Table1[Leaving Date]&gt;42460,Table1[Leaving Date]&lt;42826),IF(Table1[Date of Last Assessment]="",Table1[Offending],Table1[Offending2]),""))</f>
        <v/>
      </c>
    </row>
    <row r="247" spans="2:196" ht="20.100000000000001" customHeight="1" x14ac:dyDescent="0.2">
      <c r="B247" s="86">
        <f>+'Service Data'!$C$5:$C$5</f>
        <v>0</v>
      </c>
      <c r="C247" s="86"/>
      <c r="D247" s="86"/>
      <c r="E247" s="86"/>
      <c r="F247" s="86"/>
      <c r="G247" s="86"/>
      <c r="H247" s="6"/>
      <c r="I247" s="99" t="str">
        <f ca="1">IF(Table1[[#This Row],[Date of Birth]]="","",SUM(TODAY()-Table1[[#This Row],[Date of Birth]])/365)</f>
        <v/>
      </c>
      <c r="L247" s="86"/>
      <c r="M247" s="77"/>
      <c r="N247" s="86"/>
      <c r="O247" s="86"/>
      <c r="P247" s="91"/>
      <c r="Q247" s="86"/>
      <c r="R247" s="77"/>
      <c r="S247" s="77"/>
      <c r="T247" s="68"/>
      <c r="U247" s="68"/>
      <c r="V247" s="67"/>
      <c r="W247" s="67"/>
      <c r="X247" s="67"/>
      <c r="Y247" s="67"/>
      <c r="Z247" s="67"/>
      <c r="AA247" s="67"/>
      <c r="AB247" s="67"/>
      <c r="AC247" s="67"/>
      <c r="AD247" s="67"/>
      <c r="AE247" s="67"/>
      <c r="AF247" s="67"/>
      <c r="AG247" s="67"/>
      <c r="AH247" s="67"/>
      <c r="AI247" s="67"/>
      <c r="AJ247" s="67"/>
      <c r="AK247" s="67"/>
      <c r="AL247" s="67"/>
      <c r="AM247" s="67"/>
      <c r="AN247" s="77"/>
      <c r="AO247" s="76"/>
      <c r="AP247" s="77"/>
      <c r="AQ247" s="76"/>
      <c r="AR247" s="76"/>
      <c r="AS247" s="76"/>
      <c r="AT247" s="76"/>
      <c r="AU247" s="76"/>
      <c r="AV247" s="77"/>
      <c r="AW247" s="76"/>
      <c r="AX247" s="77"/>
      <c r="AY247" s="76"/>
      <c r="AZ247" s="76"/>
      <c r="BA247" s="76"/>
      <c r="BB247" s="76"/>
      <c r="BC247" s="76"/>
      <c r="BD247" s="77"/>
      <c r="BE247" s="76"/>
      <c r="BF247" s="77"/>
      <c r="BG247" s="76"/>
      <c r="BH247" s="76"/>
      <c r="BI247" s="76"/>
      <c r="BJ247" s="76"/>
      <c r="BK247" s="76"/>
      <c r="BL247" s="77"/>
      <c r="BM247" s="76"/>
      <c r="BN247" s="77"/>
      <c r="BO247" s="76"/>
      <c r="BP247" s="76"/>
      <c r="BQ247" s="76"/>
      <c r="BR247" s="76"/>
      <c r="BS247" s="76"/>
      <c r="BT247" s="77"/>
      <c r="BU247" s="76"/>
      <c r="BV247" s="77"/>
      <c r="BW247" s="76"/>
      <c r="BX247" s="76"/>
      <c r="BY247" s="76"/>
      <c r="BZ247" s="76"/>
      <c r="CA247" s="76"/>
      <c r="CB247" s="77"/>
      <c r="CC247" s="76"/>
      <c r="CD247" s="77"/>
      <c r="CE247" s="76"/>
      <c r="CF247" s="76"/>
      <c r="CG247" s="76"/>
      <c r="CH247" s="76"/>
      <c r="CI247" s="76"/>
      <c r="CJ247" s="77"/>
      <c r="CK247" s="76"/>
      <c r="CL247" s="77"/>
      <c r="CM247" s="76"/>
      <c r="CN247" s="76"/>
      <c r="CO247" s="76"/>
      <c r="CP247" s="76"/>
      <c r="CQ247" s="76"/>
      <c r="CR247" s="78" t="str">
        <f t="shared" si="63"/>
        <v/>
      </c>
      <c r="CS247" s="79" t="str">
        <f t="shared" si="64"/>
        <v/>
      </c>
      <c r="CT247" s="79" t="str">
        <f t="shared" si="65"/>
        <v/>
      </c>
      <c r="CU247" s="79" t="str">
        <f t="shared" si="66"/>
        <v/>
      </c>
      <c r="CV247" s="79" t="str">
        <f t="shared" si="67"/>
        <v/>
      </c>
      <c r="CW247" s="79" t="str">
        <f t="shared" si="68"/>
        <v/>
      </c>
      <c r="CX247" s="79" t="str">
        <f t="shared" si="69"/>
        <v/>
      </c>
      <c r="CY247" s="79" t="str">
        <f t="shared" si="70"/>
        <v/>
      </c>
      <c r="CZ247" s="79" t="str">
        <f t="shared" si="71"/>
        <v/>
      </c>
      <c r="DA247" s="79" t="str">
        <f t="shared" si="72"/>
        <v/>
      </c>
      <c r="DB247" s="79" t="str">
        <f t="shared" si="73"/>
        <v/>
      </c>
      <c r="DC247" s="79" t="str">
        <f t="shared" si="74"/>
        <v/>
      </c>
      <c r="DD247" s="79" t="str">
        <f t="shared" si="75"/>
        <v/>
      </c>
      <c r="DE247" s="79" t="str">
        <f t="shared" si="76"/>
        <v/>
      </c>
      <c r="DF247" s="79" t="str">
        <f t="shared" si="77"/>
        <v/>
      </c>
      <c r="DG247" s="79" t="str">
        <f t="shared" si="78"/>
        <v/>
      </c>
      <c r="DH247" s="76"/>
      <c r="DI247" s="78"/>
      <c r="DJ247" s="76"/>
      <c r="DK247" s="77"/>
      <c r="DL247" s="77"/>
      <c r="DM247" s="77"/>
      <c r="DN247" s="80"/>
      <c r="DO247" s="80"/>
      <c r="DP247" s="92" t="str">
        <f>IF(Table1[Start Date]="","",IF(Table1[Start Date]&gt;42185,"",IF(AND(Table1[Leaving Date]&gt;1,Table1[Leaving Date]&lt;42095),"",1)))</f>
        <v/>
      </c>
      <c r="DQ247" s="92" t="str">
        <f>IF(Table1[Start Date]="","",IF(Table1[Start Date]&gt;42277,"",IF(AND(Table1[Leaving Date]&gt;1,Table1[Leaving Date]&lt;42186),"",1)))</f>
        <v/>
      </c>
      <c r="DR247" s="92" t="str">
        <f>IF(Table1[Start Date]="","",IF(Table1[Start Date]&gt;42369,"",IF(AND(Table1[Leaving Date]&gt;1,Table1[Leaving Date]&lt;42278),"",1)))</f>
        <v/>
      </c>
      <c r="DS247" s="92" t="str">
        <f>IF(Table1[Start Date]="","",IF(Table1[Start Date]&gt;42460,"",IF(AND(Table1[Leaving Date]&gt;1,Table1[Leaving Date]&lt;42370),"",1)))</f>
        <v/>
      </c>
      <c r="DT247" s="92" t="str">
        <f>IF(Table1[Start Date]="","",IF(Table1[Start Date]&gt;42551,"",IF(AND(Table1[Leaving Date]&gt;1,Table1[Leaving Date]&lt;42461),"",1)))</f>
        <v/>
      </c>
      <c r="DU247" s="92" t="str">
        <f>IF(Table1[Start Date]="","",IF(Table1[Start Date]&gt;42643,"",IF(AND(Table1[Leaving Date]&gt;1,Table1[Leaving Date]&lt;42552),"",1)))</f>
        <v/>
      </c>
      <c r="DV247" s="92" t="str">
        <f>IF(Table1[Start Date]="","",IF(Table1[Start Date]&gt;42735,"",IF(AND(Table1[Leaving Date]&gt;1,Table1[Leaving Date]&lt;42644),"",1)))</f>
        <v/>
      </c>
      <c r="DW247" s="92" t="str">
        <f>IF(Table1[Start Date]="","",IF(Table1[Start Date]&gt;42825,"",IF(AND(Table1[Leaving Date]&gt;1,Table1[Leaving Date]&lt;42736),"",1)))</f>
        <v/>
      </c>
      <c r="DX247"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247" s="44" t="e">
        <f>VLOOKUP(Table1[Referral Source],Lists!$G$2:$H$20,2,FALSE)</f>
        <v>#N/A</v>
      </c>
      <c r="DZ247" s="93" t="e">
        <f>SUM(Table1[Data Referral Quarter]+Table1[Data Referral Source])</f>
        <v>#N/A</v>
      </c>
      <c r="EA247" s="44" t="b">
        <f>IF(Table1[Referral Decision]="Accepted",100,IF(Table1[Referral Decision]="Rejected by Provider",200,IF(Table1[Referral Decision]="Rejected by Applicant",300)))</f>
        <v>0</v>
      </c>
      <c r="EB247" s="44">
        <f>SUM(Table1[Data Referral Quarter]+Table1[Data Referral Decision])</f>
        <v>0</v>
      </c>
      <c r="EC247" s="44" t="b">
        <f>IF(Table1[Start Date]&gt;42735,8000,IF(Table1[Start Date]&gt;42643,7000,IF(Table1[Start Date]&gt;42551,6000,IF(Table1[Start Date]&gt;42460,5000,IF(Table1[Start Date]&gt;42369,4000,IF(Table1[Start Date]&gt;42277,3000,IF(Table1[Start Date]&gt;42185,2000,IF(Table1[Start Date]&gt;42094,1000))))))))</f>
        <v>0</v>
      </c>
      <c r="ED247" s="44" t="str">
        <f>IF(Table1[Start Date]="","",IF(Table1[Current Local Authority]="Swindon",1,"2"))</f>
        <v/>
      </c>
      <c r="EE247" s="44" t="e">
        <f>SUM(Table1[Data Start Date]+Table1[Data Local Authority])</f>
        <v>#VALUE!</v>
      </c>
      <c r="EF247" s="44">
        <f>IF(Table1[Registered with GP]="Yes",1,0)</f>
        <v>0</v>
      </c>
      <c r="EG247" s="44">
        <f>SUM(Table1[Data Start Date]+Table1[Data GP Start])</f>
        <v>0</v>
      </c>
      <c r="EH247" s="44" t="str">
        <f>IF(Table1[EET]="NEET",1,IF(Table1[EET]="Education",2,IF(Table1[EET]="Employment",2,IF(Table1[EET]="Training",2,IF(Table1[EET]="Retired",3,"")))))</f>
        <v/>
      </c>
      <c r="EI247" s="44" t="e">
        <f>Table1[Data Start Date]+Table1[Data EET Start]</f>
        <v>#VALUE!</v>
      </c>
      <c r="EJ247" s="44" t="b">
        <f>IF(Table1[Leaving Date]&gt;42735,8000,IF(Table1[Leaving Date]&gt;42643,7000,IF(Table1[Leaving Date]&gt;42551,6000,IF(Table1[Leaving Date]&gt;42460,5000,IF(Table1[Leaving Date]&gt;42369,4000,IF(Table1[Leaving Date]&gt;42277,3000,IF(Table1[Leaving Date]&gt;42185,2000,IF(Table1[Leaving Date]&gt;42094,1000))))))))</f>
        <v>0</v>
      </c>
      <c r="EK247" s="44" t="e">
        <f>VLOOKUP(Table1[Reason for Leaving],Lists!$T$2:$U$15,2,FALSE)</f>
        <v>#N/A</v>
      </c>
      <c r="EL247" s="44" t="e">
        <f>SUM(Table1[Data Leavers Date]+Table1[Data Move On])</f>
        <v>#N/A</v>
      </c>
      <c r="EM247" s="44" t="b">
        <f>IF(Table1[Registered with GP2]="Yes",1,IF(Table1[Registered with GP2]="No",0,IF(Table1[Registered with GP]="Yes",1,IF(Table1[Registered with GP]="No",0))))</f>
        <v>0</v>
      </c>
      <c r="EN247" s="44">
        <f>SUM(Table1[Data Leavers Date]+Table1[Data GP End])</f>
        <v>0</v>
      </c>
      <c r="EO247" s="44" t="str">
        <f>IF(Table1[EET2]="NEET",1,IF(Table1[EET2]="Employment",2,IF(Table1[EET2]="Education",2,IF(Table1[EET2]="Training",2,IF(Table1[EET2]="Retired",3,IF(Table1[EET]="NEET",1,IF(Table1[EET]="Employment",2,IF(Table1[EET]="Education",2,IF(Table1[EET]="Training",2,IF(Table1[EET]="Retired",3,""))))))))))</f>
        <v/>
      </c>
      <c r="EP247" s="44" t="e">
        <f>+Table1[[#This Row],[Data Leavers Date]]+Table1[[#This Row],[Data EET End]]</f>
        <v>#VALUE!</v>
      </c>
      <c r="EQ247" s="44">
        <f>IF(Table1[Exit Form Received]="Yes",1,0)</f>
        <v>0</v>
      </c>
      <c r="ER247" s="44">
        <f>+Table1[[#This Row],[Data Leavers Date]]+Table1[[#This Row],[Data Exit Forms]]</f>
        <v>0</v>
      </c>
      <c r="ES247" s="44" t="str">
        <f>IF(Table1[Data Leavers Date]=1000,SUM(Table1[Leaving Date]-Table1[Start Date]),"")</f>
        <v/>
      </c>
      <c r="ET247" s="44" t="str">
        <f>IF(Table1[Data Leavers Date]=2000,SUM(Table1[Leaving Date]-Table1[Start Date]),"")</f>
        <v/>
      </c>
      <c r="EU247" s="44" t="str">
        <f>IF(Table1[Data Leavers Date]=3000,SUM(Table1[Leaving Date]-Table1[Start Date]),"")</f>
        <v/>
      </c>
      <c r="EV247" s="44" t="str">
        <f>IF(Table1[Data Leavers Date]=4000,SUM(Table1[Leaving Date]-Table1[Start Date]),"")</f>
        <v/>
      </c>
      <c r="EW247" s="44" t="str">
        <f>IF(Table1[Data Leavers Date]=5000,SUM(Table1[Leaving Date]-Table1[Start Date]),"")</f>
        <v/>
      </c>
      <c r="EX247" s="44" t="str">
        <f>IF(Table1[Data Leavers Date]=6000,SUM(Table1[Leaving Date]-Table1[Start Date]),"")</f>
        <v/>
      </c>
      <c r="EY247" s="44" t="str">
        <f>IF(Table1[Data Leavers Date]=7000,SUM(Table1[Leaving Date]-Table1[Start Date]),"")</f>
        <v/>
      </c>
      <c r="EZ247" s="44" t="str">
        <f>IF(Table1[Data Leavers Date]=8000,SUM(Table1[Leaving Date]-Table1[Start Date]),"")</f>
        <v/>
      </c>
      <c r="FA247" s="44" t="str">
        <f>IF(Table1[Date of Initial Assessment]="","",IF(AND(Table1[Start Date]&gt;42094,Table1[Start Date]&lt;42461),Table1[Motivation and Taking Responsibility],""))</f>
        <v/>
      </c>
      <c r="FB247" s="44" t="str">
        <f>IF(Table1[Date of Initial Assessment]="","",IF(AND(Table1[Start Date]&gt;42094,Table1[Start Date]&lt;42461),Table1[Self-Care and Living Skills],""))</f>
        <v/>
      </c>
      <c r="FC247" s="44" t="str">
        <f>IF(Table1[Date of Initial Assessment]="","",IF(AND(Table1[Start Date]&gt;42094,Table1[Start Date]&lt;42461),Table1[Managing Money and Personal Administration],""))</f>
        <v/>
      </c>
      <c r="FD247" s="44" t="str">
        <f>IF(Table1[Date of Initial Assessment]="","",IF(AND(Table1[Start Date]&gt;42094,Table1[Start Date]&lt;42461),Table1[Social Networks and Relationships],""))</f>
        <v/>
      </c>
      <c r="FE247" s="44" t="str">
        <f>IF(Table1[Date of Initial Assessment]="","",IF(AND(Table1[Start Date]&gt;42094,Table1[Start Date]&lt;42461),Table1[Drug and Alcohol Misuse],""))</f>
        <v/>
      </c>
      <c r="FF247" s="44" t="str">
        <f>IF(Table1[Date of Initial Assessment]="","",IF(AND(Table1[Start Date]&gt;42094,Table1[Start Date]&lt;42461),Table1[Physical Health],""))</f>
        <v/>
      </c>
      <c r="FG247" s="44" t="str">
        <f>IF(Table1[Date of Initial Assessment]="","",IF(AND(Table1[Start Date]&gt;42094,Table1[Start Date]&lt;42461),Table1[Emotional and Mental Health],""))</f>
        <v/>
      </c>
      <c r="FH247" s="44" t="str">
        <f>IF(Table1[Date of Initial Assessment]="","",IF(AND(Table1[Start Date]&gt;42094,Table1[Start Date]&lt;42461),Table1[Meaningful Use of Time],""))</f>
        <v/>
      </c>
      <c r="FI247" s="44" t="str">
        <f>IF(Table1[Date of Initial Assessment]="","",IF(AND(Table1[Start Date]&gt;42094,Table1[Start Date]&lt;42461),Table1[Managing Tenancy and Accommodation],""))</f>
        <v/>
      </c>
      <c r="FJ247" s="44" t="str">
        <f>IF(Table1[Date of Initial Assessment]="","",IF(AND(Table1[Start Date]&gt;42094,Table1[Start Date]&lt;42461),Table1[Offending],""))</f>
        <v/>
      </c>
      <c r="FK247" s="44" t="str">
        <f>IF(Table1[Leaving Date]="","",IF(Table1[Date of Initial Assessment]="","",IF(AND(Table1[Leaving Date]&gt;42094,Table1[Leaving Date]&lt;42461),IF(Table1[Date of Last Assessment]="",Table1[Motivation and Taking Responsibility],Table1[Motivation and Taking Responsibility2]),"")))</f>
        <v/>
      </c>
      <c r="FL247" s="44" t="str">
        <f>IF(Table1[Leaving Date]="","",IF(Table1[Date of Initial Assessment]="","",IF(AND(Table1[Leaving Date]&gt;42094,Table1[Leaving Date]&lt;42461),IF(Table1[Date of Last Assessment]="",Table1[Self-Care and Living Skills],Table1[Self-Care and Living Skills2]),"")))</f>
        <v/>
      </c>
      <c r="FM247" s="44" t="str">
        <f>IF(Table1[Leaving Date]="","",IF(Table1[Date of Initial Assessment]="","",IF(AND(Table1[Leaving Date]&gt;42094,Table1[Leaving Date]&lt;42461),IF(Table1[Date of Last Assessment]="",Table1[Managing Money and Personal Administration],Table1[Managing Money and Personal Administration2]),"")))</f>
        <v/>
      </c>
      <c r="FN247" s="44" t="str">
        <f>IF(Table1[Leaving Date]="","",IF(Table1[Date of Initial Assessment]="","",IF(AND(Table1[Leaving Date]&gt;42094,Table1[Leaving Date]&lt;42461),IF(Table1[Date of Last Assessment]="",Table1[Social Networks and Relationships],Table1[Social Networks and Relationships2]),"")))</f>
        <v/>
      </c>
      <c r="FO247" s="44" t="str">
        <f>IF(Table1[Leaving Date]="","",IF(Table1[Date of Initial Assessment]="","",IF(AND(Table1[Leaving Date]&gt;42094,Table1[Leaving Date]&lt;42461),IF(Table1[Date of Last Assessment]="",Table1[Drug and Alcohol Misuse],Table1[Drug and Alcohol Misuse2]),"")))</f>
        <v/>
      </c>
      <c r="FP247" s="44" t="str">
        <f>IF(Table1[Leaving Date]="","",IF(Table1[Date of Initial Assessment]="","",IF(AND(Table1[Leaving Date]&gt;42094,Table1[Leaving Date]&lt;42461),IF(Table1[Date of Last Assessment]="",Table1[Physical Health],Table1[Physical Health2]),"")))</f>
        <v/>
      </c>
      <c r="FQ247" s="44" t="str">
        <f>IF(Table1[Leaving Date]="","",IF(Table1[Date of Initial Assessment]="","",IF(AND(Table1[Leaving Date]&gt;42094,Table1[Leaving Date]&lt;42461),IF(Table1[Date of Last Assessment]="",Table1[Emotional and Mental Health],Table1[Emotional and Mental Health2]),"")))</f>
        <v/>
      </c>
      <c r="FR247" s="44" t="str">
        <f>IF(Table1[Leaving Date]="","",IF(Table1[Date of Initial Assessment]="","",IF(AND(Table1[Leaving Date]&gt;42094,Table1[Leaving Date]&lt;42461),IF(Table1[Date of Last Assessment]="",Table1[Meaningful Use of Time],Table1[Meaningful Use of Time2]),"")))</f>
        <v/>
      </c>
      <c r="FS247" s="44" t="str">
        <f>IF(Table1[Leaving Date]="","",IF(Table1[Date of Initial Assessment]="","",IF(AND(Table1[Leaving Date]&gt;42094,Table1[Leaving Date]&lt;42461),IF(Table1[Date of Last Assessment]="",Table1[Managing Tenancy and Accommodation],Table1[Managing Tenancy and Accommodation2]),"")))</f>
        <v/>
      </c>
      <c r="FT247" s="44" t="str">
        <f>IF(Table1[Leaving Date]="","",IF(Table1[Date of Initial Assessment]="","",IF(AND(Table1[Leaving Date]&gt;42094,Table1[Leaving Date]&lt;42461),IF(Table1[Date of Last Assessment]="",Table1[Offending],Table1[Offending2]),"")))</f>
        <v/>
      </c>
      <c r="FU247" s="44" t="str">
        <f>IF(Table1[Date of Initial Assessment]="","",IF(AND(Table1[Start Date]&gt;42460,Table1[Start Date]&lt;42826),Table1[Motivation and Taking Responsibility],""))</f>
        <v/>
      </c>
      <c r="FV247" s="44" t="str">
        <f>IF(Table1[Date of Initial Assessment]="","",IF(AND(Table1[Start Date]&gt;42460,Table1[Start Date]&lt;42826),Table1[Self-Care and Living Skills],""))</f>
        <v/>
      </c>
      <c r="FW247" s="44" t="str">
        <f>IF(Table1[Date of Initial Assessment]="","",IF(AND(Table1[Start Date]&gt;42460,Table1[Start Date]&lt;42826),Table1[Managing Money and Personal Administration],""))</f>
        <v/>
      </c>
      <c r="FX247" s="44" t="str">
        <f>IF(Table1[Date of Initial Assessment]="","",IF(AND(Table1[Start Date]&gt;42460,Table1[Start Date]&lt;42826),Table1[Social Networks and Relationships],""))</f>
        <v/>
      </c>
      <c r="FY247" s="44" t="str">
        <f>IF(Table1[Date of Initial Assessment]="","",IF(AND(Table1[Start Date]&gt;42460,Table1[Start Date]&lt;42826),Table1[Drug and Alcohol Misuse],""))</f>
        <v/>
      </c>
      <c r="FZ247" s="44" t="str">
        <f>IF(Table1[Date of Initial Assessment]="","",IF(AND(Table1[Start Date]&gt;42460,Table1[Start Date]&lt;42826),Table1[Physical Health],""))</f>
        <v/>
      </c>
      <c r="GA247" s="44" t="str">
        <f>IF(Table1[Date of Initial Assessment]="","",IF(AND(Table1[Start Date]&gt;42460,Table1[Start Date]&lt;42826),Table1[Emotional and Mental Health],""))</f>
        <v/>
      </c>
      <c r="GB247" s="44" t="str">
        <f>IF(Table1[Date of Initial Assessment]="","",IF(AND(Table1[Start Date]&gt;42460,Table1[Start Date]&lt;42826),Table1[Meaningful Use of Time],""))</f>
        <v/>
      </c>
      <c r="GC247" s="44" t="str">
        <f>IF(Table1[Date of Initial Assessment]="","",IF(AND(Table1[Start Date]&gt;42460,Table1[Start Date]&lt;42826),Table1[Managing Tenancy and Accommodation],""))</f>
        <v/>
      </c>
      <c r="GD247" s="44" t="str">
        <f>IF(Table1[Date of Initial Assessment]="","",IF(AND(Table1[Start Date]&gt;42460,Table1[Start Date]&lt;42826),Table1[Offending],""))</f>
        <v/>
      </c>
      <c r="GE247" s="44" t="str">
        <f>IF(Table1[Leaving Date]="","",IF(AND(Table1[Leaving Date]&gt;42460,Table1[Leaving Date]&lt;42826),IF(Table1[Date of Last Assessment]="",Table1[Motivation and Taking Responsibility],Table1[Motivation and Taking Responsibility2]),""))</f>
        <v/>
      </c>
      <c r="GF247" s="44" t="str">
        <f>IF(Table1[Leaving Date]="","",IF(AND(Table1[Leaving Date]&gt;42460,Table1[Leaving Date]&lt;42826),IF(Table1[Date of Last Assessment]="",Table1[Self-Care and Living Skills],Table1[Self-Care and Living Skills2]),""))</f>
        <v/>
      </c>
      <c r="GG247" s="44" t="str">
        <f>IF(Table1[Leaving Date]="","",IF(AND(Table1[Leaving Date]&gt;42460,Table1[Leaving Date]&lt;42826),IF(Table1[Date of Last Assessment]="",Table1[Managing Money and Personal Administration],Table1[Managing Money and Personal Administration2]),""))</f>
        <v/>
      </c>
      <c r="GH247" s="44" t="str">
        <f>IF(Table1[Leaving Date]="","",IF(AND(Table1[Leaving Date]&gt;42460,Table1[Leaving Date]&lt;42826),IF(Table1[Date of Last Assessment]="",Table1[Social Networks and Relationships],Table1[Social Networks and Relationships2]),""))</f>
        <v/>
      </c>
      <c r="GI247" s="44" t="str">
        <f>IF(Table1[Leaving Date]="","",IF(AND(Table1[Leaving Date]&gt;42460,Table1[Leaving Date]&lt;42826),IF(Table1[Date of Last Assessment]="",Table1[Drug and Alcohol Misuse],Table1[Drug and Alcohol Misuse2]),""))</f>
        <v/>
      </c>
      <c r="GJ247" s="44" t="str">
        <f>IF(Table1[Leaving Date]="","",IF(AND(Table1[Leaving Date]&gt;42460,Table1[Leaving Date]&lt;42826),IF(Table1[Date of Last Assessment]="",Table1[Physical Health],Table1[Physical Health2]),""))</f>
        <v/>
      </c>
      <c r="GK247" s="44" t="str">
        <f>IF(Table1[Leaving Date]="","",IF(AND(Table1[Leaving Date]&gt;42460,Table1[Leaving Date]&lt;42826),IF(Table1[Date of Last Assessment]="",Table1[Emotional and Mental Health],Table1[Emotional and Mental Health2]),""))</f>
        <v/>
      </c>
      <c r="GL247" s="44" t="str">
        <f>IF(Table1[Leaving Date]="","",IF(AND(Table1[Leaving Date]&gt;42460,Table1[Leaving Date]&lt;42826),IF(Table1[Date of Last Assessment]="",Table1[Meaningful Use of Time],Table1[Meaningful Use of Time2]),""))</f>
        <v/>
      </c>
      <c r="GM247" s="44" t="str">
        <f>IF(Table1[Leaving Date]="","",IF(AND(Table1[Leaving Date]&gt;42460,Table1[Leaving Date]&lt;42826),IF(Table1[Date of Last Assessment]="",Table1[Managing Tenancy and Accommodation],Table1[Managing Tenancy and Accommodation2]),""))</f>
        <v/>
      </c>
      <c r="GN247" s="44" t="str">
        <f>IF(Table1[Leaving Date]="","",IF(AND(Table1[Leaving Date]&gt;42460,Table1[Leaving Date]&lt;42826),IF(Table1[Date of Last Assessment]="",Table1[Offending],Table1[Offending2]),""))</f>
        <v/>
      </c>
    </row>
    <row r="248" spans="2:196" ht="20.100000000000001" customHeight="1" x14ac:dyDescent="0.2">
      <c r="B248" s="86">
        <f>+'Service Data'!$C$5:$C$5</f>
        <v>0</v>
      </c>
      <c r="C248" s="86"/>
      <c r="D248" s="86"/>
      <c r="E248" s="86"/>
      <c r="F248" s="86"/>
      <c r="G248" s="86"/>
      <c r="H248" s="6"/>
      <c r="I248" s="99" t="str">
        <f ca="1">IF(Table1[[#This Row],[Date of Birth]]="","",SUM(TODAY()-Table1[[#This Row],[Date of Birth]])/365)</f>
        <v/>
      </c>
      <c r="L248" s="86"/>
      <c r="M248" s="77"/>
      <c r="N248" s="86"/>
      <c r="O248" s="86"/>
      <c r="P248" s="91"/>
      <c r="Q248" s="86"/>
      <c r="R248" s="77"/>
      <c r="S248" s="77"/>
      <c r="T248" s="68"/>
      <c r="U248" s="68"/>
      <c r="V248" s="67"/>
      <c r="W248" s="67"/>
      <c r="X248" s="67"/>
      <c r="Y248" s="67"/>
      <c r="Z248" s="67"/>
      <c r="AA248" s="67"/>
      <c r="AB248" s="67"/>
      <c r="AC248" s="67"/>
      <c r="AD248" s="67"/>
      <c r="AE248" s="67"/>
      <c r="AF248" s="67"/>
      <c r="AG248" s="67"/>
      <c r="AH248" s="67"/>
      <c r="AI248" s="67"/>
      <c r="AJ248" s="67"/>
      <c r="AK248" s="67"/>
      <c r="AL248" s="67"/>
      <c r="AM248" s="67"/>
      <c r="AN248" s="77"/>
      <c r="AO248" s="76"/>
      <c r="AP248" s="77"/>
      <c r="AQ248" s="76"/>
      <c r="AR248" s="76"/>
      <c r="AS248" s="76"/>
      <c r="AT248" s="76"/>
      <c r="AU248" s="76"/>
      <c r="AV248" s="77"/>
      <c r="AW248" s="76"/>
      <c r="AX248" s="77"/>
      <c r="AY248" s="76"/>
      <c r="AZ248" s="76"/>
      <c r="BA248" s="76"/>
      <c r="BB248" s="76"/>
      <c r="BC248" s="76"/>
      <c r="BD248" s="77"/>
      <c r="BE248" s="76"/>
      <c r="BF248" s="77"/>
      <c r="BG248" s="76"/>
      <c r="BH248" s="76"/>
      <c r="BI248" s="76"/>
      <c r="BJ248" s="76"/>
      <c r="BK248" s="76"/>
      <c r="BL248" s="77"/>
      <c r="BM248" s="76"/>
      <c r="BN248" s="77"/>
      <c r="BO248" s="76"/>
      <c r="BP248" s="76"/>
      <c r="BQ248" s="76"/>
      <c r="BR248" s="76"/>
      <c r="BS248" s="76"/>
      <c r="BT248" s="77"/>
      <c r="BU248" s="76"/>
      <c r="BV248" s="77"/>
      <c r="BW248" s="76"/>
      <c r="BX248" s="76"/>
      <c r="BY248" s="76"/>
      <c r="BZ248" s="76"/>
      <c r="CA248" s="76"/>
      <c r="CB248" s="77"/>
      <c r="CC248" s="76"/>
      <c r="CD248" s="77"/>
      <c r="CE248" s="76"/>
      <c r="CF248" s="76"/>
      <c r="CG248" s="76"/>
      <c r="CH248" s="76"/>
      <c r="CI248" s="76"/>
      <c r="CJ248" s="77"/>
      <c r="CK248" s="76"/>
      <c r="CL248" s="77"/>
      <c r="CM248" s="76"/>
      <c r="CN248" s="76"/>
      <c r="CO248" s="76"/>
      <c r="CP248" s="76"/>
      <c r="CQ248" s="76"/>
      <c r="CR248" s="78" t="str">
        <f t="shared" si="63"/>
        <v/>
      </c>
      <c r="CS248" s="79" t="str">
        <f t="shared" si="64"/>
        <v/>
      </c>
      <c r="CT248" s="79" t="str">
        <f t="shared" si="65"/>
        <v/>
      </c>
      <c r="CU248" s="79" t="str">
        <f t="shared" si="66"/>
        <v/>
      </c>
      <c r="CV248" s="79" t="str">
        <f t="shared" si="67"/>
        <v/>
      </c>
      <c r="CW248" s="79" t="str">
        <f t="shared" si="68"/>
        <v/>
      </c>
      <c r="CX248" s="79" t="str">
        <f t="shared" si="69"/>
        <v/>
      </c>
      <c r="CY248" s="79" t="str">
        <f t="shared" si="70"/>
        <v/>
      </c>
      <c r="CZ248" s="79" t="str">
        <f t="shared" si="71"/>
        <v/>
      </c>
      <c r="DA248" s="79" t="str">
        <f t="shared" si="72"/>
        <v/>
      </c>
      <c r="DB248" s="79" t="str">
        <f t="shared" si="73"/>
        <v/>
      </c>
      <c r="DC248" s="79" t="str">
        <f t="shared" si="74"/>
        <v/>
      </c>
      <c r="DD248" s="79" t="str">
        <f t="shared" si="75"/>
        <v/>
      </c>
      <c r="DE248" s="79" t="str">
        <f t="shared" si="76"/>
        <v/>
      </c>
      <c r="DF248" s="79" t="str">
        <f t="shared" si="77"/>
        <v/>
      </c>
      <c r="DG248" s="79" t="str">
        <f t="shared" si="78"/>
        <v/>
      </c>
      <c r="DH248" s="76"/>
      <c r="DI248" s="78"/>
      <c r="DJ248" s="76"/>
      <c r="DK248" s="77"/>
      <c r="DL248" s="77"/>
      <c r="DM248" s="77"/>
      <c r="DN248" s="80"/>
      <c r="DO248" s="80"/>
      <c r="DP248" s="92" t="str">
        <f>IF(Table1[Start Date]="","",IF(Table1[Start Date]&gt;42185,"",IF(AND(Table1[Leaving Date]&gt;1,Table1[Leaving Date]&lt;42095),"",1)))</f>
        <v/>
      </c>
      <c r="DQ248" s="92" t="str">
        <f>IF(Table1[Start Date]="","",IF(Table1[Start Date]&gt;42277,"",IF(AND(Table1[Leaving Date]&gt;1,Table1[Leaving Date]&lt;42186),"",1)))</f>
        <v/>
      </c>
      <c r="DR248" s="92" t="str">
        <f>IF(Table1[Start Date]="","",IF(Table1[Start Date]&gt;42369,"",IF(AND(Table1[Leaving Date]&gt;1,Table1[Leaving Date]&lt;42278),"",1)))</f>
        <v/>
      </c>
      <c r="DS248" s="92" t="str">
        <f>IF(Table1[Start Date]="","",IF(Table1[Start Date]&gt;42460,"",IF(AND(Table1[Leaving Date]&gt;1,Table1[Leaving Date]&lt;42370),"",1)))</f>
        <v/>
      </c>
      <c r="DT248" s="92" t="str">
        <f>IF(Table1[Start Date]="","",IF(Table1[Start Date]&gt;42551,"",IF(AND(Table1[Leaving Date]&gt;1,Table1[Leaving Date]&lt;42461),"",1)))</f>
        <v/>
      </c>
      <c r="DU248" s="92" t="str">
        <f>IF(Table1[Start Date]="","",IF(Table1[Start Date]&gt;42643,"",IF(AND(Table1[Leaving Date]&gt;1,Table1[Leaving Date]&lt;42552),"",1)))</f>
        <v/>
      </c>
      <c r="DV248" s="92" t="str">
        <f>IF(Table1[Start Date]="","",IF(Table1[Start Date]&gt;42735,"",IF(AND(Table1[Leaving Date]&gt;1,Table1[Leaving Date]&lt;42644),"",1)))</f>
        <v/>
      </c>
      <c r="DW248" s="92" t="str">
        <f>IF(Table1[Start Date]="","",IF(Table1[Start Date]&gt;42825,"",IF(AND(Table1[Leaving Date]&gt;1,Table1[Leaving Date]&lt;42736),"",1)))</f>
        <v/>
      </c>
      <c r="DX248"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248" s="44" t="e">
        <f>VLOOKUP(Table1[Referral Source],Lists!$G$2:$H$20,2,FALSE)</f>
        <v>#N/A</v>
      </c>
      <c r="DZ248" s="93" t="e">
        <f>SUM(Table1[Data Referral Quarter]+Table1[Data Referral Source])</f>
        <v>#N/A</v>
      </c>
      <c r="EA248" s="44" t="b">
        <f>IF(Table1[Referral Decision]="Accepted",100,IF(Table1[Referral Decision]="Rejected by Provider",200,IF(Table1[Referral Decision]="Rejected by Applicant",300)))</f>
        <v>0</v>
      </c>
      <c r="EB248" s="44">
        <f>SUM(Table1[Data Referral Quarter]+Table1[Data Referral Decision])</f>
        <v>0</v>
      </c>
      <c r="EC248" s="44" t="b">
        <f>IF(Table1[Start Date]&gt;42735,8000,IF(Table1[Start Date]&gt;42643,7000,IF(Table1[Start Date]&gt;42551,6000,IF(Table1[Start Date]&gt;42460,5000,IF(Table1[Start Date]&gt;42369,4000,IF(Table1[Start Date]&gt;42277,3000,IF(Table1[Start Date]&gt;42185,2000,IF(Table1[Start Date]&gt;42094,1000))))))))</f>
        <v>0</v>
      </c>
      <c r="ED248" s="44" t="str">
        <f>IF(Table1[Start Date]="","",IF(Table1[Current Local Authority]="Swindon",1,"2"))</f>
        <v/>
      </c>
      <c r="EE248" s="44" t="e">
        <f>SUM(Table1[Data Start Date]+Table1[Data Local Authority])</f>
        <v>#VALUE!</v>
      </c>
      <c r="EF248" s="44">
        <f>IF(Table1[Registered with GP]="Yes",1,0)</f>
        <v>0</v>
      </c>
      <c r="EG248" s="44">
        <f>SUM(Table1[Data Start Date]+Table1[Data GP Start])</f>
        <v>0</v>
      </c>
      <c r="EH248" s="44" t="str">
        <f>IF(Table1[EET]="NEET",1,IF(Table1[EET]="Education",2,IF(Table1[EET]="Employment",2,IF(Table1[EET]="Training",2,IF(Table1[EET]="Retired",3,"")))))</f>
        <v/>
      </c>
      <c r="EI248" s="44" t="e">
        <f>Table1[Data Start Date]+Table1[Data EET Start]</f>
        <v>#VALUE!</v>
      </c>
      <c r="EJ248" s="44" t="b">
        <f>IF(Table1[Leaving Date]&gt;42735,8000,IF(Table1[Leaving Date]&gt;42643,7000,IF(Table1[Leaving Date]&gt;42551,6000,IF(Table1[Leaving Date]&gt;42460,5000,IF(Table1[Leaving Date]&gt;42369,4000,IF(Table1[Leaving Date]&gt;42277,3000,IF(Table1[Leaving Date]&gt;42185,2000,IF(Table1[Leaving Date]&gt;42094,1000))))))))</f>
        <v>0</v>
      </c>
      <c r="EK248" s="44" t="e">
        <f>VLOOKUP(Table1[Reason for Leaving],Lists!$T$2:$U$15,2,FALSE)</f>
        <v>#N/A</v>
      </c>
      <c r="EL248" s="44" t="e">
        <f>SUM(Table1[Data Leavers Date]+Table1[Data Move On])</f>
        <v>#N/A</v>
      </c>
      <c r="EM248" s="44" t="b">
        <f>IF(Table1[Registered with GP2]="Yes",1,IF(Table1[Registered with GP2]="No",0,IF(Table1[Registered with GP]="Yes",1,IF(Table1[Registered with GP]="No",0))))</f>
        <v>0</v>
      </c>
      <c r="EN248" s="44">
        <f>SUM(Table1[Data Leavers Date]+Table1[Data GP End])</f>
        <v>0</v>
      </c>
      <c r="EO248" s="44" t="str">
        <f>IF(Table1[EET2]="NEET",1,IF(Table1[EET2]="Employment",2,IF(Table1[EET2]="Education",2,IF(Table1[EET2]="Training",2,IF(Table1[EET2]="Retired",3,IF(Table1[EET]="NEET",1,IF(Table1[EET]="Employment",2,IF(Table1[EET]="Education",2,IF(Table1[EET]="Training",2,IF(Table1[EET]="Retired",3,""))))))))))</f>
        <v/>
      </c>
      <c r="EP248" s="44" t="e">
        <f>+Table1[[#This Row],[Data Leavers Date]]+Table1[[#This Row],[Data EET End]]</f>
        <v>#VALUE!</v>
      </c>
      <c r="EQ248" s="44">
        <f>IF(Table1[Exit Form Received]="Yes",1,0)</f>
        <v>0</v>
      </c>
      <c r="ER248" s="44">
        <f>+Table1[[#This Row],[Data Leavers Date]]+Table1[[#This Row],[Data Exit Forms]]</f>
        <v>0</v>
      </c>
      <c r="ES248" s="44" t="str">
        <f>IF(Table1[Data Leavers Date]=1000,SUM(Table1[Leaving Date]-Table1[Start Date]),"")</f>
        <v/>
      </c>
      <c r="ET248" s="44" t="str">
        <f>IF(Table1[Data Leavers Date]=2000,SUM(Table1[Leaving Date]-Table1[Start Date]),"")</f>
        <v/>
      </c>
      <c r="EU248" s="44" t="str">
        <f>IF(Table1[Data Leavers Date]=3000,SUM(Table1[Leaving Date]-Table1[Start Date]),"")</f>
        <v/>
      </c>
      <c r="EV248" s="44" t="str">
        <f>IF(Table1[Data Leavers Date]=4000,SUM(Table1[Leaving Date]-Table1[Start Date]),"")</f>
        <v/>
      </c>
      <c r="EW248" s="44" t="str">
        <f>IF(Table1[Data Leavers Date]=5000,SUM(Table1[Leaving Date]-Table1[Start Date]),"")</f>
        <v/>
      </c>
      <c r="EX248" s="44" t="str">
        <f>IF(Table1[Data Leavers Date]=6000,SUM(Table1[Leaving Date]-Table1[Start Date]),"")</f>
        <v/>
      </c>
      <c r="EY248" s="44" t="str">
        <f>IF(Table1[Data Leavers Date]=7000,SUM(Table1[Leaving Date]-Table1[Start Date]),"")</f>
        <v/>
      </c>
      <c r="EZ248" s="44" t="str">
        <f>IF(Table1[Data Leavers Date]=8000,SUM(Table1[Leaving Date]-Table1[Start Date]),"")</f>
        <v/>
      </c>
      <c r="FA248" s="44" t="str">
        <f>IF(Table1[Date of Initial Assessment]="","",IF(AND(Table1[Start Date]&gt;42094,Table1[Start Date]&lt;42461),Table1[Motivation and Taking Responsibility],""))</f>
        <v/>
      </c>
      <c r="FB248" s="44" t="str">
        <f>IF(Table1[Date of Initial Assessment]="","",IF(AND(Table1[Start Date]&gt;42094,Table1[Start Date]&lt;42461),Table1[Self-Care and Living Skills],""))</f>
        <v/>
      </c>
      <c r="FC248" s="44" t="str">
        <f>IF(Table1[Date of Initial Assessment]="","",IF(AND(Table1[Start Date]&gt;42094,Table1[Start Date]&lt;42461),Table1[Managing Money and Personal Administration],""))</f>
        <v/>
      </c>
      <c r="FD248" s="44" t="str">
        <f>IF(Table1[Date of Initial Assessment]="","",IF(AND(Table1[Start Date]&gt;42094,Table1[Start Date]&lt;42461),Table1[Social Networks and Relationships],""))</f>
        <v/>
      </c>
      <c r="FE248" s="44" t="str">
        <f>IF(Table1[Date of Initial Assessment]="","",IF(AND(Table1[Start Date]&gt;42094,Table1[Start Date]&lt;42461),Table1[Drug and Alcohol Misuse],""))</f>
        <v/>
      </c>
      <c r="FF248" s="44" t="str">
        <f>IF(Table1[Date of Initial Assessment]="","",IF(AND(Table1[Start Date]&gt;42094,Table1[Start Date]&lt;42461),Table1[Physical Health],""))</f>
        <v/>
      </c>
      <c r="FG248" s="44" t="str">
        <f>IF(Table1[Date of Initial Assessment]="","",IF(AND(Table1[Start Date]&gt;42094,Table1[Start Date]&lt;42461),Table1[Emotional and Mental Health],""))</f>
        <v/>
      </c>
      <c r="FH248" s="44" t="str">
        <f>IF(Table1[Date of Initial Assessment]="","",IF(AND(Table1[Start Date]&gt;42094,Table1[Start Date]&lt;42461),Table1[Meaningful Use of Time],""))</f>
        <v/>
      </c>
      <c r="FI248" s="44" t="str">
        <f>IF(Table1[Date of Initial Assessment]="","",IF(AND(Table1[Start Date]&gt;42094,Table1[Start Date]&lt;42461),Table1[Managing Tenancy and Accommodation],""))</f>
        <v/>
      </c>
      <c r="FJ248" s="44" t="str">
        <f>IF(Table1[Date of Initial Assessment]="","",IF(AND(Table1[Start Date]&gt;42094,Table1[Start Date]&lt;42461),Table1[Offending],""))</f>
        <v/>
      </c>
      <c r="FK248" s="44" t="str">
        <f>IF(Table1[Leaving Date]="","",IF(Table1[Date of Initial Assessment]="","",IF(AND(Table1[Leaving Date]&gt;42094,Table1[Leaving Date]&lt;42461),IF(Table1[Date of Last Assessment]="",Table1[Motivation and Taking Responsibility],Table1[Motivation and Taking Responsibility2]),"")))</f>
        <v/>
      </c>
      <c r="FL248" s="44" t="str">
        <f>IF(Table1[Leaving Date]="","",IF(Table1[Date of Initial Assessment]="","",IF(AND(Table1[Leaving Date]&gt;42094,Table1[Leaving Date]&lt;42461),IF(Table1[Date of Last Assessment]="",Table1[Self-Care and Living Skills],Table1[Self-Care and Living Skills2]),"")))</f>
        <v/>
      </c>
      <c r="FM248" s="44" t="str">
        <f>IF(Table1[Leaving Date]="","",IF(Table1[Date of Initial Assessment]="","",IF(AND(Table1[Leaving Date]&gt;42094,Table1[Leaving Date]&lt;42461),IF(Table1[Date of Last Assessment]="",Table1[Managing Money and Personal Administration],Table1[Managing Money and Personal Administration2]),"")))</f>
        <v/>
      </c>
      <c r="FN248" s="44" t="str">
        <f>IF(Table1[Leaving Date]="","",IF(Table1[Date of Initial Assessment]="","",IF(AND(Table1[Leaving Date]&gt;42094,Table1[Leaving Date]&lt;42461),IF(Table1[Date of Last Assessment]="",Table1[Social Networks and Relationships],Table1[Social Networks and Relationships2]),"")))</f>
        <v/>
      </c>
      <c r="FO248" s="44" t="str">
        <f>IF(Table1[Leaving Date]="","",IF(Table1[Date of Initial Assessment]="","",IF(AND(Table1[Leaving Date]&gt;42094,Table1[Leaving Date]&lt;42461),IF(Table1[Date of Last Assessment]="",Table1[Drug and Alcohol Misuse],Table1[Drug and Alcohol Misuse2]),"")))</f>
        <v/>
      </c>
      <c r="FP248" s="44" t="str">
        <f>IF(Table1[Leaving Date]="","",IF(Table1[Date of Initial Assessment]="","",IF(AND(Table1[Leaving Date]&gt;42094,Table1[Leaving Date]&lt;42461),IF(Table1[Date of Last Assessment]="",Table1[Physical Health],Table1[Physical Health2]),"")))</f>
        <v/>
      </c>
      <c r="FQ248" s="44" t="str">
        <f>IF(Table1[Leaving Date]="","",IF(Table1[Date of Initial Assessment]="","",IF(AND(Table1[Leaving Date]&gt;42094,Table1[Leaving Date]&lt;42461),IF(Table1[Date of Last Assessment]="",Table1[Emotional and Mental Health],Table1[Emotional and Mental Health2]),"")))</f>
        <v/>
      </c>
      <c r="FR248" s="44" t="str">
        <f>IF(Table1[Leaving Date]="","",IF(Table1[Date of Initial Assessment]="","",IF(AND(Table1[Leaving Date]&gt;42094,Table1[Leaving Date]&lt;42461),IF(Table1[Date of Last Assessment]="",Table1[Meaningful Use of Time],Table1[Meaningful Use of Time2]),"")))</f>
        <v/>
      </c>
      <c r="FS248" s="44" t="str">
        <f>IF(Table1[Leaving Date]="","",IF(Table1[Date of Initial Assessment]="","",IF(AND(Table1[Leaving Date]&gt;42094,Table1[Leaving Date]&lt;42461),IF(Table1[Date of Last Assessment]="",Table1[Managing Tenancy and Accommodation],Table1[Managing Tenancy and Accommodation2]),"")))</f>
        <v/>
      </c>
      <c r="FT248" s="44" t="str">
        <f>IF(Table1[Leaving Date]="","",IF(Table1[Date of Initial Assessment]="","",IF(AND(Table1[Leaving Date]&gt;42094,Table1[Leaving Date]&lt;42461),IF(Table1[Date of Last Assessment]="",Table1[Offending],Table1[Offending2]),"")))</f>
        <v/>
      </c>
      <c r="FU248" s="44" t="str">
        <f>IF(Table1[Date of Initial Assessment]="","",IF(AND(Table1[Start Date]&gt;42460,Table1[Start Date]&lt;42826),Table1[Motivation and Taking Responsibility],""))</f>
        <v/>
      </c>
      <c r="FV248" s="44" t="str">
        <f>IF(Table1[Date of Initial Assessment]="","",IF(AND(Table1[Start Date]&gt;42460,Table1[Start Date]&lt;42826),Table1[Self-Care and Living Skills],""))</f>
        <v/>
      </c>
      <c r="FW248" s="44" t="str">
        <f>IF(Table1[Date of Initial Assessment]="","",IF(AND(Table1[Start Date]&gt;42460,Table1[Start Date]&lt;42826),Table1[Managing Money and Personal Administration],""))</f>
        <v/>
      </c>
      <c r="FX248" s="44" t="str">
        <f>IF(Table1[Date of Initial Assessment]="","",IF(AND(Table1[Start Date]&gt;42460,Table1[Start Date]&lt;42826),Table1[Social Networks and Relationships],""))</f>
        <v/>
      </c>
      <c r="FY248" s="44" t="str">
        <f>IF(Table1[Date of Initial Assessment]="","",IF(AND(Table1[Start Date]&gt;42460,Table1[Start Date]&lt;42826),Table1[Drug and Alcohol Misuse],""))</f>
        <v/>
      </c>
      <c r="FZ248" s="44" t="str">
        <f>IF(Table1[Date of Initial Assessment]="","",IF(AND(Table1[Start Date]&gt;42460,Table1[Start Date]&lt;42826),Table1[Physical Health],""))</f>
        <v/>
      </c>
      <c r="GA248" s="44" t="str">
        <f>IF(Table1[Date of Initial Assessment]="","",IF(AND(Table1[Start Date]&gt;42460,Table1[Start Date]&lt;42826),Table1[Emotional and Mental Health],""))</f>
        <v/>
      </c>
      <c r="GB248" s="44" t="str">
        <f>IF(Table1[Date of Initial Assessment]="","",IF(AND(Table1[Start Date]&gt;42460,Table1[Start Date]&lt;42826),Table1[Meaningful Use of Time],""))</f>
        <v/>
      </c>
      <c r="GC248" s="44" t="str">
        <f>IF(Table1[Date of Initial Assessment]="","",IF(AND(Table1[Start Date]&gt;42460,Table1[Start Date]&lt;42826),Table1[Managing Tenancy and Accommodation],""))</f>
        <v/>
      </c>
      <c r="GD248" s="44" t="str">
        <f>IF(Table1[Date of Initial Assessment]="","",IF(AND(Table1[Start Date]&gt;42460,Table1[Start Date]&lt;42826),Table1[Offending],""))</f>
        <v/>
      </c>
      <c r="GE248" s="44" t="str">
        <f>IF(Table1[Leaving Date]="","",IF(AND(Table1[Leaving Date]&gt;42460,Table1[Leaving Date]&lt;42826),IF(Table1[Date of Last Assessment]="",Table1[Motivation and Taking Responsibility],Table1[Motivation and Taking Responsibility2]),""))</f>
        <v/>
      </c>
      <c r="GF248" s="44" t="str">
        <f>IF(Table1[Leaving Date]="","",IF(AND(Table1[Leaving Date]&gt;42460,Table1[Leaving Date]&lt;42826),IF(Table1[Date of Last Assessment]="",Table1[Self-Care and Living Skills],Table1[Self-Care and Living Skills2]),""))</f>
        <v/>
      </c>
      <c r="GG248" s="44" t="str">
        <f>IF(Table1[Leaving Date]="","",IF(AND(Table1[Leaving Date]&gt;42460,Table1[Leaving Date]&lt;42826),IF(Table1[Date of Last Assessment]="",Table1[Managing Money and Personal Administration],Table1[Managing Money and Personal Administration2]),""))</f>
        <v/>
      </c>
      <c r="GH248" s="44" t="str">
        <f>IF(Table1[Leaving Date]="","",IF(AND(Table1[Leaving Date]&gt;42460,Table1[Leaving Date]&lt;42826),IF(Table1[Date of Last Assessment]="",Table1[Social Networks and Relationships],Table1[Social Networks and Relationships2]),""))</f>
        <v/>
      </c>
      <c r="GI248" s="44" t="str">
        <f>IF(Table1[Leaving Date]="","",IF(AND(Table1[Leaving Date]&gt;42460,Table1[Leaving Date]&lt;42826),IF(Table1[Date of Last Assessment]="",Table1[Drug and Alcohol Misuse],Table1[Drug and Alcohol Misuse2]),""))</f>
        <v/>
      </c>
      <c r="GJ248" s="44" t="str">
        <f>IF(Table1[Leaving Date]="","",IF(AND(Table1[Leaving Date]&gt;42460,Table1[Leaving Date]&lt;42826),IF(Table1[Date of Last Assessment]="",Table1[Physical Health],Table1[Physical Health2]),""))</f>
        <v/>
      </c>
      <c r="GK248" s="44" t="str">
        <f>IF(Table1[Leaving Date]="","",IF(AND(Table1[Leaving Date]&gt;42460,Table1[Leaving Date]&lt;42826),IF(Table1[Date of Last Assessment]="",Table1[Emotional and Mental Health],Table1[Emotional and Mental Health2]),""))</f>
        <v/>
      </c>
      <c r="GL248" s="44" t="str">
        <f>IF(Table1[Leaving Date]="","",IF(AND(Table1[Leaving Date]&gt;42460,Table1[Leaving Date]&lt;42826),IF(Table1[Date of Last Assessment]="",Table1[Meaningful Use of Time],Table1[Meaningful Use of Time2]),""))</f>
        <v/>
      </c>
      <c r="GM248" s="44" t="str">
        <f>IF(Table1[Leaving Date]="","",IF(AND(Table1[Leaving Date]&gt;42460,Table1[Leaving Date]&lt;42826),IF(Table1[Date of Last Assessment]="",Table1[Managing Tenancy and Accommodation],Table1[Managing Tenancy and Accommodation2]),""))</f>
        <v/>
      </c>
      <c r="GN248" s="44" t="str">
        <f>IF(Table1[Leaving Date]="","",IF(AND(Table1[Leaving Date]&gt;42460,Table1[Leaving Date]&lt;42826),IF(Table1[Date of Last Assessment]="",Table1[Offending],Table1[Offending2]),""))</f>
        <v/>
      </c>
    </row>
    <row r="249" spans="2:196" ht="20.100000000000001" customHeight="1" x14ac:dyDescent="0.2">
      <c r="B249" s="86">
        <f>+'Service Data'!$C$5:$C$5</f>
        <v>0</v>
      </c>
      <c r="C249" s="86"/>
      <c r="D249" s="86"/>
      <c r="E249" s="86"/>
      <c r="F249" s="86"/>
      <c r="G249" s="86"/>
      <c r="H249" s="6"/>
      <c r="I249" s="99" t="str">
        <f ca="1">IF(Table1[[#This Row],[Date of Birth]]="","",SUM(TODAY()-Table1[[#This Row],[Date of Birth]])/365)</f>
        <v/>
      </c>
      <c r="L249" s="86"/>
      <c r="M249" s="77"/>
      <c r="N249" s="86"/>
      <c r="O249" s="86"/>
      <c r="P249" s="91"/>
      <c r="Q249" s="86"/>
      <c r="R249" s="77"/>
      <c r="S249" s="77"/>
      <c r="T249" s="68"/>
      <c r="U249" s="68"/>
      <c r="V249" s="67"/>
      <c r="W249" s="67"/>
      <c r="X249" s="67"/>
      <c r="Y249" s="67"/>
      <c r="Z249" s="67"/>
      <c r="AA249" s="67"/>
      <c r="AB249" s="67"/>
      <c r="AC249" s="67"/>
      <c r="AD249" s="67"/>
      <c r="AE249" s="67"/>
      <c r="AF249" s="67"/>
      <c r="AG249" s="67"/>
      <c r="AH249" s="67"/>
      <c r="AI249" s="67"/>
      <c r="AJ249" s="67"/>
      <c r="AK249" s="67"/>
      <c r="AL249" s="67"/>
      <c r="AM249" s="67"/>
      <c r="AN249" s="77"/>
      <c r="AO249" s="76"/>
      <c r="AP249" s="77"/>
      <c r="AQ249" s="76"/>
      <c r="AR249" s="76"/>
      <c r="AS249" s="76"/>
      <c r="AT249" s="76"/>
      <c r="AU249" s="76"/>
      <c r="AV249" s="77"/>
      <c r="AW249" s="76"/>
      <c r="AX249" s="77"/>
      <c r="AY249" s="76"/>
      <c r="AZ249" s="76"/>
      <c r="BA249" s="76"/>
      <c r="BB249" s="76"/>
      <c r="BC249" s="76"/>
      <c r="BD249" s="77"/>
      <c r="BE249" s="76"/>
      <c r="BF249" s="77"/>
      <c r="BG249" s="76"/>
      <c r="BH249" s="76"/>
      <c r="BI249" s="76"/>
      <c r="BJ249" s="76"/>
      <c r="BK249" s="76"/>
      <c r="BL249" s="77"/>
      <c r="BM249" s="76"/>
      <c r="BN249" s="77"/>
      <c r="BO249" s="76"/>
      <c r="BP249" s="76"/>
      <c r="BQ249" s="76"/>
      <c r="BR249" s="76"/>
      <c r="BS249" s="76"/>
      <c r="BT249" s="77"/>
      <c r="BU249" s="76"/>
      <c r="BV249" s="77"/>
      <c r="BW249" s="76"/>
      <c r="BX249" s="76"/>
      <c r="BY249" s="76"/>
      <c r="BZ249" s="76"/>
      <c r="CA249" s="76"/>
      <c r="CB249" s="77"/>
      <c r="CC249" s="76"/>
      <c r="CD249" s="77"/>
      <c r="CE249" s="76"/>
      <c r="CF249" s="76"/>
      <c r="CG249" s="76"/>
      <c r="CH249" s="76"/>
      <c r="CI249" s="76"/>
      <c r="CJ249" s="77"/>
      <c r="CK249" s="76"/>
      <c r="CL249" s="77"/>
      <c r="CM249" s="76"/>
      <c r="CN249" s="76"/>
      <c r="CO249" s="76"/>
      <c r="CP249" s="76"/>
      <c r="CQ249" s="76"/>
      <c r="CR249" s="78" t="str">
        <f t="shared" si="63"/>
        <v/>
      </c>
      <c r="CS249" s="79" t="str">
        <f t="shared" si="64"/>
        <v/>
      </c>
      <c r="CT249" s="79" t="str">
        <f t="shared" si="65"/>
        <v/>
      </c>
      <c r="CU249" s="79" t="str">
        <f t="shared" si="66"/>
        <v/>
      </c>
      <c r="CV249" s="79" t="str">
        <f t="shared" si="67"/>
        <v/>
      </c>
      <c r="CW249" s="79" t="str">
        <f t="shared" si="68"/>
        <v/>
      </c>
      <c r="CX249" s="79" t="str">
        <f t="shared" si="69"/>
        <v/>
      </c>
      <c r="CY249" s="79" t="str">
        <f t="shared" si="70"/>
        <v/>
      </c>
      <c r="CZ249" s="79" t="str">
        <f t="shared" si="71"/>
        <v/>
      </c>
      <c r="DA249" s="79" t="str">
        <f t="shared" si="72"/>
        <v/>
      </c>
      <c r="DB249" s="79" t="str">
        <f t="shared" si="73"/>
        <v/>
      </c>
      <c r="DC249" s="79" t="str">
        <f t="shared" si="74"/>
        <v/>
      </c>
      <c r="DD249" s="79" t="str">
        <f t="shared" si="75"/>
        <v/>
      </c>
      <c r="DE249" s="79" t="str">
        <f t="shared" si="76"/>
        <v/>
      </c>
      <c r="DF249" s="79" t="str">
        <f t="shared" si="77"/>
        <v/>
      </c>
      <c r="DG249" s="79" t="str">
        <f t="shared" si="78"/>
        <v/>
      </c>
      <c r="DH249" s="76"/>
      <c r="DI249" s="78"/>
      <c r="DJ249" s="76"/>
      <c r="DK249" s="77"/>
      <c r="DL249" s="77"/>
      <c r="DM249" s="77"/>
      <c r="DN249" s="80"/>
      <c r="DO249" s="80"/>
      <c r="DP249" s="92" t="str">
        <f>IF(Table1[Start Date]="","",IF(Table1[Start Date]&gt;42185,"",IF(AND(Table1[Leaving Date]&gt;1,Table1[Leaving Date]&lt;42095),"",1)))</f>
        <v/>
      </c>
      <c r="DQ249" s="92" t="str">
        <f>IF(Table1[Start Date]="","",IF(Table1[Start Date]&gt;42277,"",IF(AND(Table1[Leaving Date]&gt;1,Table1[Leaving Date]&lt;42186),"",1)))</f>
        <v/>
      </c>
      <c r="DR249" s="92" t="str">
        <f>IF(Table1[Start Date]="","",IF(Table1[Start Date]&gt;42369,"",IF(AND(Table1[Leaving Date]&gt;1,Table1[Leaving Date]&lt;42278),"",1)))</f>
        <v/>
      </c>
      <c r="DS249" s="92" t="str">
        <f>IF(Table1[Start Date]="","",IF(Table1[Start Date]&gt;42460,"",IF(AND(Table1[Leaving Date]&gt;1,Table1[Leaving Date]&lt;42370),"",1)))</f>
        <v/>
      </c>
      <c r="DT249" s="92" t="str">
        <f>IF(Table1[Start Date]="","",IF(Table1[Start Date]&gt;42551,"",IF(AND(Table1[Leaving Date]&gt;1,Table1[Leaving Date]&lt;42461),"",1)))</f>
        <v/>
      </c>
      <c r="DU249" s="92" t="str">
        <f>IF(Table1[Start Date]="","",IF(Table1[Start Date]&gt;42643,"",IF(AND(Table1[Leaving Date]&gt;1,Table1[Leaving Date]&lt;42552),"",1)))</f>
        <v/>
      </c>
      <c r="DV249" s="92" t="str">
        <f>IF(Table1[Start Date]="","",IF(Table1[Start Date]&gt;42735,"",IF(AND(Table1[Leaving Date]&gt;1,Table1[Leaving Date]&lt;42644),"",1)))</f>
        <v/>
      </c>
      <c r="DW249" s="92" t="str">
        <f>IF(Table1[Start Date]="","",IF(Table1[Start Date]&gt;42825,"",IF(AND(Table1[Leaving Date]&gt;1,Table1[Leaving Date]&lt;42736),"",1)))</f>
        <v/>
      </c>
      <c r="DX249"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249" s="44" t="e">
        <f>VLOOKUP(Table1[Referral Source],Lists!$G$2:$H$20,2,FALSE)</f>
        <v>#N/A</v>
      </c>
      <c r="DZ249" s="93" t="e">
        <f>SUM(Table1[Data Referral Quarter]+Table1[Data Referral Source])</f>
        <v>#N/A</v>
      </c>
      <c r="EA249" s="44" t="b">
        <f>IF(Table1[Referral Decision]="Accepted",100,IF(Table1[Referral Decision]="Rejected by Provider",200,IF(Table1[Referral Decision]="Rejected by Applicant",300)))</f>
        <v>0</v>
      </c>
      <c r="EB249" s="44">
        <f>SUM(Table1[Data Referral Quarter]+Table1[Data Referral Decision])</f>
        <v>0</v>
      </c>
      <c r="EC249" s="44" t="b">
        <f>IF(Table1[Start Date]&gt;42735,8000,IF(Table1[Start Date]&gt;42643,7000,IF(Table1[Start Date]&gt;42551,6000,IF(Table1[Start Date]&gt;42460,5000,IF(Table1[Start Date]&gt;42369,4000,IF(Table1[Start Date]&gt;42277,3000,IF(Table1[Start Date]&gt;42185,2000,IF(Table1[Start Date]&gt;42094,1000))))))))</f>
        <v>0</v>
      </c>
      <c r="ED249" s="44" t="str">
        <f>IF(Table1[Start Date]="","",IF(Table1[Current Local Authority]="Swindon",1,"2"))</f>
        <v/>
      </c>
      <c r="EE249" s="44" t="e">
        <f>SUM(Table1[Data Start Date]+Table1[Data Local Authority])</f>
        <v>#VALUE!</v>
      </c>
      <c r="EF249" s="44">
        <f>IF(Table1[Registered with GP]="Yes",1,0)</f>
        <v>0</v>
      </c>
      <c r="EG249" s="44">
        <f>SUM(Table1[Data Start Date]+Table1[Data GP Start])</f>
        <v>0</v>
      </c>
      <c r="EH249" s="44" t="str">
        <f>IF(Table1[EET]="NEET",1,IF(Table1[EET]="Education",2,IF(Table1[EET]="Employment",2,IF(Table1[EET]="Training",2,IF(Table1[EET]="Retired",3,"")))))</f>
        <v/>
      </c>
      <c r="EI249" s="44" t="e">
        <f>Table1[Data Start Date]+Table1[Data EET Start]</f>
        <v>#VALUE!</v>
      </c>
      <c r="EJ249" s="44" t="b">
        <f>IF(Table1[Leaving Date]&gt;42735,8000,IF(Table1[Leaving Date]&gt;42643,7000,IF(Table1[Leaving Date]&gt;42551,6000,IF(Table1[Leaving Date]&gt;42460,5000,IF(Table1[Leaving Date]&gt;42369,4000,IF(Table1[Leaving Date]&gt;42277,3000,IF(Table1[Leaving Date]&gt;42185,2000,IF(Table1[Leaving Date]&gt;42094,1000))))))))</f>
        <v>0</v>
      </c>
      <c r="EK249" s="44" t="e">
        <f>VLOOKUP(Table1[Reason for Leaving],Lists!$T$2:$U$15,2,FALSE)</f>
        <v>#N/A</v>
      </c>
      <c r="EL249" s="44" t="e">
        <f>SUM(Table1[Data Leavers Date]+Table1[Data Move On])</f>
        <v>#N/A</v>
      </c>
      <c r="EM249" s="44" t="b">
        <f>IF(Table1[Registered with GP2]="Yes",1,IF(Table1[Registered with GP2]="No",0,IF(Table1[Registered with GP]="Yes",1,IF(Table1[Registered with GP]="No",0))))</f>
        <v>0</v>
      </c>
      <c r="EN249" s="44">
        <f>SUM(Table1[Data Leavers Date]+Table1[Data GP End])</f>
        <v>0</v>
      </c>
      <c r="EO249" s="44" t="str">
        <f>IF(Table1[EET2]="NEET",1,IF(Table1[EET2]="Employment",2,IF(Table1[EET2]="Education",2,IF(Table1[EET2]="Training",2,IF(Table1[EET2]="Retired",3,IF(Table1[EET]="NEET",1,IF(Table1[EET]="Employment",2,IF(Table1[EET]="Education",2,IF(Table1[EET]="Training",2,IF(Table1[EET]="Retired",3,""))))))))))</f>
        <v/>
      </c>
      <c r="EP249" s="44" t="e">
        <f>+Table1[[#This Row],[Data Leavers Date]]+Table1[[#This Row],[Data EET End]]</f>
        <v>#VALUE!</v>
      </c>
      <c r="EQ249" s="44">
        <f>IF(Table1[Exit Form Received]="Yes",1,0)</f>
        <v>0</v>
      </c>
      <c r="ER249" s="44">
        <f>+Table1[[#This Row],[Data Leavers Date]]+Table1[[#This Row],[Data Exit Forms]]</f>
        <v>0</v>
      </c>
      <c r="ES249" s="44" t="str">
        <f>IF(Table1[Data Leavers Date]=1000,SUM(Table1[Leaving Date]-Table1[Start Date]),"")</f>
        <v/>
      </c>
      <c r="ET249" s="44" t="str">
        <f>IF(Table1[Data Leavers Date]=2000,SUM(Table1[Leaving Date]-Table1[Start Date]),"")</f>
        <v/>
      </c>
      <c r="EU249" s="44" t="str">
        <f>IF(Table1[Data Leavers Date]=3000,SUM(Table1[Leaving Date]-Table1[Start Date]),"")</f>
        <v/>
      </c>
      <c r="EV249" s="44" t="str">
        <f>IF(Table1[Data Leavers Date]=4000,SUM(Table1[Leaving Date]-Table1[Start Date]),"")</f>
        <v/>
      </c>
      <c r="EW249" s="44" t="str">
        <f>IF(Table1[Data Leavers Date]=5000,SUM(Table1[Leaving Date]-Table1[Start Date]),"")</f>
        <v/>
      </c>
      <c r="EX249" s="44" t="str">
        <f>IF(Table1[Data Leavers Date]=6000,SUM(Table1[Leaving Date]-Table1[Start Date]),"")</f>
        <v/>
      </c>
      <c r="EY249" s="44" t="str">
        <f>IF(Table1[Data Leavers Date]=7000,SUM(Table1[Leaving Date]-Table1[Start Date]),"")</f>
        <v/>
      </c>
      <c r="EZ249" s="44" t="str">
        <f>IF(Table1[Data Leavers Date]=8000,SUM(Table1[Leaving Date]-Table1[Start Date]),"")</f>
        <v/>
      </c>
      <c r="FA249" s="44" t="str">
        <f>IF(Table1[Date of Initial Assessment]="","",IF(AND(Table1[Start Date]&gt;42094,Table1[Start Date]&lt;42461),Table1[Motivation and Taking Responsibility],""))</f>
        <v/>
      </c>
      <c r="FB249" s="44" t="str">
        <f>IF(Table1[Date of Initial Assessment]="","",IF(AND(Table1[Start Date]&gt;42094,Table1[Start Date]&lt;42461),Table1[Self-Care and Living Skills],""))</f>
        <v/>
      </c>
      <c r="FC249" s="44" t="str">
        <f>IF(Table1[Date of Initial Assessment]="","",IF(AND(Table1[Start Date]&gt;42094,Table1[Start Date]&lt;42461),Table1[Managing Money and Personal Administration],""))</f>
        <v/>
      </c>
      <c r="FD249" s="44" t="str">
        <f>IF(Table1[Date of Initial Assessment]="","",IF(AND(Table1[Start Date]&gt;42094,Table1[Start Date]&lt;42461),Table1[Social Networks and Relationships],""))</f>
        <v/>
      </c>
      <c r="FE249" s="44" t="str">
        <f>IF(Table1[Date of Initial Assessment]="","",IF(AND(Table1[Start Date]&gt;42094,Table1[Start Date]&lt;42461),Table1[Drug and Alcohol Misuse],""))</f>
        <v/>
      </c>
      <c r="FF249" s="44" t="str">
        <f>IF(Table1[Date of Initial Assessment]="","",IF(AND(Table1[Start Date]&gt;42094,Table1[Start Date]&lt;42461),Table1[Physical Health],""))</f>
        <v/>
      </c>
      <c r="FG249" s="44" t="str">
        <f>IF(Table1[Date of Initial Assessment]="","",IF(AND(Table1[Start Date]&gt;42094,Table1[Start Date]&lt;42461),Table1[Emotional and Mental Health],""))</f>
        <v/>
      </c>
      <c r="FH249" s="44" t="str">
        <f>IF(Table1[Date of Initial Assessment]="","",IF(AND(Table1[Start Date]&gt;42094,Table1[Start Date]&lt;42461),Table1[Meaningful Use of Time],""))</f>
        <v/>
      </c>
      <c r="FI249" s="44" t="str">
        <f>IF(Table1[Date of Initial Assessment]="","",IF(AND(Table1[Start Date]&gt;42094,Table1[Start Date]&lt;42461),Table1[Managing Tenancy and Accommodation],""))</f>
        <v/>
      </c>
      <c r="FJ249" s="44" t="str">
        <f>IF(Table1[Date of Initial Assessment]="","",IF(AND(Table1[Start Date]&gt;42094,Table1[Start Date]&lt;42461),Table1[Offending],""))</f>
        <v/>
      </c>
      <c r="FK249" s="44" t="str">
        <f>IF(Table1[Leaving Date]="","",IF(Table1[Date of Initial Assessment]="","",IF(AND(Table1[Leaving Date]&gt;42094,Table1[Leaving Date]&lt;42461),IF(Table1[Date of Last Assessment]="",Table1[Motivation and Taking Responsibility],Table1[Motivation and Taking Responsibility2]),"")))</f>
        <v/>
      </c>
      <c r="FL249" s="44" t="str">
        <f>IF(Table1[Leaving Date]="","",IF(Table1[Date of Initial Assessment]="","",IF(AND(Table1[Leaving Date]&gt;42094,Table1[Leaving Date]&lt;42461),IF(Table1[Date of Last Assessment]="",Table1[Self-Care and Living Skills],Table1[Self-Care and Living Skills2]),"")))</f>
        <v/>
      </c>
      <c r="FM249" s="44" t="str">
        <f>IF(Table1[Leaving Date]="","",IF(Table1[Date of Initial Assessment]="","",IF(AND(Table1[Leaving Date]&gt;42094,Table1[Leaving Date]&lt;42461),IF(Table1[Date of Last Assessment]="",Table1[Managing Money and Personal Administration],Table1[Managing Money and Personal Administration2]),"")))</f>
        <v/>
      </c>
      <c r="FN249" s="44" t="str">
        <f>IF(Table1[Leaving Date]="","",IF(Table1[Date of Initial Assessment]="","",IF(AND(Table1[Leaving Date]&gt;42094,Table1[Leaving Date]&lt;42461),IF(Table1[Date of Last Assessment]="",Table1[Social Networks and Relationships],Table1[Social Networks and Relationships2]),"")))</f>
        <v/>
      </c>
      <c r="FO249" s="44" t="str">
        <f>IF(Table1[Leaving Date]="","",IF(Table1[Date of Initial Assessment]="","",IF(AND(Table1[Leaving Date]&gt;42094,Table1[Leaving Date]&lt;42461),IF(Table1[Date of Last Assessment]="",Table1[Drug and Alcohol Misuse],Table1[Drug and Alcohol Misuse2]),"")))</f>
        <v/>
      </c>
      <c r="FP249" s="44" t="str">
        <f>IF(Table1[Leaving Date]="","",IF(Table1[Date of Initial Assessment]="","",IF(AND(Table1[Leaving Date]&gt;42094,Table1[Leaving Date]&lt;42461),IF(Table1[Date of Last Assessment]="",Table1[Physical Health],Table1[Physical Health2]),"")))</f>
        <v/>
      </c>
      <c r="FQ249" s="44" t="str">
        <f>IF(Table1[Leaving Date]="","",IF(Table1[Date of Initial Assessment]="","",IF(AND(Table1[Leaving Date]&gt;42094,Table1[Leaving Date]&lt;42461),IF(Table1[Date of Last Assessment]="",Table1[Emotional and Mental Health],Table1[Emotional and Mental Health2]),"")))</f>
        <v/>
      </c>
      <c r="FR249" s="44" t="str">
        <f>IF(Table1[Leaving Date]="","",IF(Table1[Date of Initial Assessment]="","",IF(AND(Table1[Leaving Date]&gt;42094,Table1[Leaving Date]&lt;42461),IF(Table1[Date of Last Assessment]="",Table1[Meaningful Use of Time],Table1[Meaningful Use of Time2]),"")))</f>
        <v/>
      </c>
      <c r="FS249" s="44" t="str">
        <f>IF(Table1[Leaving Date]="","",IF(Table1[Date of Initial Assessment]="","",IF(AND(Table1[Leaving Date]&gt;42094,Table1[Leaving Date]&lt;42461),IF(Table1[Date of Last Assessment]="",Table1[Managing Tenancy and Accommodation],Table1[Managing Tenancy and Accommodation2]),"")))</f>
        <v/>
      </c>
      <c r="FT249" s="44" t="str">
        <f>IF(Table1[Leaving Date]="","",IF(Table1[Date of Initial Assessment]="","",IF(AND(Table1[Leaving Date]&gt;42094,Table1[Leaving Date]&lt;42461),IF(Table1[Date of Last Assessment]="",Table1[Offending],Table1[Offending2]),"")))</f>
        <v/>
      </c>
      <c r="FU249" s="44" t="str">
        <f>IF(Table1[Date of Initial Assessment]="","",IF(AND(Table1[Start Date]&gt;42460,Table1[Start Date]&lt;42826),Table1[Motivation and Taking Responsibility],""))</f>
        <v/>
      </c>
      <c r="FV249" s="44" t="str">
        <f>IF(Table1[Date of Initial Assessment]="","",IF(AND(Table1[Start Date]&gt;42460,Table1[Start Date]&lt;42826),Table1[Self-Care and Living Skills],""))</f>
        <v/>
      </c>
      <c r="FW249" s="44" t="str">
        <f>IF(Table1[Date of Initial Assessment]="","",IF(AND(Table1[Start Date]&gt;42460,Table1[Start Date]&lt;42826),Table1[Managing Money and Personal Administration],""))</f>
        <v/>
      </c>
      <c r="FX249" s="44" t="str">
        <f>IF(Table1[Date of Initial Assessment]="","",IF(AND(Table1[Start Date]&gt;42460,Table1[Start Date]&lt;42826),Table1[Social Networks and Relationships],""))</f>
        <v/>
      </c>
      <c r="FY249" s="44" t="str">
        <f>IF(Table1[Date of Initial Assessment]="","",IF(AND(Table1[Start Date]&gt;42460,Table1[Start Date]&lt;42826),Table1[Drug and Alcohol Misuse],""))</f>
        <v/>
      </c>
      <c r="FZ249" s="44" t="str">
        <f>IF(Table1[Date of Initial Assessment]="","",IF(AND(Table1[Start Date]&gt;42460,Table1[Start Date]&lt;42826),Table1[Physical Health],""))</f>
        <v/>
      </c>
      <c r="GA249" s="44" t="str">
        <f>IF(Table1[Date of Initial Assessment]="","",IF(AND(Table1[Start Date]&gt;42460,Table1[Start Date]&lt;42826),Table1[Emotional and Mental Health],""))</f>
        <v/>
      </c>
      <c r="GB249" s="44" t="str">
        <f>IF(Table1[Date of Initial Assessment]="","",IF(AND(Table1[Start Date]&gt;42460,Table1[Start Date]&lt;42826),Table1[Meaningful Use of Time],""))</f>
        <v/>
      </c>
      <c r="GC249" s="44" t="str">
        <f>IF(Table1[Date of Initial Assessment]="","",IF(AND(Table1[Start Date]&gt;42460,Table1[Start Date]&lt;42826),Table1[Managing Tenancy and Accommodation],""))</f>
        <v/>
      </c>
      <c r="GD249" s="44" t="str">
        <f>IF(Table1[Date of Initial Assessment]="","",IF(AND(Table1[Start Date]&gt;42460,Table1[Start Date]&lt;42826),Table1[Offending],""))</f>
        <v/>
      </c>
      <c r="GE249" s="44" t="str">
        <f>IF(Table1[Leaving Date]="","",IF(AND(Table1[Leaving Date]&gt;42460,Table1[Leaving Date]&lt;42826),IF(Table1[Date of Last Assessment]="",Table1[Motivation and Taking Responsibility],Table1[Motivation and Taking Responsibility2]),""))</f>
        <v/>
      </c>
      <c r="GF249" s="44" t="str">
        <f>IF(Table1[Leaving Date]="","",IF(AND(Table1[Leaving Date]&gt;42460,Table1[Leaving Date]&lt;42826),IF(Table1[Date of Last Assessment]="",Table1[Self-Care and Living Skills],Table1[Self-Care and Living Skills2]),""))</f>
        <v/>
      </c>
      <c r="GG249" s="44" t="str">
        <f>IF(Table1[Leaving Date]="","",IF(AND(Table1[Leaving Date]&gt;42460,Table1[Leaving Date]&lt;42826),IF(Table1[Date of Last Assessment]="",Table1[Managing Money and Personal Administration],Table1[Managing Money and Personal Administration2]),""))</f>
        <v/>
      </c>
      <c r="GH249" s="44" t="str">
        <f>IF(Table1[Leaving Date]="","",IF(AND(Table1[Leaving Date]&gt;42460,Table1[Leaving Date]&lt;42826),IF(Table1[Date of Last Assessment]="",Table1[Social Networks and Relationships],Table1[Social Networks and Relationships2]),""))</f>
        <v/>
      </c>
      <c r="GI249" s="44" t="str">
        <f>IF(Table1[Leaving Date]="","",IF(AND(Table1[Leaving Date]&gt;42460,Table1[Leaving Date]&lt;42826),IF(Table1[Date of Last Assessment]="",Table1[Drug and Alcohol Misuse],Table1[Drug and Alcohol Misuse2]),""))</f>
        <v/>
      </c>
      <c r="GJ249" s="44" t="str">
        <f>IF(Table1[Leaving Date]="","",IF(AND(Table1[Leaving Date]&gt;42460,Table1[Leaving Date]&lt;42826),IF(Table1[Date of Last Assessment]="",Table1[Physical Health],Table1[Physical Health2]),""))</f>
        <v/>
      </c>
      <c r="GK249" s="44" t="str">
        <f>IF(Table1[Leaving Date]="","",IF(AND(Table1[Leaving Date]&gt;42460,Table1[Leaving Date]&lt;42826),IF(Table1[Date of Last Assessment]="",Table1[Emotional and Mental Health],Table1[Emotional and Mental Health2]),""))</f>
        <v/>
      </c>
      <c r="GL249" s="44" t="str">
        <f>IF(Table1[Leaving Date]="","",IF(AND(Table1[Leaving Date]&gt;42460,Table1[Leaving Date]&lt;42826),IF(Table1[Date of Last Assessment]="",Table1[Meaningful Use of Time],Table1[Meaningful Use of Time2]),""))</f>
        <v/>
      </c>
      <c r="GM249" s="44" t="str">
        <f>IF(Table1[Leaving Date]="","",IF(AND(Table1[Leaving Date]&gt;42460,Table1[Leaving Date]&lt;42826),IF(Table1[Date of Last Assessment]="",Table1[Managing Tenancy and Accommodation],Table1[Managing Tenancy and Accommodation2]),""))</f>
        <v/>
      </c>
      <c r="GN249" s="44" t="str">
        <f>IF(Table1[Leaving Date]="","",IF(AND(Table1[Leaving Date]&gt;42460,Table1[Leaving Date]&lt;42826),IF(Table1[Date of Last Assessment]="",Table1[Offending],Table1[Offending2]),""))</f>
        <v/>
      </c>
    </row>
    <row r="250" spans="2:196" ht="20.100000000000001" customHeight="1" x14ac:dyDescent="0.2">
      <c r="B250" s="86">
        <f>+'Service Data'!$C$5:$C$5</f>
        <v>0</v>
      </c>
      <c r="C250" s="86"/>
      <c r="D250" s="86"/>
      <c r="E250" s="86"/>
      <c r="F250" s="86"/>
      <c r="G250" s="86"/>
      <c r="H250" s="6"/>
      <c r="I250" s="99" t="str">
        <f ca="1">IF(Table1[[#This Row],[Date of Birth]]="","",SUM(TODAY()-Table1[[#This Row],[Date of Birth]])/365)</f>
        <v/>
      </c>
      <c r="L250" s="86"/>
      <c r="M250" s="77"/>
      <c r="N250" s="86"/>
      <c r="O250" s="86"/>
      <c r="P250" s="91"/>
      <c r="Q250" s="86"/>
      <c r="R250" s="77"/>
      <c r="S250" s="77"/>
      <c r="T250" s="68"/>
      <c r="U250" s="68"/>
      <c r="V250" s="67"/>
      <c r="W250" s="67"/>
      <c r="X250" s="67"/>
      <c r="Y250" s="67"/>
      <c r="Z250" s="67"/>
      <c r="AA250" s="67"/>
      <c r="AB250" s="67"/>
      <c r="AC250" s="67"/>
      <c r="AD250" s="67"/>
      <c r="AE250" s="67"/>
      <c r="AF250" s="67"/>
      <c r="AG250" s="67"/>
      <c r="AH250" s="67"/>
      <c r="AI250" s="67"/>
      <c r="AJ250" s="67"/>
      <c r="AK250" s="67"/>
      <c r="AL250" s="67"/>
      <c r="AM250" s="67"/>
      <c r="AN250" s="77"/>
      <c r="AO250" s="76"/>
      <c r="AP250" s="77"/>
      <c r="AQ250" s="76"/>
      <c r="AR250" s="76"/>
      <c r="AS250" s="76"/>
      <c r="AT250" s="76"/>
      <c r="AU250" s="76"/>
      <c r="AV250" s="77"/>
      <c r="AW250" s="76"/>
      <c r="AX250" s="77"/>
      <c r="AY250" s="76"/>
      <c r="AZ250" s="76"/>
      <c r="BA250" s="76"/>
      <c r="BB250" s="76"/>
      <c r="BC250" s="76"/>
      <c r="BD250" s="77"/>
      <c r="BE250" s="76"/>
      <c r="BF250" s="77"/>
      <c r="BG250" s="76"/>
      <c r="BH250" s="76"/>
      <c r="BI250" s="76"/>
      <c r="BJ250" s="76"/>
      <c r="BK250" s="76"/>
      <c r="BL250" s="77"/>
      <c r="BM250" s="76"/>
      <c r="BN250" s="77"/>
      <c r="BO250" s="76"/>
      <c r="BP250" s="76"/>
      <c r="BQ250" s="76"/>
      <c r="BR250" s="76"/>
      <c r="BS250" s="76"/>
      <c r="BT250" s="77"/>
      <c r="BU250" s="76"/>
      <c r="BV250" s="77"/>
      <c r="BW250" s="76"/>
      <c r="BX250" s="76"/>
      <c r="BY250" s="76"/>
      <c r="BZ250" s="76"/>
      <c r="CA250" s="76"/>
      <c r="CB250" s="77"/>
      <c r="CC250" s="76"/>
      <c r="CD250" s="77"/>
      <c r="CE250" s="76"/>
      <c r="CF250" s="76"/>
      <c r="CG250" s="76"/>
      <c r="CH250" s="76"/>
      <c r="CI250" s="76"/>
      <c r="CJ250" s="77"/>
      <c r="CK250" s="76"/>
      <c r="CL250" s="77"/>
      <c r="CM250" s="76"/>
      <c r="CN250" s="76"/>
      <c r="CO250" s="76"/>
      <c r="CP250" s="76"/>
      <c r="CQ250" s="76"/>
      <c r="CR250" s="78" t="str">
        <f t="shared" si="63"/>
        <v/>
      </c>
      <c r="CS250" s="79" t="str">
        <f t="shared" si="64"/>
        <v/>
      </c>
      <c r="CT250" s="79" t="str">
        <f t="shared" si="65"/>
        <v/>
      </c>
      <c r="CU250" s="79" t="str">
        <f t="shared" si="66"/>
        <v/>
      </c>
      <c r="CV250" s="79" t="str">
        <f t="shared" si="67"/>
        <v/>
      </c>
      <c r="CW250" s="79" t="str">
        <f t="shared" si="68"/>
        <v/>
      </c>
      <c r="CX250" s="79" t="str">
        <f t="shared" si="69"/>
        <v/>
      </c>
      <c r="CY250" s="79" t="str">
        <f t="shared" si="70"/>
        <v/>
      </c>
      <c r="CZ250" s="79" t="str">
        <f t="shared" si="71"/>
        <v/>
      </c>
      <c r="DA250" s="79" t="str">
        <f t="shared" si="72"/>
        <v/>
      </c>
      <c r="DB250" s="79" t="str">
        <f t="shared" si="73"/>
        <v/>
      </c>
      <c r="DC250" s="79" t="str">
        <f t="shared" si="74"/>
        <v/>
      </c>
      <c r="DD250" s="79" t="str">
        <f t="shared" si="75"/>
        <v/>
      </c>
      <c r="DE250" s="79" t="str">
        <f t="shared" si="76"/>
        <v/>
      </c>
      <c r="DF250" s="79" t="str">
        <f t="shared" si="77"/>
        <v/>
      </c>
      <c r="DG250" s="79" t="str">
        <f t="shared" si="78"/>
        <v/>
      </c>
      <c r="DH250" s="76"/>
      <c r="DI250" s="78"/>
      <c r="DJ250" s="76"/>
      <c r="DK250" s="77"/>
      <c r="DL250" s="77"/>
      <c r="DM250" s="77"/>
      <c r="DN250" s="80"/>
      <c r="DO250" s="80"/>
      <c r="DP250" s="92" t="str">
        <f>IF(Table1[Start Date]="","",IF(Table1[Start Date]&gt;42185,"",IF(AND(Table1[Leaving Date]&gt;1,Table1[Leaving Date]&lt;42095),"",1)))</f>
        <v/>
      </c>
      <c r="DQ250" s="92" t="str">
        <f>IF(Table1[Start Date]="","",IF(Table1[Start Date]&gt;42277,"",IF(AND(Table1[Leaving Date]&gt;1,Table1[Leaving Date]&lt;42186),"",1)))</f>
        <v/>
      </c>
      <c r="DR250" s="92" t="str">
        <f>IF(Table1[Start Date]="","",IF(Table1[Start Date]&gt;42369,"",IF(AND(Table1[Leaving Date]&gt;1,Table1[Leaving Date]&lt;42278),"",1)))</f>
        <v/>
      </c>
      <c r="DS250" s="92" t="str">
        <f>IF(Table1[Start Date]="","",IF(Table1[Start Date]&gt;42460,"",IF(AND(Table1[Leaving Date]&gt;1,Table1[Leaving Date]&lt;42370),"",1)))</f>
        <v/>
      </c>
      <c r="DT250" s="92" t="str">
        <f>IF(Table1[Start Date]="","",IF(Table1[Start Date]&gt;42551,"",IF(AND(Table1[Leaving Date]&gt;1,Table1[Leaving Date]&lt;42461),"",1)))</f>
        <v/>
      </c>
      <c r="DU250" s="92" t="str">
        <f>IF(Table1[Start Date]="","",IF(Table1[Start Date]&gt;42643,"",IF(AND(Table1[Leaving Date]&gt;1,Table1[Leaving Date]&lt;42552),"",1)))</f>
        <v/>
      </c>
      <c r="DV250" s="92" t="str">
        <f>IF(Table1[Start Date]="","",IF(Table1[Start Date]&gt;42735,"",IF(AND(Table1[Leaving Date]&gt;1,Table1[Leaving Date]&lt;42644),"",1)))</f>
        <v/>
      </c>
      <c r="DW250" s="92" t="str">
        <f>IF(Table1[Start Date]="","",IF(Table1[Start Date]&gt;42825,"",IF(AND(Table1[Leaving Date]&gt;1,Table1[Leaving Date]&lt;42736),"",1)))</f>
        <v/>
      </c>
      <c r="DX250"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250" s="44" t="e">
        <f>VLOOKUP(Table1[Referral Source],Lists!$G$2:$H$20,2,FALSE)</f>
        <v>#N/A</v>
      </c>
      <c r="DZ250" s="93" t="e">
        <f>SUM(Table1[Data Referral Quarter]+Table1[Data Referral Source])</f>
        <v>#N/A</v>
      </c>
      <c r="EA250" s="44" t="b">
        <f>IF(Table1[Referral Decision]="Accepted",100,IF(Table1[Referral Decision]="Rejected by Provider",200,IF(Table1[Referral Decision]="Rejected by Applicant",300)))</f>
        <v>0</v>
      </c>
      <c r="EB250" s="44">
        <f>SUM(Table1[Data Referral Quarter]+Table1[Data Referral Decision])</f>
        <v>0</v>
      </c>
      <c r="EC250" s="44" t="b">
        <f>IF(Table1[Start Date]&gt;42735,8000,IF(Table1[Start Date]&gt;42643,7000,IF(Table1[Start Date]&gt;42551,6000,IF(Table1[Start Date]&gt;42460,5000,IF(Table1[Start Date]&gt;42369,4000,IF(Table1[Start Date]&gt;42277,3000,IF(Table1[Start Date]&gt;42185,2000,IF(Table1[Start Date]&gt;42094,1000))))))))</f>
        <v>0</v>
      </c>
      <c r="ED250" s="44" t="str">
        <f>IF(Table1[Start Date]="","",IF(Table1[Current Local Authority]="Swindon",1,"2"))</f>
        <v/>
      </c>
      <c r="EE250" s="44" t="e">
        <f>SUM(Table1[Data Start Date]+Table1[Data Local Authority])</f>
        <v>#VALUE!</v>
      </c>
      <c r="EF250" s="44">
        <f>IF(Table1[Registered with GP]="Yes",1,0)</f>
        <v>0</v>
      </c>
      <c r="EG250" s="44">
        <f>SUM(Table1[Data Start Date]+Table1[Data GP Start])</f>
        <v>0</v>
      </c>
      <c r="EH250" s="44" t="str">
        <f>IF(Table1[EET]="NEET",1,IF(Table1[EET]="Education",2,IF(Table1[EET]="Employment",2,IF(Table1[EET]="Training",2,IF(Table1[EET]="Retired",3,"")))))</f>
        <v/>
      </c>
      <c r="EI250" s="44" t="e">
        <f>Table1[Data Start Date]+Table1[Data EET Start]</f>
        <v>#VALUE!</v>
      </c>
      <c r="EJ250" s="44" t="b">
        <f>IF(Table1[Leaving Date]&gt;42735,8000,IF(Table1[Leaving Date]&gt;42643,7000,IF(Table1[Leaving Date]&gt;42551,6000,IF(Table1[Leaving Date]&gt;42460,5000,IF(Table1[Leaving Date]&gt;42369,4000,IF(Table1[Leaving Date]&gt;42277,3000,IF(Table1[Leaving Date]&gt;42185,2000,IF(Table1[Leaving Date]&gt;42094,1000))))))))</f>
        <v>0</v>
      </c>
      <c r="EK250" s="44" t="e">
        <f>VLOOKUP(Table1[Reason for Leaving],Lists!$T$2:$U$15,2,FALSE)</f>
        <v>#N/A</v>
      </c>
      <c r="EL250" s="44" t="e">
        <f>SUM(Table1[Data Leavers Date]+Table1[Data Move On])</f>
        <v>#N/A</v>
      </c>
      <c r="EM250" s="44" t="b">
        <f>IF(Table1[Registered with GP2]="Yes",1,IF(Table1[Registered with GP2]="No",0,IF(Table1[Registered with GP]="Yes",1,IF(Table1[Registered with GP]="No",0))))</f>
        <v>0</v>
      </c>
      <c r="EN250" s="44">
        <f>SUM(Table1[Data Leavers Date]+Table1[Data GP End])</f>
        <v>0</v>
      </c>
      <c r="EO250" s="44" t="str">
        <f>IF(Table1[EET2]="NEET",1,IF(Table1[EET2]="Employment",2,IF(Table1[EET2]="Education",2,IF(Table1[EET2]="Training",2,IF(Table1[EET2]="Retired",3,IF(Table1[EET]="NEET",1,IF(Table1[EET]="Employment",2,IF(Table1[EET]="Education",2,IF(Table1[EET]="Training",2,IF(Table1[EET]="Retired",3,""))))))))))</f>
        <v/>
      </c>
      <c r="EP250" s="44" t="e">
        <f>+Table1[[#This Row],[Data Leavers Date]]+Table1[[#This Row],[Data EET End]]</f>
        <v>#VALUE!</v>
      </c>
      <c r="EQ250" s="44">
        <f>IF(Table1[Exit Form Received]="Yes",1,0)</f>
        <v>0</v>
      </c>
      <c r="ER250" s="44">
        <f>+Table1[[#This Row],[Data Leavers Date]]+Table1[[#This Row],[Data Exit Forms]]</f>
        <v>0</v>
      </c>
      <c r="ES250" s="44" t="str">
        <f>IF(Table1[Data Leavers Date]=1000,SUM(Table1[Leaving Date]-Table1[Start Date]),"")</f>
        <v/>
      </c>
      <c r="ET250" s="44" t="str">
        <f>IF(Table1[Data Leavers Date]=2000,SUM(Table1[Leaving Date]-Table1[Start Date]),"")</f>
        <v/>
      </c>
      <c r="EU250" s="44" t="str">
        <f>IF(Table1[Data Leavers Date]=3000,SUM(Table1[Leaving Date]-Table1[Start Date]),"")</f>
        <v/>
      </c>
      <c r="EV250" s="44" t="str">
        <f>IF(Table1[Data Leavers Date]=4000,SUM(Table1[Leaving Date]-Table1[Start Date]),"")</f>
        <v/>
      </c>
      <c r="EW250" s="44" t="str">
        <f>IF(Table1[Data Leavers Date]=5000,SUM(Table1[Leaving Date]-Table1[Start Date]),"")</f>
        <v/>
      </c>
      <c r="EX250" s="44" t="str">
        <f>IF(Table1[Data Leavers Date]=6000,SUM(Table1[Leaving Date]-Table1[Start Date]),"")</f>
        <v/>
      </c>
      <c r="EY250" s="44" t="str">
        <f>IF(Table1[Data Leavers Date]=7000,SUM(Table1[Leaving Date]-Table1[Start Date]),"")</f>
        <v/>
      </c>
      <c r="EZ250" s="44" t="str">
        <f>IF(Table1[Data Leavers Date]=8000,SUM(Table1[Leaving Date]-Table1[Start Date]),"")</f>
        <v/>
      </c>
      <c r="FA250" s="44" t="str">
        <f>IF(Table1[Date of Initial Assessment]="","",IF(AND(Table1[Start Date]&gt;42094,Table1[Start Date]&lt;42461),Table1[Motivation and Taking Responsibility],""))</f>
        <v/>
      </c>
      <c r="FB250" s="44" t="str">
        <f>IF(Table1[Date of Initial Assessment]="","",IF(AND(Table1[Start Date]&gt;42094,Table1[Start Date]&lt;42461),Table1[Self-Care and Living Skills],""))</f>
        <v/>
      </c>
      <c r="FC250" s="44" t="str">
        <f>IF(Table1[Date of Initial Assessment]="","",IF(AND(Table1[Start Date]&gt;42094,Table1[Start Date]&lt;42461),Table1[Managing Money and Personal Administration],""))</f>
        <v/>
      </c>
      <c r="FD250" s="44" t="str">
        <f>IF(Table1[Date of Initial Assessment]="","",IF(AND(Table1[Start Date]&gt;42094,Table1[Start Date]&lt;42461),Table1[Social Networks and Relationships],""))</f>
        <v/>
      </c>
      <c r="FE250" s="44" t="str">
        <f>IF(Table1[Date of Initial Assessment]="","",IF(AND(Table1[Start Date]&gt;42094,Table1[Start Date]&lt;42461),Table1[Drug and Alcohol Misuse],""))</f>
        <v/>
      </c>
      <c r="FF250" s="44" t="str">
        <f>IF(Table1[Date of Initial Assessment]="","",IF(AND(Table1[Start Date]&gt;42094,Table1[Start Date]&lt;42461),Table1[Physical Health],""))</f>
        <v/>
      </c>
      <c r="FG250" s="44" t="str">
        <f>IF(Table1[Date of Initial Assessment]="","",IF(AND(Table1[Start Date]&gt;42094,Table1[Start Date]&lt;42461),Table1[Emotional and Mental Health],""))</f>
        <v/>
      </c>
      <c r="FH250" s="44" t="str">
        <f>IF(Table1[Date of Initial Assessment]="","",IF(AND(Table1[Start Date]&gt;42094,Table1[Start Date]&lt;42461),Table1[Meaningful Use of Time],""))</f>
        <v/>
      </c>
      <c r="FI250" s="44" t="str">
        <f>IF(Table1[Date of Initial Assessment]="","",IF(AND(Table1[Start Date]&gt;42094,Table1[Start Date]&lt;42461),Table1[Managing Tenancy and Accommodation],""))</f>
        <v/>
      </c>
      <c r="FJ250" s="44" t="str">
        <f>IF(Table1[Date of Initial Assessment]="","",IF(AND(Table1[Start Date]&gt;42094,Table1[Start Date]&lt;42461),Table1[Offending],""))</f>
        <v/>
      </c>
      <c r="FK250" s="44" t="str">
        <f>IF(Table1[Leaving Date]="","",IF(Table1[Date of Initial Assessment]="","",IF(AND(Table1[Leaving Date]&gt;42094,Table1[Leaving Date]&lt;42461),IF(Table1[Date of Last Assessment]="",Table1[Motivation and Taking Responsibility],Table1[Motivation and Taking Responsibility2]),"")))</f>
        <v/>
      </c>
      <c r="FL250" s="44" t="str">
        <f>IF(Table1[Leaving Date]="","",IF(Table1[Date of Initial Assessment]="","",IF(AND(Table1[Leaving Date]&gt;42094,Table1[Leaving Date]&lt;42461),IF(Table1[Date of Last Assessment]="",Table1[Self-Care and Living Skills],Table1[Self-Care and Living Skills2]),"")))</f>
        <v/>
      </c>
      <c r="FM250" s="44" t="str">
        <f>IF(Table1[Leaving Date]="","",IF(Table1[Date of Initial Assessment]="","",IF(AND(Table1[Leaving Date]&gt;42094,Table1[Leaving Date]&lt;42461),IF(Table1[Date of Last Assessment]="",Table1[Managing Money and Personal Administration],Table1[Managing Money and Personal Administration2]),"")))</f>
        <v/>
      </c>
      <c r="FN250" s="44" t="str">
        <f>IF(Table1[Leaving Date]="","",IF(Table1[Date of Initial Assessment]="","",IF(AND(Table1[Leaving Date]&gt;42094,Table1[Leaving Date]&lt;42461),IF(Table1[Date of Last Assessment]="",Table1[Social Networks and Relationships],Table1[Social Networks and Relationships2]),"")))</f>
        <v/>
      </c>
      <c r="FO250" s="44" t="str">
        <f>IF(Table1[Leaving Date]="","",IF(Table1[Date of Initial Assessment]="","",IF(AND(Table1[Leaving Date]&gt;42094,Table1[Leaving Date]&lt;42461),IF(Table1[Date of Last Assessment]="",Table1[Drug and Alcohol Misuse],Table1[Drug and Alcohol Misuse2]),"")))</f>
        <v/>
      </c>
      <c r="FP250" s="44" t="str">
        <f>IF(Table1[Leaving Date]="","",IF(Table1[Date of Initial Assessment]="","",IF(AND(Table1[Leaving Date]&gt;42094,Table1[Leaving Date]&lt;42461),IF(Table1[Date of Last Assessment]="",Table1[Physical Health],Table1[Physical Health2]),"")))</f>
        <v/>
      </c>
      <c r="FQ250" s="44" t="str">
        <f>IF(Table1[Leaving Date]="","",IF(Table1[Date of Initial Assessment]="","",IF(AND(Table1[Leaving Date]&gt;42094,Table1[Leaving Date]&lt;42461),IF(Table1[Date of Last Assessment]="",Table1[Emotional and Mental Health],Table1[Emotional and Mental Health2]),"")))</f>
        <v/>
      </c>
      <c r="FR250" s="44" t="str">
        <f>IF(Table1[Leaving Date]="","",IF(Table1[Date of Initial Assessment]="","",IF(AND(Table1[Leaving Date]&gt;42094,Table1[Leaving Date]&lt;42461),IF(Table1[Date of Last Assessment]="",Table1[Meaningful Use of Time],Table1[Meaningful Use of Time2]),"")))</f>
        <v/>
      </c>
      <c r="FS250" s="44" t="str">
        <f>IF(Table1[Leaving Date]="","",IF(Table1[Date of Initial Assessment]="","",IF(AND(Table1[Leaving Date]&gt;42094,Table1[Leaving Date]&lt;42461),IF(Table1[Date of Last Assessment]="",Table1[Managing Tenancy and Accommodation],Table1[Managing Tenancy and Accommodation2]),"")))</f>
        <v/>
      </c>
      <c r="FT250" s="44" t="str">
        <f>IF(Table1[Leaving Date]="","",IF(Table1[Date of Initial Assessment]="","",IF(AND(Table1[Leaving Date]&gt;42094,Table1[Leaving Date]&lt;42461),IF(Table1[Date of Last Assessment]="",Table1[Offending],Table1[Offending2]),"")))</f>
        <v/>
      </c>
      <c r="FU250" s="44" t="str">
        <f>IF(Table1[Date of Initial Assessment]="","",IF(AND(Table1[Start Date]&gt;42460,Table1[Start Date]&lt;42826),Table1[Motivation and Taking Responsibility],""))</f>
        <v/>
      </c>
      <c r="FV250" s="44" t="str">
        <f>IF(Table1[Date of Initial Assessment]="","",IF(AND(Table1[Start Date]&gt;42460,Table1[Start Date]&lt;42826),Table1[Self-Care and Living Skills],""))</f>
        <v/>
      </c>
      <c r="FW250" s="44" t="str">
        <f>IF(Table1[Date of Initial Assessment]="","",IF(AND(Table1[Start Date]&gt;42460,Table1[Start Date]&lt;42826),Table1[Managing Money and Personal Administration],""))</f>
        <v/>
      </c>
      <c r="FX250" s="44" t="str">
        <f>IF(Table1[Date of Initial Assessment]="","",IF(AND(Table1[Start Date]&gt;42460,Table1[Start Date]&lt;42826),Table1[Social Networks and Relationships],""))</f>
        <v/>
      </c>
      <c r="FY250" s="44" t="str">
        <f>IF(Table1[Date of Initial Assessment]="","",IF(AND(Table1[Start Date]&gt;42460,Table1[Start Date]&lt;42826),Table1[Drug and Alcohol Misuse],""))</f>
        <v/>
      </c>
      <c r="FZ250" s="44" t="str">
        <f>IF(Table1[Date of Initial Assessment]="","",IF(AND(Table1[Start Date]&gt;42460,Table1[Start Date]&lt;42826),Table1[Physical Health],""))</f>
        <v/>
      </c>
      <c r="GA250" s="44" t="str">
        <f>IF(Table1[Date of Initial Assessment]="","",IF(AND(Table1[Start Date]&gt;42460,Table1[Start Date]&lt;42826),Table1[Emotional and Mental Health],""))</f>
        <v/>
      </c>
      <c r="GB250" s="44" t="str">
        <f>IF(Table1[Date of Initial Assessment]="","",IF(AND(Table1[Start Date]&gt;42460,Table1[Start Date]&lt;42826),Table1[Meaningful Use of Time],""))</f>
        <v/>
      </c>
      <c r="GC250" s="44" t="str">
        <f>IF(Table1[Date of Initial Assessment]="","",IF(AND(Table1[Start Date]&gt;42460,Table1[Start Date]&lt;42826),Table1[Managing Tenancy and Accommodation],""))</f>
        <v/>
      </c>
      <c r="GD250" s="44" t="str">
        <f>IF(Table1[Date of Initial Assessment]="","",IF(AND(Table1[Start Date]&gt;42460,Table1[Start Date]&lt;42826),Table1[Offending],""))</f>
        <v/>
      </c>
      <c r="GE250" s="44" t="str">
        <f>IF(Table1[Leaving Date]="","",IF(AND(Table1[Leaving Date]&gt;42460,Table1[Leaving Date]&lt;42826),IF(Table1[Date of Last Assessment]="",Table1[Motivation and Taking Responsibility],Table1[Motivation and Taking Responsibility2]),""))</f>
        <v/>
      </c>
      <c r="GF250" s="44" t="str">
        <f>IF(Table1[Leaving Date]="","",IF(AND(Table1[Leaving Date]&gt;42460,Table1[Leaving Date]&lt;42826),IF(Table1[Date of Last Assessment]="",Table1[Self-Care and Living Skills],Table1[Self-Care and Living Skills2]),""))</f>
        <v/>
      </c>
      <c r="GG250" s="44" t="str">
        <f>IF(Table1[Leaving Date]="","",IF(AND(Table1[Leaving Date]&gt;42460,Table1[Leaving Date]&lt;42826),IF(Table1[Date of Last Assessment]="",Table1[Managing Money and Personal Administration],Table1[Managing Money and Personal Administration2]),""))</f>
        <v/>
      </c>
      <c r="GH250" s="44" t="str">
        <f>IF(Table1[Leaving Date]="","",IF(AND(Table1[Leaving Date]&gt;42460,Table1[Leaving Date]&lt;42826),IF(Table1[Date of Last Assessment]="",Table1[Social Networks and Relationships],Table1[Social Networks and Relationships2]),""))</f>
        <v/>
      </c>
      <c r="GI250" s="44" t="str">
        <f>IF(Table1[Leaving Date]="","",IF(AND(Table1[Leaving Date]&gt;42460,Table1[Leaving Date]&lt;42826),IF(Table1[Date of Last Assessment]="",Table1[Drug and Alcohol Misuse],Table1[Drug and Alcohol Misuse2]),""))</f>
        <v/>
      </c>
      <c r="GJ250" s="44" t="str">
        <f>IF(Table1[Leaving Date]="","",IF(AND(Table1[Leaving Date]&gt;42460,Table1[Leaving Date]&lt;42826),IF(Table1[Date of Last Assessment]="",Table1[Physical Health],Table1[Physical Health2]),""))</f>
        <v/>
      </c>
      <c r="GK250" s="44" t="str">
        <f>IF(Table1[Leaving Date]="","",IF(AND(Table1[Leaving Date]&gt;42460,Table1[Leaving Date]&lt;42826),IF(Table1[Date of Last Assessment]="",Table1[Emotional and Mental Health],Table1[Emotional and Mental Health2]),""))</f>
        <v/>
      </c>
      <c r="GL250" s="44" t="str">
        <f>IF(Table1[Leaving Date]="","",IF(AND(Table1[Leaving Date]&gt;42460,Table1[Leaving Date]&lt;42826),IF(Table1[Date of Last Assessment]="",Table1[Meaningful Use of Time],Table1[Meaningful Use of Time2]),""))</f>
        <v/>
      </c>
      <c r="GM250" s="44" t="str">
        <f>IF(Table1[Leaving Date]="","",IF(AND(Table1[Leaving Date]&gt;42460,Table1[Leaving Date]&lt;42826),IF(Table1[Date of Last Assessment]="",Table1[Managing Tenancy and Accommodation],Table1[Managing Tenancy and Accommodation2]),""))</f>
        <v/>
      </c>
      <c r="GN250" s="44" t="str">
        <f>IF(Table1[Leaving Date]="","",IF(AND(Table1[Leaving Date]&gt;42460,Table1[Leaving Date]&lt;42826),IF(Table1[Date of Last Assessment]="",Table1[Offending],Table1[Offending2]),""))</f>
        <v/>
      </c>
    </row>
    <row r="251" spans="2:196" ht="20.100000000000001" customHeight="1" x14ac:dyDescent="0.2">
      <c r="B251" s="86">
        <f>+'Service Data'!$C$5:$C$5</f>
        <v>0</v>
      </c>
      <c r="C251" s="86"/>
      <c r="D251" s="86"/>
      <c r="E251" s="86"/>
      <c r="F251" s="86"/>
      <c r="G251" s="86"/>
      <c r="H251" s="6"/>
      <c r="I251" s="99" t="str">
        <f ca="1">IF(Table1[[#This Row],[Date of Birth]]="","",SUM(TODAY()-Table1[[#This Row],[Date of Birth]])/365)</f>
        <v/>
      </c>
      <c r="L251" s="86"/>
      <c r="M251" s="77"/>
      <c r="N251" s="86"/>
      <c r="O251" s="86"/>
      <c r="P251" s="91"/>
      <c r="Q251" s="86"/>
      <c r="R251" s="77"/>
      <c r="S251" s="77"/>
      <c r="T251" s="68"/>
      <c r="U251" s="68"/>
      <c r="V251" s="67"/>
      <c r="W251" s="67"/>
      <c r="X251" s="67"/>
      <c r="Y251" s="67"/>
      <c r="Z251" s="67"/>
      <c r="AA251" s="67"/>
      <c r="AB251" s="67"/>
      <c r="AC251" s="67"/>
      <c r="AD251" s="67"/>
      <c r="AE251" s="67"/>
      <c r="AF251" s="67"/>
      <c r="AG251" s="67"/>
      <c r="AH251" s="67"/>
      <c r="AI251" s="67"/>
      <c r="AJ251" s="67"/>
      <c r="AK251" s="67"/>
      <c r="AL251" s="67"/>
      <c r="AM251" s="67"/>
      <c r="AN251" s="77"/>
      <c r="AO251" s="76"/>
      <c r="AP251" s="77"/>
      <c r="AQ251" s="76"/>
      <c r="AR251" s="76"/>
      <c r="AS251" s="76"/>
      <c r="AT251" s="76"/>
      <c r="AU251" s="76"/>
      <c r="AV251" s="77"/>
      <c r="AW251" s="76"/>
      <c r="AX251" s="77"/>
      <c r="AY251" s="76"/>
      <c r="AZ251" s="76"/>
      <c r="BA251" s="76"/>
      <c r="BB251" s="76"/>
      <c r="BC251" s="76"/>
      <c r="BD251" s="77"/>
      <c r="BE251" s="76"/>
      <c r="BF251" s="77"/>
      <c r="BG251" s="76"/>
      <c r="BH251" s="76"/>
      <c r="BI251" s="76"/>
      <c r="BJ251" s="76"/>
      <c r="BK251" s="76"/>
      <c r="BL251" s="77"/>
      <c r="BM251" s="76"/>
      <c r="BN251" s="77"/>
      <c r="BO251" s="76"/>
      <c r="BP251" s="76"/>
      <c r="BQ251" s="76"/>
      <c r="BR251" s="76"/>
      <c r="BS251" s="76"/>
      <c r="BT251" s="77"/>
      <c r="BU251" s="76"/>
      <c r="BV251" s="77"/>
      <c r="BW251" s="76"/>
      <c r="BX251" s="76"/>
      <c r="BY251" s="76"/>
      <c r="BZ251" s="76"/>
      <c r="CA251" s="76"/>
      <c r="CB251" s="77"/>
      <c r="CC251" s="76"/>
      <c r="CD251" s="77"/>
      <c r="CE251" s="76"/>
      <c r="CF251" s="76"/>
      <c r="CG251" s="76"/>
      <c r="CH251" s="76"/>
      <c r="CI251" s="76"/>
      <c r="CJ251" s="77"/>
      <c r="CK251" s="76"/>
      <c r="CL251" s="77"/>
      <c r="CM251" s="76"/>
      <c r="CN251" s="76"/>
      <c r="CO251" s="76"/>
      <c r="CP251" s="76"/>
      <c r="CQ251" s="76"/>
      <c r="CR251" s="78" t="str">
        <f t="shared" si="63"/>
        <v/>
      </c>
      <c r="CS251" s="79" t="str">
        <f t="shared" si="64"/>
        <v/>
      </c>
      <c r="CT251" s="79" t="str">
        <f t="shared" si="65"/>
        <v/>
      </c>
      <c r="CU251" s="79" t="str">
        <f t="shared" si="66"/>
        <v/>
      </c>
      <c r="CV251" s="79" t="str">
        <f t="shared" si="67"/>
        <v/>
      </c>
      <c r="CW251" s="79" t="str">
        <f t="shared" si="68"/>
        <v/>
      </c>
      <c r="CX251" s="79" t="str">
        <f t="shared" si="69"/>
        <v/>
      </c>
      <c r="CY251" s="79" t="str">
        <f t="shared" si="70"/>
        <v/>
      </c>
      <c r="CZ251" s="79" t="str">
        <f t="shared" si="71"/>
        <v/>
      </c>
      <c r="DA251" s="79" t="str">
        <f t="shared" si="72"/>
        <v/>
      </c>
      <c r="DB251" s="79" t="str">
        <f t="shared" si="73"/>
        <v/>
      </c>
      <c r="DC251" s="79" t="str">
        <f t="shared" si="74"/>
        <v/>
      </c>
      <c r="DD251" s="79" t="str">
        <f t="shared" si="75"/>
        <v/>
      </c>
      <c r="DE251" s="79" t="str">
        <f t="shared" si="76"/>
        <v/>
      </c>
      <c r="DF251" s="79" t="str">
        <f t="shared" si="77"/>
        <v/>
      </c>
      <c r="DG251" s="79" t="str">
        <f t="shared" si="78"/>
        <v/>
      </c>
      <c r="DH251" s="76"/>
      <c r="DI251" s="78"/>
      <c r="DJ251" s="76"/>
      <c r="DK251" s="77"/>
      <c r="DL251" s="77"/>
      <c r="DM251" s="77"/>
      <c r="DN251" s="80"/>
      <c r="DO251" s="80"/>
      <c r="DP251" s="92" t="str">
        <f>IF(Table1[Start Date]="","",IF(Table1[Start Date]&gt;42185,"",IF(AND(Table1[Leaving Date]&gt;1,Table1[Leaving Date]&lt;42095),"",1)))</f>
        <v/>
      </c>
      <c r="DQ251" s="92" t="str">
        <f>IF(Table1[Start Date]="","",IF(Table1[Start Date]&gt;42277,"",IF(AND(Table1[Leaving Date]&gt;1,Table1[Leaving Date]&lt;42186),"",1)))</f>
        <v/>
      </c>
      <c r="DR251" s="92" t="str">
        <f>IF(Table1[Start Date]="","",IF(Table1[Start Date]&gt;42369,"",IF(AND(Table1[Leaving Date]&gt;1,Table1[Leaving Date]&lt;42278),"",1)))</f>
        <v/>
      </c>
      <c r="DS251" s="92" t="str">
        <f>IF(Table1[Start Date]="","",IF(Table1[Start Date]&gt;42460,"",IF(AND(Table1[Leaving Date]&gt;1,Table1[Leaving Date]&lt;42370),"",1)))</f>
        <v/>
      </c>
      <c r="DT251" s="92" t="str">
        <f>IF(Table1[Start Date]="","",IF(Table1[Start Date]&gt;42551,"",IF(AND(Table1[Leaving Date]&gt;1,Table1[Leaving Date]&lt;42461),"",1)))</f>
        <v/>
      </c>
      <c r="DU251" s="92" t="str">
        <f>IF(Table1[Start Date]="","",IF(Table1[Start Date]&gt;42643,"",IF(AND(Table1[Leaving Date]&gt;1,Table1[Leaving Date]&lt;42552),"",1)))</f>
        <v/>
      </c>
      <c r="DV251" s="92" t="str">
        <f>IF(Table1[Start Date]="","",IF(Table1[Start Date]&gt;42735,"",IF(AND(Table1[Leaving Date]&gt;1,Table1[Leaving Date]&lt;42644),"",1)))</f>
        <v/>
      </c>
      <c r="DW251" s="92" t="str">
        <f>IF(Table1[Start Date]="","",IF(Table1[Start Date]&gt;42825,"",IF(AND(Table1[Leaving Date]&gt;1,Table1[Leaving Date]&lt;42736),"",1)))</f>
        <v/>
      </c>
      <c r="DX251"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251" s="44" t="e">
        <f>VLOOKUP(Table1[Referral Source],Lists!$G$2:$H$20,2,FALSE)</f>
        <v>#N/A</v>
      </c>
      <c r="DZ251" s="93" t="e">
        <f>SUM(Table1[Data Referral Quarter]+Table1[Data Referral Source])</f>
        <v>#N/A</v>
      </c>
      <c r="EA251" s="44" t="b">
        <f>IF(Table1[Referral Decision]="Accepted",100,IF(Table1[Referral Decision]="Rejected by Provider",200,IF(Table1[Referral Decision]="Rejected by Applicant",300)))</f>
        <v>0</v>
      </c>
      <c r="EB251" s="44">
        <f>SUM(Table1[Data Referral Quarter]+Table1[Data Referral Decision])</f>
        <v>0</v>
      </c>
      <c r="EC251" s="44" t="b">
        <f>IF(Table1[Start Date]&gt;42735,8000,IF(Table1[Start Date]&gt;42643,7000,IF(Table1[Start Date]&gt;42551,6000,IF(Table1[Start Date]&gt;42460,5000,IF(Table1[Start Date]&gt;42369,4000,IF(Table1[Start Date]&gt;42277,3000,IF(Table1[Start Date]&gt;42185,2000,IF(Table1[Start Date]&gt;42094,1000))))))))</f>
        <v>0</v>
      </c>
      <c r="ED251" s="44" t="str">
        <f>IF(Table1[Start Date]="","",IF(Table1[Current Local Authority]="Swindon",1,"2"))</f>
        <v/>
      </c>
      <c r="EE251" s="44" t="e">
        <f>SUM(Table1[Data Start Date]+Table1[Data Local Authority])</f>
        <v>#VALUE!</v>
      </c>
      <c r="EF251" s="44">
        <f>IF(Table1[Registered with GP]="Yes",1,0)</f>
        <v>0</v>
      </c>
      <c r="EG251" s="44">
        <f>SUM(Table1[Data Start Date]+Table1[Data GP Start])</f>
        <v>0</v>
      </c>
      <c r="EH251" s="44" t="str">
        <f>IF(Table1[EET]="NEET",1,IF(Table1[EET]="Education",2,IF(Table1[EET]="Employment",2,IF(Table1[EET]="Training",2,IF(Table1[EET]="Retired",3,"")))))</f>
        <v/>
      </c>
      <c r="EI251" s="44" t="e">
        <f>Table1[Data Start Date]+Table1[Data EET Start]</f>
        <v>#VALUE!</v>
      </c>
      <c r="EJ251" s="44" t="b">
        <f>IF(Table1[Leaving Date]&gt;42735,8000,IF(Table1[Leaving Date]&gt;42643,7000,IF(Table1[Leaving Date]&gt;42551,6000,IF(Table1[Leaving Date]&gt;42460,5000,IF(Table1[Leaving Date]&gt;42369,4000,IF(Table1[Leaving Date]&gt;42277,3000,IF(Table1[Leaving Date]&gt;42185,2000,IF(Table1[Leaving Date]&gt;42094,1000))))))))</f>
        <v>0</v>
      </c>
      <c r="EK251" s="44" t="e">
        <f>VLOOKUP(Table1[Reason for Leaving],Lists!$T$2:$U$15,2,FALSE)</f>
        <v>#N/A</v>
      </c>
      <c r="EL251" s="44" t="e">
        <f>SUM(Table1[Data Leavers Date]+Table1[Data Move On])</f>
        <v>#N/A</v>
      </c>
      <c r="EM251" s="44" t="b">
        <f>IF(Table1[Registered with GP2]="Yes",1,IF(Table1[Registered with GP2]="No",0,IF(Table1[Registered with GP]="Yes",1,IF(Table1[Registered with GP]="No",0))))</f>
        <v>0</v>
      </c>
      <c r="EN251" s="44">
        <f>SUM(Table1[Data Leavers Date]+Table1[Data GP End])</f>
        <v>0</v>
      </c>
      <c r="EO251" s="44" t="str">
        <f>IF(Table1[EET2]="NEET",1,IF(Table1[EET2]="Employment",2,IF(Table1[EET2]="Education",2,IF(Table1[EET2]="Training",2,IF(Table1[EET2]="Retired",3,IF(Table1[EET]="NEET",1,IF(Table1[EET]="Employment",2,IF(Table1[EET]="Education",2,IF(Table1[EET]="Training",2,IF(Table1[EET]="Retired",3,""))))))))))</f>
        <v/>
      </c>
      <c r="EP251" s="44" t="e">
        <f>+Table1[[#This Row],[Data Leavers Date]]+Table1[[#This Row],[Data EET End]]</f>
        <v>#VALUE!</v>
      </c>
      <c r="EQ251" s="44">
        <f>IF(Table1[Exit Form Received]="Yes",1,0)</f>
        <v>0</v>
      </c>
      <c r="ER251" s="44">
        <f>+Table1[[#This Row],[Data Leavers Date]]+Table1[[#This Row],[Data Exit Forms]]</f>
        <v>0</v>
      </c>
      <c r="ES251" s="44" t="str">
        <f>IF(Table1[Data Leavers Date]=1000,SUM(Table1[Leaving Date]-Table1[Start Date]),"")</f>
        <v/>
      </c>
      <c r="ET251" s="44" t="str">
        <f>IF(Table1[Data Leavers Date]=2000,SUM(Table1[Leaving Date]-Table1[Start Date]),"")</f>
        <v/>
      </c>
      <c r="EU251" s="44" t="str">
        <f>IF(Table1[Data Leavers Date]=3000,SUM(Table1[Leaving Date]-Table1[Start Date]),"")</f>
        <v/>
      </c>
      <c r="EV251" s="44" t="str">
        <f>IF(Table1[Data Leavers Date]=4000,SUM(Table1[Leaving Date]-Table1[Start Date]),"")</f>
        <v/>
      </c>
      <c r="EW251" s="44" t="str">
        <f>IF(Table1[Data Leavers Date]=5000,SUM(Table1[Leaving Date]-Table1[Start Date]),"")</f>
        <v/>
      </c>
      <c r="EX251" s="44" t="str">
        <f>IF(Table1[Data Leavers Date]=6000,SUM(Table1[Leaving Date]-Table1[Start Date]),"")</f>
        <v/>
      </c>
      <c r="EY251" s="44" t="str">
        <f>IF(Table1[Data Leavers Date]=7000,SUM(Table1[Leaving Date]-Table1[Start Date]),"")</f>
        <v/>
      </c>
      <c r="EZ251" s="44" t="str">
        <f>IF(Table1[Data Leavers Date]=8000,SUM(Table1[Leaving Date]-Table1[Start Date]),"")</f>
        <v/>
      </c>
      <c r="FA251" s="44" t="str">
        <f>IF(Table1[Date of Initial Assessment]="","",IF(AND(Table1[Start Date]&gt;42094,Table1[Start Date]&lt;42461),Table1[Motivation and Taking Responsibility],""))</f>
        <v/>
      </c>
      <c r="FB251" s="44" t="str">
        <f>IF(Table1[Date of Initial Assessment]="","",IF(AND(Table1[Start Date]&gt;42094,Table1[Start Date]&lt;42461),Table1[Self-Care and Living Skills],""))</f>
        <v/>
      </c>
      <c r="FC251" s="44" t="str">
        <f>IF(Table1[Date of Initial Assessment]="","",IF(AND(Table1[Start Date]&gt;42094,Table1[Start Date]&lt;42461),Table1[Managing Money and Personal Administration],""))</f>
        <v/>
      </c>
      <c r="FD251" s="44" t="str">
        <f>IF(Table1[Date of Initial Assessment]="","",IF(AND(Table1[Start Date]&gt;42094,Table1[Start Date]&lt;42461),Table1[Social Networks and Relationships],""))</f>
        <v/>
      </c>
      <c r="FE251" s="44" t="str">
        <f>IF(Table1[Date of Initial Assessment]="","",IF(AND(Table1[Start Date]&gt;42094,Table1[Start Date]&lt;42461),Table1[Drug and Alcohol Misuse],""))</f>
        <v/>
      </c>
      <c r="FF251" s="44" t="str">
        <f>IF(Table1[Date of Initial Assessment]="","",IF(AND(Table1[Start Date]&gt;42094,Table1[Start Date]&lt;42461),Table1[Physical Health],""))</f>
        <v/>
      </c>
      <c r="FG251" s="44" t="str">
        <f>IF(Table1[Date of Initial Assessment]="","",IF(AND(Table1[Start Date]&gt;42094,Table1[Start Date]&lt;42461),Table1[Emotional and Mental Health],""))</f>
        <v/>
      </c>
      <c r="FH251" s="44" t="str">
        <f>IF(Table1[Date of Initial Assessment]="","",IF(AND(Table1[Start Date]&gt;42094,Table1[Start Date]&lt;42461),Table1[Meaningful Use of Time],""))</f>
        <v/>
      </c>
      <c r="FI251" s="44" t="str">
        <f>IF(Table1[Date of Initial Assessment]="","",IF(AND(Table1[Start Date]&gt;42094,Table1[Start Date]&lt;42461),Table1[Managing Tenancy and Accommodation],""))</f>
        <v/>
      </c>
      <c r="FJ251" s="44" t="str">
        <f>IF(Table1[Date of Initial Assessment]="","",IF(AND(Table1[Start Date]&gt;42094,Table1[Start Date]&lt;42461),Table1[Offending],""))</f>
        <v/>
      </c>
      <c r="FK251" s="44" t="str">
        <f>IF(Table1[Leaving Date]="","",IF(Table1[Date of Initial Assessment]="","",IF(AND(Table1[Leaving Date]&gt;42094,Table1[Leaving Date]&lt;42461),IF(Table1[Date of Last Assessment]="",Table1[Motivation and Taking Responsibility],Table1[Motivation and Taking Responsibility2]),"")))</f>
        <v/>
      </c>
      <c r="FL251" s="44" t="str">
        <f>IF(Table1[Leaving Date]="","",IF(Table1[Date of Initial Assessment]="","",IF(AND(Table1[Leaving Date]&gt;42094,Table1[Leaving Date]&lt;42461),IF(Table1[Date of Last Assessment]="",Table1[Self-Care and Living Skills],Table1[Self-Care and Living Skills2]),"")))</f>
        <v/>
      </c>
      <c r="FM251" s="44" t="str">
        <f>IF(Table1[Leaving Date]="","",IF(Table1[Date of Initial Assessment]="","",IF(AND(Table1[Leaving Date]&gt;42094,Table1[Leaving Date]&lt;42461),IF(Table1[Date of Last Assessment]="",Table1[Managing Money and Personal Administration],Table1[Managing Money and Personal Administration2]),"")))</f>
        <v/>
      </c>
      <c r="FN251" s="44" t="str">
        <f>IF(Table1[Leaving Date]="","",IF(Table1[Date of Initial Assessment]="","",IF(AND(Table1[Leaving Date]&gt;42094,Table1[Leaving Date]&lt;42461),IF(Table1[Date of Last Assessment]="",Table1[Social Networks and Relationships],Table1[Social Networks and Relationships2]),"")))</f>
        <v/>
      </c>
      <c r="FO251" s="44" t="str">
        <f>IF(Table1[Leaving Date]="","",IF(Table1[Date of Initial Assessment]="","",IF(AND(Table1[Leaving Date]&gt;42094,Table1[Leaving Date]&lt;42461),IF(Table1[Date of Last Assessment]="",Table1[Drug and Alcohol Misuse],Table1[Drug and Alcohol Misuse2]),"")))</f>
        <v/>
      </c>
      <c r="FP251" s="44" t="str">
        <f>IF(Table1[Leaving Date]="","",IF(Table1[Date of Initial Assessment]="","",IF(AND(Table1[Leaving Date]&gt;42094,Table1[Leaving Date]&lt;42461),IF(Table1[Date of Last Assessment]="",Table1[Physical Health],Table1[Physical Health2]),"")))</f>
        <v/>
      </c>
      <c r="FQ251" s="44" t="str">
        <f>IF(Table1[Leaving Date]="","",IF(Table1[Date of Initial Assessment]="","",IF(AND(Table1[Leaving Date]&gt;42094,Table1[Leaving Date]&lt;42461),IF(Table1[Date of Last Assessment]="",Table1[Emotional and Mental Health],Table1[Emotional and Mental Health2]),"")))</f>
        <v/>
      </c>
      <c r="FR251" s="44" t="str">
        <f>IF(Table1[Leaving Date]="","",IF(Table1[Date of Initial Assessment]="","",IF(AND(Table1[Leaving Date]&gt;42094,Table1[Leaving Date]&lt;42461),IF(Table1[Date of Last Assessment]="",Table1[Meaningful Use of Time],Table1[Meaningful Use of Time2]),"")))</f>
        <v/>
      </c>
      <c r="FS251" s="44" t="str">
        <f>IF(Table1[Leaving Date]="","",IF(Table1[Date of Initial Assessment]="","",IF(AND(Table1[Leaving Date]&gt;42094,Table1[Leaving Date]&lt;42461),IF(Table1[Date of Last Assessment]="",Table1[Managing Tenancy and Accommodation],Table1[Managing Tenancy and Accommodation2]),"")))</f>
        <v/>
      </c>
      <c r="FT251" s="44" t="str">
        <f>IF(Table1[Leaving Date]="","",IF(Table1[Date of Initial Assessment]="","",IF(AND(Table1[Leaving Date]&gt;42094,Table1[Leaving Date]&lt;42461),IF(Table1[Date of Last Assessment]="",Table1[Offending],Table1[Offending2]),"")))</f>
        <v/>
      </c>
      <c r="FU251" s="44" t="str">
        <f>IF(Table1[Date of Initial Assessment]="","",IF(AND(Table1[Start Date]&gt;42460,Table1[Start Date]&lt;42826),Table1[Motivation and Taking Responsibility],""))</f>
        <v/>
      </c>
      <c r="FV251" s="44" t="str">
        <f>IF(Table1[Date of Initial Assessment]="","",IF(AND(Table1[Start Date]&gt;42460,Table1[Start Date]&lt;42826),Table1[Self-Care and Living Skills],""))</f>
        <v/>
      </c>
      <c r="FW251" s="44" t="str">
        <f>IF(Table1[Date of Initial Assessment]="","",IF(AND(Table1[Start Date]&gt;42460,Table1[Start Date]&lt;42826),Table1[Managing Money and Personal Administration],""))</f>
        <v/>
      </c>
      <c r="FX251" s="44" t="str">
        <f>IF(Table1[Date of Initial Assessment]="","",IF(AND(Table1[Start Date]&gt;42460,Table1[Start Date]&lt;42826),Table1[Social Networks and Relationships],""))</f>
        <v/>
      </c>
      <c r="FY251" s="44" t="str">
        <f>IF(Table1[Date of Initial Assessment]="","",IF(AND(Table1[Start Date]&gt;42460,Table1[Start Date]&lt;42826),Table1[Drug and Alcohol Misuse],""))</f>
        <v/>
      </c>
      <c r="FZ251" s="44" t="str">
        <f>IF(Table1[Date of Initial Assessment]="","",IF(AND(Table1[Start Date]&gt;42460,Table1[Start Date]&lt;42826),Table1[Physical Health],""))</f>
        <v/>
      </c>
      <c r="GA251" s="44" t="str">
        <f>IF(Table1[Date of Initial Assessment]="","",IF(AND(Table1[Start Date]&gt;42460,Table1[Start Date]&lt;42826),Table1[Emotional and Mental Health],""))</f>
        <v/>
      </c>
      <c r="GB251" s="44" t="str">
        <f>IF(Table1[Date of Initial Assessment]="","",IF(AND(Table1[Start Date]&gt;42460,Table1[Start Date]&lt;42826),Table1[Meaningful Use of Time],""))</f>
        <v/>
      </c>
      <c r="GC251" s="44" t="str">
        <f>IF(Table1[Date of Initial Assessment]="","",IF(AND(Table1[Start Date]&gt;42460,Table1[Start Date]&lt;42826),Table1[Managing Tenancy and Accommodation],""))</f>
        <v/>
      </c>
      <c r="GD251" s="44" t="str">
        <f>IF(Table1[Date of Initial Assessment]="","",IF(AND(Table1[Start Date]&gt;42460,Table1[Start Date]&lt;42826),Table1[Offending],""))</f>
        <v/>
      </c>
      <c r="GE251" s="44" t="str">
        <f>IF(Table1[Leaving Date]="","",IF(AND(Table1[Leaving Date]&gt;42460,Table1[Leaving Date]&lt;42826),IF(Table1[Date of Last Assessment]="",Table1[Motivation and Taking Responsibility],Table1[Motivation and Taking Responsibility2]),""))</f>
        <v/>
      </c>
      <c r="GF251" s="44" t="str">
        <f>IF(Table1[Leaving Date]="","",IF(AND(Table1[Leaving Date]&gt;42460,Table1[Leaving Date]&lt;42826),IF(Table1[Date of Last Assessment]="",Table1[Self-Care and Living Skills],Table1[Self-Care and Living Skills2]),""))</f>
        <v/>
      </c>
      <c r="GG251" s="44" t="str">
        <f>IF(Table1[Leaving Date]="","",IF(AND(Table1[Leaving Date]&gt;42460,Table1[Leaving Date]&lt;42826),IF(Table1[Date of Last Assessment]="",Table1[Managing Money and Personal Administration],Table1[Managing Money and Personal Administration2]),""))</f>
        <v/>
      </c>
      <c r="GH251" s="44" t="str">
        <f>IF(Table1[Leaving Date]="","",IF(AND(Table1[Leaving Date]&gt;42460,Table1[Leaving Date]&lt;42826),IF(Table1[Date of Last Assessment]="",Table1[Social Networks and Relationships],Table1[Social Networks and Relationships2]),""))</f>
        <v/>
      </c>
      <c r="GI251" s="44" t="str">
        <f>IF(Table1[Leaving Date]="","",IF(AND(Table1[Leaving Date]&gt;42460,Table1[Leaving Date]&lt;42826),IF(Table1[Date of Last Assessment]="",Table1[Drug and Alcohol Misuse],Table1[Drug and Alcohol Misuse2]),""))</f>
        <v/>
      </c>
      <c r="GJ251" s="44" t="str">
        <f>IF(Table1[Leaving Date]="","",IF(AND(Table1[Leaving Date]&gt;42460,Table1[Leaving Date]&lt;42826),IF(Table1[Date of Last Assessment]="",Table1[Physical Health],Table1[Physical Health2]),""))</f>
        <v/>
      </c>
      <c r="GK251" s="44" t="str">
        <f>IF(Table1[Leaving Date]="","",IF(AND(Table1[Leaving Date]&gt;42460,Table1[Leaving Date]&lt;42826),IF(Table1[Date of Last Assessment]="",Table1[Emotional and Mental Health],Table1[Emotional and Mental Health2]),""))</f>
        <v/>
      </c>
      <c r="GL251" s="44" t="str">
        <f>IF(Table1[Leaving Date]="","",IF(AND(Table1[Leaving Date]&gt;42460,Table1[Leaving Date]&lt;42826),IF(Table1[Date of Last Assessment]="",Table1[Meaningful Use of Time],Table1[Meaningful Use of Time2]),""))</f>
        <v/>
      </c>
      <c r="GM251" s="44" t="str">
        <f>IF(Table1[Leaving Date]="","",IF(AND(Table1[Leaving Date]&gt;42460,Table1[Leaving Date]&lt;42826),IF(Table1[Date of Last Assessment]="",Table1[Managing Tenancy and Accommodation],Table1[Managing Tenancy and Accommodation2]),""))</f>
        <v/>
      </c>
      <c r="GN251" s="44" t="str">
        <f>IF(Table1[Leaving Date]="","",IF(AND(Table1[Leaving Date]&gt;42460,Table1[Leaving Date]&lt;42826),IF(Table1[Date of Last Assessment]="",Table1[Offending],Table1[Offending2]),""))</f>
        <v/>
      </c>
    </row>
    <row r="252" spans="2:196" ht="20.100000000000001" customHeight="1" x14ac:dyDescent="0.2">
      <c r="B252" s="86">
        <f>+'Service Data'!$C$5:$C$5</f>
        <v>0</v>
      </c>
      <c r="C252" s="86"/>
      <c r="D252" s="86"/>
      <c r="E252" s="86"/>
      <c r="F252" s="86"/>
      <c r="G252" s="86"/>
      <c r="H252" s="6"/>
      <c r="I252" s="99" t="str">
        <f ca="1">IF(Table1[[#This Row],[Date of Birth]]="","",SUM(TODAY()-Table1[[#This Row],[Date of Birth]])/365)</f>
        <v/>
      </c>
      <c r="L252" s="86"/>
      <c r="M252" s="77"/>
      <c r="N252" s="86"/>
      <c r="O252" s="86"/>
      <c r="P252" s="91"/>
      <c r="Q252" s="86"/>
      <c r="R252" s="77"/>
      <c r="S252" s="77"/>
      <c r="T252" s="68"/>
      <c r="U252" s="68"/>
      <c r="V252" s="67"/>
      <c r="W252" s="67"/>
      <c r="X252" s="67"/>
      <c r="Y252" s="67"/>
      <c r="Z252" s="67"/>
      <c r="AA252" s="67"/>
      <c r="AB252" s="67"/>
      <c r="AC252" s="67"/>
      <c r="AD252" s="67"/>
      <c r="AE252" s="67"/>
      <c r="AF252" s="67"/>
      <c r="AG252" s="67"/>
      <c r="AH252" s="67"/>
      <c r="AI252" s="67"/>
      <c r="AJ252" s="67"/>
      <c r="AK252" s="67"/>
      <c r="AL252" s="67"/>
      <c r="AM252" s="67"/>
      <c r="AN252" s="77"/>
      <c r="AO252" s="76"/>
      <c r="AP252" s="77"/>
      <c r="AQ252" s="76"/>
      <c r="AR252" s="76"/>
      <c r="AS252" s="76"/>
      <c r="AT252" s="76"/>
      <c r="AU252" s="76"/>
      <c r="AV252" s="77"/>
      <c r="AW252" s="76"/>
      <c r="AX252" s="77"/>
      <c r="AY252" s="76"/>
      <c r="AZ252" s="76"/>
      <c r="BA252" s="76"/>
      <c r="BB252" s="76"/>
      <c r="BC252" s="76"/>
      <c r="BD252" s="77"/>
      <c r="BE252" s="76"/>
      <c r="BF252" s="77"/>
      <c r="BG252" s="76"/>
      <c r="BH252" s="76"/>
      <c r="BI252" s="76"/>
      <c r="BJ252" s="76"/>
      <c r="BK252" s="76"/>
      <c r="BL252" s="77"/>
      <c r="BM252" s="76"/>
      <c r="BN252" s="77"/>
      <c r="BO252" s="76"/>
      <c r="BP252" s="76"/>
      <c r="BQ252" s="76"/>
      <c r="BR252" s="76"/>
      <c r="BS252" s="76"/>
      <c r="BT252" s="77"/>
      <c r="BU252" s="76"/>
      <c r="BV252" s="77"/>
      <c r="BW252" s="76"/>
      <c r="BX252" s="76"/>
      <c r="BY252" s="76"/>
      <c r="BZ252" s="76"/>
      <c r="CA252" s="76"/>
      <c r="CB252" s="77"/>
      <c r="CC252" s="76"/>
      <c r="CD252" s="77"/>
      <c r="CE252" s="76"/>
      <c r="CF252" s="76"/>
      <c r="CG252" s="76"/>
      <c r="CH252" s="76"/>
      <c r="CI252" s="76"/>
      <c r="CJ252" s="77"/>
      <c r="CK252" s="76"/>
      <c r="CL252" s="77"/>
      <c r="CM252" s="76"/>
      <c r="CN252" s="76"/>
      <c r="CO252" s="76"/>
      <c r="CP252" s="76"/>
      <c r="CQ252" s="76"/>
      <c r="CR252" s="78" t="str">
        <f t="shared" si="63"/>
        <v/>
      </c>
      <c r="CS252" s="79" t="str">
        <f t="shared" si="64"/>
        <v/>
      </c>
      <c r="CT252" s="79" t="str">
        <f t="shared" si="65"/>
        <v/>
      </c>
      <c r="CU252" s="79" t="str">
        <f t="shared" si="66"/>
        <v/>
      </c>
      <c r="CV252" s="79" t="str">
        <f t="shared" si="67"/>
        <v/>
      </c>
      <c r="CW252" s="79" t="str">
        <f t="shared" si="68"/>
        <v/>
      </c>
      <c r="CX252" s="79" t="str">
        <f t="shared" si="69"/>
        <v/>
      </c>
      <c r="CY252" s="79" t="str">
        <f t="shared" si="70"/>
        <v/>
      </c>
      <c r="CZ252" s="79" t="str">
        <f t="shared" si="71"/>
        <v/>
      </c>
      <c r="DA252" s="79" t="str">
        <f t="shared" si="72"/>
        <v/>
      </c>
      <c r="DB252" s="79" t="str">
        <f t="shared" si="73"/>
        <v/>
      </c>
      <c r="DC252" s="79" t="str">
        <f t="shared" si="74"/>
        <v/>
      </c>
      <c r="DD252" s="79" t="str">
        <f t="shared" si="75"/>
        <v/>
      </c>
      <c r="DE252" s="79" t="str">
        <f t="shared" si="76"/>
        <v/>
      </c>
      <c r="DF252" s="79" t="str">
        <f t="shared" si="77"/>
        <v/>
      </c>
      <c r="DG252" s="79" t="str">
        <f t="shared" si="78"/>
        <v/>
      </c>
      <c r="DH252" s="76"/>
      <c r="DI252" s="78"/>
      <c r="DJ252" s="76"/>
      <c r="DK252" s="77"/>
      <c r="DL252" s="77"/>
      <c r="DM252" s="77"/>
      <c r="DN252" s="80"/>
      <c r="DO252" s="80"/>
      <c r="DP252" s="92" t="str">
        <f>IF(Table1[Start Date]="","",IF(Table1[Start Date]&gt;42185,"",IF(AND(Table1[Leaving Date]&gt;1,Table1[Leaving Date]&lt;42095),"",1)))</f>
        <v/>
      </c>
      <c r="DQ252" s="92" t="str">
        <f>IF(Table1[Start Date]="","",IF(Table1[Start Date]&gt;42277,"",IF(AND(Table1[Leaving Date]&gt;1,Table1[Leaving Date]&lt;42186),"",1)))</f>
        <v/>
      </c>
      <c r="DR252" s="92" t="str">
        <f>IF(Table1[Start Date]="","",IF(Table1[Start Date]&gt;42369,"",IF(AND(Table1[Leaving Date]&gt;1,Table1[Leaving Date]&lt;42278),"",1)))</f>
        <v/>
      </c>
      <c r="DS252" s="92" t="str">
        <f>IF(Table1[Start Date]="","",IF(Table1[Start Date]&gt;42460,"",IF(AND(Table1[Leaving Date]&gt;1,Table1[Leaving Date]&lt;42370),"",1)))</f>
        <v/>
      </c>
      <c r="DT252" s="92" t="str">
        <f>IF(Table1[Start Date]="","",IF(Table1[Start Date]&gt;42551,"",IF(AND(Table1[Leaving Date]&gt;1,Table1[Leaving Date]&lt;42461),"",1)))</f>
        <v/>
      </c>
      <c r="DU252" s="92" t="str">
        <f>IF(Table1[Start Date]="","",IF(Table1[Start Date]&gt;42643,"",IF(AND(Table1[Leaving Date]&gt;1,Table1[Leaving Date]&lt;42552),"",1)))</f>
        <v/>
      </c>
      <c r="DV252" s="92" t="str">
        <f>IF(Table1[Start Date]="","",IF(Table1[Start Date]&gt;42735,"",IF(AND(Table1[Leaving Date]&gt;1,Table1[Leaving Date]&lt;42644),"",1)))</f>
        <v/>
      </c>
      <c r="DW252" s="92" t="str">
        <f>IF(Table1[Start Date]="","",IF(Table1[Start Date]&gt;42825,"",IF(AND(Table1[Leaving Date]&gt;1,Table1[Leaving Date]&lt;42736),"",1)))</f>
        <v/>
      </c>
      <c r="DX252"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252" s="44" t="e">
        <f>VLOOKUP(Table1[Referral Source],Lists!$G$2:$H$20,2,FALSE)</f>
        <v>#N/A</v>
      </c>
      <c r="DZ252" s="93" t="e">
        <f>SUM(Table1[Data Referral Quarter]+Table1[Data Referral Source])</f>
        <v>#N/A</v>
      </c>
      <c r="EA252" s="44" t="b">
        <f>IF(Table1[Referral Decision]="Accepted",100,IF(Table1[Referral Decision]="Rejected by Provider",200,IF(Table1[Referral Decision]="Rejected by Applicant",300)))</f>
        <v>0</v>
      </c>
      <c r="EB252" s="44">
        <f>SUM(Table1[Data Referral Quarter]+Table1[Data Referral Decision])</f>
        <v>0</v>
      </c>
      <c r="EC252" s="44" t="b">
        <f>IF(Table1[Start Date]&gt;42735,8000,IF(Table1[Start Date]&gt;42643,7000,IF(Table1[Start Date]&gt;42551,6000,IF(Table1[Start Date]&gt;42460,5000,IF(Table1[Start Date]&gt;42369,4000,IF(Table1[Start Date]&gt;42277,3000,IF(Table1[Start Date]&gt;42185,2000,IF(Table1[Start Date]&gt;42094,1000))))))))</f>
        <v>0</v>
      </c>
      <c r="ED252" s="44" t="str">
        <f>IF(Table1[Start Date]="","",IF(Table1[Current Local Authority]="Swindon",1,"2"))</f>
        <v/>
      </c>
      <c r="EE252" s="44" t="e">
        <f>SUM(Table1[Data Start Date]+Table1[Data Local Authority])</f>
        <v>#VALUE!</v>
      </c>
      <c r="EF252" s="44">
        <f>IF(Table1[Registered with GP]="Yes",1,0)</f>
        <v>0</v>
      </c>
      <c r="EG252" s="44">
        <f>SUM(Table1[Data Start Date]+Table1[Data GP Start])</f>
        <v>0</v>
      </c>
      <c r="EH252" s="44" t="str">
        <f>IF(Table1[EET]="NEET",1,IF(Table1[EET]="Education",2,IF(Table1[EET]="Employment",2,IF(Table1[EET]="Training",2,IF(Table1[EET]="Retired",3,"")))))</f>
        <v/>
      </c>
      <c r="EI252" s="44" t="e">
        <f>Table1[Data Start Date]+Table1[Data EET Start]</f>
        <v>#VALUE!</v>
      </c>
      <c r="EJ252" s="44" t="b">
        <f>IF(Table1[Leaving Date]&gt;42735,8000,IF(Table1[Leaving Date]&gt;42643,7000,IF(Table1[Leaving Date]&gt;42551,6000,IF(Table1[Leaving Date]&gt;42460,5000,IF(Table1[Leaving Date]&gt;42369,4000,IF(Table1[Leaving Date]&gt;42277,3000,IF(Table1[Leaving Date]&gt;42185,2000,IF(Table1[Leaving Date]&gt;42094,1000))))))))</f>
        <v>0</v>
      </c>
      <c r="EK252" s="44" t="e">
        <f>VLOOKUP(Table1[Reason for Leaving],Lists!$T$2:$U$15,2,FALSE)</f>
        <v>#N/A</v>
      </c>
      <c r="EL252" s="44" t="e">
        <f>SUM(Table1[Data Leavers Date]+Table1[Data Move On])</f>
        <v>#N/A</v>
      </c>
      <c r="EM252" s="44" t="b">
        <f>IF(Table1[Registered with GP2]="Yes",1,IF(Table1[Registered with GP2]="No",0,IF(Table1[Registered with GP]="Yes",1,IF(Table1[Registered with GP]="No",0))))</f>
        <v>0</v>
      </c>
      <c r="EN252" s="44">
        <f>SUM(Table1[Data Leavers Date]+Table1[Data GP End])</f>
        <v>0</v>
      </c>
      <c r="EO252" s="44" t="str">
        <f>IF(Table1[EET2]="NEET",1,IF(Table1[EET2]="Employment",2,IF(Table1[EET2]="Education",2,IF(Table1[EET2]="Training",2,IF(Table1[EET2]="Retired",3,IF(Table1[EET]="NEET",1,IF(Table1[EET]="Employment",2,IF(Table1[EET]="Education",2,IF(Table1[EET]="Training",2,IF(Table1[EET]="Retired",3,""))))))))))</f>
        <v/>
      </c>
      <c r="EP252" s="44" t="e">
        <f>+Table1[[#This Row],[Data Leavers Date]]+Table1[[#This Row],[Data EET End]]</f>
        <v>#VALUE!</v>
      </c>
      <c r="EQ252" s="44">
        <f>IF(Table1[Exit Form Received]="Yes",1,0)</f>
        <v>0</v>
      </c>
      <c r="ER252" s="44">
        <f>+Table1[[#This Row],[Data Leavers Date]]+Table1[[#This Row],[Data Exit Forms]]</f>
        <v>0</v>
      </c>
      <c r="ES252" s="44" t="str">
        <f>IF(Table1[Data Leavers Date]=1000,SUM(Table1[Leaving Date]-Table1[Start Date]),"")</f>
        <v/>
      </c>
      <c r="ET252" s="44" t="str">
        <f>IF(Table1[Data Leavers Date]=2000,SUM(Table1[Leaving Date]-Table1[Start Date]),"")</f>
        <v/>
      </c>
      <c r="EU252" s="44" t="str">
        <f>IF(Table1[Data Leavers Date]=3000,SUM(Table1[Leaving Date]-Table1[Start Date]),"")</f>
        <v/>
      </c>
      <c r="EV252" s="44" t="str">
        <f>IF(Table1[Data Leavers Date]=4000,SUM(Table1[Leaving Date]-Table1[Start Date]),"")</f>
        <v/>
      </c>
      <c r="EW252" s="44" t="str">
        <f>IF(Table1[Data Leavers Date]=5000,SUM(Table1[Leaving Date]-Table1[Start Date]),"")</f>
        <v/>
      </c>
      <c r="EX252" s="44" t="str">
        <f>IF(Table1[Data Leavers Date]=6000,SUM(Table1[Leaving Date]-Table1[Start Date]),"")</f>
        <v/>
      </c>
      <c r="EY252" s="44" t="str">
        <f>IF(Table1[Data Leavers Date]=7000,SUM(Table1[Leaving Date]-Table1[Start Date]),"")</f>
        <v/>
      </c>
      <c r="EZ252" s="44" t="str">
        <f>IF(Table1[Data Leavers Date]=8000,SUM(Table1[Leaving Date]-Table1[Start Date]),"")</f>
        <v/>
      </c>
      <c r="FA252" s="44" t="str">
        <f>IF(Table1[Date of Initial Assessment]="","",IF(AND(Table1[Start Date]&gt;42094,Table1[Start Date]&lt;42461),Table1[Motivation and Taking Responsibility],""))</f>
        <v/>
      </c>
      <c r="FB252" s="44" t="str">
        <f>IF(Table1[Date of Initial Assessment]="","",IF(AND(Table1[Start Date]&gt;42094,Table1[Start Date]&lt;42461),Table1[Self-Care and Living Skills],""))</f>
        <v/>
      </c>
      <c r="FC252" s="44" t="str">
        <f>IF(Table1[Date of Initial Assessment]="","",IF(AND(Table1[Start Date]&gt;42094,Table1[Start Date]&lt;42461),Table1[Managing Money and Personal Administration],""))</f>
        <v/>
      </c>
      <c r="FD252" s="44" t="str">
        <f>IF(Table1[Date of Initial Assessment]="","",IF(AND(Table1[Start Date]&gt;42094,Table1[Start Date]&lt;42461),Table1[Social Networks and Relationships],""))</f>
        <v/>
      </c>
      <c r="FE252" s="44" t="str">
        <f>IF(Table1[Date of Initial Assessment]="","",IF(AND(Table1[Start Date]&gt;42094,Table1[Start Date]&lt;42461),Table1[Drug and Alcohol Misuse],""))</f>
        <v/>
      </c>
      <c r="FF252" s="44" t="str">
        <f>IF(Table1[Date of Initial Assessment]="","",IF(AND(Table1[Start Date]&gt;42094,Table1[Start Date]&lt;42461),Table1[Physical Health],""))</f>
        <v/>
      </c>
      <c r="FG252" s="44" t="str">
        <f>IF(Table1[Date of Initial Assessment]="","",IF(AND(Table1[Start Date]&gt;42094,Table1[Start Date]&lt;42461),Table1[Emotional and Mental Health],""))</f>
        <v/>
      </c>
      <c r="FH252" s="44" t="str">
        <f>IF(Table1[Date of Initial Assessment]="","",IF(AND(Table1[Start Date]&gt;42094,Table1[Start Date]&lt;42461),Table1[Meaningful Use of Time],""))</f>
        <v/>
      </c>
      <c r="FI252" s="44" t="str">
        <f>IF(Table1[Date of Initial Assessment]="","",IF(AND(Table1[Start Date]&gt;42094,Table1[Start Date]&lt;42461),Table1[Managing Tenancy and Accommodation],""))</f>
        <v/>
      </c>
      <c r="FJ252" s="44" t="str">
        <f>IF(Table1[Date of Initial Assessment]="","",IF(AND(Table1[Start Date]&gt;42094,Table1[Start Date]&lt;42461),Table1[Offending],""))</f>
        <v/>
      </c>
      <c r="FK252" s="44" t="str">
        <f>IF(Table1[Leaving Date]="","",IF(Table1[Date of Initial Assessment]="","",IF(AND(Table1[Leaving Date]&gt;42094,Table1[Leaving Date]&lt;42461),IF(Table1[Date of Last Assessment]="",Table1[Motivation and Taking Responsibility],Table1[Motivation and Taking Responsibility2]),"")))</f>
        <v/>
      </c>
      <c r="FL252" s="44" t="str">
        <f>IF(Table1[Leaving Date]="","",IF(Table1[Date of Initial Assessment]="","",IF(AND(Table1[Leaving Date]&gt;42094,Table1[Leaving Date]&lt;42461),IF(Table1[Date of Last Assessment]="",Table1[Self-Care and Living Skills],Table1[Self-Care and Living Skills2]),"")))</f>
        <v/>
      </c>
      <c r="FM252" s="44" t="str">
        <f>IF(Table1[Leaving Date]="","",IF(Table1[Date of Initial Assessment]="","",IF(AND(Table1[Leaving Date]&gt;42094,Table1[Leaving Date]&lt;42461),IF(Table1[Date of Last Assessment]="",Table1[Managing Money and Personal Administration],Table1[Managing Money and Personal Administration2]),"")))</f>
        <v/>
      </c>
      <c r="FN252" s="44" t="str">
        <f>IF(Table1[Leaving Date]="","",IF(Table1[Date of Initial Assessment]="","",IF(AND(Table1[Leaving Date]&gt;42094,Table1[Leaving Date]&lt;42461),IF(Table1[Date of Last Assessment]="",Table1[Social Networks and Relationships],Table1[Social Networks and Relationships2]),"")))</f>
        <v/>
      </c>
      <c r="FO252" s="44" t="str">
        <f>IF(Table1[Leaving Date]="","",IF(Table1[Date of Initial Assessment]="","",IF(AND(Table1[Leaving Date]&gt;42094,Table1[Leaving Date]&lt;42461),IF(Table1[Date of Last Assessment]="",Table1[Drug and Alcohol Misuse],Table1[Drug and Alcohol Misuse2]),"")))</f>
        <v/>
      </c>
      <c r="FP252" s="44" t="str">
        <f>IF(Table1[Leaving Date]="","",IF(Table1[Date of Initial Assessment]="","",IF(AND(Table1[Leaving Date]&gt;42094,Table1[Leaving Date]&lt;42461),IF(Table1[Date of Last Assessment]="",Table1[Physical Health],Table1[Physical Health2]),"")))</f>
        <v/>
      </c>
      <c r="FQ252" s="44" t="str">
        <f>IF(Table1[Leaving Date]="","",IF(Table1[Date of Initial Assessment]="","",IF(AND(Table1[Leaving Date]&gt;42094,Table1[Leaving Date]&lt;42461),IF(Table1[Date of Last Assessment]="",Table1[Emotional and Mental Health],Table1[Emotional and Mental Health2]),"")))</f>
        <v/>
      </c>
      <c r="FR252" s="44" t="str">
        <f>IF(Table1[Leaving Date]="","",IF(Table1[Date of Initial Assessment]="","",IF(AND(Table1[Leaving Date]&gt;42094,Table1[Leaving Date]&lt;42461),IF(Table1[Date of Last Assessment]="",Table1[Meaningful Use of Time],Table1[Meaningful Use of Time2]),"")))</f>
        <v/>
      </c>
      <c r="FS252" s="44" t="str">
        <f>IF(Table1[Leaving Date]="","",IF(Table1[Date of Initial Assessment]="","",IF(AND(Table1[Leaving Date]&gt;42094,Table1[Leaving Date]&lt;42461),IF(Table1[Date of Last Assessment]="",Table1[Managing Tenancy and Accommodation],Table1[Managing Tenancy and Accommodation2]),"")))</f>
        <v/>
      </c>
      <c r="FT252" s="44" t="str">
        <f>IF(Table1[Leaving Date]="","",IF(Table1[Date of Initial Assessment]="","",IF(AND(Table1[Leaving Date]&gt;42094,Table1[Leaving Date]&lt;42461),IF(Table1[Date of Last Assessment]="",Table1[Offending],Table1[Offending2]),"")))</f>
        <v/>
      </c>
      <c r="FU252" s="44" t="str">
        <f>IF(Table1[Date of Initial Assessment]="","",IF(AND(Table1[Start Date]&gt;42460,Table1[Start Date]&lt;42826),Table1[Motivation and Taking Responsibility],""))</f>
        <v/>
      </c>
      <c r="FV252" s="44" t="str">
        <f>IF(Table1[Date of Initial Assessment]="","",IF(AND(Table1[Start Date]&gt;42460,Table1[Start Date]&lt;42826),Table1[Self-Care and Living Skills],""))</f>
        <v/>
      </c>
      <c r="FW252" s="44" t="str">
        <f>IF(Table1[Date of Initial Assessment]="","",IF(AND(Table1[Start Date]&gt;42460,Table1[Start Date]&lt;42826),Table1[Managing Money and Personal Administration],""))</f>
        <v/>
      </c>
      <c r="FX252" s="44" t="str">
        <f>IF(Table1[Date of Initial Assessment]="","",IF(AND(Table1[Start Date]&gt;42460,Table1[Start Date]&lt;42826),Table1[Social Networks and Relationships],""))</f>
        <v/>
      </c>
      <c r="FY252" s="44" t="str">
        <f>IF(Table1[Date of Initial Assessment]="","",IF(AND(Table1[Start Date]&gt;42460,Table1[Start Date]&lt;42826),Table1[Drug and Alcohol Misuse],""))</f>
        <v/>
      </c>
      <c r="FZ252" s="44" t="str">
        <f>IF(Table1[Date of Initial Assessment]="","",IF(AND(Table1[Start Date]&gt;42460,Table1[Start Date]&lt;42826),Table1[Physical Health],""))</f>
        <v/>
      </c>
      <c r="GA252" s="44" t="str">
        <f>IF(Table1[Date of Initial Assessment]="","",IF(AND(Table1[Start Date]&gt;42460,Table1[Start Date]&lt;42826),Table1[Emotional and Mental Health],""))</f>
        <v/>
      </c>
      <c r="GB252" s="44" t="str">
        <f>IF(Table1[Date of Initial Assessment]="","",IF(AND(Table1[Start Date]&gt;42460,Table1[Start Date]&lt;42826),Table1[Meaningful Use of Time],""))</f>
        <v/>
      </c>
      <c r="GC252" s="44" t="str">
        <f>IF(Table1[Date of Initial Assessment]="","",IF(AND(Table1[Start Date]&gt;42460,Table1[Start Date]&lt;42826),Table1[Managing Tenancy and Accommodation],""))</f>
        <v/>
      </c>
      <c r="GD252" s="44" t="str">
        <f>IF(Table1[Date of Initial Assessment]="","",IF(AND(Table1[Start Date]&gt;42460,Table1[Start Date]&lt;42826),Table1[Offending],""))</f>
        <v/>
      </c>
      <c r="GE252" s="44" t="str">
        <f>IF(Table1[Leaving Date]="","",IF(AND(Table1[Leaving Date]&gt;42460,Table1[Leaving Date]&lt;42826),IF(Table1[Date of Last Assessment]="",Table1[Motivation and Taking Responsibility],Table1[Motivation and Taking Responsibility2]),""))</f>
        <v/>
      </c>
      <c r="GF252" s="44" t="str">
        <f>IF(Table1[Leaving Date]="","",IF(AND(Table1[Leaving Date]&gt;42460,Table1[Leaving Date]&lt;42826),IF(Table1[Date of Last Assessment]="",Table1[Self-Care and Living Skills],Table1[Self-Care and Living Skills2]),""))</f>
        <v/>
      </c>
      <c r="GG252" s="44" t="str">
        <f>IF(Table1[Leaving Date]="","",IF(AND(Table1[Leaving Date]&gt;42460,Table1[Leaving Date]&lt;42826),IF(Table1[Date of Last Assessment]="",Table1[Managing Money and Personal Administration],Table1[Managing Money and Personal Administration2]),""))</f>
        <v/>
      </c>
      <c r="GH252" s="44" t="str">
        <f>IF(Table1[Leaving Date]="","",IF(AND(Table1[Leaving Date]&gt;42460,Table1[Leaving Date]&lt;42826),IF(Table1[Date of Last Assessment]="",Table1[Social Networks and Relationships],Table1[Social Networks and Relationships2]),""))</f>
        <v/>
      </c>
      <c r="GI252" s="44" t="str">
        <f>IF(Table1[Leaving Date]="","",IF(AND(Table1[Leaving Date]&gt;42460,Table1[Leaving Date]&lt;42826),IF(Table1[Date of Last Assessment]="",Table1[Drug and Alcohol Misuse],Table1[Drug and Alcohol Misuse2]),""))</f>
        <v/>
      </c>
      <c r="GJ252" s="44" t="str">
        <f>IF(Table1[Leaving Date]="","",IF(AND(Table1[Leaving Date]&gt;42460,Table1[Leaving Date]&lt;42826),IF(Table1[Date of Last Assessment]="",Table1[Physical Health],Table1[Physical Health2]),""))</f>
        <v/>
      </c>
      <c r="GK252" s="44" t="str">
        <f>IF(Table1[Leaving Date]="","",IF(AND(Table1[Leaving Date]&gt;42460,Table1[Leaving Date]&lt;42826),IF(Table1[Date of Last Assessment]="",Table1[Emotional and Mental Health],Table1[Emotional and Mental Health2]),""))</f>
        <v/>
      </c>
      <c r="GL252" s="44" t="str">
        <f>IF(Table1[Leaving Date]="","",IF(AND(Table1[Leaving Date]&gt;42460,Table1[Leaving Date]&lt;42826),IF(Table1[Date of Last Assessment]="",Table1[Meaningful Use of Time],Table1[Meaningful Use of Time2]),""))</f>
        <v/>
      </c>
      <c r="GM252" s="44" t="str">
        <f>IF(Table1[Leaving Date]="","",IF(AND(Table1[Leaving Date]&gt;42460,Table1[Leaving Date]&lt;42826),IF(Table1[Date of Last Assessment]="",Table1[Managing Tenancy and Accommodation],Table1[Managing Tenancy and Accommodation2]),""))</f>
        <v/>
      </c>
      <c r="GN252" s="44" t="str">
        <f>IF(Table1[Leaving Date]="","",IF(AND(Table1[Leaving Date]&gt;42460,Table1[Leaving Date]&lt;42826),IF(Table1[Date of Last Assessment]="",Table1[Offending],Table1[Offending2]),""))</f>
        <v/>
      </c>
    </row>
    <row r="253" spans="2:196" ht="20.100000000000001" customHeight="1" x14ac:dyDescent="0.2">
      <c r="B253" s="86">
        <f>+'Service Data'!$C$5:$C$5</f>
        <v>0</v>
      </c>
      <c r="C253" s="86"/>
      <c r="D253" s="86"/>
      <c r="E253" s="86"/>
      <c r="F253" s="86"/>
      <c r="G253" s="86"/>
      <c r="H253" s="6"/>
      <c r="I253" s="99" t="str">
        <f ca="1">IF(Table1[[#This Row],[Date of Birth]]="","",SUM(TODAY()-Table1[[#This Row],[Date of Birth]])/365)</f>
        <v/>
      </c>
      <c r="L253" s="86"/>
      <c r="M253" s="77"/>
      <c r="N253" s="86"/>
      <c r="O253" s="86"/>
      <c r="P253" s="91"/>
      <c r="Q253" s="86"/>
      <c r="R253" s="77"/>
      <c r="S253" s="77"/>
      <c r="T253" s="68"/>
      <c r="U253" s="68"/>
      <c r="V253" s="67"/>
      <c r="W253" s="67"/>
      <c r="X253" s="67"/>
      <c r="Y253" s="67"/>
      <c r="Z253" s="67"/>
      <c r="AA253" s="67"/>
      <c r="AB253" s="67"/>
      <c r="AC253" s="67"/>
      <c r="AD253" s="67"/>
      <c r="AE253" s="67"/>
      <c r="AF253" s="67"/>
      <c r="AG253" s="67"/>
      <c r="AH253" s="67"/>
      <c r="AI253" s="67"/>
      <c r="AJ253" s="67"/>
      <c r="AK253" s="67"/>
      <c r="AL253" s="67"/>
      <c r="AM253" s="67"/>
      <c r="AN253" s="77"/>
      <c r="AO253" s="76"/>
      <c r="AP253" s="77"/>
      <c r="AQ253" s="76"/>
      <c r="AR253" s="76"/>
      <c r="AS253" s="76"/>
      <c r="AT253" s="76"/>
      <c r="AU253" s="76"/>
      <c r="AV253" s="77"/>
      <c r="AW253" s="76"/>
      <c r="AX253" s="77"/>
      <c r="AY253" s="76"/>
      <c r="AZ253" s="76"/>
      <c r="BA253" s="76"/>
      <c r="BB253" s="76"/>
      <c r="BC253" s="76"/>
      <c r="BD253" s="77"/>
      <c r="BE253" s="76"/>
      <c r="BF253" s="77"/>
      <c r="BG253" s="76"/>
      <c r="BH253" s="76"/>
      <c r="BI253" s="76"/>
      <c r="BJ253" s="76"/>
      <c r="BK253" s="76"/>
      <c r="BL253" s="77"/>
      <c r="BM253" s="76"/>
      <c r="BN253" s="77"/>
      <c r="BO253" s="76"/>
      <c r="BP253" s="76"/>
      <c r="BQ253" s="76"/>
      <c r="BR253" s="76"/>
      <c r="BS253" s="76"/>
      <c r="BT253" s="77"/>
      <c r="BU253" s="76"/>
      <c r="BV253" s="77"/>
      <c r="BW253" s="76"/>
      <c r="BX253" s="76"/>
      <c r="BY253" s="76"/>
      <c r="BZ253" s="76"/>
      <c r="CA253" s="76"/>
      <c r="CB253" s="77"/>
      <c r="CC253" s="76"/>
      <c r="CD253" s="77"/>
      <c r="CE253" s="76"/>
      <c r="CF253" s="76"/>
      <c r="CG253" s="76"/>
      <c r="CH253" s="76"/>
      <c r="CI253" s="76"/>
      <c r="CJ253" s="77"/>
      <c r="CK253" s="76"/>
      <c r="CL253" s="77"/>
      <c r="CM253" s="76"/>
      <c r="CN253" s="76"/>
      <c r="CO253" s="76"/>
      <c r="CP253" s="76"/>
      <c r="CQ253" s="76"/>
      <c r="CR253" s="78" t="str">
        <f t="shared" si="63"/>
        <v/>
      </c>
      <c r="CS253" s="79" t="str">
        <f t="shared" si="64"/>
        <v/>
      </c>
      <c r="CT253" s="79" t="str">
        <f t="shared" si="65"/>
        <v/>
      </c>
      <c r="CU253" s="79" t="str">
        <f t="shared" si="66"/>
        <v/>
      </c>
      <c r="CV253" s="79" t="str">
        <f t="shared" si="67"/>
        <v/>
      </c>
      <c r="CW253" s="79" t="str">
        <f t="shared" si="68"/>
        <v/>
      </c>
      <c r="CX253" s="79" t="str">
        <f t="shared" si="69"/>
        <v/>
      </c>
      <c r="CY253" s="79" t="str">
        <f t="shared" si="70"/>
        <v/>
      </c>
      <c r="CZ253" s="79" t="str">
        <f t="shared" si="71"/>
        <v/>
      </c>
      <c r="DA253" s="79" t="str">
        <f t="shared" si="72"/>
        <v/>
      </c>
      <c r="DB253" s="79" t="str">
        <f t="shared" si="73"/>
        <v/>
      </c>
      <c r="DC253" s="79" t="str">
        <f t="shared" si="74"/>
        <v/>
      </c>
      <c r="DD253" s="79" t="str">
        <f t="shared" si="75"/>
        <v/>
      </c>
      <c r="DE253" s="79" t="str">
        <f t="shared" si="76"/>
        <v/>
      </c>
      <c r="DF253" s="79" t="str">
        <f t="shared" si="77"/>
        <v/>
      </c>
      <c r="DG253" s="79" t="str">
        <f t="shared" si="78"/>
        <v/>
      </c>
      <c r="DH253" s="76"/>
      <c r="DI253" s="78"/>
      <c r="DJ253" s="76"/>
      <c r="DK253" s="77"/>
      <c r="DL253" s="77"/>
      <c r="DM253" s="77"/>
      <c r="DN253" s="80"/>
      <c r="DO253" s="80"/>
      <c r="DP253" s="92" t="str">
        <f>IF(Table1[Start Date]="","",IF(Table1[Start Date]&gt;42185,"",IF(AND(Table1[Leaving Date]&gt;1,Table1[Leaving Date]&lt;42095),"",1)))</f>
        <v/>
      </c>
      <c r="DQ253" s="92" t="str">
        <f>IF(Table1[Start Date]="","",IF(Table1[Start Date]&gt;42277,"",IF(AND(Table1[Leaving Date]&gt;1,Table1[Leaving Date]&lt;42186),"",1)))</f>
        <v/>
      </c>
      <c r="DR253" s="92" t="str">
        <f>IF(Table1[Start Date]="","",IF(Table1[Start Date]&gt;42369,"",IF(AND(Table1[Leaving Date]&gt;1,Table1[Leaving Date]&lt;42278),"",1)))</f>
        <v/>
      </c>
      <c r="DS253" s="92" t="str">
        <f>IF(Table1[Start Date]="","",IF(Table1[Start Date]&gt;42460,"",IF(AND(Table1[Leaving Date]&gt;1,Table1[Leaving Date]&lt;42370),"",1)))</f>
        <v/>
      </c>
      <c r="DT253" s="92" t="str">
        <f>IF(Table1[Start Date]="","",IF(Table1[Start Date]&gt;42551,"",IF(AND(Table1[Leaving Date]&gt;1,Table1[Leaving Date]&lt;42461),"",1)))</f>
        <v/>
      </c>
      <c r="DU253" s="92" t="str">
        <f>IF(Table1[Start Date]="","",IF(Table1[Start Date]&gt;42643,"",IF(AND(Table1[Leaving Date]&gt;1,Table1[Leaving Date]&lt;42552),"",1)))</f>
        <v/>
      </c>
      <c r="DV253" s="92" t="str">
        <f>IF(Table1[Start Date]="","",IF(Table1[Start Date]&gt;42735,"",IF(AND(Table1[Leaving Date]&gt;1,Table1[Leaving Date]&lt;42644),"",1)))</f>
        <v/>
      </c>
      <c r="DW253" s="92" t="str">
        <f>IF(Table1[Start Date]="","",IF(Table1[Start Date]&gt;42825,"",IF(AND(Table1[Leaving Date]&gt;1,Table1[Leaving Date]&lt;42736),"",1)))</f>
        <v/>
      </c>
      <c r="DX253"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253" s="44" t="e">
        <f>VLOOKUP(Table1[Referral Source],Lists!$G$2:$H$20,2,FALSE)</f>
        <v>#N/A</v>
      </c>
      <c r="DZ253" s="93" t="e">
        <f>SUM(Table1[Data Referral Quarter]+Table1[Data Referral Source])</f>
        <v>#N/A</v>
      </c>
      <c r="EA253" s="44" t="b">
        <f>IF(Table1[Referral Decision]="Accepted",100,IF(Table1[Referral Decision]="Rejected by Provider",200,IF(Table1[Referral Decision]="Rejected by Applicant",300)))</f>
        <v>0</v>
      </c>
      <c r="EB253" s="44">
        <f>SUM(Table1[Data Referral Quarter]+Table1[Data Referral Decision])</f>
        <v>0</v>
      </c>
      <c r="EC253" s="44" t="b">
        <f>IF(Table1[Start Date]&gt;42735,8000,IF(Table1[Start Date]&gt;42643,7000,IF(Table1[Start Date]&gt;42551,6000,IF(Table1[Start Date]&gt;42460,5000,IF(Table1[Start Date]&gt;42369,4000,IF(Table1[Start Date]&gt;42277,3000,IF(Table1[Start Date]&gt;42185,2000,IF(Table1[Start Date]&gt;42094,1000))))))))</f>
        <v>0</v>
      </c>
      <c r="ED253" s="44" t="str">
        <f>IF(Table1[Start Date]="","",IF(Table1[Current Local Authority]="Swindon",1,"2"))</f>
        <v/>
      </c>
      <c r="EE253" s="44" t="e">
        <f>SUM(Table1[Data Start Date]+Table1[Data Local Authority])</f>
        <v>#VALUE!</v>
      </c>
      <c r="EF253" s="44">
        <f>IF(Table1[Registered with GP]="Yes",1,0)</f>
        <v>0</v>
      </c>
      <c r="EG253" s="44">
        <f>SUM(Table1[Data Start Date]+Table1[Data GP Start])</f>
        <v>0</v>
      </c>
      <c r="EH253" s="44" t="str">
        <f>IF(Table1[EET]="NEET",1,IF(Table1[EET]="Education",2,IF(Table1[EET]="Employment",2,IF(Table1[EET]="Training",2,IF(Table1[EET]="Retired",3,"")))))</f>
        <v/>
      </c>
      <c r="EI253" s="44" t="e">
        <f>Table1[Data Start Date]+Table1[Data EET Start]</f>
        <v>#VALUE!</v>
      </c>
      <c r="EJ253" s="44" t="b">
        <f>IF(Table1[Leaving Date]&gt;42735,8000,IF(Table1[Leaving Date]&gt;42643,7000,IF(Table1[Leaving Date]&gt;42551,6000,IF(Table1[Leaving Date]&gt;42460,5000,IF(Table1[Leaving Date]&gt;42369,4000,IF(Table1[Leaving Date]&gt;42277,3000,IF(Table1[Leaving Date]&gt;42185,2000,IF(Table1[Leaving Date]&gt;42094,1000))))))))</f>
        <v>0</v>
      </c>
      <c r="EK253" s="44" t="e">
        <f>VLOOKUP(Table1[Reason for Leaving],Lists!$T$2:$U$15,2,FALSE)</f>
        <v>#N/A</v>
      </c>
      <c r="EL253" s="44" t="e">
        <f>SUM(Table1[Data Leavers Date]+Table1[Data Move On])</f>
        <v>#N/A</v>
      </c>
      <c r="EM253" s="44" t="b">
        <f>IF(Table1[Registered with GP2]="Yes",1,IF(Table1[Registered with GP2]="No",0,IF(Table1[Registered with GP]="Yes",1,IF(Table1[Registered with GP]="No",0))))</f>
        <v>0</v>
      </c>
      <c r="EN253" s="44">
        <f>SUM(Table1[Data Leavers Date]+Table1[Data GP End])</f>
        <v>0</v>
      </c>
      <c r="EO253" s="44" t="str">
        <f>IF(Table1[EET2]="NEET",1,IF(Table1[EET2]="Employment",2,IF(Table1[EET2]="Education",2,IF(Table1[EET2]="Training",2,IF(Table1[EET2]="Retired",3,IF(Table1[EET]="NEET",1,IF(Table1[EET]="Employment",2,IF(Table1[EET]="Education",2,IF(Table1[EET]="Training",2,IF(Table1[EET]="Retired",3,""))))))))))</f>
        <v/>
      </c>
      <c r="EP253" s="44" t="e">
        <f>+Table1[[#This Row],[Data Leavers Date]]+Table1[[#This Row],[Data EET End]]</f>
        <v>#VALUE!</v>
      </c>
      <c r="EQ253" s="44">
        <f>IF(Table1[Exit Form Received]="Yes",1,0)</f>
        <v>0</v>
      </c>
      <c r="ER253" s="44">
        <f>+Table1[[#This Row],[Data Leavers Date]]+Table1[[#This Row],[Data Exit Forms]]</f>
        <v>0</v>
      </c>
      <c r="ES253" s="44" t="str">
        <f>IF(Table1[Data Leavers Date]=1000,SUM(Table1[Leaving Date]-Table1[Start Date]),"")</f>
        <v/>
      </c>
      <c r="ET253" s="44" t="str">
        <f>IF(Table1[Data Leavers Date]=2000,SUM(Table1[Leaving Date]-Table1[Start Date]),"")</f>
        <v/>
      </c>
      <c r="EU253" s="44" t="str">
        <f>IF(Table1[Data Leavers Date]=3000,SUM(Table1[Leaving Date]-Table1[Start Date]),"")</f>
        <v/>
      </c>
      <c r="EV253" s="44" t="str">
        <f>IF(Table1[Data Leavers Date]=4000,SUM(Table1[Leaving Date]-Table1[Start Date]),"")</f>
        <v/>
      </c>
      <c r="EW253" s="44" t="str">
        <f>IF(Table1[Data Leavers Date]=5000,SUM(Table1[Leaving Date]-Table1[Start Date]),"")</f>
        <v/>
      </c>
      <c r="EX253" s="44" t="str">
        <f>IF(Table1[Data Leavers Date]=6000,SUM(Table1[Leaving Date]-Table1[Start Date]),"")</f>
        <v/>
      </c>
      <c r="EY253" s="44" t="str">
        <f>IF(Table1[Data Leavers Date]=7000,SUM(Table1[Leaving Date]-Table1[Start Date]),"")</f>
        <v/>
      </c>
      <c r="EZ253" s="44" t="str">
        <f>IF(Table1[Data Leavers Date]=8000,SUM(Table1[Leaving Date]-Table1[Start Date]),"")</f>
        <v/>
      </c>
      <c r="FA253" s="44" t="str">
        <f>IF(Table1[Date of Initial Assessment]="","",IF(AND(Table1[Start Date]&gt;42094,Table1[Start Date]&lt;42461),Table1[Motivation and Taking Responsibility],""))</f>
        <v/>
      </c>
      <c r="FB253" s="44" t="str">
        <f>IF(Table1[Date of Initial Assessment]="","",IF(AND(Table1[Start Date]&gt;42094,Table1[Start Date]&lt;42461),Table1[Self-Care and Living Skills],""))</f>
        <v/>
      </c>
      <c r="FC253" s="44" t="str">
        <f>IF(Table1[Date of Initial Assessment]="","",IF(AND(Table1[Start Date]&gt;42094,Table1[Start Date]&lt;42461),Table1[Managing Money and Personal Administration],""))</f>
        <v/>
      </c>
      <c r="FD253" s="44" t="str">
        <f>IF(Table1[Date of Initial Assessment]="","",IF(AND(Table1[Start Date]&gt;42094,Table1[Start Date]&lt;42461),Table1[Social Networks and Relationships],""))</f>
        <v/>
      </c>
      <c r="FE253" s="44" t="str">
        <f>IF(Table1[Date of Initial Assessment]="","",IF(AND(Table1[Start Date]&gt;42094,Table1[Start Date]&lt;42461),Table1[Drug and Alcohol Misuse],""))</f>
        <v/>
      </c>
      <c r="FF253" s="44" t="str">
        <f>IF(Table1[Date of Initial Assessment]="","",IF(AND(Table1[Start Date]&gt;42094,Table1[Start Date]&lt;42461),Table1[Physical Health],""))</f>
        <v/>
      </c>
      <c r="FG253" s="44" t="str">
        <f>IF(Table1[Date of Initial Assessment]="","",IF(AND(Table1[Start Date]&gt;42094,Table1[Start Date]&lt;42461),Table1[Emotional and Mental Health],""))</f>
        <v/>
      </c>
      <c r="FH253" s="44" t="str">
        <f>IF(Table1[Date of Initial Assessment]="","",IF(AND(Table1[Start Date]&gt;42094,Table1[Start Date]&lt;42461),Table1[Meaningful Use of Time],""))</f>
        <v/>
      </c>
      <c r="FI253" s="44" t="str">
        <f>IF(Table1[Date of Initial Assessment]="","",IF(AND(Table1[Start Date]&gt;42094,Table1[Start Date]&lt;42461),Table1[Managing Tenancy and Accommodation],""))</f>
        <v/>
      </c>
      <c r="FJ253" s="44" t="str">
        <f>IF(Table1[Date of Initial Assessment]="","",IF(AND(Table1[Start Date]&gt;42094,Table1[Start Date]&lt;42461),Table1[Offending],""))</f>
        <v/>
      </c>
      <c r="FK253" s="44" t="str">
        <f>IF(Table1[Leaving Date]="","",IF(Table1[Date of Initial Assessment]="","",IF(AND(Table1[Leaving Date]&gt;42094,Table1[Leaving Date]&lt;42461),IF(Table1[Date of Last Assessment]="",Table1[Motivation and Taking Responsibility],Table1[Motivation and Taking Responsibility2]),"")))</f>
        <v/>
      </c>
      <c r="FL253" s="44" t="str">
        <f>IF(Table1[Leaving Date]="","",IF(Table1[Date of Initial Assessment]="","",IF(AND(Table1[Leaving Date]&gt;42094,Table1[Leaving Date]&lt;42461),IF(Table1[Date of Last Assessment]="",Table1[Self-Care and Living Skills],Table1[Self-Care and Living Skills2]),"")))</f>
        <v/>
      </c>
      <c r="FM253" s="44" t="str">
        <f>IF(Table1[Leaving Date]="","",IF(Table1[Date of Initial Assessment]="","",IF(AND(Table1[Leaving Date]&gt;42094,Table1[Leaving Date]&lt;42461),IF(Table1[Date of Last Assessment]="",Table1[Managing Money and Personal Administration],Table1[Managing Money and Personal Administration2]),"")))</f>
        <v/>
      </c>
      <c r="FN253" s="44" t="str">
        <f>IF(Table1[Leaving Date]="","",IF(Table1[Date of Initial Assessment]="","",IF(AND(Table1[Leaving Date]&gt;42094,Table1[Leaving Date]&lt;42461),IF(Table1[Date of Last Assessment]="",Table1[Social Networks and Relationships],Table1[Social Networks and Relationships2]),"")))</f>
        <v/>
      </c>
      <c r="FO253" s="44" t="str">
        <f>IF(Table1[Leaving Date]="","",IF(Table1[Date of Initial Assessment]="","",IF(AND(Table1[Leaving Date]&gt;42094,Table1[Leaving Date]&lt;42461),IF(Table1[Date of Last Assessment]="",Table1[Drug and Alcohol Misuse],Table1[Drug and Alcohol Misuse2]),"")))</f>
        <v/>
      </c>
      <c r="FP253" s="44" t="str">
        <f>IF(Table1[Leaving Date]="","",IF(Table1[Date of Initial Assessment]="","",IF(AND(Table1[Leaving Date]&gt;42094,Table1[Leaving Date]&lt;42461),IF(Table1[Date of Last Assessment]="",Table1[Physical Health],Table1[Physical Health2]),"")))</f>
        <v/>
      </c>
      <c r="FQ253" s="44" t="str">
        <f>IF(Table1[Leaving Date]="","",IF(Table1[Date of Initial Assessment]="","",IF(AND(Table1[Leaving Date]&gt;42094,Table1[Leaving Date]&lt;42461),IF(Table1[Date of Last Assessment]="",Table1[Emotional and Mental Health],Table1[Emotional and Mental Health2]),"")))</f>
        <v/>
      </c>
      <c r="FR253" s="44" t="str">
        <f>IF(Table1[Leaving Date]="","",IF(Table1[Date of Initial Assessment]="","",IF(AND(Table1[Leaving Date]&gt;42094,Table1[Leaving Date]&lt;42461),IF(Table1[Date of Last Assessment]="",Table1[Meaningful Use of Time],Table1[Meaningful Use of Time2]),"")))</f>
        <v/>
      </c>
      <c r="FS253" s="44" t="str">
        <f>IF(Table1[Leaving Date]="","",IF(Table1[Date of Initial Assessment]="","",IF(AND(Table1[Leaving Date]&gt;42094,Table1[Leaving Date]&lt;42461),IF(Table1[Date of Last Assessment]="",Table1[Managing Tenancy and Accommodation],Table1[Managing Tenancy and Accommodation2]),"")))</f>
        <v/>
      </c>
      <c r="FT253" s="44" t="str">
        <f>IF(Table1[Leaving Date]="","",IF(Table1[Date of Initial Assessment]="","",IF(AND(Table1[Leaving Date]&gt;42094,Table1[Leaving Date]&lt;42461),IF(Table1[Date of Last Assessment]="",Table1[Offending],Table1[Offending2]),"")))</f>
        <v/>
      </c>
      <c r="FU253" s="44" t="str">
        <f>IF(Table1[Date of Initial Assessment]="","",IF(AND(Table1[Start Date]&gt;42460,Table1[Start Date]&lt;42826),Table1[Motivation and Taking Responsibility],""))</f>
        <v/>
      </c>
      <c r="FV253" s="44" t="str">
        <f>IF(Table1[Date of Initial Assessment]="","",IF(AND(Table1[Start Date]&gt;42460,Table1[Start Date]&lt;42826),Table1[Self-Care and Living Skills],""))</f>
        <v/>
      </c>
      <c r="FW253" s="44" t="str">
        <f>IF(Table1[Date of Initial Assessment]="","",IF(AND(Table1[Start Date]&gt;42460,Table1[Start Date]&lt;42826),Table1[Managing Money and Personal Administration],""))</f>
        <v/>
      </c>
      <c r="FX253" s="44" t="str">
        <f>IF(Table1[Date of Initial Assessment]="","",IF(AND(Table1[Start Date]&gt;42460,Table1[Start Date]&lt;42826),Table1[Social Networks and Relationships],""))</f>
        <v/>
      </c>
      <c r="FY253" s="44" t="str">
        <f>IF(Table1[Date of Initial Assessment]="","",IF(AND(Table1[Start Date]&gt;42460,Table1[Start Date]&lt;42826),Table1[Drug and Alcohol Misuse],""))</f>
        <v/>
      </c>
      <c r="FZ253" s="44" t="str">
        <f>IF(Table1[Date of Initial Assessment]="","",IF(AND(Table1[Start Date]&gt;42460,Table1[Start Date]&lt;42826),Table1[Physical Health],""))</f>
        <v/>
      </c>
      <c r="GA253" s="44" t="str">
        <f>IF(Table1[Date of Initial Assessment]="","",IF(AND(Table1[Start Date]&gt;42460,Table1[Start Date]&lt;42826),Table1[Emotional and Mental Health],""))</f>
        <v/>
      </c>
      <c r="GB253" s="44" t="str">
        <f>IF(Table1[Date of Initial Assessment]="","",IF(AND(Table1[Start Date]&gt;42460,Table1[Start Date]&lt;42826),Table1[Meaningful Use of Time],""))</f>
        <v/>
      </c>
      <c r="GC253" s="44" t="str">
        <f>IF(Table1[Date of Initial Assessment]="","",IF(AND(Table1[Start Date]&gt;42460,Table1[Start Date]&lt;42826),Table1[Managing Tenancy and Accommodation],""))</f>
        <v/>
      </c>
      <c r="GD253" s="44" t="str">
        <f>IF(Table1[Date of Initial Assessment]="","",IF(AND(Table1[Start Date]&gt;42460,Table1[Start Date]&lt;42826),Table1[Offending],""))</f>
        <v/>
      </c>
      <c r="GE253" s="44" t="str">
        <f>IF(Table1[Leaving Date]="","",IF(AND(Table1[Leaving Date]&gt;42460,Table1[Leaving Date]&lt;42826),IF(Table1[Date of Last Assessment]="",Table1[Motivation and Taking Responsibility],Table1[Motivation and Taking Responsibility2]),""))</f>
        <v/>
      </c>
      <c r="GF253" s="44" t="str">
        <f>IF(Table1[Leaving Date]="","",IF(AND(Table1[Leaving Date]&gt;42460,Table1[Leaving Date]&lt;42826),IF(Table1[Date of Last Assessment]="",Table1[Self-Care and Living Skills],Table1[Self-Care and Living Skills2]),""))</f>
        <v/>
      </c>
      <c r="GG253" s="44" t="str">
        <f>IF(Table1[Leaving Date]="","",IF(AND(Table1[Leaving Date]&gt;42460,Table1[Leaving Date]&lt;42826),IF(Table1[Date of Last Assessment]="",Table1[Managing Money and Personal Administration],Table1[Managing Money and Personal Administration2]),""))</f>
        <v/>
      </c>
      <c r="GH253" s="44" t="str">
        <f>IF(Table1[Leaving Date]="","",IF(AND(Table1[Leaving Date]&gt;42460,Table1[Leaving Date]&lt;42826),IF(Table1[Date of Last Assessment]="",Table1[Social Networks and Relationships],Table1[Social Networks and Relationships2]),""))</f>
        <v/>
      </c>
      <c r="GI253" s="44" t="str">
        <f>IF(Table1[Leaving Date]="","",IF(AND(Table1[Leaving Date]&gt;42460,Table1[Leaving Date]&lt;42826),IF(Table1[Date of Last Assessment]="",Table1[Drug and Alcohol Misuse],Table1[Drug and Alcohol Misuse2]),""))</f>
        <v/>
      </c>
      <c r="GJ253" s="44" t="str">
        <f>IF(Table1[Leaving Date]="","",IF(AND(Table1[Leaving Date]&gt;42460,Table1[Leaving Date]&lt;42826),IF(Table1[Date of Last Assessment]="",Table1[Physical Health],Table1[Physical Health2]),""))</f>
        <v/>
      </c>
      <c r="GK253" s="44" t="str">
        <f>IF(Table1[Leaving Date]="","",IF(AND(Table1[Leaving Date]&gt;42460,Table1[Leaving Date]&lt;42826),IF(Table1[Date of Last Assessment]="",Table1[Emotional and Mental Health],Table1[Emotional and Mental Health2]),""))</f>
        <v/>
      </c>
      <c r="GL253" s="44" t="str">
        <f>IF(Table1[Leaving Date]="","",IF(AND(Table1[Leaving Date]&gt;42460,Table1[Leaving Date]&lt;42826),IF(Table1[Date of Last Assessment]="",Table1[Meaningful Use of Time],Table1[Meaningful Use of Time2]),""))</f>
        <v/>
      </c>
      <c r="GM253" s="44" t="str">
        <f>IF(Table1[Leaving Date]="","",IF(AND(Table1[Leaving Date]&gt;42460,Table1[Leaving Date]&lt;42826),IF(Table1[Date of Last Assessment]="",Table1[Managing Tenancy and Accommodation],Table1[Managing Tenancy and Accommodation2]),""))</f>
        <v/>
      </c>
      <c r="GN253" s="44" t="str">
        <f>IF(Table1[Leaving Date]="","",IF(AND(Table1[Leaving Date]&gt;42460,Table1[Leaving Date]&lt;42826),IF(Table1[Date of Last Assessment]="",Table1[Offending],Table1[Offending2]),""))</f>
        <v/>
      </c>
    </row>
    <row r="254" spans="2:196" ht="20.100000000000001" customHeight="1" x14ac:dyDescent="0.2">
      <c r="B254" s="86">
        <f>+'Service Data'!$C$5:$C$5</f>
        <v>0</v>
      </c>
      <c r="C254" s="86"/>
      <c r="D254" s="86"/>
      <c r="E254" s="86"/>
      <c r="F254" s="86"/>
      <c r="G254" s="86"/>
      <c r="H254" s="6"/>
      <c r="I254" s="99" t="str">
        <f ca="1">IF(Table1[[#This Row],[Date of Birth]]="","",SUM(TODAY()-Table1[[#This Row],[Date of Birth]])/365)</f>
        <v/>
      </c>
      <c r="L254" s="86"/>
      <c r="M254" s="77"/>
      <c r="N254" s="86"/>
      <c r="O254" s="86"/>
      <c r="P254" s="91"/>
      <c r="Q254" s="86"/>
      <c r="R254" s="77"/>
      <c r="S254" s="77"/>
      <c r="T254" s="68"/>
      <c r="U254" s="68"/>
      <c r="V254" s="67"/>
      <c r="W254" s="67"/>
      <c r="X254" s="67"/>
      <c r="Y254" s="67"/>
      <c r="Z254" s="67"/>
      <c r="AA254" s="67"/>
      <c r="AB254" s="67"/>
      <c r="AC254" s="67"/>
      <c r="AD254" s="67"/>
      <c r="AE254" s="67"/>
      <c r="AF254" s="67"/>
      <c r="AG254" s="67"/>
      <c r="AH254" s="67"/>
      <c r="AI254" s="67"/>
      <c r="AJ254" s="67"/>
      <c r="AK254" s="67"/>
      <c r="AL254" s="67"/>
      <c r="AM254" s="67"/>
      <c r="AN254" s="77"/>
      <c r="AO254" s="76"/>
      <c r="AP254" s="77"/>
      <c r="AQ254" s="76"/>
      <c r="AR254" s="76"/>
      <c r="AS254" s="76"/>
      <c r="AT254" s="76"/>
      <c r="AU254" s="76"/>
      <c r="AV254" s="77"/>
      <c r="AW254" s="76"/>
      <c r="AX254" s="77"/>
      <c r="AY254" s="76"/>
      <c r="AZ254" s="76"/>
      <c r="BA254" s="76"/>
      <c r="BB254" s="76"/>
      <c r="BC254" s="76"/>
      <c r="BD254" s="77"/>
      <c r="BE254" s="76"/>
      <c r="BF254" s="77"/>
      <c r="BG254" s="76"/>
      <c r="BH254" s="76"/>
      <c r="BI254" s="76"/>
      <c r="BJ254" s="76"/>
      <c r="BK254" s="76"/>
      <c r="BL254" s="77"/>
      <c r="BM254" s="76"/>
      <c r="BN254" s="77"/>
      <c r="BO254" s="76"/>
      <c r="BP254" s="76"/>
      <c r="BQ254" s="76"/>
      <c r="BR254" s="76"/>
      <c r="BS254" s="76"/>
      <c r="BT254" s="77"/>
      <c r="BU254" s="76"/>
      <c r="BV254" s="77"/>
      <c r="BW254" s="76"/>
      <c r="BX254" s="76"/>
      <c r="BY254" s="76"/>
      <c r="BZ254" s="76"/>
      <c r="CA254" s="76"/>
      <c r="CB254" s="77"/>
      <c r="CC254" s="76"/>
      <c r="CD254" s="77"/>
      <c r="CE254" s="76"/>
      <c r="CF254" s="76"/>
      <c r="CG254" s="76"/>
      <c r="CH254" s="76"/>
      <c r="CI254" s="76"/>
      <c r="CJ254" s="77"/>
      <c r="CK254" s="76"/>
      <c r="CL254" s="77"/>
      <c r="CM254" s="76"/>
      <c r="CN254" s="76"/>
      <c r="CO254" s="76"/>
      <c r="CP254" s="76"/>
      <c r="CQ254" s="76"/>
      <c r="CR254" s="78" t="str">
        <f t="shared" si="63"/>
        <v/>
      </c>
      <c r="CS254" s="79" t="str">
        <f t="shared" si="64"/>
        <v/>
      </c>
      <c r="CT254" s="79" t="str">
        <f t="shared" si="65"/>
        <v/>
      </c>
      <c r="CU254" s="79" t="str">
        <f t="shared" si="66"/>
        <v/>
      </c>
      <c r="CV254" s="79" t="str">
        <f t="shared" si="67"/>
        <v/>
      </c>
      <c r="CW254" s="79" t="str">
        <f t="shared" si="68"/>
        <v/>
      </c>
      <c r="CX254" s="79" t="str">
        <f t="shared" si="69"/>
        <v/>
      </c>
      <c r="CY254" s="79" t="str">
        <f t="shared" si="70"/>
        <v/>
      </c>
      <c r="CZ254" s="79" t="str">
        <f t="shared" si="71"/>
        <v/>
      </c>
      <c r="DA254" s="79" t="str">
        <f t="shared" si="72"/>
        <v/>
      </c>
      <c r="DB254" s="79" t="str">
        <f t="shared" si="73"/>
        <v/>
      </c>
      <c r="DC254" s="79" t="str">
        <f t="shared" si="74"/>
        <v/>
      </c>
      <c r="DD254" s="79" t="str">
        <f t="shared" si="75"/>
        <v/>
      </c>
      <c r="DE254" s="79" t="str">
        <f t="shared" si="76"/>
        <v/>
      </c>
      <c r="DF254" s="79" t="str">
        <f t="shared" si="77"/>
        <v/>
      </c>
      <c r="DG254" s="79" t="str">
        <f t="shared" si="78"/>
        <v/>
      </c>
      <c r="DH254" s="76"/>
      <c r="DI254" s="78"/>
      <c r="DJ254" s="76"/>
      <c r="DK254" s="77"/>
      <c r="DL254" s="77"/>
      <c r="DM254" s="77"/>
      <c r="DN254" s="80"/>
      <c r="DO254" s="80"/>
      <c r="DP254" s="92" t="str">
        <f>IF(Table1[Start Date]="","",IF(Table1[Start Date]&gt;42185,"",IF(AND(Table1[Leaving Date]&gt;1,Table1[Leaving Date]&lt;42095),"",1)))</f>
        <v/>
      </c>
      <c r="DQ254" s="92" t="str">
        <f>IF(Table1[Start Date]="","",IF(Table1[Start Date]&gt;42277,"",IF(AND(Table1[Leaving Date]&gt;1,Table1[Leaving Date]&lt;42186),"",1)))</f>
        <v/>
      </c>
      <c r="DR254" s="92" t="str">
        <f>IF(Table1[Start Date]="","",IF(Table1[Start Date]&gt;42369,"",IF(AND(Table1[Leaving Date]&gt;1,Table1[Leaving Date]&lt;42278),"",1)))</f>
        <v/>
      </c>
      <c r="DS254" s="92" t="str">
        <f>IF(Table1[Start Date]="","",IF(Table1[Start Date]&gt;42460,"",IF(AND(Table1[Leaving Date]&gt;1,Table1[Leaving Date]&lt;42370),"",1)))</f>
        <v/>
      </c>
      <c r="DT254" s="92" t="str">
        <f>IF(Table1[Start Date]="","",IF(Table1[Start Date]&gt;42551,"",IF(AND(Table1[Leaving Date]&gt;1,Table1[Leaving Date]&lt;42461),"",1)))</f>
        <v/>
      </c>
      <c r="DU254" s="92" t="str">
        <f>IF(Table1[Start Date]="","",IF(Table1[Start Date]&gt;42643,"",IF(AND(Table1[Leaving Date]&gt;1,Table1[Leaving Date]&lt;42552),"",1)))</f>
        <v/>
      </c>
      <c r="DV254" s="92" t="str">
        <f>IF(Table1[Start Date]="","",IF(Table1[Start Date]&gt;42735,"",IF(AND(Table1[Leaving Date]&gt;1,Table1[Leaving Date]&lt;42644),"",1)))</f>
        <v/>
      </c>
      <c r="DW254" s="92" t="str">
        <f>IF(Table1[Start Date]="","",IF(Table1[Start Date]&gt;42825,"",IF(AND(Table1[Leaving Date]&gt;1,Table1[Leaving Date]&lt;42736),"",1)))</f>
        <v/>
      </c>
      <c r="DX254"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254" s="44" t="e">
        <f>VLOOKUP(Table1[Referral Source],Lists!$G$2:$H$20,2,FALSE)</f>
        <v>#N/A</v>
      </c>
      <c r="DZ254" s="93" t="e">
        <f>SUM(Table1[Data Referral Quarter]+Table1[Data Referral Source])</f>
        <v>#N/A</v>
      </c>
      <c r="EA254" s="44" t="b">
        <f>IF(Table1[Referral Decision]="Accepted",100,IF(Table1[Referral Decision]="Rejected by Provider",200,IF(Table1[Referral Decision]="Rejected by Applicant",300)))</f>
        <v>0</v>
      </c>
      <c r="EB254" s="44">
        <f>SUM(Table1[Data Referral Quarter]+Table1[Data Referral Decision])</f>
        <v>0</v>
      </c>
      <c r="EC254" s="44" t="b">
        <f>IF(Table1[Start Date]&gt;42735,8000,IF(Table1[Start Date]&gt;42643,7000,IF(Table1[Start Date]&gt;42551,6000,IF(Table1[Start Date]&gt;42460,5000,IF(Table1[Start Date]&gt;42369,4000,IF(Table1[Start Date]&gt;42277,3000,IF(Table1[Start Date]&gt;42185,2000,IF(Table1[Start Date]&gt;42094,1000))))))))</f>
        <v>0</v>
      </c>
      <c r="ED254" s="44" t="str">
        <f>IF(Table1[Start Date]="","",IF(Table1[Current Local Authority]="Swindon",1,"2"))</f>
        <v/>
      </c>
      <c r="EE254" s="44" t="e">
        <f>SUM(Table1[Data Start Date]+Table1[Data Local Authority])</f>
        <v>#VALUE!</v>
      </c>
      <c r="EF254" s="44">
        <f>IF(Table1[Registered with GP]="Yes",1,0)</f>
        <v>0</v>
      </c>
      <c r="EG254" s="44">
        <f>SUM(Table1[Data Start Date]+Table1[Data GP Start])</f>
        <v>0</v>
      </c>
      <c r="EH254" s="44" t="str">
        <f>IF(Table1[EET]="NEET",1,IF(Table1[EET]="Education",2,IF(Table1[EET]="Employment",2,IF(Table1[EET]="Training",2,IF(Table1[EET]="Retired",3,"")))))</f>
        <v/>
      </c>
      <c r="EI254" s="44" t="e">
        <f>Table1[Data Start Date]+Table1[Data EET Start]</f>
        <v>#VALUE!</v>
      </c>
      <c r="EJ254" s="44" t="b">
        <f>IF(Table1[Leaving Date]&gt;42735,8000,IF(Table1[Leaving Date]&gt;42643,7000,IF(Table1[Leaving Date]&gt;42551,6000,IF(Table1[Leaving Date]&gt;42460,5000,IF(Table1[Leaving Date]&gt;42369,4000,IF(Table1[Leaving Date]&gt;42277,3000,IF(Table1[Leaving Date]&gt;42185,2000,IF(Table1[Leaving Date]&gt;42094,1000))))))))</f>
        <v>0</v>
      </c>
      <c r="EK254" s="44" t="e">
        <f>VLOOKUP(Table1[Reason for Leaving],Lists!$T$2:$U$15,2,FALSE)</f>
        <v>#N/A</v>
      </c>
      <c r="EL254" s="44" t="e">
        <f>SUM(Table1[Data Leavers Date]+Table1[Data Move On])</f>
        <v>#N/A</v>
      </c>
      <c r="EM254" s="44" t="b">
        <f>IF(Table1[Registered with GP2]="Yes",1,IF(Table1[Registered with GP2]="No",0,IF(Table1[Registered with GP]="Yes",1,IF(Table1[Registered with GP]="No",0))))</f>
        <v>0</v>
      </c>
      <c r="EN254" s="44">
        <f>SUM(Table1[Data Leavers Date]+Table1[Data GP End])</f>
        <v>0</v>
      </c>
      <c r="EO254" s="44" t="str">
        <f>IF(Table1[EET2]="NEET",1,IF(Table1[EET2]="Employment",2,IF(Table1[EET2]="Education",2,IF(Table1[EET2]="Training",2,IF(Table1[EET2]="Retired",3,IF(Table1[EET]="NEET",1,IF(Table1[EET]="Employment",2,IF(Table1[EET]="Education",2,IF(Table1[EET]="Training",2,IF(Table1[EET]="Retired",3,""))))))))))</f>
        <v/>
      </c>
      <c r="EP254" s="44" t="e">
        <f>+Table1[[#This Row],[Data Leavers Date]]+Table1[[#This Row],[Data EET End]]</f>
        <v>#VALUE!</v>
      </c>
      <c r="EQ254" s="44">
        <f>IF(Table1[Exit Form Received]="Yes",1,0)</f>
        <v>0</v>
      </c>
      <c r="ER254" s="44">
        <f>+Table1[[#This Row],[Data Leavers Date]]+Table1[[#This Row],[Data Exit Forms]]</f>
        <v>0</v>
      </c>
      <c r="ES254" s="44" t="str">
        <f>IF(Table1[Data Leavers Date]=1000,SUM(Table1[Leaving Date]-Table1[Start Date]),"")</f>
        <v/>
      </c>
      <c r="ET254" s="44" t="str">
        <f>IF(Table1[Data Leavers Date]=2000,SUM(Table1[Leaving Date]-Table1[Start Date]),"")</f>
        <v/>
      </c>
      <c r="EU254" s="44" t="str">
        <f>IF(Table1[Data Leavers Date]=3000,SUM(Table1[Leaving Date]-Table1[Start Date]),"")</f>
        <v/>
      </c>
      <c r="EV254" s="44" t="str">
        <f>IF(Table1[Data Leavers Date]=4000,SUM(Table1[Leaving Date]-Table1[Start Date]),"")</f>
        <v/>
      </c>
      <c r="EW254" s="44" t="str">
        <f>IF(Table1[Data Leavers Date]=5000,SUM(Table1[Leaving Date]-Table1[Start Date]),"")</f>
        <v/>
      </c>
      <c r="EX254" s="44" t="str">
        <f>IF(Table1[Data Leavers Date]=6000,SUM(Table1[Leaving Date]-Table1[Start Date]),"")</f>
        <v/>
      </c>
      <c r="EY254" s="44" t="str">
        <f>IF(Table1[Data Leavers Date]=7000,SUM(Table1[Leaving Date]-Table1[Start Date]),"")</f>
        <v/>
      </c>
      <c r="EZ254" s="44" t="str">
        <f>IF(Table1[Data Leavers Date]=8000,SUM(Table1[Leaving Date]-Table1[Start Date]),"")</f>
        <v/>
      </c>
      <c r="FA254" s="44" t="str">
        <f>IF(Table1[Date of Initial Assessment]="","",IF(AND(Table1[Start Date]&gt;42094,Table1[Start Date]&lt;42461),Table1[Motivation and Taking Responsibility],""))</f>
        <v/>
      </c>
      <c r="FB254" s="44" t="str">
        <f>IF(Table1[Date of Initial Assessment]="","",IF(AND(Table1[Start Date]&gt;42094,Table1[Start Date]&lt;42461),Table1[Self-Care and Living Skills],""))</f>
        <v/>
      </c>
      <c r="FC254" s="44" t="str">
        <f>IF(Table1[Date of Initial Assessment]="","",IF(AND(Table1[Start Date]&gt;42094,Table1[Start Date]&lt;42461),Table1[Managing Money and Personal Administration],""))</f>
        <v/>
      </c>
      <c r="FD254" s="44" t="str">
        <f>IF(Table1[Date of Initial Assessment]="","",IF(AND(Table1[Start Date]&gt;42094,Table1[Start Date]&lt;42461),Table1[Social Networks and Relationships],""))</f>
        <v/>
      </c>
      <c r="FE254" s="44" t="str">
        <f>IF(Table1[Date of Initial Assessment]="","",IF(AND(Table1[Start Date]&gt;42094,Table1[Start Date]&lt;42461),Table1[Drug and Alcohol Misuse],""))</f>
        <v/>
      </c>
      <c r="FF254" s="44" t="str">
        <f>IF(Table1[Date of Initial Assessment]="","",IF(AND(Table1[Start Date]&gt;42094,Table1[Start Date]&lt;42461),Table1[Physical Health],""))</f>
        <v/>
      </c>
      <c r="FG254" s="44" t="str">
        <f>IF(Table1[Date of Initial Assessment]="","",IF(AND(Table1[Start Date]&gt;42094,Table1[Start Date]&lt;42461),Table1[Emotional and Mental Health],""))</f>
        <v/>
      </c>
      <c r="FH254" s="44" t="str">
        <f>IF(Table1[Date of Initial Assessment]="","",IF(AND(Table1[Start Date]&gt;42094,Table1[Start Date]&lt;42461),Table1[Meaningful Use of Time],""))</f>
        <v/>
      </c>
      <c r="FI254" s="44" t="str">
        <f>IF(Table1[Date of Initial Assessment]="","",IF(AND(Table1[Start Date]&gt;42094,Table1[Start Date]&lt;42461),Table1[Managing Tenancy and Accommodation],""))</f>
        <v/>
      </c>
      <c r="FJ254" s="44" t="str">
        <f>IF(Table1[Date of Initial Assessment]="","",IF(AND(Table1[Start Date]&gt;42094,Table1[Start Date]&lt;42461),Table1[Offending],""))</f>
        <v/>
      </c>
      <c r="FK254" s="44" t="str">
        <f>IF(Table1[Leaving Date]="","",IF(Table1[Date of Initial Assessment]="","",IF(AND(Table1[Leaving Date]&gt;42094,Table1[Leaving Date]&lt;42461),IF(Table1[Date of Last Assessment]="",Table1[Motivation and Taking Responsibility],Table1[Motivation and Taking Responsibility2]),"")))</f>
        <v/>
      </c>
      <c r="FL254" s="44" t="str">
        <f>IF(Table1[Leaving Date]="","",IF(Table1[Date of Initial Assessment]="","",IF(AND(Table1[Leaving Date]&gt;42094,Table1[Leaving Date]&lt;42461),IF(Table1[Date of Last Assessment]="",Table1[Self-Care and Living Skills],Table1[Self-Care and Living Skills2]),"")))</f>
        <v/>
      </c>
      <c r="FM254" s="44" t="str">
        <f>IF(Table1[Leaving Date]="","",IF(Table1[Date of Initial Assessment]="","",IF(AND(Table1[Leaving Date]&gt;42094,Table1[Leaving Date]&lt;42461),IF(Table1[Date of Last Assessment]="",Table1[Managing Money and Personal Administration],Table1[Managing Money and Personal Administration2]),"")))</f>
        <v/>
      </c>
      <c r="FN254" s="44" t="str">
        <f>IF(Table1[Leaving Date]="","",IF(Table1[Date of Initial Assessment]="","",IF(AND(Table1[Leaving Date]&gt;42094,Table1[Leaving Date]&lt;42461),IF(Table1[Date of Last Assessment]="",Table1[Social Networks and Relationships],Table1[Social Networks and Relationships2]),"")))</f>
        <v/>
      </c>
      <c r="FO254" s="44" t="str">
        <f>IF(Table1[Leaving Date]="","",IF(Table1[Date of Initial Assessment]="","",IF(AND(Table1[Leaving Date]&gt;42094,Table1[Leaving Date]&lt;42461),IF(Table1[Date of Last Assessment]="",Table1[Drug and Alcohol Misuse],Table1[Drug and Alcohol Misuse2]),"")))</f>
        <v/>
      </c>
      <c r="FP254" s="44" t="str">
        <f>IF(Table1[Leaving Date]="","",IF(Table1[Date of Initial Assessment]="","",IF(AND(Table1[Leaving Date]&gt;42094,Table1[Leaving Date]&lt;42461),IF(Table1[Date of Last Assessment]="",Table1[Physical Health],Table1[Physical Health2]),"")))</f>
        <v/>
      </c>
      <c r="FQ254" s="44" t="str">
        <f>IF(Table1[Leaving Date]="","",IF(Table1[Date of Initial Assessment]="","",IF(AND(Table1[Leaving Date]&gt;42094,Table1[Leaving Date]&lt;42461),IF(Table1[Date of Last Assessment]="",Table1[Emotional and Mental Health],Table1[Emotional and Mental Health2]),"")))</f>
        <v/>
      </c>
      <c r="FR254" s="44" t="str">
        <f>IF(Table1[Leaving Date]="","",IF(Table1[Date of Initial Assessment]="","",IF(AND(Table1[Leaving Date]&gt;42094,Table1[Leaving Date]&lt;42461),IF(Table1[Date of Last Assessment]="",Table1[Meaningful Use of Time],Table1[Meaningful Use of Time2]),"")))</f>
        <v/>
      </c>
      <c r="FS254" s="44" t="str">
        <f>IF(Table1[Leaving Date]="","",IF(Table1[Date of Initial Assessment]="","",IF(AND(Table1[Leaving Date]&gt;42094,Table1[Leaving Date]&lt;42461),IF(Table1[Date of Last Assessment]="",Table1[Managing Tenancy and Accommodation],Table1[Managing Tenancy and Accommodation2]),"")))</f>
        <v/>
      </c>
      <c r="FT254" s="44" t="str">
        <f>IF(Table1[Leaving Date]="","",IF(Table1[Date of Initial Assessment]="","",IF(AND(Table1[Leaving Date]&gt;42094,Table1[Leaving Date]&lt;42461),IF(Table1[Date of Last Assessment]="",Table1[Offending],Table1[Offending2]),"")))</f>
        <v/>
      </c>
      <c r="FU254" s="44" t="str">
        <f>IF(Table1[Date of Initial Assessment]="","",IF(AND(Table1[Start Date]&gt;42460,Table1[Start Date]&lt;42826),Table1[Motivation and Taking Responsibility],""))</f>
        <v/>
      </c>
      <c r="FV254" s="44" t="str">
        <f>IF(Table1[Date of Initial Assessment]="","",IF(AND(Table1[Start Date]&gt;42460,Table1[Start Date]&lt;42826),Table1[Self-Care and Living Skills],""))</f>
        <v/>
      </c>
      <c r="FW254" s="44" t="str">
        <f>IF(Table1[Date of Initial Assessment]="","",IF(AND(Table1[Start Date]&gt;42460,Table1[Start Date]&lt;42826),Table1[Managing Money and Personal Administration],""))</f>
        <v/>
      </c>
      <c r="FX254" s="44" t="str">
        <f>IF(Table1[Date of Initial Assessment]="","",IF(AND(Table1[Start Date]&gt;42460,Table1[Start Date]&lt;42826),Table1[Social Networks and Relationships],""))</f>
        <v/>
      </c>
      <c r="FY254" s="44" t="str">
        <f>IF(Table1[Date of Initial Assessment]="","",IF(AND(Table1[Start Date]&gt;42460,Table1[Start Date]&lt;42826),Table1[Drug and Alcohol Misuse],""))</f>
        <v/>
      </c>
      <c r="FZ254" s="44" t="str">
        <f>IF(Table1[Date of Initial Assessment]="","",IF(AND(Table1[Start Date]&gt;42460,Table1[Start Date]&lt;42826),Table1[Physical Health],""))</f>
        <v/>
      </c>
      <c r="GA254" s="44" t="str">
        <f>IF(Table1[Date of Initial Assessment]="","",IF(AND(Table1[Start Date]&gt;42460,Table1[Start Date]&lt;42826),Table1[Emotional and Mental Health],""))</f>
        <v/>
      </c>
      <c r="GB254" s="44" t="str">
        <f>IF(Table1[Date of Initial Assessment]="","",IF(AND(Table1[Start Date]&gt;42460,Table1[Start Date]&lt;42826),Table1[Meaningful Use of Time],""))</f>
        <v/>
      </c>
      <c r="GC254" s="44" t="str">
        <f>IF(Table1[Date of Initial Assessment]="","",IF(AND(Table1[Start Date]&gt;42460,Table1[Start Date]&lt;42826),Table1[Managing Tenancy and Accommodation],""))</f>
        <v/>
      </c>
      <c r="GD254" s="44" t="str">
        <f>IF(Table1[Date of Initial Assessment]="","",IF(AND(Table1[Start Date]&gt;42460,Table1[Start Date]&lt;42826),Table1[Offending],""))</f>
        <v/>
      </c>
      <c r="GE254" s="44" t="str">
        <f>IF(Table1[Leaving Date]="","",IF(AND(Table1[Leaving Date]&gt;42460,Table1[Leaving Date]&lt;42826),IF(Table1[Date of Last Assessment]="",Table1[Motivation and Taking Responsibility],Table1[Motivation and Taking Responsibility2]),""))</f>
        <v/>
      </c>
      <c r="GF254" s="44" t="str">
        <f>IF(Table1[Leaving Date]="","",IF(AND(Table1[Leaving Date]&gt;42460,Table1[Leaving Date]&lt;42826),IF(Table1[Date of Last Assessment]="",Table1[Self-Care and Living Skills],Table1[Self-Care and Living Skills2]),""))</f>
        <v/>
      </c>
      <c r="GG254" s="44" t="str">
        <f>IF(Table1[Leaving Date]="","",IF(AND(Table1[Leaving Date]&gt;42460,Table1[Leaving Date]&lt;42826),IF(Table1[Date of Last Assessment]="",Table1[Managing Money and Personal Administration],Table1[Managing Money and Personal Administration2]),""))</f>
        <v/>
      </c>
      <c r="GH254" s="44" t="str">
        <f>IF(Table1[Leaving Date]="","",IF(AND(Table1[Leaving Date]&gt;42460,Table1[Leaving Date]&lt;42826),IF(Table1[Date of Last Assessment]="",Table1[Social Networks and Relationships],Table1[Social Networks and Relationships2]),""))</f>
        <v/>
      </c>
      <c r="GI254" s="44" t="str">
        <f>IF(Table1[Leaving Date]="","",IF(AND(Table1[Leaving Date]&gt;42460,Table1[Leaving Date]&lt;42826),IF(Table1[Date of Last Assessment]="",Table1[Drug and Alcohol Misuse],Table1[Drug and Alcohol Misuse2]),""))</f>
        <v/>
      </c>
      <c r="GJ254" s="44" t="str">
        <f>IF(Table1[Leaving Date]="","",IF(AND(Table1[Leaving Date]&gt;42460,Table1[Leaving Date]&lt;42826),IF(Table1[Date of Last Assessment]="",Table1[Physical Health],Table1[Physical Health2]),""))</f>
        <v/>
      </c>
      <c r="GK254" s="44" t="str">
        <f>IF(Table1[Leaving Date]="","",IF(AND(Table1[Leaving Date]&gt;42460,Table1[Leaving Date]&lt;42826),IF(Table1[Date of Last Assessment]="",Table1[Emotional and Mental Health],Table1[Emotional and Mental Health2]),""))</f>
        <v/>
      </c>
      <c r="GL254" s="44" t="str">
        <f>IF(Table1[Leaving Date]="","",IF(AND(Table1[Leaving Date]&gt;42460,Table1[Leaving Date]&lt;42826),IF(Table1[Date of Last Assessment]="",Table1[Meaningful Use of Time],Table1[Meaningful Use of Time2]),""))</f>
        <v/>
      </c>
      <c r="GM254" s="44" t="str">
        <f>IF(Table1[Leaving Date]="","",IF(AND(Table1[Leaving Date]&gt;42460,Table1[Leaving Date]&lt;42826),IF(Table1[Date of Last Assessment]="",Table1[Managing Tenancy and Accommodation],Table1[Managing Tenancy and Accommodation2]),""))</f>
        <v/>
      </c>
      <c r="GN254" s="44" t="str">
        <f>IF(Table1[Leaving Date]="","",IF(AND(Table1[Leaving Date]&gt;42460,Table1[Leaving Date]&lt;42826),IF(Table1[Date of Last Assessment]="",Table1[Offending],Table1[Offending2]),""))</f>
        <v/>
      </c>
    </row>
    <row r="255" spans="2:196" ht="20.100000000000001" customHeight="1" x14ac:dyDescent="0.2">
      <c r="B255" s="86">
        <f>+'Service Data'!$C$5:$C$5</f>
        <v>0</v>
      </c>
      <c r="C255" s="86"/>
      <c r="D255" s="86"/>
      <c r="E255" s="86"/>
      <c r="F255" s="86"/>
      <c r="G255" s="86"/>
      <c r="H255" s="6"/>
      <c r="I255" s="99" t="str">
        <f ca="1">IF(Table1[[#This Row],[Date of Birth]]="","",SUM(TODAY()-Table1[[#This Row],[Date of Birth]])/365)</f>
        <v/>
      </c>
      <c r="L255" s="86"/>
      <c r="M255" s="77"/>
      <c r="N255" s="86"/>
      <c r="O255" s="86"/>
      <c r="P255" s="91"/>
      <c r="Q255" s="86"/>
      <c r="R255" s="77"/>
      <c r="S255" s="77"/>
      <c r="T255" s="68"/>
      <c r="U255" s="68"/>
      <c r="V255" s="67"/>
      <c r="W255" s="67"/>
      <c r="X255" s="67"/>
      <c r="Y255" s="67"/>
      <c r="Z255" s="67"/>
      <c r="AA255" s="67"/>
      <c r="AB255" s="67"/>
      <c r="AC255" s="67"/>
      <c r="AD255" s="67"/>
      <c r="AE255" s="67"/>
      <c r="AF255" s="67"/>
      <c r="AG255" s="67"/>
      <c r="AH255" s="67"/>
      <c r="AI255" s="67"/>
      <c r="AJ255" s="67"/>
      <c r="AK255" s="67"/>
      <c r="AL255" s="67"/>
      <c r="AM255" s="67"/>
      <c r="AN255" s="77"/>
      <c r="AO255" s="76"/>
      <c r="AP255" s="77"/>
      <c r="AQ255" s="76"/>
      <c r="AR255" s="76"/>
      <c r="AS255" s="76"/>
      <c r="AT255" s="76"/>
      <c r="AU255" s="76"/>
      <c r="AV255" s="77"/>
      <c r="AW255" s="76"/>
      <c r="AX255" s="77"/>
      <c r="AY255" s="76"/>
      <c r="AZ255" s="76"/>
      <c r="BA255" s="76"/>
      <c r="BB255" s="76"/>
      <c r="BC255" s="76"/>
      <c r="BD255" s="77"/>
      <c r="BE255" s="76"/>
      <c r="BF255" s="77"/>
      <c r="BG255" s="76"/>
      <c r="BH255" s="76"/>
      <c r="BI255" s="76"/>
      <c r="BJ255" s="76"/>
      <c r="BK255" s="76"/>
      <c r="BL255" s="77"/>
      <c r="BM255" s="76"/>
      <c r="BN255" s="77"/>
      <c r="BO255" s="76"/>
      <c r="BP255" s="76"/>
      <c r="BQ255" s="76"/>
      <c r="BR255" s="76"/>
      <c r="BS255" s="76"/>
      <c r="BT255" s="77"/>
      <c r="BU255" s="76"/>
      <c r="BV255" s="77"/>
      <c r="BW255" s="76"/>
      <c r="BX255" s="76"/>
      <c r="BY255" s="76"/>
      <c r="BZ255" s="76"/>
      <c r="CA255" s="76"/>
      <c r="CB255" s="77"/>
      <c r="CC255" s="76"/>
      <c r="CD255" s="77"/>
      <c r="CE255" s="76"/>
      <c r="CF255" s="76"/>
      <c r="CG255" s="76"/>
      <c r="CH255" s="76"/>
      <c r="CI255" s="76"/>
      <c r="CJ255" s="77"/>
      <c r="CK255" s="76"/>
      <c r="CL255" s="77"/>
      <c r="CM255" s="76"/>
      <c r="CN255" s="76"/>
      <c r="CO255" s="76"/>
      <c r="CP255" s="76"/>
      <c r="CQ255" s="76"/>
      <c r="CR255" s="78" t="str">
        <f t="shared" si="63"/>
        <v/>
      </c>
      <c r="CS255" s="79" t="str">
        <f t="shared" si="64"/>
        <v/>
      </c>
      <c r="CT255" s="79" t="str">
        <f t="shared" si="65"/>
        <v/>
      </c>
      <c r="CU255" s="79" t="str">
        <f t="shared" si="66"/>
        <v/>
      </c>
      <c r="CV255" s="79" t="str">
        <f t="shared" si="67"/>
        <v/>
      </c>
      <c r="CW255" s="79" t="str">
        <f t="shared" si="68"/>
        <v/>
      </c>
      <c r="CX255" s="79" t="str">
        <f t="shared" si="69"/>
        <v/>
      </c>
      <c r="CY255" s="79" t="str">
        <f t="shared" si="70"/>
        <v/>
      </c>
      <c r="CZ255" s="79" t="str">
        <f t="shared" si="71"/>
        <v/>
      </c>
      <c r="DA255" s="79" t="str">
        <f t="shared" si="72"/>
        <v/>
      </c>
      <c r="DB255" s="79" t="str">
        <f t="shared" si="73"/>
        <v/>
      </c>
      <c r="DC255" s="79" t="str">
        <f t="shared" si="74"/>
        <v/>
      </c>
      <c r="DD255" s="79" t="str">
        <f t="shared" si="75"/>
        <v/>
      </c>
      <c r="DE255" s="79" t="str">
        <f t="shared" si="76"/>
        <v/>
      </c>
      <c r="DF255" s="79" t="str">
        <f t="shared" si="77"/>
        <v/>
      </c>
      <c r="DG255" s="79" t="str">
        <f t="shared" si="78"/>
        <v/>
      </c>
      <c r="DH255" s="76"/>
      <c r="DI255" s="78"/>
      <c r="DJ255" s="76"/>
      <c r="DK255" s="77"/>
      <c r="DL255" s="77"/>
      <c r="DM255" s="77"/>
      <c r="DN255" s="80"/>
      <c r="DO255" s="80"/>
      <c r="DP255" s="92" t="str">
        <f>IF(Table1[Start Date]="","",IF(Table1[Start Date]&gt;42185,"",IF(AND(Table1[Leaving Date]&gt;1,Table1[Leaving Date]&lt;42095),"",1)))</f>
        <v/>
      </c>
      <c r="DQ255" s="92" t="str">
        <f>IF(Table1[Start Date]="","",IF(Table1[Start Date]&gt;42277,"",IF(AND(Table1[Leaving Date]&gt;1,Table1[Leaving Date]&lt;42186),"",1)))</f>
        <v/>
      </c>
      <c r="DR255" s="92" t="str">
        <f>IF(Table1[Start Date]="","",IF(Table1[Start Date]&gt;42369,"",IF(AND(Table1[Leaving Date]&gt;1,Table1[Leaving Date]&lt;42278),"",1)))</f>
        <v/>
      </c>
      <c r="DS255" s="92" t="str">
        <f>IF(Table1[Start Date]="","",IF(Table1[Start Date]&gt;42460,"",IF(AND(Table1[Leaving Date]&gt;1,Table1[Leaving Date]&lt;42370),"",1)))</f>
        <v/>
      </c>
      <c r="DT255" s="92" t="str">
        <f>IF(Table1[Start Date]="","",IF(Table1[Start Date]&gt;42551,"",IF(AND(Table1[Leaving Date]&gt;1,Table1[Leaving Date]&lt;42461),"",1)))</f>
        <v/>
      </c>
      <c r="DU255" s="92" t="str">
        <f>IF(Table1[Start Date]="","",IF(Table1[Start Date]&gt;42643,"",IF(AND(Table1[Leaving Date]&gt;1,Table1[Leaving Date]&lt;42552),"",1)))</f>
        <v/>
      </c>
      <c r="DV255" s="92" t="str">
        <f>IF(Table1[Start Date]="","",IF(Table1[Start Date]&gt;42735,"",IF(AND(Table1[Leaving Date]&gt;1,Table1[Leaving Date]&lt;42644),"",1)))</f>
        <v/>
      </c>
      <c r="DW255" s="92" t="str">
        <f>IF(Table1[Start Date]="","",IF(Table1[Start Date]&gt;42825,"",IF(AND(Table1[Leaving Date]&gt;1,Table1[Leaving Date]&lt;42736),"",1)))</f>
        <v/>
      </c>
      <c r="DX255"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255" s="44" t="e">
        <f>VLOOKUP(Table1[Referral Source],Lists!$G$2:$H$20,2,FALSE)</f>
        <v>#N/A</v>
      </c>
      <c r="DZ255" s="93" t="e">
        <f>SUM(Table1[Data Referral Quarter]+Table1[Data Referral Source])</f>
        <v>#N/A</v>
      </c>
      <c r="EA255" s="44" t="b">
        <f>IF(Table1[Referral Decision]="Accepted",100,IF(Table1[Referral Decision]="Rejected by Provider",200,IF(Table1[Referral Decision]="Rejected by Applicant",300)))</f>
        <v>0</v>
      </c>
      <c r="EB255" s="44">
        <f>SUM(Table1[Data Referral Quarter]+Table1[Data Referral Decision])</f>
        <v>0</v>
      </c>
      <c r="EC255" s="44" t="b">
        <f>IF(Table1[Start Date]&gt;42735,8000,IF(Table1[Start Date]&gt;42643,7000,IF(Table1[Start Date]&gt;42551,6000,IF(Table1[Start Date]&gt;42460,5000,IF(Table1[Start Date]&gt;42369,4000,IF(Table1[Start Date]&gt;42277,3000,IF(Table1[Start Date]&gt;42185,2000,IF(Table1[Start Date]&gt;42094,1000))))))))</f>
        <v>0</v>
      </c>
      <c r="ED255" s="44" t="str">
        <f>IF(Table1[Start Date]="","",IF(Table1[Current Local Authority]="Swindon",1,"2"))</f>
        <v/>
      </c>
      <c r="EE255" s="44" t="e">
        <f>SUM(Table1[Data Start Date]+Table1[Data Local Authority])</f>
        <v>#VALUE!</v>
      </c>
      <c r="EF255" s="44">
        <f>IF(Table1[Registered with GP]="Yes",1,0)</f>
        <v>0</v>
      </c>
      <c r="EG255" s="44">
        <f>SUM(Table1[Data Start Date]+Table1[Data GP Start])</f>
        <v>0</v>
      </c>
      <c r="EH255" s="44" t="str">
        <f>IF(Table1[EET]="NEET",1,IF(Table1[EET]="Education",2,IF(Table1[EET]="Employment",2,IF(Table1[EET]="Training",2,IF(Table1[EET]="Retired",3,"")))))</f>
        <v/>
      </c>
      <c r="EI255" s="44" t="e">
        <f>Table1[Data Start Date]+Table1[Data EET Start]</f>
        <v>#VALUE!</v>
      </c>
      <c r="EJ255" s="44" t="b">
        <f>IF(Table1[Leaving Date]&gt;42735,8000,IF(Table1[Leaving Date]&gt;42643,7000,IF(Table1[Leaving Date]&gt;42551,6000,IF(Table1[Leaving Date]&gt;42460,5000,IF(Table1[Leaving Date]&gt;42369,4000,IF(Table1[Leaving Date]&gt;42277,3000,IF(Table1[Leaving Date]&gt;42185,2000,IF(Table1[Leaving Date]&gt;42094,1000))))))))</f>
        <v>0</v>
      </c>
      <c r="EK255" s="44" t="e">
        <f>VLOOKUP(Table1[Reason for Leaving],Lists!$T$2:$U$15,2,FALSE)</f>
        <v>#N/A</v>
      </c>
      <c r="EL255" s="44" t="e">
        <f>SUM(Table1[Data Leavers Date]+Table1[Data Move On])</f>
        <v>#N/A</v>
      </c>
      <c r="EM255" s="44" t="b">
        <f>IF(Table1[Registered with GP2]="Yes",1,IF(Table1[Registered with GP2]="No",0,IF(Table1[Registered with GP]="Yes",1,IF(Table1[Registered with GP]="No",0))))</f>
        <v>0</v>
      </c>
      <c r="EN255" s="44">
        <f>SUM(Table1[Data Leavers Date]+Table1[Data GP End])</f>
        <v>0</v>
      </c>
      <c r="EO255" s="44" t="str">
        <f>IF(Table1[EET2]="NEET",1,IF(Table1[EET2]="Employment",2,IF(Table1[EET2]="Education",2,IF(Table1[EET2]="Training",2,IF(Table1[EET2]="Retired",3,IF(Table1[EET]="NEET",1,IF(Table1[EET]="Employment",2,IF(Table1[EET]="Education",2,IF(Table1[EET]="Training",2,IF(Table1[EET]="Retired",3,""))))))))))</f>
        <v/>
      </c>
      <c r="EP255" s="44" t="e">
        <f>+Table1[[#This Row],[Data Leavers Date]]+Table1[[#This Row],[Data EET End]]</f>
        <v>#VALUE!</v>
      </c>
      <c r="EQ255" s="44">
        <f>IF(Table1[Exit Form Received]="Yes",1,0)</f>
        <v>0</v>
      </c>
      <c r="ER255" s="44">
        <f>+Table1[[#This Row],[Data Leavers Date]]+Table1[[#This Row],[Data Exit Forms]]</f>
        <v>0</v>
      </c>
      <c r="ES255" s="44" t="str">
        <f>IF(Table1[Data Leavers Date]=1000,SUM(Table1[Leaving Date]-Table1[Start Date]),"")</f>
        <v/>
      </c>
      <c r="ET255" s="44" t="str">
        <f>IF(Table1[Data Leavers Date]=2000,SUM(Table1[Leaving Date]-Table1[Start Date]),"")</f>
        <v/>
      </c>
      <c r="EU255" s="44" t="str">
        <f>IF(Table1[Data Leavers Date]=3000,SUM(Table1[Leaving Date]-Table1[Start Date]),"")</f>
        <v/>
      </c>
      <c r="EV255" s="44" t="str">
        <f>IF(Table1[Data Leavers Date]=4000,SUM(Table1[Leaving Date]-Table1[Start Date]),"")</f>
        <v/>
      </c>
      <c r="EW255" s="44" t="str">
        <f>IF(Table1[Data Leavers Date]=5000,SUM(Table1[Leaving Date]-Table1[Start Date]),"")</f>
        <v/>
      </c>
      <c r="EX255" s="44" t="str">
        <f>IF(Table1[Data Leavers Date]=6000,SUM(Table1[Leaving Date]-Table1[Start Date]),"")</f>
        <v/>
      </c>
      <c r="EY255" s="44" t="str">
        <f>IF(Table1[Data Leavers Date]=7000,SUM(Table1[Leaving Date]-Table1[Start Date]),"")</f>
        <v/>
      </c>
      <c r="EZ255" s="44" t="str">
        <f>IF(Table1[Data Leavers Date]=8000,SUM(Table1[Leaving Date]-Table1[Start Date]),"")</f>
        <v/>
      </c>
      <c r="FA255" s="44" t="str">
        <f>IF(Table1[Date of Initial Assessment]="","",IF(AND(Table1[Start Date]&gt;42094,Table1[Start Date]&lt;42461),Table1[Motivation and Taking Responsibility],""))</f>
        <v/>
      </c>
      <c r="FB255" s="44" t="str">
        <f>IF(Table1[Date of Initial Assessment]="","",IF(AND(Table1[Start Date]&gt;42094,Table1[Start Date]&lt;42461),Table1[Self-Care and Living Skills],""))</f>
        <v/>
      </c>
      <c r="FC255" s="44" t="str">
        <f>IF(Table1[Date of Initial Assessment]="","",IF(AND(Table1[Start Date]&gt;42094,Table1[Start Date]&lt;42461),Table1[Managing Money and Personal Administration],""))</f>
        <v/>
      </c>
      <c r="FD255" s="44" t="str">
        <f>IF(Table1[Date of Initial Assessment]="","",IF(AND(Table1[Start Date]&gt;42094,Table1[Start Date]&lt;42461),Table1[Social Networks and Relationships],""))</f>
        <v/>
      </c>
      <c r="FE255" s="44" t="str">
        <f>IF(Table1[Date of Initial Assessment]="","",IF(AND(Table1[Start Date]&gt;42094,Table1[Start Date]&lt;42461),Table1[Drug and Alcohol Misuse],""))</f>
        <v/>
      </c>
      <c r="FF255" s="44" t="str">
        <f>IF(Table1[Date of Initial Assessment]="","",IF(AND(Table1[Start Date]&gt;42094,Table1[Start Date]&lt;42461),Table1[Physical Health],""))</f>
        <v/>
      </c>
      <c r="FG255" s="44" t="str">
        <f>IF(Table1[Date of Initial Assessment]="","",IF(AND(Table1[Start Date]&gt;42094,Table1[Start Date]&lt;42461),Table1[Emotional and Mental Health],""))</f>
        <v/>
      </c>
      <c r="FH255" s="44" t="str">
        <f>IF(Table1[Date of Initial Assessment]="","",IF(AND(Table1[Start Date]&gt;42094,Table1[Start Date]&lt;42461),Table1[Meaningful Use of Time],""))</f>
        <v/>
      </c>
      <c r="FI255" s="44" t="str">
        <f>IF(Table1[Date of Initial Assessment]="","",IF(AND(Table1[Start Date]&gt;42094,Table1[Start Date]&lt;42461),Table1[Managing Tenancy and Accommodation],""))</f>
        <v/>
      </c>
      <c r="FJ255" s="44" t="str">
        <f>IF(Table1[Date of Initial Assessment]="","",IF(AND(Table1[Start Date]&gt;42094,Table1[Start Date]&lt;42461),Table1[Offending],""))</f>
        <v/>
      </c>
      <c r="FK255" s="44" t="str">
        <f>IF(Table1[Leaving Date]="","",IF(Table1[Date of Initial Assessment]="","",IF(AND(Table1[Leaving Date]&gt;42094,Table1[Leaving Date]&lt;42461),IF(Table1[Date of Last Assessment]="",Table1[Motivation and Taking Responsibility],Table1[Motivation and Taking Responsibility2]),"")))</f>
        <v/>
      </c>
      <c r="FL255" s="44" t="str">
        <f>IF(Table1[Leaving Date]="","",IF(Table1[Date of Initial Assessment]="","",IF(AND(Table1[Leaving Date]&gt;42094,Table1[Leaving Date]&lt;42461),IF(Table1[Date of Last Assessment]="",Table1[Self-Care and Living Skills],Table1[Self-Care and Living Skills2]),"")))</f>
        <v/>
      </c>
      <c r="FM255" s="44" t="str">
        <f>IF(Table1[Leaving Date]="","",IF(Table1[Date of Initial Assessment]="","",IF(AND(Table1[Leaving Date]&gt;42094,Table1[Leaving Date]&lt;42461),IF(Table1[Date of Last Assessment]="",Table1[Managing Money and Personal Administration],Table1[Managing Money and Personal Administration2]),"")))</f>
        <v/>
      </c>
      <c r="FN255" s="44" t="str">
        <f>IF(Table1[Leaving Date]="","",IF(Table1[Date of Initial Assessment]="","",IF(AND(Table1[Leaving Date]&gt;42094,Table1[Leaving Date]&lt;42461),IF(Table1[Date of Last Assessment]="",Table1[Social Networks and Relationships],Table1[Social Networks and Relationships2]),"")))</f>
        <v/>
      </c>
      <c r="FO255" s="44" t="str">
        <f>IF(Table1[Leaving Date]="","",IF(Table1[Date of Initial Assessment]="","",IF(AND(Table1[Leaving Date]&gt;42094,Table1[Leaving Date]&lt;42461),IF(Table1[Date of Last Assessment]="",Table1[Drug and Alcohol Misuse],Table1[Drug and Alcohol Misuse2]),"")))</f>
        <v/>
      </c>
      <c r="FP255" s="44" t="str">
        <f>IF(Table1[Leaving Date]="","",IF(Table1[Date of Initial Assessment]="","",IF(AND(Table1[Leaving Date]&gt;42094,Table1[Leaving Date]&lt;42461),IF(Table1[Date of Last Assessment]="",Table1[Physical Health],Table1[Physical Health2]),"")))</f>
        <v/>
      </c>
      <c r="FQ255" s="44" t="str">
        <f>IF(Table1[Leaving Date]="","",IF(Table1[Date of Initial Assessment]="","",IF(AND(Table1[Leaving Date]&gt;42094,Table1[Leaving Date]&lt;42461),IF(Table1[Date of Last Assessment]="",Table1[Emotional and Mental Health],Table1[Emotional and Mental Health2]),"")))</f>
        <v/>
      </c>
      <c r="FR255" s="44" t="str">
        <f>IF(Table1[Leaving Date]="","",IF(Table1[Date of Initial Assessment]="","",IF(AND(Table1[Leaving Date]&gt;42094,Table1[Leaving Date]&lt;42461),IF(Table1[Date of Last Assessment]="",Table1[Meaningful Use of Time],Table1[Meaningful Use of Time2]),"")))</f>
        <v/>
      </c>
      <c r="FS255" s="44" t="str">
        <f>IF(Table1[Leaving Date]="","",IF(Table1[Date of Initial Assessment]="","",IF(AND(Table1[Leaving Date]&gt;42094,Table1[Leaving Date]&lt;42461),IF(Table1[Date of Last Assessment]="",Table1[Managing Tenancy and Accommodation],Table1[Managing Tenancy and Accommodation2]),"")))</f>
        <v/>
      </c>
      <c r="FT255" s="44" t="str">
        <f>IF(Table1[Leaving Date]="","",IF(Table1[Date of Initial Assessment]="","",IF(AND(Table1[Leaving Date]&gt;42094,Table1[Leaving Date]&lt;42461),IF(Table1[Date of Last Assessment]="",Table1[Offending],Table1[Offending2]),"")))</f>
        <v/>
      </c>
      <c r="FU255" s="44" t="str">
        <f>IF(Table1[Date of Initial Assessment]="","",IF(AND(Table1[Start Date]&gt;42460,Table1[Start Date]&lt;42826),Table1[Motivation and Taking Responsibility],""))</f>
        <v/>
      </c>
      <c r="FV255" s="44" t="str">
        <f>IF(Table1[Date of Initial Assessment]="","",IF(AND(Table1[Start Date]&gt;42460,Table1[Start Date]&lt;42826),Table1[Self-Care and Living Skills],""))</f>
        <v/>
      </c>
      <c r="FW255" s="44" t="str">
        <f>IF(Table1[Date of Initial Assessment]="","",IF(AND(Table1[Start Date]&gt;42460,Table1[Start Date]&lt;42826),Table1[Managing Money and Personal Administration],""))</f>
        <v/>
      </c>
      <c r="FX255" s="44" t="str">
        <f>IF(Table1[Date of Initial Assessment]="","",IF(AND(Table1[Start Date]&gt;42460,Table1[Start Date]&lt;42826),Table1[Social Networks and Relationships],""))</f>
        <v/>
      </c>
      <c r="FY255" s="44" t="str">
        <f>IF(Table1[Date of Initial Assessment]="","",IF(AND(Table1[Start Date]&gt;42460,Table1[Start Date]&lt;42826),Table1[Drug and Alcohol Misuse],""))</f>
        <v/>
      </c>
      <c r="FZ255" s="44" t="str">
        <f>IF(Table1[Date of Initial Assessment]="","",IF(AND(Table1[Start Date]&gt;42460,Table1[Start Date]&lt;42826),Table1[Physical Health],""))</f>
        <v/>
      </c>
      <c r="GA255" s="44" t="str">
        <f>IF(Table1[Date of Initial Assessment]="","",IF(AND(Table1[Start Date]&gt;42460,Table1[Start Date]&lt;42826),Table1[Emotional and Mental Health],""))</f>
        <v/>
      </c>
      <c r="GB255" s="44" t="str">
        <f>IF(Table1[Date of Initial Assessment]="","",IF(AND(Table1[Start Date]&gt;42460,Table1[Start Date]&lt;42826),Table1[Meaningful Use of Time],""))</f>
        <v/>
      </c>
      <c r="GC255" s="44" t="str">
        <f>IF(Table1[Date of Initial Assessment]="","",IF(AND(Table1[Start Date]&gt;42460,Table1[Start Date]&lt;42826),Table1[Managing Tenancy and Accommodation],""))</f>
        <v/>
      </c>
      <c r="GD255" s="44" t="str">
        <f>IF(Table1[Date of Initial Assessment]="","",IF(AND(Table1[Start Date]&gt;42460,Table1[Start Date]&lt;42826),Table1[Offending],""))</f>
        <v/>
      </c>
      <c r="GE255" s="44" t="str">
        <f>IF(Table1[Leaving Date]="","",IF(AND(Table1[Leaving Date]&gt;42460,Table1[Leaving Date]&lt;42826),IF(Table1[Date of Last Assessment]="",Table1[Motivation and Taking Responsibility],Table1[Motivation and Taking Responsibility2]),""))</f>
        <v/>
      </c>
      <c r="GF255" s="44" t="str">
        <f>IF(Table1[Leaving Date]="","",IF(AND(Table1[Leaving Date]&gt;42460,Table1[Leaving Date]&lt;42826),IF(Table1[Date of Last Assessment]="",Table1[Self-Care and Living Skills],Table1[Self-Care and Living Skills2]),""))</f>
        <v/>
      </c>
      <c r="GG255" s="44" t="str">
        <f>IF(Table1[Leaving Date]="","",IF(AND(Table1[Leaving Date]&gt;42460,Table1[Leaving Date]&lt;42826),IF(Table1[Date of Last Assessment]="",Table1[Managing Money and Personal Administration],Table1[Managing Money and Personal Administration2]),""))</f>
        <v/>
      </c>
      <c r="GH255" s="44" t="str">
        <f>IF(Table1[Leaving Date]="","",IF(AND(Table1[Leaving Date]&gt;42460,Table1[Leaving Date]&lt;42826),IF(Table1[Date of Last Assessment]="",Table1[Social Networks and Relationships],Table1[Social Networks and Relationships2]),""))</f>
        <v/>
      </c>
      <c r="GI255" s="44" t="str">
        <f>IF(Table1[Leaving Date]="","",IF(AND(Table1[Leaving Date]&gt;42460,Table1[Leaving Date]&lt;42826),IF(Table1[Date of Last Assessment]="",Table1[Drug and Alcohol Misuse],Table1[Drug and Alcohol Misuse2]),""))</f>
        <v/>
      </c>
      <c r="GJ255" s="44" t="str">
        <f>IF(Table1[Leaving Date]="","",IF(AND(Table1[Leaving Date]&gt;42460,Table1[Leaving Date]&lt;42826),IF(Table1[Date of Last Assessment]="",Table1[Physical Health],Table1[Physical Health2]),""))</f>
        <v/>
      </c>
      <c r="GK255" s="44" t="str">
        <f>IF(Table1[Leaving Date]="","",IF(AND(Table1[Leaving Date]&gt;42460,Table1[Leaving Date]&lt;42826),IF(Table1[Date of Last Assessment]="",Table1[Emotional and Mental Health],Table1[Emotional and Mental Health2]),""))</f>
        <v/>
      </c>
      <c r="GL255" s="44" t="str">
        <f>IF(Table1[Leaving Date]="","",IF(AND(Table1[Leaving Date]&gt;42460,Table1[Leaving Date]&lt;42826),IF(Table1[Date of Last Assessment]="",Table1[Meaningful Use of Time],Table1[Meaningful Use of Time2]),""))</f>
        <v/>
      </c>
      <c r="GM255" s="44" t="str">
        <f>IF(Table1[Leaving Date]="","",IF(AND(Table1[Leaving Date]&gt;42460,Table1[Leaving Date]&lt;42826),IF(Table1[Date of Last Assessment]="",Table1[Managing Tenancy and Accommodation],Table1[Managing Tenancy and Accommodation2]),""))</f>
        <v/>
      </c>
      <c r="GN255" s="44" t="str">
        <f>IF(Table1[Leaving Date]="","",IF(AND(Table1[Leaving Date]&gt;42460,Table1[Leaving Date]&lt;42826),IF(Table1[Date of Last Assessment]="",Table1[Offending],Table1[Offending2]),""))</f>
        <v/>
      </c>
    </row>
    <row r="256" spans="2:196" ht="20.100000000000001" customHeight="1" x14ac:dyDescent="0.2">
      <c r="B256" s="86">
        <f>+'Service Data'!$C$5:$C$5</f>
        <v>0</v>
      </c>
      <c r="C256" s="86"/>
      <c r="D256" s="86"/>
      <c r="E256" s="86"/>
      <c r="F256" s="86"/>
      <c r="G256" s="86"/>
      <c r="H256" s="6"/>
      <c r="I256" s="99" t="str">
        <f ca="1">IF(Table1[[#This Row],[Date of Birth]]="","",SUM(TODAY()-Table1[[#This Row],[Date of Birth]])/365)</f>
        <v/>
      </c>
      <c r="L256" s="86"/>
      <c r="M256" s="77"/>
      <c r="N256" s="86"/>
      <c r="O256" s="86"/>
      <c r="P256" s="91"/>
      <c r="Q256" s="86"/>
      <c r="R256" s="77"/>
      <c r="S256" s="77"/>
      <c r="T256" s="68"/>
      <c r="U256" s="68"/>
      <c r="V256" s="67"/>
      <c r="W256" s="67"/>
      <c r="X256" s="67"/>
      <c r="Y256" s="67"/>
      <c r="Z256" s="67"/>
      <c r="AA256" s="67"/>
      <c r="AB256" s="67"/>
      <c r="AC256" s="67"/>
      <c r="AD256" s="67"/>
      <c r="AE256" s="67"/>
      <c r="AF256" s="67"/>
      <c r="AG256" s="67"/>
      <c r="AH256" s="67"/>
      <c r="AI256" s="67"/>
      <c r="AJ256" s="67"/>
      <c r="AK256" s="67"/>
      <c r="AL256" s="67"/>
      <c r="AM256" s="67"/>
      <c r="AN256" s="77"/>
      <c r="AO256" s="76"/>
      <c r="AP256" s="77"/>
      <c r="AQ256" s="76"/>
      <c r="AR256" s="76"/>
      <c r="AS256" s="76"/>
      <c r="AT256" s="76"/>
      <c r="AU256" s="76"/>
      <c r="AV256" s="77"/>
      <c r="AW256" s="76"/>
      <c r="AX256" s="77"/>
      <c r="AY256" s="76"/>
      <c r="AZ256" s="76"/>
      <c r="BA256" s="76"/>
      <c r="BB256" s="76"/>
      <c r="BC256" s="76"/>
      <c r="BD256" s="77"/>
      <c r="BE256" s="76"/>
      <c r="BF256" s="77"/>
      <c r="BG256" s="76"/>
      <c r="BH256" s="76"/>
      <c r="BI256" s="76"/>
      <c r="BJ256" s="76"/>
      <c r="BK256" s="76"/>
      <c r="BL256" s="77"/>
      <c r="BM256" s="76"/>
      <c r="BN256" s="77"/>
      <c r="BO256" s="76"/>
      <c r="BP256" s="76"/>
      <c r="BQ256" s="76"/>
      <c r="BR256" s="76"/>
      <c r="BS256" s="76"/>
      <c r="BT256" s="77"/>
      <c r="BU256" s="76"/>
      <c r="BV256" s="77"/>
      <c r="BW256" s="76"/>
      <c r="BX256" s="76"/>
      <c r="BY256" s="76"/>
      <c r="BZ256" s="76"/>
      <c r="CA256" s="76"/>
      <c r="CB256" s="77"/>
      <c r="CC256" s="76"/>
      <c r="CD256" s="77"/>
      <c r="CE256" s="76"/>
      <c r="CF256" s="76"/>
      <c r="CG256" s="76"/>
      <c r="CH256" s="76"/>
      <c r="CI256" s="76"/>
      <c r="CJ256" s="77"/>
      <c r="CK256" s="76"/>
      <c r="CL256" s="77"/>
      <c r="CM256" s="76"/>
      <c r="CN256" s="76"/>
      <c r="CO256" s="76"/>
      <c r="CP256" s="76"/>
      <c r="CQ256" s="76"/>
      <c r="CR256" s="78" t="str">
        <f t="shared" si="63"/>
        <v/>
      </c>
      <c r="CS256" s="79" t="str">
        <f t="shared" si="64"/>
        <v/>
      </c>
      <c r="CT256" s="79" t="str">
        <f t="shared" si="65"/>
        <v/>
      </c>
      <c r="CU256" s="79" t="str">
        <f t="shared" si="66"/>
        <v/>
      </c>
      <c r="CV256" s="79" t="str">
        <f t="shared" si="67"/>
        <v/>
      </c>
      <c r="CW256" s="79" t="str">
        <f t="shared" si="68"/>
        <v/>
      </c>
      <c r="CX256" s="79" t="str">
        <f t="shared" si="69"/>
        <v/>
      </c>
      <c r="CY256" s="79" t="str">
        <f t="shared" si="70"/>
        <v/>
      </c>
      <c r="CZ256" s="79" t="str">
        <f t="shared" si="71"/>
        <v/>
      </c>
      <c r="DA256" s="79" t="str">
        <f t="shared" si="72"/>
        <v/>
      </c>
      <c r="DB256" s="79" t="str">
        <f t="shared" si="73"/>
        <v/>
      </c>
      <c r="DC256" s="79" t="str">
        <f t="shared" si="74"/>
        <v/>
      </c>
      <c r="DD256" s="79" t="str">
        <f t="shared" si="75"/>
        <v/>
      </c>
      <c r="DE256" s="79" t="str">
        <f t="shared" si="76"/>
        <v/>
      </c>
      <c r="DF256" s="79" t="str">
        <f t="shared" si="77"/>
        <v/>
      </c>
      <c r="DG256" s="79" t="str">
        <f t="shared" si="78"/>
        <v/>
      </c>
      <c r="DH256" s="76"/>
      <c r="DI256" s="78"/>
      <c r="DJ256" s="76"/>
      <c r="DK256" s="77"/>
      <c r="DL256" s="77"/>
      <c r="DM256" s="77"/>
      <c r="DN256" s="80"/>
      <c r="DO256" s="80"/>
      <c r="DP256" s="92" t="str">
        <f>IF(Table1[Start Date]="","",IF(Table1[Start Date]&gt;42185,"",IF(AND(Table1[Leaving Date]&gt;1,Table1[Leaving Date]&lt;42095),"",1)))</f>
        <v/>
      </c>
      <c r="DQ256" s="92" t="str">
        <f>IF(Table1[Start Date]="","",IF(Table1[Start Date]&gt;42277,"",IF(AND(Table1[Leaving Date]&gt;1,Table1[Leaving Date]&lt;42186),"",1)))</f>
        <v/>
      </c>
      <c r="DR256" s="92" t="str">
        <f>IF(Table1[Start Date]="","",IF(Table1[Start Date]&gt;42369,"",IF(AND(Table1[Leaving Date]&gt;1,Table1[Leaving Date]&lt;42278),"",1)))</f>
        <v/>
      </c>
      <c r="DS256" s="92" t="str">
        <f>IF(Table1[Start Date]="","",IF(Table1[Start Date]&gt;42460,"",IF(AND(Table1[Leaving Date]&gt;1,Table1[Leaving Date]&lt;42370),"",1)))</f>
        <v/>
      </c>
      <c r="DT256" s="92" t="str">
        <f>IF(Table1[Start Date]="","",IF(Table1[Start Date]&gt;42551,"",IF(AND(Table1[Leaving Date]&gt;1,Table1[Leaving Date]&lt;42461),"",1)))</f>
        <v/>
      </c>
      <c r="DU256" s="92" t="str">
        <f>IF(Table1[Start Date]="","",IF(Table1[Start Date]&gt;42643,"",IF(AND(Table1[Leaving Date]&gt;1,Table1[Leaving Date]&lt;42552),"",1)))</f>
        <v/>
      </c>
      <c r="DV256" s="92" t="str">
        <f>IF(Table1[Start Date]="","",IF(Table1[Start Date]&gt;42735,"",IF(AND(Table1[Leaving Date]&gt;1,Table1[Leaving Date]&lt;42644),"",1)))</f>
        <v/>
      </c>
      <c r="DW256" s="92" t="str">
        <f>IF(Table1[Start Date]="","",IF(Table1[Start Date]&gt;42825,"",IF(AND(Table1[Leaving Date]&gt;1,Table1[Leaving Date]&lt;42736),"",1)))</f>
        <v/>
      </c>
      <c r="DX256"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256" s="44" t="e">
        <f>VLOOKUP(Table1[Referral Source],Lists!$G$2:$H$20,2,FALSE)</f>
        <v>#N/A</v>
      </c>
      <c r="DZ256" s="93" t="e">
        <f>SUM(Table1[Data Referral Quarter]+Table1[Data Referral Source])</f>
        <v>#N/A</v>
      </c>
      <c r="EA256" s="44" t="b">
        <f>IF(Table1[Referral Decision]="Accepted",100,IF(Table1[Referral Decision]="Rejected by Provider",200,IF(Table1[Referral Decision]="Rejected by Applicant",300)))</f>
        <v>0</v>
      </c>
      <c r="EB256" s="44">
        <f>SUM(Table1[Data Referral Quarter]+Table1[Data Referral Decision])</f>
        <v>0</v>
      </c>
      <c r="EC256" s="44" t="b">
        <f>IF(Table1[Start Date]&gt;42735,8000,IF(Table1[Start Date]&gt;42643,7000,IF(Table1[Start Date]&gt;42551,6000,IF(Table1[Start Date]&gt;42460,5000,IF(Table1[Start Date]&gt;42369,4000,IF(Table1[Start Date]&gt;42277,3000,IF(Table1[Start Date]&gt;42185,2000,IF(Table1[Start Date]&gt;42094,1000))))))))</f>
        <v>0</v>
      </c>
      <c r="ED256" s="44" t="str">
        <f>IF(Table1[Start Date]="","",IF(Table1[Current Local Authority]="Swindon",1,"2"))</f>
        <v/>
      </c>
      <c r="EE256" s="44" t="e">
        <f>SUM(Table1[Data Start Date]+Table1[Data Local Authority])</f>
        <v>#VALUE!</v>
      </c>
      <c r="EF256" s="44">
        <f>IF(Table1[Registered with GP]="Yes",1,0)</f>
        <v>0</v>
      </c>
      <c r="EG256" s="44">
        <f>SUM(Table1[Data Start Date]+Table1[Data GP Start])</f>
        <v>0</v>
      </c>
      <c r="EH256" s="44" t="str">
        <f>IF(Table1[EET]="NEET",1,IF(Table1[EET]="Education",2,IF(Table1[EET]="Employment",2,IF(Table1[EET]="Training",2,IF(Table1[EET]="Retired",3,"")))))</f>
        <v/>
      </c>
      <c r="EI256" s="44" t="e">
        <f>Table1[Data Start Date]+Table1[Data EET Start]</f>
        <v>#VALUE!</v>
      </c>
      <c r="EJ256" s="44" t="b">
        <f>IF(Table1[Leaving Date]&gt;42735,8000,IF(Table1[Leaving Date]&gt;42643,7000,IF(Table1[Leaving Date]&gt;42551,6000,IF(Table1[Leaving Date]&gt;42460,5000,IF(Table1[Leaving Date]&gt;42369,4000,IF(Table1[Leaving Date]&gt;42277,3000,IF(Table1[Leaving Date]&gt;42185,2000,IF(Table1[Leaving Date]&gt;42094,1000))))))))</f>
        <v>0</v>
      </c>
      <c r="EK256" s="44" t="e">
        <f>VLOOKUP(Table1[Reason for Leaving],Lists!$T$2:$U$15,2,FALSE)</f>
        <v>#N/A</v>
      </c>
      <c r="EL256" s="44" t="e">
        <f>SUM(Table1[Data Leavers Date]+Table1[Data Move On])</f>
        <v>#N/A</v>
      </c>
      <c r="EM256" s="44" t="b">
        <f>IF(Table1[Registered with GP2]="Yes",1,IF(Table1[Registered with GP2]="No",0,IF(Table1[Registered with GP]="Yes",1,IF(Table1[Registered with GP]="No",0))))</f>
        <v>0</v>
      </c>
      <c r="EN256" s="44">
        <f>SUM(Table1[Data Leavers Date]+Table1[Data GP End])</f>
        <v>0</v>
      </c>
      <c r="EO256" s="44" t="str">
        <f>IF(Table1[EET2]="NEET",1,IF(Table1[EET2]="Employment",2,IF(Table1[EET2]="Education",2,IF(Table1[EET2]="Training",2,IF(Table1[EET2]="Retired",3,IF(Table1[EET]="NEET",1,IF(Table1[EET]="Employment",2,IF(Table1[EET]="Education",2,IF(Table1[EET]="Training",2,IF(Table1[EET]="Retired",3,""))))))))))</f>
        <v/>
      </c>
      <c r="EP256" s="44" t="e">
        <f>+Table1[[#This Row],[Data Leavers Date]]+Table1[[#This Row],[Data EET End]]</f>
        <v>#VALUE!</v>
      </c>
      <c r="EQ256" s="44">
        <f>IF(Table1[Exit Form Received]="Yes",1,0)</f>
        <v>0</v>
      </c>
      <c r="ER256" s="44">
        <f>+Table1[[#This Row],[Data Leavers Date]]+Table1[[#This Row],[Data Exit Forms]]</f>
        <v>0</v>
      </c>
      <c r="ES256" s="44" t="str">
        <f>IF(Table1[Data Leavers Date]=1000,SUM(Table1[Leaving Date]-Table1[Start Date]),"")</f>
        <v/>
      </c>
      <c r="ET256" s="44" t="str">
        <f>IF(Table1[Data Leavers Date]=2000,SUM(Table1[Leaving Date]-Table1[Start Date]),"")</f>
        <v/>
      </c>
      <c r="EU256" s="44" t="str">
        <f>IF(Table1[Data Leavers Date]=3000,SUM(Table1[Leaving Date]-Table1[Start Date]),"")</f>
        <v/>
      </c>
      <c r="EV256" s="44" t="str">
        <f>IF(Table1[Data Leavers Date]=4000,SUM(Table1[Leaving Date]-Table1[Start Date]),"")</f>
        <v/>
      </c>
      <c r="EW256" s="44" t="str">
        <f>IF(Table1[Data Leavers Date]=5000,SUM(Table1[Leaving Date]-Table1[Start Date]),"")</f>
        <v/>
      </c>
      <c r="EX256" s="44" t="str">
        <f>IF(Table1[Data Leavers Date]=6000,SUM(Table1[Leaving Date]-Table1[Start Date]),"")</f>
        <v/>
      </c>
      <c r="EY256" s="44" t="str">
        <f>IF(Table1[Data Leavers Date]=7000,SUM(Table1[Leaving Date]-Table1[Start Date]),"")</f>
        <v/>
      </c>
      <c r="EZ256" s="44" t="str">
        <f>IF(Table1[Data Leavers Date]=8000,SUM(Table1[Leaving Date]-Table1[Start Date]),"")</f>
        <v/>
      </c>
      <c r="FA256" s="44" t="str">
        <f>IF(Table1[Date of Initial Assessment]="","",IF(AND(Table1[Start Date]&gt;42094,Table1[Start Date]&lt;42461),Table1[Motivation and Taking Responsibility],""))</f>
        <v/>
      </c>
      <c r="FB256" s="44" t="str">
        <f>IF(Table1[Date of Initial Assessment]="","",IF(AND(Table1[Start Date]&gt;42094,Table1[Start Date]&lt;42461),Table1[Self-Care and Living Skills],""))</f>
        <v/>
      </c>
      <c r="FC256" s="44" t="str">
        <f>IF(Table1[Date of Initial Assessment]="","",IF(AND(Table1[Start Date]&gt;42094,Table1[Start Date]&lt;42461),Table1[Managing Money and Personal Administration],""))</f>
        <v/>
      </c>
      <c r="FD256" s="44" t="str">
        <f>IF(Table1[Date of Initial Assessment]="","",IF(AND(Table1[Start Date]&gt;42094,Table1[Start Date]&lt;42461),Table1[Social Networks and Relationships],""))</f>
        <v/>
      </c>
      <c r="FE256" s="44" t="str">
        <f>IF(Table1[Date of Initial Assessment]="","",IF(AND(Table1[Start Date]&gt;42094,Table1[Start Date]&lt;42461),Table1[Drug and Alcohol Misuse],""))</f>
        <v/>
      </c>
      <c r="FF256" s="44" t="str">
        <f>IF(Table1[Date of Initial Assessment]="","",IF(AND(Table1[Start Date]&gt;42094,Table1[Start Date]&lt;42461),Table1[Physical Health],""))</f>
        <v/>
      </c>
      <c r="FG256" s="44" t="str">
        <f>IF(Table1[Date of Initial Assessment]="","",IF(AND(Table1[Start Date]&gt;42094,Table1[Start Date]&lt;42461),Table1[Emotional and Mental Health],""))</f>
        <v/>
      </c>
      <c r="FH256" s="44" t="str">
        <f>IF(Table1[Date of Initial Assessment]="","",IF(AND(Table1[Start Date]&gt;42094,Table1[Start Date]&lt;42461),Table1[Meaningful Use of Time],""))</f>
        <v/>
      </c>
      <c r="FI256" s="44" t="str">
        <f>IF(Table1[Date of Initial Assessment]="","",IF(AND(Table1[Start Date]&gt;42094,Table1[Start Date]&lt;42461),Table1[Managing Tenancy and Accommodation],""))</f>
        <v/>
      </c>
      <c r="FJ256" s="44" t="str">
        <f>IF(Table1[Date of Initial Assessment]="","",IF(AND(Table1[Start Date]&gt;42094,Table1[Start Date]&lt;42461),Table1[Offending],""))</f>
        <v/>
      </c>
      <c r="FK256" s="44" t="str">
        <f>IF(Table1[Leaving Date]="","",IF(Table1[Date of Initial Assessment]="","",IF(AND(Table1[Leaving Date]&gt;42094,Table1[Leaving Date]&lt;42461),IF(Table1[Date of Last Assessment]="",Table1[Motivation and Taking Responsibility],Table1[Motivation and Taking Responsibility2]),"")))</f>
        <v/>
      </c>
      <c r="FL256" s="44" t="str">
        <f>IF(Table1[Leaving Date]="","",IF(Table1[Date of Initial Assessment]="","",IF(AND(Table1[Leaving Date]&gt;42094,Table1[Leaving Date]&lt;42461),IF(Table1[Date of Last Assessment]="",Table1[Self-Care and Living Skills],Table1[Self-Care and Living Skills2]),"")))</f>
        <v/>
      </c>
      <c r="FM256" s="44" t="str">
        <f>IF(Table1[Leaving Date]="","",IF(Table1[Date of Initial Assessment]="","",IF(AND(Table1[Leaving Date]&gt;42094,Table1[Leaving Date]&lt;42461),IF(Table1[Date of Last Assessment]="",Table1[Managing Money and Personal Administration],Table1[Managing Money and Personal Administration2]),"")))</f>
        <v/>
      </c>
      <c r="FN256" s="44" t="str">
        <f>IF(Table1[Leaving Date]="","",IF(Table1[Date of Initial Assessment]="","",IF(AND(Table1[Leaving Date]&gt;42094,Table1[Leaving Date]&lt;42461),IF(Table1[Date of Last Assessment]="",Table1[Social Networks and Relationships],Table1[Social Networks and Relationships2]),"")))</f>
        <v/>
      </c>
      <c r="FO256" s="44" t="str">
        <f>IF(Table1[Leaving Date]="","",IF(Table1[Date of Initial Assessment]="","",IF(AND(Table1[Leaving Date]&gt;42094,Table1[Leaving Date]&lt;42461),IF(Table1[Date of Last Assessment]="",Table1[Drug and Alcohol Misuse],Table1[Drug and Alcohol Misuse2]),"")))</f>
        <v/>
      </c>
      <c r="FP256" s="44" t="str">
        <f>IF(Table1[Leaving Date]="","",IF(Table1[Date of Initial Assessment]="","",IF(AND(Table1[Leaving Date]&gt;42094,Table1[Leaving Date]&lt;42461),IF(Table1[Date of Last Assessment]="",Table1[Physical Health],Table1[Physical Health2]),"")))</f>
        <v/>
      </c>
      <c r="FQ256" s="44" t="str">
        <f>IF(Table1[Leaving Date]="","",IF(Table1[Date of Initial Assessment]="","",IF(AND(Table1[Leaving Date]&gt;42094,Table1[Leaving Date]&lt;42461),IF(Table1[Date of Last Assessment]="",Table1[Emotional and Mental Health],Table1[Emotional and Mental Health2]),"")))</f>
        <v/>
      </c>
      <c r="FR256" s="44" t="str">
        <f>IF(Table1[Leaving Date]="","",IF(Table1[Date of Initial Assessment]="","",IF(AND(Table1[Leaving Date]&gt;42094,Table1[Leaving Date]&lt;42461),IF(Table1[Date of Last Assessment]="",Table1[Meaningful Use of Time],Table1[Meaningful Use of Time2]),"")))</f>
        <v/>
      </c>
      <c r="FS256" s="44" t="str">
        <f>IF(Table1[Leaving Date]="","",IF(Table1[Date of Initial Assessment]="","",IF(AND(Table1[Leaving Date]&gt;42094,Table1[Leaving Date]&lt;42461),IF(Table1[Date of Last Assessment]="",Table1[Managing Tenancy and Accommodation],Table1[Managing Tenancy and Accommodation2]),"")))</f>
        <v/>
      </c>
      <c r="FT256" s="44" t="str">
        <f>IF(Table1[Leaving Date]="","",IF(Table1[Date of Initial Assessment]="","",IF(AND(Table1[Leaving Date]&gt;42094,Table1[Leaving Date]&lt;42461),IF(Table1[Date of Last Assessment]="",Table1[Offending],Table1[Offending2]),"")))</f>
        <v/>
      </c>
      <c r="FU256" s="44" t="str">
        <f>IF(Table1[Date of Initial Assessment]="","",IF(AND(Table1[Start Date]&gt;42460,Table1[Start Date]&lt;42826),Table1[Motivation and Taking Responsibility],""))</f>
        <v/>
      </c>
      <c r="FV256" s="44" t="str">
        <f>IF(Table1[Date of Initial Assessment]="","",IF(AND(Table1[Start Date]&gt;42460,Table1[Start Date]&lt;42826),Table1[Self-Care and Living Skills],""))</f>
        <v/>
      </c>
      <c r="FW256" s="44" t="str">
        <f>IF(Table1[Date of Initial Assessment]="","",IF(AND(Table1[Start Date]&gt;42460,Table1[Start Date]&lt;42826),Table1[Managing Money and Personal Administration],""))</f>
        <v/>
      </c>
      <c r="FX256" s="44" t="str">
        <f>IF(Table1[Date of Initial Assessment]="","",IF(AND(Table1[Start Date]&gt;42460,Table1[Start Date]&lt;42826),Table1[Social Networks and Relationships],""))</f>
        <v/>
      </c>
      <c r="FY256" s="44" t="str">
        <f>IF(Table1[Date of Initial Assessment]="","",IF(AND(Table1[Start Date]&gt;42460,Table1[Start Date]&lt;42826),Table1[Drug and Alcohol Misuse],""))</f>
        <v/>
      </c>
      <c r="FZ256" s="44" t="str">
        <f>IF(Table1[Date of Initial Assessment]="","",IF(AND(Table1[Start Date]&gt;42460,Table1[Start Date]&lt;42826),Table1[Physical Health],""))</f>
        <v/>
      </c>
      <c r="GA256" s="44" t="str">
        <f>IF(Table1[Date of Initial Assessment]="","",IF(AND(Table1[Start Date]&gt;42460,Table1[Start Date]&lt;42826),Table1[Emotional and Mental Health],""))</f>
        <v/>
      </c>
      <c r="GB256" s="44" t="str">
        <f>IF(Table1[Date of Initial Assessment]="","",IF(AND(Table1[Start Date]&gt;42460,Table1[Start Date]&lt;42826),Table1[Meaningful Use of Time],""))</f>
        <v/>
      </c>
      <c r="GC256" s="44" t="str">
        <f>IF(Table1[Date of Initial Assessment]="","",IF(AND(Table1[Start Date]&gt;42460,Table1[Start Date]&lt;42826),Table1[Managing Tenancy and Accommodation],""))</f>
        <v/>
      </c>
      <c r="GD256" s="44" t="str">
        <f>IF(Table1[Date of Initial Assessment]="","",IF(AND(Table1[Start Date]&gt;42460,Table1[Start Date]&lt;42826),Table1[Offending],""))</f>
        <v/>
      </c>
      <c r="GE256" s="44" t="str">
        <f>IF(Table1[Leaving Date]="","",IF(AND(Table1[Leaving Date]&gt;42460,Table1[Leaving Date]&lt;42826),IF(Table1[Date of Last Assessment]="",Table1[Motivation and Taking Responsibility],Table1[Motivation and Taking Responsibility2]),""))</f>
        <v/>
      </c>
      <c r="GF256" s="44" t="str">
        <f>IF(Table1[Leaving Date]="","",IF(AND(Table1[Leaving Date]&gt;42460,Table1[Leaving Date]&lt;42826),IF(Table1[Date of Last Assessment]="",Table1[Self-Care and Living Skills],Table1[Self-Care and Living Skills2]),""))</f>
        <v/>
      </c>
      <c r="GG256" s="44" t="str">
        <f>IF(Table1[Leaving Date]="","",IF(AND(Table1[Leaving Date]&gt;42460,Table1[Leaving Date]&lt;42826),IF(Table1[Date of Last Assessment]="",Table1[Managing Money and Personal Administration],Table1[Managing Money and Personal Administration2]),""))</f>
        <v/>
      </c>
      <c r="GH256" s="44" t="str">
        <f>IF(Table1[Leaving Date]="","",IF(AND(Table1[Leaving Date]&gt;42460,Table1[Leaving Date]&lt;42826),IF(Table1[Date of Last Assessment]="",Table1[Social Networks and Relationships],Table1[Social Networks and Relationships2]),""))</f>
        <v/>
      </c>
      <c r="GI256" s="44" t="str">
        <f>IF(Table1[Leaving Date]="","",IF(AND(Table1[Leaving Date]&gt;42460,Table1[Leaving Date]&lt;42826),IF(Table1[Date of Last Assessment]="",Table1[Drug and Alcohol Misuse],Table1[Drug and Alcohol Misuse2]),""))</f>
        <v/>
      </c>
      <c r="GJ256" s="44" t="str">
        <f>IF(Table1[Leaving Date]="","",IF(AND(Table1[Leaving Date]&gt;42460,Table1[Leaving Date]&lt;42826),IF(Table1[Date of Last Assessment]="",Table1[Physical Health],Table1[Physical Health2]),""))</f>
        <v/>
      </c>
      <c r="GK256" s="44" t="str">
        <f>IF(Table1[Leaving Date]="","",IF(AND(Table1[Leaving Date]&gt;42460,Table1[Leaving Date]&lt;42826),IF(Table1[Date of Last Assessment]="",Table1[Emotional and Mental Health],Table1[Emotional and Mental Health2]),""))</f>
        <v/>
      </c>
      <c r="GL256" s="44" t="str">
        <f>IF(Table1[Leaving Date]="","",IF(AND(Table1[Leaving Date]&gt;42460,Table1[Leaving Date]&lt;42826),IF(Table1[Date of Last Assessment]="",Table1[Meaningful Use of Time],Table1[Meaningful Use of Time2]),""))</f>
        <v/>
      </c>
      <c r="GM256" s="44" t="str">
        <f>IF(Table1[Leaving Date]="","",IF(AND(Table1[Leaving Date]&gt;42460,Table1[Leaving Date]&lt;42826),IF(Table1[Date of Last Assessment]="",Table1[Managing Tenancy and Accommodation],Table1[Managing Tenancy and Accommodation2]),""))</f>
        <v/>
      </c>
      <c r="GN256" s="44" t="str">
        <f>IF(Table1[Leaving Date]="","",IF(AND(Table1[Leaving Date]&gt;42460,Table1[Leaving Date]&lt;42826),IF(Table1[Date of Last Assessment]="",Table1[Offending],Table1[Offending2]),""))</f>
        <v/>
      </c>
    </row>
    <row r="257" spans="2:196" ht="20.100000000000001" customHeight="1" x14ac:dyDescent="0.2">
      <c r="B257" s="86">
        <f>+'Service Data'!$C$5:$C$5</f>
        <v>0</v>
      </c>
      <c r="C257" s="86"/>
      <c r="D257" s="86"/>
      <c r="E257" s="86"/>
      <c r="F257" s="86"/>
      <c r="G257" s="86"/>
      <c r="H257" s="6"/>
      <c r="I257" s="99" t="str">
        <f ca="1">IF(Table1[[#This Row],[Date of Birth]]="","",SUM(TODAY()-Table1[[#This Row],[Date of Birth]])/365)</f>
        <v/>
      </c>
      <c r="L257" s="86"/>
      <c r="M257" s="77"/>
      <c r="N257" s="86"/>
      <c r="O257" s="86"/>
      <c r="P257" s="91"/>
      <c r="Q257" s="86"/>
      <c r="R257" s="77"/>
      <c r="S257" s="77"/>
      <c r="T257" s="68"/>
      <c r="U257" s="68"/>
      <c r="V257" s="67"/>
      <c r="W257" s="67"/>
      <c r="X257" s="67"/>
      <c r="Y257" s="67"/>
      <c r="Z257" s="67"/>
      <c r="AA257" s="67"/>
      <c r="AB257" s="67"/>
      <c r="AC257" s="67"/>
      <c r="AD257" s="67"/>
      <c r="AE257" s="67"/>
      <c r="AF257" s="67"/>
      <c r="AG257" s="67"/>
      <c r="AH257" s="67"/>
      <c r="AI257" s="67"/>
      <c r="AJ257" s="67"/>
      <c r="AK257" s="67"/>
      <c r="AL257" s="67"/>
      <c r="AM257" s="67"/>
      <c r="AN257" s="77"/>
      <c r="AO257" s="76"/>
      <c r="AP257" s="77"/>
      <c r="AQ257" s="76"/>
      <c r="AR257" s="76"/>
      <c r="AS257" s="76"/>
      <c r="AT257" s="76"/>
      <c r="AU257" s="76"/>
      <c r="AV257" s="77"/>
      <c r="AW257" s="76"/>
      <c r="AX257" s="77"/>
      <c r="AY257" s="76"/>
      <c r="AZ257" s="76"/>
      <c r="BA257" s="76"/>
      <c r="BB257" s="76"/>
      <c r="BC257" s="76"/>
      <c r="BD257" s="77"/>
      <c r="BE257" s="76"/>
      <c r="BF257" s="77"/>
      <c r="BG257" s="76"/>
      <c r="BH257" s="76"/>
      <c r="BI257" s="76"/>
      <c r="BJ257" s="76"/>
      <c r="BK257" s="76"/>
      <c r="BL257" s="77"/>
      <c r="BM257" s="76"/>
      <c r="BN257" s="77"/>
      <c r="BO257" s="76"/>
      <c r="BP257" s="76"/>
      <c r="BQ257" s="76"/>
      <c r="BR257" s="76"/>
      <c r="BS257" s="76"/>
      <c r="BT257" s="77"/>
      <c r="BU257" s="76"/>
      <c r="BV257" s="77"/>
      <c r="BW257" s="76"/>
      <c r="BX257" s="76"/>
      <c r="BY257" s="76"/>
      <c r="BZ257" s="76"/>
      <c r="CA257" s="76"/>
      <c r="CB257" s="77"/>
      <c r="CC257" s="76"/>
      <c r="CD257" s="77"/>
      <c r="CE257" s="76"/>
      <c r="CF257" s="76"/>
      <c r="CG257" s="76"/>
      <c r="CH257" s="76"/>
      <c r="CI257" s="76"/>
      <c r="CJ257" s="77"/>
      <c r="CK257" s="76"/>
      <c r="CL257" s="77"/>
      <c r="CM257" s="76"/>
      <c r="CN257" s="76"/>
      <c r="CO257" s="76"/>
      <c r="CP257" s="76"/>
      <c r="CQ257" s="76"/>
      <c r="CR257" s="78" t="str">
        <f t="shared" si="63"/>
        <v/>
      </c>
      <c r="CS257" s="79" t="str">
        <f t="shared" si="64"/>
        <v/>
      </c>
      <c r="CT257" s="79" t="str">
        <f t="shared" si="65"/>
        <v/>
      </c>
      <c r="CU257" s="79" t="str">
        <f t="shared" si="66"/>
        <v/>
      </c>
      <c r="CV257" s="79" t="str">
        <f t="shared" si="67"/>
        <v/>
      </c>
      <c r="CW257" s="79" t="str">
        <f t="shared" si="68"/>
        <v/>
      </c>
      <c r="CX257" s="79" t="str">
        <f t="shared" si="69"/>
        <v/>
      </c>
      <c r="CY257" s="79" t="str">
        <f t="shared" si="70"/>
        <v/>
      </c>
      <c r="CZ257" s="79" t="str">
        <f t="shared" si="71"/>
        <v/>
      </c>
      <c r="DA257" s="79" t="str">
        <f t="shared" si="72"/>
        <v/>
      </c>
      <c r="DB257" s="79" t="str">
        <f t="shared" si="73"/>
        <v/>
      </c>
      <c r="DC257" s="79" t="str">
        <f t="shared" si="74"/>
        <v/>
      </c>
      <c r="DD257" s="79" t="str">
        <f t="shared" si="75"/>
        <v/>
      </c>
      <c r="DE257" s="79" t="str">
        <f t="shared" si="76"/>
        <v/>
      </c>
      <c r="DF257" s="79" t="str">
        <f t="shared" si="77"/>
        <v/>
      </c>
      <c r="DG257" s="79" t="str">
        <f t="shared" si="78"/>
        <v/>
      </c>
      <c r="DH257" s="76"/>
      <c r="DI257" s="78"/>
      <c r="DJ257" s="76"/>
      <c r="DK257" s="77"/>
      <c r="DL257" s="77"/>
      <c r="DM257" s="77"/>
      <c r="DN257" s="80"/>
      <c r="DO257" s="80"/>
      <c r="DP257" s="92" t="str">
        <f>IF(Table1[Start Date]="","",IF(Table1[Start Date]&gt;42185,"",IF(AND(Table1[Leaving Date]&gt;1,Table1[Leaving Date]&lt;42095),"",1)))</f>
        <v/>
      </c>
      <c r="DQ257" s="92" t="str">
        <f>IF(Table1[Start Date]="","",IF(Table1[Start Date]&gt;42277,"",IF(AND(Table1[Leaving Date]&gt;1,Table1[Leaving Date]&lt;42186),"",1)))</f>
        <v/>
      </c>
      <c r="DR257" s="92" t="str">
        <f>IF(Table1[Start Date]="","",IF(Table1[Start Date]&gt;42369,"",IF(AND(Table1[Leaving Date]&gt;1,Table1[Leaving Date]&lt;42278),"",1)))</f>
        <v/>
      </c>
      <c r="DS257" s="92" t="str">
        <f>IF(Table1[Start Date]="","",IF(Table1[Start Date]&gt;42460,"",IF(AND(Table1[Leaving Date]&gt;1,Table1[Leaving Date]&lt;42370),"",1)))</f>
        <v/>
      </c>
      <c r="DT257" s="92" t="str">
        <f>IF(Table1[Start Date]="","",IF(Table1[Start Date]&gt;42551,"",IF(AND(Table1[Leaving Date]&gt;1,Table1[Leaving Date]&lt;42461),"",1)))</f>
        <v/>
      </c>
      <c r="DU257" s="92" t="str">
        <f>IF(Table1[Start Date]="","",IF(Table1[Start Date]&gt;42643,"",IF(AND(Table1[Leaving Date]&gt;1,Table1[Leaving Date]&lt;42552),"",1)))</f>
        <v/>
      </c>
      <c r="DV257" s="92" t="str">
        <f>IF(Table1[Start Date]="","",IF(Table1[Start Date]&gt;42735,"",IF(AND(Table1[Leaving Date]&gt;1,Table1[Leaving Date]&lt;42644),"",1)))</f>
        <v/>
      </c>
      <c r="DW257" s="92" t="str">
        <f>IF(Table1[Start Date]="","",IF(Table1[Start Date]&gt;42825,"",IF(AND(Table1[Leaving Date]&gt;1,Table1[Leaving Date]&lt;42736),"",1)))</f>
        <v/>
      </c>
      <c r="DX257"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257" s="44" t="e">
        <f>VLOOKUP(Table1[Referral Source],Lists!$G$2:$H$20,2,FALSE)</f>
        <v>#N/A</v>
      </c>
      <c r="DZ257" s="93" t="e">
        <f>SUM(Table1[Data Referral Quarter]+Table1[Data Referral Source])</f>
        <v>#N/A</v>
      </c>
      <c r="EA257" s="44" t="b">
        <f>IF(Table1[Referral Decision]="Accepted",100,IF(Table1[Referral Decision]="Rejected by Provider",200,IF(Table1[Referral Decision]="Rejected by Applicant",300)))</f>
        <v>0</v>
      </c>
      <c r="EB257" s="44">
        <f>SUM(Table1[Data Referral Quarter]+Table1[Data Referral Decision])</f>
        <v>0</v>
      </c>
      <c r="EC257" s="44" t="b">
        <f>IF(Table1[Start Date]&gt;42735,8000,IF(Table1[Start Date]&gt;42643,7000,IF(Table1[Start Date]&gt;42551,6000,IF(Table1[Start Date]&gt;42460,5000,IF(Table1[Start Date]&gt;42369,4000,IF(Table1[Start Date]&gt;42277,3000,IF(Table1[Start Date]&gt;42185,2000,IF(Table1[Start Date]&gt;42094,1000))))))))</f>
        <v>0</v>
      </c>
      <c r="ED257" s="44" t="str">
        <f>IF(Table1[Start Date]="","",IF(Table1[Current Local Authority]="Swindon",1,"2"))</f>
        <v/>
      </c>
      <c r="EE257" s="44" t="e">
        <f>SUM(Table1[Data Start Date]+Table1[Data Local Authority])</f>
        <v>#VALUE!</v>
      </c>
      <c r="EF257" s="44">
        <f>IF(Table1[Registered with GP]="Yes",1,0)</f>
        <v>0</v>
      </c>
      <c r="EG257" s="44">
        <f>SUM(Table1[Data Start Date]+Table1[Data GP Start])</f>
        <v>0</v>
      </c>
      <c r="EH257" s="44" t="str">
        <f>IF(Table1[EET]="NEET",1,IF(Table1[EET]="Education",2,IF(Table1[EET]="Employment",2,IF(Table1[EET]="Training",2,IF(Table1[EET]="Retired",3,"")))))</f>
        <v/>
      </c>
      <c r="EI257" s="44" t="e">
        <f>Table1[Data Start Date]+Table1[Data EET Start]</f>
        <v>#VALUE!</v>
      </c>
      <c r="EJ257" s="44" t="b">
        <f>IF(Table1[Leaving Date]&gt;42735,8000,IF(Table1[Leaving Date]&gt;42643,7000,IF(Table1[Leaving Date]&gt;42551,6000,IF(Table1[Leaving Date]&gt;42460,5000,IF(Table1[Leaving Date]&gt;42369,4000,IF(Table1[Leaving Date]&gt;42277,3000,IF(Table1[Leaving Date]&gt;42185,2000,IF(Table1[Leaving Date]&gt;42094,1000))))))))</f>
        <v>0</v>
      </c>
      <c r="EK257" s="44" t="e">
        <f>VLOOKUP(Table1[Reason for Leaving],Lists!$T$2:$U$15,2,FALSE)</f>
        <v>#N/A</v>
      </c>
      <c r="EL257" s="44" t="e">
        <f>SUM(Table1[Data Leavers Date]+Table1[Data Move On])</f>
        <v>#N/A</v>
      </c>
      <c r="EM257" s="44" t="b">
        <f>IF(Table1[Registered with GP2]="Yes",1,IF(Table1[Registered with GP2]="No",0,IF(Table1[Registered with GP]="Yes",1,IF(Table1[Registered with GP]="No",0))))</f>
        <v>0</v>
      </c>
      <c r="EN257" s="44">
        <f>SUM(Table1[Data Leavers Date]+Table1[Data GP End])</f>
        <v>0</v>
      </c>
      <c r="EO257" s="44" t="str">
        <f>IF(Table1[EET2]="NEET",1,IF(Table1[EET2]="Employment",2,IF(Table1[EET2]="Education",2,IF(Table1[EET2]="Training",2,IF(Table1[EET2]="Retired",3,IF(Table1[EET]="NEET",1,IF(Table1[EET]="Employment",2,IF(Table1[EET]="Education",2,IF(Table1[EET]="Training",2,IF(Table1[EET]="Retired",3,""))))))))))</f>
        <v/>
      </c>
      <c r="EP257" s="44" t="e">
        <f>+Table1[[#This Row],[Data Leavers Date]]+Table1[[#This Row],[Data EET End]]</f>
        <v>#VALUE!</v>
      </c>
      <c r="EQ257" s="44">
        <f>IF(Table1[Exit Form Received]="Yes",1,0)</f>
        <v>0</v>
      </c>
      <c r="ER257" s="44">
        <f>+Table1[[#This Row],[Data Leavers Date]]+Table1[[#This Row],[Data Exit Forms]]</f>
        <v>0</v>
      </c>
      <c r="ES257" s="44" t="str">
        <f>IF(Table1[Data Leavers Date]=1000,SUM(Table1[Leaving Date]-Table1[Start Date]),"")</f>
        <v/>
      </c>
      <c r="ET257" s="44" t="str">
        <f>IF(Table1[Data Leavers Date]=2000,SUM(Table1[Leaving Date]-Table1[Start Date]),"")</f>
        <v/>
      </c>
      <c r="EU257" s="44" t="str">
        <f>IF(Table1[Data Leavers Date]=3000,SUM(Table1[Leaving Date]-Table1[Start Date]),"")</f>
        <v/>
      </c>
      <c r="EV257" s="44" t="str">
        <f>IF(Table1[Data Leavers Date]=4000,SUM(Table1[Leaving Date]-Table1[Start Date]),"")</f>
        <v/>
      </c>
      <c r="EW257" s="44" t="str">
        <f>IF(Table1[Data Leavers Date]=5000,SUM(Table1[Leaving Date]-Table1[Start Date]),"")</f>
        <v/>
      </c>
      <c r="EX257" s="44" t="str">
        <f>IF(Table1[Data Leavers Date]=6000,SUM(Table1[Leaving Date]-Table1[Start Date]),"")</f>
        <v/>
      </c>
      <c r="EY257" s="44" t="str">
        <f>IF(Table1[Data Leavers Date]=7000,SUM(Table1[Leaving Date]-Table1[Start Date]),"")</f>
        <v/>
      </c>
      <c r="EZ257" s="44" t="str">
        <f>IF(Table1[Data Leavers Date]=8000,SUM(Table1[Leaving Date]-Table1[Start Date]),"")</f>
        <v/>
      </c>
      <c r="FA257" s="44" t="str">
        <f>IF(Table1[Date of Initial Assessment]="","",IF(AND(Table1[Start Date]&gt;42094,Table1[Start Date]&lt;42461),Table1[Motivation and Taking Responsibility],""))</f>
        <v/>
      </c>
      <c r="FB257" s="44" t="str">
        <f>IF(Table1[Date of Initial Assessment]="","",IF(AND(Table1[Start Date]&gt;42094,Table1[Start Date]&lt;42461),Table1[Self-Care and Living Skills],""))</f>
        <v/>
      </c>
      <c r="FC257" s="44" t="str">
        <f>IF(Table1[Date of Initial Assessment]="","",IF(AND(Table1[Start Date]&gt;42094,Table1[Start Date]&lt;42461),Table1[Managing Money and Personal Administration],""))</f>
        <v/>
      </c>
      <c r="FD257" s="44" t="str">
        <f>IF(Table1[Date of Initial Assessment]="","",IF(AND(Table1[Start Date]&gt;42094,Table1[Start Date]&lt;42461),Table1[Social Networks and Relationships],""))</f>
        <v/>
      </c>
      <c r="FE257" s="44" t="str">
        <f>IF(Table1[Date of Initial Assessment]="","",IF(AND(Table1[Start Date]&gt;42094,Table1[Start Date]&lt;42461),Table1[Drug and Alcohol Misuse],""))</f>
        <v/>
      </c>
      <c r="FF257" s="44" t="str">
        <f>IF(Table1[Date of Initial Assessment]="","",IF(AND(Table1[Start Date]&gt;42094,Table1[Start Date]&lt;42461),Table1[Physical Health],""))</f>
        <v/>
      </c>
      <c r="FG257" s="44" t="str">
        <f>IF(Table1[Date of Initial Assessment]="","",IF(AND(Table1[Start Date]&gt;42094,Table1[Start Date]&lt;42461),Table1[Emotional and Mental Health],""))</f>
        <v/>
      </c>
      <c r="FH257" s="44" t="str">
        <f>IF(Table1[Date of Initial Assessment]="","",IF(AND(Table1[Start Date]&gt;42094,Table1[Start Date]&lt;42461),Table1[Meaningful Use of Time],""))</f>
        <v/>
      </c>
      <c r="FI257" s="44" t="str">
        <f>IF(Table1[Date of Initial Assessment]="","",IF(AND(Table1[Start Date]&gt;42094,Table1[Start Date]&lt;42461),Table1[Managing Tenancy and Accommodation],""))</f>
        <v/>
      </c>
      <c r="FJ257" s="44" t="str">
        <f>IF(Table1[Date of Initial Assessment]="","",IF(AND(Table1[Start Date]&gt;42094,Table1[Start Date]&lt;42461),Table1[Offending],""))</f>
        <v/>
      </c>
      <c r="FK257" s="44" t="str">
        <f>IF(Table1[Leaving Date]="","",IF(Table1[Date of Initial Assessment]="","",IF(AND(Table1[Leaving Date]&gt;42094,Table1[Leaving Date]&lt;42461),IF(Table1[Date of Last Assessment]="",Table1[Motivation and Taking Responsibility],Table1[Motivation and Taking Responsibility2]),"")))</f>
        <v/>
      </c>
      <c r="FL257" s="44" t="str">
        <f>IF(Table1[Leaving Date]="","",IF(Table1[Date of Initial Assessment]="","",IF(AND(Table1[Leaving Date]&gt;42094,Table1[Leaving Date]&lt;42461),IF(Table1[Date of Last Assessment]="",Table1[Self-Care and Living Skills],Table1[Self-Care and Living Skills2]),"")))</f>
        <v/>
      </c>
      <c r="FM257" s="44" t="str">
        <f>IF(Table1[Leaving Date]="","",IF(Table1[Date of Initial Assessment]="","",IF(AND(Table1[Leaving Date]&gt;42094,Table1[Leaving Date]&lt;42461),IF(Table1[Date of Last Assessment]="",Table1[Managing Money and Personal Administration],Table1[Managing Money and Personal Administration2]),"")))</f>
        <v/>
      </c>
      <c r="FN257" s="44" t="str">
        <f>IF(Table1[Leaving Date]="","",IF(Table1[Date of Initial Assessment]="","",IF(AND(Table1[Leaving Date]&gt;42094,Table1[Leaving Date]&lt;42461),IF(Table1[Date of Last Assessment]="",Table1[Social Networks and Relationships],Table1[Social Networks and Relationships2]),"")))</f>
        <v/>
      </c>
      <c r="FO257" s="44" t="str">
        <f>IF(Table1[Leaving Date]="","",IF(Table1[Date of Initial Assessment]="","",IF(AND(Table1[Leaving Date]&gt;42094,Table1[Leaving Date]&lt;42461),IF(Table1[Date of Last Assessment]="",Table1[Drug and Alcohol Misuse],Table1[Drug and Alcohol Misuse2]),"")))</f>
        <v/>
      </c>
      <c r="FP257" s="44" t="str">
        <f>IF(Table1[Leaving Date]="","",IF(Table1[Date of Initial Assessment]="","",IF(AND(Table1[Leaving Date]&gt;42094,Table1[Leaving Date]&lt;42461),IF(Table1[Date of Last Assessment]="",Table1[Physical Health],Table1[Physical Health2]),"")))</f>
        <v/>
      </c>
      <c r="FQ257" s="44" t="str">
        <f>IF(Table1[Leaving Date]="","",IF(Table1[Date of Initial Assessment]="","",IF(AND(Table1[Leaving Date]&gt;42094,Table1[Leaving Date]&lt;42461),IF(Table1[Date of Last Assessment]="",Table1[Emotional and Mental Health],Table1[Emotional and Mental Health2]),"")))</f>
        <v/>
      </c>
      <c r="FR257" s="44" t="str">
        <f>IF(Table1[Leaving Date]="","",IF(Table1[Date of Initial Assessment]="","",IF(AND(Table1[Leaving Date]&gt;42094,Table1[Leaving Date]&lt;42461),IF(Table1[Date of Last Assessment]="",Table1[Meaningful Use of Time],Table1[Meaningful Use of Time2]),"")))</f>
        <v/>
      </c>
      <c r="FS257" s="44" t="str">
        <f>IF(Table1[Leaving Date]="","",IF(Table1[Date of Initial Assessment]="","",IF(AND(Table1[Leaving Date]&gt;42094,Table1[Leaving Date]&lt;42461),IF(Table1[Date of Last Assessment]="",Table1[Managing Tenancy and Accommodation],Table1[Managing Tenancy and Accommodation2]),"")))</f>
        <v/>
      </c>
      <c r="FT257" s="44" t="str">
        <f>IF(Table1[Leaving Date]="","",IF(Table1[Date of Initial Assessment]="","",IF(AND(Table1[Leaving Date]&gt;42094,Table1[Leaving Date]&lt;42461),IF(Table1[Date of Last Assessment]="",Table1[Offending],Table1[Offending2]),"")))</f>
        <v/>
      </c>
      <c r="FU257" s="44" t="str">
        <f>IF(Table1[Date of Initial Assessment]="","",IF(AND(Table1[Start Date]&gt;42460,Table1[Start Date]&lt;42826),Table1[Motivation and Taking Responsibility],""))</f>
        <v/>
      </c>
      <c r="FV257" s="44" t="str">
        <f>IF(Table1[Date of Initial Assessment]="","",IF(AND(Table1[Start Date]&gt;42460,Table1[Start Date]&lt;42826),Table1[Self-Care and Living Skills],""))</f>
        <v/>
      </c>
      <c r="FW257" s="44" t="str">
        <f>IF(Table1[Date of Initial Assessment]="","",IF(AND(Table1[Start Date]&gt;42460,Table1[Start Date]&lt;42826),Table1[Managing Money and Personal Administration],""))</f>
        <v/>
      </c>
      <c r="FX257" s="44" t="str">
        <f>IF(Table1[Date of Initial Assessment]="","",IF(AND(Table1[Start Date]&gt;42460,Table1[Start Date]&lt;42826),Table1[Social Networks and Relationships],""))</f>
        <v/>
      </c>
      <c r="FY257" s="44" t="str">
        <f>IF(Table1[Date of Initial Assessment]="","",IF(AND(Table1[Start Date]&gt;42460,Table1[Start Date]&lt;42826),Table1[Drug and Alcohol Misuse],""))</f>
        <v/>
      </c>
      <c r="FZ257" s="44" t="str">
        <f>IF(Table1[Date of Initial Assessment]="","",IF(AND(Table1[Start Date]&gt;42460,Table1[Start Date]&lt;42826),Table1[Physical Health],""))</f>
        <v/>
      </c>
      <c r="GA257" s="44" t="str">
        <f>IF(Table1[Date of Initial Assessment]="","",IF(AND(Table1[Start Date]&gt;42460,Table1[Start Date]&lt;42826),Table1[Emotional and Mental Health],""))</f>
        <v/>
      </c>
      <c r="GB257" s="44" t="str">
        <f>IF(Table1[Date of Initial Assessment]="","",IF(AND(Table1[Start Date]&gt;42460,Table1[Start Date]&lt;42826),Table1[Meaningful Use of Time],""))</f>
        <v/>
      </c>
      <c r="GC257" s="44" t="str">
        <f>IF(Table1[Date of Initial Assessment]="","",IF(AND(Table1[Start Date]&gt;42460,Table1[Start Date]&lt;42826),Table1[Managing Tenancy and Accommodation],""))</f>
        <v/>
      </c>
      <c r="GD257" s="44" t="str">
        <f>IF(Table1[Date of Initial Assessment]="","",IF(AND(Table1[Start Date]&gt;42460,Table1[Start Date]&lt;42826),Table1[Offending],""))</f>
        <v/>
      </c>
      <c r="GE257" s="44" t="str">
        <f>IF(Table1[Leaving Date]="","",IF(AND(Table1[Leaving Date]&gt;42460,Table1[Leaving Date]&lt;42826),IF(Table1[Date of Last Assessment]="",Table1[Motivation and Taking Responsibility],Table1[Motivation and Taking Responsibility2]),""))</f>
        <v/>
      </c>
      <c r="GF257" s="44" t="str">
        <f>IF(Table1[Leaving Date]="","",IF(AND(Table1[Leaving Date]&gt;42460,Table1[Leaving Date]&lt;42826),IF(Table1[Date of Last Assessment]="",Table1[Self-Care and Living Skills],Table1[Self-Care and Living Skills2]),""))</f>
        <v/>
      </c>
      <c r="GG257" s="44" t="str">
        <f>IF(Table1[Leaving Date]="","",IF(AND(Table1[Leaving Date]&gt;42460,Table1[Leaving Date]&lt;42826),IF(Table1[Date of Last Assessment]="",Table1[Managing Money and Personal Administration],Table1[Managing Money and Personal Administration2]),""))</f>
        <v/>
      </c>
      <c r="GH257" s="44" t="str">
        <f>IF(Table1[Leaving Date]="","",IF(AND(Table1[Leaving Date]&gt;42460,Table1[Leaving Date]&lt;42826),IF(Table1[Date of Last Assessment]="",Table1[Social Networks and Relationships],Table1[Social Networks and Relationships2]),""))</f>
        <v/>
      </c>
      <c r="GI257" s="44" t="str">
        <f>IF(Table1[Leaving Date]="","",IF(AND(Table1[Leaving Date]&gt;42460,Table1[Leaving Date]&lt;42826),IF(Table1[Date of Last Assessment]="",Table1[Drug and Alcohol Misuse],Table1[Drug and Alcohol Misuse2]),""))</f>
        <v/>
      </c>
      <c r="GJ257" s="44" t="str">
        <f>IF(Table1[Leaving Date]="","",IF(AND(Table1[Leaving Date]&gt;42460,Table1[Leaving Date]&lt;42826),IF(Table1[Date of Last Assessment]="",Table1[Physical Health],Table1[Physical Health2]),""))</f>
        <v/>
      </c>
      <c r="GK257" s="44" t="str">
        <f>IF(Table1[Leaving Date]="","",IF(AND(Table1[Leaving Date]&gt;42460,Table1[Leaving Date]&lt;42826),IF(Table1[Date of Last Assessment]="",Table1[Emotional and Mental Health],Table1[Emotional and Mental Health2]),""))</f>
        <v/>
      </c>
      <c r="GL257" s="44" t="str">
        <f>IF(Table1[Leaving Date]="","",IF(AND(Table1[Leaving Date]&gt;42460,Table1[Leaving Date]&lt;42826),IF(Table1[Date of Last Assessment]="",Table1[Meaningful Use of Time],Table1[Meaningful Use of Time2]),""))</f>
        <v/>
      </c>
      <c r="GM257" s="44" t="str">
        <f>IF(Table1[Leaving Date]="","",IF(AND(Table1[Leaving Date]&gt;42460,Table1[Leaving Date]&lt;42826),IF(Table1[Date of Last Assessment]="",Table1[Managing Tenancy and Accommodation],Table1[Managing Tenancy and Accommodation2]),""))</f>
        <v/>
      </c>
      <c r="GN257" s="44" t="str">
        <f>IF(Table1[Leaving Date]="","",IF(AND(Table1[Leaving Date]&gt;42460,Table1[Leaving Date]&lt;42826),IF(Table1[Date of Last Assessment]="",Table1[Offending],Table1[Offending2]),""))</f>
        <v/>
      </c>
    </row>
    <row r="258" spans="2:196" ht="20.100000000000001" customHeight="1" x14ac:dyDescent="0.2">
      <c r="B258" s="86">
        <f>+'Service Data'!$C$5:$C$5</f>
        <v>0</v>
      </c>
      <c r="C258" s="86"/>
      <c r="D258" s="86"/>
      <c r="E258" s="86"/>
      <c r="F258" s="86"/>
      <c r="G258" s="86"/>
      <c r="H258" s="6"/>
      <c r="I258" s="99" t="str">
        <f ca="1">IF(Table1[[#This Row],[Date of Birth]]="","",SUM(TODAY()-Table1[[#This Row],[Date of Birth]])/365)</f>
        <v/>
      </c>
      <c r="L258" s="86"/>
      <c r="M258" s="77"/>
      <c r="N258" s="86"/>
      <c r="O258" s="86"/>
      <c r="P258" s="91"/>
      <c r="Q258" s="86"/>
      <c r="R258" s="77"/>
      <c r="S258" s="77"/>
      <c r="T258" s="68"/>
      <c r="U258" s="68"/>
      <c r="V258" s="67"/>
      <c r="W258" s="67"/>
      <c r="X258" s="67"/>
      <c r="Y258" s="67"/>
      <c r="Z258" s="67"/>
      <c r="AA258" s="67"/>
      <c r="AB258" s="67"/>
      <c r="AC258" s="67"/>
      <c r="AD258" s="67"/>
      <c r="AE258" s="67"/>
      <c r="AF258" s="67"/>
      <c r="AG258" s="67"/>
      <c r="AH258" s="67"/>
      <c r="AI258" s="67"/>
      <c r="AJ258" s="67"/>
      <c r="AK258" s="67"/>
      <c r="AL258" s="67"/>
      <c r="AM258" s="67"/>
      <c r="AN258" s="77"/>
      <c r="AO258" s="76"/>
      <c r="AP258" s="77"/>
      <c r="AQ258" s="76"/>
      <c r="AR258" s="76"/>
      <c r="AS258" s="76"/>
      <c r="AT258" s="76"/>
      <c r="AU258" s="76"/>
      <c r="AV258" s="77"/>
      <c r="AW258" s="76"/>
      <c r="AX258" s="77"/>
      <c r="AY258" s="76"/>
      <c r="AZ258" s="76"/>
      <c r="BA258" s="76"/>
      <c r="BB258" s="76"/>
      <c r="BC258" s="76"/>
      <c r="BD258" s="77"/>
      <c r="BE258" s="76"/>
      <c r="BF258" s="77"/>
      <c r="BG258" s="76"/>
      <c r="BH258" s="76"/>
      <c r="BI258" s="76"/>
      <c r="BJ258" s="76"/>
      <c r="BK258" s="76"/>
      <c r="BL258" s="77"/>
      <c r="BM258" s="76"/>
      <c r="BN258" s="77"/>
      <c r="BO258" s="76"/>
      <c r="BP258" s="76"/>
      <c r="BQ258" s="76"/>
      <c r="BR258" s="76"/>
      <c r="BS258" s="76"/>
      <c r="BT258" s="77"/>
      <c r="BU258" s="76"/>
      <c r="BV258" s="77"/>
      <c r="BW258" s="76"/>
      <c r="BX258" s="76"/>
      <c r="BY258" s="76"/>
      <c r="BZ258" s="76"/>
      <c r="CA258" s="76"/>
      <c r="CB258" s="77"/>
      <c r="CC258" s="76"/>
      <c r="CD258" s="77"/>
      <c r="CE258" s="76"/>
      <c r="CF258" s="76"/>
      <c r="CG258" s="76"/>
      <c r="CH258" s="76"/>
      <c r="CI258" s="76"/>
      <c r="CJ258" s="77"/>
      <c r="CK258" s="76"/>
      <c r="CL258" s="77"/>
      <c r="CM258" s="76"/>
      <c r="CN258" s="76"/>
      <c r="CO258" s="76"/>
      <c r="CP258" s="76"/>
      <c r="CQ258" s="76"/>
      <c r="CR258" s="78" t="str">
        <f t="shared" si="63"/>
        <v/>
      </c>
      <c r="CS258" s="79" t="str">
        <f t="shared" si="64"/>
        <v/>
      </c>
      <c r="CT258" s="79" t="str">
        <f t="shared" si="65"/>
        <v/>
      </c>
      <c r="CU258" s="79" t="str">
        <f t="shared" si="66"/>
        <v/>
      </c>
      <c r="CV258" s="79" t="str">
        <f t="shared" si="67"/>
        <v/>
      </c>
      <c r="CW258" s="79" t="str">
        <f t="shared" si="68"/>
        <v/>
      </c>
      <c r="CX258" s="79" t="str">
        <f t="shared" si="69"/>
        <v/>
      </c>
      <c r="CY258" s="79" t="str">
        <f t="shared" si="70"/>
        <v/>
      </c>
      <c r="CZ258" s="79" t="str">
        <f t="shared" si="71"/>
        <v/>
      </c>
      <c r="DA258" s="79" t="str">
        <f t="shared" si="72"/>
        <v/>
      </c>
      <c r="DB258" s="79" t="str">
        <f t="shared" si="73"/>
        <v/>
      </c>
      <c r="DC258" s="79" t="str">
        <f t="shared" si="74"/>
        <v/>
      </c>
      <c r="DD258" s="79" t="str">
        <f t="shared" si="75"/>
        <v/>
      </c>
      <c r="DE258" s="79" t="str">
        <f t="shared" si="76"/>
        <v/>
      </c>
      <c r="DF258" s="79" t="str">
        <f t="shared" si="77"/>
        <v/>
      </c>
      <c r="DG258" s="79" t="str">
        <f t="shared" si="78"/>
        <v/>
      </c>
      <c r="DH258" s="76"/>
      <c r="DI258" s="78"/>
      <c r="DJ258" s="76"/>
      <c r="DK258" s="77"/>
      <c r="DL258" s="77"/>
      <c r="DM258" s="77"/>
      <c r="DN258" s="80"/>
      <c r="DO258" s="80"/>
      <c r="DP258" s="92" t="str">
        <f>IF(Table1[Start Date]="","",IF(Table1[Start Date]&gt;42185,"",IF(AND(Table1[Leaving Date]&gt;1,Table1[Leaving Date]&lt;42095),"",1)))</f>
        <v/>
      </c>
      <c r="DQ258" s="92" t="str">
        <f>IF(Table1[Start Date]="","",IF(Table1[Start Date]&gt;42277,"",IF(AND(Table1[Leaving Date]&gt;1,Table1[Leaving Date]&lt;42186),"",1)))</f>
        <v/>
      </c>
      <c r="DR258" s="92" t="str">
        <f>IF(Table1[Start Date]="","",IF(Table1[Start Date]&gt;42369,"",IF(AND(Table1[Leaving Date]&gt;1,Table1[Leaving Date]&lt;42278),"",1)))</f>
        <v/>
      </c>
      <c r="DS258" s="92" t="str">
        <f>IF(Table1[Start Date]="","",IF(Table1[Start Date]&gt;42460,"",IF(AND(Table1[Leaving Date]&gt;1,Table1[Leaving Date]&lt;42370),"",1)))</f>
        <v/>
      </c>
      <c r="DT258" s="92" t="str">
        <f>IF(Table1[Start Date]="","",IF(Table1[Start Date]&gt;42551,"",IF(AND(Table1[Leaving Date]&gt;1,Table1[Leaving Date]&lt;42461),"",1)))</f>
        <v/>
      </c>
      <c r="DU258" s="92" t="str">
        <f>IF(Table1[Start Date]="","",IF(Table1[Start Date]&gt;42643,"",IF(AND(Table1[Leaving Date]&gt;1,Table1[Leaving Date]&lt;42552),"",1)))</f>
        <v/>
      </c>
      <c r="DV258" s="92" t="str">
        <f>IF(Table1[Start Date]="","",IF(Table1[Start Date]&gt;42735,"",IF(AND(Table1[Leaving Date]&gt;1,Table1[Leaving Date]&lt;42644),"",1)))</f>
        <v/>
      </c>
      <c r="DW258" s="92" t="str">
        <f>IF(Table1[Start Date]="","",IF(Table1[Start Date]&gt;42825,"",IF(AND(Table1[Leaving Date]&gt;1,Table1[Leaving Date]&lt;42736),"",1)))</f>
        <v/>
      </c>
      <c r="DX258"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258" s="44" t="e">
        <f>VLOOKUP(Table1[Referral Source],Lists!$G$2:$H$20,2,FALSE)</f>
        <v>#N/A</v>
      </c>
      <c r="DZ258" s="93" t="e">
        <f>SUM(Table1[Data Referral Quarter]+Table1[Data Referral Source])</f>
        <v>#N/A</v>
      </c>
      <c r="EA258" s="44" t="b">
        <f>IF(Table1[Referral Decision]="Accepted",100,IF(Table1[Referral Decision]="Rejected by Provider",200,IF(Table1[Referral Decision]="Rejected by Applicant",300)))</f>
        <v>0</v>
      </c>
      <c r="EB258" s="44">
        <f>SUM(Table1[Data Referral Quarter]+Table1[Data Referral Decision])</f>
        <v>0</v>
      </c>
      <c r="EC258" s="44" t="b">
        <f>IF(Table1[Start Date]&gt;42735,8000,IF(Table1[Start Date]&gt;42643,7000,IF(Table1[Start Date]&gt;42551,6000,IF(Table1[Start Date]&gt;42460,5000,IF(Table1[Start Date]&gt;42369,4000,IF(Table1[Start Date]&gt;42277,3000,IF(Table1[Start Date]&gt;42185,2000,IF(Table1[Start Date]&gt;42094,1000))))))))</f>
        <v>0</v>
      </c>
      <c r="ED258" s="44" t="str">
        <f>IF(Table1[Start Date]="","",IF(Table1[Current Local Authority]="Swindon",1,"2"))</f>
        <v/>
      </c>
      <c r="EE258" s="44" t="e">
        <f>SUM(Table1[Data Start Date]+Table1[Data Local Authority])</f>
        <v>#VALUE!</v>
      </c>
      <c r="EF258" s="44">
        <f>IF(Table1[Registered with GP]="Yes",1,0)</f>
        <v>0</v>
      </c>
      <c r="EG258" s="44">
        <f>SUM(Table1[Data Start Date]+Table1[Data GP Start])</f>
        <v>0</v>
      </c>
      <c r="EH258" s="44" t="str">
        <f>IF(Table1[EET]="NEET",1,IF(Table1[EET]="Education",2,IF(Table1[EET]="Employment",2,IF(Table1[EET]="Training",2,IF(Table1[EET]="Retired",3,"")))))</f>
        <v/>
      </c>
      <c r="EI258" s="44" t="e">
        <f>Table1[Data Start Date]+Table1[Data EET Start]</f>
        <v>#VALUE!</v>
      </c>
      <c r="EJ258" s="44" t="b">
        <f>IF(Table1[Leaving Date]&gt;42735,8000,IF(Table1[Leaving Date]&gt;42643,7000,IF(Table1[Leaving Date]&gt;42551,6000,IF(Table1[Leaving Date]&gt;42460,5000,IF(Table1[Leaving Date]&gt;42369,4000,IF(Table1[Leaving Date]&gt;42277,3000,IF(Table1[Leaving Date]&gt;42185,2000,IF(Table1[Leaving Date]&gt;42094,1000))))))))</f>
        <v>0</v>
      </c>
      <c r="EK258" s="44" t="e">
        <f>VLOOKUP(Table1[Reason for Leaving],Lists!$T$2:$U$15,2,FALSE)</f>
        <v>#N/A</v>
      </c>
      <c r="EL258" s="44" t="e">
        <f>SUM(Table1[Data Leavers Date]+Table1[Data Move On])</f>
        <v>#N/A</v>
      </c>
      <c r="EM258" s="44" t="b">
        <f>IF(Table1[Registered with GP2]="Yes",1,IF(Table1[Registered with GP2]="No",0,IF(Table1[Registered with GP]="Yes",1,IF(Table1[Registered with GP]="No",0))))</f>
        <v>0</v>
      </c>
      <c r="EN258" s="44">
        <f>SUM(Table1[Data Leavers Date]+Table1[Data GP End])</f>
        <v>0</v>
      </c>
      <c r="EO258" s="44" t="str">
        <f>IF(Table1[EET2]="NEET",1,IF(Table1[EET2]="Employment",2,IF(Table1[EET2]="Education",2,IF(Table1[EET2]="Training",2,IF(Table1[EET2]="Retired",3,IF(Table1[EET]="NEET",1,IF(Table1[EET]="Employment",2,IF(Table1[EET]="Education",2,IF(Table1[EET]="Training",2,IF(Table1[EET]="Retired",3,""))))))))))</f>
        <v/>
      </c>
      <c r="EP258" s="44" t="e">
        <f>+Table1[[#This Row],[Data Leavers Date]]+Table1[[#This Row],[Data EET End]]</f>
        <v>#VALUE!</v>
      </c>
      <c r="EQ258" s="44">
        <f>IF(Table1[Exit Form Received]="Yes",1,0)</f>
        <v>0</v>
      </c>
      <c r="ER258" s="44">
        <f>+Table1[[#This Row],[Data Leavers Date]]+Table1[[#This Row],[Data Exit Forms]]</f>
        <v>0</v>
      </c>
      <c r="ES258" s="44" t="str">
        <f>IF(Table1[Data Leavers Date]=1000,SUM(Table1[Leaving Date]-Table1[Start Date]),"")</f>
        <v/>
      </c>
      <c r="ET258" s="44" t="str">
        <f>IF(Table1[Data Leavers Date]=2000,SUM(Table1[Leaving Date]-Table1[Start Date]),"")</f>
        <v/>
      </c>
      <c r="EU258" s="44" t="str">
        <f>IF(Table1[Data Leavers Date]=3000,SUM(Table1[Leaving Date]-Table1[Start Date]),"")</f>
        <v/>
      </c>
      <c r="EV258" s="44" t="str">
        <f>IF(Table1[Data Leavers Date]=4000,SUM(Table1[Leaving Date]-Table1[Start Date]),"")</f>
        <v/>
      </c>
      <c r="EW258" s="44" t="str">
        <f>IF(Table1[Data Leavers Date]=5000,SUM(Table1[Leaving Date]-Table1[Start Date]),"")</f>
        <v/>
      </c>
      <c r="EX258" s="44" t="str">
        <f>IF(Table1[Data Leavers Date]=6000,SUM(Table1[Leaving Date]-Table1[Start Date]),"")</f>
        <v/>
      </c>
      <c r="EY258" s="44" t="str">
        <f>IF(Table1[Data Leavers Date]=7000,SUM(Table1[Leaving Date]-Table1[Start Date]),"")</f>
        <v/>
      </c>
      <c r="EZ258" s="44" t="str">
        <f>IF(Table1[Data Leavers Date]=8000,SUM(Table1[Leaving Date]-Table1[Start Date]),"")</f>
        <v/>
      </c>
      <c r="FA258" s="44" t="str">
        <f>IF(Table1[Date of Initial Assessment]="","",IF(AND(Table1[Start Date]&gt;42094,Table1[Start Date]&lt;42461),Table1[Motivation and Taking Responsibility],""))</f>
        <v/>
      </c>
      <c r="FB258" s="44" t="str">
        <f>IF(Table1[Date of Initial Assessment]="","",IF(AND(Table1[Start Date]&gt;42094,Table1[Start Date]&lt;42461),Table1[Self-Care and Living Skills],""))</f>
        <v/>
      </c>
      <c r="FC258" s="44" t="str">
        <f>IF(Table1[Date of Initial Assessment]="","",IF(AND(Table1[Start Date]&gt;42094,Table1[Start Date]&lt;42461),Table1[Managing Money and Personal Administration],""))</f>
        <v/>
      </c>
      <c r="FD258" s="44" t="str">
        <f>IF(Table1[Date of Initial Assessment]="","",IF(AND(Table1[Start Date]&gt;42094,Table1[Start Date]&lt;42461),Table1[Social Networks and Relationships],""))</f>
        <v/>
      </c>
      <c r="FE258" s="44" t="str">
        <f>IF(Table1[Date of Initial Assessment]="","",IF(AND(Table1[Start Date]&gt;42094,Table1[Start Date]&lt;42461),Table1[Drug and Alcohol Misuse],""))</f>
        <v/>
      </c>
      <c r="FF258" s="44" t="str">
        <f>IF(Table1[Date of Initial Assessment]="","",IF(AND(Table1[Start Date]&gt;42094,Table1[Start Date]&lt;42461),Table1[Physical Health],""))</f>
        <v/>
      </c>
      <c r="FG258" s="44" t="str">
        <f>IF(Table1[Date of Initial Assessment]="","",IF(AND(Table1[Start Date]&gt;42094,Table1[Start Date]&lt;42461),Table1[Emotional and Mental Health],""))</f>
        <v/>
      </c>
      <c r="FH258" s="44" t="str">
        <f>IF(Table1[Date of Initial Assessment]="","",IF(AND(Table1[Start Date]&gt;42094,Table1[Start Date]&lt;42461),Table1[Meaningful Use of Time],""))</f>
        <v/>
      </c>
      <c r="FI258" s="44" t="str">
        <f>IF(Table1[Date of Initial Assessment]="","",IF(AND(Table1[Start Date]&gt;42094,Table1[Start Date]&lt;42461),Table1[Managing Tenancy and Accommodation],""))</f>
        <v/>
      </c>
      <c r="FJ258" s="44" t="str">
        <f>IF(Table1[Date of Initial Assessment]="","",IF(AND(Table1[Start Date]&gt;42094,Table1[Start Date]&lt;42461),Table1[Offending],""))</f>
        <v/>
      </c>
      <c r="FK258" s="44" t="str">
        <f>IF(Table1[Leaving Date]="","",IF(Table1[Date of Initial Assessment]="","",IF(AND(Table1[Leaving Date]&gt;42094,Table1[Leaving Date]&lt;42461),IF(Table1[Date of Last Assessment]="",Table1[Motivation and Taking Responsibility],Table1[Motivation and Taking Responsibility2]),"")))</f>
        <v/>
      </c>
      <c r="FL258" s="44" t="str">
        <f>IF(Table1[Leaving Date]="","",IF(Table1[Date of Initial Assessment]="","",IF(AND(Table1[Leaving Date]&gt;42094,Table1[Leaving Date]&lt;42461),IF(Table1[Date of Last Assessment]="",Table1[Self-Care and Living Skills],Table1[Self-Care and Living Skills2]),"")))</f>
        <v/>
      </c>
      <c r="FM258" s="44" t="str">
        <f>IF(Table1[Leaving Date]="","",IF(Table1[Date of Initial Assessment]="","",IF(AND(Table1[Leaving Date]&gt;42094,Table1[Leaving Date]&lt;42461),IF(Table1[Date of Last Assessment]="",Table1[Managing Money and Personal Administration],Table1[Managing Money and Personal Administration2]),"")))</f>
        <v/>
      </c>
      <c r="FN258" s="44" t="str">
        <f>IF(Table1[Leaving Date]="","",IF(Table1[Date of Initial Assessment]="","",IF(AND(Table1[Leaving Date]&gt;42094,Table1[Leaving Date]&lt;42461),IF(Table1[Date of Last Assessment]="",Table1[Social Networks and Relationships],Table1[Social Networks and Relationships2]),"")))</f>
        <v/>
      </c>
      <c r="FO258" s="44" t="str">
        <f>IF(Table1[Leaving Date]="","",IF(Table1[Date of Initial Assessment]="","",IF(AND(Table1[Leaving Date]&gt;42094,Table1[Leaving Date]&lt;42461),IF(Table1[Date of Last Assessment]="",Table1[Drug and Alcohol Misuse],Table1[Drug and Alcohol Misuse2]),"")))</f>
        <v/>
      </c>
      <c r="FP258" s="44" t="str">
        <f>IF(Table1[Leaving Date]="","",IF(Table1[Date of Initial Assessment]="","",IF(AND(Table1[Leaving Date]&gt;42094,Table1[Leaving Date]&lt;42461),IF(Table1[Date of Last Assessment]="",Table1[Physical Health],Table1[Physical Health2]),"")))</f>
        <v/>
      </c>
      <c r="FQ258" s="44" t="str">
        <f>IF(Table1[Leaving Date]="","",IF(Table1[Date of Initial Assessment]="","",IF(AND(Table1[Leaving Date]&gt;42094,Table1[Leaving Date]&lt;42461),IF(Table1[Date of Last Assessment]="",Table1[Emotional and Mental Health],Table1[Emotional and Mental Health2]),"")))</f>
        <v/>
      </c>
      <c r="FR258" s="44" t="str">
        <f>IF(Table1[Leaving Date]="","",IF(Table1[Date of Initial Assessment]="","",IF(AND(Table1[Leaving Date]&gt;42094,Table1[Leaving Date]&lt;42461),IF(Table1[Date of Last Assessment]="",Table1[Meaningful Use of Time],Table1[Meaningful Use of Time2]),"")))</f>
        <v/>
      </c>
      <c r="FS258" s="44" t="str">
        <f>IF(Table1[Leaving Date]="","",IF(Table1[Date of Initial Assessment]="","",IF(AND(Table1[Leaving Date]&gt;42094,Table1[Leaving Date]&lt;42461),IF(Table1[Date of Last Assessment]="",Table1[Managing Tenancy and Accommodation],Table1[Managing Tenancy and Accommodation2]),"")))</f>
        <v/>
      </c>
      <c r="FT258" s="44" t="str">
        <f>IF(Table1[Leaving Date]="","",IF(Table1[Date of Initial Assessment]="","",IF(AND(Table1[Leaving Date]&gt;42094,Table1[Leaving Date]&lt;42461),IF(Table1[Date of Last Assessment]="",Table1[Offending],Table1[Offending2]),"")))</f>
        <v/>
      </c>
      <c r="FU258" s="44" t="str">
        <f>IF(Table1[Date of Initial Assessment]="","",IF(AND(Table1[Start Date]&gt;42460,Table1[Start Date]&lt;42826),Table1[Motivation and Taking Responsibility],""))</f>
        <v/>
      </c>
      <c r="FV258" s="44" t="str">
        <f>IF(Table1[Date of Initial Assessment]="","",IF(AND(Table1[Start Date]&gt;42460,Table1[Start Date]&lt;42826),Table1[Self-Care and Living Skills],""))</f>
        <v/>
      </c>
      <c r="FW258" s="44" t="str">
        <f>IF(Table1[Date of Initial Assessment]="","",IF(AND(Table1[Start Date]&gt;42460,Table1[Start Date]&lt;42826),Table1[Managing Money and Personal Administration],""))</f>
        <v/>
      </c>
      <c r="FX258" s="44" t="str">
        <f>IF(Table1[Date of Initial Assessment]="","",IF(AND(Table1[Start Date]&gt;42460,Table1[Start Date]&lt;42826),Table1[Social Networks and Relationships],""))</f>
        <v/>
      </c>
      <c r="FY258" s="44" t="str">
        <f>IF(Table1[Date of Initial Assessment]="","",IF(AND(Table1[Start Date]&gt;42460,Table1[Start Date]&lt;42826),Table1[Drug and Alcohol Misuse],""))</f>
        <v/>
      </c>
      <c r="FZ258" s="44" t="str">
        <f>IF(Table1[Date of Initial Assessment]="","",IF(AND(Table1[Start Date]&gt;42460,Table1[Start Date]&lt;42826),Table1[Physical Health],""))</f>
        <v/>
      </c>
      <c r="GA258" s="44" t="str">
        <f>IF(Table1[Date of Initial Assessment]="","",IF(AND(Table1[Start Date]&gt;42460,Table1[Start Date]&lt;42826),Table1[Emotional and Mental Health],""))</f>
        <v/>
      </c>
      <c r="GB258" s="44" t="str">
        <f>IF(Table1[Date of Initial Assessment]="","",IF(AND(Table1[Start Date]&gt;42460,Table1[Start Date]&lt;42826),Table1[Meaningful Use of Time],""))</f>
        <v/>
      </c>
      <c r="GC258" s="44" t="str">
        <f>IF(Table1[Date of Initial Assessment]="","",IF(AND(Table1[Start Date]&gt;42460,Table1[Start Date]&lt;42826),Table1[Managing Tenancy and Accommodation],""))</f>
        <v/>
      </c>
      <c r="GD258" s="44" t="str">
        <f>IF(Table1[Date of Initial Assessment]="","",IF(AND(Table1[Start Date]&gt;42460,Table1[Start Date]&lt;42826),Table1[Offending],""))</f>
        <v/>
      </c>
      <c r="GE258" s="44" t="str">
        <f>IF(Table1[Leaving Date]="","",IF(AND(Table1[Leaving Date]&gt;42460,Table1[Leaving Date]&lt;42826),IF(Table1[Date of Last Assessment]="",Table1[Motivation and Taking Responsibility],Table1[Motivation and Taking Responsibility2]),""))</f>
        <v/>
      </c>
      <c r="GF258" s="44" t="str">
        <f>IF(Table1[Leaving Date]="","",IF(AND(Table1[Leaving Date]&gt;42460,Table1[Leaving Date]&lt;42826),IF(Table1[Date of Last Assessment]="",Table1[Self-Care and Living Skills],Table1[Self-Care and Living Skills2]),""))</f>
        <v/>
      </c>
      <c r="GG258" s="44" t="str">
        <f>IF(Table1[Leaving Date]="","",IF(AND(Table1[Leaving Date]&gt;42460,Table1[Leaving Date]&lt;42826),IF(Table1[Date of Last Assessment]="",Table1[Managing Money and Personal Administration],Table1[Managing Money and Personal Administration2]),""))</f>
        <v/>
      </c>
      <c r="GH258" s="44" t="str">
        <f>IF(Table1[Leaving Date]="","",IF(AND(Table1[Leaving Date]&gt;42460,Table1[Leaving Date]&lt;42826),IF(Table1[Date of Last Assessment]="",Table1[Social Networks and Relationships],Table1[Social Networks and Relationships2]),""))</f>
        <v/>
      </c>
      <c r="GI258" s="44" t="str">
        <f>IF(Table1[Leaving Date]="","",IF(AND(Table1[Leaving Date]&gt;42460,Table1[Leaving Date]&lt;42826),IF(Table1[Date of Last Assessment]="",Table1[Drug and Alcohol Misuse],Table1[Drug and Alcohol Misuse2]),""))</f>
        <v/>
      </c>
      <c r="GJ258" s="44" t="str">
        <f>IF(Table1[Leaving Date]="","",IF(AND(Table1[Leaving Date]&gt;42460,Table1[Leaving Date]&lt;42826),IF(Table1[Date of Last Assessment]="",Table1[Physical Health],Table1[Physical Health2]),""))</f>
        <v/>
      </c>
      <c r="GK258" s="44" t="str">
        <f>IF(Table1[Leaving Date]="","",IF(AND(Table1[Leaving Date]&gt;42460,Table1[Leaving Date]&lt;42826),IF(Table1[Date of Last Assessment]="",Table1[Emotional and Mental Health],Table1[Emotional and Mental Health2]),""))</f>
        <v/>
      </c>
      <c r="GL258" s="44" t="str">
        <f>IF(Table1[Leaving Date]="","",IF(AND(Table1[Leaving Date]&gt;42460,Table1[Leaving Date]&lt;42826),IF(Table1[Date of Last Assessment]="",Table1[Meaningful Use of Time],Table1[Meaningful Use of Time2]),""))</f>
        <v/>
      </c>
      <c r="GM258" s="44" t="str">
        <f>IF(Table1[Leaving Date]="","",IF(AND(Table1[Leaving Date]&gt;42460,Table1[Leaving Date]&lt;42826),IF(Table1[Date of Last Assessment]="",Table1[Managing Tenancy and Accommodation],Table1[Managing Tenancy and Accommodation2]),""))</f>
        <v/>
      </c>
      <c r="GN258" s="44" t="str">
        <f>IF(Table1[Leaving Date]="","",IF(AND(Table1[Leaving Date]&gt;42460,Table1[Leaving Date]&lt;42826),IF(Table1[Date of Last Assessment]="",Table1[Offending],Table1[Offending2]),""))</f>
        <v/>
      </c>
    </row>
    <row r="259" spans="2:196" ht="20.100000000000001" customHeight="1" x14ac:dyDescent="0.2">
      <c r="B259" s="86">
        <f>+'Service Data'!$C$5:$C$5</f>
        <v>0</v>
      </c>
      <c r="C259" s="86"/>
      <c r="D259" s="86"/>
      <c r="E259" s="86"/>
      <c r="F259" s="86"/>
      <c r="G259" s="86"/>
      <c r="H259" s="6"/>
      <c r="I259" s="99" t="str">
        <f ca="1">IF(Table1[[#This Row],[Date of Birth]]="","",SUM(TODAY()-Table1[[#This Row],[Date of Birth]])/365)</f>
        <v/>
      </c>
      <c r="L259" s="86"/>
      <c r="M259" s="77"/>
      <c r="N259" s="86"/>
      <c r="O259" s="86"/>
      <c r="P259" s="91"/>
      <c r="Q259" s="86"/>
      <c r="R259" s="77"/>
      <c r="S259" s="77"/>
      <c r="T259" s="68"/>
      <c r="U259" s="68"/>
      <c r="V259" s="67"/>
      <c r="W259" s="67"/>
      <c r="X259" s="67"/>
      <c r="Y259" s="67"/>
      <c r="Z259" s="67"/>
      <c r="AA259" s="67"/>
      <c r="AB259" s="67"/>
      <c r="AC259" s="67"/>
      <c r="AD259" s="67"/>
      <c r="AE259" s="67"/>
      <c r="AF259" s="67"/>
      <c r="AG259" s="67"/>
      <c r="AH259" s="67"/>
      <c r="AI259" s="67"/>
      <c r="AJ259" s="67"/>
      <c r="AK259" s="67"/>
      <c r="AL259" s="67"/>
      <c r="AM259" s="67"/>
      <c r="AN259" s="77"/>
      <c r="AO259" s="76"/>
      <c r="AP259" s="77"/>
      <c r="AQ259" s="76"/>
      <c r="AR259" s="76"/>
      <c r="AS259" s="76"/>
      <c r="AT259" s="76"/>
      <c r="AU259" s="76"/>
      <c r="AV259" s="77"/>
      <c r="AW259" s="76"/>
      <c r="AX259" s="77"/>
      <c r="AY259" s="76"/>
      <c r="AZ259" s="76"/>
      <c r="BA259" s="76"/>
      <c r="BB259" s="76"/>
      <c r="BC259" s="76"/>
      <c r="BD259" s="77"/>
      <c r="BE259" s="76"/>
      <c r="BF259" s="77"/>
      <c r="BG259" s="76"/>
      <c r="BH259" s="76"/>
      <c r="BI259" s="76"/>
      <c r="BJ259" s="76"/>
      <c r="BK259" s="76"/>
      <c r="BL259" s="77"/>
      <c r="BM259" s="76"/>
      <c r="BN259" s="77"/>
      <c r="BO259" s="76"/>
      <c r="BP259" s="76"/>
      <c r="BQ259" s="76"/>
      <c r="BR259" s="76"/>
      <c r="BS259" s="76"/>
      <c r="BT259" s="77"/>
      <c r="BU259" s="76"/>
      <c r="BV259" s="77"/>
      <c r="BW259" s="76"/>
      <c r="BX259" s="76"/>
      <c r="BY259" s="76"/>
      <c r="BZ259" s="76"/>
      <c r="CA259" s="76"/>
      <c r="CB259" s="77"/>
      <c r="CC259" s="76"/>
      <c r="CD259" s="77"/>
      <c r="CE259" s="76"/>
      <c r="CF259" s="76"/>
      <c r="CG259" s="76"/>
      <c r="CH259" s="76"/>
      <c r="CI259" s="76"/>
      <c r="CJ259" s="77"/>
      <c r="CK259" s="76"/>
      <c r="CL259" s="77"/>
      <c r="CM259" s="76"/>
      <c r="CN259" s="76"/>
      <c r="CO259" s="76"/>
      <c r="CP259" s="76"/>
      <c r="CQ259" s="76"/>
      <c r="CR259" s="78" t="str">
        <f t="shared" si="63"/>
        <v/>
      </c>
      <c r="CS259" s="79" t="str">
        <f t="shared" si="64"/>
        <v/>
      </c>
      <c r="CT259" s="79" t="str">
        <f t="shared" si="65"/>
        <v/>
      </c>
      <c r="CU259" s="79" t="str">
        <f t="shared" si="66"/>
        <v/>
      </c>
      <c r="CV259" s="79" t="str">
        <f t="shared" si="67"/>
        <v/>
      </c>
      <c r="CW259" s="79" t="str">
        <f t="shared" si="68"/>
        <v/>
      </c>
      <c r="CX259" s="79" t="str">
        <f t="shared" si="69"/>
        <v/>
      </c>
      <c r="CY259" s="79" t="str">
        <f t="shared" si="70"/>
        <v/>
      </c>
      <c r="CZ259" s="79" t="str">
        <f t="shared" si="71"/>
        <v/>
      </c>
      <c r="DA259" s="79" t="str">
        <f t="shared" si="72"/>
        <v/>
      </c>
      <c r="DB259" s="79" t="str">
        <f t="shared" si="73"/>
        <v/>
      </c>
      <c r="DC259" s="79" t="str">
        <f t="shared" si="74"/>
        <v/>
      </c>
      <c r="DD259" s="79" t="str">
        <f t="shared" si="75"/>
        <v/>
      </c>
      <c r="DE259" s="79" t="str">
        <f t="shared" si="76"/>
        <v/>
      </c>
      <c r="DF259" s="79" t="str">
        <f t="shared" si="77"/>
        <v/>
      </c>
      <c r="DG259" s="79" t="str">
        <f t="shared" si="78"/>
        <v/>
      </c>
      <c r="DH259" s="76"/>
      <c r="DI259" s="78"/>
      <c r="DJ259" s="76"/>
      <c r="DK259" s="77"/>
      <c r="DL259" s="77"/>
      <c r="DM259" s="77"/>
      <c r="DN259" s="80"/>
      <c r="DO259" s="80"/>
      <c r="DP259" s="92" t="str">
        <f>IF(Table1[Start Date]="","",IF(Table1[Start Date]&gt;42185,"",IF(AND(Table1[Leaving Date]&gt;1,Table1[Leaving Date]&lt;42095),"",1)))</f>
        <v/>
      </c>
      <c r="DQ259" s="92" t="str">
        <f>IF(Table1[Start Date]="","",IF(Table1[Start Date]&gt;42277,"",IF(AND(Table1[Leaving Date]&gt;1,Table1[Leaving Date]&lt;42186),"",1)))</f>
        <v/>
      </c>
      <c r="DR259" s="92" t="str">
        <f>IF(Table1[Start Date]="","",IF(Table1[Start Date]&gt;42369,"",IF(AND(Table1[Leaving Date]&gt;1,Table1[Leaving Date]&lt;42278),"",1)))</f>
        <v/>
      </c>
      <c r="DS259" s="92" t="str">
        <f>IF(Table1[Start Date]="","",IF(Table1[Start Date]&gt;42460,"",IF(AND(Table1[Leaving Date]&gt;1,Table1[Leaving Date]&lt;42370),"",1)))</f>
        <v/>
      </c>
      <c r="DT259" s="92" t="str">
        <f>IF(Table1[Start Date]="","",IF(Table1[Start Date]&gt;42551,"",IF(AND(Table1[Leaving Date]&gt;1,Table1[Leaving Date]&lt;42461),"",1)))</f>
        <v/>
      </c>
      <c r="DU259" s="92" t="str">
        <f>IF(Table1[Start Date]="","",IF(Table1[Start Date]&gt;42643,"",IF(AND(Table1[Leaving Date]&gt;1,Table1[Leaving Date]&lt;42552),"",1)))</f>
        <v/>
      </c>
      <c r="DV259" s="92" t="str">
        <f>IF(Table1[Start Date]="","",IF(Table1[Start Date]&gt;42735,"",IF(AND(Table1[Leaving Date]&gt;1,Table1[Leaving Date]&lt;42644),"",1)))</f>
        <v/>
      </c>
      <c r="DW259" s="92" t="str">
        <f>IF(Table1[Start Date]="","",IF(Table1[Start Date]&gt;42825,"",IF(AND(Table1[Leaving Date]&gt;1,Table1[Leaving Date]&lt;42736),"",1)))</f>
        <v/>
      </c>
      <c r="DX259"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259" s="44" t="e">
        <f>VLOOKUP(Table1[Referral Source],Lists!$G$2:$H$20,2,FALSE)</f>
        <v>#N/A</v>
      </c>
      <c r="DZ259" s="93" t="e">
        <f>SUM(Table1[Data Referral Quarter]+Table1[Data Referral Source])</f>
        <v>#N/A</v>
      </c>
      <c r="EA259" s="44" t="b">
        <f>IF(Table1[Referral Decision]="Accepted",100,IF(Table1[Referral Decision]="Rejected by Provider",200,IF(Table1[Referral Decision]="Rejected by Applicant",300)))</f>
        <v>0</v>
      </c>
      <c r="EB259" s="44">
        <f>SUM(Table1[Data Referral Quarter]+Table1[Data Referral Decision])</f>
        <v>0</v>
      </c>
      <c r="EC259" s="44" t="b">
        <f>IF(Table1[Start Date]&gt;42735,8000,IF(Table1[Start Date]&gt;42643,7000,IF(Table1[Start Date]&gt;42551,6000,IF(Table1[Start Date]&gt;42460,5000,IF(Table1[Start Date]&gt;42369,4000,IF(Table1[Start Date]&gt;42277,3000,IF(Table1[Start Date]&gt;42185,2000,IF(Table1[Start Date]&gt;42094,1000))))))))</f>
        <v>0</v>
      </c>
      <c r="ED259" s="44" t="str">
        <f>IF(Table1[Start Date]="","",IF(Table1[Current Local Authority]="Swindon",1,"2"))</f>
        <v/>
      </c>
      <c r="EE259" s="44" t="e">
        <f>SUM(Table1[Data Start Date]+Table1[Data Local Authority])</f>
        <v>#VALUE!</v>
      </c>
      <c r="EF259" s="44">
        <f>IF(Table1[Registered with GP]="Yes",1,0)</f>
        <v>0</v>
      </c>
      <c r="EG259" s="44">
        <f>SUM(Table1[Data Start Date]+Table1[Data GP Start])</f>
        <v>0</v>
      </c>
      <c r="EH259" s="44" t="str">
        <f>IF(Table1[EET]="NEET",1,IF(Table1[EET]="Education",2,IF(Table1[EET]="Employment",2,IF(Table1[EET]="Training",2,IF(Table1[EET]="Retired",3,"")))))</f>
        <v/>
      </c>
      <c r="EI259" s="44" t="e">
        <f>Table1[Data Start Date]+Table1[Data EET Start]</f>
        <v>#VALUE!</v>
      </c>
      <c r="EJ259" s="44" t="b">
        <f>IF(Table1[Leaving Date]&gt;42735,8000,IF(Table1[Leaving Date]&gt;42643,7000,IF(Table1[Leaving Date]&gt;42551,6000,IF(Table1[Leaving Date]&gt;42460,5000,IF(Table1[Leaving Date]&gt;42369,4000,IF(Table1[Leaving Date]&gt;42277,3000,IF(Table1[Leaving Date]&gt;42185,2000,IF(Table1[Leaving Date]&gt;42094,1000))))))))</f>
        <v>0</v>
      </c>
      <c r="EK259" s="44" t="e">
        <f>VLOOKUP(Table1[Reason for Leaving],Lists!$T$2:$U$15,2,FALSE)</f>
        <v>#N/A</v>
      </c>
      <c r="EL259" s="44" t="e">
        <f>SUM(Table1[Data Leavers Date]+Table1[Data Move On])</f>
        <v>#N/A</v>
      </c>
      <c r="EM259" s="44" t="b">
        <f>IF(Table1[Registered with GP2]="Yes",1,IF(Table1[Registered with GP2]="No",0,IF(Table1[Registered with GP]="Yes",1,IF(Table1[Registered with GP]="No",0))))</f>
        <v>0</v>
      </c>
      <c r="EN259" s="44">
        <f>SUM(Table1[Data Leavers Date]+Table1[Data GP End])</f>
        <v>0</v>
      </c>
      <c r="EO259" s="44" t="str">
        <f>IF(Table1[EET2]="NEET",1,IF(Table1[EET2]="Employment",2,IF(Table1[EET2]="Education",2,IF(Table1[EET2]="Training",2,IF(Table1[EET2]="Retired",3,IF(Table1[EET]="NEET",1,IF(Table1[EET]="Employment",2,IF(Table1[EET]="Education",2,IF(Table1[EET]="Training",2,IF(Table1[EET]="Retired",3,""))))))))))</f>
        <v/>
      </c>
      <c r="EP259" s="44" t="e">
        <f>+Table1[[#This Row],[Data Leavers Date]]+Table1[[#This Row],[Data EET End]]</f>
        <v>#VALUE!</v>
      </c>
      <c r="EQ259" s="44">
        <f>IF(Table1[Exit Form Received]="Yes",1,0)</f>
        <v>0</v>
      </c>
      <c r="ER259" s="44">
        <f>+Table1[[#This Row],[Data Leavers Date]]+Table1[[#This Row],[Data Exit Forms]]</f>
        <v>0</v>
      </c>
      <c r="ES259" s="44" t="str">
        <f>IF(Table1[Data Leavers Date]=1000,SUM(Table1[Leaving Date]-Table1[Start Date]),"")</f>
        <v/>
      </c>
      <c r="ET259" s="44" t="str">
        <f>IF(Table1[Data Leavers Date]=2000,SUM(Table1[Leaving Date]-Table1[Start Date]),"")</f>
        <v/>
      </c>
      <c r="EU259" s="44" t="str">
        <f>IF(Table1[Data Leavers Date]=3000,SUM(Table1[Leaving Date]-Table1[Start Date]),"")</f>
        <v/>
      </c>
      <c r="EV259" s="44" t="str">
        <f>IF(Table1[Data Leavers Date]=4000,SUM(Table1[Leaving Date]-Table1[Start Date]),"")</f>
        <v/>
      </c>
      <c r="EW259" s="44" t="str">
        <f>IF(Table1[Data Leavers Date]=5000,SUM(Table1[Leaving Date]-Table1[Start Date]),"")</f>
        <v/>
      </c>
      <c r="EX259" s="44" t="str">
        <f>IF(Table1[Data Leavers Date]=6000,SUM(Table1[Leaving Date]-Table1[Start Date]),"")</f>
        <v/>
      </c>
      <c r="EY259" s="44" t="str">
        <f>IF(Table1[Data Leavers Date]=7000,SUM(Table1[Leaving Date]-Table1[Start Date]),"")</f>
        <v/>
      </c>
      <c r="EZ259" s="44" t="str">
        <f>IF(Table1[Data Leavers Date]=8000,SUM(Table1[Leaving Date]-Table1[Start Date]),"")</f>
        <v/>
      </c>
      <c r="FA259" s="44" t="str">
        <f>IF(Table1[Date of Initial Assessment]="","",IF(AND(Table1[Start Date]&gt;42094,Table1[Start Date]&lt;42461),Table1[Motivation and Taking Responsibility],""))</f>
        <v/>
      </c>
      <c r="FB259" s="44" t="str">
        <f>IF(Table1[Date of Initial Assessment]="","",IF(AND(Table1[Start Date]&gt;42094,Table1[Start Date]&lt;42461),Table1[Self-Care and Living Skills],""))</f>
        <v/>
      </c>
      <c r="FC259" s="44" t="str">
        <f>IF(Table1[Date of Initial Assessment]="","",IF(AND(Table1[Start Date]&gt;42094,Table1[Start Date]&lt;42461),Table1[Managing Money and Personal Administration],""))</f>
        <v/>
      </c>
      <c r="FD259" s="44" t="str">
        <f>IF(Table1[Date of Initial Assessment]="","",IF(AND(Table1[Start Date]&gt;42094,Table1[Start Date]&lt;42461),Table1[Social Networks and Relationships],""))</f>
        <v/>
      </c>
      <c r="FE259" s="44" t="str">
        <f>IF(Table1[Date of Initial Assessment]="","",IF(AND(Table1[Start Date]&gt;42094,Table1[Start Date]&lt;42461),Table1[Drug and Alcohol Misuse],""))</f>
        <v/>
      </c>
      <c r="FF259" s="44" t="str">
        <f>IF(Table1[Date of Initial Assessment]="","",IF(AND(Table1[Start Date]&gt;42094,Table1[Start Date]&lt;42461),Table1[Physical Health],""))</f>
        <v/>
      </c>
      <c r="FG259" s="44" t="str">
        <f>IF(Table1[Date of Initial Assessment]="","",IF(AND(Table1[Start Date]&gt;42094,Table1[Start Date]&lt;42461),Table1[Emotional and Mental Health],""))</f>
        <v/>
      </c>
      <c r="FH259" s="44" t="str">
        <f>IF(Table1[Date of Initial Assessment]="","",IF(AND(Table1[Start Date]&gt;42094,Table1[Start Date]&lt;42461),Table1[Meaningful Use of Time],""))</f>
        <v/>
      </c>
      <c r="FI259" s="44" t="str">
        <f>IF(Table1[Date of Initial Assessment]="","",IF(AND(Table1[Start Date]&gt;42094,Table1[Start Date]&lt;42461),Table1[Managing Tenancy and Accommodation],""))</f>
        <v/>
      </c>
      <c r="FJ259" s="44" t="str">
        <f>IF(Table1[Date of Initial Assessment]="","",IF(AND(Table1[Start Date]&gt;42094,Table1[Start Date]&lt;42461),Table1[Offending],""))</f>
        <v/>
      </c>
      <c r="FK259" s="44" t="str">
        <f>IF(Table1[Leaving Date]="","",IF(Table1[Date of Initial Assessment]="","",IF(AND(Table1[Leaving Date]&gt;42094,Table1[Leaving Date]&lt;42461),IF(Table1[Date of Last Assessment]="",Table1[Motivation and Taking Responsibility],Table1[Motivation and Taking Responsibility2]),"")))</f>
        <v/>
      </c>
      <c r="FL259" s="44" t="str">
        <f>IF(Table1[Leaving Date]="","",IF(Table1[Date of Initial Assessment]="","",IF(AND(Table1[Leaving Date]&gt;42094,Table1[Leaving Date]&lt;42461),IF(Table1[Date of Last Assessment]="",Table1[Self-Care and Living Skills],Table1[Self-Care and Living Skills2]),"")))</f>
        <v/>
      </c>
      <c r="FM259" s="44" t="str">
        <f>IF(Table1[Leaving Date]="","",IF(Table1[Date of Initial Assessment]="","",IF(AND(Table1[Leaving Date]&gt;42094,Table1[Leaving Date]&lt;42461),IF(Table1[Date of Last Assessment]="",Table1[Managing Money and Personal Administration],Table1[Managing Money and Personal Administration2]),"")))</f>
        <v/>
      </c>
      <c r="FN259" s="44" t="str">
        <f>IF(Table1[Leaving Date]="","",IF(Table1[Date of Initial Assessment]="","",IF(AND(Table1[Leaving Date]&gt;42094,Table1[Leaving Date]&lt;42461),IF(Table1[Date of Last Assessment]="",Table1[Social Networks and Relationships],Table1[Social Networks and Relationships2]),"")))</f>
        <v/>
      </c>
      <c r="FO259" s="44" t="str">
        <f>IF(Table1[Leaving Date]="","",IF(Table1[Date of Initial Assessment]="","",IF(AND(Table1[Leaving Date]&gt;42094,Table1[Leaving Date]&lt;42461),IF(Table1[Date of Last Assessment]="",Table1[Drug and Alcohol Misuse],Table1[Drug and Alcohol Misuse2]),"")))</f>
        <v/>
      </c>
      <c r="FP259" s="44" t="str">
        <f>IF(Table1[Leaving Date]="","",IF(Table1[Date of Initial Assessment]="","",IF(AND(Table1[Leaving Date]&gt;42094,Table1[Leaving Date]&lt;42461),IF(Table1[Date of Last Assessment]="",Table1[Physical Health],Table1[Physical Health2]),"")))</f>
        <v/>
      </c>
      <c r="FQ259" s="44" t="str">
        <f>IF(Table1[Leaving Date]="","",IF(Table1[Date of Initial Assessment]="","",IF(AND(Table1[Leaving Date]&gt;42094,Table1[Leaving Date]&lt;42461),IF(Table1[Date of Last Assessment]="",Table1[Emotional and Mental Health],Table1[Emotional and Mental Health2]),"")))</f>
        <v/>
      </c>
      <c r="FR259" s="44" t="str">
        <f>IF(Table1[Leaving Date]="","",IF(Table1[Date of Initial Assessment]="","",IF(AND(Table1[Leaving Date]&gt;42094,Table1[Leaving Date]&lt;42461),IF(Table1[Date of Last Assessment]="",Table1[Meaningful Use of Time],Table1[Meaningful Use of Time2]),"")))</f>
        <v/>
      </c>
      <c r="FS259" s="44" t="str">
        <f>IF(Table1[Leaving Date]="","",IF(Table1[Date of Initial Assessment]="","",IF(AND(Table1[Leaving Date]&gt;42094,Table1[Leaving Date]&lt;42461),IF(Table1[Date of Last Assessment]="",Table1[Managing Tenancy and Accommodation],Table1[Managing Tenancy and Accommodation2]),"")))</f>
        <v/>
      </c>
      <c r="FT259" s="44" t="str">
        <f>IF(Table1[Leaving Date]="","",IF(Table1[Date of Initial Assessment]="","",IF(AND(Table1[Leaving Date]&gt;42094,Table1[Leaving Date]&lt;42461),IF(Table1[Date of Last Assessment]="",Table1[Offending],Table1[Offending2]),"")))</f>
        <v/>
      </c>
      <c r="FU259" s="44" t="str">
        <f>IF(Table1[Date of Initial Assessment]="","",IF(AND(Table1[Start Date]&gt;42460,Table1[Start Date]&lt;42826),Table1[Motivation and Taking Responsibility],""))</f>
        <v/>
      </c>
      <c r="FV259" s="44" t="str">
        <f>IF(Table1[Date of Initial Assessment]="","",IF(AND(Table1[Start Date]&gt;42460,Table1[Start Date]&lt;42826),Table1[Self-Care and Living Skills],""))</f>
        <v/>
      </c>
      <c r="FW259" s="44" t="str">
        <f>IF(Table1[Date of Initial Assessment]="","",IF(AND(Table1[Start Date]&gt;42460,Table1[Start Date]&lt;42826),Table1[Managing Money and Personal Administration],""))</f>
        <v/>
      </c>
      <c r="FX259" s="44" t="str">
        <f>IF(Table1[Date of Initial Assessment]="","",IF(AND(Table1[Start Date]&gt;42460,Table1[Start Date]&lt;42826),Table1[Social Networks and Relationships],""))</f>
        <v/>
      </c>
      <c r="FY259" s="44" t="str">
        <f>IF(Table1[Date of Initial Assessment]="","",IF(AND(Table1[Start Date]&gt;42460,Table1[Start Date]&lt;42826),Table1[Drug and Alcohol Misuse],""))</f>
        <v/>
      </c>
      <c r="FZ259" s="44" t="str">
        <f>IF(Table1[Date of Initial Assessment]="","",IF(AND(Table1[Start Date]&gt;42460,Table1[Start Date]&lt;42826),Table1[Physical Health],""))</f>
        <v/>
      </c>
      <c r="GA259" s="44" t="str">
        <f>IF(Table1[Date of Initial Assessment]="","",IF(AND(Table1[Start Date]&gt;42460,Table1[Start Date]&lt;42826),Table1[Emotional and Mental Health],""))</f>
        <v/>
      </c>
      <c r="GB259" s="44" t="str">
        <f>IF(Table1[Date of Initial Assessment]="","",IF(AND(Table1[Start Date]&gt;42460,Table1[Start Date]&lt;42826),Table1[Meaningful Use of Time],""))</f>
        <v/>
      </c>
      <c r="GC259" s="44" t="str">
        <f>IF(Table1[Date of Initial Assessment]="","",IF(AND(Table1[Start Date]&gt;42460,Table1[Start Date]&lt;42826),Table1[Managing Tenancy and Accommodation],""))</f>
        <v/>
      </c>
      <c r="GD259" s="44" t="str">
        <f>IF(Table1[Date of Initial Assessment]="","",IF(AND(Table1[Start Date]&gt;42460,Table1[Start Date]&lt;42826),Table1[Offending],""))</f>
        <v/>
      </c>
      <c r="GE259" s="44" t="str">
        <f>IF(Table1[Leaving Date]="","",IF(AND(Table1[Leaving Date]&gt;42460,Table1[Leaving Date]&lt;42826),IF(Table1[Date of Last Assessment]="",Table1[Motivation and Taking Responsibility],Table1[Motivation and Taking Responsibility2]),""))</f>
        <v/>
      </c>
      <c r="GF259" s="44" t="str">
        <f>IF(Table1[Leaving Date]="","",IF(AND(Table1[Leaving Date]&gt;42460,Table1[Leaving Date]&lt;42826),IF(Table1[Date of Last Assessment]="",Table1[Self-Care and Living Skills],Table1[Self-Care and Living Skills2]),""))</f>
        <v/>
      </c>
      <c r="GG259" s="44" t="str">
        <f>IF(Table1[Leaving Date]="","",IF(AND(Table1[Leaving Date]&gt;42460,Table1[Leaving Date]&lt;42826),IF(Table1[Date of Last Assessment]="",Table1[Managing Money and Personal Administration],Table1[Managing Money and Personal Administration2]),""))</f>
        <v/>
      </c>
      <c r="GH259" s="44" t="str">
        <f>IF(Table1[Leaving Date]="","",IF(AND(Table1[Leaving Date]&gt;42460,Table1[Leaving Date]&lt;42826),IF(Table1[Date of Last Assessment]="",Table1[Social Networks and Relationships],Table1[Social Networks and Relationships2]),""))</f>
        <v/>
      </c>
      <c r="GI259" s="44" t="str">
        <f>IF(Table1[Leaving Date]="","",IF(AND(Table1[Leaving Date]&gt;42460,Table1[Leaving Date]&lt;42826),IF(Table1[Date of Last Assessment]="",Table1[Drug and Alcohol Misuse],Table1[Drug and Alcohol Misuse2]),""))</f>
        <v/>
      </c>
      <c r="GJ259" s="44" t="str">
        <f>IF(Table1[Leaving Date]="","",IF(AND(Table1[Leaving Date]&gt;42460,Table1[Leaving Date]&lt;42826),IF(Table1[Date of Last Assessment]="",Table1[Physical Health],Table1[Physical Health2]),""))</f>
        <v/>
      </c>
      <c r="GK259" s="44" t="str">
        <f>IF(Table1[Leaving Date]="","",IF(AND(Table1[Leaving Date]&gt;42460,Table1[Leaving Date]&lt;42826),IF(Table1[Date of Last Assessment]="",Table1[Emotional and Mental Health],Table1[Emotional and Mental Health2]),""))</f>
        <v/>
      </c>
      <c r="GL259" s="44" t="str">
        <f>IF(Table1[Leaving Date]="","",IF(AND(Table1[Leaving Date]&gt;42460,Table1[Leaving Date]&lt;42826),IF(Table1[Date of Last Assessment]="",Table1[Meaningful Use of Time],Table1[Meaningful Use of Time2]),""))</f>
        <v/>
      </c>
      <c r="GM259" s="44" t="str">
        <f>IF(Table1[Leaving Date]="","",IF(AND(Table1[Leaving Date]&gt;42460,Table1[Leaving Date]&lt;42826),IF(Table1[Date of Last Assessment]="",Table1[Managing Tenancy and Accommodation],Table1[Managing Tenancy and Accommodation2]),""))</f>
        <v/>
      </c>
      <c r="GN259" s="44" t="str">
        <f>IF(Table1[Leaving Date]="","",IF(AND(Table1[Leaving Date]&gt;42460,Table1[Leaving Date]&lt;42826),IF(Table1[Date of Last Assessment]="",Table1[Offending],Table1[Offending2]),""))</f>
        <v/>
      </c>
    </row>
    <row r="260" spans="2:196" ht="20.100000000000001" customHeight="1" x14ac:dyDescent="0.2">
      <c r="B260" s="86">
        <f>+'Service Data'!$C$5:$C$5</f>
        <v>0</v>
      </c>
      <c r="C260" s="86"/>
      <c r="D260" s="86"/>
      <c r="E260" s="86"/>
      <c r="F260" s="86"/>
      <c r="G260" s="86"/>
      <c r="H260" s="6"/>
      <c r="I260" s="99" t="str">
        <f ca="1">IF(Table1[[#This Row],[Date of Birth]]="","",SUM(TODAY()-Table1[[#This Row],[Date of Birth]])/365)</f>
        <v/>
      </c>
      <c r="L260" s="86"/>
      <c r="M260" s="77"/>
      <c r="N260" s="86"/>
      <c r="O260" s="86"/>
      <c r="P260" s="91"/>
      <c r="Q260" s="86"/>
      <c r="R260" s="77"/>
      <c r="S260" s="77"/>
      <c r="T260" s="68"/>
      <c r="U260" s="68"/>
      <c r="V260" s="67"/>
      <c r="W260" s="67"/>
      <c r="X260" s="67"/>
      <c r="Y260" s="67"/>
      <c r="Z260" s="67"/>
      <c r="AA260" s="67"/>
      <c r="AB260" s="67"/>
      <c r="AC260" s="67"/>
      <c r="AD260" s="67"/>
      <c r="AE260" s="67"/>
      <c r="AF260" s="67"/>
      <c r="AG260" s="67"/>
      <c r="AH260" s="67"/>
      <c r="AI260" s="67"/>
      <c r="AJ260" s="67"/>
      <c r="AK260" s="67"/>
      <c r="AL260" s="67"/>
      <c r="AM260" s="67"/>
      <c r="AN260" s="77"/>
      <c r="AO260" s="76"/>
      <c r="AP260" s="77"/>
      <c r="AQ260" s="76"/>
      <c r="AR260" s="76"/>
      <c r="AS260" s="76"/>
      <c r="AT260" s="76"/>
      <c r="AU260" s="76"/>
      <c r="AV260" s="77"/>
      <c r="AW260" s="76"/>
      <c r="AX260" s="77"/>
      <c r="AY260" s="76"/>
      <c r="AZ260" s="76"/>
      <c r="BA260" s="76"/>
      <c r="BB260" s="76"/>
      <c r="BC260" s="76"/>
      <c r="BD260" s="77"/>
      <c r="BE260" s="76"/>
      <c r="BF260" s="77"/>
      <c r="BG260" s="76"/>
      <c r="BH260" s="76"/>
      <c r="BI260" s="76"/>
      <c r="BJ260" s="76"/>
      <c r="BK260" s="76"/>
      <c r="BL260" s="77"/>
      <c r="BM260" s="76"/>
      <c r="BN260" s="77"/>
      <c r="BO260" s="76"/>
      <c r="BP260" s="76"/>
      <c r="BQ260" s="76"/>
      <c r="BR260" s="76"/>
      <c r="BS260" s="76"/>
      <c r="BT260" s="77"/>
      <c r="BU260" s="76"/>
      <c r="BV260" s="77"/>
      <c r="BW260" s="76"/>
      <c r="BX260" s="76"/>
      <c r="BY260" s="76"/>
      <c r="BZ260" s="76"/>
      <c r="CA260" s="76"/>
      <c r="CB260" s="77"/>
      <c r="CC260" s="76"/>
      <c r="CD260" s="77"/>
      <c r="CE260" s="76"/>
      <c r="CF260" s="76"/>
      <c r="CG260" s="76"/>
      <c r="CH260" s="76"/>
      <c r="CI260" s="76"/>
      <c r="CJ260" s="77"/>
      <c r="CK260" s="76"/>
      <c r="CL260" s="77"/>
      <c r="CM260" s="76"/>
      <c r="CN260" s="76"/>
      <c r="CO260" s="76"/>
      <c r="CP260" s="76"/>
      <c r="CQ260" s="76"/>
      <c r="CR260" s="78" t="str">
        <f t="shared" ref="CR260:CR323" si="79">IF(U260="","",U260)</f>
        <v/>
      </c>
      <c r="CS260" s="79" t="str">
        <f t="shared" ref="CS260:CS323" si="80">IF(V260="","",V260)</f>
        <v/>
      </c>
      <c r="CT260" s="79" t="str">
        <f t="shared" ref="CT260:CT323" si="81">IF(W260="","",W260)</f>
        <v/>
      </c>
      <c r="CU260" s="79" t="str">
        <f t="shared" ref="CU260:CU323" si="82">IF(X260="","",X260)</f>
        <v/>
      </c>
      <c r="CV260" s="79" t="str">
        <f t="shared" ref="CV260:CV323" si="83">IF(Y260="","",Y260)</f>
        <v/>
      </c>
      <c r="CW260" s="79" t="str">
        <f t="shared" ref="CW260:CW323" si="84">IF(Z260="","",Z260)</f>
        <v/>
      </c>
      <c r="CX260" s="79" t="str">
        <f t="shared" ref="CX260:CX323" si="85">IF(AA260="","",AA260)</f>
        <v/>
      </c>
      <c r="CY260" s="79" t="str">
        <f t="shared" ref="CY260:CY323" si="86">IF(AB260="","",AB260)</f>
        <v/>
      </c>
      <c r="CZ260" s="79" t="str">
        <f t="shared" ref="CZ260:CZ323" si="87">IF(AC260="","",AC260)</f>
        <v/>
      </c>
      <c r="DA260" s="79" t="str">
        <f t="shared" ref="DA260:DA323" si="88">IF(AD260="","",AD260)</f>
        <v/>
      </c>
      <c r="DB260" s="79" t="str">
        <f t="shared" ref="DB260:DB323" si="89">IF(AE260="","",AE260)</f>
        <v/>
      </c>
      <c r="DC260" s="79" t="str">
        <f t="shared" ref="DC260:DC323" si="90">IF(AF260="","",AF260)</f>
        <v/>
      </c>
      <c r="DD260" s="79" t="str">
        <f t="shared" ref="DD260:DD323" si="91">IF(AG260="","",AG260)</f>
        <v/>
      </c>
      <c r="DE260" s="79" t="str">
        <f t="shared" ref="DE260:DE323" si="92">IF(AK260="","",AK260)</f>
        <v/>
      </c>
      <c r="DF260" s="79" t="str">
        <f t="shared" ref="DF260:DF323" si="93">IF(AL260="","",AL260)</f>
        <v/>
      </c>
      <c r="DG260" s="79" t="str">
        <f t="shared" ref="DG260:DG323" si="94">IF(AM260="","",AM260)</f>
        <v/>
      </c>
      <c r="DH260" s="76"/>
      <c r="DI260" s="78"/>
      <c r="DJ260" s="76"/>
      <c r="DK260" s="77"/>
      <c r="DL260" s="77"/>
      <c r="DM260" s="77"/>
      <c r="DN260" s="80"/>
      <c r="DO260" s="80"/>
      <c r="DP260" s="92" t="str">
        <f>IF(Table1[Start Date]="","",IF(Table1[Start Date]&gt;42185,"",IF(AND(Table1[Leaving Date]&gt;1,Table1[Leaving Date]&lt;42095),"",1)))</f>
        <v/>
      </c>
      <c r="DQ260" s="92" t="str">
        <f>IF(Table1[Start Date]="","",IF(Table1[Start Date]&gt;42277,"",IF(AND(Table1[Leaving Date]&gt;1,Table1[Leaving Date]&lt;42186),"",1)))</f>
        <v/>
      </c>
      <c r="DR260" s="92" t="str">
        <f>IF(Table1[Start Date]="","",IF(Table1[Start Date]&gt;42369,"",IF(AND(Table1[Leaving Date]&gt;1,Table1[Leaving Date]&lt;42278),"",1)))</f>
        <v/>
      </c>
      <c r="DS260" s="92" t="str">
        <f>IF(Table1[Start Date]="","",IF(Table1[Start Date]&gt;42460,"",IF(AND(Table1[Leaving Date]&gt;1,Table1[Leaving Date]&lt;42370),"",1)))</f>
        <v/>
      </c>
      <c r="DT260" s="92" t="str">
        <f>IF(Table1[Start Date]="","",IF(Table1[Start Date]&gt;42551,"",IF(AND(Table1[Leaving Date]&gt;1,Table1[Leaving Date]&lt;42461),"",1)))</f>
        <v/>
      </c>
      <c r="DU260" s="92" t="str">
        <f>IF(Table1[Start Date]="","",IF(Table1[Start Date]&gt;42643,"",IF(AND(Table1[Leaving Date]&gt;1,Table1[Leaving Date]&lt;42552),"",1)))</f>
        <v/>
      </c>
      <c r="DV260" s="92" t="str">
        <f>IF(Table1[Start Date]="","",IF(Table1[Start Date]&gt;42735,"",IF(AND(Table1[Leaving Date]&gt;1,Table1[Leaving Date]&lt;42644),"",1)))</f>
        <v/>
      </c>
      <c r="DW260" s="92" t="str">
        <f>IF(Table1[Start Date]="","",IF(Table1[Start Date]&gt;42825,"",IF(AND(Table1[Leaving Date]&gt;1,Table1[Leaving Date]&lt;42736),"",1)))</f>
        <v/>
      </c>
      <c r="DX260"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260" s="44" t="e">
        <f>VLOOKUP(Table1[Referral Source],Lists!$G$2:$H$20,2,FALSE)</f>
        <v>#N/A</v>
      </c>
      <c r="DZ260" s="93" t="e">
        <f>SUM(Table1[Data Referral Quarter]+Table1[Data Referral Source])</f>
        <v>#N/A</v>
      </c>
      <c r="EA260" s="44" t="b">
        <f>IF(Table1[Referral Decision]="Accepted",100,IF(Table1[Referral Decision]="Rejected by Provider",200,IF(Table1[Referral Decision]="Rejected by Applicant",300)))</f>
        <v>0</v>
      </c>
      <c r="EB260" s="44">
        <f>SUM(Table1[Data Referral Quarter]+Table1[Data Referral Decision])</f>
        <v>0</v>
      </c>
      <c r="EC260" s="44" t="b">
        <f>IF(Table1[Start Date]&gt;42735,8000,IF(Table1[Start Date]&gt;42643,7000,IF(Table1[Start Date]&gt;42551,6000,IF(Table1[Start Date]&gt;42460,5000,IF(Table1[Start Date]&gt;42369,4000,IF(Table1[Start Date]&gt;42277,3000,IF(Table1[Start Date]&gt;42185,2000,IF(Table1[Start Date]&gt;42094,1000))))))))</f>
        <v>0</v>
      </c>
      <c r="ED260" s="44" t="str">
        <f>IF(Table1[Start Date]="","",IF(Table1[Current Local Authority]="Swindon",1,"2"))</f>
        <v/>
      </c>
      <c r="EE260" s="44" t="e">
        <f>SUM(Table1[Data Start Date]+Table1[Data Local Authority])</f>
        <v>#VALUE!</v>
      </c>
      <c r="EF260" s="44">
        <f>IF(Table1[Registered with GP]="Yes",1,0)</f>
        <v>0</v>
      </c>
      <c r="EG260" s="44">
        <f>SUM(Table1[Data Start Date]+Table1[Data GP Start])</f>
        <v>0</v>
      </c>
      <c r="EH260" s="44" t="str">
        <f>IF(Table1[EET]="NEET",1,IF(Table1[EET]="Education",2,IF(Table1[EET]="Employment",2,IF(Table1[EET]="Training",2,IF(Table1[EET]="Retired",3,"")))))</f>
        <v/>
      </c>
      <c r="EI260" s="44" t="e">
        <f>Table1[Data Start Date]+Table1[Data EET Start]</f>
        <v>#VALUE!</v>
      </c>
      <c r="EJ260" s="44" t="b">
        <f>IF(Table1[Leaving Date]&gt;42735,8000,IF(Table1[Leaving Date]&gt;42643,7000,IF(Table1[Leaving Date]&gt;42551,6000,IF(Table1[Leaving Date]&gt;42460,5000,IF(Table1[Leaving Date]&gt;42369,4000,IF(Table1[Leaving Date]&gt;42277,3000,IF(Table1[Leaving Date]&gt;42185,2000,IF(Table1[Leaving Date]&gt;42094,1000))))))))</f>
        <v>0</v>
      </c>
      <c r="EK260" s="44" t="e">
        <f>VLOOKUP(Table1[Reason for Leaving],Lists!$T$2:$U$15,2,FALSE)</f>
        <v>#N/A</v>
      </c>
      <c r="EL260" s="44" t="e">
        <f>SUM(Table1[Data Leavers Date]+Table1[Data Move On])</f>
        <v>#N/A</v>
      </c>
      <c r="EM260" s="44" t="b">
        <f>IF(Table1[Registered with GP2]="Yes",1,IF(Table1[Registered with GP2]="No",0,IF(Table1[Registered with GP]="Yes",1,IF(Table1[Registered with GP]="No",0))))</f>
        <v>0</v>
      </c>
      <c r="EN260" s="44">
        <f>SUM(Table1[Data Leavers Date]+Table1[Data GP End])</f>
        <v>0</v>
      </c>
      <c r="EO260" s="44" t="str">
        <f>IF(Table1[EET2]="NEET",1,IF(Table1[EET2]="Employment",2,IF(Table1[EET2]="Education",2,IF(Table1[EET2]="Training",2,IF(Table1[EET2]="Retired",3,IF(Table1[EET]="NEET",1,IF(Table1[EET]="Employment",2,IF(Table1[EET]="Education",2,IF(Table1[EET]="Training",2,IF(Table1[EET]="Retired",3,""))))))))))</f>
        <v/>
      </c>
      <c r="EP260" s="44" t="e">
        <f>+Table1[[#This Row],[Data Leavers Date]]+Table1[[#This Row],[Data EET End]]</f>
        <v>#VALUE!</v>
      </c>
      <c r="EQ260" s="44">
        <f>IF(Table1[Exit Form Received]="Yes",1,0)</f>
        <v>0</v>
      </c>
      <c r="ER260" s="44">
        <f>+Table1[[#This Row],[Data Leavers Date]]+Table1[[#This Row],[Data Exit Forms]]</f>
        <v>0</v>
      </c>
      <c r="ES260" s="44" t="str">
        <f>IF(Table1[Data Leavers Date]=1000,SUM(Table1[Leaving Date]-Table1[Start Date]),"")</f>
        <v/>
      </c>
      <c r="ET260" s="44" t="str">
        <f>IF(Table1[Data Leavers Date]=2000,SUM(Table1[Leaving Date]-Table1[Start Date]),"")</f>
        <v/>
      </c>
      <c r="EU260" s="44" t="str">
        <f>IF(Table1[Data Leavers Date]=3000,SUM(Table1[Leaving Date]-Table1[Start Date]),"")</f>
        <v/>
      </c>
      <c r="EV260" s="44" t="str">
        <f>IF(Table1[Data Leavers Date]=4000,SUM(Table1[Leaving Date]-Table1[Start Date]),"")</f>
        <v/>
      </c>
      <c r="EW260" s="44" t="str">
        <f>IF(Table1[Data Leavers Date]=5000,SUM(Table1[Leaving Date]-Table1[Start Date]),"")</f>
        <v/>
      </c>
      <c r="EX260" s="44" t="str">
        <f>IF(Table1[Data Leavers Date]=6000,SUM(Table1[Leaving Date]-Table1[Start Date]),"")</f>
        <v/>
      </c>
      <c r="EY260" s="44" t="str">
        <f>IF(Table1[Data Leavers Date]=7000,SUM(Table1[Leaving Date]-Table1[Start Date]),"")</f>
        <v/>
      </c>
      <c r="EZ260" s="44" t="str">
        <f>IF(Table1[Data Leavers Date]=8000,SUM(Table1[Leaving Date]-Table1[Start Date]),"")</f>
        <v/>
      </c>
      <c r="FA260" s="44" t="str">
        <f>IF(Table1[Date of Initial Assessment]="","",IF(AND(Table1[Start Date]&gt;42094,Table1[Start Date]&lt;42461),Table1[Motivation and Taking Responsibility],""))</f>
        <v/>
      </c>
      <c r="FB260" s="44" t="str">
        <f>IF(Table1[Date of Initial Assessment]="","",IF(AND(Table1[Start Date]&gt;42094,Table1[Start Date]&lt;42461),Table1[Self-Care and Living Skills],""))</f>
        <v/>
      </c>
      <c r="FC260" s="44" t="str">
        <f>IF(Table1[Date of Initial Assessment]="","",IF(AND(Table1[Start Date]&gt;42094,Table1[Start Date]&lt;42461),Table1[Managing Money and Personal Administration],""))</f>
        <v/>
      </c>
      <c r="FD260" s="44" t="str">
        <f>IF(Table1[Date of Initial Assessment]="","",IF(AND(Table1[Start Date]&gt;42094,Table1[Start Date]&lt;42461),Table1[Social Networks and Relationships],""))</f>
        <v/>
      </c>
      <c r="FE260" s="44" t="str">
        <f>IF(Table1[Date of Initial Assessment]="","",IF(AND(Table1[Start Date]&gt;42094,Table1[Start Date]&lt;42461),Table1[Drug and Alcohol Misuse],""))</f>
        <v/>
      </c>
      <c r="FF260" s="44" t="str">
        <f>IF(Table1[Date of Initial Assessment]="","",IF(AND(Table1[Start Date]&gt;42094,Table1[Start Date]&lt;42461),Table1[Physical Health],""))</f>
        <v/>
      </c>
      <c r="FG260" s="44" t="str">
        <f>IF(Table1[Date of Initial Assessment]="","",IF(AND(Table1[Start Date]&gt;42094,Table1[Start Date]&lt;42461),Table1[Emotional and Mental Health],""))</f>
        <v/>
      </c>
      <c r="FH260" s="44" t="str">
        <f>IF(Table1[Date of Initial Assessment]="","",IF(AND(Table1[Start Date]&gt;42094,Table1[Start Date]&lt;42461),Table1[Meaningful Use of Time],""))</f>
        <v/>
      </c>
      <c r="FI260" s="44" t="str">
        <f>IF(Table1[Date of Initial Assessment]="","",IF(AND(Table1[Start Date]&gt;42094,Table1[Start Date]&lt;42461),Table1[Managing Tenancy and Accommodation],""))</f>
        <v/>
      </c>
      <c r="FJ260" s="44" t="str">
        <f>IF(Table1[Date of Initial Assessment]="","",IF(AND(Table1[Start Date]&gt;42094,Table1[Start Date]&lt;42461),Table1[Offending],""))</f>
        <v/>
      </c>
      <c r="FK260" s="44" t="str">
        <f>IF(Table1[Leaving Date]="","",IF(Table1[Date of Initial Assessment]="","",IF(AND(Table1[Leaving Date]&gt;42094,Table1[Leaving Date]&lt;42461),IF(Table1[Date of Last Assessment]="",Table1[Motivation and Taking Responsibility],Table1[Motivation and Taking Responsibility2]),"")))</f>
        <v/>
      </c>
      <c r="FL260" s="44" t="str">
        <f>IF(Table1[Leaving Date]="","",IF(Table1[Date of Initial Assessment]="","",IF(AND(Table1[Leaving Date]&gt;42094,Table1[Leaving Date]&lt;42461),IF(Table1[Date of Last Assessment]="",Table1[Self-Care and Living Skills],Table1[Self-Care and Living Skills2]),"")))</f>
        <v/>
      </c>
      <c r="FM260" s="44" t="str">
        <f>IF(Table1[Leaving Date]="","",IF(Table1[Date of Initial Assessment]="","",IF(AND(Table1[Leaving Date]&gt;42094,Table1[Leaving Date]&lt;42461),IF(Table1[Date of Last Assessment]="",Table1[Managing Money and Personal Administration],Table1[Managing Money and Personal Administration2]),"")))</f>
        <v/>
      </c>
      <c r="FN260" s="44" t="str">
        <f>IF(Table1[Leaving Date]="","",IF(Table1[Date of Initial Assessment]="","",IF(AND(Table1[Leaving Date]&gt;42094,Table1[Leaving Date]&lt;42461),IF(Table1[Date of Last Assessment]="",Table1[Social Networks and Relationships],Table1[Social Networks and Relationships2]),"")))</f>
        <v/>
      </c>
      <c r="FO260" s="44" t="str">
        <f>IF(Table1[Leaving Date]="","",IF(Table1[Date of Initial Assessment]="","",IF(AND(Table1[Leaving Date]&gt;42094,Table1[Leaving Date]&lt;42461),IF(Table1[Date of Last Assessment]="",Table1[Drug and Alcohol Misuse],Table1[Drug and Alcohol Misuse2]),"")))</f>
        <v/>
      </c>
      <c r="FP260" s="44" t="str">
        <f>IF(Table1[Leaving Date]="","",IF(Table1[Date of Initial Assessment]="","",IF(AND(Table1[Leaving Date]&gt;42094,Table1[Leaving Date]&lt;42461),IF(Table1[Date of Last Assessment]="",Table1[Physical Health],Table1[Physical Health2]),"")))</f>
        <v/>
      </c>
      <c r="FQ260" s="44" t="str">
        <f>IF(Table1[Leaving Date]="","",IF(Table1[Date of Initial Assessment]="","",IF(AND(Table1[Leaving Date]&gt;42094,Table1[Leaving Date]&lt;42461),IF(Table1[Date of Last Assessment]="",Table1[Emotional and Mental Health],Table1[Emotional and Mental Health2]),"")))</f>
        <v/>
      </c>
      <c r="FR260" s="44" t="str">
        <f>IF(Table1[Leaving Date]="","",IF(Table1[Date of Initial Assessment]="","",IF(AND(Table1[Leaving Date]&gt;42094,Table1[Leaving Date]&lt;42461),IF(Table1[Date of Last Assessment]="",Table1[Meaningful Use of Time],Table1[Meaningful Use of Time2]),"")))</f>
        <v/>
      </c>
      <c r="FS260" s="44" t="str">
        <f>IF(Table1[Leaving Date]="","",IF(Table1[Date of Initial Assessment]="","",IF(AND(Table1[Leaving Date]&gt;42094,Table1[Leaving Date]&lt;42461),IF(Table1[Date of Last Assessment]="",Table1[Managing Tenancy and Accommodation],Table1[Managing Tenancy and Accommodation2]),"")))</f>
        <v/>
      </c>
      <c r="FT260" s="44" t="str">
        <f>IF(Table1[Leaving Date]="","",IF(Table1[Date of Initial Assessment]="","",IF(AND(Table1[Leaving Date]&gt;42094,Table1[Leaving Date]&lt;42461),IF(Table1[Date of Last Assessment]="",Table1[Offending],Table1[Offending2]),"")))</f>
        <v/>
      </c>
      <c r="FU260" s="44" t="str">
        <f>IF(Table1[Date of Initial Assessment]="","",IF(AND(Table1[Start Date]&gt;42460,Table1[Start Date]&lt;42826),Table1[Motivation and Taking Responsibility],""))</f>
        <v/>
      </c>
      <c r="FV260" s="44" t="str">
        <f>IF(Table1[Date of Initial Assessment]="","",IF(AND(Table1[Start Date]&gt;42460,Table1[Start Date]&lt;42826),Table1[Self-Care and Living Skills],""))</f>
        <v/>
      </c>
      <c r="FW260" s="44" t="str">
        <f>IF(Table1[Date of Initial Assessment]="","",IF(AND(Table1[Start Date]&gt;42460,Table1[Start Date]&lt;42826),Table1[Managing Money and Personal Administration],""))</f>
        <v/>
      </c>
      <c r="FX260" s="44" t="str">
        <f>IF(Table1[Date of Initial Assessment]="","",IF(AND(Table1[Start Date]&gt;42460,Table1[Start Date]&lt;42826),Table1[Social Networks and Relationships],""))</f>
        <v/>
      </c>
      <c r="FY260" s="44" t="str">
        <f>IF(Table1[Date of Initial Assessment]="","",IF(AND(Table1[Start Date]&gt;42460,Table1[Start Date]&lt;42826),Table1[Drug and Alcohol Misuse],""))</f>
        <v/>
      </c>
      <c r="FZ260" s="44" t="str">
        <f>IF(Table1[Date of Initial Assessment]="","",IF(AND(Table1[Start Date]&gt;42460,Table1[Start Date]&lt;42826),Table1[Physical Health],""))</f>
        <v/>
      </c>
      <c r="GA260" s="44" t="str">
        <f>IF(Table1[Date of Initial Assessment]="","",IF(AND(Table1[Start Date]&gt;42460,Table1[Start Date]&lt;42826),Table1[Emotional and Mental Health],""))</f>
        <v/>
      </c>
      <c r="GB260" s="44" t="str">
        <f>IF(Table1[Date of Initial Assessment]="","",IF(AND(Table1[Start Date]&gt;42460,Table1[Start Date]&lt;42826),Table1[Meaningful Use of Time],""))</f>
        <v/>
      </c>
      <c r="GC260" s="44" t="str">
        <f>IF(Table1[Date of Initial Assessment]="","",IF(AND(Table1[Start Date]&gt;42460,Table1[Start Date]&lt;42826),Table1[Managing Tenancy and Accommodation],""))</f>
        <v/>
      </c>
      <c r="GD260" s="44" t="str">
        <f>IF(Table1[Date of Initial Assessment]="","",IF(AND(Table1[Start Date]&gt;42460,Table1[Start Date]&lt;42826),Table1[Offending],""))</f>
        <v/>
      </c>
      <c r="GE260" s="44" t="str">
        <f>IF(Table1[Leaving Date]="","",IF(AND(Table1[Leaving Date]&gt;42460,Table1[Leaving Date]&lt;42826),IF(Table1[Date of Last Assessment]="",Table1[Motivation and Taking Responsibility],Table1[Motivation and Taking Responsibility2]),""))</f>
        <v/>
      </c>
      <c r="GF260" s="44" t="str">
        <f>IF(Table1[Leaving Date]="","",IF(AND(Table1[Leaving Date]&gt;42460,Table1[Leaving Date]&lt;42826),IF(Table1[Date of Last Assessment]="",Table1[Self-Care and Living Skills],Table1[Self-Care and Living Skills2]),""))</f>
        <v/>
      </c>
      <c r="GG260" s="44" t="str">
        <f>IF(Table1[Leaving Date]="","",IF(AND(Table1[Leaving Date]&gt;42460,Table1[Leaving Date]&lt;42826),IF(Table1[Date of Last Assessment]="",Table1[Managing Money and Personal Administration],Table1[Managing Money and Personal Administration2]),""))</f>
        <v/>
      </c>
      <c r="GH260" s="44" t="str">
        <f>IF(Table1[Leaving Date]="","",IF(AND(Table1[Leaving Date]&gt;42460,Table1[Leaving Date]&lt;42826),IF(Table1[Date of Last Assessment]="",Table1[Social Networks and Relationships],Table1[Social Networks and Relationships2]),""))</f>
        <v/>
      </c>
      <c r="GI260" s="44" t="str">
        <f>IF(Table1[Leaving Date]="","",IF(AND(Table1[Leaving Date]&gt;42460,Table1[Leaving Date]&lt;42826),IF(Table1[Date of Last Assessment]="",Table1[Drug and Alcohol Misuse],Table1[Drug and Alcohol Misuse2]),""))</f>
        <v/>
      </c>
      <c r="GJ260" s="44" t="str">
        <f>IF(Table1[Leaving Date]="","",IF(AND(Table1[Leaving Date]&gt;42460,Table1[Leaving Date]&lt;42826),IF(Table1[Date of Last Assessment]="",Table1[Physical Health],Table1[Physical Health2]),""))</f>
        <v/>
      </c>
      <c r="GK260" s="44" t="str">
        <f>IF(Table1[Leaving Date]="","",IF(AND(Table1[Leaving Date]&gt;42460,Table1[Leaving Date]&lt;42826),IF(Table1[Date of Last Assessment]="",Table1[Emotional and Mental Health],Table1[Emotional and Mental Health2]),""))</f>
        <v/>
      </c>
      <c r="GL260" s="44" t="str">
        <f>IF(Table1[Leaving Date]="","",IF(AND(Table1[Leaving Date]&gt;42460,Table1[Leaving Date]&lt;42826),IF(Table1[Date of Last Assessment]="",Table1[Meaningful Use of Time],Table1[Meaningful Use of Time2]),""))</f>
        <v/>
      </c>
      <c r="GM260" s="44" t="str">
        <f>IF(Table1[Leaving Date]="","",IF(AND(Table1[Leaving Date]&gt;42460,Table1[Leaving Date]&lt;42826),IF(Table1[Date of Last Assessment]="",Table1[Managing Tenancy and Accommodation],Table1[Managing Tenancy and Accommodation2]),""))</f>
        <v/>
      </c>
      <c r="GN260" s="44" t="str">
        <f>IF(Table1[Leaving Date]="","",IF(AND(Table1[Leaving Date]&gt;42460,Table1[Leaving Date]&lt;42826),IF(Table1[Date of Last Assessment]="",Table1[Offending],Table1[Offending2]),""))</f>
        <v/>
      </c>
    </row>
    <row r="261" spans="2:196" ht="20.100000000000001" customHeight="1" x14ac:dyDescent="0.2">
      <c r="B261" s="86">
        <f>+'Service Data'!$C$5:$C$5</f>
        <v>0</v>
      </c>
      <c r="C261" s="86"/>
      <c r="D261" s="86"/>
      <c r="E261" s="86"/>
      <c r="F261" s="86"/>
      <c r="G261" s="86"/>
      <c r="H261" s="6"/>
      <c r="I261" s="99" t="str">
        <f ca="1">IF(Table1[[#This Row],[Date of Birth]]="","",SUM(TODAY()-Table1[[#This Row],[Date of Birth]])/365)</f>
        <v/>
      </c>
      <c r="L261" s="86"/>
      <c r="M261" s="77"/>
      <c r="N261" s="86"/>
      <c r="O261" s="86"/>
      <c r="P261" s="91"/>
      <c r="Q261" s="86"/>
      <c r="R261" s="77"/>
      <c r="S261" s="77"/>
      <c r="T261" s="68"/>
      <c r="U261" s="68"/>
      <c r="V261" s="67"/>
      <c r="W261" s="67"/>
      <c r="X261" s="67"/>
      <c r="Y261" s="67"/>
      <c r="Z261" s="67"/>
      <c r="AA261" s="67"/>
      <c r="AB261" s="67"/>
      <c r="AC261" s="67"/>
      <c r="AD261" s="67"/>
      <c r="AE261" s="67"/>
      <c r="AF261" s="67"/>
      <c r="AG261" s="67"/>
      <c r="AH261" s="67"/>
      <c r="AI261" s="67"/>
      <c r="AJ261" s="67"/>
      <c r="AK261" s="67"/>
      <c r="AL261" s="67"/>
      <c r="AM261" s="67"/>
      <c r="AN261" s="77"/>
      <c r="AO261" s="76"/>
      <c r="AP261" s="77"/>
      <c r="AQ261" s="76"/>
      <c r="AR261" s="76"/>
      <c r="AS261" s="76"/>
      <c r="AT261" s="76"/>
      <c r="AU261" s="76"/>
      <c r="AV261" s="77"/>
      <c r="AW261" s="76"/>
      <c r="AX261" s="77"/>
      <c r="AY261" s="76"/>
      <c r="AZ261" s="76"/>
      <c r="BA261" s="76"/>
      <c r="BB261" s="76"/>
      <c r="BC261" s="76"/>
      <c r="BD261" s="77"/>
      <c r="BE261" s="76"/>
      <c r="BF261" s="77"/>
      <c r="BG261" s="76"/>
      <c r="BH261" s="76"/>
      <c r="BI261" s="76"/>
      <c r="BJ261" s="76"/>
      <c r="BK261" s="76"/>
      <c r="BL261" s="77"/>
      <c r="BM261" s="76"/>
      <c r="BN261" s="77"/>
      <c r="BO261" s="76"/>
      <c r="BP261" s="76"/>
      <c r="BQ261" s="76"/>
      <c r="BR261" s="76"/>
      <c r="BS261" s="76"/>
      <c r="BT261" s="77"/>
      <c r="BU261" s="76"/>
      <c r="BV261" s="77"/>
      <c r="BW261" s="76"/>
      <c r="BX261" s="76"/>
      <c r="BY261" s="76"/>
      <c r="BZ261" s="76"/>
      <c r="CA261" s="76"/>
      <c r="CB261" s="77"/>
      <c r="CC261" s="76"/>
      <c r="CD261" s="77"/>
      <c r="CE261" s="76"/>
      <c r="CF261" s="76"/>
      <c r="CG261" s="76"/>
      <c r="CH261" s="76"/>
      <c r="CI261" s="76"/>
      <c r="CJ261" s="77"/>
      <c r="CK261" s="76"/>
      <c r="CL261" s="77"/>
      <c r="CM261" s="76"/>
      <c r="CN261" s="76"/>
      <c r="CO261" s="76"/>
      <c r="CP261" s="76"/>
      <c r="CQ261" s="76"/>
      <c r="CR261" s="78" t="str">
        <f t="shared" si="79"/>
        <v/>
      </c>
      <c r="CS261" s="79" t="str">
        <f t="shared" si="80"/>
        <v/>
      </c>
      <c r="CT261" s="79" t="str">
        <f t="shared" si="81"/>
        <v/>
      </c>
      <c r="CU261" s="79" t="str">
        <f t="shared" si="82"/>
        <v/>
      </c>
      <c r="CV261" s="79" t="str">
        <f t="shared" si="83"/>
        <v/>
      </c>
      <c r="CW261" s="79" t="str">
        <f t="shared" si="84"/>
        <v/>
      </c>
      <c r="CX261" s="79" t="str">
        <f t="shared" si="85"/>
        <v/>
      </c>
      <c r="CY261" s="79" t="str">
        <f t="shared" si="86"/>
        <v/>
      </c>
      <c r="CZ261" s="79" t="str">
        <f t="shared" si="87"/>
        <v/>
      </c>
      <c r="DA261" s="79" t="str">
        <f t="shared" si="88"/>
        <v/>
      </c>
      <c r="DB261" s="79" t="str">
        <f t="shared" si="89"/>
        <v/>
      </c>
      <c r="DC261" s="79" t="str">
        <f t="shared" si="90"/>
        <v/>
      </c>
      <c r="DD261" s="79" t="str">
        <f t="shared" si="91"/>
        <v/>
      </c>
      <c r="DE261" s="79" t="str">
        <f t="shared" si="92"/>
        <v/>
      </c>
      <c r="DF261" s="79" t="str">
        <f t="shared" si="93"/>
        <v/>
      </c>
      <c r="DG261" s="79" t="str">
        <f t="shared" si="94"/>
        <v/>
      </c>
      <c r="DH261" s="76"/>
      <c r="DI261" s="78"/>
      <c r="DJ261" s="76"/>
      <c r="DK261" s="77"/>
      <c r="DL261" s="77"/>
      <c r="DM261" s="77"/>
      <c r="DN261" s="80"/>
      <c r="DO261" s="80"/>
      <c r="DP261" s="92" t="str">
        <f>IF(Table1[Start Date]="","",IF(Table1[Start Date]&gt;42185,"",IF(AND(Table1[Leaving Date]&gt;1,Table1[Leaving Date]&lt;42095),"",1)))</f>
        <v/>
      </c>
      <c r="DQ261" s="92" t="str">
        <f>IF(Table1[Start Date]="","",IF(Table1[Start Date]&gt;42277,"",IF(AND(Table1[Leaving Date]&gt;1,Table1[Leaving Date]&lt;42186),"",1)))</f>
        <v/>
      </c>
      <c r="DR261" s="92" t="str">
        <f>IF(Table1[Start Date]="","",IF(Table1[Start Date]&gt;42369,"",IF(AND(Table1[Leaving Date]&gt;1,Table1[Leaving Date]&lt;42278),"",1)))</f>
        <v/>
      </c>
      <c r="DS261" s="92" t="str">
        <f>IF(Table1[Start Date]="","",IF(Table1[Start Date]&gt;42460,"",IF(AND(Table1[Leaving Date]&gt;1,Table1[Leaving Date]&lt;42370),"",1)))</f>
        <v/>
      </c>
      <c r="DT261" s="92" t="str">
        <f>IF(Table1[Start Date]="","",IF(Table1[Start Date]&gt;42551,"",IF(AND(Table1[Leaving Date]&gt;1,Table1[Leaving Date]&lt;42461),"",1)))</f>
        <v/>
      </c>
      <c r="DU261" s="92" t="str">
        <f>IF(Table1[Start Date]="","",IF(Table1[Start Date]&gt;42643,"",IF(AND(Table1[Leaving Date]&gt;1,Table1[Leaving Date]&lt;42552),"",1)))</f>
        <v/>
      </c>
      <c r="DV261" s="92" t="str">
        <f>IF(Table1[Start Date]="","",IF(Table1[Start Date]&gt;42735,"",IF(AND(Table1[Leaving Date]&gt;1,Table1[Leaving Date]&lt;42644),"",1)))</f>
        <v/>
      </c>
      <c r="DW261" s="92" t="str">
        <f>IF(Table1[Start Date]="","",IF(Table1[Start Date]&gt;42825,"",IF(AND(Table1[Leaving Date]&gt;1,Table1[Leaving Date]&lt;42736),"",1)))</f>
        <v/>
      </c>
      <c r="DX261"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261" s="44" t="e">
        <f>VLOOKUP(Table1[Referral Source],Lists!$G$2:$H$20,2,FALSE)</f>
        <v>#N/A</v>
      </c>
      <c r="DZ261" s="93" t="e">
        <f>SUM(Table1[Data Referral Quarter]+Table1[Data Referral Source])</f>
        <v>#N/A</v>
      </c>
      <c r="EA261" s="44" t="b">
        <f>IF(Table1[Referral Decision]="Accepted",100,IF(Table1[Referral Decision]="Rejected by Provider",200,IF(Table1[Referral Decision]="Rejected by Applicant",300)))</f>
        <v>0</v>
      </c>
      <c r="EB261" s="44">
        <f>SUM(Table1[Data Referral Quarter]+Table1[Data Referral Decision])</f>
        <v>0</v>
      </c>
      <c r="EC261" s="44" t="b">
        <f>IF(Table1[Start Date]&gt;42735,8000,IF(Table1[Start Date]&gt;42643,7000,IF(Table1[Start Date]&gt;42551,6000,IF(Table1[Start Date]&gt;42460,5000,IF(Table1[Start Date]&gt;42369,4000,IF(Table1[Start Date]&gt;42277,3000,IF(Table1[Start Date]&gt;42185,2000,IF(Table1[Start Date]&gt;42094,1000))))))))</f>
        <v>0</v>
      </c>
      <c r="ED261" s="44" t="str">
        <f>IF(Table1[Start Date]="","",IF(Table1[Current Local Authority]="Swindon",1,"2"))</f>
        <v/>
      </c>
      <c r="EE261" s="44" t="e">
        <f>SUM(Table1[Data Start Date]+Table1[Data Local Authority])</f>
        <v>#VALUE!</v>
      </c>
      <c r="EF261" s="44">
        <f>IF(Table1[Registered with GP]="Yes",1,0)</f>
        <v>0</v>
      </c>
      <c r="EG261" s="44">
        <f>SUM(Table1[Data Start Date]+Table1[Data GP Start])</f>
        <v>0</v>
      </c>
      <c r="EH261" s="44" t="str">
        <f>IF(Table1[EET]="NEET",1,IF(Table1[EET]="Education",2,IF(Table1[EET]="Employment",2,IF(Table1[EET]="Training",2,IF(Table1[EET]="Retired",3,"")))))</f>
        <v/>
      </c>
      <c r="EI261" s="44" t="e">
        <f>Table1[Data Start Date]+Table1[Data EET Start]</f>
        <v>#VALUE!</v>
      </c>
      <c r="EJ261" s="44" t="b">
        <f>IF(Table1[Leaving Date]&gt;42735,8000,IF(Table1[Leaving Date]&gt;42643,7000,IF(Table1[Leaving Date]&gt;42551,6000,IF(Table1[Leaving Date]&gt;42460,5000,IF(Table1[Leaving Date]&gt;42369,4000,IF(Table1[Leaving Date]&gt;42277,3000,IF(Table1[Leaving Date]&gt;42185,2000,IF(Table1[Leaving Date]&gt;42094,1000))))))))</f>
        <v>0</v>
      </c>
      <c r="EK261" s="44" t="e">
        <f>VLOOKUP(Table1[Reason for Leaving],Lists!$T$2:$U$15,2,FALSE)</f>
        <v>#N/A</v>
      </c>
      <c r="EL261" s="44" t="e">
        <f>SUM(Table1[Data Leavers Date]+Table1[Data Move On])</f>
        <v>#N/A</v>
      </c>
      <c r="EM261" s="44" t="b">
        <f>IF(Table1[Registered with GP2]="Yes",1,IF(Table1[Registered with GP2]="No",0,IF(Table1[Registered with GP]="Yes",1,IF(Table1[Registered with GP]="No",0))))</f>
        <v>0</v>
      </c>
      <c r="EN261" s="44">
        <f>SUM(Table1[Data Leavers Date]+Table1[Data GP End])</f>
        <v>0</v>
      </c>
      <c r="EO261" s="44" t="str">
        <f>IF(Table1[EET2]="NEET",1,IF(Table1[EET2]="Employment",2,IF(Table1[EET2]="Education",2,IF(Table1[EET2]="Training",2,IF(Table1[EET2]="Retired",3,IF(Table1[EET]="NEET",1,IF(Table1[EET]="Employment",2,IF(Table1[EET]="Education",2,IF(Table1[EET]="Training",2,IF(Table1[EET]="Retired",3,""))))))))))</f>
        <v/>
      </c>
      <c r="EP261" s="44" t="e">
        <f>+Table1[[#This Row],[Data Leavers Date]]+Table1[[#This Row],[Data EET End]]</f>
        <v>#VALUE!</v>
      </c>
      <c r="EQ261" s="44">
        <f>IF(Table1[Exit Form Received]="Yes",1,0)</f>
        <v>0</v>
      </c>
      <c r="ER261" s="44">
        <f>+Table1[[#This Row],[Data Leavers Date]]+Table1[[#This Row],[Data Exit Forms]]</f>
        <v>0</v>
      </c>
      <c r="ES261" s="44" t="str">
        <f>IF(Table1[Data Leavers Date]=1000,SUM(Table1[Leaving Date]-Table1[Start Date]),"")</f>
        <v/>
      </c>
      <c r="ET261" s="44" t="str">
        <f>IF(Table1[Data Leavers Date]=2000,SUM(Table1[Leaving Date]-Table1[Start Date]),"")</f>
        <v/>
      </c>
      <c r="EU261" s="44" t="str">
        <f>IF(Table1[Data Leavers Date]=3000,SUM(Table1[Leaving Date]-Table1[Start Date]),"")</f>
        <v/>
      </c>
      <c r="EV261" s="44" t="str">
        <f>IF(Table1[Data Leavers Date]=4000,SUM(Table1[Leaving Date]-Table1[Start Date]),"")</f>
        <v/>
      </c>
      <c r="EW261" s="44" t="str">
        <f>IF(Table1[Data Leavers Date]=5000,SUM(Table1[Leaving Date]-Table1[Start Date]),"")</f>
        <v/>
      </c>
      <c r="EX261" s="44" t="str">
        <f>IF(Table1[Data Leavers Date]=6000,SUM(Table1[Leaving Date]-Table1[Start Date]),"")</f>
        <v/>
      </c>
      <c r="EY261" s="44" t="str">
        <f>IF(Table1[Data Leavers Date]=7000,SUM(Table1[Leaving Date]-Table1[Start Date]),"")</f>
        <v/>
      </c>
      <c r="EZ261" s="44" t="str">
        <f>IF(Table1[Data Leavers Date]=8000,SUM(Table1[Leaving Date]-Table1[Start Date]),"")</f>
        <v/>
      </c>
      <c r="FA261" s="44" t="str">
        <f>IF(Table1[Date of Initial Assessment]="","",IF(AND(Table1[Start Date]&gt;42094,Table1[Start Date]&lt;42461),Table1[Motivation and Taking Responsibility],""))</f>
        <v/>
      </c>
      <c r="FB261" s="44" t="str">
        <f>IF(Table1[Date of Initial Assessment]="","",IF(AND(Table1[Start Date]&gt;42094,Table1[Start Date]&lt;42461),Table1[Self-Care and Living Skills],""))</f>
        <v/>
      </c>
      <c r="FC261" s="44" t="str">
        <f>IF(Table1[Date of Initial Assessment]="","",IF(AND(Table1[Start Date]&gt;42094,Table1[Start Date]&lt;42461),Table1[Managing Money and Personal Administration],""))</f>
        <v/>
      </c>
      <c r="FD261" s="44" t="str">
        <f>IF(Table1[Date of Initial Assessment]="","",IF(AND(Table1[Start Date]&gt;42094,Table1[Start Date]&lt;42461),Table1[Social Networks and Relationships],""))</f>
        <v/>
      </c>
      <c r="FE261" s="44" t="str">
        <f>IF(Table1[Date of Initial Assessment]="","",IF(AND(Table1[Start Date]&gt;42094,Table1[Start Date]&lt;42461),Table1[Drug and Alcohol Misuse],""))</f>
        <v/>
      </c>
      <c r="FF261" s="44" t="str">
        <f>IF(Table1[Date of Initial Assessment]="","",IF(AND(Table1[Start Date]&gt;42094,Table1[Start Date]&lt;42461),Table1[Physical Health],""))</f>
        <v/>
      </c>
      <c r="FG261" s="44" t="str">
        <f>IF(Table1[Date of Initial Assessment]="","",IF(AND(Table1[Start Date]&gt;42094,Table1[Start Date]&lt;42461),Table1[Emotional and Mental Health],""))</f>
        <v/>
      </c>
      <c r="FH261" s="44" t="str">
        <f>IF(Table1[Date of Initial Assessment]="","",IF(AND(Table1[Start Date]&gt;42094,Table1[Start Date]&lt;42461),Table1[Meaningful Use of Time],""))</f>
        <v/>
      </c>
      <c r="FI261" s="44" t="str">
        <f>IF(Table1[Date of Initial Assessment]="","",IF(AND(Table1[Start Date]&gt;42094,Table1[Start Date]&lt;42461),Table1[Managing Tenancy and Accommodation],""))</f>
        <v/>
      </c>
      <c r="FJ261" s="44" t="str">
        <f>IF(Table1[Date of Initial Assessment]="","",IF(AND(Table1[Start Date]&gt;42094,Table1[Start Date]&lt;42461),Table1[Offending],""))</f>
        <v/>
      </c>
      <c r="FK261" s="44" t="str">
        <f>IF(Table1[Leaving Date]="","",IF(Table1[Date of Initial Assessment]="","",IF(AND(Table1[Leaving Date]&gt;42094,Table1[Leaving Date]&lt;42461),IF(Table1[Date of Last Assessment]="",Table1[Motivation and Taking Responsibility],Table1[Motivation and Taking Responsibility2]),"")))</f>
        <v/>
      </c>
      <c r="FL261" s="44" t="str">
        <f>IF(Table1[Leaving Date]="","",IF(Table1[Date of Initial Assessment]="","",IF(AND(Table1[Leaving Date]&gt;42094,Table1[Leaving Date]&lt;42461),IF(Table1[Date of Last Assessment]="",Table1[Self-Care and Living Skills],Table1[Self-Care and Living Skills2]),"")))</f>
        <v/>
      </c>
      <c r="FM261" s="44" t="str">
        <f>IF(Table1[Leaving Date]="","",IF(Table1[Date of Initial Assessment]="","",IF(AND(Table1[Leaving Date]&gt;42094,Table1[Leaving Date]&lt;42461),IF(Table1[Date of Last Assessment]="",Table1[Managing Money and Personal Administration],Table1[Managing Money and Personal Administration2]),"")))</f>
        <v/>
      </c>
      <c r="FN261" s="44" t="str">
        <f>IF(Table1[Leaving Date]="","",IF(Table1[Date of Initial Assessment]="","",IF(AND(Table1[Leaving Date]&gt;42094,Table1[Leaving Date]&lt;42461),IF(Table1[Date of Last Assessment]="",Table1[Social Networks and Relationships],Table1[Social Networks and Relationships2]),"")))</f>
        <v/>
      </c>
      <c r="FO261" s="44" t="str">
        <f>IF(Table1[Leaving Date]="","",IF(Table1[Date of Initial Assessment]="","",IF(AND(Table1[Leaving Date]&gt;42094,Table1[Leaving Date]&lt;42461),IF(Table1[Date of Last Assessment]="",Table1[Drug and Alcohol Misuse],Table1[Drug and Alcohol Misuse2]),"")))</f>
        <v/>
      </c>
      <c r="FP261" s="44" t="str">
        <f>IF(Table1[Leaving Date]="","",IF(Table1[Date of Initial Assessment]="","",IF(AND(Table1[Leaving Date]&gt;42094,Table1[Leaving Date]&lt;42461),IF(Table1[Date of Last Assessment]="",Table1[Physical Health],Table1[Physical Health2]),"")))</f>
        <v/>
      </c>
      <c r="FQ261" s="44" t="str">
        <f>IF(Table1[Leaving Date]="","",IF(Table1[Date of Initial Assessment]="","",IF(AND(Table1[Leaving Date]&gt;42094,Table1[Leaving Date]&lt;42461),IF(Table1[Date of Last Assessment]="",Table1[Emotional and Mental Health],Table1[Emotional and Mental Health2]),"")))</f>
        <v/>
      </c>
      <c r="FR261" s="44" t="str">
        <f>IF(Table1[Leaving Date]="","",IF(Table1[Date of Initial Assessment]="","",IF(AND(Table1[Leaving Date]&gt;42094,Table1[Leaving Date]&lt;42461),IF(Table1[Date of Last Assessment]="",Table1[Meaningful Use of Time],Table1[Meaningful Use of Time2]),"")))</f>
        <v/>
      </c>
      <c r="FS261" s="44" t="str">
        <f>IF(Table1[Leaving Date]="","",IF(Table1[Date of Initial Assessment]="","",IF(AND(Table1[Leaving Date]&gt;42094,Table1[Leaving Date]&lt;42461),IF(Table1[Date of Last Assessment]="",Table1[Managing Tenancy and Accommodation],Table1[Managing Tenancy and Accommodation2]),"")))</f>
        <v/>
      </c>
      <c r="FT261" s="44" t="str">
        <f>IF(Table1[Leaving Date]="","",IF(Table1[Date of Initial Assessment]="","",IF(AND(Table1[Leaving Date]&gt;42094,Table1[Leaving Date]&lt;42461),IF(Table1[Date of Last Assessment]="",Table1[Offending],Table1[Offending2]),"")))</f>
        <v/>
      </c>
      <c r="FU261" s="44" t="str">
        <f>IF(Table1[Date of Initial Assessment]="","",IF(AND(Table1[Start Date]&gt;42460,Table1[Start Date]&lt;42826),Table1[Motivation and Taking Responsibility],""))</f>
        <v/>
      </c>
      <c r="FV261" s="44" t="str">
        <f>IF(Table1[Date of Initial Assessment]="","",IF(AND(Table1[Start Date]&gt;42460,Table1[Start Date]&lt;42826),Table1[Self-Care and Living Skills],""))</f>
        <v/>
      </c>
      <c r="FW261" s="44" t="str">
        <f>IF(Table1[Date of Initial Assessment]="","",IF(AND(Table1[Start Date]&gt;42460,Table1[Start Date]&lt;42826),Table1[Managing Money and Personal Administration],""))</f>
        <v/>
      </c>
      <c r="FX261" s="44" t="str">
        <f>IF(Table1[Date of Initial Assessment]="","",IF(AND(Table1[Start Date]&gt;42460,Table1[Start Date]&lt;42826),Table1[Social Networks and Relationships],""))</f>
        <v/>
      </c>
      <c r="FY261" s="44" t="str">
        <f>IF(Table1[Date of Initial Assessment]="","",IF(AND(Table1[Start Date]&gt;42460,Table1[Start Date]&lt;42826),Table1[Drug and Alcohol Misuse],""))</f>
        <v/>
      </c>
      <c r="FZ261" s="44" t="str">
        <f>IF(Table1[Date of Initial Assessment]="","",IF(AND(Table1[Start Date]&gt;42460,Table1[Start Date]&lt;42826),Table1[Physical Health],""))</f>
        <v/>
      </c>
      <c r="GA261" s="44" t="str">
        <f>IF(Table1[Date of Initial Assessment]="","",IF(AND(Table1[Start Date]&gt;42460,Table1[Start Date]&lt;42826),Table1[Emotional and Mental Health],""))</f>
        <v/>
      </c>
      <c r="GB261" s="44" t="str">
        <f>IF(Table1[Date of Initial Assessment]="","",IF(AND(Table1[Start Date]&gt;42460,Table1[Start Date]&lt;42826),Table1[Meaningful Use of Time],""))</f>
        <v/>
      </c>
      <c r="GC261" s="44" t="str">
        <f>IF(Table1[Date of Initial Assessment]="","",IF(AND(Table1[Start Date]&gt;42460,Table1[Start Date]&lt;42826),Table1[Managing Tenancy and Accommodation],""))</f>
        <v/>
      </c>
      <c r="GD261" s="44" t="str">
        <f>IF(Table1[Date of Initial Assessment]="","",IF(AND(Table1[Start Date]&gt;42460,Table1[Start Date]&lt;42826),Table1[Offending],""))</f>
        <v/>
      </c>
      <c r="GE261" s="44" t="str">
        <f>IF(Table1[Leaving Date]="","",IF(AND(Table1[Leaving Date]&gt;42460,Table1[Leaving Date]&lt;42826),IF(Table1[Date of Last Assessment]="",Table1[Motivation and Taking Responsibility],Table1[Motivation and Taking Responsibility2]),""))</f>
        <v/>
      </c>
      <c r="GF261" s="44" t="str">
        <f>IF(Table1[Leaving Date]="","",IF(AND(Table1[Leaving Date]&gt;42460,Table1[Leaving Date]&lt;42826),IF(Table1[Date of Last Assessment]="",Table1[Self-Care and Living Skills],Table1[Self-Care and Living Skills2]),""))</f>
        <v/>
      </c>
      <c r="GG261" s="44" t="str">
        <f>IF(Table1[Leaving Date]="","",IF(AND(Table1[Leaving Date]&gt;42460,Table1[Leaving Date]&lt;42826),IF(Table1[Date of Last Assessment]="",Table1[Managing Money and Personal Administration],Table1[Managing Money and Personal Administration2]),""))</f>
        <v/>
      </c>
      <c r="GH261" s="44" t="str">
        <f>IF(Table1[Leaving Date]="","",IF(AND(Table1[Leaving Date]&gt;42460,Table1[Leaving Date]&lt;42826),IF(Table1[Date of Last Assessment]="",Table1[Social Networks and Relationships],Table1[Social Networks and Relationships2]),""))</f>
        <v/>
      </c>
      <c r="GI261" s="44" t="str">
        <f>IF(Table1[Leaving Date]="","",IF(AND(Table1[Leaving Date]&gt;42460,Table1[Leaving Date]&lt;42826),IF(Table1[Date of Last Assessment]="",Table1[Drug and Alcohol Misuse],Table1[Drug and Alcohol Misuse2]),""))</f>
        <v/>
      </c>
      <c r="GJ261" s="44" t="str">
        <f>IF(Table1[Leaving Date]="","",IF(AND(Table1[Leaving Date]&gt;42460,Table1[Leaving Date]&lt;42826),IF(Table1[Date of Last Assessment]="",Table1[Physical Health],Table1[Physical Health2]),""))</f>
        <v/>
      </c>
      <c r="GK261" s="44" t="str">
        <f>IF(Table1[Leaving Date]="","",IF(AND(Table1[Leaving Date]&gt;42460,Table1[Leaving Date]&lt;42826),IF(Table1[Date of Last Assessment]="",Table1[Emotional and Mental Health],Table1[Emotional and Mental Health2]),""))</f>
        <v/>
      </c>
      <c r="GL261" s="44" t="str">
        <f>IF(Table1[Leaving Date]="","",IF(AND(Table1[Leaving Date]&gt;42460,Table1[Leaving Date]&lt;42826),IF(Table1[Date of Last Assessment]="",Table1[Meaningful Use of Time],Table1[Meaningful Use of Time2]),""))</f>
        <v/>
      </c>
      <c r="GM261" s="44" t="str">
        <f>IF(Table1[Leaving Date]="","",IF(AND(Table1[Leaving Date]&gt;42460,Table1[Leaving Date]&lt;42826),IF(Table1[Date of Last Assessment]="",Table1[Managing Tenancy and Accommodation],Table1[Managing Tenancy and Accommodation2]),""))</f>
        <v/>
      </c>
      <c r="GN261" s="44" t="str">
        <f>IF(Table1[Leaving Date]="","",IF(AND(Table1[Leaving Date]&gt;42460,Table1[Leaving Date]&lt;42826),IF(Table1[Date of Last Assessment]="",Table1[Offending],Table1[Offending2]),""))</f>
        <v/>
      </c>
    </row>
    <row r="262" spans="2:196" ht="20.100000000000001" customHeight="1" x14ac:dyDescent="0.2">
      <c r="B262" s="86">
        <f>+'Service Data'!$C$5:$C$5</f>
        <v>0</v>
      </c>
      <c r="C262" s="86"/>
      <c r="D262" s="86"/>
      <c r="E262" s="86"/>
      <c r="F262" s="86"/>
      <c r="G262" s="86"/>
      <c r="H262" s="6"/>
      <c r="I262" s="99" t="str">
        <f ca="1">IF(Table1[[#This Row],[Date of Birth]]="","",SUM(TODAY()-Table1[[#This Row],[Date of Birth]])/365)</f>
        <v/>
      </c>
      <c r="L262" s="86"/>
      <c r="M262" s="77"/>
      <c r="N262" s="86"/>
      <c r="O262" s="86"/>
      <c r="P262" s="91"/>
      <c r="Q262" s="86"/>
      <c r="R262" s="77"/>
      <c r="S262" s="77"/>
      <c r="T262" s="68"/>
      <c r="U262" s="68"/>
      <c r="V262" s="67"/>
      <c r="W262" s="67"/>
      <c r="X262" s="67"/>
      <c r="Y262" s="67"/>
      <c r="Z262" s="67"/>
      <c r="AA262" s="67"/>
      <c r="AB262" s="67"/>
      <c r="AC262" s="67"/>
      <c r="AD262" s="67"/>
      <c r="AE262" s="67"/>
      <c r="AF262" s="67"/>
      <c r="AG262" s="67"/>
      <c r="AH262" s="67"/>
      <c r="AI262" s="67"/>
      <c r="AJ262" s="67"/>
      <c r="AK262" s="67"/>
      <c r="AL262" s="67"/>
      <c r="AM262" s="67"/>
      <c r="AN262" s="77"/>
      <c r="AO262" s="76"/>
      <c r="AP262" s="77"/>
      <c r="AQ262" s="76"/>
      <c r="AR262" s="76"/>
      <c r="AS262" s="76"/>
      <c r="AT262" s="76"/>
      <c r="AU262" s="76"/>
      <c r="AV262" s="77"/>
      <c r="AW262" s="76"/>
      <c r="AX262" s="77"/>
      <c r="AY262" s="76"/>
      <c r="AZ262" s="76"/>
      <c r="BA262" s="76"/>
      <c r="BB262" s="76"/>
      <c r="BC262" s="76"/>
      <c r="BD262" s="77"/>
      <c r="BE262" s="76"/>
      <c r="BF262" s="77"/>
      <c r="BG262" s="76"/>
      <c r="BH262" s="76"/>
      <c r="BI262" s="76"/>
      <c r="BJ262" s="76"/>
      <c r="BK262" s="76"/>
      <c r="BL262" s="77"/>
      <c r="BM262" s="76"/>
      <c r="BN262" s="77"/>
      <c r="BO262" s="76"/>
      <c r="BP262" s="76"/>
      <c r="BQ262" s="76"/>
      <c r="BR262" s="76"/>
      <c r="BS262" s="76"/>
      <c r="BT262" s="77"/>
      <c r="BU262" s="76"/>
      <c r="BV262" s="77"/>
      <c r="BW262" s="76"/>
      <c r="BX262" s="76"/>
      <c r="BY262" s="76"/>
      <c r="BZ262" s="76"/>
      <c r="CA262" s="76"/>
      <c r="CB262" s="77"/>
      <c r="CC262" s="76"/>
      <c r="CD262" s="77"/>
      <c r="CE262" s="76"/>
      <c r="CF262" s="76"/>
      <c r="CG262" s="76"/>
      <c r="CH262" s="76"/>
      <c r="CI262" s="76"/>
      <c r="CJ262" s="77"/>
      <c r="CK262" s="76"/>
      <c r="CL262" s="77"/>
      <c r="CM262" s="76"/>
      <c r="CN262" s="76"/>
      <c r="CO262" s="76"/>
      <c r="CP262" s="76"/>
      <c r="CQ262" s="76"/>
      <c r="CR262" s="78" t="str">
        <f t="shared" si="79"/>
        <v/>
      </c>
      <c r="CS262" s="79" t="str">
        <f t="shared" si="80"/>
        <v/>
      </c>
      <c r="CT262" s="79" t="str">
        <f t="shared" si="81"/>
        <v/>
      </c>
      <c r="CU262" s="79" t="str">
        <f t="shared" si="82"/>
        <v/>
      </c>
      <c r="CV262" s="79" t="str">
        <f t="shared" si="83"/>
        <v/>
      </c>
      <c r="CW262" s="79" t="str">
        <f t="shared" si="84"/>
        <v/>
      </c>
      <c r="CX262" s="79" t="str">
        <f t="shared" si="85"/>
        <v/>
      </c>
      <c r="CY262" s="79" t="str">
        <f t="shared" si="86"/>
        <v/>
      </c>
      <c r="CZ262" s="79" t="str">
        <f t="shared" si="87"/>
        <v/>
      </c>
      <c r="DA262" s="79" t="str">
        <f t="shared" si="88"/>
        <v/>
      </c>
      <c r="DB262" s="79" t="str">
        <f t="shared" si="89"/>
        <v/>
      </c>
      <c r="DC262" s="79" t="str">
        <f t="shared" si="90"/>
        <v/>
      </c>
      <c r="DD262" s="79" t="str">
        <f t="shared" si="91"/>
        <v/>
      </c>
      <c r="DE262" s="79" t="str">
        <f t="shared" si="92"/>
        <v/>
      </c>
      <c r="DF262" s="79" t="str">
        <f t="shared" si="93"/>
        <v/>
      </c>
      <c r="DG262" s="79" t="str">
        <f t="shared" si="94"/>
        <v/>
      </c>
      <c r="DH262" s="76"/>
      <c r="DI262" s="78"/>
      <c r="DJ262" s="76"/>
      <c r="DK262" s="77"/>
      <c r="DL262" s="77"/>
      <c r="DM262" s="77"/>
      <c r="DN262" s="80"/>
      <c r="DO262" s="80"/>
      <c r="DP262" s="92" t="str">
        <f>IF(Table1[Start Date]="","",IF(Table1[Start Date]&gt;42185,"",IF(AND(Table1[Leaving Date]&gt;1,Table1[Leaving Date]&lt;42095),"",1)))</f>
        <v/>
      </c>
      <c r="DQ262" s="92" t="str">
        <f>IF(Table1[Start Date]="","",IF(Table1[Start Date]&gt;42277,"",IF(AND(Table1[Leaving Date]&gt;1,Table1[Leaving Date]&lt;42186),"",1)))</f>
        <v/>
      </c>
      <c r="DR262" s="92" t="str">
        <f>IF(Table1[Start Date]="","",IF(Table1[Start Date]&gt;42369,"",IF(AND(Table1[Leaving Date]&gt;1,Table1[Leaving Date]&lt;42278),"",1)))</f>
        <v/>
      </c>
      <c r="DS262" s="92" t="str">
        <f>IF(Table1[Start Date]="","",IF(Table1[Start Date]&gt;42460,"",IF(AND(Table1[Leaving Date]&gt;1,Table1[Leaving Date]&lt;42370),"",1)))</f>
        <v/>
      </c>
      <c r="DT262" s="92" t="str">
        <f>IF(Table1[Start Date]="","",IF(Table1[Start Date]&gt;42551,"",IF(AND(Table1[Leaving Date]&gt;1,Table1[Leaving Date]&lt;42461),"",1)))</f>
        <v/>
      </c>
      <c r="DU262" s="92" t="str">
        <f>IF(Table1[Start Date]="","",IF(Table1[Start Date]&gt;42643,"",IF(AND(Table1[Leaving Date]&gt;1,Table1[Leaving Date]&lt;42552),"",1)))</f>
        <v/>
      </c>
      <c r="DV262" s="92" t="str">
        <f>IF(Table1[Start Date]="","",IF(Table1[Start Date]&gt;42735,"",IF(AND(Table1[Leaving Date]&gt;1,Table1[Leaving Date]&lt;42644),"",1)))</f>
        <v/>
      </c>
      <c r="DW262" s="92" t="str">
        <f>IF(Table1[Start Date]="","",IF(Table1[Start Date]&gt;42825,"",IF(AND(Table1[Leaving Date]&gt;1,Table1[Leaving Date]&lt;42736),"",1)))</f>
        <v/>
      </c>
      <c r="DX262"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262" s="44" t="e">
        <f>VLOOKUP(Table1[Referral Source],Lists!$G$2:$H$20,2,FALSE)</f>
        <v>#N/A</v>
      </c>
      <c r="DZ262" s="93" t="e">
        <f>SUM(Table1[Data Referral Quarter]+Table1[Data Referral Source])</f>
        <v>#N/A</v>
      </c>
      <c r="EA262" s="44" t="b">
        <f>IF(Table1[Referral Decision]="Accepted",100,IF(Table1[Referral Decision]="Rejected by Provider",200,IF(Table1[Referral Decision]="Rejected by Applicant",300)))</f>
        <v>0</v>
      </c>
      <c r="EB262" s="44">
        <f>SUM(Table1[Data Referral Quarter]+Table1[Data Referral Decision])</f>
        <v>0</v>
      </c>
      <c r="EC262" s="44" t="b">
        <f>IF(Table1[Start Date]&gt;42735,8000,IF(Table1[Start Date]&gt;42643,7000,IF(Table1[Start Date]&gt;42551,6000,IF(Table1[Start Date]&gt;42460,5000,IF(Table1[Start Date]&gt;42369,4000,IF(Table1[Start Date]&gt;42277,3000,IF(Table1[Start Date]&gt;42185,2000,IF(Table1[Start Date]&gt;42094,1000))))))))</f>
        <v>0</v>
      </c>
      <c r="ED262" s="44" t="str">
        <f>IF(Table1[Start Date]="","",IF(Table1[Current Local Authority]="Swindon",1,"2"))</f>
        <v/>
      </c>
      <c r="EE262" s="44" t="e">
        <f>SUM(Table1[Data Start Date]+Table1[Data Local Authority])</f>
        <v>#VALUE!</v>
      </c>
      <c r="EF262" s="44">
        <f>IF(Table1[Registered with GP]="Yes",1,0)</f>
        <v>0</v>
      </c>
      <c r="EG262" s="44">
        <f>SUM(Table1[Data Start Date]+Table1[Data GP Start])</f>
        <v>0</v>
      </c>
      <c r="EH262" s="44" t="str">
        <f>IF(Table1[EET]="NEET",1,IF(Table1[EET]="Education",2,IF(Table1[EET]="Employment",2,IF(Table1[EET]="Training",2,IF(Table1[EET]="Retired",3,"")))))</f>
        <v/>
      </c>
      <c r="EI262" s="44" t="e">
        <f>Table1[Data Start Date]+Table1[Data EET Start]</f>
        <v>#VALUE!</v>
      </c>
      <c r="EJ262" s="44" t="b">
        <f>IF(Table1[Leaving Date]&gt;42735,8000,IF(Table1[Leaving Date]&gt;42643,7000,IF(Table1[Leaving Date]&gt;42551,6000,IF(Table1[Leaving Date]&gt;42460,5000,IF(Table1[Leaving Date]&gt;42369,4000,IF(Table1[Leaving Date]&gt;42277,3000,IF(Table1[Leaving Date]&gt;42185,2000,IF(Table1[Leaving Date]&gt;42094,1000))))))))</f>
        <v>0</v>
      </c>
      <c r="EK262" s="44" t="e">
        <f>VLOOKUP(Table1[Reason for Leaving],Lists!$T$2:$U$15,2,FALSE)</f>
        <v>#N/A</v>
      </c>
      <c r="EL262" s="44" t="e">
        <f>SUM(Table1[Data Leavers Date]+Table1[Data Move On])</f>
        <v>#N/A</v>
      </c>
      <c r="EM262" s="44" t="b">
        <f>IF(Table1[Registered with GP2]="Yes",1,IF(Table1[Registered with GP2]="No",0,IF(Table1[Registered with GP]="Yes",1,IF(Table1[Registered with GP]="No",0))))</f>
        <v>0</v>
      </c>
      <c r="EN262" s="44">
        <f>SUM(Table1[Data Leavers Date]+Table1[Data GP End])</f>
        <v>0</v>
      </c>
      <c r="EO262" s="44" t="str">
        <f>IF(Table1[EET2]="NEET",1,IF(Table1[EET2]="Employment",2,IF(Table1[EET2]="Education",2,IF(Table1[EET2]="Training",2,IF(Table1[EET2]="Retired",3,IF(Table1[EET]="NEET",1,IF(Table1[EET]="Employment",2,IF(Table1[EET]="Education",2,IF(Table1[EET]="Training",2,IF(Table1[EET]="Retired",3,""))))))))))</f>
        <v/>
      </c>
      <c r="EP262" s="44" t="e">
        <f>+Table1[[#This Row],[Data Leavers Date]]+Table1[[#This Row],[Data EET End]]</f>
        <v>#VALUE!</v>
      </c>
      <c r="EQ262" s="44">
        <f>IF(Table1[Exit Form Received]="Yes",1,0)</f>
        <v>0</v>
      </c>
      <c r="ER262" s="44">
        <f>+Table1[[#This Row],[Data Leavers Date]]+Table1[[#This Row],[Data Exit Forms]]</f>
        <v>0</v>
      </c>
      <c r="ES262" s="44" t="str">
        <f>IF(Table1[Data Leavers Date]=1000,SUM(Table1[Leaving Date]-Table1[Start Date]),"")</f>
        <v/>
      </c>
      <c r="ET262" s="44" t="str">
        <f>IF(Table1[Data Leavers Date]=2000,SUM(Table1[Leaving Date]-Table1[Start Date]),"")</f>
        <v/>
      </c>
      <c r="EU262" s="44" t="str">
        <f>IF(Table1[Data Leavers Date]=3000,SUM(Table1[Leaving Date]-Table1[Start Date]),"")</f>
        <v/>
      </c>
      <c r="EV262" s="44" t="str">
        <f>IF(Table1[Data Leavers Date]=4000,SUM(Table1[Leaving Date]-Table1[Start Date]),"")</f>
        <v/>
      </c>
      <c r="EW262" s="44" t="str">
        <f>IF(Table1[Data Leavers Date]=5000,SUM(Table1[Leaving Date]-Table1[Start Date]),"")</f>
        <v/>
      </c>
      <c r="EX262" s="44" t="str">
        <f>IF(Table1[Data Leavers Date]=6000,SUM(Table1[Leaving Date]-Table1[Start Date]),"")</f>
        <v/>
      </c>
      <c r="EY262" s="44" t="str">
        <f>IF(Table1[Data Leavers Date]=7000,SUM(Table1[Leaving Date]-Table1[Start Date]),"")</f>
        <v/>
      </c>
      <c r="EZ262" s="44" t="str">
        <f>IF(Table1[Data Leavers Date]=8000,SUM(Table1[Leaving Date]-Table1[Start Date]),"")</f>
        <v/>
      </c>
      <c r="FA262" s="44" t="str">
        <f>IF(Table1[Date of Initial Assessment]="","",IF(AND(Table1[Start Date]&gt;42094,Table1[Start Date]&lt;42461),Table1[Motivation and Taking Responsibility],""))</f>
        <v/>
      </c>
      <c r="FB262" s="44" t="str">
        <f>IF(Table1[Date of Initial Assessment]="","",IF(AND(Table1[Start Date]&gt;42094,Table1[Start Date]&lt;42461),Table1[Self-Care and Living Skills],""))</f>
        <v/>
      </c>
      <c r="FC262" s="44" t="str">
        <f>IF(Table1[Date of Initial Assessment]="","",IF(AND(Table1[Start Date]&gt;42094,Table1[Start Date]&lt;42461),Table1[Managing Money and Personal Administration],""))</f>
        <v/>
      </c>
      <c r="FD262" s="44" t="str">
        <f>IF(Table1[Date of Initial Assessment]="","",IF(AND(Table1[Start Date]&gt;42094,Table1[Start Date]&lt;42461),Table1[Social Networks and Relationships],""))</f>
        <v/>
      </c>
      <c r="FE262" s="44" t="str">
        <f>IF(Table1[Date of Initial Assessment]="","",IF(AND(Table1[Start Date]&gt;42094,Table1[Start Date]&lt;42461),Table1[Drug and Alcohol Misuse],""))</f>
        <v/>
      </c>
      <c r="FF262" s="44" t="str">
        <f>IF(Table1[Date of Initial Assessment]="","",IF(AND(Table1[Start Date]&gt;42094,Table1[Start Date]&lt;42461),Table1[Physical Health],""))</f>
        <v/>
      </c>
      <c r="FG262" s="44" t="str">
        <f>IF(Table1[Date of Initial Assessment]="","",IF(AND(Table1[Start Date]&gt;42094,Table1[Start Date]&lt;42461),Table1[Emotional and Mental Health],""))</f>
        <v/>
      </c>
      <c r="FH262" s="44" t="str">
        <f>IF(Table1[Date of Initial Assessment]="","",IF(AND(Table1[Start Date]&gt;42094,Table1[Start Date]&lt;42461),Table1[Meaningful Use of Time],""))</f>
        <v/>
      </c>
      <c r="FI262" s="44" t="str">
        <f>IF(Table1[Date of Initial Assessment]="","",IF(AND(Table1[Start Date]&gt;42094,Table1[Start Date]&lt;42461),Table1[Managing Tenancy and Accommodation],""))</f>
        <v/>
      </c>
      <c r="FJ262" s="44" t="str">
        <f>IF(Table1[Date of Initial Assessment]="","",IF(AND(Table1[Start Date]&gt;42094,Table1[Start Date]&lt;42461),Table1[Offending],""))</f>
        <v/>
      </c>
      <c r="FK262" s="44" t="str">
        <f>IF(Table1[Leaving Date]="","",IF(Table1[Date of Initial Assessment]="","",IF(AND(Table1[Leaving Date]&gt;42094,Table1[Leaving Date]&lt;42461),IF(Table1[Date of Last Assessment]="",Table1[Motivation and Taking Responsibility],Table1[Motivation and Taking Responsibility2]),"")))</f>
        <v/>
      </c>
      <c r="FL262" s="44" t="str">
        <f>IF(Table1[Leaving Date]="","",IF(Table1[Date of Initial Assessment]="","",IF(AND(Table1[Leaving Date]&gt;42094,Table1[Leaving Date]&lt;42461),IF(Table1[Date of Last Assessment]="",Table1[Self-Care and Living Skills],Table1[Self-Care and Living Skills2]),"")))</f>
        <v/>
      </c>
      <c r="FM262" s="44" t="str">
        <f>IF(Table1[Leaving Date]="","",IF(Table1[Date of Initial Assessment]="","",IF(AND(Table1[Leaving Date]&gt;42094,Table1[Leaving Date]&lt;42461),IF(Table1[Date of Last Assessment]="",Table1[Managing Money and Personal Administration],Table1[Managing Money and Personal Administration2]),"")))</f>
        <v/>
      </c>
      <c r="FN262" s="44" t="str">
        <f>IF(Table1[Leaving Date]="","",IF(Table1[Date of Initial Assessment]="","",IF(AND(Table1[Leaving Date]&gt;42094,Table1[Leaving Date]&lt;42461),IF(Table1[Date of Last Assessment]="",Table1[Social Networks and Relationships],Table1[Social Networks and Relationships2]),"")))</f>
        <v/>
      </c>
      <c r="FO262" s="44" t="str">
        <f>IF(Table1[Leaving Date]="","",IF(Table1[Date of Initial Assessment]="","",IF(AND(Table1[Leaving Date]&gt;42094,Table1[Leaving Date]&lt;42461),IF(Table1[Date of Last Assessment]="",Table1[Drug and Alcohol Misuse],Table1[Drug and Alcohol Misuse2]),"")))</f>
        <v/>
      </c>
      <c r="FP262" s="44" t="str">
        <f>IF(Table1[Leaving Date]="","",IF(Table1[Date of Initial Assessment]="","",IF(AND(Table1[Leaving Date]&gt;42094,Table1[Leaving Date]&lt;42461),IF(Table1[Date of Last Assessment]="",Table1[Physical Health],Table1[Physical Health2]),"")))</f>
        <v/>
      </c>
      <c r="FQ262" s="44" t="str">
        <f>IF(Table1[Leaving Date]="","",IF(Table1[Date of Initial Assessment]="","",IF(AND(Table1[Leaving Date]&gt;42094,Table1[Leaving Date]&lt;42461),IF(Table1[Date of Last Assessment]="",Table1[Emotional and Mental Health],Table1[Emotional and Mental Health2]),"")))</f>
        <v/>
      </c>
      <c r="FR262" s="44" t="str">
        <f>IF(Table1[Leaving Date]="","",IF(Table1[Date of Initial Assessment]="","",IF(AND(Table1[Leaving Date]&gt;42094,Table1[Leaving Date]&lt;42461),IF(Table1[Date of Last Assessment]="",Table1[Meaningful Use of Time],Table1[Meaningful Use of Time2]),"")))</f>
        <v/>
      </c>
      <c r="FS262" s="44" t="str">
        <f>IF(Table1[Leaving Date]="","",IF(Table1[Date of Initial Assessment]="","",IF(AND(Table1[Leaving Date]&gt;42094,Table1[Leaving Date]&lt;42461),IF(Table1[Date of Last Assessment]="",Table1[Managing Tenancy and Accommodation],Table1[Managing Tenancy and Accommodation2]),"")))</f>
        <v/>
      </c>
      <c r="FT262" s="44" t="str">
        <f>IF(Table1[Leaving Date]="","",IF(Table1[Date of Initial Assessment]="","",IF(AND(Table1[Leaving Date]&gt;42094,Table1[Leaving Date]&lt;42461),IF(Table1[Date of Last Assessment]="",Table1[Offending],Table1[Offending2]),"")))</f>
        <v/>
      </c>
      <c r="FU262" s="44" t="str">
        <f>IF(Table1[Date of Initial Assessment]="","",IF(AND(Table1[Start Date]&gt;42460,Table1[Start Date]&lt;42826),Table1[Motivation and Taking Responsibility],""))</f>
        <v/>
      </c>
      <c r="FV262" s="44" t="str">
        <f>IF(Table1[Date of Initial Assessment]="","",IF(AND(Table1[Start Date]&gt;42460,Table1[Start Date]&lt;42826),Table1[Self-Care and Living Skills],""))</f>
        <v/>
      </c>
      <c r="FW262" s="44" t="str">
        <f>IF(Table1[Date of Initial Assessment]="","",IF(AND(Table1[Start Date]&gt;42460,Table1[Start Date]&lt;42826),Table1[Managing Money and Personal Administration],""))</f>
        <v/>
      </c>
      <c r="FX262" s="44" t="str">
        <f>IF(Table1[Date of Initial Assessment]="","",IF(AND(Table1[Start Date]&gt;42460,Table1[Start Date]&lt;42826),Table1[Social Networks and Relationships],""))</f>
        <v/>
      </c>
      <c r="FY262" s="44" t="str">
        <f>IF(Table1[Date of Initial Assessment]="","",IF(AND(Table1[Start Date]&gt;42460,Table1[Start Date]&lt;42826),Table1[Drug and Alcohol Misuse],""))</f>
        <v/>
      </c>
      <c r="FZ262" s="44" t="str">
        <f>IF(Table1[Date of Initial Assessment]="","",IF(AND(Table1[Start Date]&gt;42460,Table1[Start Date]&lt;42826),Table1[Physical Health],""))</f>
        <v/>
      </c>
      <c r="GA262" s="44" t="str">
        <f>IF(Table1[Date of Initial Assessment]="","",IF(AND(Table1[Start Date]&gt;42460,Table1[Start Date]&lt;42826),Table1[Emotional and Mental Health],""))</f>
        <v/>
      </c>
      <c r="GB262" s="44" t="str">
        <f>IF(Table1[Date of Initial Assessment]="","",IF(AND(Table1[Start Date]&gt;42460,Table1[Start Date]&lt;42826),Table1[Meaningful Use of Time],""))</f>
        <v/>
      </c>
      <c r="GC262" s="44" t="str">
        <f>IF(Table1[Date of Initial Assessment]="","",IF(AND(Table1[Start Date]&gt;42460,Table1[Start Date]&lt;42826),Table1[Managing Tenancy and Accommodation],""))</f>
        <v/>
      </c>
      <c r="GD262" s="44" t="str">
        <f>IF(Table1[Date of Initial Assessment]="","",IF(AND(Table1[Start Date]&gt;42460,Table1[Start Date]&lt;42826),Table1[Offending],""))</f>
        <v/>
      </c>
      <c r="GE262" s="44" t="str">
        <f>IF(Table1[Leaving Date]="","",IF(AND(Table1[Leaving Date]&gt;42460,Table1[Leaving Date]&lt;42826),IF(Table1[Date of Last Assessment]="",Table1[Motivation and Taking Responsibility],Table1[Motivation and Taking Responsibility2]),""))</f>
        <v/>
      </c>
      <c r="GF262" s="44" t="str">
        <f>IF(Table1[Leaving Date]="","",IF(AND(Table1[Leaving Date]&gt;42460,Table1[Leaving Date]&lt;42826),IF(Table1[Date of Last Assessment]="",Table1[Self-Care and Living Skills],Table1[Self-Care and Living Skills2]),""))</f>
        <v/>
      </c>
      <c r="GG262" s="44" t="str">
        <f>IF(Table1[Leaving Date]="","",IF(AND(Table1[Leaving Date]&gt;42460,Table1[Leaving Date]&lt;42826),IF(Table1[Date of Last Assessment]="",Table1[Managing Money and Personal Administration],Table1[Managing Money and Personal Administration2]),""))</f>
        <v/>
      </c>
      <c r="GH262" s="44" t="str">
        <f>IF(Table1[Leaving Date]="","",IF(AND(Table1[Leaving Date]&gt;42460,Table1[Leaving Date]&lt;42826),IF(Table1[Date of Last Assessment]="",Table1[Social Networks and Relationships],Table1[Social Networks and Relationships2]),""))</f>
        <v/>
      </c>
      <c r="GI262" s="44" t="str">
        <f>IF(Table1[Leaving Date]="","",IF(AND(Table1[Leaving Date]&gt;42460,Table1[Leaving Date]&lt;42826),IF(Table1[Date of Last Assessment]="",Table1[Drug and Alcohol Misuse],Table1[Drug and Alcohol Misuse2]),""))</f>
        <v/>
      </c>
      <c r="GJ262" s="44" t="str">
        <f>IF(Table1[Leaving Date]="","",IF(AND(Table1[Leaving Date]&gt;42460,Table1[Leaving Date]&lt;42826),IF(Table1[Date of Last Assessment]="",Table1[Physical Health],Table1[Physical Health2]),""))</f>
        <v/>
      </c>
      <c r="GK262" s="44" t="str">
        <f>IF(Table1[Leaving Date]="","",IF(AND(Table1[Leaving Date]&gt;42460,Table1[Leaving Date]&lt;42826),IF(Table1[Date of Last Assessment]="",Table1[Emotional and Mental Health],Table1[Emotional and Mental Health2]),""))</f>
        <v/>
      </c>
      <c r="GL262" s="44" t="str">
        <f>IF(Table1[Leaving Date]="","",IF(AND(Table1[Leaving Date]&gt;42460,Table1[Leaving Date]&lt;42826),IF(Table1[Date of Last Assessment]="",Table1[Meaningful Use of Time],Table1[Meaningful Use of Time2]),""))</f>
        <v/>
      </c>
      <c r="GM262" s="44" t="str">
        <f>IF(Table1[Leaving Date]="","",IF(AND(Table1[Leaving Date]&gt;42460,Table1[Leaving Date]&lt;42826),IF(Table1[Date of Last Assessment]="",Table1[Managing Tenancy and Accommodation],Table1[Managing Tenancy and Accommodation2]),""))</f>
        <v/>
      </c>
      <c r="GN262" s="44" t="str">
        <f>IF(Table1[Leaving Date]="","",IF(AND(Table1[Leaving Date]&gt;42460,Table1[Leaving Date]&lt;42826),IF(Table1[Date of Last Assessment]="",Table1[Offending],Table1[Offending2]),""))</f>
        <v/>
      </c>
    </row>
    <row r="263" spans="2:196" ht="20.100000000000001" customHeight="1" x14ac:dyDescent="0.2">
      <c r="B263" s="86">
        <f>+'Service Data'!$C$5:$C$5</f>
        <v>0</v>
      </c>
      <c r="C263" s="86"/>
      <c r="D263" s="86"/>
      <c r="E263" s="86"/>
      <c r="F263" s="86"/>
      <c r="G263" s="86"/>
      <c r="H263" s="6"/>
      <c r="I263" s="99" t="str">
        <f ca="1">IF(Table1[[#This Row],[Date of Birth]]="","",SUM(TODAY()-Table1[[#This Row],[Date of Birth]])/365)</f>
        <v/>
      </c>
      <c r="L263" s="86"/>
      <c r="M263" s="77"/>
      <c r="N263" s="86"/>
      <c r="O263" s="86"/>
      <c r="P263" s="91"/>
      <c r="Q263" s="86"/>
      <c r="R263" s="77"/>
      <c r="S263" s="77"/>
      <c r="T263" s="68"/>
      <c r="U263" s="68"/>
      <c r="V263" s="67"/>
      <c r="W263" s="67"/>
      <c r="X263" s="67"/>
      <c r="Y263" s="67"/>
      <c r="Z263" s="67"/>
      <c r="AA263" s="67"/>
      <c r="AB263" s="67"/>
      <c r="AC263" s="67"/>
      <c r="AD263" s="67"/>
      <c r="AE263" s="67"/>
      <c r="AF263" s="67"/>
      <c r="AG263" s="67"/>
      <c r="AH263" s="67"/>
      <c r="AI263" s="67"/>
      <c r="AJ263" s="67"/>
      <c r="AK263" s="67"/>
      <c r="AL263" s="67"/>
      <c r="AM263" s="67"/>
      <c r="AN263" s="77"/>
      <c r="AO263" s="76"/>
      <c r="AP263" s="77"/>
      <c r="AQ263" s="76"/>
      <c r="AR263" s="76"/>
      <c r="AS263" s="76"/>
      <c r="AT263" s="76"/>
      <c r="AU263" s="76"/>
      <c r="AV263" s="77"/>
      <c r="AW263" s="76"/>
      <c r="AX263" s="77"/>
      <c r="AY263" s="76"/>
      <c r="AZ263" s="76"/>
      <c r="BA263" s="76"/>
      <c r="BB263" s="76"/>
      <c r="BC263" s="76"/>
      <c r="BD263" s="77"/>
      <c r="BE263" s="76"/>
      <c r="BF263" s="77"/>
      <c r="BG263" s="76"/>
      <c r="BH263" s="76"/>
      <c r="BI263" s="76"/>
      <c r="BJ263" s="76"/>
      <c r="BK263" s="76"/>
      <c r="BL263" s="77"/>
      <c r="BM263" s="76"/>
      <c r="BN263" s="77"/>
      <c r="BO263" s="76"/>
      <c r="BP263" s="76"/>
      <c r="BQ263" s="76"/>
      <c r="BR263" s="76"/>
      <c r="BS263" s="76"/>
      <c r="BT263" s="77"/>
      <c r="BU263" s="76"/>
      <c r="BV263" s="77"/>
      <c r="BW263" s="76"/>
      <c r="BX263" s="76"/>
      <c r="BY263" s="76"/>
      <c r="BZ263" s="76"/>
      <c r="CA263" s="76"/>
      <c r="CB263" s="77"/>
      <c r="CC263" s="76"/>
      <c r="CD263" s="77"/>
      <c r="CE263" s="76"/>
      <c r="CF263" s="76"/>
      <c r="CG263" s="76"/>
      <c r="CH263" s="76"/>
      <c r="CI263" s="76"/>
      <c r="CJ263" s="77"/>
      <c r="CK263" s="76"/>
      <c r="CL263" s="77"/>
      <c r="CM263" s="76"/>
      <c r="CN263" s="76"/>
      <c r="CO263" s="76"/>
      <c r="CP263" s="76"/>
      <c r="CQ263" s="76"/>
      <c r="CR263" s="78" t="str">
        <f t="shared" si="79"/>
        <v/>
      </c>
      <c r="CS263" s="79" t="str">
        <f t="shared" si="80"/>
        <v/>
      </c>
      <c r="CT263" s="79" t="str">
        <f t="shared" si="81"/>
        <v/>
      </c>
      <c r="CU263" s="79" t="str">
        <f t="shared" si="82"/>
        <v/>
      </c>
      <c r="CV263" s="79" t="str">
        <f t="shared" si="83"/>
        <v/>
      </c>
      <c r="CW263" s="79" t="str">
        <f t="shared" si="84"/>
        <v/>
      </c>
      <c r="CX263" s="79" t="str">
        <f t="shared" si="85"/>
        <v/>
      </c>
      <c r="CY263" s="79" t="str">
        <f t="shared" si="86"/>
        <v/>
      </c>
      <c r="CZ263" s="79" t="str">
        <f t="shared" si="87"/>
        <v/>
      </c>
      <c r="DA263" s="79" t="str">
        <f t="shared" si="88"/>
        <v/>
      </c>
      <c r="DB263" s="79" t="str">
        <f t="shared" si="89"/>
        <v/>
      </c>
      <c r="DC263" s="79" t="str">
        <f t="shared" si="90"/>
        <v/>
      </c>
      <c r="DD263" s="79" t="str">
        <f t="shared" si="91"/>
        <v/>
      </c>
      <c r="DE263" s="79" t="str">
        <f t="shared" si="92"/>
        <v/>
      </c>
      <c r="DF263" s="79" t="str">
        <f t="shared" si="93"/>
        <v/>
      </c>
      <c r="DG263" s="79" t="str">
        <f t="shared" si="94"/>
        <v/>
      </c>
      <c r="DH263" s="76"/>
      <c r="DI263" s="78"/>
      <c r="DJ263" s="76"/>
      <c r="DK263" s="77"/>
      <c r="DL263" s="77"/>
      <c r="DM263" s="77"/>
      <c r="DN263" s="80"/>
      <c r="DO263" s="80"/>
      <c r="DP263" s="92" t="str">
        <f>IF(Table1[Start Date]="","",IF(Table1[Start Date]&gt;42185,"",IF(AND(Table1[Leaving Date]&gt;1,Table1[Leaving Date]&lt;42095),"",1)))</f>
        <v/>
      </c>
      <c r="DQ263" s="92" t="str">
        <f>IF(Table1[Start Date]="","",IF(Table1[Start Date]&gt;42277,"",IF(AND(Table1[Leaving Date]&gt;1,Table1[Leaving Date]&lt;42186),"",1)))</f>
        <v/>
      </c>
      <c r="DR263" s="92" t="str">
        <f>IF(Table1[Start Date]="","",IF(Table1[Start Date]&gt;42369,"",IF(AND(Table1[Leaving Date]&gt;1,Table1[Leaving Date]&lt;42278),"",1)))</f>
        <v/>
      </c>
      <c r="DS263" s="92" t="str">
        <f>IF(Table1[Start Date]="","",IF(Table1[Start Date]&gt;42460,"",IF(AND(Table1[Leaving Date]&gt;1,Table1[Leaving Date]&lt;42370),"",1)))</f>
        <v/>
      </c>
      <c r="DT263" s="92" t="str">
        <f>IF(Table1[Start Date]="","",IF(Table1[Start Date]&gt;42551,"",IF(AND(Table1[Leaving Date]&gt;1,Table1[Leaving Date]&lt;42461),"",1)))</f>
        <v/>
      </c>
      <c r="DU263" s="92" t="str">
        <f>IF(Table1[Start Date]="","",IF(Table1[Start Date]&gt;42643,"",IF(AND(Table1[Leaving Date]&gt;1,Table1[Leaving Date]&lt;42552),"",1)))</f>
        <v/>
      </c>
      <c r="DV263" s="92" t="str">
        <f>IF(Table1[Start Date]="","",IF(Table1[Start Date]&gt;42735,"",IF(AND(Table1[Leaving Date]&gt;1,Table1[Leaving Date]&lt;42644),"",1)))</f>
        <v/>
      </c>
      <c r="DW263" s="92" t="str">
        <f>IF(Table1[Start Date]="","",IF(Table1[Start Date]&gt;42825,"",IF(AND(Table1[Leaving Date]&gt;1,Table1[Leaving Date]&lt;42736),"",1)))</f>
        <v/>
      </c>
      <c r="DX263"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263" s="44" t="e">
        <f>VLOOKUP(Table1[Referral Source],Lists!$G$2:$H$20,2,FALSE)</f>
        <v>#N/A</v>
      </c>
      <c r="DZ263" s="93" t="e">
        <f>SUM(Table1[Data Referral Quarter]+Table1[Data Referral Source])</f>
        <v>#N/A</v>
      </c>
      <c r="EA263" s="44" t="b">
        <f>IF(Table1[Referral Decision]="Accepted",100,IF(Table1[Referral Decision]="Rejected by Provider",200,IF(Table1[Referral Decision]="Rejected by Applicant",300)))</f>
        <v>0</v>
      </c>
      <c r="EB263" s="44">
        <f>SUM(Table1[Data Referral Quarter]+Table1[Data Referral Decision])</f>
        <v>0</v>
      </c>
      <c r="EC263" s="44" t="b">
        <f>IF(Table1[Start Date]&gt;42735,8000,IF(Table1[Start Date]&gt;42643,7000,IF(Table1[Start Date]&gt;42551,6000,IF(Table1[Start Date]&gt;42460,5000,IF(Table1[Start Date]&gt;42369,4000,IF(Table1[Start Date]&gt;42277,3000,IF(Table1[Start Date]&gt;42185,2000,IF(Table1[Start Date]&gt;42094,1000))))))))</f>
        <v>0</v>
      </c>
      <c r="ED263" s="44" t="str">
        <f>IF(Table1[Start Date]="","",IF(Table1[Current Local Authority]="Swindon",1,"2"))</f>
        <v/>
      </c>
      <c r="EE263" s="44" t="e">
        <f>SUM(Table1[Data Start Date]+Table1[Data Local Authority])</f>
        <v>#VALUE!</v>
      </c>
      <c r="EF263" s="44">
        <f>IF(Table1[Registered with GP]="Yes",1,0)</f>
        <v>0</v>
      </c>
      <c r="EG263" s="44">
        <f>SUM(Table1[Data Start Date]+Table1[Data GP Start])</f>
        <v>0</v>
      </c>
      <c r="EH263" s="44" t="str">
        <f>IF(Table1[EET]="NEET",1,IF(Table1[EET]="Education",2,IF(Table1[EET]="Employment",2,IF(Table1[EET]="Training",2,IF(Table1[EET]="Retired",3,"")))))</f>
        <v/>
      </c>
      <c r="EI263" s="44" t="e">
        <f>Table1[Data Start Date]+Table1[Data EET Start]</f>
        <v>#VALUE!</v>
      </c>
      <c r="EJ263" s="44" t="b">
        <f>IF(Table1[Leaving Date]&gt;42735,8000,IF(Table1[Leaving Date]&gt;42643,7000,IF(Table1[Leaving Date]&gt;42551,6000,IF(Table1[Leaving Date]&gt;42460,5000,IF(Table1[Leaving Date]&gt;42369,4000,IF(Table1[Leaving Date]&gt;42277,3000,IF(Table1[Leaving Date]&gt;42185,2000,IF(Table1[Leaving Date]&gt;42094,1000))))))))</f>
        <v>0</v>
      </c>
      <c r="EK263" s="44" t="e">
        <f>VLOOKUP(Table1[Reason for Leaving],Lists!$T$2:$U$15,2,FALSE)</f>
        <v>#N/A</v>
      </c>
      <c r="EL263" s="44" t="e">
        <f>SUM(Table1[Data Leavers Date]+Table1[Data Move On])</f>
        <v>#N/A</v>
      </c>
      <c r="EM263" s="44" t="b">
        <f>IF(Table1[Registered with GP2]="Yes",1,IF(Table1[Registered with GP2]="No",0,IF(Table1[Registered with GP]="Yes",1,IF(Table1[Registered with GP]="No",0))))</f>
        <v>0</v>
      </c>
      <c r="EN263" s="44">
        <f>SUM(Table1[Data Leavers Date]+Table1[Data GP End])</f>
        <v>0</v>
      </c>
      <c r="EO263" s="44" t="str">
        <f>IF(Table1[EET2]="NEET",1,IF(Table1[EET2]="Employment",2,IF(Table1[EET2]="Education",2,IF(Table1[EET2]="Training",2,IF(Table1[EET2]="Retired",3,IF(Table1[EET]="NEET",1,IF(Table1[EET]="Employment",2,IF(Table1[EET]="Education",2,IF(Table1[EET]="Training",2,IF(Table1[EET]="Retired",3,""))))))))))</f>
        <v/>
      </c>
      <c r="EP263" s="44" t="e">
        <f>+Table1[[#This Row],[Data Leavers Date]]+Table1[[#This Row],[Data EET End]]</f>
        <v>#VALUE!</v>
      </c>
      <c r="EQ263" s="44">
        <f>IF(Table1[Exit Form Received]="Yes",1,0)</f>
        <v>0</v>
      </c>
      <c r="ER263" s="44">
        <f>+Table1[[#This Row],[Data Leavers Date]]+Table1[[#This Row],[Data Exit Forms]]</f>
        <v>0</v>
      </c>
      <c r="ES263" s="44" t="str">
        <f>IF(Table1[Data Leavers Date]=1000,SUM(Table1[Leaving Date]-Table1[Start Date]),"")</f>
        <v/>
      </c>
      <c r="ET263" s="44" t="str">
        <f>IF(Table1[Data Leavers Date]=2000,SUM(Table1[Leaving Date]-Table1[Start Date]),"")</f>
        <v/>
      </c>
      <c r="EU263" s="44" t="str">
        <f>IF(Table1[Data Leavers Date]=3000,SUM(Table1[Leaving Date]-Table1[Start Date]),"")</f>
        <v/>
      </c>
      <c r="EV263" s="44" t="str">
        <f>IF(Table1[Data Leavers Date]=4000,SUM(Table1[Leaving Date]-Table1[Start Date]),"")</f>
        <v/>
      </c>
      <c r="EW263" s="44" t="str">
        <f>IF(Table1[Data Leavers Date]=5000,SUM(Table1[Leaving Date]-Table1[Start Date]),"")</f>
        <v/>
      </c>
      <c r="EX263" s="44" t="str">
        <f>IF(Table1[Data Leavers Date]=6000,SUM(Table1[Leaving Date]-Table1[Start Date]),"")</f>
        <v/>
      </c>
      <c r="EY263" s="44" t="str">
        <f>IF(Table1[Data Leavers Date]=7000,SUM(Table1[Leaving Date]-Table1[Start Date]),"")</f>
        <v/>
      </c>
      <c r="EZ263" s="44" t="str">
        <f>IF(Table1[Data Leavers Date]=8000,SUM(Table1[Leaving Date]-Table1[Start Date]),"")</f>
        <v/>
      </c>
      <c r="FA263" s="44" t="str">
        <f>IF(Table1[Date of Initial Assessment]="","",IF(AND(Table1[Start Date]&gt;42094,Table1[Start Date]&lt;42461),Table1[Motivation and Taking Responsibility],""))</f>
        <v/>
      </c>
      <c r="FB263" s="44" t="str">
        <f>IF(Table1[Date of Initial Assessment]="","",IF(AND(Table1[Start Date]&gt;42094,Table1[Start Date]&lt;42461),Table1[Self-Care and Living Skills],""))</f>
        <v/>
      </c>
      <c r="FC263" s="44" t="str">
        <f>IF(Table1[Date of Initial Assessment]="","",IF(AND(Table1[Start Date]&gt;42094,Table1[Start Date]&lt;42461),Table1[Managing Money and Personal Administration],""))</f>
        <v/>
      </c>
      <c r="FD263" s="44" t="str">
        <f>IF(Table1[Date of Initial Assessment]="","",IF(AND(Table1[Start Date]&gt;42094,Table1[Start Date]&lt;42461),Table1[Social Networks and Relationships],""))</f>
        <v/>
      </c>
      <c r="FE263" s="44" t="str">
        <f>IF(Table1[Date of Initial Assessment]="","",IF(AND(Table1[Start Date]&gt;42094,Table1[Start Date]&lt;42461),Table1[Drug and Alcohol Misuse],""))</f>
        <v/>
      </c>
      <c r="FF263" s="44" t="str">
        <f>IF(Table1[Date of Initial Assessment]="","",IF(AND(Table1[Start Date]&gt;42094,Table1[Start Date]&lt;42461),Table1[Physical Health],""))</f>
        <v/>
      </c>
      <c r="FG263" s="44" t="str">
        <f>IF(Table1[Date of Initial Assessment]="","",IF(AND(Table1[Start Date]&gt;42094,Table1[Start Date]&lt;42461),Table1[Emotional and Mental Health],""))</f>
        <v/>
      </c>
      <c r="FH263" s="44" t="str">
        <f>IF(Table1[Date of Initial Assessment]="","",IF(AND(Table1[Start Date]&gt;42094,Table1[Start Date]&lt;42461),Table1[Meaningful Use of Time],""))</f>
        <v/>
      </c>
      <c r="FI263" s="44" t="str">
        <f>IF(Table1[Date of Initial Assessment]="","",IF(AND(Table1[Start Date]&gt;42094,Table1[Start Date]&lt;42461),Table1[Managing Tenancy and Accommodation],""))</f>
        <v/>
      </c>
      <c r="FJ263" s="44" t="str">
        <f>IF(Table1[Date of Initial Assessment]="","",IF(AND(Table1[Start Date]&gt;42094,Table1[Start Date]&lt;42461),Table1[Offending],""))</f>
        <v/>
      </c>
      <c r="FK263" s="44" t="str">
        <f>IF(Table1[Leaving Date]="","",IF(Table1[Date of Initial Assessment]="","",IF(AND(Table1[Leaving Date]&gt;42094,Table1[Leaving Date]&lt;42461),IF(Table1[Date of Last Assessment]="",Table1[Motivation and Taking Responsibility],Table1[Motivation and Taking Responsibility2]),"")))</f>
        <v/>
      </c>
      <c r="FL263" s="44" t="str">
        <f>IF(Table1[Leaving Date]="","",IF(Table1[Date of Initial Assessment]="","",IF(AND(Table1[Leaving Date]&gt;42094,Table1[Leaving Date]&lt;42461),IF(Table1[Date of Last Assessment]="",Table1[Self-Care and Living Skills],Table1[Self-Care and Living Skills2]),"")))</f>
        <v/>
      </c>
      <c r="FM263" s="44" t="str">
        <f>IF(Table1[Leaving Date]="","",IF(Table1[Date of Initial Assessment]="","",IF(AND(Table1[Leaving Date]&gt;42094,Table1[Leaving Date]&lt;42461),IF(Table1[Date of Last Assessment]="",Table1[Managing Money and Personal Administration],Table1[Managing Money and Personal Administration2]),"")))</f>
        <v/>
      </c>
      <c r="FN263" s="44" t="str">
        <f>IF(Table1[Leaving Date]="","",IF(Table1[Date of Initial Assessment]="","",IF(AND(Table1[Leaving Date]&gt;42094,Table1[Leaving Date]&lt;42461),IF(Table1[Date of Last Assessment]="",Table1[Social Networks and Relationships],Table1[Social Networks and Relationships2]),"")))</f>
        <v/>
      </c>
      <c r="FO263" s="44" t="str">
        <f>IF(Table1[Leaving Date]="","",IF(Table1[Date of Initial Assessment]="","",IF(AND(Table1[Leaving Date]&gt;42094,Table1[Leaving Date]&lt;42461),IF(Table1[Date of Last Assessment]="",Table1[Drug and Alcohol Misuse],Table1[Drug and Alcohol Misuse2]),"")))</f>
        <v/>
      </c>
      <c r="FP263" s="44" t="str">
        <f>IF(Table1[Leaving Date]="","",IF(Table1[Date of Initial Assessment]="","",IF(AND(Table1[Leaving Date]&gt;42094,Table1[Leaving Date]&lt;42461),IF(Table1[Date of Last Assessment]="",Table1[Physical Health],Table1[Physical Health2]),"")))</f>
        <v/>
      </c>
      <c r="FQ263" s="44" t="str">
        <f>IF(Table1[Leaving Date]="","",IF(Table1[Date of Initial Assessment]="","",IF(AND(Table1[Leaving Date]&gt;42094,Table1[Leaving Date]&lt;42461),IF(Table1[Date of Last Assessment]="",Table1[Emotional and Mental Health],Table1[Emotional and Mental Health2]),"")))</f>
        <v/>
      </c>
      <c r="FR263" s="44" t="str">
        <f>IF(Table1[Leaving Date]="","",IF(Table1[Date of Initial Assessment]="","",IF(AND(Table1[Leaving Date]&gt;42094,Table1[Leaving Date]&lt;42461),IF(Table1[Date of Last Assessment]="",Table1[Meaningful Use of Time],Table1[Meaningful Use of Time2]),"")))</f>
        <v/>
      </c>
      <c r="FS263" s="44" t="str">
        <f>IF(Table1[Leaving Date]="","",IF(Table1[Date of Initial Assessment]="","",IF(AND(Table1[Leaving Date]&gt;42094,Table1[Leaving Date]&lt;42461),IF(Table1[Date of Last Assessment]="",Table1[Managing Tenancy and Accommodation],Table1[Managing Tenancy and Accommodation2]),"")))</f>
        <v/>
      </c>
      <c r="FT263" s="44" t="str">
        <f>IF(Table1[Leaving Date]="","",IF(Table1[Date of Initial Assessment]="","",IF(AND(Table1[Leaving Date]&gt;42094,Table1[Leaving Date]&lt;42461),IF(Table1[Date of Last Assessment]="",Table1[Offending],Table1[Offending2]),"")))</f>
        <v/>
      </c>
      <c r="FU263" s="44" t="str">
        <f>IF(Table1[Date of Initial Assessment]="","",IF(AND(Table1[Start Date]&gt;42460,Table1[Start Date]&lt;42826),Table1[Motivation and Taking Responsibility],""))</f>
        <v/>
      </c>
      <c r="FV263" s="44" t="str">
        <f>IF(Table1[Date of Initial Assessment]="","",IF(AND(Table1[Start Date]&gt;42460,Table1[Start Date]&lt;42826),Table1[Self-Care and Living Skills],""))</f>
        <v/>
      </c>
      <c r="FW263" s="44" t="str">
        <f>IF(Table1[Date of Initial Assessment]="","",IF(AND(Table1[Start Date]&gt;42460,Table1[Start Date]&lt;42826),Table1[Managing Money and Personal Administration],""))</f>
        <v/>
      </c>
      <c r="FX263" s="44" t="str">
        <f>IF(Table1[Date of Initial Assessment]="","",IF(AND(Table1[Start Date]&gt;42460,Table1[Start Date]&lt;42826),Table1[Social Networks and Relationships],""))</f>
        <v/>
      </c>
      <c r="FY263" s="44" t="str">
        <f>IF(Table1[Date of Initial Assessment]="","",IF(AND(Table1[Start Date]&gt;42460,Table1[Start Date]&lt;42826),Table1[Drug and Alcohol Misuse],""))</f>
        <v/>
      </c>
      <c r="FZ263" s="44" t="str">
        <f>IF(Table1[Date of Initial Assessment]="","",IF(AND(Table1[Start Date]&gt;42460,Table1[Start Date]&lt;42826),Table1[Physical Health],""))</f>
        <v/>
      </c>
      <c r="GA263" s="44" t="str">
        <f>IF(Table1[Date of Initial Assessment]="","",IF(AND(Table1[Start Date]&gt;42460,Table1[Start Date]&lt;42826),Table1[Emotional and Mental Health],""))</f>
        <v/>
      </c>
      <c r="GB263" s="44" t="str">
        <f>IF(Table1[Date of Initial Assessment]="","",IF(AND(Table1[Start Date]&gt;42460,Table1[Start Date]&lt;42826),Table1[Meaningful Use of Time],""))</f>
        <v/>
      </c>
      <c r="GC263" s="44" t="str">
        <f>IF(Table1[Date of Initial Assessment]="","",IF(AND(Table1[Start Date]&gt;42460,Table1[Start Date]&lt;42826),Table1[Managing Tenancy and Accommodation],""))</f>
        <v/>
      </c>
      <c r="GD263" s="44" t="str">
        <f>IF(Table1[Date of Initial Assessment]="","",IF(AND(Table1[Start Date]&gt;42460,Table1[Start Date]&lt;42826),Table1[Offending],""))</f>
        <v/>
      </c>
      <c r="GE263" s="44" t="str">
        <f>IF(Table1[Leaving Date]="","",IF(AND(Table1[Leaving Date]&gt;42460,Table1[Leaving Date]&lt;42826),IF(Table1[Date of Last Assessment]="",Table1[Motivation and Taking Responsibility],Table1[Motivation and Taking Responsibility2]),""))</f>
        <v/>
      </c>
      <c r="GF263" s="44" t="str">
        <f>IF(Table1[Leaving Date]="","",IF(AND(Table1[Leaving Date]&gt;42460,Table1[Leaving Date]&lt;42826),IF(Table1[Date of Last Assessment]="",Table1[Self-Care and Living Skills],Table1[Self-Care and Living Skills2]),""))</f>
        <v/>
      </c>
      <c r="GG263" s="44" t="str">
        <f>IF(Table1[Leaving Date]="","",IF(AND(Table1[Leaving Date]&gt;42460,Table1[Leaving Date]&lt;42826),IF(Table1[Date of Last Assessment]="",Table1[Managing Money and Personal Administration],Table1[Managing Money and Personal Administration2]),""))</f>
        <v/>
      </c>
      <c r="GH263" s="44" t="str">
        <f>IF(Table1[Leaving Date]="","",IF(AND(Table1[Leaving Date]&gt;42460,Table1[Leaving Date]&lt;42826),IF(Table1[Date of Last Assessment]="",Table1[Social Networks and Relationships],Table1[Social Networks and Relationships2]),""))</f>
        <v/>
      </c>
      <c r="GI263" s="44" t="str">
        <f>IF(Table1[Leaving Date]="","",IF(AND(Table1[Leaving Date]&gt;42460,Table1[Leaving Date]&lt;42826),IF(Table1[Date of Last Assessment]="",Table1[Drug and Alcohol Misuse],Table1[Drug and Alcohol Misuse2]),""))</f>
        <v/>
      </c>
      <c r="GJ263" s="44" t="str">
        <f>IF(Table1[Leaving Date]="","",IF(AND(Table1[Leaving Date]&gt;42460,Table1[Leaving Date]&lt;42826),IF(Table1[Date of Last Assessment]="",Table1[Physical Health],Table1[Physical Health2]),""))</f>
        <v/>
      </c>
      <c r="GK263" s="44" t="str">
        <f>IF(Table1[Leaving Date]="","",IF(AND(Table1[Leaving Date]&gt;42460,Table1[Leaving Date]&lt;42826),IF(Table1[Date of Last Assessment]="",Table1[Emotional and Mental Health],Table1[Emotional and Mental Health2]),""))</f>
        <v/>
      </c>
      <c r="GL263" s="44" t="str">
        <f>IF(Table1[Leaving Date]="","",IF(AND(Table1[Leaving Date]&gt;42460,Table1[Leaving Date]&lt;42826),IF(Table1[Date of Last Assessment]="",Table1[Meaningful Use of Time],Table1[Meaningful Use of Time2]),""))</f>
        <v/>
      </c>
      <c r="GM263" s="44" t="str">
        <f>IF(Table1[Leaving Date]="","",IF(AND(Table1[Leaving Date]&gt;42460,Table1[Leaving Date]&lt;42826),IF(Table1[Date of Last Assessment]="",Table1[Managing Tenancy and Accommodation],Table1[Managing Tenancy and Accommodation2]),""))</f>
        <v/>
      </c>
      <c r="GN263" s="44" t="str">
        <f>IF(Table1[Leaving Date]="","",IF(AND(Table1[Leaving Date]&gt;42460,Table1[Leaving Date]&lt;42826),IF(Table1[Date of Last Assessment]="",Table1[Offending],Table1[Offending2]),""))</f>
        <v/>
      </c>
    </row>
    <row r="264" spans="2:196" ht="20.100000000000001" customHeight="1" x14ac:dyDescent="0.2">
      <c r="B264" s="86">
        <f>+'Service Data'!$C$5:$C$5</f>
        <v>0</v>
      </c>
      <c r="C264" s="86"/>
      <c r="D264" s="86"/>
      <c r="E264" s="86"/>
      <c r="F264" s="86"/>
      <c r="G264" s="86"/>
      <c r="H264" s="6"/>
      <c r="I264" s="99" t="str">
        <f ca="1">IF(Table1[[#This Row],[Date of Birth]]="","",SUM(TODAY()-Table1[[#This Row],[Date of Birth]])/365)</f>
        <v/>
      </c>
      <c r="L264" s="86"/>
      <c r="M264" s="77"/>
      <c r="N264" s="86"/>
      <c r="O264" s="86"/>
      <c r="P264" s="91"/>
      <c r="Q264" s="86"/>
      <c r="R264" s="77"/>
      <c r="S264" s="77"/>
      <c r="T264" s="68"/>
      <c r="U264" s="68"/>
      <c r="V264" s="67"/>
      <c r="W264" s="67"/>
      <c r="X264" s="67"/>
      <c r="Y264" s="67"/>
      <c r="Z264" s="67"/>
      <c r="AA264" s="67"/>
      <c r="AB264" s="67"/>
      <c r="AC264" s="67"/>
      <c r="AD264" s="67"/>
      <c r="AE264" s="67"/>
      <c r="AF264" s="67"/>
      <c r="AG264" s="67"/>
      <c r="AH264" s="67"/>
      <c r="AI264" s="67"/>
      <c r="AJ264" s="67"/>
      <c r="AK264" s="67"/>
      <c r="AL264" s="67"/>
      <c r="AM264" s="67"/>
      <c r="AN264" s="77"/>
      <c r="AO264" s="76"/>
      <c r="AP264" s="77"/>
      <c r="AQ264" s="76"/>
      <c r="AR264" s="76"/>
      <c r="AS264" s="76"/>
      <c r="AT264" s="76"/>
      <c r="AU264" s="76"/>
      <c r="AV264" s="77"/>
      <c r="AW264" s="76"/>
      <c r="AX264" s="77"/>
      <c r="AY264" s="76"/>
      <c r="AZ264" s="76"/>
      <c r="BA264" s="76"/>
      <c r="BB264" s="76"/>
      <c r="BC264" s="76"/>
      <c r="BD264" s="77"/>
      <c r="BE264" s="76"/>
      <c r="BF264" s="77"/>
      <c r="BG264" s="76"/>
      <c r="BH264" s="76"/>
      <c r="BI264" s="76"/>
      <c r="BJ264" s="76"/>
      <c r="BK264" s="76"/>
      <c r="BL264" s="77"/>
      <c r="BM264" s="76"/>
      <c r="BN264" s="77"/>
      <c r="BO264" s="76"/>
      <c r="BP264" s="76"/>
      <c r="BQ264" s="76"/>
      <c r="BR264" s="76"/>
      <c r="BS264" s="76"/>
      <c r="BT264" s="77"/>
      <c r="BU264" s="76"/>
      <c r="BV264" s="77"/>
      <c r="BW264" s="76"/>
      <c r="BX264" s="76"/>
      <c r="BY264" s="76"/>
      <c r="BZ264" s="76"/>
      <c r="CA264" s="76"/>
      <c r="CB264" s="77"/>
      <c r="CC264" s="76"/>
      <c r="CD264" s="77"/>
      <c r="CE264" s="76"/>
      <c r="CF264" s="76"/>
      <c r="CG264" s="76"/>
      <c r="CH264" s="76"/>
      <c r="CI264" s="76"/>
      <c r="CJ264" s="77"/>
      <c r="CK264" s="76"/>
      <c r="CL264" s="77"/>
      <c r="CM264" s="76"/>
      <c r="CN264" s="76"/>
      <c r="CO264" s="76"/>
      <c r="CP264" s="76"/>
      <c r="CQ264" s="76"/>
      <c r="CR264" s="78" t="str">
        <f t="shared" si="79"/>
        <v/>
      </c>
      <c r="CS264" s="79" t="str">
        <f t="shared" si="80"/>
        <v/>
      </c>
      <c r="CT264" s="79" t="str">
        <f t="shared" si="81"/>
        <v/>
      </c>
      <c r="CU264" s="79" t="str">
        <f t="shared" si="82"/>
        <v/>
      </c>
      <c r="CV264" s="79" t="str">
        <f t="shared" si="83"/>
        <v/>
      </c>
      <c r="CW264" s="79" t="str">
        <f t="shared" si="84"/>
        <v/>
      </c>
      <c r="CX264" s="79" t="str">
        <f t="shared" si="85"/>
        <v/>
      </c>
      <c r="CY264" s="79" t="str">
        <f t="shared" si="86"/>
        <v/>
      </c>
      <c r="CZ264" s="79" t="str">
        <f t="shared" si="87"/>
        <v/>
      </c>
      <c r="DA264" s="79" t="str">
        <f t="shared" si="88"/>
        <v/>
      </c>
      <c r="DB264" s="79" t="str">
        <f t="shared" si="89"/>
        <v/>
      </c>
      <c r="DC264" s="79" t="str">
        <f t="shared" si="90"/>
        <v/>
      </c>
      <c r="DD264" s="79" t="str">
        <f t="shared" si="91"/>
        <v/>
      </c>
      <c r="DE264" s="79" t="str">
        <f t="shared" si="92"/>
        <v/>
      </c>
      <c r="DF264" s="79" t="str">
        <f t="shared" si="93"/>
        <v/>
      </c>
      <c r="DG264" s="79" t="str">
        <f t="shared" si="94"/>
        <v/>
      </c>
      <c r="DH264" s="76"/>
      <c r="DI264" s="78"/>
      <c r="DJ264" s="76"/>
      <c r="DK264" s="77"/>
      <c r="DL264" s="77"/>
      <c r="DM264" s="77"/>
      <c r="DN264" s="80"/>
      <c r="DO264" s="80"/>
      <c r="DP264" s="92" t="str">
        <f>IF(Table1[Start Date]="","",IF(Table1[Start Date]&gt;42185,"",IF(AND(Table1[Leaving Date]&gt;1,Table1[Leaving Date]&lt;42095),"",1)))</f>
        <v/>
      </c>
      <c r="DQ264" s="92" t="str">
        <f>IF(Table1[Start Date]="","",IF(Table1[Start Date]&gt;42277,"",IF(AND(Table1[Leaving Date]&gt;1,Table1[Leaving Date]&lt;42186),"",1)))</f>
        <v/>
      </c>
      <c r="DR264" s="92" t="str">
        <f>IF(Table1[Start Date]="","",IF(Table1[Start Date]&gt;42369,"",IF(AND(Table1[Leaving Date]&gt;1,Table1[Leaving Date]&lt;42278),"",1)))</f>
        <v/>
      </c>
      <c r="DS264" s="92" t="str">
        <f>IF(Table1[Start Date]="","",IF(Table1[Start Date]&gt;42460,"",IF(AND(Table1[Leaving Date]&gt;1,Table1[Leaving Date]&lt;42370),"",1)))</f>
        <v/>
      </c>
      <c r="DT264" s="92" t="str">
        <f>IF(Table1[Start Date]="","",IF(Table1[Start Date]&gt;42551,"",IF(AND(Table1[Leaving Date]&gt;1,Table1[Leaving Date]&lt;42461),"",1)))</f>
        <v/>
      </c>
      <c r="DU264" s="92" t="str">
        <f>IF(Table1[Start Date]="","",IF(Table1[Start Date]&gt;42643,"",IF(AND(Table1[Leaving Date]&gt;1,Table1[Leaving Date]&lt;42552),"",1)))</f>
        <v/>
      </c>
      <c r="DV264" s="92" t="str">
        <f>IF(Table1[Start Date]="","",IF(Table1[Start Date]&gt;42735,"",IF(AND(Table1[Leaving Date]&gt;1,Table1[Leaving Date]&lt;42644),"",1)))</f>
        <v/>
      </c>
      <c r="DW264" s="92" t="str">
        <f>IF(Table1[Start Date]="","",IF(Table1[Start Date]&gt;42825,"",IF(AND(Table1[Leaving Date]&gt;1,Table1[Leaving Date]&lt;42736),"",1)))</f>
        <v/>
      </c>
      <c r="DX264"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264" s="44" t="e">
        <f>VLOOKUP(Table1[Referral Source],Lists!$G$2:$H$20,2,FALSE)</f>
        <v>#N/A</v>
      </c>
      <c r="DZ264" s="93" t="e">
        <f>SUM(Table1[Data Referral Quarter]+Table1[Data Referral Source])</f>
        <v>#N/A</v>
      </c>
      <c r="EA264" s="44" t="b">
        <f>IF(Table1[Referral Decision]="Accepted",100,IF(Table1[Referral Decision]="Rejected by Provider",200,IF(Table1[Referral Decision]="Rejected by Applicant",300)))</f>
        <v>0</v>
      </c>
      <c r="EB264" s="44">
        <f>SUM(Table1[Data Referral Quarter]+Table1[Data Referral Decision])</f>
        <v>0</v>
      </c>
      <c r="EC264" s="44" t="b">
        <f>IF(Table1[Start Date]&gt;42735,8000,IF(Table1[Start Date]&gt;42643,7000,IF(Table1[Start Date]&gt;42551,6000,IF(Table1[Start Date]&gt;42460,5000,IF(Table1[Start Date]&gt;42369,4000,IF(Table1[Start Date]&gt;42277,3000,IF(Table1[Start Date]&gt;42185,2000,IF(Table1[Start Date]&gt;42094,1000))))))))</f>
        <v>0</v>
      </c>
      <c r="ED264" s="44" t="str">
        <f>IF(Table1[Start Date]="","",IF(Table1[Current Local Authority]="Swindon",1,"2"))</f>
        <v/>
      </c>
      <c r="EE264" s="44" t="e">
        <f>SUM(Table1[Data Start Date]+Table1[Data Local Authority])</f>
        <v>#VALUE!</v>
      </c>
      <c r="EF264" s="44">
        <f>IF(Table1[Registered with GP]="Yes",1,0)</f>
        <v>0</v>
      </c>
      <c r="EG264" s="44">
        <f>SUM(Table1[Data Start Date]+Table1[Data GP Start])</f>
        <v>0</v>
      </c>
      <c r="EH264" s="44" t="str">
        <f>IF(Table1[EET]="NEET",1,IF(Table1[EET]="Education",2,IF(Table1[EET]="Employment",2,IF(Table1[EET]="Training",2,IF(Table1[EET]="Retired",3,"")))))</f>
        <v/>
      </c>
      <c r="EI264" s="44" t="e">
        <f>Table1[Data Start Date]+Table1[Data EET Start]</f>
        <v>#VALUE!</v>
      </c>
      <c r="EJ264" s="44" t="b">
        <f>IF(Table1[Leaving Date]&gt;42735,8000,IF(Table1[Leaving Date]&gt;42643,7000,IF(Table1[Leaving Date]&gt;42551,6000,IF(Table1[Leaving Date]&gt;42460,5000,IF(Table1[Leaving Date]&gt;42369,4000,IF(Table1[Leaving Date]&gt;42277,3000,IF(Table1[Leaving Date]&gt;42185,2000,IF(Table1[Leaving Date]&gt;42094,1000))))))))</f>
        <v>0</v>
      </c>
      <c r="EK264" s="44" t="e">
        <f>VLOOKUP(Table1[Reason for Leaving],Lists!$T$2:$U$15,2,FALSE)</f>
        <v>#N/A</v>
      </c>
      <c r="EL264" s="44" t="e">
        <f>SUM(Table1[Data Leavers Date]+Table1[Data Move On])</f>
        <v>#N/A</v>
      </c>
      <c r="EM264" s="44" t="b">
        <f>IF(Table1[Registered with GP2]="Yes",1,IF(Table1[Registered with GP2]="No",0,IF(Table1[Registered with GP]="Yes",1,IF(Table1[Registered with GP]="No",0))))</f>
        <v>0</v>
      </c>
      <c r="EN264" s="44">
        <f>SUM(Table1[Data Leavers Date]+Table1[Data GP End])</f>
        <v>0</v>
      </c>
      <c r="EO264" s="44" t="str">
        <f>IF(Table1[EET2]="NEET",1,IF(Table1[EET2]="Employment",2,IF(Table1[EET2]="Education",2,IF(Table1[EET2]="Training",2,IF(Table1[EET2]="Retired",3,IF(Table1[EET]="NEET",1,IF(Table1[EET]="Employment",2,IF(Table1[EET]="Education",2,IF(Table1[EET]="Training",2,IF(Table1[EET]="Retired",3,""))))))))))</f>
        <v/>
      </c>
      <c r="EP264" s="44" t="e">
        <f>+Table1[[#This Row],[Data Leavers Date]]+Table1[[#This Row],[Data EET End]]</f>
        <v>#VALUE!</v>
      </c>
      <c r="EQ264" s="44">
        <f>IF(Table1[Exit Form Received]="Yes",1,0)</f>
        <v>0</v>
      </c>
      <c r="ER264" s="44">
        <f>+Table1[[#This Row],[Data Leavers Date]]+Table1[[#This Row],[Data Exit Forms]]</f>
        <v>0</v>
      </c>
      <c r="ES264" s="44" t="str">
        <f>IF(Table1[Data Leavers Date]=1000,SUM(Table1[Leaving Date]-Table1[Start Date]),"")</f>
        <v/>
      </c>
      <c r="ET264" s="44" t="str">
        <f>IF(Table1[Data Leavers Date]=2000,SUM(Table1[Leaving Date]-Table1[Start Date]),"")</f>
        <v/>
      </c>
      <c r="EU264" s="44" t="str">
        <f>IF(Table1[Data Leavers Date]=3000,SUM(Table1[Leaving Date]-Table1[Start Date]),"")</f>
        <v/>
      </c>
      <c r="EV264" s="44" t="str">
        <f>IF(Table1[Data Leavers Date]=4000,SUM(Table1[Leaving Date]-Table1[Start Date]),"")</f>
        <v/>
      </c>
      <c r="EW264" s="44" t="str">
        <f>IF(Table1[Data Leavers Date]=5000,SUM(Table1[Leaving Date]-Table1[Start Date]),"")</f>
        <v/>
      </c>
      <c r="EX264" s="44" t="str">
        <f>IF(Table1[Data Leavers Date]=6000,SUM(Table1[Leaving Date]-Table1[Start Date]),"")</f>
        <v/>
      </c>
      <c r="EY264" s="44" t="str">
        <f>IF(Table1[Data Leavers Date]=7000,SUM(Table1[Leaving Date]-Table1[Start Date]),"")</f>
        <v/>
      </c>
      <c r="EZ264" s="44" t="str">
        <f>IF(Table1[Data Leavers Date]=8000,SUM(Table1[Leaving Date]-Table1[Start Date]),"")</f>
        <v/>
      </c>
      <c r="FA264" s="44" t="str">
        <f>IF(Table1[Date of Initial Assessment]="","",IF(AND(Table1[Start Date]&gt;42094,Table1[Start Date]&lt;42461),Table1[Motivation and Taking Responsibility],""))</f>
        <v/>
      </c>
      <c r="FB264" s="44" t="str">
        <f>IF(Table1[Date of Initial Assessment]="","",IF(AND(Table1[Start Date]&gt;42094,Table1[Start Date]&lt;42461),Table1[Self-Care and Living Skills],""))</f>
        <v/>
      </c>
      <c r="FC264" s="44" t="str">
        <f>IF(Table1[Date of Initial Assessment]="","",IF(AND(Table1[Start Date]&gt;42094,Table1[Start Date]&lt;42461),Table1[Managing Money and Personal Administration],""))</f>
        <v/>
      </c>
      <c r="FD264" s="44" t="str">
        <f>IF(Table1[Date of Initial Assessment]="","",IF(AND(Table1[Start Date]&gt;42094,Table1[Start Date]&lt;42461),Table1[Social Networks and Relationships],""))</f>
        <v/>
      </c>
      <c r="FE264" s="44" t="str">
        <f>IF(Table1[Date of Initial Assessment]="","",IF(AND(Table1[Start Date]&gt;42094,Table1[Start Date]&lt;42461),Table1[Drug and Alcohol Misuse],""))</f>
        <v/>
      </c>
      <c r="FF264" s="44" t="str">
        <f>IF(Table1[Date of Initial Assessment]="","",IF(AND(Table1[Start Date]&gt;42094,Table1[Start Date]&lt;42461),Table1[Physical Health],""))</f>
        <v/>
      </c>
      <c r="FG264" s="44" t="str">
        <f>IF(Table1[Date of Initial Assessment]="","",IF(AND(Table1[Start Date]&gt;42094,Table1[Start Date]&lt;42461),Table1[Emotional and Mental Health],""))</f>
        <v/>
      </c>
      <c r="FH264" s="44" t="str">
        <f>IF(Table1[Date of Initial Assessment]="","",IF(AND(Table1[Start Date]&gt;42094,Table1[Start Date]&lt;42461),Table1[Meaningful Use of Time],""))</f>
        <v/>
      </c>
      <c r="FI264" s="44" t="str">
        <f>IF(Table1[Date of Initial Assessment]="","",IF(AND(Table1[Start Date]&gt;42094,Table1[Start Date]&lt;42461),Table1[Managing Tenancy and Accommodation],""))</f>
        <v/>
      </c>
      <c r="FJ264" s="44" t="str">
        <f>IF(Table1[Date of Initial Assessment]="","",IF(AND(Table1[Start Date]&gt;42094,Table1[Start Date]&lt;42461),Table1[Offending],""))</f>
        <v/>
      </c>
      <c r="FK264" s="44" t="str">
        <f>IF(Table1[Leaving Date]="","",IF(Table1[Date of Initial Assessment]="","",IF(AND(Table1[Leaving Date]&gt;42094,Table1[Leaving Date]&lt;42461),IF(Table1[Date of Last Assessment]="",Table1[Motivation and Taking Responsibility],Table1[Motivation and Taking Responsibility2]),"")))</f>
        <v/>
      </c>
      <c r="FL264" s="44" t="str">
        <f>IF(Table1[Leaving Date]="","",IF(Table1[Date of Initial Assessment]="","",IF(AND(Table1[Leaving Date]&gt;42094,Table1[Leaving Date]&lt;42461),IF(Table1[Date of Last Assessment]="",Table1[Self-Care and Living Skills],Table1[Self-Care and Living Skills2]),"")))</f>
        <v/>
      </c>
      <c r="FM264" s="44" t="str">
        <f>IF(Table1[Leaving Date]="","",IF(Table1[Date of Initial Assessment]="","",IF(AND(Table1[Leaving Date]&gt;42094,Table1[Leaving Date]&lt;42461),IF(Table1[Date of Last Assessment]="",Table1[Managing Money and Personal Administration],Table1[Managing Money and Personal Administration2]),"")))</f>
        <v/>
      </c>
      <c r="FN264" s="44" t="str">
        <f>IF(Table1[Leaving Date]="","",IF(Table1[Date of Initial Assessment]="","",IF(AND(Table1[Leaving Date]&gt;42094,Table1[Leaving Date]&lt;42461),IF(Table1[Date of Last Assessment]="",Table1[Social Networks and Relationships],Table1[Social Networks and Relationships2]),"")))</f>
        <v/>
      </c>
      <c r="FO264" s="44" t="str">
        <f>IF(Table1[Leaving Date]="","",IF(Table1[Date of Initial Assessment]="","",IF(AND(Table1[Leaving Date]&gt;42094,Table1[Leaving Date]&lt;42461),IF(Table1[Date of Last Assessment]="",Table1[Drug and Alcohol Misuse],Table1[Drug and Alcohol Misuse2]),"")))</f>
        <v/>
      </c>
      <c r="FP264" s="44" t="str">
        <f>IF(Table1[Leaving Date]="","",IF(Table1[Date of Initial Assessment]="","",IF(AND(Table1[Leaving Date]&gt;42094,Table1[Leaving Date]&lt;42461),IF(Table1[Date of Last Assessment]="",Table1[Physical Health],Table1[Physical Health2]),"")))</f>
        <v/>
      </c>
      <c r="FQ264" s="44" t="str">
        <f>IF(Table1[Leaving Date]="","",IF(Table1[Date of Initial Assessment]="","",IF(AND(Table1[Leaving Date]&gt;42094,Table1[Leaving Date]&lt;42461),IF(Table1[Date of Last Assessment]="",Table1[Emotional and Mental Health],Table1[Emotional and Mental Health2]),"")))</f>
        <v/>
      </c>
      <c r="FR264" s="44" t="str">
        <f>IF(Table1[Leaving Date]="","",IF(Table1[Date of Initial Assessment]="","",IF(AND(Table1[Leaving Date]&gt;42094,Table1[Leaving Date]&lt;42461),IF(Table1[Date of Last Assessment]="",Table1[Meaningful Use of Time],Table1[Meaningful Use of Time2]),"")))</f>
        <v/>
      </c>
      <c r="FS264" s="44" t="str">
        <f>IF(Table1[Leaving Date]="","",IF(Table1[Date of Initial Assessment]="","",IF(AND(Table1[Leaving Date]&gt;42094,Table1[Leaving Date]&lt;42461),IF(Table1[Date of Last Assessment]="",Table1[Managing Tenancy and Accommodation],Table1[Managing Tenancy and Accommodation2]),"")))</f>
        <v/>
      </c>
      <c r="FT264" s="44" t="str">
        <f>IF(Table1[Leaving Date]="","",IF(Table1[Date of Initial Assessment]="","",IF(AND(Table1[Leaving Date]&gt;42094,Table1[Leaving Date]&lt;42461),IF(Table1[Date of Last Assessment]="",Table1[Offending],Table1[Offending2]),"")))</f>
        <v/>
      </c>
      <c r="FU264" s="44" t="str">
        <f>IF(Table1[Date of Initial Assessment]="","",IF(AND(Table1[Start Date]&gt;42460,Table1[Start Date]&lt;42826),Table1[Motivation and Taking Responsibility],""))</f>
        <v/>
      </c>
      <c r="FV264" s="44" t="str">
        <f>IF(Table1[Date of Initial Assessment]="","",IF(AND(Table1[Start Date]&gt;42460,Table1[Start Date]&lt;42826),Table1[Self-Care and Living Skills],""))</f>
        <v/>
      </c>
      <c r="FW264" s="44" t="str">
        <f>IF(Table1[Date of Initial Assessment]="","",IF(AND(Table1[Start Date]&gt;42460,Table1[Start Date]&lt;42826),Table1[Managing Money and Personal Administration],""))</f>
        <v/>
      </c>
      <c r="FX264" s="44" t="str">
        <f>IF(Table1[Date of Initial Assessment]="","",IF(AND(Table1[Start Date]&gt;42460,Table1[Start Date]&lt;42826),Table1[Social Networks and Relationships],""))</f>
        <v/>
      </c>
      <c r="FY264" s="44" t="str">
        <f>IF(Table1[Date of Initial Assessment]="","",IF(AND(Table1[Start Date]&gt;42460,Table1[Start Date]&lt;42826),Table1[Drug and Alcohol Misuse],""))</f>
        <v/>
      </c>
      <c r="FZ264" s="44" t="str">
        <f>IF(Table1[Date of Initial Assessment]="","",IF(AND(Table1[Start Date]&gt;42460,Table1[Start Date]&lt;42826),Table1[Physical Health],""))</f>
        <v/>
      </c>
      <c r="GA264" s="44" t="str">
        <f>IF(Table1[Date of Initial Assessment]="","",IF(AND(Table1[Start Date]&gt;42460,Table1[Start Date]&lt;42826),Table1[Emotional and Mental Health],""))</f>
        <v/>
      </c>
      <c r="GB264" s="44" t="str">
        <f>IF(Table1[Date of Initial Assessment]="","",IF(AND(Table1[Start Date]&gt;42460,Table1[Start Date]&lt;42826),Table1[Meaningful Use of Time],""))</f>
        <v/>
      </c>
      <c r="GC264" s="44" t="str">
        <f>IF(Table1[Date of Initial Assessment]="","",IF(AND(Table1[Start Date]&gt;42460,Table1[Start Date]&lt;42826),Table1[Managing Tenancy and Accommodation],""))</f>
        <v/>
      </c>
      <c r="GD264" s="44" t="str">
        <f>IF(Table1[Date of Initial Assessment]="","",IF(AND(Table1[Start Date]&gt;42460,Table1[Start Date]&lt;42826),Table1[Offending],""))</f>
        <v/>
      </c>
      <c r="GE264" s="44" t="str">
        <f>IF(Table1[Leaving Date]="","",IF(AND(Table1[Leaving Date]&gt;42460,Table1[Leaving Date]&lt;42826),IF(Table1[Date of Last Assessment]="",Table1[Motivation and Taking Responsibility],Table1[Motivation and Taking Responsibility2]),""))</f>
        <v/>
      </c>
      <c r="GF264" s="44" t="str">
        <f>IF(Table1[Leaving Date]="","",IF(AND(Table1[Leaving Date]&gt;42460,Table1[Leaving Date]&lt;42826),IF(Table1[Date of Last Assessment]="",Table1[Self-Care and Living Skills],Table1[Self-Care and Living Skills2]),""))</f>
        <v/>
      </c>
      <c r="GG264" s="44" t="str">
        <f>IF(Table1[Leaving Date]="","",IF(AND(Table1[Leaving Date]&gt;42460,Table1[Leaving Date]&lt;42826),IF(Table1[Date of Last Assessment]="",Table1[Managing Money and Personal Administration],Table1[Managing Money and Personal Administration2]),""))</f>
        <v/>
      </c>
      <c r="GH264" s="44" t="str">
        <f>IF(Table1[Leaving Date]="","",IF(AND(Table1[Leaving Date]&gt;42460,Table1[Leaving Date]&lt;42826),IF(Table1[Date of Last Assessment]="",Table1[Social Networks and Relationships],Table1[Social Networks and Relationships2]),""))</f>
        <v/>
      </c>
      <c r="GI264" s="44" t="str">
        <f>IF(Table1[Leaving Date]="","",IF(AND(Table1[Leaving Date]&gt;42460,Table1[Leaving Date]&lt;42826),IF(Table1[Date of Last Assessment]="",Table1[Drug and Alcohol Misuse],Table1[Drug and Alcohol Misuse2]),""))</f>
        <v/>
      </c>
      <c r="GJ264" s="44" t="str">
        <f>IF(Table1[Leaving Date]="","",IF(AND(Table1[Leaving Date]&gt;42460,Table1[Leaving Date]&lt;42826),IF(Table1[Date of Last Assessment]="",Table1[Physical Health],Table1[Physical Health2]),""))</f>
        <v/>
      </c>
      <c r="GK264" s="44" t="str">
        <f>IF(Table1[Leaving Date]="","",IF(AND(Table1[Leaving Date]&gt;42460,Table1[Leaving Date]&lt;42826),IF(Table1[Date of Last Assessment]="",Table1[Emotional and Mental Health],Table1[Emotional and Mental Health2]),""))</f>
        <v/>
      </c>
      <c r="GL264" s="44" t="str">
        <f>IF(Table1[Leaving Date]="","",IF(AND(Table1[Leaving Date]&gt;42460,Table1[Leaving Date]&lt;42826),IF(Table1[Date of Last Assessment]="",Table1[Meaningful Use of Time],Table1[Meaningful Use of Time2]),""))</f>
        <v/>
      </c>
      <c r="GM264" s="44" t="str">
        <f>IF(Table1[Leaving Date]="","",IF(AND(Table1[Leaving Date]&gt;42460,Table1[Leaving Date]&lt;42826),IF(Table1[Date of Last Assessment]="",Table1[Managing Tenancy and Accommodation],Table1[Managing Tenancy and Accommodation2]),""))</f>
        <v/>
      </c>
      <c r="GN264" s="44" t="str">
        <f>IF(Table1[Leaving Date]="","",IF(AND(Table1[Leaving Date]&gt;42460,Table1[Leaving Date]&lt;42826),IF(Table1[Date of Last Assessment]="",Table1[Offending],Table1[Offending2]),""))</f>
        <v/>
      </c>
    </row>
    <row r="265" spans="2:196" ht="20.100000000000001" customHeight="1" x14ac:dyDescent="0.2">
      <c r="B265" s="86">
        <f>+'Service Data'!$C$5:$C$5</f>
        <v>0</v>
      </c>
      <c r="C265" s="86"/>
      <c r="D265" s="86"/>
      <c r="E265" s="86"/>
      <c r="F265" s="86"/>
      <c r="G265" s="86"/>
      <c r="H265" s="6"/>
      <c r="I265" s="99" t="str">
        <f ca="1">IF(Table1[[#This Row],[Date of Birth]]="","",SUM(TODAY()-Table1[[#This Row],[Date of Birth]])/365)</f>
        <v/>
      </c>
      <c r="L265" s="86"/>
      <c r="M265" s="77"/>
      <c r="N265" s="86"/>
      <c r="O265" s="86"/>
      <c r="P265" s="91"/>
      <c r="Q265" s="86"/>
      <c r="R265" s="77"/>
      <c r="S265" s="77"/>
      <c r="T265" s="68"/>
      <c r="U265" s="68"/>
      <c r="V265" s="67"/>
      <c r="W265" s="67"/>
      <c r="X265" s="67"/>
      <c r="Y265" s="67"/>
      <c r="Z265" s="67"/>
      <c r="AA265" s="67"/>
      <c r="AB265" s="67"/>
      <c r="AC265" s="67"/>
      <c r="AD265" s="67"/>
      <c r="AE265" s="67"/>
      <c r="AF265" s="67"/>
      <c r="AG265" s="67"/>
      <c r="AH265" s="67"/>
      <c r="AI265" s="67"/>
      <c r="AJ265" s="67"/>
      <c r="AK265" s="67"/>
      <c r="AL265" s="67"/>
      <c r="AM265" s="67"/>
      <c r="AN265" s="77"/>
      <c r="AO265" s="76"/>
      <c r="AP265" s="77"/>
      <c r="AQ265" s="76"/>
      <c r="AR265" s="76"/>
      <c r="AS265" s="76"/>
      <c r="AT265" s="76"/>
      <c r="AU265" s="76"/>
      <c r="AV265" s="77"/>
      <c r="AW265" s="76"/>
      <c r="AX265" s="77"/>
      <c r="AY265" s="76"/>
      <c r="AZ265" s="76"/>
      <c r="BA265" s="76"/>
      <c r="BB265" s="76"/>
      <c r="BC265" s="76"/>
      <c r="BD265" s="77"/>
      <c r="BE265" s="76"/>
      <c r="BF265" s="77"/>
      <c r="BG265" s="76"/>
      <c r="BH265" s="76"/>
      <c r="BI265" s="76"/>
      <c r="BJ265" s="76"/>
      <c r="BK265" s="76"/>
      <c r="BL265" s="77"/>
      <c r="BM265" s="76"/>
      <c r="BN265" s="77"/>
      <c r="BO265" s="76"/>
      <c r="BP265" s="76"/>
      <c r="BQ265" s="76"/>
      <c r="BR265" s="76"/>
      <c r="BS265" s="76"/>
      <c r="BT265" s="77"/>
      <c r="BU265" s="76"/>
      <c r="BV265" s="77"/>
      <c r="BW265" s="76"/>
      <c r="BX265" s="76"/>
      <c r="BY265" s="76"/>
      <c r="BZ265" s="76"/>
      <c r="CA265" s="76"/>
      <c r="CB265" s="77"/>
      <c r="CC265" s="76"/>
      <c r="CD265" s="77"/>
      <c r="CE265" s="76"/>
      <c r="CF265" s="76"/>
      <c r="CG265" s="76"/>
      <c r="CH265" s="76"/>
      <c r="CI265" s="76"/>
      <c r="CJ265" s="77"/>
      <c r="CK265" s="76"/>
      <c r="CL265" s="77"/>
      <c r="CM265" s="76"/>
      <c r="CN265" s="76"/>
      <c r="CO265" s="76"/>
      <c r="CP265" s="76"/>
      <c r="CQ265" s="76"/>
      <c r="CR265" s="78" t="str">
        <f t="shared" si="79"/>
        <v/>
      </c>
      <c r="CS265" s="79" t="str">
        <f t="shared" si="80"/>
        <v/>
      </c>
      <c r="CT265" s="79" t="str">
        <f t="shared" si="81"/>
        <v/>
      </c>
      <c r="CU265" s="79" t="str">
        <f t="shared" si="82"/>
        <v/>
      </c>
      <c r="CV265" s="79" t="str">
        <f t="shared" si="83"/>
        <v/>
      </c>
      <c r="CW265" s="79" t="str">
        <f t="shared" si="84"/>
        <v/>
      </c>
      <c r="CX265" s="79" t="str">
        <f t="shared" si="85"/>
        <v/>
      </c>
      <c r="CY265" s="79" t="str">
        <f t="shared" si="86"/>
        <v/>
      </c>
      <c r="CZ265" s="79" t="str">
        <f t="shared" si="87"/>
        <v/>
      </c>
      <c r="DA265" s="79" t="str">
        <f t="shared" si="88"/>
        <v/>
      </c>
      <c r="DB265" s="79" t="str">
        <f t="shared" si="89"/>
        <v/>
      </c>
      <c r="DC265" s="79" t="str">
        <f t="shared" si="90"/>
        <v/>
      </c>
      <c r="DD265" s="79" t="str">
        <f t="shared" si="91"/>
        <v/>
      </c>
      <c r="DE265" s="79" t="str">
        <f t="shared" si="92"/>
        <v/>
      </c>
      <c r="DF265" s="79" t="str">
        <f t="shared" si="93"/>
        <v/>
      </c>
      <c r="DG265" s="79" t="str">
        <f t="shared" si="94"/>
        <v/>
      </c>
      <c r="DH265" s="76"/>
      <c r="DI265" s="78"/>
      <c r="DJ265" s="76"/>
      <c r="DK265" s="77"/>
      <c r="DL265" s="77"/>
      <c r="DM265" s="77"/>
      <c r="DN265" s="80"/>
      <c r="DO265" s="80"/>
      <c r="DP265" s="92" t="str">
        <f>IF(Table1[Start Date]="","",IF(Table1[Start Date]&gt;42185,"",IF(AND(Table1[Leaving Date]&gt;1,Table1[Leaving Date]&lt;42095),"",1)))</f>
        <v/>
      </c>
      <c r="DQ265" s="92" t="str">
        <f>IF(Table1[Start Date]="","",IF(Table1[Start Date]&gt;42277,"",IF(AND(Table1[Leaving Date]&gt;1,Table1[Leaving Date]&lt;42186),"",1)))</f>
        <v/>
      </c>
      <c r="DR265" s="92" t="str">
        <f>IF(Table1[Start Date]="","",IF(Table1[Start Date]&gt;42369,"",IF(AND(Table1[Leaving Date]&gt;1,Table1[Leaving Date]&lt;42278),"",1)))</f>
        <v/>
      </c>
      <c r="DS265" s="92" t="str">
        <f>IF(Table1[Start Date]="","",IF(Table1[Start Date]&gt;42460,"",IF(AND(Table1[Leaving Date]&gt;1,Table1[Leaving Date]&lt;42370),"",1)))</f>
        <v/>
      </c>
      <c r="DT265" s="92" t="str">
        <f>IF(Table1[Start Date]="","",IF(Table1[Start Date]&gt;42551,"",IF(AND(Table1[Leaving Date]&gt;1,Table1[Leaving Date]&lt;42461),"",1)))</f>
        <v/>
      </c>
      <c r="DU265" s="92" t="str">
        <f>IF(Table1[Start Date]="","",IF(Table1[Start Date]&gt;42643,"",IF(AND(Table1[Leaving Date]&gt;1,Table1[Leaving Date]&lt;42552),"",1)))</f>
        <v/>
      </c>
      <c r="DV265" s="92" t="str">
        <f>IF(Table1[Start Date]="","",IF(Table1[Start Date]&gt;42735,"",IF(AND(Table1[Leaving Date]&gt;1,Table1[Leaving Date]&lt;42644),"",1)))</f>
        <v/>
      </c>
      <c r="DW265" s="92" t="str">
        <f>IF(Table1[Start Date]="","",IF(Table1[Start Date]&gt;42825,"",IF(AND(Table1[Leaving Date]&gt;1,Table1[Leaving Date]&lt;42736),"",1)))</f>
        <v/>
      </c>
      <c r="DX265"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265" s="44" t="e">
        <f>VLOOKUP(Table1[Referral Source],Lists!$G$2:$H$20,2,FALSE)</f>
        <v>#N/A</v>
      </c>
      <c r="DZ265" s="93" t="e">
        <f>SUM(Table1[Data Referral Quarter]+Table1[Data Referral Source])</f>
        <v>#N/A</v>
      </c>
      <c r="EA265" s="44" t="b">
        <f>IF(Table1[Referral Decision]="Accepted",100,IF(Table1[Referral Decision]="Rejected by Provider",200,IF(Table1[Referral Decision]="Rejected by Applicant",300)))</f>
        <v>0</v>
      </c>
      <c r="EB265" s="44">
        <f>SUM(Table1[Data Referral Quarter]+Table1[Data Referral Decision])</f>
        <v>0</v>
      </c>
      <c r="EC265" s="44" t="b">
        <f>IF(Table1[Start Date]&gt;42735,8000,IF(Table1[Start Date]&gt;42643,7000,IF(Table1[Start Date]&gt;42551,6000,IF(Table1[Start Date]&gt;42460,5000,IF(Table1[Start Date]&gt;42369,4000,IF(Table1[Start Date]&gt;42277,3000,IF(Table1[Start Date]&gt;42185,2000,IF(Table1[Start Date]&gt;42094,1000))))))))</f>
        <v>0</v>
      </c>
      <c r="ED265" s="44" t="str">
        <f>IF(Table1[Start Date]="","",IF(Table1[Current Local Authority]="Swindon",1,"2"))</f>
        <v/>
      </c>
      <c r="EE265" s="44" t="e">
        <f>SUM(Table1[Data Start Date]+Table1[Data Local Authority])</f>
        <v>#VALUE!</v>
      </c>
      <c r="EF265" s="44">
        <f>IF(Table1[Registered with GP]="Yes",1,0)</f>
        <v>0</v>
      </c>
      <c r="EG265" s="44">
        <f>SUM(Table1[Data Start Date]+Table1[Data GP Start])</f>
        <v>0</v>
      </c>
      <c r="EH265" s="44" t="str">
        <f>IF(Table1[EET]="NEET",1,IF(Table1[EET]="Education",2,IF(Table1[EET]="Employment",2,IF(Table1[EET]="Training",2,IF(Table1[EET]="Retired",3,"")))))</f>
        <v/>
      </c>
      <c r="EI265" s="44" t="e">
        <f>Table1[Data Start Date]+Table1[Data EET Start]</f>
        <v>#VALUE!</v>
      </c>
      <c r="EJ265" s="44" t="b">
        <f>IF(Table1[Leaving Date]&gt;42735,8000,IF(Table1[Leaving Date]&gt;42643,7000,IF(Table1[Leaving Date]&gt;42551,6000,IF(Table1[Leaving Date]&gt;42460,5000,IF(Table1[Leaving Date]&gt;42369,4000,IF(Table1[Leaving Date]&gt;42277,3000,IF(Table1[Leaving Date]&gt;42185,2000,IF(Table1[Leaving Date]&gt;42094,1000))))))))</f>
        <v>0</v>
      </c>
      <c r="EK265" s="44" t="e">
        <f>VLOOKUP(Table1[Reason for Leaving],Lists!$T$2:$U$15,2,FALSE)</f>
        <v>#N/A</v>
      </c>
      <c r="EL265" s="44" t="e">
        <f>SUM(Table1[Data Leavers Date]+Table1[Data Move On])</f>
        <v>#N/A</v>
      </c>
      <c r="EM265" s="44" t="b">
        <f>IF(Table1[Registered with GP2]="Yes",1,IF(Table1[Registered with GP2]="No",0,IF(Table1[Registered with GP]="Yes",1,IF(Table1[Registered with GP]="No",0))))</f>
        <v>0</v>
      </c>
      <c r="EN265" s="44">
        <f>SUM(Table1[Data Leavers Date]+Table1[Data GP End])</f>
        <v>0</v>
      </c>
      <c r="EO265" s="44" t="str">
        <f>IF(Table1[EET2]="NEET",1,IF(Table1[EET2]="Employment",2,IF(Table1[EET2]="Education",2,IF(Table1[EET2]="Training",2,IF(Table1[EET2]="Retired",3,IF(Table1[EET]="NEET",1,IF(Table1[EET]="Employment",2,IF(Table1[EET]="Education",2,IF(Table1[EET]="Training",2,IF(Table1[EET]="Retired",3,""))))))))))</f>
        <v/>
      </c>
      <c r="EP265" s="44" t="e">
        <f>+Table1[[#This Row],[Data Leavers Date]]+Table1[[#This Row],[Data EET End]]</f>
        <v>#VALUE!</v>
      </c>
      <c r="EQ265" s="44">
        <f>IF(Table1[Exit Form Received]="Yes",1,0)</f>
        <v>0</v>
      </c>
      <c r="ER265" s="44">
        <f>+Table1[[#This Row],[Data Leavers Date]]+Table1[[#This Row],[Data Exit Forms]]</f>
        <v>0</v>
      </c>
      <c r="ES265" s="44" t="str">
        <f>IF(Table1[Data Leavers Date]=1000,SUM(Table1[Leaving Date]-Table1[Start Date]),"")</f>
        <v/>
      </c>
      <c r="ET265" s="44" t="str">
        <f>IF(Table1[Data Leavers Date]=2000,SUM(Table1[Leaving Date]-Table1[Start Date]),"")</f>
        <v/>
      </c>
      <c r="EU265" s="44" t="str">
        <f>IF(Table1[Data Leavers Date]=3000,SUM(Table1[Leaving Date]-Table1[Start Date]),"")</f>
        <v/>
      </c>
      <c r="EV265" s="44" t="str">
        <f>IF(Table1[Data Leavers Date]=4000,SUM(Table1[Leaving Date]-Table1[Start Date]),"")</f>
        <v/>
      </c>
      <c r="EW265" s="44" t="str">
        <f>IF(Table1[Data Leavers Date]=5000,SUM(Table1[Leaving Date]-Table1[Start Date]),"")</f>
        <v/>
      </c>
      <c r="EX265" s="44" t="str">
        <f>IF(Table1[Data Leavers Date]=6000,SUM(Table1[Leaving Date]-Table1[Start Date]),"")</f>
        <v/>
      </c>
      <c r="EY265" s="44" t="str">
        <f>IF(Table1[Data Leavers Date]=7000,SUM(Table1[Leaving Date]-Table1[Start Date]),"")</f>
        <v/>
      </c>
      <c r="EZ265" s="44" t="str">
        <f>IF(Table1[Data Leavers Date]=8000,SUM(Table1[Leaving Date]-Table1[Start Date]),"")</f>
        <v/>
      </c>
      <c r="FA265" s="44" t="str">
        <f>IF(Table1[Date of Initial Assessment]="","",IF(AND(Table1[Start Date]&gt;42094,Table1[Start Date]&lt;42461),Table1[Motivation and Taking Responsibility],""))</f>
        <v/>
      </c>
      <c r="FB265" s="44" t="str">
        <f>IF(Table1[Date of Initial Assessment]="","",IF(AND(Table1[Start Date]&gt;42094,Table1[Start Date]&lt;42461),Table1[Self-Care and Living Skills],""))</f>
        <v/>
      </c>
      <c r="FC265" s="44" t="str">
        <f>IF(Table1[Date of Initial Assessment]="","",IF(AND(Table1[Start Date]&gt;42094,Table1[Start Date]&lt;42461),Table1[Managing Money and Personal Administration],""))</f>
        <v/>
      </c>
      <c r="FD265" s="44" t="str">
        <f>IF(Table1[Date of Initial Assessment]="","",IF(AND(Table1[Start Date]&gt;42094,Table1[Start Date]&lt;42461),Table1[Social Networks and Relationships],""))</f>
        <v/>
      </c>
      <c r="FE265" s="44" t="str">
        <f>IF(Table1[Date of Initial Assessment]="","",IF(AND(Table1[Start Date]&gt;42094,Table1[Start Date]&lt;42461),Table1[Drug and Alcohol Misuse],""))</f>
        <v/>
      </c>
      <c r="FF265" s="44" t="str">
        <f>IF(Table1[Date of Initial Assessment]="","",IF(AND(Table1[Start Date]&gt;42094,Table1[Start Date]&lt;42461),Table1[Physical Health],""))</f>
        <v/>
      </c>
      <c r="FG265" s="44" t="str">
        <f>IF(Table1[Date of Initial Assessment]="","",IF(AND(Table1[Start Date]&gt;42094,Table1[Start Date]&lt;42461),Table1[Emotional and Mental Health],""))</f>
        <v/>
      </c>
      <c r="FH265" s="44" t="str">
        <f>IF(Table1[Date of Initial Assessment]="","",IF(AND(Table1[Start Date]&gt;42094,Table1[Start Date]&lt;42461),Table1[Meaningful Use of Time],""))</f>
        <v/>
      </c>
      <c r="FI265" s="44" t="str">
        <f>IF(Table1[Date of Initial Assessment]="","",IF(AND(Table1[Start Date]&gt;42094,Table1[Start Date]&lt;42461),Table1[Managing Tenancy and Accommodation],""))</f>
        <v/>
      </c>
      <c r="FJ265" s="44" t="str">
        <f>IF(Table1[Date of Initial Assessment]="","",IF(AND(Table1[Start Date]&gt;42094,Table1[Start Date]&lt;42461),Table1[Offending],""))</f>
        <v/>
      </c>
      <c r="FK265" s="44" t="str">
        <f>IF(Table1[Leaving Date]="","",IF(Table1[Date of Initial Assessment]="","",IF(AND(Table1[Leaving Date]&gt;42094,Table1[Leaving Date]&lt;42461),IF(Table1[Date of Last Assessment]="",Table1[Motivation and Taking Responsibility],Table1[Motivation and Taking Responsibility2]),"")))</f>
        <v/>
      </c>
      <c r="FL265" s="44" t="str">
        <f>IF(Table1[Leaving Date]="","",IF(Table1[Date of Initial Assessment]="","",IF(AND(Table1[Leaving Date]&gt;42094,Table1[Leaving Date]&lt;42461),IF(Table1[Date of Last Assessment]="",Table1[Self-Care and Living Skills],Table1[Self-Care and Living Skills2]),"")))</f>
        <v/>
      </c>
      <c r="FM265" s="44" t="str">
        <f>IF(Table1[Leaving Date]="","",IF(Table1[Date of Initial Assessment]="","",IF(AND(Table1[Leaving Date]&gt;42094,Table1[Leaving Date]&lt;42461),IF(Table1[Date of Last Assessment]="",Table1[Managing Money and Personal Administration],Table1[Managing Money and Personal Administration2]),"")))</f>
        <v/>
      </c>
      <c r="FN265" s="44" t="str">
        <f>IF(Table1[Leaving Date]="","",IF(Table1[Date of Initial Assessment]="","",IF(AND(Table1[Leaving Date]&gt;42094,Table1[Leaving Date]&lt;42461),IF(Table1[Date of Last Assessment]="",Table1[Social Networks and Relationships],Table1[Social Networks and Relationships2]),"")))</f>
        <v/>
      </c>
      <c r="FO265" s="44" t="str">
        <f>IF(Table1[Leaving Date]="","",IF(Table1[Date of Initial Assessment]="","",IF(AND(Table1[Leaving Date]&gt;42094,Table1[Leaving Date]&lt;42461),IF(Table1[Date of Last Assessment]="",Table1[Drug and Alcohol Misuse],Table1[Drug and Alcohol Misuse2]),"")))</f>
        <v/>
      </c>
      <c r="FP265" s="44" t="str">
        <f>IF(Table1[Leaving Date]="","",IF(Table1[Date of Initial Assessment]="","",IF(AND(Table1[Leaving Date]&gt;42094,Table1[Leaving Date]&lt;42461),IF(Table1[Date of Last Assessment]="",Table1[Physical Health],Table1[Physical Health2]),"")))</f>
        <v/>
      </c>
      <c r="FQ265" s="44" t="str">
        <f>IF(Table1[Leaving Date]="","",IF(Table1[Date of Initial Assessment]="","",IF(AND(Table1[Leaving Date]&gt;42094,Table1[Leaving Date]&lt;42461),IF(Table1[Date of Last Assessment]="",Table1[Emotional and Mental Health],Table1[Emotional and Mental Health2]),"")))</f>
        <v/>
      </c>
      <c r="FR265" s="44" t="str">
        <f>IF(Table1[Leaving Date]="","",IF(Table1[Date of Initial Assessment]="","",IF(AND(Table1[Leaving Date]&gt;42094,Table1[Leaving Date]&lt;42461),IF(Table1[Date of Last Assessment]="",Table1[Meaningful Use of Time],Table1[Meaningful Use of Time2]),"")))</f>
        <v/>
      </c>
      <c r="FS265" s="44" t="str">
        <f>IF(Table1[Leaving Date]="","",IF(Table1[Date of Initial Assessment]="","",IF(AND(Table1[Leaving Date]&gt;42094,Table1[Leaving Date]&lt;42461),IF(Table1[Date of Last Assessment]="",Table1[Managing Tenancy and Accommodation],Table1[Managing Tenancy and Accommodation2]),"")))</f>
        <v/>
      </c>
      <c r="FT265" s="44" t="str">
        <f>IF(Table1[Leaving Date]="","",IF(Table1[Date of Initial Assessment]="","",IF(AND(Table1[Leaving Date]&gt;42094,Table1[Leaving Date]&lt;42461),IF(Table1[Date of Last Assessment]="",Table1[Offending],Table1[Offending2]),"")))</f>
        <v/>
      </c>
      <c r="FU265" s="44" t="str">
        <f>IF(Table1[Date of Initial Assessment]="","",IF(AND(Table1[Start Date]&gt;42460,Table1[Start Date]&lt;42826),Table1[Motivation and Taking Responsibility],""))</f>
        <v/>
      </c>
      <c r="FV265" s="44" t="str">
        <f>IF(Table1[Date of Initial Assessment]="","",IF(AND(Table1[Start Date]&gt;42460,Table1[Start Date]&lt;42826),Table1[Self-Care and Living Skills],""))</f>
        <v/>
      </c>
      <c r="FW265" s="44" t="str">
        <f>IF(Table1[Date of Initial Assessment]="","",IF(AND(Table1[Start Date]&gt;42460,Table1[Start Date]&lt;42826),Table1[Managing Money and Personal Administration],""))</f>
        <v/>
      </c>
      <c r="FX265" s="44" t="str">
        <f>IF(Table1[Date of Initial Assessment]="","",IF(AND(Table1[Start Date]&gt;42460,Table1[Start Date]&lt;42826),Table1[Social Networks and Relationships],""))</f>
        <v/>
      </c>
      <c r="FY265" s="44" t="str">
        <f>IF(Table1[Date of Initial Assessment]="","",IF(AND(Table1[Start Date]&gt;42460,Table1[Start Date]&lt;42826),Table1[Drug and Alcohol Misuse],""))</f>
        <v/>
      </c>
      <c r="FZ265" s="44" t="str">
        <f>IF(Table1[Date of Initial Assessment]="","",IF(AND(Table1[Start Date]&gt;42460,Table1[Start Date]&lt;42826),Table1[Physical Health],""))</f>
        <v/>
      </c>
      <c r="GA265" s="44" t="str">
        <f>IF(Table1[Date of Initial Assessment]="","",IF(AND(Table1[Start Date]&gt;42460,Table1[Start Date]&lt;42826),Table1[Emotional and Mental Health],""))</f>
        <v/>
      </c>
      <c r="GB265" s="44" t="str">
        <f>IF(Table1[Date of Initial Assessment]="","",IF(AND(Table1[Start Date]&gt;42460,Table1[Start Date]&lt;42826),Table1[Meaningful Use of Time],""))</f>
        <v/>
      </c>
      <c r="GC265" s="44" t="str">
        <f>IF(Table1[Date of Initial Assessment]="","",IF(AND(Table1[Start Date]&gt;42460,Table1[Start Date]&lt;42826),Table1[Managing Tenancy and Accommodation],""))</f>
        <v/>
      </c>
      <c r="GD265" s="44" t="str">
        <f>IF(Table1[Date of Initial Assessment]="","",IF(AND(Table1[Start Date]&gt;42460,Table1[Start Date]&lt;42826),Table1[Offending],""))</f>
        <v/>
      </c>
      <c r="GE265" s="44" t="str">
        <f>IF(Table1[Leaving Date]="","",IF(AND(Table1[Leaving Date]&gt;42460,Table1[Leaving Date]&lt;42826),IF(Table1[Date of Last Assessment]="",Table1[Motivation and Taking Responsibility],Table1[Motivation and Taking Responsibility2]),""))</f>
        <v/>
      </c>
      <c r="GF265" s="44" t="str">
        <f>IF(Table1[Leaving Date]="","",IF(AND(Table1[Leaving Date]&gt;42460,Table1[Leaving Date]&lt;42826),IF(Table1[Date of Last Assessment]="",Table1[Self-Care and Living Skills],Table1[Self-Care and Living Skills2]),""))</f>
        <v/>
      </c>
      <c r="GG265" s="44" t="str">
        <f>IF(Table1[Leaving Date]="","",IF(AND(Table1[Leaving Date]&gt;42460,Table1[Leaving Date]&lt;42826),IF(Table1[Date of Last Assessment]="",Table1[Managing Money and Personal Administration],Table1[Managing Money and Personal Administration2]),""))</f>
        <v/>
      </c>
      <c r="GH265" s="44" t="str">
        <f>IF(Table1[Leaving Date]="","",IF(AND(Table1[Leaving Date]&gt;42460,Table1[Leaving Date]&lt;42826),IF(Table1[Date of Last Assessment]="",Table1[Social Networks and Relationships],Table1[Social Networks and Relationships2]),""))</f>
        <v/>
      </c>
      <c r="GI265" s="44" t="str">
        <f>IF(Table1[Leaving Date]="","",IF(AND(Table1[Leaving Date]&gt;42460,Table1[Leaving Date]&lt;42826),IF(Table1[Date of Last Assessment]="",Table1[Drug and Alcohol Misuse],Table1[Drug and Alcohol Misuse2]),""))</f>
        <v/>
      </c>
      <c r="GJ265" s="44" t="str">
        <f>IF(Table1[Leaving Date]="","",IF(AND(Table1[Leaving Date]&gt;42460,Table1[Leaving Date]&lt;42826),IF(Table1[Date of Last Assessment]="",Table1[Physical Health],Table1[Physical Health2]),""))</f>
        <v/>
      </c>
      <c r="GK265" s="44" t="str">
        <f>IF(Table1[Leaving Date]="","",IF(AND(Table1[Leaving Date]&gt;42460,Table1[Leaving Date]&lt;42826),IF(Table1[Date of Last Assessment]="",Table1[Emotional and Mental Health],Table1[Emotional and Mental Health2]),""))</f>
        <v/>
      </c>
      <c r="GL265" s="44" t="str">
        <f>IF(Table1[Leaving Date]="","",IF(AND(Table1[Leaving Date]&gt;42460,Table1[Leaving Date]&lt;42826),IF(Table1[Date of Last Assessment]="",Table1[Meaningful Use of Time],Table1[Meaningful Use of Time2]),""))</f>
        <v/>
      </c>
      <c r="GM265" s="44" t="str">
        <f>IF(Table1[Leaving Date]="","",IF(AND(Table1[Leaving Date]&gt;42460,Table1[Leaving Date]&lt;42826),IF(Table1[Date of Last Assessment]="",Table1[Managing Tenancy and Accommodation],Table1[Managing Tenancy and Accommodation2]),""))</f>
        <v/>
      </c>
      <c r="GN265" s="44" t="str">
        <f>IF(Table1[Leaving Date]="","",IF(AND(Table1[Leaving Date]&gt;42460,Table1[Leaving Date]&lt;42826),IF(Table1[Date of Last Assessment]="",Table1[Offending],Table1[Offending2]),""))</f>
        <v/>
      </c>
    </row>
    <row r="266" spans="2:196" ht="20.100000000000001" customHeight="1" x14ac:dyDescent="0.2">
      <c r="B266" s="86">
        <f>+'Service Data'!$C$5:$C$5</f>
        <v>0</v>
      </c>
      <c r="C266" s="86"/>
      <c r="D266" s="86"/>
      <c r="E266" s="86"/>
      <c r="F266" s="86"/>
      <c r="G266" s="86"/>
      <c r="H266" s="6"/>
      <c r="I266" s="99" t="str">
        <f ca="1">IF(Table1[[#This Row],[Date of Birth]]="","",SUM(TODAY()-Table1[[#This Row],[Date of Birth]])/365)</f>
        <v/>
      </c>
      <c r="L266" s="86"/>
      <c r="M266" s="77"/>
      <c r="N266" s="86"/>
      <c r="O266" s="86"/>
      <c r="P266" s="91"/>
      <c r="Q266" s="86"/>
      <c r="R266" s="77"/>
      <c r="S266" s="77"/>
      <c r="T266" s="68"/>
      <c r="U266" s="68"/>
      <c r="V266" s="67"/>
      <c r="W266" s="67"/>
      <c r="X266" s="67"/>
      <c r="Y266" s="67"/>
      <c r="Z266" s="67"/>
      <c r="AA266" s="67"/>
      <c r="AB266" s="67"/>
      <c r="AC266" s="67"/>
      <c r="AD266" s="67"/>
      <c r="AE266" s="67"/>
      <c r="AF266" s="67"/>
      <c r="AG266" s="67"/>
      <c r="AH266" s="67"/>
      <c r="AI266" s="67"/>
      <c r="AJ266" s="67"/>
      <c r="AK266" s="67"/>
      <c r="AL266" s="67"/>
      <c r="AM266" s="67"/>
      <c r="AN266" s="77"/>
      <c r="AO266" s="76"/>
      <c r="AP266" s="77"/>
      <c r="AQ266" s="76"/>
      <c r="AR266" s="76"/>
      <c r="AS266" s="76"/>
      <c r="AT266" s="76"/>
      <c r="AU266" s="76"/>
      <c r="AV266" s="77"/>
      <c r="AW266" s="76"/>
      <c r="AX266" s="77"/>
      <c r="AY266" s="76"/>
      <c r="AZ266" s="76"/>
      <c r="BA266" s="76"/>
      <c r="BB266" s="76"/>
      <c r="BC266" s="76"/>
      <c r="BD266" s="77"/>
      <c r="BE266" s="76"/>
      <c r="BF266" s="77"/>
      <c r="BG266" s="76"/>
      <c r="BH266" s="76"/>
      <c r="BI266" s="76"/>
      <c r="BJ266" s="76"/>
      <c r="BK266" s="76"/>
      <c r="BL266" s="77"/>
      <c r="BM266" s="76"/>
      <c r="BN266" s="77"/>
      <c r="BO266" s="76"/>
      <c r="BP266" s="76"/>
      <c r="BQ266" s="76"/>
      <c r="BR266" s="76"/>
      <c r="BS266" s="76"/>
      <c r="BT266" s="77"/>
      <c r="BU266" s="76"/>
      <c r="BV266" s="77"/>
      <c r="BW266" s="76"/>
      <c r="BX266" s="76"/>
      <c r="BY266" s="76"/>
      <c r="BZ266" s="76"/>
      <c r="CA266" s="76"/>
      <c r="CB266" s="77"/>
      <c r="CC266" s="76"/>
      <c r="CD266" s="77"/>
      <c r="CE266" s="76"/>
      <c r="CF266" s="76"/>
      <c r="CG266" s="76"/>
      <c r="CH266" s="76"/>
      <c r="CI266" s="76"/>
      <c r="CJ266" s="77"/>
      <c r="CK266" s="76"/>
      <c r="CL266" s="77"/>
      <c r="CM266" s="76"/>
      <c r="CN266" s="76"/>
      <c r="CO266" s="76"/>
      <c r="CP266" s="76"/>
      <c r="CQ266" s="76"/>
      <c r="CR266" s="78" t="str">
        <f t="shared" si="79"/>
        <v/>
      </c>
      <c r="CS266" s="79" t="str">
        <f t="shared" si="80"/>
        <v/>
      </c>
      <c r="CT266" s="79" t="str">
        <f t="shared" si="81"/>
        <v/>
      </c>
      <c r="CU266" s="79" t="str">
        <f t="shared" si="82"/>
        <v/>
      </c>
      <c r="CV266" s="79" t="str">
        <f t="shared" si="83"/>
        <v/>
      </c>
      <c r="CW266" s="79" t="str">
        <f t="shared" si="84"/>
        <v/>
      </c>
      <c r="CX266" s="79" t="str">
        <f t="shared" si="85"/>
        <v/>
      </c>
      <c r="CY266" s="79" t="str">
        <f t="shared" si="86"/>
        <v/>
      </c>
      <c r="CZ266" s="79" t="str">
        <f t="shared" si="87"/>
        <v/>
      </c>
      <c r="DA266" s="79" t="str">
        <f t="shared" si="88"/>
        <v/>
      </c>
      <c r="DB266" s="79" t="str">
        <f t="shared" si="89"/>
        <v/>
      </c>
      <c r="DC266" s="79" t="str">
        <f t="shared" si="90"/>
        <v/>
      </c>
      <c r="DD266" s="79" t="str">
        <f t="shared" si="91"/>
        <v/>
      </c>
      <c r="DE266" s="79" t="str">
        <f t="shared" si="92"/>
        <v/>
      </c>
      <c r="DF266" s="79" t="str">
        <f t="shared" si="93"/>
        <v/>
      </c>
      <c r="DG266" s="79" t="str">
        <f t="shared" si="94"/>
        <v/>
      </c>
      <c r="DH266" s="76"/>
      <c r="DI266" s="78"/>
      <c r="DJ266" s="76"/>
      <c r="DK266" s="77"/>
      <c r="DL266" s="77"/>
      <c r="DM266" s="77"/>
      <c r="DN266" s="80"/>
      <c r="DO266" s="80"/>
      <c r="DP266" s="92" t="str">
        <f>IF(Table1[Start Date]="","",IF(Table1[Start Date]&gt;42185,"",IF(AND(Table1[Leaving Date]&gt;1,Table1[Leaving Date]&lt;42095),"",1)))</f>
        <v/>
      </c>
      <c r="DQ266" s="92" t="str">
        <f>IF(Table1[Start Date]="","",IF(Table1[Start Date]&gt;42277,"",IF(AND(Table1[Leaving Date]&gt;1,Table1[Leaving Date]&lt;42186),"",1)))</f>
        <v/>
      </c>
      <c r="DR266" s="92" t="str">
        <f>IF(Table1[Start Date]="","",IF(Table1[Start Date]&gt;42369,"",IF(AND(Table1[Leaving Date]&gt;1,Table1[Leaving Date]&lt;42278),"",1)))</f>
        <v/>
      </c>
      <c r="DS266" s="92" t="str">
        <f>IF(Table1[Start Date]="","",IF(Table1[Start Date]&gt;42460,"",IF(AND(Table1[Leaving Date]&gt;1,Table1[Leaving Date]&lt;42370),"",1)))</f>
        <v/>
      </c>
      <c r="DT266" s="92" t="str">
        <f>IF(Table1[Start Date]="","",IF(Table1[Start Date]&gt;42551,"",IF(AND(Table1[Leaving Date]&gt;1,Table1[Leaving Date]&lt;42461),"",1)))</f>
        <v/>
      </c>
      <c r="DU266" s="92" t="str">
        <f>IF(Table1[Start Date]="","",IF(Table1[Start Date]&gt;42643,"",IF(AND(Table1[Leaving Date]&gt;1,Table1[Leaving Date]&lt;42552),"",1)))</f>
        <v/>
      </c>
      <c r="DV266" s="92" t="str">
        <f>IF(Table1[Start Date]="","",IF(Table1[Start Date]&gt;42735,"",IF(AND(Table1[Leaving Date]&gt;1,Table1[Leaving Date]&lt;42644),"",1)))</f>
        <v/>
      </c>
      <c r="DW266" s="92" t="str">
        <f>IF(Table1[Start Date]="","",IF(Table1[Start Date]&gt;42825,"",IF(AND(Table1[Leaving Date]&gt;1,Table1[Leaving Date]&lt;42736),"",1)))</f>
        <v/>
      </c>
      <c r="DX266"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266" s="44" t="e">
        <f>VLOOKUP(Table1[Referral Source],Lists!$G$2:$H$20,2,FALSE)</f>
        <v>#N/A</v>
      </c>
      <c r="DZ266" s="93" t="e">
        <f>SUM(Table1[Data Referral Quarter]+Table1[Data Referral Source])</f>
        <v>#N/A</v>
      </c>
      <c r="EA266" s="44" t="b">
        <f>IF(Table1[Referral Decision]="Accepted",100,IF(Table1[Referral Decision]="Rejected by Provider",200,IF(Table1[Referral Decision]="Rejected by Applicant",300)))</f>
        <v>0</v>
      </c>
      <c r="EB266" s="44">
        <f>SUM(Table1[Data Referral Quarter]+Table1[Data Referral Decision])</f>
        <v>0</v>
      </c>
      <c r="EC266" s="44" t="b">
        <f>IF(Table1[Start Date]&gt;42735,8000,IF(Table1[Start Date]&gt;42643,7000,IF(Table1[Start Date]&gt;42551,6000,IF(Table1[Start Date]&gt;42460,5000,IF(Table1[Start Date]&gt;42369,4000,IF(Table1[Start Date]&gt;42277,3000,IF(Table1[Start Date]&gt;42185,2000,IF(Table1[Start Date]&gt;42094,1000))))))))</f>
        <v>0</v>
      </c>
      <c r="ED266" s="44" t="str">
        <f>IF(Table1[Start Date]="","",IF(Table1[Current Local Authority]="Swindon",1,"2"))</f>
        <v/>
      </c>
      <c r="EE266" s="44" t="e">
        <f>SUM(Table1[Data Start Date]+Table1[Data Local Authority])</f>
        <v>#VALUE!</v>
      </c>
      <c r="EF266" s="44">
        <f>IF(Table1[Registered with GP]="Yes",1,0)</f>
        <v>0</v>
      </c>
      <c r="EG266" s="44">
        <f>SUM(Table1[Data Start Date]+Table1[Data GP Start])</f>
        <v>0</v>
      </c>
      <c r="EH266" s="44" t="str">
        <f>IF(Table1[EET]="NEET",1,IF(Table1[EET]="Education",2,IF(Table1[EET]="Employment",2,IF(Table1[EET]="Training",2,IF(Table1[EET]="Retired",3,"")))))</f>
        <v/>
      </c>
      <c r="EI266" s="44" t="e">
        <f>Table1[Data Start Date]+Table1[Data EET Start]</f>
        <v>#VALUE!</v>
      </c>
      <c r="EJ266" s="44" t="b">
        <f>IF(Table1[Leaving Date]&gt;42735,8000,IF(Table1[Leaving Date]&gt;42643,7000,IF(Table1[Leaving Date]&gt;42551,6000,IF(Table1[Leaving Date]&gt;42460,5000,IF(Table1[Leaving Date]&gt;42369,4000,IF(Table1[Leaving Date]&gt;42277,3000,IF(Table1[Leaving Date]&gt;42185,2000,IF(Table1[Leaving Date]&gt;42094,1000))))))))</f>
        <v>0</v>
      </c>
      <c r="EK266" s="44" t="e">
        <f>VLOOKUP(Table1[Reason for Leaving],Lists!$T$2:$U$15,2,FALSE)</f>
        <v>#N/A</v>
      </c>
      <c r="EL266" s="44" t="e">
        <f>SUM(Table1[Data Leavers Date]+Table1[Data Move On])</f>
        <v>#N/A</v>
      </c>
      <c r="EM266" s="44" t="b">
        <f>IF(Table1[Registered with GP2]="Yes",1,IF(Table1[Registered with GP2]="No",0,IF(Table1[Registered with GP]="Yes",1,IF(Table1[Registered with GP]="No",0))))</f>
        <v>0</v>
      </c>
      <c r="EN266" s="44">
        <f>SUM(Table1[Data Leavers Date]+Table1[Data GP End])</f>
        <v>0</v>
      </c>
      <c r="EO266" s="44" t="str">
        <f>IF(Table1[EET2]="NEET",1,IF(Table1[EET2]="Employment",2,IF(Table1[EET2]="Education",2,IF(Table1[EET2]="Training",2,IF(Table1[EET2]="Retired",3,IF(Table1[EET]="NEET",1,IF(Table1[EET]="Employment",2,IF(Table1[EET]="Education",2,IF(Table1[EET]="Training",2,IF(Table1[EET]="Retired",3,""))))))))))</f>
        <v/>
      </c>
      <c r="EP266" s="44" t="e">
        <f>+Table1[[#This Row],[Data Leavers Date]]+Table1[[#This Row],[Data EET End]]</f>
        <v>#VALUE!</v>
      </c>
      <c r="EQ266" s="44">
        <f>IF(Table1[Exit Form Received]="Yes",1,0)</f>
        <v>0</v>
      </c>
      <c r="ER266" s="44">
        <f>+Table1[[#This Row],[Data Leavers Date]]+Table1[[#This Row],[Data Exit Forms]]</f>
        <v>0</v>
      </c>
      <c r="ES266" s="44" t="str">
        <f>IF(Table1[Data Leavers Date]=1000,SUM(Table1[Leaving Date]-Table1[Start Date]),"")</f>
        <v/>
      </c>
      <c r="ET266" s="44" t="str">
        <f>IF(Table1[Data Leavers Date]=2000,SUM(Table1[Leaving Date]-Table1[Start Date]),"")</f>
        <v/>
      </c>
      <c r="EU266" s="44" t="str">
        <f>IF(Table1[Data Leavers Date]=3000,SUM(Table1[Leaving Date]-Table1[Start Date]),"")</f>
        <v/>
      </c>
      <c r="EV266" s="44" t="str">
        <f>IF(Table1[Data Leavers Date]=4000,SUM(Table1[Leaving Date]-Table1[Start Date]),"")</f>
        <v/>
      </c>
      <c r="EW266" s="44" t="str">
        <f>IF(Table1[Data Leavers Date]=5000,SUM(Table1[Leaving Date]-Table1[Start Date]),"")</f>
        <v/>
      </c>
      <c r="EX266" s="44" t="str">
        <f>IF(Table1[Data Leavers Date]=6000,SUM(Table1[Leaving Date]-Table1[Start Date]),"")</f>
        <v/>
      </c>
      <c r="EY266" s="44" t="str">
        <f>IF(Table1[Data Leavers Date]=7000,SUM(Table1[Leaving Date]-Table1[Start Date]),"")</f>
        <v/>
      </c>
      <c r="EZ266" s="44" t="str">
        <f>IF(Table1[Data Leavers Date]=8000,SUM(Table1[Leaving Date]-Table1[Start Date]),"")</f>
        <v/>
      </c>
      <c r="FA266" s="44" t="str">
        <f>IF(Table1[Date of Initial Assessment]="","",IF(AND(Table1[Start Date]&gt;42094,Table1[Start Date]&lt;42461),Table1[Motivation and Taking Responsibility],""))</f>
        <v/>
      </c>
      <c r="FB266" s="44" t="str">
        <f>IF(Table1[Date of Initial Assessment]="","",IF(AND(Table1[Start Date]&gt;42094,Table1[Start Date]&lt;42461),Table1[Self-Care and Living Skills],""))</f>
        <v/>
      </c>
      <c r="FC266" s="44" t="str">
        <f>IF(Table1[Date of Initial Assessment]="","",IF(AND(Table1[Start Date]&gt;42094,Table1[Start Date]&lt;42461),Table1[Managing Money and Personal Administration],""))</f>
        <v/>
      </c>
      <c r="FD266" s="44" t="str">
        <f>IF(Table1[Date of Initial Assessment]="","",IF(AND(Table1[Start Date]&gt;42094,Table1[Start Date]&lt;42461),Table1[Social Networks and Relationships],""))</f>
        <v/>
      </c>
      <c r="FE266" s="44" t="str">
        <f>IF(Table1[Date of Initial Assessment]="","",IF(AND(Table1[Start Date]&gt;42094,Table1[Start Date]&lt;42461),Table1[Drug and Alcohol Misuse],""))</f>
        <v/>
      </c>
      <c r="FF266" s="44" t="str">
        <f>IF(Table1[Date of Initial Assessment]="","",IF(AND(Table1[Start Date]&gt;42094,Table1[Start Date]&lt;42461),Table1[Physical Health],""))</f>
        <v/>
      </c>
      <c r="FG266" s="44" t="str">
        <f>IF(Table1[Date of Initial Assessment]="","",IF(AND(Table1[Start Date]&gt;42094,Table1[Start Date]&lt;42461),Table1[Emotional and Mental Health],""))</f>
        <v/>
      </c>
      <c r="FH266" s="44" t="str">
        <f>IF(Table1[Date of Initial Assessment]="","",IF(AND(Table1[Start Date]&gt;42094,Table1[Start Date]&lt;42461),Table1[Meaningful Use of Time],""))</f>
        <v/>
      </c>
      <c r="FI266" s="44" t="str">
        <f>IF(Table1[Date of Initial Assessment]="","",IF(AND(Table1[Start Date]&gt;42094,Table1[Start Date]&lt;42461),Table1[Managing Tenancy and Accommodation],""))</f>
        <v/>
      </c>
      <c r="FJ266" s="44" t="str">
        <f>IF(Table1[Date of Initial Assessment]="","",IF(AND(Table1[Start Date]&gt;42094,Table1[Start Date]&lt;42461),Table1[Offending],""))</f>
        <v/>
      </c>
      <c r="FK266" s="44" t="str">
        <f>IF(Table1[Leaving Date]="","",IF(Table1[Date of Initial Assessment]="","",IF(AND(Table1[Leaving Date]&gt;42094,Table1[Leaving Date]&lt;42461),IF(Table1[Date of Last Assessment]="",Table1[Motivation and Taking Responsibility],Table1[Motivation and Taking Responsibility2]),"")))</f>
        <v/>
      </c>
      <c r="FL266" s="44" t="str">
        <f>IF(Table1[Leaving Date]="","",IF(Table1[Date of Initial Assessment]="","",IF(AND(Table1[Leaving Date]&gt;42094,Table1[Leaving Date]&lt;42461),IF(Table1[Date of Last Assessment]="",Table1[Self-Care and Living Skills],Table1[Self-Care and Living Skills2]),"")))</f>
        <v/>
      </c>
      <c r="FM266" s="44" t="str">
        <f>IF(Table1[Leaving Date]="","",IF(Table1[Date of Initial Assessment]="","",IF(AND(Table1[Leaving Date]&gt;42094,Table1[Leaving Date]&lt;42461),IF(Table1[Date of Last Assessment]="",Table1[Managing Money and Personal Administration],Table1[Managing Money and Personal Administration2]),"")))</f>
        <v/>
      </c>
      <c r="FN266" s="44" t="str">
        <f>IF(Table1[Leaving Date]="","",IF(Table1[Date of Initial Assessment]="","",IF(AND(Table1[Leaving Date]&gt;42094,Table1[Leaving Date]&lt;42461),IF(Table1[Date of Last Assessment]="",Table1[Social Networks and Relationships],Table1[Social Networks and Relationships2]),"")))</f>
        <v/>
      </c>
      <c r="FO266" s="44" t="str">
        <f>IF(Table1[Leaving Date]="","",IF(Table1[Date of Initial Assessment]="","",IF(AND(Table1[Leaving Date]&gt;42094,Table1[Leaving Date]&lt;42461),IF(Table1[Date of Last Assessment]="",Table1[Drug and Alcohol Misuse],Table1[Drug and Alcohol Misuse2]),"")))</f>
        <v/>
      </c>
      <c r="FP266" s="44" t="str">
        <f>IF(Table1[Leaving Date]="","",IF(Table1[Date of Initial Assessment]="","",IF(AND(Table1[Leaving Date]&gt;42094,Table1[Leaving Date]&lt;42461),IF(Table1[Date of Last Assessment]="",Table1[Physical Health],Table1[Physical Health2]),"")))</f>
        <v/>
      </c>
      <c r="FQ266" s="44" t="str">
        <f>IF(Table1[Leaving Date]="","",IF(Table1[Date of Initial Assessment]="","",IF(AND(Table1[Leaving Date]&gt;42094,Table1[Leaving Date]&lt;42461),IF(Table1[Date of Last Assessment]="",Table1[Emotional and Mental Health],Table1[Emotional and Mental Health2]),"")))</f>
        <v/>
      </c>
      <c r="FR266" s="44" t="str">
        <f>IF(Table1[Leaving Date]="","",IF(Table1[Date of Initial Assessment]="","",IF(AND(Table1[Leaving Date]&gt;42094,Table1[Leaving Date]&lt;42461),IF(Table1[Date of Last Assessment]="",Table1[Meaningful Use of Time],Table1[Meaningful Use of Time2]),"")))</f>
        <v/>
      </c>
      <c r="FS266" s="44" t="str">
        <f>IF(Table1[Leaving Date]="","",IF(Table1[Date of Initial Assessment]="","",IF(AND(Table1[Leaving Date]&gt;42094,Table1[Leaving Date]&lt;42461),IF(Table1[Date of Last Assessment]="",Table1[Managing Tenancy and Accommodation],Table1[Managing Tenancy and Accommodation2]),"")))</f>
        <v/>
      </c>
      <c r="FT266" s="44" t="str">
        <f>IF(Table1[Leaving Date]="","",IF(Table1[Date of Initial Assessment]="","",IF(AND(Table1[Leaving Date]&gt;42094,Table1[Leaving Date]&lt;42461),IF(Table1[Date of Last Assessment]="",Table1[Offending],Table1[Offending2]),"")))</f>
        <v/>
      </c>
      <c r="FU266" s="44" t="str">
        <f>IF(Table1[Date of Initial Assessment]="","",IF(AND(Table1[Start Date]&gt;42460,Table1[Start Date]&lt;42826),Table1[Motivation and Taking Responsibility],""))</f>
        <v/>
      </c>
      <c r="FV266" s="44" t="str">
        <f>IF(Table1[Date of Initial Assessment]="","",IF(AND(Table1[Start Date]&gt;42460,Table1[Start Date]&lt;42826),Table1[Self-Care and Living Skills],""))</f>
        <v/>
      </c>
      <c r="FW266" s="44" t="str">
        <f>IF(Table1[Date of Initial Assessment]="","",IF(AND(Table1[Start Date]&gt;42460,Table1[Start Date]&lt;42826),Table1[Managing Money and Personal Administration],""))</f>
        <v/>
      </c>
      <c r="FX266" s="44" t="str">
        <f>IF(Table1[Date of Initial Assessment]="","",IF(AND(Table1[Start Date]&gt;42460,Table1[Start Date]&lt;42826),Table1[Social Networks and Relationships],""))</f>
        <v/>
      </c>
      <c r="FY266" s="44" t="str">
        <f>IF(Table1[Date of Initial Assessment]="","",IF(AND(Table1[Start Date]&gt;42460,Table1[Start Date]&lt;42826),Table1[Drug and Alcohol Misuse],""))</f>
        <v/>
      </c>
      <c r="FZ266" s="44" t="str">
        <f>IF(Table1[Date of Initial Assessment]="","",IF(AND(Table1[Start Date]&gt;42460,Table1[Start Date]&lt;42826),Table1[Physical Health],""))</f>
        <v/>
      </c>
      <c r="GA266" s="44" t="str">
        <f>IF(Table1[Date of Initial Assessment]="","",IF(AND(Table1[Start Date]&gt;42460,Table1[Start Date]&lt;42826),Table1[Emotional and Mental Health],""))</f>
        <v/>
      </c>
      <c r="GB266" s="44" t="str">
        <f>IF(Table1[Date of Initial Assessment]="","",IF(AND(Table1[Start Date]&gt;42460,Table1[Start Date]&lt;42826),Table1[Meaningful Use of Time],""))</f>
        <v/>
      </c>
      <c r="GC266" s="44" t="str">
        <f>IF(Table1[Date of Initial Assessment]="","",IF(AND(Table1[Start Date]&gt;42460,Table1[Start Date]&lt;42826),Table1[Managing Tenancy and Accommodation],""))</f>
        <v/>
      </c>
      <c r="GD266" s="44" t="str">
        <f>IF(Table1[Date of Initial Assessment]="","",IF(AND(Table1[Start Date]&gt;42460,Table1[Start Date]&lt;42826),Table1[Offending],""))</f>
        <v/>
      </c>
      <c r="GE266" s="44" t="str">
        <f>IF(Table1[Leaving Date]="","",IF(AND(Table1[Leaving Date]&gt;42460,Table1[Leaving Date]&lt;42826),IF(Table1[Date of Last Assessment]="",Table1[Motivation and Taking Responsibility],Table1[Motivation and Taking Responsibility2]),""))</f>
        <v/>
      </c>
      <c r="GF266" s="44" t="str">
        <f>IF(Table1[Leaving Date]="","",IF(AND(Table1[Leaving Date]&gt;42460,Table1[Leaving Date]&lt;42826),IF(Table1[Date of Last Assessment]="",Table1[Self-Care and Living Skills],Table1[Self-Care and Living Skills2]),""))</f>
        <v/>
      </c>
      <c r="GG266" s="44" t="str">
        <f>IF(Table1[Leaving Date]="","",IF(AND(Table1[Leaving Date]&gt;42460,Table1[Leaving Date]&lt;42826),IF(Table1[Date of Last Assessment]="",Table1[Managing Money and Personal Administration],Table1[Managing Money and Personal Administration2]),""))</f>
        <v/>
      </c>
      <c r="GH266" s="44" t="str">
        <f>IF(Table1[Leaving Date]="","",IF(AND(Table1[Leaving Date]&gt;42460,Table1[Leaving Date]&lt;42826),IF(Table1[Date of Last Assessment]="",Table1[Social Networks and Relationships],Table1[Social Networks and Relationships2]),""))</f>
        <v/>
      </c>
      <c r="GI266" s="44" t="str">
        <f>IF(Table1[Leaving Date]="","",IF(AND(Table1[Leaving Date]&gt;42460,Table1[Leaving Date]&lt;42826),IF(Table1[Date of Last Assessment]="",Table1[Drug and Alcohol Misuse],Table1[Drug and Alcohol Misuse2]),""))</f>
        <v/>
      </c>
      <c r="GJ266" s="44" t="str">
        <f>IF(Table1[Leaving Date]="","",IF(AND(Table1[Leaving Date]&gt;42460,Table1[Leaving Date]&lt;42826),IF(Table1[Date of Last Assessment]="",Table1[Physical Health],Table1[Physical Health2]),""))</f>
        <v/>
      </c>
      <c r="GK266" s="44" t="str">
        <f>IF(Table1[Leaving Date]="","",IF(AND(Table1[Leaving Date]&gt;42460,Table1[Leaving Date]&lt;42826),IF(Table1[Date of Last Assessment]="",Table1[Emotional and Mental Health],Table1[Emotional and Mental Health2]),""))</f>
        <v/>
      </c>
      <c r="GL266" s="44" t="str">
        <f>IF(Table1[Leaving Date]="","",IF(AND(Table1[Leaving Date]&gt;42460,Table1[Leaving Date]&lt;42826),IF(Table1[Date of Last Assessment]="",Table1[Meaningful Use of Time],Table1[Meaningful Use of Time2]),""))</f>
        <v/>
      </c>
      <c r="GM266" s="44" t="str">
        <f>IF(Table1[Leaving Date]="","",IF(AND(Table1[Leaving Date]&gt;42460,Table1[Leaving Date]&lt;42826),IF(Table1[Date of Last Assessment]="",Table1[Managing Tenancy and Accommodation],Table1[Managing Tenancy and Accommodation2]),""))</f>
        <v/>
      </c>
      <c r="GN266" s="44" t="str">
        <f>IF(Table1[Leaving Date]="","",IF(AND(Table1[Leaving Date]&gt;42460,Table1[Leaving Date]&lt;42826),IF(Table1[Date of Last Assessment]="",Table1[Offending],Table1[Offending2]),""))</f>
        <v/>
      </c>
    </row>
    <row r="267" spans="2:196" ht="20.100000000000001" customHeight="1" x14ac:dyDescent="0.2">
      <c r="B267" s="86">
        <f>+'Service Data'!$C$5:$C$5</f>
        <v>0</v>
      </c>
      <c r="C267" s="86"/>
      <c r="D267" s="86"/>
      <c r="E267" s="86"/>
      <c r="F267" s="86"/>
      <c r="G267" s="86"/>
      <c r="H267" s="6"/>
      <c r="I267" s="99" t="str">
        <f ca="1">IF(Table1[[#This Row],[Date of Birth]]="","",SUM(TODAY()-Table1[[#This Row],[Date of Birth]])/365)</f>
        <v/>
      </c>
      <c r="L267" s="86"/>
      <c r="M267" s="77"/>
      <c r="N267" s="86"/>
      <c r="O267" s="86"/>
      <c r="P267" s="91"/>
      <c r="Q267" s="86"/>
      <c r="R267" s="77"/>
      <c r="S267" s="77"/>
      <c r="T267" s="68"/>
      <c r="U267" s="68"/>
      <c r="V267" s="67"/>
      <c r="W267" s="67"/>
      <c r="X267" s="67"/>
      <c r="Y267" s="67"/>
      <c r="Z267" s="67"/>
      <c r="AA267" s="67"/>
      <c r="AB267" s="67"/>
      <c r="AC267" s="67"/>
      <c r="AD267" s="67"/>
      <c r="AE267" s="67"/>
      <c r="AF267" s="67"/>
      <c r="AG267" s="67"/>
      <c r="AH267" s="67"/>
      <c r="AI267" s="67"/>
      <c r="AJ267" s="67"/>
      <c r="AK267" s="67"/>
      <c r="AL267" s="67"/>
      <c r="AM267" s="67"/>
      <c r="AN267" s="77"/>
      <c r="AO267" s="76"/>
      <c r="AP267" s="77"/>
      <c r="AQ267" s="76"/>
      <c r="AR267" s="76"/>
      <c r="AS267" s="76"/>
      <c r="AT267" s="76"/>
      <c r="AU267" s="76"/>
      <c r="AV267" s="77"/>
      <c r="AW267" s="76"/>
      <c r="AX267" s="77"/>
      <c r="AY267" s="76"/>
      <c r="AZ267" s="76"/>
      <c r="BA267" s="76"/>
      <c r="BB267" s="76"/>
      <c r="BC267" s="76"/>
      <c r="BD267" s="77"/>
      <c r="BE267" s="76"/>
      <c r="BF267" s="77"/>
      <c r="BG267" s="76"/>
      <c r="BH267" s="76"/>
      <c r="BI267" s="76"/>
      <c r="BJ267" s="76"/>
      <c r="BK267" s="76"/>
      <c r="BL267" s="77"/>
      <c r="BM267" s="76"/>
      <c r="BN267" s="77"/>
      <c r="BO267" s="76"/>
      <c r="BP267" s="76"/>
      <c r="BQ267" s="76"/>
      <c r="BR267" s="76"/>
      <c r="BS267" s="76"/>
      <c r="BT267" s="77"/>
      <c r="BU267" s="76"/>
      <c r="BV267" s="77"/>
      <c r="BW267" s="76"/>
      <c r="BX267" s="76"/>
      <c r="BY267" s="76"/>
      <c r="BZ267" s="76"/>
      <c r="CA267" s="76"/>
      <c r="CB267" s="77"/>
      <c r="CC267" s="76"/>
      <c r="CD267" s="77"/>
      <c r="CE267" s="76"/>
      <c r="CF267" s="76"/>
      <c r="CG267" s="76"/>
      <c r="CH267" s="76"/>
      <c r="CI267" s="76"/>
      <c r="CJ267" s="77"/>
      <c r="CK267" s="76"/>
      <c r="CL267" s="77"/>
      <c r="CM267" s="76"/>
      <c r="CN267" s="76"/>
      <c r="CO267" s="76"/>
      <c r="CP267" s="76"/>
      <c r="CQ267" s="76"/>
      <c r="CR267" s="78" t="str">
        <f t="shared" si="79"/>
        <v/>
      </c>
      <c r="CS267" s="79" t="str">
        <f t="shared" si="80"/>
        <v/>
      </c>
      <c r="CT267" s="79" t="str">
        <f t="shared" si="81"/>
        <v/>
      </c>
      <c r="CU267" s="79" t="str">
        <f t="shared" si="82"/>
        <v/>
      </c>
      <c r="CV267" s="79" t="str">
        <f t="shared" si="83"/>
        <v/>
      </c>
      <c r="CW267" s="79" t="str">
        <f t="shared" si="84"/>
        <v/>
      </c>
      <c r="CX267" s="79" t="str">
        <f t="shared" si="85"/>
        <v/>
      </c>
      <c r="CY267" s="79" t="str">
        <f t="shared" si="86"/>
        <v/>
      </c>
      <c r="CZ267" s="79" t="str">
        <f t="shared" si="87"/>
        <v/>
      </c>
      <c r="DA267" s="79" t="str">
        <f t="shared" si="88"/>
        <v/>
      </c>
      <c r="DB267" s="79" t="str">
        <f t="shared" si="89"/>
        <v/>
      </c>
      <c r="DC267" s="79" t="str">
        <f t="shared" si="90"/>
        <v/>
      </c>
      <c r="DD267" s="79" t="str">
        <f t="shared" si="91"/>
        <v/>
      </c>
      <c r="DE267" s="79" t="str">
        <f t="shared" si="92"/>
        <v/>
      </c>
      <c r="DF267" s="79" t="str">
        <f t="shared" si="93"/>
        <v/>
      </c>
      <c r="DG267" s="79" t="str">
        <f t="shared" si="94"/>
        <v/>
      </c>
      <c r="DH267" s="76"/>
      <c r="DI267" s="78"/>
      <c r="DJ267" s="76"/>
      <c r="DK267" s="77"/>
      <c r="DL267" s="77"/>
      <c r="DM267" s="77"/>
      <c r="DN267" s="80"/>
      <c r="DO267" s="80"/>
      <c r="DP267" s="92" t="str">
        <f>IF(Table1[Start Date]="","",IF(Table1[Start Date]&gt;42185,"",IF(AND(Table1[Leaving Date]&gt;1,Table1[Leaving Date]&lt;42095),"",1)))</f>
        <v/>
      </c>
      <c r="DQ267" s="92" t="str">
        <f>IF(Table1[Start Date]="","",IF(Table1[Start Date]&gt;42277,"",IF(AND(Table1[Leaving Date]&gt;1,Table1[Leaving Date]&lt;42186),"",1)))</f>
        <v/>
      </c>
      <c r="DR267" s="92" t="str">
        <f>IF(Table1[Start Date]="","",IF(Table1[Start Date]&gt;42369,"",IF(AND(Table1[Leaving Date]&gt;1,Table1[Leaving Date]&lt;42278),"",1)))</f>
        <v/>
      </c>
      <c r="DS267" s="92" t="str">
        <f>IF(Table1[Start Date]="","",IF(Table1[Start Date]&gt;42460,"",IF(AND(Table1[Leaving Date]&gt;1,Table1[Leaving Date]&lt;42370),"",1)))</f>
        <v/>
      </c>
      <c r="DT267" s="92" t="str">
        <f>IF(Table1[Start Date]="","",IF(Table1[Start Date]&gt;42551,"",IF(AND(Table1[Leaving Date]&gt;1,Table1[Leaving Date]&lt;42461),"",1)))</f>
        <v/>
      </c>
      <c r="DU267" s="92" t="str">
        <f>IF(Table1[Start Date]="","",IF(Table1[Start Date]&gt;42643,"",IF(AND(Table1[Leaving Date]&gt;1,Table1[Leaving Date]&lt;42552),"",1)))</f>
        <v/>
      </c>
      <c r="DV267" s="92" t="str">
        <f>IF(Table1[Start Date]="","",IF(Table1[Start Date]&gt;42735,"",IF(AND(Table1[Leaving Date]&gt;1,Table1[Leaving Date]&lt;42644),"",1)))</f>
        <v/>
      </c>
      <c r="DW267" s="92" t="str">
        <f>IF(Table1[Start Date]="","",IF(Table1[Start Date]&gt;42825,"",IF(AND(Table1[Leaving Date]&gt;1,Table1[Leaving Date]&lt;42736),"",1)))</f>
        <v/>
      </c>
      <c r="DX267"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267" s="44" t="e">
        <f>VLOOKUP(Table1[Referral Source],Lists!$G$2:$H$20,2,FALSE)</f>
        <v>#N/A</v>
      </c>
      <c r="DZ267" s="93" t="e">
        <f>SUM(Table1[Data Referral Quarter]+Table1[Data Referral Source])</f>
        <v>#N/A</v>
      </c>
      <c r="EA267" s="44" t="b">
        <f>IF(Table1[Referral Decision]="Accepted",100,IF(Table1[Referral Decision]="Rejected by Provider",200,IF(Table1[Referral Decision]="Rejected by Applicant",300)))</f>
        <v>0</v>
      </c>
      <c r="EB267" s="44">
        <f>SUM(Table1[Data Referral Quarter]+Table1[Data Referral Decision])</f>
        <v>0</v>
      </c>
      <c r="EC267" s="44" t="b">
        <f>IF(Table1[Start Date]&gt;42735,8000,IF(Table1[Start Date]&gt;42643,7000,IF(Table1[Start Date]&gt;42551,6000,IF(Table1[Start Date]&gt;42460,5000,IF(Table1[Start Date]&gt;42369,4000,IF(Table1[Start Date]&gt;42277,3000,IF(Table1[Start Date]&gt;42185,2000,IF(Table1[Start Date]&gt;42094,1000))))))))</f>
        <v>0</v>
      </c>
      <c r="ED267" s="44" t="str">
        <f>IF(Table1[Start Date]="","",IF(Table1[Current Local Authority]="Swindon",1,"2"))</f>
        <v/>
      </c>
      <c r="EE267" s="44" t="e">
        <f>SUM(Table1[Data Start Date]+Table1[Data Local Authority])</f>
        <v>#VALUE!</v>
      </c>
      <c r="EF267" s="44">
        <f>IF(Table1[Registered with GP]="Yes",1,0)</f>
        <v>0</v>
      </c>
      <c r="EG267" s="44">
        <f>SUM(Table1[Data Start Date]+Table1[Data GP Start])</f>
        <v>0</v>
      </c>
      <c r="EH267" s="44" t="str">
        <f>IF(Table1[EET]="NEET",1,IF(Table1[EET]="Education",2,IF(Table1[EET]="Employment",2,IF(Table1[EET]="Training",2,IF(Table1[EET]="Retired",3,"")))))</f>
        <v/>
      </c>
      <c r="EI267" s="44" t="e">
        <f>Table1[Data Start Date]+Table1[Data EET Start]</f>
        <v>#VALUE!</v>
      </c>
      <c r="EJ267" s="44" t="b">
        <f>IF(Table1[Leaving Date]&gt;42735,8000,IF(Table1[Leaving Date]&gt;42643,7000,IF(Table1[Leaving Date]&gt;42551,6000,IF(Table1[Leaving Date]&gt;42460,5000,IF(Table1[Leaving Date]&gt;42369,4000,IF(Table1[Leaving Date]&gt;42277,3000,IF(Table1[Leaving Date]&gt;42185,2000,IF(Table1[Leaving Date]&gt;42094,1000))))))))</f>
        <v>0</v>
      </c>
      <c r="EK267" s="44" t="e">
        <f>VLOOKUP(Table1[Reason for Leaving],Lists!$T$2:$U$15,2,FALSE)</f>
        <v>#N/A</v>
      </c>
      <c r="EL267" s="44" t="e">
        <f>SUM(Table1[Data Leavers Date]+Table1[Data Move On])</f>
        <v>#N/A</v>
      </c>
      <c r="EM267" s="44" t="b">
        <f>IF(Table1[Registered with GP2]="Yes",1,IF(Table1[Registered with GP2]="No",0,IF(Table1[Registered with GP]="Yes",1,IF(Table1[Registered with GP]="No",0))))</f>
        <v>0</v>
      </c>
      <c r="EN267" s="44">
        <f>SUM(Table1[Data Leavers Date]+Table1[Data GP End])</f>
        <v>0</v>
      </c>
      <c r="EO267" s="44" t="str">
        <f>IF(Table1[EET2]="NEET",1,IF(Table1[EET2]="Employment",2,IF(Table1[EET2]="Education",2,IF(Table1[EET2]="Training",2,IF(Table1[EET2]="Retired",3,IF(Table1[EET]="NEET",1,IF(Table1[EET]="Employment",2,IF(Table1[EET]="Education",2,IF(Table1[EET]="Training",2,IF(Table1[EET]="Retired",3,""))))))))))</f>
        <v/>
      </c>
      <c r="EP267" s="44" t="e">
        <f>+Table1[[#This Row],[Data Leavers Date]]+Table1[[#This Row],[Data EET End]]</f>
        <v>#VALUE!</v>
      </c>
      <c r="EQ267" s="44">
        <f>IF(Table1[Exit Form Received]="Yes",1,0)</f>
        <v>0</v>
      </c>
      <c r="ER267" s="44">
        <f>+Table1[[#This Row],[Data Leavers Date]]+Table1[[#This Row],[Data Exit Forms]]</f>
        <v>0</v>
      </c>
      <c r="ES267" s="44" t="str">
        <f>IF(Table1[Data Leavers Date]=1000,SUM(Table1[Leaving Date]-Table1[Start Date]),"")</f>
        <v/>
      </c>
      <c r="ET267" s="44" t="str">
        <f>IF(Table1[Data Leavers Date]=2000,SUM(Table1[Leaving Date]-Table1[Start Date]),"")</f>
        <v/>
      </c>
      <c r="EU267" s="44" t="str">
        <f>IF(Table1[Data Leavers Date]=3000,SUM(Table1[Leaving Date]-Table1[Start Date]),"")</f>
        <v/>
      </c>
      <c r="EV267" s="44" t="str">
        <f>IF(Table1[Data Leavers Date]=4000,SUM(Table1[Leaving Date]-Table1[Start Date]),"")</f>
        <v/>
      </c>
      <c r="EW267" s="44" t="str">
        <f>IF(Table1[Data Leavers Date]=5000,SUM(Table1[Leaving Date]-Table1[Start Date]),"")</f>
        <v/>
      </c>
      <c r="EX267" s="44" t="str">
        <f>IF(Table1[Data Leavers Date]=6000,SUM(Table1[Leaving Date]-Table1[Start Date]),"")</f>
        <v/>
      </c>
      <c r="EY267" s="44" t="str">
        <f>IF(Table1[Data Leavers Date]=7000,SUM(Table1[Leaving Date]-Table1[Start Date]),"")</f>
        <v/>
      </c>
      <c r="EZ267" s="44" t="str">
        <f>IF(Table1[Data Leavers Date]=8000,SUM(Table1[Leaving Date]-Table1[Start Date]),"")</f>
        <v/>
      </c>
      <c r="FA267" s="44" t="str">
        <f>IF(Table1[Date of Initial Assessment]="","",IF(AND(Table1[Start Date]&gt;42094,Table1[Start Date]&lt;42461),Table1[Motivation and Taking Responsibility],""))</f>
        <v/>
      </c>
      <c r="FB267" s="44" t="str">
        <f>IF(Table1[Date of Initial Assessment]="","",IF(AND(Table1[Start Date]&gt;42094,Table1[Start Date]&lt;42461),Table1[Self-Care and Living Skills],""))</f>
        <v/>
      </c>
      <c r="FC267" s="44" t="str">
        <f>IF(Table1[Date of Initial Assessment]="","",IF(AND(Table1[Start Date]&gt;42094,Table1[Start Date]&lt;42461),Table1[Managing Money and Personal Administration],""))</f>
        <v/>
      </c>
      <c r="FD267" s="44" t="str">
        <f>IF(Table1[Date of Initial Assessment]="","",IF(AND(Table1[Start Date]&gt;42094,Table1[Start Date]&lt;42461),Table1[Social Networks and Relationships],""))</f>
        <v/>
      </c>
      <c r="FE267" s="44" t="str">
        <f>IF(Table1[Date of Initial Assessment]="","",IF(AND(Table1[Start Date]&gt;42094,Table1[Start Date]&lt;42461),Table1[Drug and Alcohol Misuse],""))</f>
        <v/>
      </c>
      <c r="FF267" s="44" t="str">
        <f>IF(Table1[Date of Initial Assessment]="","",IF(AND(Table1[Start Date]&gt;42094,Table1[Start Date]&lt;42461),Table1[Physical Health],""))</f>
        <v/>
      </c>
      <c r="FG267" s="44" t="str">
        <f>IF(Table1[Date of Initial Assessment]="","",IF(AND(Table1[Start Date]&gt;42094,Table1[Start Date]&lt;42461),Table1[Emotional and Mental Health],""))</f>
        <v/>
      </c>
      <c r="FH267" s="44" t="str">
        <f>IF(Table1[Date of Initial Assessment]="","",IF(AND(Table1[Start Date]&gt;42094,Table1[Start Date]&lt;42461),Table1[Meaningful Use of Time],""))</f>
        <v/>
      </c>
      <c r="FI267" s="44" t="str">
        <f>IF(Table1[Date of Initial Assessment]="","",IF(AND(Table1[Start Date]&gt;42094,Table1[Start Date]&lt;42461),Table1[Managing Tenancy and Accommodation],""))</f>
        <v/>
      </c>
      <c r="FJ267" s="44" t="str">
        <f>IF(Table1[Date of Initial Assessment]="","",IF(AND(Table1[Start Date]&gt;42094,Table1[Start Date]&lt;42461),Table1[Offending],""))</f>
        <v/>
      </c>
      <c r="FK267" s="44" t="str">
        <f>IF(Table1[Leaving Date]="","",IF(Table1[Date of Initial Assessment]="","",IF(AND(Table1[Leaving Date]&gt;42094,Table1[Leaving Date]&lt;42461),IF(Table1[Date of Last Assessment]="",Table1[Motivation and Taking Responsibility],Table1[Motivation and Taking Responsibility2]),"")))</f>
        <v/>
      </c>
      <c r="FL267" s="44" t="str">
        <f>IF(Table1[Leaving Date]="","",IF(Table1[Date of Initial Assessment]="","",IF(AND(Table1[Leaving Date]&gt;42094,Table1[Leaving Date]&lt;42461),IF(Table1[Date of Last Assessment]="",Table1[Self-Care and Living Skills],Table1[Self-Care and Living Skills2]),"")))</f>
        <v/>
      </c>
      <c r="FM267" s="44" t="str">
        <f>IF(Table1[Leaving Date]="","",IF(Table1[Date of Initial Assessment]="","",IF(AND(Table1[Leaving Date]&gt;42094,Table1[Leaving Date]&lt;42461),IF(Table1[Date of Last Assessment]="",Table1[Managing Money and Personal Administration],Table1[Managing Money and Personal Administration2]),"")))</f>
        <v/>
      </c>
      <c r="FN267" s="44" t="str">
        <f>IF(Table1[Leaving Date]="","",IF(Table1[Date of Initial Assessment]="","",IF(AND(Table1[Leaving Date]&gt;42094,Table1[Leaving Date]&lt;42461),IF(Table1[Date of Last Assessment]="",Table1[Social Networks and Relationships],Table1[Social Networks and Relationships2]),"")))</f>
        <v/>
      </c>
      <c r="FO267" s="44" t="str">
        <f>IF(Table1[Leaving Date]="","",IF(Table1[Date of Initial Assessment]="","",IF(AND(Table1[Leaving Date]&gt;42094,Table1[Leaving Date]&lt;42461),IF(Table1[Date of Last Assessment]="",Table1[Drug and Alcohol Misuse],Table1[Drug and Alcohol Misuse2]),"")))</f>
        <v/>
      </c>
      <c r="FP267" s="44" t="str">
        <f>IF(Table1[Leaving Date]="","",IF(Table1[Date of Initial Assessment]="","",IF(AND(Table1[Leaving Date]&gt;42094,Table1[Leaving Date]&lt;42461),IF(Table1[Date of Last Assessment]="",Table1[Physical Health],Table1[Physical Health2]),"")))</f>
        <v/>
      </c>
      <c r="FQ267" s="44" t="str">
        <f>IF(Table1[Leaving Date]="","",IF(Table1[Date of Initial Assessment]="","",IF(AND(Table1[Leaving Date]&gt;42094,Table1[Leaving Date]&lt;42461),IF(Table1[Date of Last Assessment]="",Table1[Emotional and Mental Health],Table1[Emotional and Mental Health2]),"")))</f>
        <v/>
      </c>
      <c r="FR267" s="44" t="str">
        <f>IF(Table1[Leaving Date]="","",IF(Table1[Date of Initial Assessment]="","",IF(AND(Table1[Leaving Date]&gt;42094,Table1[Leaving Date]&lt;42461),IF(Table1[Date of Last Assessment]="",Table1[Meaningful Use of Time],Table1[Meaningful Use of Time2]),"")))</f>
        <v/>
      </c>
      <c r="FS267" s="44" t="str">
        <f>IF(Table1[Leaving Date]="","",IF(Table1[Date of Initial Assessment]="","",IF(AND(Table1[Leaving Date]&gt;42094,Table1[Leaving Date]&lt;42461),IF(Table1[Date of Last Assessment]="",Table1[Managing Tenancy and Accommodation],Table1[Managing Tenancy and Accommodation2]),"")))</f>
        <v/>
      </c>
      <c r="FT267" s="44" t="str">
        <f>IF(Table1[Leaving Date]="","",IF(Table1[Date of Initial Assessment]="","",IF(AND(Table1[Leaving Date]&gt;42094,Table1[Leaving Date]&lt;42461),IF(Table1[Date of Last Assessment]="",Table1[Offending],Table1[Offending2]),"")))</f>
        <v/>
      </c>
      <c r="FU267" s="44" t="str">
        <f>IF(Table1[Date of Initial Assessment]="","",IF(AND(Table1[Start Date]&gt;42460,Table1[Start Date]&lt;42826),Table1[Motivation and Taking Responsibility],""))</f>
        <v/>
      </c>
      <c r="FV267" s="44" t="str">
        <f>IF(Table1[Date of Initial Assessment]="","",IF(AND(Table1[Start Date]&gt;42460,Table1[Start Date]&lt;42826),Table1[Self-Care and Living Skills],""))</f>
        <v/>
      </c>
      <c r="FW267" s="44" t="str">
        <f>IF(Table1[Date of Initial Assessment]="","",IF(AND(Table1[Start Date]&gt;42460,Table1[Start Date]&lt;42826),Table1[Managing Money and Personal Administration],""))</f>
        <v/>
      </c>
      <c r="FX267" s="44" t="str">
        <f>IF(Table1[Date of Initial Assessment]="","",IF(AND(Table1[Start Date]&gt;42460,Table1[Start Date]&lt;42826),Table1[Social Networks and Relationships],""))</f>
        <v/>
      </c>
      <c r="FY267" s="44" t="str">
        <f>IF(Table1[Date of Initial Assessment]="","",IF(AND(Table1[Start Date]&gt;42460,Table1[Start Date]&lt;42826),Table1[Drug and Alcohol Misuse],""))</f>
        <v/>
      </c>
      <c r="FZ267" s="44" t="str">
        <f>IF(Table1[Date of Initial Assessment]="","",IF(AND(Table1[Start Date]&gt;42460,Table1[Start Date]&lt;42826),Table1[Physical Health],""))</f>
        <v/>
      </c>
      <c r="GA267" s="44" t="str">
        <f>IF(Table1[Date of Initial Assessment]="","",IF(AND(Table1[Start Date]&gt;42460,Table1[Start Date]&lt;42826),Table1[Emotional and Mental Health],""))</f>
        <v/>
      </c>
      <c r="GB267" s="44" t="str">
        <f>IF(Table1[Date of Initial Assessment]="","",IF(AND(Table1[Start Date]&gt;42460,Table1[Start Date]&lt;42826),Table1[Meaningful Use of Time],""))</f>
        <v/>
      </c>
      <c r="GC267" s="44" t="str">
        <f>IF(Table1[Date of Initial Assessment]="","",IF(AND(Table1[Start Date]&gt;42460,Table1[Start Date]&lt;42826),Table1[Managing Tenancy and Accommodation],""))</f>
        <v/>
      </c>
      <c r="GD267" s="44" t="str">
        <f>IF(Table1[Date of Initial Assessment]="","",IF(AND(Table1[Start Date]&gt;42460,Table1[Start Date]&lt;42826),Table1[Offending],""))</f>
        <v/>
      </c>
      <c r="GE267" s="44" t="str">
        <f>IF(Table1[Leaving Date]="","",IF(AND(Table1[Leaving Date]&gt;42460,Table1[Leaving Date]&lt;42826),IF(Table1[Date of Last Assessment]="",Table1[Motivation and Taking Responsibility],Table1[Motivation and Taking Responsibility2]),""))</f>
        <v/>
      </c>
      <c r="GF267" s="44" t="str">
        <f>IF(Table1[Leaving Date]="","",IF(AND(Table1[Leaving Date]&gt;42460,Table1[Leaving Date]&lt;42826),IF(Table1[Date of Last Assessment]="",Table1[Self-Care and Living Skills],Table1[Self-Care and Living Skills2]),""))</f>
        <v/>
      </c>
      <c r="GG267" s="44" t="str">
        <f>IF(Table1[Leaving Date]="","",IF(AND(Table1[Leaving Date]&gt;42460,Table1[Leaving Date]&lt;42826),IF(Table1[Date of Last Assessment]="",Table1[Managing Money and Personal Administration],Table1[Managing Money and Personal Administration2]),""))</f>
        <v/>
      </c>
      <c r="GH267" s="44" t="str">
        <f>IF(Table1[Leaving Date]="","",IF(AND(Table1[Leaving Date]&gt;42460,Table1[Leaving Date]&lt;42826),IF(Table1[Date of Last Assessment]="",Table1[Social Networks and Relationships],Table1[Social Networks and Relationships2]),""))</f>
        <v/>
      </c>
      <c r="GI267" s="44" t="str">
        <f>IF(Table1[Leaving Date]="","",IF(AND(Table1[Leaving Date]&gt;42460,Table1[Leaving Date]&lt;42826),IF(Table1[Date of Last Assessment]="",Table1[Drug and Alcohol Misuse],Table1[Drug and Alcohol Misuse2]),""))</f>
        <v/>
      </c>
      <c r="GJ267" s="44" t="str">
        <f>IF(Table1[Leaving Date]="","",IF(AND(Table1[Leaving Date]&gt;42460,Table1[Leaving Date]&lt;42826),IF(Table1[Date of Last Assessment]="",Table1[Physical Health],Table1[Physical Health2]),""))</f>
        <v/>
      </c>
      <c r="GK267" s="44" t="str">
        <f>IF(Table1[Leaving Date]="","",IF(AND(Table1[Leaving Date]&gt;42460,Table1[Leaving Date]&lt;42826),IF(Table1[Date of Last Assessment]="",Table1[Emotional and Mental Health],Table1[Emotional and Mental Health2]),""))</f>
        <v/>
      </c>
      <c r="GL267" s="44" t="str">
        <f>IF(Table1[Leaving Date]="","",IF(AND(Table1[Leaving Date]&gt;42460,Table1[Leaving Date]&lt;42826),IF(Table1[Date of Last Assessment]="",Table1[Meaningful Use of Time],Table1[Meaningful Use of Time2]),""))</f>
        <v/>
      </c>
      <c r="GM267" s="44" t="str">
        <f>IF(Table1[Leaving Date]="","",IF(AND(Table1[Leaving Date]&gt;42460,Table1[Leaving Date]&lt;42826),IF(Table1[Date of Last Assessment]="",Table1[Managing Tenancy and Accommodation],Table1[Managing Tenancy and Accommodation2]),""))</f>
        <v/>
      </c>
      <c r="GN267" s="44" t="str">
        <f>IF(Table1[Leaving Date]="","",IF(AND(Table1[Leaving Date]&gt;42460,Table1[Leaving Date]&lt;42826),IF(Table1[Date of Last Assessment]="",Table1[Offending],Table1[Offending2]),""))</f>
        <v/>
      </c>
    </row>
    <row r="268" spans="2:196" ht="20.100000000000001" customHeight="1" x14ac:dyDescent="0.2">
      <c r="B268" s="86">
        <f>+'Service Data'!$C$5:$C$5</f>
        <v>0</v>
      </c>
      <c r="C268" s="86"/>
      <c r="D268" s="86"/>
      <c r="E268" s="86"/>
      <c r="F268" s="86"/>
      <c r="G268" s="86"/>
      <c r="H268" s="6"/>
      <c r="I268" s="99" t="str">
        <f ca="1">IF(Table1[[#This Row],[Date of Birth]]="","",SUM(TODAY()-Table1[[#This Row],[Date of Birth]])/365)</f>
        <v/>
      </c>
      <c r="L268" s="86"/>
      <c r="M268" s="77"/>
      <c r="N268" s="86"/>
      <c r="O268" s="86"/>
      <c r="P268" s="91"/>
      <c r="Q268" s="86"/>
      <c r="R268" s="77"/>
      <c r="S268" s="77"/>
      <c r="T268" s="68"/>
      <c r="U268" s="68"/>
      <c r="V268" s="67"/>
      <c r="W268" s="67"/>
      <c r="X268" s="67"/>
      <c r="Y268" s="67"/>
      <c r="Z268" s="67"/>
      <c r="AA268" s="67"/>
      <c r="AB268" s="67"/>
      <c r="AC268" s="67"/>
      <c r="AD268" s="67"/>
      <c r="AE268" s="67"/>
      <c r="AF268" s="67"/>
      <c r="AG268" s="67"/>
      <c r="AH268" s="67"/>
      <c r="AI268" s="67"/>
      <c r="AJ268" s="67"/>
      <c r="AK268" s="67"/>
      <c r="AL268" s="67"/>
      <c r="AM268" s="67"/>
      <c r="AN268" s="77"/>
      <c r="AO268" s="76"/>
      <c r="AP268" s="77"/>
      <c r="AQ268" s="76"/>
      <c r="AR268" s="76"/>
      <c r="AS268" s="76"/>
      <c r="AT268" s="76"/>
      <c r="AU268" s="76"/>
      <c r="AV268" s="77"/>
      <c r="AW268" s="76"/>
      <c r="AX268" s="77"/>
      <c r="AY268" s="76"/>
      <c r="AZ268" s="76"/>
      <c r="BA268" s="76"/>
      <c r="BB268" s="76"/>
      <c r="BC268" s="76"/>
      <c r="BD268" s="77"/>
      <c r="BE268" s="76"/>
      <c r="BF268" s="77"/>
      <c r="BG268" s="76"/>
      <c r="BH268" s="76"/>
      <c r="BI268" s="76"/>
      <c r="BJ268" s="76"/>
      <c r="BK268" s="76"/>
      <c r="BL268" s="77"/>
      <c r="BM268" s="76"/>
      <c r="BN268" s="77"/>
      <c r="BO268" s="76"/>
      <c r="BP268" s="76"/>
      <c r="BQ268" s="76"/>
      <c r="BR268" s="76"/>
      <c r="BS268" s="76"/>
      <c r="BT268" s="77"/>
      <c r="BU268" s="76"/>
      <c r="BV268" s="77"/>
      <c r="BW268" s="76"/>
      <c r="BX268" s="76"/>
      <c r="BY268" s="76"/>
      <c r="BZ268" s="76"/>
      <c r="CA268" s="76"/>
      <c r="CB268" s="77"/>
      <c r="CC268" s="76"/>
      <c r="CD268" s="77"/>
      <c r="CE268" s="76"/>
      <c r="CF268" s="76"/>
      <c r="CG268" s="76"/>
      <c r="CH268" s="76"/>
      <c r="CI268" s="76"/>
      <c r="CJ268" s="77"/>
      <c r="CK268" s="76"/>
      <c r="CL268" s="77"/>
      <c r="CM268" s="76"/>
      <c r="CN268" s="76"/>
      <c r="CO268" s="76"/>
      <c r="CP268" s="76"/>
      <c r="CQ268" s="76"/>
      <c r="CR268" s="78" t="str">
        <f t="shared" si="79"/>
        <v/>
      </c>
      <c r="CS268" s="79" t="str">
        <f t="shared" si="80"/>
        <v/>
      </c>
      <c r="CT268" s="79" t="str">
        <f t="shared" si="81"/>
        <v/>
      </c>
      <c r="CU268" s="79" t="str">
        <f t="shared" si="82"/>
        <v/>
      </c>
      <c r="CV268" s="79" t="str">
        <f t="shared" si="83"/>
        <v/>
      </c>
      <c r="CW268" s="79" t="str">
        <f t="shared" si="84"/>
        <v/>
      </c>
      <c r="CX268" s="79" t="str">
        <f t="shared" si="85"/>
        <v/>
      </c>
      <c r="CY268" s="79" t="str">
        <f t="shared" si="86"/>
        <v/>
      </c>
      <c r="CZ268" s="79" t="str">
        <f t="shared" si="87"/>
        <v/>
      </c>
      <c r="DA268" s="79" t="str">
        <f t="shared" si="88"/>
        <v/>
      </c>
      <c r="DB268" s="79" t="str">
        <f t="shared" si="89"/>
        <v/>
      </c>
      <c r="DC268" s="79" t="str">
        <f t="shared" si="90"/>
        <v/>
      </c>
      <c r="DD268" s="79" t="str">
        <f t="shared" si="91"/>
        <v/>
      </c>
      <c r="DE268" s="79" t="str">
        <f t="shared" si="92"/>
        <v/>
      </c>
      <c r="DF268" s="79" t="str">
        <f t="shared" si="93"/>
        <v/>
      </c>
      <c r="DG268" s="79" t="str">
        <f t="shared" si="94"/>
        <v/>
      </c>
      <c r="DH268" s="76"/>
      <c r="DI268" s="78"/>
      <c r="DJ268" s="76"/>
      <c r="DK268" s="77"/>
      <c r="DL268" s="77"/>
      <c r="DM268" s="77"/>
      <c r="DN268" s="80"/>
      <c r="DO268" s="80"/>
      <c r="DP268" s="92" t="str">
        <f>IF(Table1[Start Date]="","",IF(Table1[Start Date]&gt;42185,"",IF(AND(Table1[Leaving Date]&gt;1,Table1[Leaving Date]&lt;42095),"",1)))</f>
        <v/>
      </c>
      <c r="DQ268" s="92" t="str">
        <f>IF(Table1[Start Date]="","",IF(Table1[Start Date]&gt;42277,"",IF(AND(Table1[Leaving Date]&gt;1,Table1[Leaving Date]&lt;42186),"",1)))</f>
        <v/>
      </c>
      <c r="DR268" s="92" t="str">
        <f>IF(Table1[Start Date]="","",IF(Table1[Start Date]&gt;42369,"",IF(AND(Table1[Leaving Date]&gt;1,Table1[Leaving Date]&lt;42278),"",1)))</f>
        <v/>
      </c>
      <c r="DS268" s="92" t="str">
        <f>IF(Table1[Start Date]="","",IF(Table1[Start Date]&gt;42460,"",IF(AND(Table1[Leaving Date]&gt;1,Table1[Leaving Date]&lt;42370),"",1)))</f>
        <v/>
      </c>
      <c r="DT268" s="92" t="str">
        <f>IF(Table1[Start Date]="","",IF(Table1[Start Date]&gt;42551,"",IF(AND(Table1[Leaving Date]&gt;1,Table1[Leaving Date]&lt;42461),"",1)))</f>
        <v/>
      </c>
      <c r="DU268" s="92" t="str">
        <f>IF(Table1[Start Date]="","",IF(Table1[Start Date]&gt;42643,"",IF(AND(Table1[Leaving Date]&gt;1,Table1[Leaving Date]&lt;42552),"",1)))</f>
        <v/>
      </c>
      <c r="DV268" s="92" t="str">
        <f>IF(Table1[Start Date]="","",IF(Table1[Start Date]&gt;42735,"",IF(AND(Table1[Leaving Date]&gt;1,Table1[Leaving Date]&lt;42644),"",1)))</f>
        <v/>
      </c>
      <c r="DW268" s="92" t="str">
        <f>IF(Table1[Start Date]="","",IF(Table1[Start Date]&gt;42825,"",IF(AND(Table1[Leaving Date]&gt;1,Table1[Leaving Date]&lt;42736),"",1)))</f>
        <v/>
      </c>
      <c r="DX268"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268" s="44" t="e">
        <f>VLOOKUP(Table1[Referral Source],Lists!$G$2:$H$20,2,FALSE)</f>
        <v>#N/A</v>
      </c>
      <c r="DZ268" s="93" t="e">
        <f>SUM(Table1[Data Referral Quarter]+Table1[Data Referral Source])</f>
        <v>#N/A</v>
      </c>
      <c r="EA268" s="44" t="b">
        <f>IF(Table1[Referral Decision]="Accepted",100,IF(Table1[Referral Decision]="Rejected by Provider",200,IF(Table1[Referral Decision]="Rejected by Applicant",300)))</f>
        <v>0</v>
      </c>
      <c r="EB268" s="44">
        <f>SUM(Table1[Data Referral Quarter]+Table1[Data Referral Decision])</f>
        <v>0</v>
      </c>
      <c r="EC268" s="44" t="b">
        <f>IF(Table1[Start Date]&gt;42735,8000,IF(Table1[Start Date]&gt;42643,7000,IF(Table1[Start Date]&gt;42551,6000,IF(Table1[Start Date]&gt;42460,5000,IF(Table1[Start Date]&gt;42369,4000,IF(Table1[Start Date]&gt;42277,3000,IF(Table1[Start Date]&gt;42185,2000,IF(Table1[Start Date]&gt;42094,1000))))))))</f>
        <v>0</v>
      </c>
      <c r="ED268" s="44" t="str">
        <f>IF(Table1[Start Date]="","",IF(Table1[Current Local Authority]="Swindon",1,"2"))</f>
        <v/>
      </c>
      <c r="EE268" s="44" t="e">
        <f>SUM(Table1[Data Start Date]+Table1[Data Local Authority])</f>
        <v>#VALUE!</v>
      </c>
      <c r="EF268" s="44">
        <f>IF(Table1[Registered with GP]="Yes",1,0)</f>
        <v>0</v>
      </c>
      <c r="EG268" s="44">
        <f>SUM(Table1[Data Start Date]+Table1[Data GP Start])</f>
        <v>0</v>
      </c>
      <c r="EH268" s="44" t="str">
        <f>IF(Table1[EET]="NEET",1,IF(Table1[EET]="Education",2,IF(Table1[EET]="Employment",2,IF(Table1[EET]="Training",2,IF(Table1[EET]="Retired",3,"")))))</f>
        <v/>
      </c>
      <c r="EI268" s="44" t="e">
        <f>Table1[Data Start Date]+Table1[Data EET Start]</f>
        <v>#VALUE!</v>
      </c>
      <c r="EJ268" s="44" t="b">
        <f>IF(Table1[Leaving Date]&gt;42735,8000,IF(Table1[Leaving Date]&gt;42643,7000,IF(Table1[Leaving Date]&gt;42551,6000,IF(Table1[Leaving Date]&gt;42460,5000,IF(Table1[Leaving Date]&gt;42369,4000,IF(Table1[Leaving Date]&gt;42277,3000,IF(Table1[Leaving Date]&gt;42185,2000,IF(Table1[Leaving Date]&gt;42094,1000))))))))</f>
        <v>0</v>
      </c>
      <c r="EK268" s="44" t="e">
        <f>VLOOKUP(Table1[Reason for Leaving],Lists!$T$2:$U$15,2,FALSE)</f>
        <v>#N/A</v>
      </c>
      <c r="EL268" s="44" t="e">
        <f>SUM(Table1[Data Leavers Date]+Table1[Data Move On])</f>
        <v>#N/A</v>
      </c>
      <c r="EM268" s="44" t="b">
        <f>IF(Table1[Registered with GP2]="Yes",1,IF(Table1[Registered with GP2]="No",0,IF(Table1[Registered with GP]="Yes",1,IF(Table1[Registered with GP]="No",0))))</f>
        <v>0</v>
      </c>
      <c r="EN268" s="44">
        <f>SUM(Table1[Data Leavers Date]+Table1[Data GP End])</f>
        <v>0</v>
      </c>
      <c r="EO268" s="44" t="str">
        <f>IF(Table1[EET2]="NEET",1,IF(Table1[EET2]="Employment",2,IF(Table1[EET2]="Education",2,IF(Table1[EET2]="Training",2,IF(Table1[EET2]="Retired",3,IF(Table1[EET]="NEET",1,IF(Table1[EET]="Employment",2,IF(Table1[EET]="Education",2,IF(Table1[EET]="Training",2,IF(Table1[EET]="Retired",3,""))))))))))</f>
        <v/>
      </c>
      <c r="EP268" s="44" t="e">
        <f>+Table1[[#This Row],[Data Leavers Date]]+Table1[[#This Row],[Data EET End]]</f>
        <v>#VALUE!</v>
      </c>
      <c r="EQ268" s="44">
        <f>IF(Table1[Exit Form Received]="Yes",1,0)</f>
        <v>0</v>
      </c>
      <c r="ER268" s="44">
        <f>+Table1[[#This Row],[Data Leavers Date]]+Table1[[#This Row],[Data Exit Forms]]</f>
        <v>0</v>
      </c>
      <c r="ES268" s="44" t="str">
        <f>IF(Table1[Data Leavers Date]=1000,SUM(Table1[Leaving Date]-Table1[Start Date]),"")</f>
        <v/>
      </c>
      <c r="ET268" s="44" t="str">
        <f>IF(Table1[Data Leavers Date]=2000,SUM(Table1[Leaving Date]-Table1[Start Date]),"")</f>
        <v/>
      </c>
      <c r="EU268" s="44" t="str">
        <f>IF(Table1[Data Leavers Date]=3000,SUM(Table1[Leaving Date]-Table1[Start Date]),"")</f>
        <v/>
      </c>
      <c r="EV268" s="44" t="str">
        <f>IF(Table1[Data Leavers Date]=4000,SUM(Table1[Leaving Date]-Table1[Start Date]),"")</f>
        <v/>
      </c>
      <c r="EW268" s="44" t="str">
        <f>IF(Table1[Data Leavers Date]=5000,SUM(Table1[Leaving Date]-Table1[Start Date]),"")</f>
        <v/>
      </c>
      <c r="EX268" s="44" t="str">
        <f>IF(Table1[Data Leavers Date]=6000,SUM(Table1[Leaving Date]-Table1[Start Date]),"")</f>
        <v/>
      </c>
      <c r="EY268" s="44" t="str">
        <f>IF(Table1[Data Leavers Date]=7000,SUM(Table1[Leaving Date]-Table1[Start Date]),"")</f>
        <v/>
      </c>
      <c r="EZ268" s="44" t="str">
        <f>IF(Table1[Data Leavers Date]=8000,SUM(Table1[Leaving Date]-Table1[Start Date]),"")</f>
        <v/>
      </c>
      <c r="FA268" s="44" t="str">
        <f>IF(Table1[Date of Initial Assessment]="","",IF(AND(Table1[Start Date]&gt;42094,Table1[Start Date]&lt;42461),Table1[Motivation and Taking Responsibility],""))</f>
        <v/>
      </c>
      <c r="FB268" s="44" t="str">
        <f>IF(Table1[Date of Initial Assessment]="","",IF(AND(Table1[Start Date]&gt;42094,Table1[Start Date]&lt;42461),Table1[Self-Care and Living Skills],""))</f>
        <v/>
      </c>
      <c r="FC268" s="44" t="str">
        <f>IF(Table1[Date of Initial Assessment]="","",IF(AND(Table1[Start Date]&gt;42094,Table1[Start Date]&lt;42461),Table1[Managing Money and Personal Administration],""))</f>
        <v/>
      </c>
      <c r="FD268" s="44" t="str">
        <f>IF(Table1[Date of Initial Assessment]="","",IF(AND(Table1[Start Date]&gt;42094,Table1[Start Date]&lt;42461),Table1[Social Networks and Relationships],""))</f>
        <v/>
      </c>
      <c r="FE268" s="44" t="str">
        <f>IF(Table1[Date of Initial Assessment]="","",IF(AND(Table1[Start Date]&gt;42094,Table1[Start Date]&lt;42461),Table1[Drug and Alcohol Misuse],""))</f>
        <v/>
      </c>
      <c r="FF268" s="44" t="str">
        <f>IF(Table1[Date of Initial Assessment]="","",IF(AND(Table1[Start Date]&gt;42094,Table1[Start Date]&lt;42461),Table1[Physical Health],""))</f>
        <v/>
      </c>
      <c r="FG268" s="44" t="str">
        <f>IF(Table1[Date of Initial Assessment]="","",IF(AND(Table1[Start Date]&gt;42094,Table1[Start Date]&lt;42461),Table1[Emotional and Mental Health],""))</f>
        <v/>
      </c>
      <c r="FH268" s="44" t="str">
        <f>IF(Table1[Date of Initial Assessment]="","",IF(AND(Table1[Start Date]&gt;42094,Table1[Start Date]&lt;42461),Table1[Meaningful Use of Time],""))</f>
        <v/>
      </c>
      <c r="FI268" s="44" t="str">
        <f>IF(Table1[Date of Initial Assessment]="","",IF(AND(Table1[Start Date]&gt;42094,Table1[Start Date]&lt;42461),Table1[Managing Tenancy and Accommodation],""))</f>
        <v/>
      </c>
      <c r="FJ268" s="44" t="str">
        <f>IF(Table1[Date of Initial Assessment]="","",IF(AND(Table1[Start Date]&gt;42094,Table1[Start Date]&lt;42461),Table1[Offending],""))</f>
        <v/>
      </c>
      <c r="FK268" s="44" t="str">
        <f>IF(Table1[Leaving Date]="","",IF(Table1[Date of Initial Assessment]="","",IF(AND(Table1[Leaving Date]&gt;42094,Table1[Leaving Date]&lt;42461),IF(Table1[Date of Last Assessment]="",Table1[Motivation and Taking Responsibility],Table1[Motivation and Taking Responsibility2]),"")))</f>
        <v/>
      </c>
      <c r="FL268" s="44" t="str">
        <f>IF(Table1[Leaving Date]="","",IF(Table1[Date of Initial Assessment]="","",IF(AND(Table1[Leaving Date]&gt;42094,Table1[Leaving Date]&lt;42461),IF(Table1[Date of Last Assessment]="",Table1[Self-Care and Living Skills],Table1[Self-Care and Living Skills2]),"")))</f>
        <v/>
      </c>
      <c r="FM268" s="44" t="str">
        <f>IF(Table1[Leaving Date]="","",IF(Table1[Date of Initial Assessment]="","",IF(AND(Table1[Leaving Date]&gt;42094,Table1[Leaving Date]&lt;42461),IF(Table1[Date of Last Assessment]="",Table1[Managing Money and Personal Administration],Table1[Managing Money and Personal Administration2]),"")))</f>
        <v/>
      </c>
      <c r="FN268" s="44" t="str">
        <f>IF(Table1[Leaving Date]="","",IF(Table1[Date of Initial Assessment]="","",IF(AND(Table1[Leaving Date]&gt;42094,Table1[Leaving Date]&lt;42461),IF(Table1[Date of Last Assessment]="",Table1[Social Networks and Relationships],Table1[Social Networks and Relationships2]),"")))</f>
        <v/>
      </c>
      <c r="FO268" s="44" t="str">
        <f>IF(Table1[Leaving Date]="","",IF(Table1[Date of Initial Assessment]="","",IF(AND(Table1[Leaving Date]&gt;42094,Table1[Leaving Date]&lt;42461),IF(Table1[Date of Last Assessment]="",Table1[Drug and Alcohol Misuse],Table1[Drug and Alcohol Misuse2]),"")))</f>
        <v/>
      </c>
      <c r="FP268" s="44" t="str">
        <f>IF(Table1[Leaving Date]="","",IF(Table1[Date of Initial Assessment]="","",IF(AND(Table1[Leaving Date]&gt;42094,Table1[Leaving Date]&lt;42461),IF(Table1[Date of Last Assessment]="",Table1[Physical Health],Table1[Physical Health2]),"")))</f>
        <v/>
      </c>
      <c r="FQ268" s="44" t="str">
        <f>IF(Table1[Leaving Date]="","",IF(Table1[Date of Initial Assessment]="","",IF(AND(Table1[Leaving Date]&gt;42094,Table1[Leaving Date]&lt;42461),IF(Table1[Date of Last Assessment]="",Table1[Emotional and Mental Health],Table1[Emotional and Mental Health2]),"")))</f>
        <v/>
      </c>
      <c r="FR268" s="44" t="str">
        <f>IF(Table1[Leaving Date]="","",IF(Table1[Date of Initial Assessment]="","",IF(AND(Table1[Leaving Date]&gt;42094,Table1[Leaving Date]&lt;42461),IF(Table1[Date of Last Assessment]="",Table1[Meaningful Use of Time],Table1[Meaningful Use of Time2]),"")))</f>
        <v/>
      </c>
      <c r="FS268" s="44" t="str">
        <f>IF(Table1[Leaving Date]="","",IF(Table1[Date of Initial Assessment]="","",IF(AND(Table1[Leaving Date]&gt;42094,Table1[Leaving Date]&lt;42461),IF(Table1[Date of Last Assessment]="",Table1[Managing Tenancy and Accommodation],Table1[Managing Tenancy and Accommodation2]),"")))</f>
        <v/>
      </c>
      <c r="FT268" s="44" t="str">
        <f>IF(Table1[Leaving Date]="","",IF(Table1[Date of Initial Assessment]="","",IF(AND(Table1[Leaving Date]&gt;42094,Table1[Leaving Date]&lt;42461),IF(Table1[Date of Last Assessment]="",Table1[Offending],Table1[Offending2]),"")))</f>
        <v/>
      </c>
      <c r="FU268" s="44" t="str">
        <f>IF(Table1[Date of Initial Assessment]="","",IF(AND(Table1[Start Date]&gt;42460,Table1[Start Date]&lt;42826),Table1[Motivation and Taking Responsibility],""))</f>
        <v/>
      </c>
      <c r="FV268" s="44" t="str">
        <f>IF(Table1[Date of Initial Assessment]="","",IF(AND(Table1[Start Date]&gt;42460,Table1[Start Date]&lt;42826),Table1[Self-Care and Living Skills],""))</f>
        <v/>
      </c>
      <c r="FW268" s="44" t="str">
        <f>IF(Table1[Date of Initial Assessment]="","",IF(AND(Table1[Start Date]&gt;42460,Table1[Start Date]&lt;42826),Table1[Managing Money and Personal Administration],""))</f>
        <v/>
      </c>
      <c r="FX268" s="44" t="str">
        <f>IF(Table1[Date of Initial Assessment]="","",IF(AND(Table1[Start Date]&gt;42460,Table1[Start Date]&lt;42826),Table1[Social Networks and Relationships],""))</f>
        <v/>
      </c>
      <c r="FY268" s="44" t="str">
        <f>IF(Table1[Date of Initial Assessment]="","",IF(AND(Table1[Start Date]&gt;42460,Table1[Start Date]&lt;42826),Table1[Drug and Alcohol Misuse],""))</f>
        <v/>
      </c>
      <c r="FZ268" s="44" t="str">
        <f>IF(Table1[Date of Initial Assessment]="","",IF(AND(Table1[Start Date]&gt;42460,Table1[Start Date]&lt;42826),Table1[Physical Health],""))</f>
        <v/>
      </c>
      <c r="GA268" s="44" t="str">
        <f>IF(Table1[Date of Initial Assessment]="","",IF(AND(Table1[Start Date]&gt;42460,Table1[Start Date]&lt;42826),Table1[Emotional and Mental Health],""))</f>
        <v/>
      </c>
      <c r="GB268" s="44" t="str">
        <f>IF(Table1[Date of Initial Assessment]="","",IF(AND(Table1[Start Date]&gt;42460,Table1[Start Date]&lt;42826),Table1[Meaningful Use of Time],""))</f>
        <v/>
      </c>
      <c r="GC268" s="44" t="str">
        <f>IF(Table1[Date of Initial Assessment]="","",IF(AND(Table1[Start Date]&gt;42460,Table1[Start Date]&lt;42826),Table1[Managing Tenancy and Accommodation],""))</f>
        <v/>
      </c>
      <c r="GD268" s="44" t="str">
        <f>IF(Table1[Date of Initial Assessment]="","",IF(AND(Table1[Start Date]&gt;42460,Table1[Start Date]&lt;42826),Table1[Offending],""))</f>
        <v/>
      </c>
      <c r="GE268" s="44" t="str">
        <f>IF(Table1[Leaving Date]="","",IF(AND(Table1[Leaving Date]&gt;42460,Table1[Leaving Date]&lt;42826),IF(Table1[Date of Last Assessment]="",Table1[Motivation and Taking Responsibility],Table1[Motivation and Taking Responsibility2]),""))</f>
        <v/>
      </c>
      <c r="GF268" s="44" t="str">
        <f>IF(Table1[Leaving Date]="","",IF(AND(Table1[Leaving Date]&gt;42460,Table1[Leaving Date]&lt;42826),IF(Table1[Date of Last Assessment]="",Table1[Self-Care and Living Skills],Table1[Self-Care and Living Skills2]),""))</f>
        <v/>
      </c>
      <c r="GG268" s="44" t="str">
        <f>IF(Table1[Leaving Date]="","",IF(AND(Table1[Leaving Date]&gt;42460,Table1[Leaving Date]&lt;42826),IF(Table1[Date of Last Assessment]="",Table1[Managing Money and Personal Administration],Table1[Managing Money and Personal Administration2]),""))</f>
        <v/>
      </c>
      <c r="GH268" s="44" t="str">
        <f>IF(Table1[Leaving Date]="","",IF(AND(Table1[Leaving Date]&gt;42460,Table1[Leaving Date]&lt;42826),IF(Table1[Date of Last Assessment]="",Table1[Social Networks and Relationships],Table1[Social Networks and Relationships2]),""))</f>
        <v/>
      </c>
      <c r="GI268" s="44" t="str">
        <f>IF(Table1[Leaving Date]="","",IF(AND(Table1[Leaving Date]&gt;42460,Table1[Leaving Date]&lt;42826),IF(Table1[Date of Last Assessment]="",Table1[Drug and Alcohol Misuse],Table1[Drug and Alcohol Misuse2]),""))</f>
        <v/>
      </c>
      <c r="GJ268" s="44" t="str">
        <f>IF(Table1[Leaving Date]="","",IF(AND(Table1[Leaving Date]&gt;42460,Table1[Leaving Date]&lt;42826),IF(Table1[Date of Last Assessment]="",Table1[Physical Health],Table1[Physical Health2]),""))</f>
        <v/>
      </c>
      <c r="GK268" s="44" t="str">
        <f>IF(Table1[Leaving Date]="","",IF(AND(Table1[Leaving Date]&gt;42460,Table1[Leaving Date]&lt;42826),IF(Table1[Date of Last Assessment]="",Table1[Emotional and Mental Health],Table1[Emotional and Mental Health2]),""))</f>
        <v/>
      </c>
      <c r="GL268" s="44" t="str">
        <f>IF(Table1[Leaving Date]="","",IF(AND(Table1[Leaving Date]&gt;42460,Table1[Leaving Date]&lt;42826),IF(Table1[Date of Last Assessment]="",Table1[Meaningful Use of Time],Table1[Meaningful Use of Time2]),""))</f>
        <v/>
      </c>
      <c r="GM268" s="44" t="str">
        <f>IF(Table1[Leaving Date]="","",IF(AND(Table1[Leaving Date]&gt;42460,Table1[Leaving Date]&lt;42826),IF(Table1[Date of Last Assessment]="",Table1[Managing Tenancy and Accommodation],Table1[Managing Tenancy and Accommodation2]),""))</f>
        <v/>
      </c>
      <c r="GN268" s="44" t="str">
        <f>IF(Table1[Leaving Date]="","",IF(AND(Table1[Leaving Date]&gt;42460,Table1[Leaving Date]&lt;42826),IF(Table1[Date of Last Assessment]="",Table1[Offending],Table1[Offending2]),""))</f>
        <v/>
      </c>
    </row>
    <row r="269" spans="2:196" ht="20.100000000000001" customHeight="1" x14ac:dyDescent="0.2">
      <c r="B269" s="86">
        <f>+'Service Data'!$C$5:$C$5</f>
        <v>0</v>
      </c>
      <c r="C269" s="86"/>
      <c r="D269" s="86"/>
      <c r="E269" s="86"/>
      <c r="F269" s="86"/>
      <c r="G269" s="86"/>
      <c r="H269" s="6"/>
      <c r="I269" s="99" t="str">
        <f ca="1">IF(Table1[[#This Row],[Date of Birth]]="","",SUM(TODAY()-Table1[[#This Row],[Date of Birth]])/365)</f>
        <v/>
      </c>
      <c r="L269" s="86"/>
      <c r="M269" s="77"/>
      <c r="N269" s="86"/>
      <c r="O269" s="86"/>
      <c r="P269" s="91"/>
      <c r="Q269" s="86"/>
      <c r="R269" s="77"/>
      <c r="S269" s="77"/>
      <c r="T269" s="68"/>
      <c r="U269" s="68"/>
      <c r="V269" s="67"/>
      <c r="W269" s="67"/>
      <c r="X269" s="67"/>
      <c r="Y269" s="67"/>
      <c r="Z269" s="67"/>
      <c r="AA269" s="67"/>
      <c r="AB269" s="67"/>
      <c r="AC269" s="67"/>
      <c r="AD269" s="67"/>
      <c r="AE269" s="67"/>
      <c r="AF269" s="67"/>
      <c r="AG269" s="67"/>
      <c r="AH269" s="67"/>
      <c r="AI269" s="67"/>
      <c r="AJ269" s="67"/>
      <c r="AK269" s="67"/>
      <c r="AL269" s="67"/>
      <c r="AM269" s="67"/>
      <c r="AN269" s="77"/>
      <c r="AO269" s="76"/>
      <c r="AP269" s="77"/>
      <c r="AQ269" s="76"/>
      <c r="AR269" s="76"/>
      <c r="AS269" s="76"/>
      <c r="AT269" s="76"/>
      <c r="AU269" s="76"/>
      <c r="AV269" s="77"/>
      <c r="AW269" s="76"/>
      <c r="AX269" s="77"/>
      <c r="AY269" s="76"/>
      <c r="AZ269" s="76"/>
      <c r="BA269" s="76"/>
      <c r="BB269" s="76"/>
      <c r="BC269" s="76"/>
      <c r="BD269" s="77"/>
      <c r="BE269" s="76"/>
      <c r="BF269" s="77"/>
      <c r="BG269" s="76"/>
      <c r="BH269" s="76"/>
      <c r="BI269" s="76"/>
      <c r="BJ269" s="76"/>
      <c r="BK269" s="76"/>
      <c r="BL269" s="77"/>
      <c r="BM269" s="76"/>
      <c r="BN269" s="77"/>
      <c r="BO269" s="76"/>
      <c r="BP269" s="76"/>
      <c r="BQ269" s="76"/>
      <c r="BR269" s="76"/>
      <c r="BS269" s="76"/>
      <c r="BT269" s="77"/>
      <c r="BU269" s="76"/>
      <c r="BV269" s="77"/>
      <c r="BW269" s="76"/>
      <c r="BX269" s="76"/>
      <c r="BY269" s="76"/>
      <c r="BZ269" s="76"/>
      <c r="CA269" s="76"/>
      <c r="CB269" s="77"/>
      <c r="CC269" s="76"/>
      <c r="CD269" s="77"/>
      <c r="CE269" s="76"/>
      <c r="CF269" s="76"/>
      <c r="CG269" s="76"/>
      <c r="CH269" s="76"/>
      <c r="CI269" s="76"/>
      <c r="CJ269" s="77"/>
      <c r="CK269" s="76"/>
      <c r="CL269" s="77"/>
      <c r="CM269" s="76"/>
      <c r="CN269" s="76"/>
      <c r="CO269" s="76"/>
      <c r="CP269" s="76"/>
      <c r="CQ269" s="76"/>
      <c r="CR269" s="78" t="str">
        <f t="shared" si="79"/>
        <v/>
      </c>
      <c r="CS269" s="79" t="str">
        <f t="shared" si="80"/>
        <v/>
      </c>
      <c r="CT269" s="79" t="str">
        <f t="shared" si="81"/>
        <v/>
      </c>
      <c r="CU269" s="79" t="str">
        <f t="shared" si="82"/>
        <v/>
      </c>
      <c r="CV269" s="79" t="str">
        <f t="shared" si="83"/>
        <v/>
      </c>
      <c r="CW269" s="79" t="str">
        <f t="shared" si="84"/>
        <v/>
      </c>
      <c r="CX269" s="79" t="str">
        <f t="shared" si="85"/>
        <v/>
      </c>
      <c r="CY269" s="79" t="str">
        <f t="shared" si="86"/>
        <v/>
      </c>
      <c r="CZ269" s="79" t="str">
        <f t="shared" si="87"/>
        <v/>
      </c>
      <c r="DA269" s="79" t="str">
        <f t="shared" si="88"/>
        <v/>
      </c>
      <c r="DB269" s="79" t="str">
        <f t="shared" si="89"/>
        <v/>
      </c>
      <c r="DC269" s="79" t="str">
        <f t="shared" si="90"/>
        <v/>
      </c>
      <c r="DD269" s="79" t="str">
        <f t="shared" si="91"/>
        <v/>
      </c>
      <c r="DE269" s="79" t="str">
        <f t="shared" si="92"/>
        <v/>
      </c>
      <c r="DF269" s="79" t="str">
        <f t="shared" si="93"/>
        <v/>
      </c>
      <c r="DG269" s="79" t="str">
        <f t="shared" si="94"/>
        <v/>
      </c>
      <c r="DH269" s="76"/>
      <c r="DI269" s="78"/>
      <c r="DJ269" s="76"/>
      <c r="DK269" s="77"/>
      <c r="DL269" s="77"/>
      <c r="DM269" s="77"/>
      <c r="DN269" s="80"/>
      <c r="DO269" s="80"/>
      <c r="DP269" s="92" t="str">
        <f>IF(Table1[Start Date]="","",IF(Table1[Start Date]&gt;42185,"",IF(AND(Table1[Leaving Date]&gt;1,Table1[Leaving Date]&lt;42095),"",1)))</f>
        <v/>
      </c>
      <c r="DQ269" s="92" t="str">
        <f>IF(Table1[Start Date]="","",IF(Table1[Start Date]&gt;42277,"",IF(AND(Table1[Leaving Date]&gt;1,Table1[Leaving Date]&lt;42186),"",1)))</f>
        <v/>
      </c>
      <c r="DR269" s="92" t="str">
        <f>IF(Table1[Start Date]="","",IF(Table1[Start Date]&gt;42369,"",IF(AND(Table1[Leaving Date]&gt;1,Table1[Leaving Date]&lt;42278),"",1)))</f>
        <v/>
      </c>
      <c r="DS269" s="92" t="str">
        <f>IF(Table1[Start Date]="","",IF(Table1[Start Date]&gt;42460,"",IF(AND(Table1[Leaving Date]&gt;1,Table1[Leaving Date]&lt;42370),"",1)))</f>
        <v/>
      </c>
      <c r="DT269" s="92" t="str">
        <f>IF(Table1[Start Date]="","",IF(Table1[Start Date]&gt;42551,"",IF(AND(Table1[Leaving Date]&gt;1,Table1[Leaving Date]&lt;42461),"",1)))</f>
        <v/>
      </c>
      <c r="DU269" s="92" t="str">
        <f>IF(Table1[Start Date]="","",IF(Table1[Start Date]&gt;42643,"",IF(AND(Table1[Leaving Date]&gt;1,Table1[Leaving Date]&lt;42552),"",1)))</f>
        <v/>
      </c>
      <c r="DV269" s="92" t="str">
        <f>IF(Table1[Start Date]="","",IF(Table1[Start Date]&gt;42735,"",IF(AND(Table1[Leaving Date]&gt;1,Table1[Leaving Date]&lt;42644),"",1)))</f>
        <v/>
      </c>
      <c r="DW269" s="92" t="str">
        <f>IF(Table1[Start Date]="","",IF(Table1[Start Date]&gt;42825,"",IF(AND(Table1[Leaving Date]&gt;1,Table1[Leaving Date]&lt;42736),"",1)))</f>
        <v/>
      </c>
      <c r="DX269"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269" s="44" t="e">
        <f>VLOOKUP(Table1[Referral Source],Lists!$G$2:$H$20,2,FALSE)</f>
        <v>#N/A</v>
      </c>
      <c r="DZ269" s="93" t="e">
        <f>SUM(Table1[Data Referral Quarter]+Table1[Data Referral Source])</f>
        <v>#N/A</v>
      </c>
      <c r="EA269" s="44" t="b">
        <f>IF(Table1[Referral Decision]="Accepted",100,IF(Table1[Referral Decision]="Rejected by Provider",200,IF(Table1[Referral Decision]="Rejected by Applicant",300)))</f>
        <v>0</v>
      </c>
      <c r="EB269" s="44">
        <f>SUM(Table1[Data Referral Quarter]+Table1[Data Referral Decision])</f>
        <v>0</v>
      </c>
      <c r="EC269" s="44" t="b">
        <f>IF(Table1[Start Date]&gt;42735,8000,IF(Table1[Start Date]&gt;42643,7000,IF(Table1[Start Date]&gt;42551,6000,IF(Table1[Start Date]&gt;42460,5000,IF(Table1[Start Date]&gt;42369,4000,IF(Table1[Start Date]&gt;42277,3000,IF(Table1[Start Date]&gt;42185,2000,IF(Table1[Start Date]&gt;42094,1000))))))))</f>
        <v>0</v>
      </c>
      <c r="ED269" s="44" t="str">
        <f>IF(Table1[Start Date]="","",IF(Table1[Current Local Authority]="Swindon",1,"2"))</f>
        <v/>
      </c>
      <c r="EE269" s="44" t="e">
        <f>SUM(Table1[Data Start Date]+Table1[Data Local Authority])</f>
        <v>#VALUE!</v>
      </c>
      <c r="EF269" s="44">
        <f>IF(Table1[Registered with GP]="Yes",1,0)</f>
        <v>0</v>
      </c>
      <c r="EG269" s="44">
        <f>SUM(Table1[Data Start Date]+Table1[Data GP Start])</f>
        <v>0</v>
      </c>
      <c r="EH269" s="44" t="str">
        <f>IF(Table1[EET]="NEET",1,IF(Table1[EET]="Education",2,IF(Table1[EET]="Employment",2,IF(Table1[EET]="Training",2,IF(Table1[EET]="Retired",3,"")))))</f>
        <v/>
      </c>
      <c r="EI269" s="44" t="e">
        <f>Table1[Data Start Date]+Table1[Data EET Start]</f>
        <v>#VALUE!</v>
      </c>
      <c r="EJ269" s="44" t="b">
        <f>IF(Table1[Leaving Date]&gt;42735,8000,IF(Table1[Leaving Date]&gt;42643,7000,IF(Table1[Leaving Date]&gt;42551,6000,IF(Table1[Leaving Date]&gt;42460,5000,IF(Table1[Leaving Date]&gt;42369,4000,IF(Table1[Leaving Date]&gt;42277,3000,IF(Table1[Leaving Date]&gt;42185,2000,IF(Table1[Leaving Date]&gt;42094,1000))))))))</f>
        <v>0</v>
      </c>
      <c r="EK269" s="44" t="e">
        <f>VLOOKUP(Table1[Reason for Leaving],Lists!$T$2:$U$15,2,FALSE)</f>
        <v>#N/A</v>
      </c>
      <c r="EL269" s="44" t="e">
        <f>SUM(Table1[Data Leavers Date]+Table1[Data Move On])</f>
        <v>#N/A</v>
      </c>
      <c r="EM269" s="44" t="b">
        <f>IF(Table1[Registered with GP2]="Yes",1,IF(Table1[Registered with GP2]="No",0,IF(Table1[Registered with GP]="Yes",1,IF(Table1[Registered with GP]="No",0))))</f>
        <v>0</v>
      </c>
      <c r="EN269" s="44">
        <f>SUM(Table1[Data Leavers Date]+Table1[Data GP End])</f>
        <v>0</v>
      </c>
      <c r="EO269" s="44" t="str">
        <f>IF(Table1[EET2]="NEET",1,IF(Table1[EET2]="Employment",2,IF(Table1[EET2]="Education",2,IF(Table1[EET2]="Training",2,IF(Table1[EET2]="Retired",3,IF(Table1[EET]="NEET",1,IF(Table1[EET]="Employment",2,IF(Table1[EET]="Education",2,IF(Table1[EET]="Training",2,IF(Table1[EET]="Retired",3,""))))))))))</f>
        <v/>
      </c>
      <c r="EP269" s="44" t="e">
        <f>+Table1[[#This Row],[Data Leavers Date]]+Table1[[#This Row],[Data EET End]]</f>
        <v>#VALUE!</v>
      </c>
      <c r="EQ269" s="44">
        <f>IF(Table1[Exit Form Received]="Yes",1,0)</f>
        <v>0</v>
      </c>
      <c r="ER269" s="44">
        <f>+Table1[[#This Row],[Data Leavers Date]]+Table1[[#This Row],[Data Exit Forms]]</f>
        <v>0</v>
      </c>
      <c r="ES269" s="44" t="str">
        <f>IF(Table1[Data Leavers Date]=1000,SUM(Table1[Leaving Date]-Table1[Start Date]),"")</f>
        <v/>
      </c>
      <c r="ET269" s="44" t="str">
        <f>IF(Table1[Data Leavers Date]=2000,SUM(Table1[Leaving Date]-Table1[Start Date]),"")</f>
        <v/>
      </c>
      <c r="EU269" s="44" t="str">
        <f>IF(Table1[Data Leavers Date]=3000,SUM(Table1[Leaving Date]-Table1[Start Date]),"")</f>
        <v/>
      </c>
      <c r="EV269" s="44" t="str">
        <f>IF(Table1[Data Leavers Date]=4000,SUM(Table1[Leaving Date]-Table1[Start Date]),"")</f>
        <v/>
      </c>
      <c r="EW269" s="44" t="str">
        <f>IF(Table1[Data Leavers Date]=5000,SUM(Table1[Leaving Date]-Table1[Start Date]),"")</f>
        <v/>
      </c>
      <c r="EX269" s="44" t="str">
        <f>IF(Table1[Data Leavers Date]=6000,SUM(Table1[Leaving Date]-Table1[Start Date]),"")</f>
        <v/>
      </c>
      <c r="EY269" s="44" t="str">
        <f>IF(Table1[Data Leavers Date]=7000,SUM(Table1[Leaving Date]-Table1[Start Date]),"")</f>
        <v/>
      </c>
      <c r="EZ269" s="44" t="str">
        <f>IF(Table1[Data Leavers Date]=8000,SUM(Table1[Leaving Date]-Table1[Start Date]),"")</f>
        <v/>
      </c>
      <c r="FA269" s="44" t="str">
        <f>IF(Table1[Date of Initial Assessment]="","",IF(AND(Table1[Start Date]&gt;42094,Table1[Start Date]&lt;42461),Table1[Motivation and Taking Responsibility],""))</f>
        <v/>
      </c>
      <c r="FB269" s="44" t="str">
        <f>IF(Table1[Date of Initial Assessment]="","",IF(AND(Table1[Start Date]&gt;42094,Table1[Start Date]&lt;42461),Table1[Self-Care and Living Skills],""))</f>
        <v/>
      </c>
      <c r="FC269" s="44" t="str">
        <f>IF(Table1[Date of Initial Assessment]="","",IF(AND(Table1[Start Date]&gt;42094,Table1[Start Date]&lt;42461),Table1[Managing Money and Personal Administration],""))</f>
        <v/>
      </c>
      <c r="FD269" s="44" t="str">
        <f>IF(Table1[Date of Initial Assessment]="","",IF(AND(Table1[Start Date]&gt;42094,Table1[Start Date]&lt;42461),Table1[Social Networks and Relationships],""))</f>
        <v/>
      </c>
      <c r="FE269" s="44" t="str">
        <f>IF(Table1[Date of Initial Assessment]="","",IF(AND(Table1[Start Date]&gt;42094,Table1[Start Date]&lt;42461),Table1[Drug and Alcohol Misuse],""))</f>
        <v/>
      </c>
      <c r="FF269" s="44" t="str">
        <f>IF(Table1[Date of Initial Assessment]="","",IF(AND(Table1[Start Date]&gt;42094,Table1[Start Date]&lt;42461),Table1[Physical Health],""))</f>
        <v/>
      </c>
      <c r="FG269" s="44" t="str">
        <f>IF(Table1[Date of Initial Assessment]="","",IF(AND(Table1[Start Date]&gt;42094,Table1[Start Date]&lt;42461),Table1[Emotional and Mental Health],""))</f>
        <v/>
      </c>
      <c r="FH269" s="44" t="str">
        <f>IF(Table1[Date of Initial Assessment]="","",IF(AND(Table1[Start Date]&gt;42094,Table1[Start Date]&lt;42461),Table1[Meaningful Use of Time],""))</f>
        <v/>
      </c>
      <c r="FI269" s="44" t="str">
        <f>IF(Table1[Date of Initial Assessment]="","",IF(AND(Table1[Start Date]&gt;42094,Table1[Start Date]&lt;42461),Table1[Managing Tenancy and Accommodation],""))</f>
        <v/>
      </c>
      <c r="FJ269" s="44" t="str">
        <f>IF(Table1[Date of Initial Assessment]="","",IF(AND(Table1[Start Date]&gt;42094,Table1[Start Date]&lt;42461),Table1[Offending],""))</f>
        <v/>
      </c>
      <c r="FK269" s="44" t="str">
        <f>IF(Table1[Leaving Date]="","",IF(Table1[Date of Initial Assessment]="","",IF(AND(Table1[Leaving Date]&gt;42094,Table1[Leaving Date]&lt;42461),IF(Table1[Date of Last Assessment]="",Table1[Motivation and Taking Responsibility],Table1[Motivation and Taking Responsibility2]),"")))</f>
        <v/>
      </c>
      <c r="FL269" s="44" t="str">
        <f>IF(Table1[Leaving Date]="","",IF(Table1[Date of Initial Assessment]="","",IF(AND(Table1[Leaving Date]&gt;42094,Table1[Leaving Date]&lt;42461),IF(Table1[Date of Last Assessment]="",Table1[Self-Care and Living Skills],Table1[Self-Care and Living Skills2]),"")))</f>
        <v/>
      </c>
      <c r="FM269" s="44" t="str">
        <f>IF(Table1[Leaving Date]="","",IF(Table1[Date of Initial Assessment]="","",IF(AND(Table1[Leaving Date]&gt;42094,Table1[Leaving Date]&lt;42461),IF(Table1[Date of Last Assessment]="",Table1[Managing Money and Personal Administration],Table1[Managing Money and Personal Administration2]),"")))</f>
        <v/>
      </c>
      <c r="FN269" s="44" t="str">
        <f>IF(Table1[Leaving Date]="","",IF(Table1[Date of Initial Assessment]="","",IF(AND(Table1[Leaving Date]&gt;42094,Table1[Leaving Date]&lt;42461),IF(Table1[Date of Last Assessment]="",Table1[Social Networks and Relationships],Table1[Social Networks and Relationships2]),"")))</f>
        <v/>
      </c>
      <c r="FO269" s="44" t="str">
        <f>IF(Table1[Leaving Date]="","",IF(Table1[Date of Initial Assessment]="","",IF(AND(Table1[Leaving Date]&gt;42094,Table1[Leaving Date]&lt;42461),IF(Table1[Date of Last Assessment]="",Table1[Drug and Alcohol Misuse],Table1[Drug and Alcohol Misuse2]),"")))</f>
        <v/>
      </c>
      <c r="FP269" s="44" t="str">
        <f>IF(Table1[Leaving Date]="","",IF(Table1[Date of Initial Assessment]="","",IF(AND(Table1[Leaving Date]&gt;42094,Table1[Leaving Date]&lt;42461),IF(Table1[Date of Last Assessment]="",Table1[Physical Health],Table1[Physical Health2]),"")))</f>
        <v/>
      </c>
      <c r="FQ269" s="44" t="str">
        <f>IF(Table1[Leaving Date]="","",IF(Table1[Date of Initial Assessment]="","",IF(AND(Table1[Leaving Date]&gt;42094,Table1[Leaving Date]&lt;42461),IF(Table1[Date of Last Assessment]="",Table1[Emotional and Mental Health],Table1[Emotional and Mental Health2]),"")))</f>
        <v/>
      </c>
      <c r="FR269" s="44" t="str">
        <f>IF(Table1[Leaving Date]="","",IF(Table1[Date of Initial Assessment]="","",IF(AND(Table1[Leaving Date]&gt;42094,Table1[Leaving Date]&lt;42461),IF(Table1[Date of Last Assessment]="",Table1[Meaningful Use of Time],Table1[Meaningful Use of Time2]),"")))</f>
        <v/>
      </c>
      <c r="FS269" s="44" t="str">
        <f>IF(Table1[Leaving Date]="","",IF(Table1[Date of Initial Assessment]="","",IF(AND(Table1[Leaving Date]&gt;42094,Table1[Leaving Date]&lt;42461),IF(Table1[Date of Last Assessment]="",Table1[Managing Tenancy and Accommodation],Table1[Managing Tenancy and Accommodation2]),"")))</f>
        <v/>
      </c>
      <c r="FT269" s="44" t="str">
        <f>IF(Table1[Leaving Date]="","",IF(Table1[Date of Initial Assessment]="","",IF(AND(Table1[Leaving Date]&gt;42094,Table1[Leaving Date]&lt;42461),IF(Table1[Date of Last Assessment]="",Table1[Offending],Table1[Offending2]),"")))</f>
        <v/>
      </c>
      <c r="FU269" s="44" t="str">
        <f>IF(Table1[Date of Initial Assessment]="","",IF(AND(Table1[Start Date]&gt;42460,Table1[Start Date]&lt;42826),Table1[Motivation and Taking Responsibility],""))</f>
        <v/>
      </c>
      <c r="FV269" s="44" t="str">
        <f>IF(Table1[Date of Initial Assessment]="","",IF(AND(Table1[Start Date]&gt;42460,Table1[Start Date]&lt;42826),Table1[Self-Care and Living Skills],""))</f>
        <v/>
      </c>
      <c r="FW269" s="44" t="str">
        <f>IF(Table1[Date of Initial Assessment]="","",IF(AND(Table1[Start Date]&gt;42460,Table1[Start Date]&lt;42826),Table1[Managing Money and Personal Administration],""))</f>
        <v/>
      </c>
      <c r="FX269" s="44" t="str">
        <f>IF(Table1[Date of Initial Assessment]="","",IF(AND(Table1[Start Date]&gt;42460,Table1[Start Date]&lt;42826),Table1[Social Networks and Relationships],""))</f>
        <v/>
      </c>
      <c r="FY269" s="44" t="str">
        <f>IF(Table1[Date of Initial Assessment]="","",IF(AND(Table1[Start Date]&gt;42460,Table1[Start Date]&lt;42826),Table1[Drug and Alcohol Misuse],""))</f>
        <v/>
      </c>
      <c r="FZ269" s="44" t="str">
        <f>IF(Table1[Date of Initial Assessment]="","",IF(AND(Table1[Start Date]&gt;42460,Table1[Start Date]&lt;42826),Table1[Physical Health],""))</f>
        <v/>
      </c>
      <c r="GA269" s="44" t="str">
        <f>IF(Table1[Date of Initial Assessment]="","",IF(AND(Table1[Start Date]&gt;42460,Table1[Start Date]&lt;42826),Table1[Emotional and Mental Health],""))</f>
        <v/>
      </c>
      <c r="GB269" s="44" t="str">
        <f>IF(Table1[Date of Initial Assessment]="","",IF(AND(Table1[Start Date]&gt;42460,Table1[Start Date]&lt;42826),Table1[Meaningful Use of Time],""))</f>
        <v/>
      </c>
      <c r="GC269" s="44" t="str">
        <f>IF(Table1[Date of Initial Assessment]="","",IF(AND(Table1[Start Date]&gt;42460,Table1[Start Date]&lt;42826),Table1[Managing Tenancy and Accommodation],""))</f>
        <v/>
      </c>
      <c r="GD269" s="44" t="str">
        <f>IF(Table1[Date of Initial Assessment]="","",IF(AND(Table1[Start Date]&gt;42460,Table1[Start Date]&lt;42826),Table1[Offending],""))</f>
        <v/>
      </c>
      <c r="GE269" s="44" t="str">
        <f>IF(Table1[Leaving Date]="","",IF(AND(Table1[Leaving Date]&gt;42460,Table1[Leaving Date]&lt;42826),IF(Table1[Date of Last Assessment]="",Table1[Motivation and Taking Responsibility],Table1[Motivation and Taking Responsibility2]),""))</f>
        <v/>
      </c>
      <c r="GF269" s="44" t="str">
        <f>IF(Table1[Leaving Date]="","",IF(AND(Table1[Leaving Date]&gt;42460,Table1[Leaving Date]&lt;42826),IF(Table1[Date of Last Assessment]="",Table1[Self-Care and Living Skills],Table1[Self-Care and Living Skills2]),""))</f>
        <v/>
      </c>
      <c r="GG269" s="44" t="str">
        <f>IF(Table1[Leaving Date]="","",IF(AND(Table1[Leaving Date]&gt;42460,Table1[Leaving Date]&lt;42826),IF(Table1[Date of Last Assessment]="",Table1[Managing Money and Personal Administration],Table1[Managing Money and Personal Administration2]),""))</f>
        <v/>
      </c>
      <c r="GH269" s="44" t="str">
        <f>IF(Table1[Leaving Date]="","",IF(AND(Table1[Leaving Date]&gt;42460,Table1[Leaving Date]&lt;42826),IF(Table1[Date of Last Assessment]="",Table1[Social Networks and Relationships],Table1[Social Networks and Relationships2]),""))</f>
        <v/>
      </c>
      <c r="GI269" s="44" t="str">
        <f>IF(Table1[Leaving Date]="","",IF(AND(Table1[Leaving Date]&gt;42460,Table1[Leaving Date]&lt;42826),IF(Table1[Date of Last Assessment]="",Table1[Drug and Alcohol Misuse],Table1[Drug and Alcohol Misuse2]),""))</f>
        <v/>
      </c>
      <c r="GJ269" s="44" t="str">
        <f>IF(Table1[Leaving Date]="","",IF(AND(Table1[Leaving Date]&gt;42460,Table1[Leaving Date]&lt;42826),IF(Table1[Date of Last Assessment]="",Table1[Physical Health],Table1[Physical Health2]),""))</f>
        <v/>
      </c>
      <c r="GK269" s="44" t="str">
        <f>IF(Table1[Leaving Date]="","",IF(AND(Table1[Leaving Date]&gt;42460,Table1[Leaving Date]&lt;42826),IF(Table1[Date of Last Assessment]="",Table1[Emotional and Mental Health],Table1[Emotional and Mental Health2]),""))</f>
        <v/>
      </c>
      <c r="GL269" s="44" t="str">
        <f>IF(Table1[Leaving Date]="","",IF(AND(Table1[Leaving Date]&gt;42460,Table1[Leaving Date]&lt;42826),IF(Table1[Date of Last Assessment]="",Table1[Meaningful Use of Time],Table1[Meaningful Use of Time2]),""))</f>
        <v/>
      </c>
      <c r="GM269" s="44" t="str">
        <f>IF(Table1[Leaving Date]="","",IF(AND(Table1[Leaving Date]&gt;42460,Table1[Leaving Date]&lt;42826),IF(Table1[Date of Last Assessment]="",Table1[Managing Tenancy and Accommodation],Table1[Managing Tenancy and Accommodation2]),""))</f>
        <v/>
      </c>
      <c r="GN269" s="44" t="str">
        <f>IF(Table1[Leaving Date]="","",IF(AND(Table1[Leaving Date]&gt;42460,Table1[Leaving Date]&lt;42826),IF(Table1[Date of Last Assessment]="",Table1[Offending],Table1[Offending2]),""))</f>
        <v/>
      </c>
    </row>
    <row r="270" spans="2:196" ht="20.100000000000001" customHeight="1" x14ac:dyDescent="0.2">
      <c r="B270" s="86">
        <f>+'Service Data'!$C$5:$C$5</f>
        <v>0</v>
      </c>
      <c r="C270" s="86"/>
      <c r="D270" s="86"/>
      <c r="E270" s="86"/>
      <c r="F270" s="86"/>
      <c r="G270" s="86"/>
      <c r="H270" s="6"/>
      <c r="I270" s="99" t="str">
        <f ca="1">IF(Table1[[#This Row],[Date of Birth]]="","",SUM(TODAY()-Table1[[#This Row],[Date of Birth]])/365)</f>
        <v/>
      </c>
      <c r="L270" s="86"/>
      <c r="M270" s="77"/>
      <c r="N270" s="86"/>
      <c r="O270" s="86"/>
      <c r="P270" s="91"/>
      <c r="Q270" s="86"/>
      <c r="R270" s="77"/>
      <c r="S270" s="77"/>
      <c r="T270" s="68"/>
      <c r="U270" s="68"/>
      <c r="V270" s="67"/>
      <c r="W270" s="67"/>
      <c r="X270" s="67"/>
      <c r="Y270" s="67"/>
      <c r="Z270" s="67"/>
      <c r="AA270" s="67"/>
      <c r="AB270" s="67"/>
      <c r="AC270" s="67"/>
      <c r="AD270" s="67"/>
      <c r="AE270" s="67"/>
      <c r="AF270" s="67"/>
      <c r="AG270" s="67"/>
      <c r="AH270" s="67"/>
      <c r="AI270" s="67"/>
      <c r="AJ270" s="67"/>
      <c r="AK270" s="67"/>
      <c r="AL270" s="67"/>
      <c r="AM270" s="67"/>
      <c r="AN270" s="77"/>
      <c r="AO270" s="76"/>
      <c r="AP270" s="77"/>
      <c r="AQ270" s="76"/>
      <c r="AR270" s="76"/>
      <c r="AS270" s="76"/>
      <c r="AT270" s="76"/>
      <c r="AU270" s="76"/>
      <c r="AV270" s="77"/>
      <c r="AW270" s="76"/>
      <c r="AX270" s="77"/>
      <c r="AY270" s="76"/>
      <c r="AZ270" s="76"/>
      <c r="BA270" s="76"/>
      <c r="BB270" s="76"/>
      <c r="BC270" s="76"/>
      <c r="BD270" s="77"/>
      <c r="BE270" s="76"/>
      <c r="BF270" s="77"/>
      <c r="BG270" s="76"/>
      <c r="BH270" s="76"/>
      <c r="BI270" s="76"/>
      <c r="BJ270" s="76"/>
      <c r="BK270" s="76"/>
      <c r="BL270" s="77"/>
      <c r="BM270" s="76"/>
      <c r="BN270" s="77"/>
      <c r="BO270" s="76"/>
      <c r="BP270" s="76"/>
      <c r="BQ270" s="76"/>
      <c r="BR270" s="76"/>
      <c r="BS270" s="76"/>
      <c r="BT270" s="77"/>
      <c r="BU270" s="76"/>
      <c r="BV270" s="77"/>
      <c r="BW270" s="76"/>
      <c r="BX270" s="76"/>
      <c r="BY270" s="76"/>
      <c r="BZ270" s="76"/>
      <c r="CA270" s="76"/>
      <c r="CB270" s="77"/>
      <c r="CC270" s="76"/>
      <c r="CD270" s="77"/>
      <c r="CE270" s="76"/>
      <c r="CF270" s="76"/>
      <c r="CG270" s="76"/>
      <c r="CH270" s="76"/>
      <c r="CI270" s="76"/>
      <c r="CJ270" s="77"/>
      <c r="CK270" s="76"/>
      <c r="CL270" s="77"/>
      <c r="CM270" s="76"/>
      <c r="CN270" s="76"/>
      <c r="CO270" s="76"/>
      <c r="CP270" s="76"/>
      <c r="CQ270" s="76"/>
      <c r="CR270" s="78" t="str">
        <f t="shared" si="79"/>
        <v/>
      </c>
      <c r="CS270" s="79" t="str">
        <f t="shared" si="80"/>
        <v/>
      </c>
      <c r="CT270" s="79" t="str">
        <f t="shared" si="81"/>
        <v/>
      </c>
      <c r="CU270" s="79" t="str">
        <f t="shared" si="82"/>
        <v/>
      </c>
      <c r="CV270" s="79" t="str">
        <f t="shared" si="83"/>
        <v/>
      </c>
      <c r="CW270" s="79" t="str">
        <f t="shared" si="84"/>
        <v/>
      </c>
      <c r="CX270" s="79" t="str">
        <f t="shared" si="85"/>
        <v/>
      </c>
      <c r="CY270" s="79" t="str">
        <f t="shared" si="86"/>
        <v/>
      </c>
      <c r="CZ270" s="79" t="str">
        <f t="shared" si="87"/>
        <v/>
      </c>
      <c r="DA270" s="79" t="str">
        <f t="shared" si="88"/>
        <v/>
      </c>
      <c r="DB270" s="79" t="str">
        <f t="shared" si="89"/>
        <v/>
      </c>
      <c r="DC270" s="79" t="str">
        <f t="shared" si="90"/>
        <v/>
      </c>
      <c r="DD270" s="79" t="str">
        <f t="shared" si="91"/>
        <v/>
      </c>
      <c r="DE270" s="79" t="str">
        <f t="shared" si="92"/>
        <v/>
      </c>
      <c r="DF270" s="79" t="str">
        <f t="shared" si="93"/>
        <v/>
      </c>
      <c r="DG270" s="79" t="str">
        <f t="shared" si="94"/>
        <v/>
      </c>
      <c r="DH270" s="76"/>
      <c r="DI270" s="78"/>
      <c r="DJ270" s="76"/>
      <c r="DK270" s="77"/>
      <c r="DL270" s="77"/>
      <c r="DM270" s="77"/>
      <c r="DN270" s="80"/>
      <c r="DO270" s="80"/>
      <c r="DP270" s="92" t="str">
        <f>IF(Table1[Start Date]="","",IF(Table1[Start Date]&gt;42185,"",IF(AND(Table1[Leaving Date]&gt;1,Table1[Leaving Date]&lt;42095),"",1)))</f>
        <v/>
      </c>
      <c r="DQ270" s="92" t="str">
        <f>IF(Table1[Start Date]="","",IF(Table1[Start Date]&gt;42277,"",IF(AND(Table1[Leaving Date]&gt;1,Table1[Leaving Date]&lt;42186),"",1)))</f>
        <v/>
      </c>
      <c r="DR270" s="92" t="str">
        <f>IF(Table1[Start Date]="","",IF(Table1[Start Date]&gt;42369,"",IF(AND(Table1[Leaving Date]&gt;1,Table1[Leaving Date]&lt;42278),"",1)))</f>
        <v/>
      </c>
      <c r="DS270" s="92" t="str">
        <f>IF(Table1[Start Date]="","",IF(Table1[Start Date]&gt;42460,"",IF(AND(Table1[Leaving Date]&gt;1,Table1[Leaving Date]&lt;42370),"",1)))</f>
        <v/>
      </c>
      <c r="DT270" s="92" t="str">
        <f>IF(Table1[Start Date]="","",IF(Table1[Start Date]&gt;42551,"",IF(AND(Table1[Leaving Date]&gt;1,Table1[Leaving Date]&lt;42461),"",1)))</f>
        <v/>
      </c>
      <c r="DU270" s="92" t="str">
        <f>IF(Table1[Start Date]="","",IF(Table1[Start Date]&gt;42643,"",IF(AND(Table1[Leaving Date]&gt;1,Table1[Leaving Date]&lt;42552),"",1)))</f>
        <v/>
      </c>
      <c r="DV270" s="92" t="str">
        <f>IF(Table1[Start Date]="","",IF(Table1[Start Date]&gt;42735,"",IF(AND(Table1[Leaving Date]&gt;1,Table1[Leaving Date]&lt;42644),"",1)))</f>
        <v/>
      </c>
      <c r="DW270" s="92" t="str">
        <f>IF(Table1[Start Date]="","",IF(Table1[Start Date]&gt;42825,"",IF(AND(Table1[Leaving Date]&gt;1,Table1[Leaving Date]&lt;42736),"",1)))</f>
        <v/>
      </c>
      <c r="DX270"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270" s="44" t="e">
        <f>VLOOKUP(Table1[Referral Source],Lists!$G$2:$H$20,2,FALSE)</f>
        <v>#N/A</v>
      </c>
      <c r="DZ270" s="93" t="e">
        <f>SUM(Table1[Data Referral Quarter]+Table1[Data Referral Source])</f>
        <v>#N/A</v>
      </c>
      <c r="EA270" s="44" t="b">
        <f>IF(Table1[Referral Decision]="Accepted",100,IF(Table1[Referral Decision]="Rejected by Provider",200,IF(Table1[Referral Decision]="Rejected by Applicant",300)))</f>
        <v>0</v>
      </c>
      <c r="EB270" s="44">
        <f>SUM(Table1[Data Referral Quarter]+Table1[Data Referral Decision])</f>
        <v>0</v>
      </c>
      <c r="EC270" s="44" t="b">
        <f>IF(Table1[Start Date]&gt;42735,8000,IF(Table1[Start Date]&gt;42643,7000,IF(Table1[Start Date]&gt;42551,6000,IF(Table1[Start Date]&gt;42460,5000,IF(Table1[Start Date]&gt;42369,4000,IF(Table1[Start Date]&gt;42277,3000,IF(Table1[Start Date]&gt;42185,2000,IF(Table1[Start Date]&gt;42094,1000))))))))</f>
        <v>0</v>
      </c>
      <c r="ED270" s="44" t="str">
        <f>IF(Table1[Start Date]="","",IF(Table1[Current Local Authority]="Swindon",1,"2"))</f>
        <v/>
      </c>
      <c r="EE270" s="44" t="e">
        <f>SUM(Table1[Data Start Date]+Table1[Data Local Authority])</f>
        <v>#VALUE!</v>
      </c>
      <c r="EF270" s="44">
        <f>IF(Table1[Registered with GP]="Yes",1,0)</f>
        <v>0</v>
      </c>
      <c r="EG270" s="44">
        <f>SUM(Table1[Data Start Date]+Table1[Data GP Start])</f>
        <v>0</v>
      </c>
      <c r="EH270" s="44" t="str">
        <f>IF(Table1[EET]="NEET",1,IF(Table1[EET]="Education",2,IF(Table1[EET]="Employment",2,IF(Table1[EET]="Training",2,IF(Table1[EET]="Retired",3,"")))))</f>
        <v/>
      </c>
      <c r="EI270" s="44" t="e">
        <f>Table1[Data Start Date]+Table1[Data EET Start]</f>
        <v>#VALUE!</v>
      </c>
      <c r="EJ270" s="44" t="b">
        <f>IF(Table1[Leaving Date]&gt;42735,8000,IF(Table1[Leaving Date]&gt;42643,7000,IF(Table1[Leaving Date]&gt;42551,6000,IF(Table1[Leaving Date]&gt;42460,5000,IF(Table1[Leaving Date]&gt;42369,4000,IF(Table1[Leaving Date]&gt;42277,3000,IF(Table1[Leaving Date]&gt;42185,2000,IF(Table1[Leaving Date]&gt;42094,1000))))))))</f>
        <v>0</v>
      </c>
      <c r="EK270" s="44" t="e">
        <f>VLOOKUP(Table1[Reason for Leaving],Lists!$T$2:$U$15,2,FALSE)</f>
        <v>#N/A</v>
      </c>
      <c r="EL270" s="44" t="e">
        <f>SUM(Table1[Data Leavers Date]+Table1[Data Move On])</f>
        <v>#N/A</v>
      </c>
      <c r="EM270" s="44" t="b">
        <f>IF(Table1[Registered with GP2]="Yes",1,IF(Table1[Registered with GP2]="No",0,IF(Table1[Registered with GP]="Yes",1,IF(Table1[Registered with GP]="No",0))))</f>
        <v>0</v>
      </c>
      <c r="EN270" s="44">
        <f>SUM(Table1[Data Leavers Date]+Table1[Data GP End])</f>
        <v>0</v>
      </c>
      <c r="EO270" s="44" t="str">
        <f>IF(Table1[EET2]="NEET",1,IF(Table1[EET2]="Employment",2,IF(Table1[EET2]="Education",2,IF(Table1[EET2]="Training",2,IF(Table1[EET2]="Retired",3,IF(Table1[EET]="NEET",1,IF(Table1[EET]="Employment",2,IF(Table1[EET]="Education",2,IF(Table1[EET]="Training",2,IF(Table1[EET]="Retired",3,""))))))))))</f>
        <v/>
      </c>
      <c r="EP270" s="44" t="e">
        <f>+Table1[[#This Row],[Data Leavers Date]]+Table1[[#This Row],[Data EET End]]</f>
        <v>#VALUE!</v>
      </c>
      <c r="EQ270" s="44">
        <f>IF(Table1[Exit Form Received]="Yes",1,0)</f>
        <v>0</v>
      </c>
      <c r="ER270" s="44">
        <f>+Table1[[#This Row],[Data Leavers Date]]+Table1[[#This Row],[Data Exit Forms]]</f>
        <v>0</v>
      </c>
      <c r="ES270" s="44" t="str">
        <f>IF(Table1[Data Leavers Date]=1000,SUM(Table1[Leaving Date]-Table1[Start Date]),"")</f>
        <v/>
      </c>
      <c r="ET270" s="44" t="str">
        <f>IF(Table1[Data Leavers Date]=2000,SUM(Table1[Leaving Date]-Table1[Start Date]),"")</f>
        <v/>
      </c>
      <c r="EU270" s="44" t="str">
        <f>IF(Table1[Data Leavers Date]=3000,SUM(Table1[Leaving Date]-Table1[Start Date]),"")</f>
        <v/>
      </c>
      <c r="EV270" s="44" t="str">
        <f>IF(Table1[Data Leavers Date]=4000,SUM(Table1[Leaving Date]-Table1[Start Date]),"")</f>
        <v/>
      </c>
      <c r="EW270" s="44" t="str">
        <f>IF(Table1[Data Leavers Date]=5000,SUM(Table1[Leaving Date]-Table1[Start Date]),"")</f>
        <v/>
      </c>
      <c r="EX270" s="44" t="str">
        <f>IF(Table1[Data Leavers Date]=6000,SUM(Table1[Leaving Date]-Table1[Start Date]),"")</f>
        <v/>
      </c>
      <c r="EY270" s="44" t="str">
        <f>IF(Table1[Data Leavers Date]=7000,SUM(Table1[Leaving Date]-Table1[Start Date]),"")</f>
        <v/>
      </c>
      <c r="EZ270" s="44" t="str">
        <f>IF(Table1[Data Leavers Date]=8000,SUM(Table1[Leaving Date]-Table1[Start Date]),"")</f>
        <v/>
      </c>
      <c r="FA270" s="44" t="str">
        <f>IF(Table1[Date of Initial Assessment]="","",IF(AND(Table1[Start Date]&gt;42094,Table1[Start Date]&lt;42461),Table1[Motivation and Taking Responsibility],""))</f>
        <v/>
      </c>
      <c r="FB270" s="44" t="str">
        <f>IF(Table1[Date of Initial Assessment]="","",IF(AND(Table1[Start Date]&gt;42094,Table1[Start Date]&lt;42461),Table1[Self-Care and Living Skills],""))</f>
        <v/>
      </c>
      <c r="FC270" s="44" t="str">
        <f>IF(Table1[Date of Initial Assessment]="","",IF(AND(Table1[Start Date]&gt;42094,Table1[Start Date]&lt;42461),Table1[Managing Money and Personal Administration],""))</f>
        <v/>
      </c>
      <c r="FD270" s="44" t="str">
        <f>IF(Table1[Date of Initial Assessment]="","",IF(AND(Table1[Start Date]&gt;42094,Table1[Start Date]&lt;42461),Table1[Social Networks and Relationships],""))</f>
        <v/>
      </c>
      <c r="FE270" s="44" t="str">
        <f>IF(Table1[Date of Initial Assessment]="","",IF(AND(Table1[Start Date]&gt;42094,Table1[Start Date]&lt;42461),Table1[Drug and Alcohol Misuse],""))</f>
        <v/>
      </c>
      <c r="FF270" s="44" t="str">
        <f>IF(Table1[Date of Initial Assessment]="","",IF(AND(Table1[Start Date]&gt;42094,Table1[Start Date]&lt;42461),Table1[Physical Health],""))</f>
        <v/>
      </c>
      <c r="FG270" s="44" t="str">
        <f>IF(Table1[Date of Initial Assessment]="","",IF(AND(Table1[Start Date]&gt;42094,Table1[Start Date]&lt;42461),Table1[Emotional and Mental Health],""))</f>
        <v/>
      </c>
      <c r="FH270" s="44" t="str">
        <f>IF(Table1[Date of Initial Assessment]="","",IF(AND(Table1[Start Date]&gt;42094,Table1[Start Date]&lt;42461),Table1[Meaningful Use of Time],""))</f>
        <v/>
      </c>
      <c r="FI270" s="44" t="str">
        <f>IF(Table1[Date of Initial Assessment]="","",IF(AND(Table1[Start Date]&gt;42094,Table1[Start Date]&lt;42461),Table1[Managing Tenancy and Accommodation],""))</f>
        <v/>
      </c>
      <c r="FJ270" s="44" t="str">
        <f>IF(Table1[Date of Initial Assessment]="","",IF(AND(Table1[Start Date]&gt;42094,Table1[Start Date]&lt;42461),Table1[Offending],""))</f>
        <v/>
      </c>
      <c r="FK270" s="44" t="str">
        <f>IF(Table1[Leaving Date]="","",IF(Table1[Date of Initial Assessment]="","",IF(AND(Table1[Leaving Date]&gt;42094,Table1[Leaving Date]&lt;42461),IF(Table1[Date of Last Assessment]="",Table1[Motivation and Taking Responsibility],Table1[Motivation and Taking Responsibility2]),"")))</f>
        <v/>
      </c>
      <c r="FL270" s="44" t="str">
        <f>IF(Table1[Leaving Date]="","",IF(Table1[Date of Initial Assessment]="","",IF(AND(Table1[Leaving Date]&gt;42094,Table1[Leaving Date]&lt;42461),IF(Table1[Date of Last Assessment]="",Table1[Self-Care and Living Skills],Table1[Self-Care and Living Skills2]),"")))</f>
        <v/>
      </c>
      <c r="FM270" s="44" t="str">
        <f>IF(Table1[Leaving Date]="","",IF(Table1[Date of Initial Assessment]="","",IF(AND(Table1[Leaving Date]&gt;42094,Table1[Leaving Date]&lt;42461),IF(Table1[Date of Last Assessment]="",Table1[Managing Money and Personal Administration],Table1[Managing Money and Personal Administration2]),"")))</f>
        <v/>
      </c>
      <c r="FN270" s="44" t="str">
        <f>IF(Table1[Leaving Date]="","",IF(Table1[Date of Initial Assessment]="","",IF(AND(Table1[Leaving Date]&gt;42094,Table1[Leaving Date]&lt;42461),IF(Table1[Date of Last Assessment]="",Table1[Social Networks and Relationships],Table1[Social Networks and Relationships2]),"")))</f>
        <v/>
      </c>
      <c r="FO270" s="44" t="str">
        <f>IF(Table1[Leaving Date]="","",IF(Table1[Date of Initial Assessment]="","",IF(AND(Table1[Leaving Date]&gt;42094,Table1[Leaving Date]&lt;42461),IF(Table1[Date of Last Assessment]="",Table1[Drug and Alcohol Misuse],Table1[Drug and Alcohol Misuse2]),"")))</f>
        <v/>
      </c>
      <c r="FP270" s="44" t="str">
        <f>IF(Table1[Leaving Date]="","",IF(Table1[Date of Initial Assessment]="","",IF(AND(Table1[Leaving Date]&gt;42094,Table1[Leaving Date]&lt;42461),IF(Table1[Date of Last Assessment]="",Table1[Physical Health],Table1[Physical Health2]),"")))</f>
        <v/>
      </c>
      <c r="FQ270" s="44" t="str">
        <f>IF(Table1[Leaving Date]="","",IF(Table1[Date of Initial Assessment]="","",IF(AND(Table1[Leaving Date]&gt;42094,Table1[Leaving Date]&lt;42461),IF(Table1[Date of Last Assessment]="",Table1[Emotional and Mental Health],Table1[Emotional and Mental Health2]),"")))</f>
        <v/>
      </c>
      <c r="FR270" s="44" t="str">
        <f>IF(Table1[Leaving Date]="","",IF(Table1[Date of Initial Assessment]="","",IF(AND(Table1[Leaving Date]&gt;42094,Table1[Leaving Date]&lt;42461),IF(Table1[Date of Last Assessment]="",Table1[Meaningful Use of Time],Table1[Meaningful Use of Time2]),"")))</f>
        <v/>
      </c>
      <c r="FS270" s="44" t="str">
        <f>IF(Table1[Leaving Date]="","",IF(Table1[Date of Initial Assessment]="","",IF(AND(Table1[Leaving Date]&gt;42094,Table1[Leaving Date]&lt;42461),IF(Table1[Date of Last Assessment]="",Table1[Managing Tenancy and Accommodation],Table1[Managing Tenancy and Accommodation2]),"")))</f>
        <v/>
      </c>
      <c r="FT270" s="44" t="str">
        <f>IF(Table1[Leaving Date]="","",IF(Table1[Date of Initial Assessment]="","",IF(AND(Table1[Leaving Date]&gt;42094,Table1[Leaving Date]&lt;42461),IF(Table1[Date of Last Assessment]="",Table1[Offending],Table1[Offending2]),"")))</f>
        <v/>
      </c>
      <c r="FU270" s="44" t="str">
        <f>IF(Table1[Date of Initial Assessment]="","",IF(AND(Table1[Start Date]&gt;42460,Table1[Start Date]&lt;42826),Table1[Motivation and Taking Responsibility],""))</f>
        <v/>
      </c>
      <c r="FV270" s="44" t="str">
        <f>IF(Table1[Date of Initial Assessment]="","",IF(AND(Table1[Start Date]&gt;42460,Table1[Start Date]&lt;42826),Table1[Self-Care and Living Skills],""))</f>
        <v/>
      </c>
      <c r="FW270" s="44" t="str">
        <f>IF(Table1[Date of Initial Assessment]="","",IF(AND(Table1[Start Date]&gt;42460,Table1[Start Date]&lt;42826),Table1[Managing Money and Personal Administration],""))</f>
        <v/>
      </c>
      <c r="FX270" s="44" t="str">
        <f>IF(Table1[Date of Initial Assessment]="","",IF(AND(Table1[Start Date]&gt;42460,Table1[Start Date]&lt;42826),Table1[Social Networks and Relationships],""))</f>
        <v/>
      </c>
      <c r="FY270" s="44" t="str">
        <f>IF(Table1[Date of Initial Assessment]="","",IF(AND(Table1[Start Date]&gt;42460,Table1[Start Date]&lt;42826),Table1[Drug and Alcohol Misuse],""))</f>
        <v/>
      </c>
      <c r="FZ270" s="44" t="str">
        <f>IF(Table1[Date of Initial Assessment]="","",IF(AND(Table1[Start Date]&gt;42460,Table1[Start Date]&lt;42826),Table1[Physical Health],""))</f>
        <v/>
      </c>
      <c r="GA270" s="44" t="str">
        <f>IF(Table1[Date of Initial Assessment]="","",IF(AND(Table1[Start Date]&gt;42460,Table1[Start Date]&lt;42826),Table1[Emotional and Mental Health],""))</f>
        <v/>
      </c>
      <c r="GB270" s="44" t="str">
        <f>IF(Table1[Date of Initial Assessment]="","",IF(AND(Table1[Start Date]&gt;42460,Table1[Start Date]&lt;42826),Table1[Meaningful Use of Time],""))</f>
        <v/>
      </c>
      <c r="GC270" s="44" t="str">
        <f>IF(Table1[Date of Initial Assessment]="","",IF(AND(Table1[Start Date]&gt;42460,Table1[Start Date]&lt;42826),Table1[Managing Tenancy and Accommodation],""))</f>
        <v/>
      </c>
      <c r="GD270" s="44" t="str">
        <f>IF(Table1[Date of Initial Assessment]="","",IF(AND(Table1[Start Date]&gt;42460,Table1[Start Date]&lt;42826),Table1[Offending],""))</f>
        <v/>
      </c>
      <c r="GE270" s="44" t="str">
        <f>IF(Table1[Leaving Date]="","",IF(AND(Table1[Leaving Date]&gt;42460,Table1[Leaving Date]&lt;42826),IF(Table1[Date of Last Assessment]="",Table1[Motivation and Taking Responsibility],Table1[Motivation and Taking Responsibility2]),""))</f>
        <v/>
      </c>
      <c r="GF270" s="44" t="str">
        <f>IF(Table1[Leaving Date]="","",IF(AND(Table1[Leaving Date]&gt;42460,Table1[Leaving Date]&lt;42826),IF(Table1[Date of Last Assessment]="",Table1[Self-Care and Living Skills],Table1[Self-Care and Living Skills2]),""))</f>
        <v/>
      </c>
      <c r="GG270" s="44" t="str">
        <f>IF(Table1[Leaving Date]="","",IF(AND(Table1[Leaving Date]&gt;42460,Table1[Leaving Date]&lt;42826),IF(Table1[Date of Last Assessment]="",Table1[Managing Money and Personal Administration],Table1[Managing Money and Personal Administration2]),""))</f>
        <v/>
      </c>
      <c r="GH270" s="44" t="str">
        <f>IF(Table1[Leaving Date]="","",IF(AND(Table1[Leaving Date]&gt;42460,Table1[Leaving Date]&lt;42826),IF(Table1[Date of Last Assessment]="",Table1[Social Networks and Relationships],Table1[Social Networks and Relationships2]),""))</f>
        <v/>
      </c>
      <c r="GI270" s="44" t="str">
        <f>IF(Table1[Leaving Date]="","",IF(AND(Table1[Leaving Date]&gt;42460,Table1[Leaving Date]&lt;42826),IF(Table1[Date of Last Assessment]="",Table1[Drug and Alcohol Misuse],Table1[Drug and Alcohol Misuse2]),""))</f>
        <v/>
      </c>
      <c r="GJ270" s="44" t="str">
        <f>IF(Table1[Leaving Date]="","",IF(AND(Table1[Leaving Date]&gt;42460,Table1[Leaving Date]&lt;42826),IF(Table1[Date of Last Assessment]="",Table1[Physical Health],Table1[Physical Health2]),""))</f>
        <v/>
      </c>
      <c r="GK270" s="44" t="str">
        <f>IF(Table1[Leaving Date]="","",IF(AND(Table1[Leaving Date]&gt;42460,Table1[Leaving Date]&lt;42826),IF(Table1[Date of Last Assessment]="",Table1[Emotional and Mental Health],Table1[Emotional and Mental Health2]),""))</f>
        <v/>
      </c>
      <c r="GL270" s="44" t="str">
        <f>IF(Table1[Leaving Date]="","",IF(AND(Table1[Leaving Date]&gt;42460,Table1[Leaving Date]&lt;42826),IF(Table1[Date of Last Assessment]="",Table1[Meaningful Use of Time],Table1[Meaningful Use of Time2]),""))</f>
        <v/>
      </c>
      <c r="GM270" s="44" t="str">
        <f>IF(Table1[Leaving Date]="","",IF(AND(Table1[Leaving Date]&gt;42460,Table1[Leaving Date]&lt;42826),IF(Table1[Date of Last Assessment]="",Table1[Managing Tenancy and Accommodation],Table1[Managing Tenancy and Accommodation2]),""))</f>
        <v/>
      </c>
      <c r="GN270" s="44" t="str">
        <f>IF(Table1[Leaving Date]="","",IF(AND(Table1[Leaving Date]&gt;42460,Table1[Leaving Date]&lt;42826),IF(Table1[Date of Last Assessment]="",Table1[Offending],Table1[Offending2]),""))</f>
        <v/>
      </c>
    </row>
    <row r="271" spans="2:196" ht="20.100000000000001" customHeight="1" x14ac:dyDescent="0.2">
      <c r="B271" s="86">
        <f>+'Service Data'!$C$5:$C$5</f>
        <v>0</v>
      </c>
      <c r="C271" s="86"/>
      <c r="D271" s="86"/>
      <c r="E271" s="86"/>
      <c r="F271" s="86"/>
      <c r="G271" s="86"/>
      <c r="H271" s="6"/>
      <c r="I271" s="99" t="str">
        <f ca="1">IF(Table1[[#This Row],[Date of Birth]]="","",SUM(TODAY()-Table1[[#This Row],[Date of Birth]])/365)</f>
        <v/>
      </c>
      <c r="L271" s="86"/>
      <c r="M271" s="77"/>
      <c r="N271" s="86"/>
      <c r="O271" s="86"/>
      <c r="P271" s="91"/>
      <c r="Q271" s="86"/>
      <c r="R271" s="77"/>
      <c r="S271" s="77"/>
      <c r="T271" s="68"/>
      <c r="U271" s="68"/>
      <c r="V271" s="67"/>
      <c r="W271" s="67"/>
      <c r="X271" s="67"/>
      <c r="Y271" s="67"/>
      <c r="Z271" s="67"/>
      <c r="AA271" s="67"/>
      <c r="AB271" s="67"/>
      <c r="AC271" s="67"/>
      <c r="AD271" s="67"/>
      <c r="AE271" s="67"/>
      <c r="AF271" s="67"/>
      <c r="AG271" s="67"/>
      <c r="AH271" s="67"/>
      <c r="AI271" s="67"/>
      <c r="AJ271" s="67"/>
      <c r="AK271" s="67"/>
      <c r="AL271" s="67"/>
      <c r="AM271" s="67"/>
      <c r="AN271" s="77"/>
      <c r="AO271" s="76"/>
      <c r="AP271" s="77"/>
      <c r="AQ271" s="76"/>
      <c r="AR271" s="76"/>
      <c r="AS271" s="76"/>
      <c r="AT271" s="76"/>
      <c r="AU271" s="76"/>
      <c r="AV271" s="77"/>
      <c r="AW271" s="76"/>
      <c r="AX271" s="77"/>
      <c r="AY271" s="76"/>
      <c r="AZ271" s="76"/>
      <c r="BA271" s="76"/>
      <c r="BB271" s="76"/>
      <c r="BC271" s="76"/>
      <c r="BD271" s="77"/>
      <c r="BE271" s="76"/>
      <c r="BF271" s="77"/>
      <c r="BG271" s="76"/>
      <c r="BH271" s="76"/>
      <c r="BI271" s="76"/>
      <c r="BJ271" s="76"/>
      <c r="BK271" s="76"/>
      <c r="BL271" s="77"/>
      <c r="BM271" s="76"/>
      <c r="BN271" s="77"/>
      <c r="BO271" s="76"/>
      <c r="BP271" s="76"/>
      <c r="BQ271" s="76"/>
      <c r="BR271" s="76"/>
      <c r="BS271" s="76"/>
      <c r="BT271" s="77"/>
      <c r="BU271" s="76"/>
      <c r="BV271" s="77"/>
      <c r="BW271" s="76"/>
      <c r="BX271" s="76"/>
      <c r="BY271" s="76"/>
      <c r="BZ271" s="76"/>
      <c r="CA271" s="76"/>
      <c r="CB271" s="77"/>
      <c r="CC271" s="76"/>
      <c r="CD271" s="77"/>
      <c r="CE271" s="76"/>
      <c r="CF271" s="76"/>
      <c r="CG271" s="76"/>
      <c r="CH271" s="76"/>
      <c r="CI271" s="76"/>
      <c r="CJ271" s="77"/>
      <c r="CK271" s="76"/>
      <c r="CL271" s="77"/>
      <c r="CM271" s="76"/>
      <c r="CN271" s="76"/>
      <c r="CO271" s="76"/>
      <c r="CP271" s="76"/>
      <c r="CQ271" s="76"/>
      <c r="CR271" s="78" t="str">
        <f t="shared" si="79"/>
        <v/>
      </c>
      <c r="CS271" s="79" t="str">
        <f t="shared" si="80"/>
        <v/>
      </c>
      <c r="CT271" s="79" t="str">
        <f t="shared" si="81"/>
        <v/>
      </c>
      <c r="CU271" s="79" t="str">
        <f t="shared" si="82"/>
        <v/>
      </c>
      <c r="CV271" s="79" t="str">
        <f t="shared" si="83"/>
        <v/>
      </c>
      <c r="CW271" s="79" t="str">
        <f t="shared" si="84"/>
        <v/>
      </c>
      <c r="CX271" s="79" t="str">
        <f t="shared" si="85"/>
        <v/>
      </c>
      <c r="CY271" s="79" t="str">
        <f t="shared" si="86"/>
        <v/>
      </c>
      <c r="CZ271" s="79" t="str">
        <f t="shared" si="87"/>
        <v/>
      </c>
      <c r="DA271" s="79" t="str">
        <f t="shared" si="88"/>
        <v/>
      </c>
      <c r="DB271" s="79" t="str">
        <f t="shared" si="89"/>
        <v/>
      </c>
      <c r="DC271" s="79" t="str">
        <f t="shared" si="90"/>
        <v/>
      </c>
      <c r="DD271" s="79" t="str">
        <f t="shared" si="91"/>
        <v/>
      </c>
      <c r="DE271" s="79" t="str">
        <f t="shared" si="92"/>
        <v/>
      </c>
      <c r="DF271" s="79" t="str">
        <f t="shared" si="93"/>
        <v/>
      </c>
      <c r="DG271" s="79" t="str">
        <f t="shared" si="94"/>
        <v/>
      </c>
      <c r="DH271" s="76"/>
      <c r="DI271" s="78"/>
      <c r="DJ271" s="76"/>
      <c r="DK271" s="77"/>
      <c r="DL271" s="77"/>
      <c r="DM271" s="77"/>
      <c r="DN271" s="80"/>
      <c r="DO271" s="80"/>
      <c r="DP271" s="92" t="str">
        <f>IF(Table1[Start Date]="","",IF(Table1[Start Date]&gt;42185,"",IF(AND(Table1[Leaving Date]&gt;1,Table1[Leaving Date]&lt;42095),"",1)))</f>
        <v/>
      </c>
      <c r="DQ271" s="92" t="str">
        <f>IF(Table1[Start Date]="","",IF(Table1[Start Date]&gt;42277,"",IF(AND(Table1[Leaving Date]&gt;1,Table1[Leaving Date]&lt;42186),"",1)))</f>
        <v/>
      </c>
      <c r="DR271" s="92" t="str">
        <f>IF(Table1[Start Date]="","",IF(Table1[Start Date]&gt;42369,"",IF(AND(Table1[Leaving Date]&gt;1,Table1[Leaving Date]&lt;42278),"",1)))</f>
        <v/>
      </c>
      <c r="DS271" s="92" t="str">
        <f>IF(Table1[Start Date]="","",IF(Table1[Start Date]&gt;42460,"",IF(AND(Table1[Leaving Date]&gt;1,Table1[Leaving Date]&lt;42370),"",1)))</f>
        <v/>
      </c>
      <c r="DT271" s="92" t="str">
        <f>IF(Table1[Start Date]="","",IF(Table1[Start Date]&gt;42551,"",IF(AND(Table1[Leaving Date]&gt;1,Table1[Leaving Date]&lt;42461),"",1)))</f>
        <v/>
      </c>
      <c r="DU271" s="92" t="str">
        <f>IF(Table1[Start Date]="","",IF(Table1[Start Date]&gt;42643,"",IF(AND(Table1[Leaving Date]&gt;1,Table1[Leaving Date]&lt;42552),"",1)))</f>
        <v/>
      </c>
      <c r="DV271" s="92" t="str">
        <f>IF(Table1[Start Date]="","",IF(Table1[Start Date]&gt;42735,"",IF(AND(Table1[Leaving Date]&gt;1,Table1[Leaving Date]&lt;42644),"",1)))</f>
        <v/>
      </c>
      <c r="DW271" s="92" t="str">
        <f>IF(Table1[Start Date]="","",IF(Table1[Start Date]&gt;42825,"",IF(AND(Table1[Leaving Date]&gt;1,Table1[Leaving Date]&lt;42736),"",1)))</f>
        <v/>
      </c>
      <c r="DX271"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271" s="44" t="e">
        <f>VLOOKUP(Table1[Referral Source],Lists!$G$2:$H$20,2,FALSE)</f>
        <v>#N/A</v>
      </c>
      <c r="DZ271" s="93" t="e">
        <f>SUM(Table1[Data Referral Quarter]+Table1[Data Referral Source])</f>
        <v>#N/A</v>
      </c>
      <c r="EA271" s="44" t="b">
        <f>IF(Table1[Referral Decision]="Accepted",100,IF(Table1[Referral Decision]="Rejected by Provider",200,IF(Table1[Referral Decision]="Rejected by Applicant",300)))</f>
        <v>0</v>
      </c>
      <c r="EB271" s="44">
        <f>SUM(Table1[Data Referral Quarter]+Table1[Data Referral Decision])</f>
        <v>0</v>
      </c>
      <c r="EC271" s="44" t="b">
        <f>IF(Table1[Start Date]&gt;42735,8000,IF(Table1[Start Date]&gt;42643,7000,IF(Table1[Start Date]&gt;42551,6000,IF(Table1[Start Date]&gt;42460,5000,IF(Table1[Start Date]&gt;42369,4000,IF(Table1[Start Date]&gt;42277,3000,IF(Table1[Start Date]&gt;42185,2000,IF(Table1[Start Date]&gt;42094,1000))))))))</f>
        <v>0</v>
      </c>
      <c r="ED271" s="44" t="str">
        <f>IF(Table1[Start Date]="","",IF(Table1[Current Local Authority]="Swindon",1,"2"))</f>
        <v/>
      </c>
      <c r="EE271" s="44" t="e">
        <f>SUM(Table1[Data Start Date]+Table1[Data Local Authority])</f>
        <v>#VALUE!</v>
      </c>
      <c r="EF271" s="44">
        <f>IF(Table1[Registered with GP]="Yes",1,0)</f>
        <v>0</v>
      </c>
      <c r="EG271" s="44">
        <f>SUM(Table1[Data Start Date]+Table1[Data GP Start])</f>
        <v>0</v>
      </c>
      <c r="EH271" s="44" t="str">
        <f>IF(Table1[EET]="NEET",1,IF(Table1[EET]="Education",2,IF(Table1[EET]="Employment",2,IF(Table1[EET]="Training",2,IF(Table1[EET]="Retired",3,"")))))</f>
        <v/>
      </c>
      <c r="EI271" s="44" t="e">
        <f>Table1[Data Start Date]+Table1[Data EET Start]</f>
        <v>#VALUE!</v>
      </c>
      <c r="EJ271" s="44" t="b">
        <f>IF(Table1[Leaving Date]&gt;42735,8000,IF(Table1[Leaving Date]&gt;42643,7000,IF(Table1[Leaving Date]&gt;42551,6000,IF(Table1[Leaving Date]&gt;42460,5000,IF(Table1[Leaving Date]&gt;42369,4000,IF(Table1[Leaving Date]&gt;42277,3000,IF(Table1[Leaving Date]&gt;42185,2000,IF(Table1[Leaving Date]&gt;42094,1000))))))))</f>
        <v>0</v>
      </c>
      <c r="EK271" s="44" t="e">
        <f>VLOOKUP(Table1[Reason for Leaving],Lists!$T$2:$U$15,2,FALSE)</f>
        <v>#N/A</v>
      </c>
      <c r="EL271" s="44" t="e">
        <f>SUM(Table1[Data Leavers Date]+Table1[Data Move On])</f>
        <v>#N/A</v>
      </c>
      <c r="EM271" s="44" t="b">
        <f>IF(Table1[Registered with GP2]="Yes",1,IF(Table1[Registered with GP2]="No",0,IF(Table1[Registered with GP]="Yes",1,IF(Table1[Registered with GP]="No",0))))</f>
        <v>0</v>
      </c>
      <c r="EN271" s="44">
        <f>SUM(Table1[Data Leavers Date]+Table1[Data GP End])</f>
        <v>0</v>
      </c>
      <c r="EO271" s="44" t="str">
        <f>IF(Table1[EET2]="NEET",1,IF(Table1[EET2]="Employment",2,IF(Table1[EET2]="Education",2,IF(Table1[EET2]="Training",2,IF(Table1[EET2]="Retired",3,IF(Table1[EET]="NEET",1,IF(Table1[EET]="Employment",2,IF(Table1[EET]="Education",2,IF(Table1[EET]="Training",2,IF(Table1[EET]="Retired",3,""))))))))))</f>
        <v/>
      </c>
      <c r="EP271" s="44" t="e">
        <f>+Table1[[#This Row],[Data Leavers Date]]+Table1[[#This Row],[Data EET End]]</f>
        <v>#VALUE!</v>
      </c>
      <c r="EQ271" s="44">
        <f>IF(Table1[Exit Form Received]="Yes",1,0)</f>
        <v>0</v>
      </c>
      <c r="ER271" s="44">
        <f>+Table1[[#This Row],[Data Leavers Date]]+Table1[[#This Row],[Data Exit Forms]]</f>
        <v>0</v>
      </c>
      <c r="ES271" s="44" t="str">
        <f>IF(Table1[Data Leavers Date]=1000,SUM(Table1[Leaving Date]-Table1[Start Date]),"")</f>
        <v/>
      </c>
      <c r="ET271" s="44" t="str">
        <f>IF(Table1[Data Leavers Date]=2000,SUM(Table1[Leaving Date]-Table1[Start Date]),"")</f>
        <v/>
      </c>
      <c r="EU271" s="44" t="str">
        <f>IF(Table1[Data Leavers Date]=3000,SUM(Table1[Leaving Date]-Table1[Start Date]),"")</f>
        <v/>
      </c>
      <c r="EV271" s="44" t="str">
        <f>IF(Table1[Data Leavers Date]=4000,SUM(Table1[Leaving Date]-Table1[Start Date]),"")</f>
        <v/>
      </c>
      <c r="EW271" s="44" t="str">
        <f>IF(Table1[Data Leavers Date]=5000,SUM(Table1[Leaving Date]-Table1[Start Date]),"")</f>
        <v/>
      </c>
      <c r="EX271" s="44" t="str">
        <f>IF(Table1[Data Leavers Date]=6000,SUM(Table1[Leaving Date]-Table1[Start Date]),"")</f>
        <v/>
      </c>
      <c r="EY271" s="44" t="str">
        <f>IF(Table1[Data Leavers Date]=7000,SUM(Table1[Leaving Date]-Table1[Start Date]),"")</f>
        <v/>
      </c>
      <c r="EZ271" s="44" t="str">
        <f>IF(Table1[Data Leavers Date]=8000,SUM(Table1[Leaving Date]-Table1[Start Date]),"")</f>
        <v/>
      </c>
      <c r="FA271" s="44" t="str">
        <f>IF(Table1[Date of Initial Assessment]="","",IF(AND(Table1[Start Date]&gt;42094,Table1[Start Date]&lt;42461),Table1[Motivation and Taking Responsibility],""))</f>
        <v/>
      </c>
      <c r="FB271" s="44" t="str">
        <f>IF(Table1[Date of Initial Assessment]="","",IF(AND(Table1[Start Date]&gt;42094,Table1[Start Date]&lt;42461),Table1[Self-Care and Living Skills],""))</f>
        <v/>
      </c>
      <c r="FC271" s="44" t="str">
        <f>IF(Table1[Date of Initial Assessment]="","",IF(AND(Table1[Start Date]&gt;42094,Table1[Start Date]&lt;42461),Table1[Managing Money and Personal Administration],""))</f>
        <v/>
      </c>
      <c r="FD271" s="44" t="str">
        <f>IF(Table1[Date of Initial Assessment]="","",IF(AND(Table1[Start Date]&gt;42094,Table1[Start Date]&lt;42461),Table1[Social Networks and Relationships],""))</f>
        <v/>
      </c>
      <c r="FE271" s="44" t="str">
        <f>IF(Table1[Date of Initial Assessment]="","",IF(AND(Table1[Start Date]&gt;42094,Table1[Start Date]&lt;42461),Table1[Drug and Alcohol Misuse],""))</f>
        <v/>
      </c>
      <c r="FF271" s="44" t="str">
        <f>IF(Table1[Date of Initial Assessment]="","",IF(AND(Table1[Start Date]&gt;42094,Table1[Start Date]&lt;42461),Table1[Physical Health],""))</f>
        <v/>
      </c>
      <c r="FG271" s="44" t="str">
        <f>IF(Table1[Date of Initial Assessment]="","",IF(AND(Table1[Start Date]&gt;42094,Table1[Start Date]&lt;42461),Table1[Emotional and Mental Health],""))</f>
        <v/>
      </c>
      <c r="FH271" s="44" t="str">
        <f>IF(Table1[Date of Initial Assessment]="","",IF(AND(Table1[Start Date]&gt;42094,Table1[Start Date]&lt;42461),Table1[Meaningful Use of Time],""))</f>
        <v/>
      </c>
      <c r="FI271" s="44" t="str">
        <f>IF(Table1[Date of Initial Assessment]="","",IF(AND(Table1[Start Date]&gt;42094,Table1[Start Date]&lt;42461),Table1[Managing Tenancy and Accommodation],""))</f>
        <v/>
      </c>
      <c r="FJ271" s="44" t="str">
        <f>IF(Table1[Date of Initial Assessment]="","",IF(AND(Table1[Start Date]&gt;42094,Table1[Start Date]&lt;42461),Table1[Offending],""))</f>
        <v/>
      </c>
      <c r="FK271" s="44" t="str">
        <f>IF(Table1[Leaving Date]="","",IF(Table1[Date of Initial Assessment]="","",IF(AND(Table1[Leaving Date]&gt;42094,Table1[Leaving Date]&lt;42461),IF(Table1[Date of Last Assessment]="",Table1[Motivation and Taking Responsibility],Table1[Motivation and Taking Responsibility2]),"")))</f>
        <v/>
      </c>
      <c r="FL271" s="44" t="str">
        <f>IF(Table1[Leaving Date]="","",IF(Table1[Date of Initial Assessment]="","",IF(AND(Table1[Leaving Date]&gt;42094,Table1[Leaving Date]&lt;42461),IF(Table1[Date of Last Assessment]="",Table1[Self-Care and Living Skills],Table1[Self-Care and Living Skills2]),"")))</f>
        <v/>
      </c>
      <c r="FM271" s="44" t="str">
        <f>IF(Table1[Leaving Date]="","",IF(Table1[Date of Initial Assessment]="","",IF(AND(Table1[Leaving Date]&gt;42094,Table1[Leaving Date]&lt;42461),IF(Table1[Date of Last Assessment]="",Table1[Managing Money and Personal Administration],Table1[Managing Money and Personal Administration2]),"")))</f>
        <v/>
      </c>
      <c r="FN271" s="44" t="str">
        <f>IF(Table1[Leaving Date]="","",IF(Table1[Date of Initial Assessment]="","",IF(AND(Table1[Leaving Date]&gt;42094,Table1[Leaving Date]&lt;42461),IF(Table1[Date of Last Assessment]="",Table1[Social Networks and Relationships],Table1[Social Networks and Relationships2]),"")))</f>
        <v/>
      </c>
      <c r="FO271" s="44" t="str">
        <f>IF(Table1[Leaving Date]="","",IF(Table1[Date of Initial Assessment]="","",IF(AND(Table1[Leaving Date]&gt;42094,Table1[Leaving Date]&lt;42461),IF(Table1[Date of Last Assessment]="",Table1[Drug and Alcohol Misuse],Table1[Drug and Alcohol Misuse2]),"")))</f>
        <v/>
      </c>
      <c r="FP271" s="44" t="str">
        <f>IF(Table1[Leaving Date]="","",IF(Table1[Date of Initial Assessment]="","",IF(AND(Table1[Leaving Date]&gt;42094,Table1[Leaving Date]&lt;42461),IF(Table1[Date of Last Assessment]="",Table1[Physical Health],Table1[Physical Health2]),"")))</f>
        <v/>
      </c>
      <c r="FQ271" s="44" t="str">
        <f>IF(Table1[Leaving Date]="","",IF(Table1[Date of Initial Assessment]="","",IF(AND(Table1[Leaving Date]&gt;42094,Table1[Leaving Date]&lt;42461),IF(Table1[Date of Last Assessment]="",Table1[Emotional and Mental Health],Table1[Emotional and Mental Health2]),"")))</f>
        <v/>
      </c>
      <c r="FR271" s="44" t="str">
        <f>IF(Table1[Leaving Date]="","",IF(Table1[Date of Initial Assessment]="","",IF(AND(Table1[Leaving Date]&gt;42094,Table1[Leaving Date]&lt;42461),IF(Table1[Date of Last Assessment]="",Table1[Meaningful Use of Time],Table1[Meaningful Use of Time2]),"")))</f>
        <v/>
      </c>
      <c r="FS271" s="44" t="str">
        <f>IF(Table1[Leaving Date]="","",IF(Table1[Date of Initial Assessment]="","",IF(AND(Table1[Leaving Date]&gt;42094,Table1[Leaving Date]&lt;42461),IF(Table1[Date of Last Assessment]="",Table1[Managing Tenancy and Accommodation],Table1[Managing Tenancy and Accommodation2]),"")))</f>
        <v/>
      </c>
      <c r="FT271" s="44" t="str">
        <f>IF(Table1[Leaving Date]="","",IF(Table1[Date of Initial Assessment]="","",IF(AND(Table1[Leaving Date]&gt;42094,Table1[Leaving Date]&lt;42461),IF(Table1[Date of Last Assessment]="",Table1[Offending],Table1[Offending2]),"")))</f>
        <v/>
      </c>
      <c r="FU271" s="44" t="str">
        <f>IF(Table1[Date of Initial Assessment]="","",IF(AND(Table1[Start Date]&gt;42460,Table1[Start Date]&lt;42826),Table1[Motivation and Taking Responsibility],""))</f>
        <v/>
      </c>
      <c r="FV271" s="44" t="str">
        <f>IF(Table1[Date of Initial Assessment]="","",IF(AND(Table1[Start Date]&gt;42460,Table1[Start Date]&lt;42826),Table1[Self-Care and Living Skills],""))</f>
        <v/>
      </c>
      <c r="FW271" s="44" t="str">
        <f>IF(Table1[Date of Initial Assessment]="","",IF(AND(Table1[Start Date]&gt;42460,Table1[Start Date]&lt;42826),Table1[Managing Money and Personal Administration],""))</f>
        <v/>
      </c>
      <c r="FX271" s="44" t="str">
        <f>IF(Table1[Date of Initial Assessment]="","",IF(AND(Table1[Start Date]&gt;42460,Table1[Start Date]&lt;42826),Table1[Social Networks and Relationships],""))</f>
        <v/>
      </c>
      <c r="FY271" s="44" t="str">
        <f>IF(Table1[Date of Initial Assessment]="","",IF(AND(Table1[Start Date]&gt;42460,Table1[Start Date]&lt;42826),Table1[Drug and Alcohol Misuse],""))</f>
        <v/>
      </c>
      <c r="FZ271" s="44" t="str">
        <f>IF(Table1[Date of Initial Assessment]="","",IF(AND(Table1[Start Date]&gt;42460,Table1[Start Date]&lt;42826),Table1[Physical Health],""))</f>
        <v/>
      </c>
      <c r="GA271" s="44" t="str">
        <f>IF(Table1[Date of Initial Assessment]="","",IF(AND(Table1[Start Date]&gt;42460,Table1[Start Date]&lt;42826),Table1[Emotional and Mental Health],""))</f>
        <v/>
      </c>
      <c r="GB271" s="44" t="str">
        <f>IF(Table1[Date of Initial Assessment]="","",IF(AND(Table1[Start Date]&gt;42460,Table1[Start Date]&lt;42826),Table1[Meaningful Use of Time],""))</f>
        <v/>
      </c>
      <c r="GC271" s="44" t="str">
        <f>IF(Table1[Date of Initial Assessment]="","",IF(AND(Table1[Start Date]&gt;42460,Table1[Start Date]&lt;42826),Table1[Managing Tenancy and Accommodation],""))</f>
        <v/>
      </c>
      <c r="GD271" s="44" t="str">
        <f>IF(Table1[Date of Initial Assessment]="","",IF(AND(Table1[Start Date]&gt;42460,Table1[Start Date]&lt;42826),Table1[Offending],""))</f>
        <v/>
      </c>
      <c r="GE271" s="44" t="str">
        <f>IF(Table1[Leaving Date]="","",IF(AND(Table1[Leaving Date]&gt;42460,Table1[Leaving Date]&lt;42826),IF(Table1[Date of Last Assessment]="",Table1[Motivation and Taking Responsibility],Table1[Motivation and Taking Responsibility2]),""))</f>
        <v/>
      </c>
      <c r="GF271" s="44" t="str">
        <f>IF(Table1[Leaving Date]="","",IF(AND(Table1[Leaving Date]&gt;42460,Table1[Leaving Date]&lt;42826),IF(Table1[Date of Last Assessment]="",Table1[Self-Care and Living Skills],Table1[Self-Care and Living Skills2]),""))</f>
        <v/>
      </c>
      <c r="GG271" s="44" t="str">
        <f>IF(Table1[Leaving Date]="","",IF(AND(Table1[Leaving Date]&gt;42460,Table1[Leaving Date]&lt;42826),IF(Table1[Date of Last Assessment]="",Table1[Managing Money and Personal Administration],Table1[Managing Money and Personal Administration2]),""))</f>
        <v/>
      </c>
      <c r="GH271" s="44" t="str">
        <f>IF(Table1[Leaving Date]="","",IF(AND(Table1[Leaving Date]&gt;42460,Table1[Leaving Date]&lt;42826),IF(Table1[Date of Last Assessment]="",Table1[Social Networks and Relationships],Table1[Social Networks and Relationships2]),""))</f>
        <v/>
      </c>
      <c r="GI271" s="44" t="str">
        <f>IF(Table1[Leaving Date]="","",IF(AND(Table1[Leaving Date]&gt;42460,Table1[Leaving Date]&lt;42826),IF(Table1[Date of Last Assessment]="",Table1[Drug and Alcohol Misuse],Table1[Drug and Alcohol Misuse2]),""))</f>
        <v/>
      </c>
      <c r="GJ271" s="44" t="str">
        <f>IF(Table1[Leaving Date]="","",IF(AND(Table1[Leaving Date]&gt;42460,Table1[Leaving Date]&lt;42826),IF(Table1[Date of Last Assessment]="",Table1[Physical Health],Table1[Physical Health2]),""))</f>
        <v/>
      </c>
      <c r="GK271" s="44" t="str">
        <f>IF(Table1[Leaving Date]="","",IF(AND(Table1[Leaving Date]&gt;42460,Table1[Leaving Date]&lt;42826),IF(Table1[Date of Last Assessment]="",Table1[Emotional and Mental Health],Table1[Emotional and Mental Health2]),""))</f>
        <v/>
      </c>
      <c r="GL271" s="44" t="str">
        <f>IF(Table1[Leaving Date]="","",IF(AND(Table1[Leaving Date]&gt;42460,Table1[Leaving Date]&lt;42826),IF(Table1[Date of Last Assessment]="",Table1[Meaningful Use of Time],Table1[Meaningful Use of Time2]),""))</f>
        <v/>
      </c>
      <c r="GM271" s="44" t="str">
        <f>IF(Table1[Leaving Date]="","",IF(AND(Table1[Leaving Date]&gt;42460,Table1[Leaving Date]&lt;42826),IF(Table1[Date of Last Assessment]="",Table1[Managing Tenancy and Accommodation],Table1[Managing Tenancy and Accommodation2]),""))</f>
        <v/>
      </c>
      <c r="GN271" s="44" t="str">
        <f>IF(Table1[Leaving Date]="","",IF(AND(Table1[Leaving Date]&gt;42460,Table1[Leaving Date]&lt;42826),IF(Table1[Date of Last Assessment]="",Table1[Offending],Table1[Offending2]),""))</f>
        <v/>
      </c>
    </row>
    <row r="272" spans="2:196" ht="20.100000000000001" customHeight="1" x14ac:dyDescent="0.2">
      <c r="B272" s="86">
        <f>+'Service Data'!$C$5:$C$5</f>
        <v>0</v>
      </c>
      <c r="C272" s="86"/>
      <c r="D272" s="86"/>
      <c r="E272" s="86"/>
      <c r="F272" s="86"/>
      <c r="G272" s="86"/>
      <c r="H272" s="6"/>
      <c r="I272" s="99" t="str">
        <f ca="1">IF(Table1[[#This Row],[Date of Birth]]="","",SUM(TODAY()-Table1[[#This Row],[Date of Birth]])/365)</f>
        <v/>
      </c>
      <c r="L272" s="86"/>
      <c r="M272" s="77"/>
      <c r="N272" s="86"/>
      <c r="O272" s="86"/>
      <c r="P272" s="91"/>
      <c r="Q272" s="86"/>
      <c r="R272" s="77"/>
      <c r="S272" s="77"/>
      <c r="T272" s="68"/>
      <c r="U272" s="68"/>
      <c r="V272" s="67"/>
      <c r="W272" s="67"/>
      <c r="X272" s="67"/>
      <c r="Y272" s="67"/>
      <c r="Z272" s="67"/>
      <c r="AA272" s="67"/>
      <c r="AB272" s="67"/>
      <c r="AC272" s="67"/>
      <c r="AD272" s="67"/>
      <c r="AE272" s="67"/>
      <c r="AF272" s="67"/>
      <c r="AG272" s="67"/>
      <c r="AH272" s="67"/>
      <c r="AI272" s="67"/>
      <c r="AJ272" s="67"/>
      <c r="AK272" s="67"/>
      <c r="AL272" s="67"/>
      <c r="AM272" s="67"/>
      <c r="AN272" s="77"/>
      <c r="AO272" s="76"/>
      <c r="AP272" s="77"/>
      <c r="AQ272" s="76"/>
      <c r="AR272" s="76"/>
      <c r="AS272" s="76"/>
      <c r="AT272" s="76"/>
      <c r="AU272" s="76"/>
      <c r="AV272" s="77"/>
      <c r="AW272" s="76"/>
      <c r="AX272" s="77"/>
      <c r="AY272" s="76"/>
      <c r="AZ272" s="76"/>
      <c r="BA272" s="76"/>
      <c r="BB272" s="76"/>
      <c r="BC272" s="76"/>
      <c r="BD272" s="77"/>
      <c r="BE272" s="76"/>
      <c r="BF272" s="77"/>
      <c r="BG272" s="76"/>
      <c r="BH272" s="76"/>
      <c r="BI272" s="76"/>
      <c r="BJ272" s="76"/>
      <c r="BK272" s="76"/>
      <c r="BL272" s="77"/>
      <c r="BM272" s="76"/>
      <c r="BN272" s="77"/>
      <c r="BO272" s="76"/>
      <c r="BP272" s="76"/>
      <c r="BQ272" s="76"/>
      <c r="BR272" s="76"/>
      <c r="BS272" s="76"/>
      <c r="BT272" s="77"/>
      <c r="BU272" s="76"/>
      <c r="BV272" s="77"/>
      <c r="BW272" s="76"/>
      <c r="BX272" s="76"/>
      <c r="BY272" s="76"/>
      <c r="BZ272" s="76"/>
      <c r="CA272" s="76"/>
      <c r="CB272" s="77"/>
      <c r="CC272" s="76"/>
      <c r="CD272" s="77"/>
      <c r="CE272" s="76"/>
      <c r="CF272" s="76"/>
      <c r="CG272" s="76"/>
      <c r="CH272" s="76"/>
      <c r="CI272" s="76"/>
      <c r="CJ272" s="77"/>
      <c r="CK272" s="76"/>
      <c r="CL272" s="77"/>
      <c r="CM272" s="76"/>
      <c r="CN272" s="76"/>
      <c r="CO272" s="76"/>
      <c r="CP272" s="76"/>
      <c r="CQ272" s="76"/>
      <c r="CR272" s="78" t="str">
        <f t="shared" si="79"/>
        <v/>
      </c>
      <c r="CS272" s="79" t="str">
        <f t="shared" si="80"/>
        <v/>
      </c>
      <c r="CT272" s="79" t="str">
        <f t="shared" si="81"/>
        <v/>
      </c>
      <c r="CU272" s="79" t="str">
        <f t="shared" si="82"/>
        <v/>
      </c>
      <c r="CV272" s="79" t="str">
        <f t="shared" si="83"/>
        <v/>
      </c>
      <c r="CW272" s="79" t="str">
        <f t="shared" si="84"/>
        <v/>
      </c>
      <c r="CX272" s="79" t="str">
        <f t="shared" si="85"/>
        <v/>
      </c>
      <c r="CY272" s="79" t="str">
        <f t="shared" si="86"/>
        <v/>
      </c>
      <c r="CZ272" s="79" t="str">
        <f t="shared" si="87"/>
        <v/>
      </c>
      <c r="DA272" s="79" t="str">
        <f t="shared" si="88"/>
        <v/>
      </c>
      <c r="DB272" s="79" t="str">
        <f t="shared" si="89"/>
        <v/>
      </c>
      <c r="DC272" s="79" t="str">
        <f t="shared" si="90"/>
        <v/>
      </c>
      <c r="DD272" s="79" t="str">
        <f t="shared" si="91"/>
        <v/>
      </c>
      <c r="DE272" s="79" t="str">
        <f t="shared" si="92"/>
        <v/>
      </c>
      <c r="DF272" s="79" t="str">
        <f t="shared" si="93"/>
        <v/>
      </c>
      <c r="DG272" s="79" t="str">
        <f t="shared" si="94"/>
        <v/>
      </c>
      <c r="DH272" s="76"/>
      <c r="DI272" s="78"/>
      <c r="DJ272" s="76"/>
      <c r="DK272" s="77"/>
      <c r="DL272" s="77"/>
      <c r="DM272" s="77"/>
      <c r="DN272" s="80"/>
      <c r="DO272" s="80"/>
      <c r="DP272" s="92" t="str">
        <f>IF(Table1[Start Date]="","",IF(Table1[Start Date]&gt;42185,"",IF(AND(Table1[Leaving Date]&gt;1,Table1[Leaving Date]&lt;42095),"",1)))</f>
        <v/>
      </c>
      <c r="DQ272" s="92" t="str">
        <f>IF(Table1[Start Date]="","",IF(Table1[Start Date]&gt;42277,"",IF(AND(Table1[Leaving Date]&gt;1,Table1[Leaving Date]&lt;42186),"",1)))</f>
        <v/>
      </c>
      <c r="DR272" s="92" t="str">
        <f>IF(Table1[Start Date]="","",IF(Table1[Start Date]&gt;42369,"",IF(AND(Table1[Leaving Date]&gt;1,Table1[Leaving Date]&lt;42278),"",1)))</f>
        <v/>
      </c>
      <c r="DS272" s="92" t="str">
        <f>IF(Table1[Start Date]="","",IF(Table1[Start Date]&gt;42460,"",IF(AND(Table1[Leaving Date]&gt;1,Table1[Leaving Date]&lt;42370),"",1)))</f>
        <v/>
      </c>
      <c r="DT272" s="92" t="str">
        <f>IF(Table1[Start Date]="","",IF(Table1[Start Date]&gt;42551,"",IF(AND(Table1[Leaving Date]&gt;1,Table1[Leaving Date]&lt;42461),"",1)))</f>
        <v/>
      </c>
      <c r="DU272" s="92" t="str">
        <f>IF(Table1[Start Date]="","",IF(Table1[Start Date]&gt;42643,"",IF(AND(Table1[Leaving Date]&gt;1,Table1[Leaving Date]&lt;42552),"",1)))</f>
        <v/>
      </c>
      <c r="DV272" s="92" t="str">
        <f>IF(Table1[Start Date]="","",IF(Table1[Start Date]&gt;42735,"",IF(AND(Table1[Leaving Date]&gt;1,Table1[Leaving Date]&lt;42644),"",1)))</f>
        <v/>
      </c>
      <c r="DW272" s="92" t="str">
        <f>IF(Table1[Start Date]="","",IF(Table1[Start Date]&gt;42825,"",IF(AND(Table1[Leaving Date]&gt;1,Table1[Leaving Date]&lt;42736),"",1)))</f>
        <v/>
      </c>
      <c r="DX272"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272" s="44" t="e">
        <f>VLOOKUP(Table1[Referral Source],Lists!$G$2:$H$20,2,FALSE)</f>
        <v>#N/A</v>
      </c>
      <c r="DZ272" s="93" t="e">
        <f>SUM(Table1[Data Referral Quarter]+Table1[Data Referral Source])</f>
        <v>#N/A</v>
      </c>
      <c r="EA272" s="44" t="b">
        <f>IF(Table1[Referral Decision]="Accepted",100,IF(Table1[Referral Decision]="Rejected by Provider",200,IF(Table1[Referral Decision]="Rejected by Applicant",300)))</f>
        <v>0</v>
      </c>
      <c r="EB272" s="44">
        <f>SUM(Table1[Data Referral Quarter]+Table1[Data Referral Decision])</f>
        <v>0</v>
      </c>
      <c r="EC272" s="44" t="b">
        <f>IF(Table1[Start Date]&gt;42735,8000,IF(Table1[Start Date]&gt;42643,7000,IF(Table1[Start Date]&gt;42551,6000,IF(Table1[Start Date]&gt;42460,5000,IF(Table1[Start Date]&gt;42369,4000,IF(Table1[Start Date]&gt;42277,3000,IF(Table1[Start Date]&gt;42185,2000,IF(Table1[Start Date]&gt;42094,1000))))))))</f>
        <v>0</v>
      </c>
      <c r="ED272" s="44" t="str">
        <f>IF(Table1[Start Date]="","",IF(Table1[Current Local Authority]="Swindon",1,"2"))</f>
        <v/>
      </c>
      <c r="EE272" s="44" t="e">
        <f>SUM(Table1[Data Start Date]+Table1[Data Local Authority])</f>
        <v>#VALUE!</v>
      </c>
      <c r="EF272" s="44">
        <f>IF(Table1[Registered with GP]="Yes",1,0)</f>
        <v>0</v>
      </c>
      <c r="EG272" s="44">
        <f>SUM(Table1[Data Start Date]+Table1[Data GP Start])</f>
        <v>0</v>
      </c>
      <c r="EH272" s="44" t="str">
        <f>IF(Table1[EET]="NEET",1,IF(Table1[EET]="Education",2,IF(Table1[EET]="Employment",2,IF(Table1[EET]="Training",2,IF(Table1[EET]="Retired",3,"")))))</f>
        <v/>
      </c>
      <c r="EI272" s="44" t="e">
        <f>Table1[Data Start Date]+Table1[Data EET Start]</f>
        <v>#VALUE!</v>
      </c>
      <c r="EJ272" s="44" t="b">
        <f>IF(Table1[Leaving Date]&gt;42735,8000,IF(Table1[Leaving Date]&gt;42643,7000,IF(Table1[Leaving Date]&gt;42551,6000,IF(Table1[Leaving Date]&gt;42460,5000,IF(Table1[Leaving Date]&gt;42369,4000,IF(Table1[Leaving Date]&gt;42277,3000,IF(Table1[Leaving Date]&gt;42185,2000,IF(Table1[Leaving Date]&gt;42094,1000))))))))</f>
        <v>0</v>
      </c>
      <c r="EK272" s="44" t="e">
        <f>VLOOKUP(Table1[Reason for Leaving],Lists!$T$2:$U$15,2,FALSE)</f>
        <v>#N/A</v>
      </c>
      <c r="EL272" s="44" t="e">
        <f>SUM(Table1[Data Leavers Date]+Table1[Data Move On])</f>
        <v>#N/A</v>
      </c>
      <c r="EM272" s="44" t="b">
        <f>IF(Table1[Registered with GP2]="Yes",1,IF(Table1[Registered with GP2]="No",0,IF(Table1[Registered with GP]="Yes",1,IF(Table1[Registered with GP]="No",0))))</f>
        <v>0</v>
      </c>
      <c r="EN272" s="44">
        <f>SUM(Table1[Data Leavers Date]+Table1[Data GP End])</f>
        <v>0</v>
      </c>
      <c r="EO272" s="44" t="str">
        <f>IF(Table1[EET2]="NEET",1,IF(Table1[EET2]="Employment",2,IF(Table1[EET2]="Education",2,IF(Table1[EET2]="Training",2,IF(Table1[EET2]="Retired",3,IF(Table1[EET]="NEET",1,IF(Table1[EET]="Employment",2,IF(Table1[EET]="Education",2,IF(Table1[EET]="Training",2,IF(Table1[EET]="Retired",3,""))))))))))</f>
        <v/>
      </c>
      <c r="EP272" s="44" t="e">
        <f>+Table1[[#This Row],[Data Leavers Date]]+Table1[[#This Row],[Data EET End]]</f>
        <v>#VALUE!</v>
      </c>
      <c r="EQ272" s="44">
        <f>IF(Table1[Exit Form Received]="Yes",1,0)</f>
        <v>0</v>
      </c>
      <c r="ER272" s="44">
        <f>+Table1[[#This Row],[Data Leavers Date]]+Table1[[#This Row],[Data Exit Forms]]</f>
        <v>0</v>
      </c>
      <c r="ES272" s="44" t="str">
        <f>IF(Table1[Data Leavers Date]=1000,SUM(Table1[Leaving Date]-Table1[Start Date]),"")</f>
        <v/>
      </c>
      <c r="ET272" s="44" t="str">
        <f>IF(Table1[Data Leavers Date]=2000,SUM(Table1[Leaving Date]-Table1[Start Date]),"")</f>
        <v/>
      </c>
      <c r="EU272" s="44" t="str">
        <f>IF(Table1[Data Leavers Date]=3000,SUM(Table1[Leaving Date]-Table1[Start Date]),"")</f>
        <v/>
      </c>
      <c r="EV272" s="44" t="str">
        <f>IF(Table1[Data Leavers Date]=4000,SUM(Table1[Leaving Date]-Table1[Start Date]),"")</f>
        <v/>
      </c>
      <c r="EW272" s="44" t="str">
        <f>IF(Table1[Data Leavers Date]=5000,SUM(Table1[Leaving Date]-Table1[Start Date]),"")</f>
        <v/>
      </c>
      <c r="EX272" s="44" t="str">
        <f>IF(Table1[Data Leavers Date]=6000,SUM(Table1[Leaving Date]-Table1[Start Date]),"")</f>
        <v/>
      </c>
      <c r="EY272" s="44" t="str">
        <f>IF(Table1[Data Leavers Date]=7000,SUM(Table1[Leaving Date]-Table1[Start Date]),"")</f>
        <v/>
      </c>
      <c r="EZ272" s="44" t="str">
        <f>IF(Table1[Data Leavers Date]=8000,SUM(Table1[Leaving Date]-Table1[Start Date]),"")</f>
        <v/>
      </c>
      <c r="FA272" s="44" t="str">
        <f>IF(Table1[Date of Initial Assessment]="","",IF(AND(Table1[Start Date]&gt;42094,Table1[Start Date]&lt;42461),Table1[Motivation and Taking Responsibility],""))</f>
        <v/>
      </c>
      <c r="FB272" s="44" t="str">
        <f>IF(Table1[Date of Initial Assessment]="","",IF(AND(Table1[Start Date]&gt;42094,Table1[Start Date]&lt;42461),Table1[Self-Care and Living Skills],""))</f>
        <v/>
      </c>
      <c r="FC272" s="44" t="str">
        <f>IF(Table1[Date of Initial Assessment]="","",IF(AND(Table1[Start Date]&gt;42094,Table1[Start Date]&lt;42461),Table1[Managing Money and Personal Administration],""))</f>
        <v/>
      </c>
      <c r="FD272" s="44" t="str">
        <f>IF(Table1[Date of Initial Assessment]="","",IF(AND(Table1[Start Date]&gt;42094,Table1[Start Date]&lt;42461),Table1[Social Networks and Relationships],""))</f>
        <v/>
      </c>
      <c r="FE272" s="44" t="str">
        <f>IF(Table1[Date of Initial Assessment]="","",IF(AND(Table1[Start Date]&gt;42094,Table1[Start Date]&lt;42461),Table1[Drug and Alcohol Misuse],""))</f>
        <v/>
      </c>
      <c r="FF272" s="44" t="str">
        <f>IF(Table1[Date of Initial Assessment]="","",IF(AND(Table1[Start Date]&gt;42094,Table1[Start Date]&lt;42461),Table1[Physical Health],""))</f>
        <v/>
      </c>
      <c r="FG272" s="44" t="str">
        <f>IF(Table1[Date of Initial Assessment]="","",IF(AND(Table1[Start Date]&gt;42094,Table1[Start Date]&lt;42461),Table1[Emotional and Mental Health],""))</f>
        <v/>
      </c>
      <c r="FH272" s="44" t="str">
        <f>IF(Table1[Date of Initial Assessment]="","",IF(AND(Table1[Start Date]&gt;42094,Table1[Start Date]&lt;42461),Table1[Meaningful Use of Time],""))</f>
        <v/>
      </c>
      <c r="FI272" s="44" t="str">
        <f>IF(Table1[Date of Initial Assessment]="","",IF(AND(Table1[Start Date]&gt;42094,Table1[Start Date]&lt;42461),Table1[Managing Tenancy and Accommodation],""))</f>
        <v/>
      </c>
      <c r="FJ272" s="44" t="str">
        <f>IF(Table1[Date of Initial Assessment]="","",IF(AND(Table1[Start Date]&gt;42094,Table1[Start Date]&lt;42461),Table1[Offending],""))</f>
        <v/>
      </c>
      <c r="FK272" s="44" t="str">
        <f>IF(Table1[Leaving Date]="","",IF(Table1[Date of Initial Assessment]="","",IF(AND(Table1[Leaving Date]&gt;42094,Table1[Leaving Date]&lt;42461),IF(Table1[Date of Last Assessment]="",Table1[Motivation and Taking Responsibility],Table1[Motivation and Taking Responsibility2]),"")))</f>
        <v/>
      </c>
      <c r="FL272" s="44" t="str">
        <f>IF(Table1[Leaving Date]="","",IF(Table1[Date of Initial Assessment]="","",IF(AND(Table1[Leaving Date]&gt;42094,Table1[Leaving Date]&lt;42461),IF(Table1[Date of Last Assessment]="",Table1[Self-Care and Living Skills],Table1[Self-Care and Living Skills2]),"")))</f>
        <v/>
      </c>
      <c r="FM272" s="44" t="str">
        <f>IF(Table1[Leaving Date]="","",IF(Table1[Date of Initial Assessment]="","",IF(AND(Table1[Leaving Date]&gt;42094,Table1[Leaving Date]&lt;42461),IF(Table1[Date of Last Assessment]="",Table1[Managing Money and Personal Administration],Table1[Managing Money and Personal Administration2]),"")))</f>
        <v/>
      </c>
      <c r="FN272" s="44" t="str">
        <f>IF(Table1[Leaving Date]="","",IF(Table1[Date of Initial Assessment]="","",IF(AND(Table1[Leaving Date]&gt;42094,Table1[Leaving Date]&lt;42461),IF(Table1[Date of Last Assessment]="",Table1[Social Networks and Relationships],Table1[Social Networks and Relationships2]),"")))</f>
        <v/>
      </c>
      <c r="FO272" s="44" t="str">
        <f>IF(Table1[Leaving Date]="","",IF(Table1[Date of Initial Assessment]="","",IF(AND(Table1[Leaving Date]&gt;42094,Table1[Leaving Date]&lt;42461),IF(Table1[Date of Last Assessment]="",Table1[Drug and Alcohol Misuse],Table1[Drug and Alcohol Misuse2]),"")))</f>
        <v/>
      </c>
      <c r="FP272" s="44" t="str">
        <f>IF(Table1[Leaving Date]="","",IF(Table1[Date of Initial Assessment]="","",IF(AND(Table1[Leaving Date]&gt;42094,Table1[Leaving Date]&lt;42461),IF(Table1[Date of Last Assessment]="",Table1[Physical Health],Table1[Physical Health2]),"")))</f>
        <v/>
      </c>
      <c r="FQ272" s="44" t="str">
        <f>IF(Table1[Leaving Date]="","",IF(Table1[Date of Initial Assessment]="","",IF(AND(Table1[Leaving Date]&gt;42094,Table1[Leaving Date]&lt;42461),IF(Table1[Date of Last Assessment]="",Table1[Emotional and Mental Health],Table1[Emotional and Mental Health2]),"")))</f>
        <v/>
      </c>
      <c r="FR272" s="44" t="str">
        <f>IF(Table1[Leaving Date]="","",IF(Table1[Date of Initial Assessment]="","",IF(AND(Table1[Leaving Date]&gt;42094,Table1[Leaving Date]&lt;42461),IF(Table1[Date of Last Assessment]="",Table1[Meaningful Use of Time],Table1[Meaningful Use of Time2]),"")))</f>
        <v/>
      </c>
      <c r="FS272" s="44" t="str">
        <f>IF(Table1[Leaving Date]="","",IF(Table1[Date of Initial Assessment]="","",IF(AND(Table1[Leaving Date]&gt;42094,Table1[Leaving Date]&lt;42461),IF(Table1[Date of Last Assessment]="",Table1[Managing Tenancy and Accommodation],Table1[Managing Tenancy and Accommodation2]),"")))</f>
        <v/>
      </c>
      <c r="FT272" s="44" t="str">
        <f>IF(Table1[Leaving Date]="","",IF(Table1[Date of Initial Assessment]="","",IF(AND(Table1[Leaving Date]&gt;42094,Table1[Leaving Date]&lt;42461),IF(Table1[Date of Last Assessment]="",Table1[Offending],Table1[Offending2]),"")))</f>
        <v/>
      </c>
      <c r="FU272" s="44" t="str">
        <f>IF(Table1[Date of Initial Assessment]="","",IF(AND(Table1[Start Date]&gt;42460,Table1[Start Date]&lt;42826),Table1[Motivation and Taking Responsibility],""))</f>
        <v/>
      </c>
      <c r="FV272" s="44" t="str">
        <f>IF(Table1[Date of Initial Assessment]="","",IF(AND(Table1[Start Date]&gt;42460,Table1[Start Date]&lt;42826),Table1[Self-Care and Living Skills],""))</f>
        <v/>
      </c>
      <c r="FW272" s="44" t="str">
        <f>IF(Table1[Date of Initial Assessment]="","",IF(AND(Table1[Start Date]&gt;42460,Table1[Start Date]&lt;42826),Table1[Managing Money and Personal Administration],""))</f>
        <v/>
      </c>
      <c r="FX272" s="44" t="str">
        <f>IF(Table1[Date of Initial Assessment]="","",IF(AND(Table1[Start Date]&gt;42460,Table1[Start Date]&lt;42826),Table1[Social Networks and Relationships],""))</f>
        <v/>
      </c>
      <c r="FY272" s="44" t="str">
        <f>IF(Table1[Date of Initial Assessment]="","",IF(AND(Table1[Start Date]&gt;42460,Table1[Start Date]&lt;42826),Table1[Drug and Alcohol Misuse],""))</f>
        <v/>
      </c>
      <c r="FZ272" s="44" t="str">
        <f>IF(Table1[Date of Initial Assessment]="","",IF(AND(Table1[Start Date]&gt;42460,Table1[Start Date]&lt;42826),Table1[Physical Health],""))</f>
        <v/>
      </c>
      <c r="GA272" s="44" t="str">
        <f>IF(Table1[Date of Initial Assessment]="","",IF(AND(Table1[Start Date]&gt;42460,Table1[Start Date]&lt;42826),Table1[Emotional and Mental Health],""))</f>
        <v/>
      </c>
      <c r="GB272" s="44" t="str">
        <f>IF(Table1[Date of Initial Assessment]="","",IF(AND(Table1[Start Date]&gt;42460,Table1[Start Date]&lt;42826),Table1[Meaningful Use of Time],""))</f>
        <v/>
      </c>
      <c r="GC272" s="44" t="str">
        <f>IF(Table1[Date of Initial Assessment]="","",IF(AND(Table1[Start Date]&gt;42460,Table1[Start Date]&lt;42826),Table1[Managing Tenancy and Accommodation],""))</f>
        <v/>
      </c>
      <c r="GD272" s="44" t="str">
        <f>IF(Table1[Date of Initial Assessment]="","",IF(AND(Table1[Start Date]&gt;42460,Table1[Start Date]&lt;42826),Table1[Offending],""))</f>
        <v/>
      </c>
      <c r="GE272" s="44" t="str">
        <f>IF(Table1[Leaving Date]="","",IF(AND(Table1[Leaving Date]&gt;42460,Table1[Leaving Date]&lt;42826),IF(Table1[Date of Last Assessment]="",Table1[Motivation and Taking Responsibility],Table1[Motivation and Taking Responsibility2]),""))</f>
        <v/>
      </c>
      <c r="GF272" s="44" t="str">
        <f>IF(Table1[Leaving Date]="","",IF(AND(Table1[Leaving Date]&gt;42460,Table1[Leaving Date]&lt;42826),IF(Table1[Date of Last Assessment]="",Table1[Self-Care and Living Skills],Table1[Self-Care and Living Skills2]),""))</f>
        <v/>
      </c>
      <c r="GG272" s="44" t="str">
        <f>IF(Table1[Leaving Date]="","",IF(AND(Table1[Leaving Date]&gt;42460,Table1[Leaving Date]&lt;42826),IF(Table1[Date of Last Assessment]="",Table1[Managing Money and Personal Administration],Table1[Managing Money and Personal Administration2]),""))</f>
        <v/>
      </c>
      <c r="GH272" s="44" t="str">
        <f>IF(Table1[Leaving Date]="","",IF(AND(Table1[Leaving Date]&gt;42460,Table1[Leaving Date]&lt;42826),IF(Table1[Date of Last Assessment]="",Table1[Social Networks and Relationships],Table1[Social Networks and Relationships2]),""))</f>
        <v/>
      </c>
      <c r="GI272" s="44" t="str">
        <f>IF(Table1[Leaving Date]="","",IF(AND(Table1[Leaving Date]&gt;42460,Table1[Leaving Date]&lt;42826),IF(Table1[Date of Last Assessment]="",Table1[Drug and Alcohol Misuse],Table1[Drug and Alcohol Misuse2]),""))</f>
        <v/>
      </c>
      <c r="GJ272" s="44" t="str">
        <f>IF(Table1[Leaving Date]="","",IF(AND(Table1[Leaving Date]&gt;42460,Table1[Leaving Date]&lt;42826),IF(Table1[Date of Last Assessment]="",Table1[Physical Health],Table1[Physical Health2]),""))</f>
        <v/>
      </c>
      <c r="GK272" s="44" t="str">
        <f>IF(Table1[Leaving Date]="","",IF(AND(Table1[Leaving Date]&gt;42460,Table1[Leaving Date]&lt;42826),IF(Table1[Date of Last Assessment]="",Table1[Emotional and Mental Health],Table1[Emotional and Mental Health2]),""))</f>
        <v/>
      </c>
      <c r="GL272" s="44" t="str">
        <f>IF(Table1[Leaving Date]="","",IF(AND(Table1[Leaving Date]&gt;42460,Table1[Leaving Date]&lt;42826),IF(Table1[Date of Last Assessment]="",Table1[Meaningful Use of Time],Table1[Meaningful Use of Time2]),""))</f>
        <v/>
      </c>
      <c r="GM272" s="44" t="str">
        <f>IF(Table1[Leaving Date]="","",IF(AND(Table1[Leaving Date]&gt;42460,Table1[Leaving Date]&lt;42826),IF(Table1[Date of Last Assessment]="",Table1[Managing Tenancy and Accommodation],Table1[Managing Tenancy and Accommodation2]),""))</f>
        <v/>
      </c>
      <c r="GN272" s="44" t="str">
        <f>IF(Table1[Leaving Date]="","",IF(AND(Table1[Leaving Date]&gt;42460,Table1[Leaving Date]&lt;42826),IF(Table1[Date of Last Assessment]="",Table1[Offending],Table1[Offending2]),""))</f>
        <v/>
      </c>
    </row>
    <row r="273" spans="2:196" ht="20.100000000000001" customHeight="1" x14ac:dyDescent="0.2">
      <c r="B273" s="86">
        <f>+'Service Data'!$C$5:$C$5</f>
        <v>0</v>
      </c>
      <c r="C273" s="86"/>
      <c r="D273" s="86"/>
      <c r="E273" s="86"/>
      <c r="F273" s="86"/>
      <c r="G273" s="86"/>
      <c r="H273" s="6"/>
      <c r="I273" s="99" t="str">
        <f ca="1">IF(Table1[[#This Row],[Date of Birth]]="","",SUM(TODAY()-Table1[[#This Row],[Date of Birth]])/365)</f>
        <v/>
      </c>
      <c r="L273" s="86"/>
      <c r="M273" s="77"/>
      <c r="N273" s="86"/>
      <c r="O273" s="86"/>
      <c r="P273" s="91"/>
      <c r="Q273" s="86"/>
      <c r="R273" s="77"/>
      <c r="S273" s="77"/>
      <c r="T273" s="68"/>
      <c r="U273" s="68"/>
      <c r="V273" s="67"/>
      <c r="W273" s="67"/>
      <c r="X273" s="67"/>
      <c r="Y273" s="67"/>
      <c r="Z273" s="67"/>
      <c r="AA273" s="67"/>
      <c r="AB273" s="67"/>
      <c r="AC273" s="67"/>
      <c r="AD273" s="67"/>
      <c r="AE273" s="67"/>
      <c r="AF273" s="67"/>
      <c r="AG273" s="67"/>
      <c r="AH273" s="67"/>
      <c r="AI273" s="67"/>
      <c r="AJ273" s="67"/>
      <c r="AK273" s="67"/>
      <c r="AL273" s="67"/>
      <c r="AM273" s="67"/>
      <c r="AN273" s="77"/>
      <c r="AO273" s="76"/>
      <c r="AP273" s="77"/>
      <c r="AQ273" s="76"/>
      <c r="AR273" s="76"/>
      <c r="AS273" s="76"/>
      <c r="AT273" s="76"/>
      <c r="AU273" s="76"/>
      <c r="AV273" s="77"/>
      <c r="AW273" s="76"/>
      <c r="AX273" s="77"/>
      <c r="AY273" s="76"/>
      <c r="AZ273" s="76"/>
      <c r="BA273" s="76"/>
      <c r="BB273" s="76"/>
      <c r="BC273" s="76"/>
      <c r="BD273" s="77"/>
      <c r="BE273" s="76"/>
      <c r="BF273" s="77"/>
      <c r="BG273" s="76"/>
      <c r="BH273" s="76"/>
      <c r="BI273" s="76"/>
      <c r="BJ273" s="76"/>
      <c r="BK273" s="76"/>
      <c r="BL273" s="77"/>
      <c r="BM273" s="76"/>
      <c r="BN273" s="77"/>
      <c r="BO273" s="76"/>
      <c r="BP273" s="76"/>
      <c r="BQ273" s="76"/>
      <c r="BR273" s="76"/>
      <c r="BS273" s="76"/>
      <c r="BT273" s="77"/>
      <c r="BU273" s="76"/>
      <c r="BV273" s="77"/>
      <c r="BW273" s="76"/>
      <c r="BX273" s="76"/>
      <c r="BY273" s="76"/>
      <c r="BZ273" s="76"/>
      <c r="CA273" s="76"/>
      <c r="CB273" s="77"/>
      <c r="CC273" s="76"/>
      <c r="CD273" s="77"/>
      <c r="CE273" s="76"/>
      <c r="CF273" s="76"/>
      <c r="CG273" s="76"/>
      <c r="CH273" s="76"/>
      <c r="CI273" s="76"/>
      <c r="CJ273" s="77"/>
      <c r="CK273" s="76"/>
      <c r="CL273" s="77"/>
      <c r="CM273" s="76"/>
      <c r="CN273" s="76"/>
      <c r="CO273" s="76"/>
      <c r="CP273" s="76"/>
      <c r="CQ273" s="76"/>
      <c r="CR273" s="78" t="str">
        <f t="shared" si="79"/>
        <v/>
      </c>
      <c r="CS273" s="79" t="str">
        <f t="shared" si="80"/>
        <v/>
      </c>
      <c r="CT273" s="79" t="str">
        <f t="shared" si="81"/>
        <v/>
      </c>
      <c r="CU273" s="79" t="str">
        <f t="shared" si="82"/>
        <v/>
      </c>
      <c r="CV273" s="79" t="str">
        <f t="shared" si="83"/>
        <v/>
      </c>
      <c r="CW273" s="79" t="str">
        <f t="shared" si="84"/>
        <v/>
      </c>
      <c r="CX273" s="79" t="str">
        <f t="shared" si="85"/>
        <v/>
      </c>
      <c r="CY273" s="79" t="str">
        <f t="shared" si="86"/>
        <v/>
      </c>
      <c r="CZ273" s="79" t="str">
        <f t="shared" si="87"/>
        <v/>
      </c>
      <c r="DA273" s="79" t="str">
        <f t="shared" si="88"/>
        <v/>
      </c>
      <c r="DB273" s="79" t="str">
        <f t="shared" si="89"/>
        <v/>
      </c>
      <c r="DC273" s="79" t="str">
        <f t="shared" si="90"/>
        <v/>
      </c>
      <c r="DD273" s="79" t="str">
        <f t="shared" si="91"/>
        <v/>
      </c>
      <c r="DE273" s="79" t="str">
        <f t="shared" si="92"/>
        <v/>
      </c>
      <c r="DF273" s="79" t="str">
        <f t="shared" si="93"/>
        <v/>
      </c>
      <c r="DG273" s="79" t="str">
        <f t="shared" si="94"/>
        <v/>
      </c>
      <c r="DH273" s="76"/>
      <c r="DI273" s="78"/>
      <c r="DJ273" s="76"/>
      <c r="DK273" s="77"/>
      <c r="DL273" s="77"/>
      <c r="DM273" s="77"/>
      <c r="DN273" s="80"/>
      <c r="DO273" s="80"/>
      <c r="DP273" s="92" t="str">
        <f>IF(Table1[Start Date]="","",IF(Table1[Start Date]&gt;42185,"",IF(AND(Table1[Leaving Date]&gt;1,Table1[Leaving Date]&lt;42095),"",1)))</f>
        <v/>
      </c>
      <c r="DQ273" s="92" t="str">
        <f>IF(Table1[Start Date]="","",IF(Table1[Start Date]&gt;42277,"",IF(AND(Table1[Leaving Date]&gt;1,Table1[Leaving Date]&lt;42186),"",1)))</f>
        <v/>
      </c>
      <c r="DR273" s="92" t="str">
        <f>IF(Table1[Start Date]="","",IF(Table1[Start Date]&gt;42369,"",IF(AND(Table1[Leaving Date]&gt;1,Table1[Leaving Date]&lt;42278),"",1)))</f>
        <v/>
      </c>
      <c r="DS273" s="92" t="str">
        <f>IF(Table1[Start Date]="","",IF(Table1[Start Date]&gt;42460,"",IF(AND(Table1[Leaving Date]&gt;1,Table1[Leaving Date]&lt;42370),"",1)))</f>
        <v/>
      </c>
      <c r="DT273" s="92" t="str">
        <f>IF(Table1[Start Date]="","",IF(Table1[Start Date]&gt;42551,"",IF(AND(Table1[Leaving Date]&gt;1,Table1[Leaving Date]&lt;42461),"",1)))</f>
        <v/>
      </c>
      <c r="DU273" s="92" t="str">
        <f>IF(Table1[Start Date]="","",IF(Table1[Start Date]&gt;42643,"",IF(AND(Table1[Leaving Date]&gt;1,Table1[Leaving Date]&lt;42552),"",1)))</f>
        <v/>
      </c>
      <c r="DV273" s="92" t="str">
        <f>IF(Table1[Start Date]="","",IF(Table1[Start Date]&gt;42735,"",IF(AND(Table1[Leaving Date]&gt;1,Table1[Leaving Date]&lt;42644),"",1)))</f>
        <v/>
      </c>
      <c r="DW273" s="92" t="str">
        <f>IF(Table1[Start Date]="","",IF(Table1[Start Date]&gt;42825,"",IF(AND(Table1[Leaving Date]&gt;1,Table1[Leaving Date]&lt;42736),"",1)))</f>
        <v/>
      </c>
      <c r="DX273"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273" s="44" t="e">
        <f>VLOOKUP(Table1[Referral Source],Lists!$G$2:$H$20,2,FALSE)</f>
        <v>#N/A</v>
      </c>
      <c r="DZ273" s="93" t="e">
        <f>SUM(Table1[Data Referral Quarter]+Table1[Data Referral Source])</f>
        <v>#N/A</v>
      </c>
      <c r="EA273" s="44" t="b">
        <f>IF(Table1[Referral Decision]="Accepted",100,IF(Table1[Referral Decision]="Rejected by Provider",200,IF(Table1[Referral Decision]="Rejected by Applicant",300)))</f>
        <v>0</v>
      </c>
      <c r="EB273" s="44">
        <f>SUM(Table1[Data Referral Quarter]+Table1[Data Referral Decision])</f>
        <v>0</v>
      </c>
      <c r="EC273" s="44" t="b">
        <f>IF(Table1[Start Date]&gt;42735,8000,IF(Table1[Start Date]&gt;42643,7000,IF(Table1[Start Date]&gt;42551,6000,IF(Table1[Start Date]&gt;42460,5000,IF(Table1[Start Date]&gt;42369,4000,IF(Table1[Start Date]&gt;42277,3000,IF(Table1[Start Date]&gt;42185,2000,IF(Table1[Start Date]&gt;42094,1000))))))))</f>
        <v>0</v>
      </c>
      <c r="ED273" s="44" t="str">
        <f>IF(Table1[Start Date]="","",IF(Table1[Current Local Authority]="Swindon",1,"2"))</f>
        <v/>
      </c>
      <c r="EE273" s="44" t="e">
        <f>SUM(Table1[Data Start Date]+Table1[Data Local Authority])</f>
        <v>#VALUE!</v>
      </c>
      <c r="EF273" s="44">
        <f>IF(Table1[Registered with GP]="Yes",1,0)</f>
        <v>0</v>
      </c>
      <c r="EG273" s="44">
        <f>SUM(Table1[Data Start Date]+Table1[Data GP Start])</f>
        <v>0</v>
      </c>
      <c r="EH273" s="44" t="str">
        <f>IF(Table1[EET]="NEET",1,IF(Table1[EET]="Education",2,IF(Table1[EET]="Employment",2,IF(Table1[EET]="Training",2,IF(Table1[EET]="Retired",3,"")))))</f>
        <v/>
      </c>
      <c r="EI273" s="44" t="e">
        <f>Table1[Data Start Date]+Table1[Data EET Start]</f>
        <v>#VALUE!</v>
      </c>
      <c r="EJ273" s="44" t="b">
        <f>IF(Table1[Leaving Date]&gt;42735,8000,IF(Table1[Leaving Date]&gt;42643,7000,IF(Table1[Leaving Date]&gt;42551,6000,IF(Table1[Leaving Date]&gt;42460,5000,IF(Table1[Leaving Date]&gt;42369,4000,IF(Table1[Leaving Date]&gt;42277,3000,IF(Table1[Leaving Date]&gt;42185,2000,IF(Table1[Leaving Date]&gt;42094,1000))))))))</f>
        <v>0</v>
      </c>
      <c r="EK273" s="44" t="e">
        <f>VLOOKUP(Table1[Reason for Leaving],Lists!$T$2:$U$15,2,FALSE)</f>
        <v>#N/A</v>
      </c>
      <c r="EL273" s="44" t="e">
        <f>SUM(Table1[Data Leavers Date]+Table1[Data Move On])</f>
        <v>#N/A</v>
      </c>
      <c r="EM273" s="44" t="b">
        <f>IF(Table1[Registered with GP2]="Yes",1,IF(Table1[Registered with GP2]="No",0,IF(Table1[Registered with GP]="Yes",1,IF(Table1[Registered with GP]="No",0))))</f>
        <v>0</v>
      </c>
      <c r="EN273" s="44">
        <f>SUM(Table1[Data Leavers Date]+Table1[Data GP End])</f>
        <v>0</v>
      </c>
      <c r="EO273" s="44" t="str">
        <f>IF(Table1[EET2]="NEET",1,IF(Table1[EET2]="Employment",2,IF(Table1[EET2]="Education",2,IF(Table1[EET2]="Training",2,IF(Table1[EET2]="Retired",3,IF(Table1[EET]="NEET",1,IF(Table1[EET]="Employment",2,IF(Table1[EET]="Education",2,IF(Table1[EET]="Training",2,IF(Table1[EET]="Retired",3,""))))))))))</f>
        <v/>
      </c>
      <c r="EP273" s="44" t="e">
        <f>+Table1[[#This Row],[Data Leavers Date]]+Table1[[#This Row],[Data EET End]]</f>
        <v>#VALUE!</v>
      </c>
      <c r="EQ273" s="44">
        <f>IF(Table1[Exit Form Received]="Yes",1,0)</f>
        <v>0</v>
      </c>
      <c r="ER273" s="44">
        <f>+Table1[[#This Row],[Data Leavers Date]]+Table1[[#This Row],[Data Exit Forms]]</f>
        <v>0</v>
      </c>
      <c r="ES273" s="44" t="str">
        <f>IF(Table1[Data Leavers Date]=1000,SUM(Table1[Leaving Date]-Table1[Start Date]),"")</f>
        <v/>
      </c>
      <c r="ET273" s="44" t="str">
        <f>IF(Table1[Data Leavers Date]=2000,SUM(Table1[Leaving Date]-Table1[Start Date]),"")</f>
        <v/>
      </c>
      <c r="EU273" s="44" t="str">
        <f>IF(Table1[Data Leavers Date]=3000,SUM(Table1[Leaving Date]-Table1[Start Date]),"")</f>
        <v/>
      </c>
      <c r="EV273" s="44" t="str">
        <f>IF(Table1[Data Leavers Date]=4000,SUM(Table1[Leaving Date]-Table1[Start Date]),"")</f>
        <v/>
      </c>
      <c r="EW273" s="44" t="str">
        <f>IF(Table1[Data Leavers Date]=5000,SUM(Table1[Leaving Date]-Table1[Start Date]),"")</f>
        <v/>
      </c>
      <c r="EX273" s="44" t="str">
        <f>IF(Table1[Data Leavers Date]=6000,SUM(Table1[Leaving Date]-Table1[Start Date]),"")</f>
        <v/>
      </c>
      <c r="EY273" s="44" t="str">
        <f>IF(Table1[Data Leavers Date]=7000,SUM(Table1[Leaving Date]-Table1[Start Date]),"")</f>
        <v/>
      </c>
      <c r="EZ273" s="44" t="str">
        <f>IF(Table1[Data Leavers Date]=8000,SUM(Table1[Leaving Date]-Table1[Start Date]),"")</f>
        <v/>
      </c>
      <c r="FA273" s="44" t="str">
        <f>IF(Table1[Date of Initial Assessment]="","",IF(AND(Table1[Start Date]&gt;42094,Table1[Start Date]&lt;42461),Table1[Motivation and Taking Responsibility],""))</f>
        <v/>
      </c>
      <c r="FB273" s="44" t="str">
        <f>IF(Table1[Date of Initial Assessment]="","",IF(AND(Table1[Start Date]&gt;42094,Table1[Start Date]&lt;42461),Table1[Self-Care and Living Skills],""))</f>
        <v/>
      </c>
      <c r="FC273" s="44" t="str">
        <f>IF(Table1[Date of Initial Assessment]="","",IF(AND(Table1[Start Date]&gt;42094,Table1[Start Date]&lt;42461),Table1[Managing Money and Personal Administration],""))</f>
        <v/>
      </c>
      <c r="FD273" s="44" t="str">
        <f>IF(Table1[Date of Initial Assessment]="","",IF(AND(Table1[Start Date]&gt;42094,Table1[Start Date]&lt;42461),Table1[Social Networks and Relationships],""))</f>
        <v/>
      </c>
      <c r="FE273" s="44" t="str">
        <f>IF(Table1[Date of Initial Assessment]="","",IF(AND(Table1[Start Date]&gt;42094,Table1[Start Date]&lt;42461),Table1[Drug and Alcohol Misuse],""))</f>
        <v/>
      </c>
      <c r="FF273" s="44" t="str">
        <f>IF(Table1[Date of Initial Assessment]="","",IF(AND(Table1[Start Date]&gt;42094,Table1[Start Date]&lt;42461),Table1[Physical Health],""))</f>
        <v/>
      </c>
      <c r="FG273" s="44" t="str">
        <f>IF(Table1[Date of Initial Assessment]="","",IF(AND(Table1[Start Date]&gt;42094,Table1[Start Date]&lt;42461),Table1[Emotional and Mental Health],""))</f>
        <v/>
      </c>
      <c r="FH273" s="44" t="str">
        <f>IF(Table1[Date of Initial Assessment]="","",IF(AND(Table1[Start Date]&gt;42094,Table1[Start Date]&lt;42461),Table1[Meaningful Use of Time],""))</f>
        <v/>
      </c>
      <c r="FI273" s="44" t="str">
        <f>IF(Table1[Date of Initial Assessment]="","",IF(AND(Table1[Start Date]&gt;42094,Table1[Start Date]&lt;42461),Table1[Managing Tenancy and Accommodation],""))</f>
        <v/>
      </c>
      <c r="FJ273" s="44" t="str">
        <f>IF(Table1[Date of Initial Assessment]="","",IF(AND(Table1[Start Date]&gt;42094,Table1[Start Date]&lt;42461),Table1[Offending],""))</f>
        <v/>
      </c>
      <c r="FK273" s="44" t="str">
        <f>IF(Table1[Leaving Date]="","",IF(Table1[Date of Initial Assessment]="","",IF(AND(Table1[Leaving Date]&gt;42094,Table1[Leaving Date]&lt;42461),IF(Table1[Date of Last Assessment]="",Table1[Motivation and Taking Responsibility],Table1[Motivation and Taking Responsibility2]),"")))</f>
        <v/>
      </c>
      <c r="FL273" s="44" t="str">
        <f>IF(Table1[Leaving Date]="","",IF(Table1[Date of Initial Assessment]="","",IF(AND(Table1[Leaving Date]&gt;42094,Table1[Leaving Date]&lt;42461),IF(Table1[Date of Last Assessment]="",Table1[Self-Care and Living Skills],Table1[Self-Care and Living Skills2]),"")))</f>
        <v/>
      </c>
      <c r="FM273" s="44" t="str">
        <f>IF(Table1[Leaving Date]="","",IF(Table1[Date of Initial Assessment]="","",IF(AND(Table1[Leaving Date]&gt;42094,Table1[Leaving Date]&lt;42461),IF(Table1[Date of Last Assessment]="",Table1[Managing Money and Personal Administration],Table1[Managing Money and Personal Administration2]),"")))</f>
        <v/>
      </c>
      <c r="FN273" s="44" t="str">
        <f>IF(Table1[Leaving Date]="","",IF(Table1[Date of Initial Assessment]="","",IF(AND(Table1[Leaving Date]&gt;42094,Table1[Leaving Date]&lt;42461),IF(Table1[Date of Last Assessment]="",Table1[Social Networks and Relationships],Table1[Social Networks and Relationships2]),"")))</f>
        <v/>
      </c>
      <c r="FO273" s="44" t="str">
        <f>IF(Table1[Leaving Date]="","",IF(Table1[Date of Initial Assessment]="","",IF(AND(Table1[Leaving Date]&gt;42094,Table1[Leaving Date]&lt;42461),IF(Table1[Date of Last Assessment]="",Table1[Drug and Alcohol Misuse],Table1[Drug and Alcohol Misuse2]),"")))</f>
        <v/>
      </c>
      <c r="FP273" s="44" t="str">
        <f>IF(Table1[Leaving Date]="","",IF(Table1[Date of Initial Assessment]="","",IF(AND(Table1[Leaving Date]&gt;42094,Table1[Leaving Date]&lt;42461),IF(Table1[Date of Last Assessment]="",Table1[Physical Health],Table1[Physical Health2]),"")))</f>
        <v/>
      </c>
      <c r="FQ273" s="44" t="str">
        <f>IF(Table1[Leaving Date]="","",IF(Table1[Date of Initial Assessment]="","",IF(AND(Table1[Leaving Date]&gt;42094,Table1[Leaving Date]&lt;42461),IF(Table1[Date of Last Assessment]="",Table1[Emotional and Mental Health],Table1[Emotional and Mental Health2]),"")))</f>
        <v/>
      </c>
      <c r="FR273" s="44" t="str">
        <f>IF(Table1[Leaving Date]="","",IF(Table1[Date of Initial Assessment]="","",IF(AND(Table1[Leaving Date]&gt;42094,Table1[Leaving Date]&lt;42461),IF(Table1[Date of Last Assessment]="",Table1[Meaningful Use of Time],Table1[Meaningful Use of Time2]),"")))</f>
        <v/>
      </c>
      <c r="FS273" s="44" t="str">
        <f>IF(Table1[Leaving Date]="","",IF(Table1[Date of Initial Assessment]="","",IF(AND(Table1[Leaving Date]&gt;42094,Table1[Leaving Date]&lt;42461),IF(Table1[Date of Last Assessment]="",Table1[Managing Tenancy and Accommodation],Table1[Managing Tenancy and Accommodation2]),"")))</f>
        <v/>
      </c>
      <c r="FT273" s="44" t="str">
        <f>IF(Table1[Leaving Date]="","",IF(Table1[Date of Initial Assessment]="","",IF(AND(Table1[Leaving Date]&gt;42094,Table1[Leaving Date]&lt;42461),IF(Table1[Date of Last Assessment]="",Table1[Offending],Table1[Offending2]),"")))</f>
        <v/>
      </c>
      <c r="FU273" s="44" t="str">
        <f>IF(Table1[Date of Initial Assessment]="","",IF(AND(Table1[Start Date]&gt;42460,Table1[Start Date]&lt;42826),Table1[Motivation and Taking Responsibility],""))</f>
        <v/>
      </c>
      <c r="FV273" s="44" t="str">
        <f>IF(Table1[Date of Initial Assessment]="","",IF(AND(Table1[Start Date]&gt;42460,Table1[Start Date]&lt;42826),Table1[Self-Care and Living Skills],""))</f>
        <v/>
      </c>
      <c r="FW273" s="44" t="str">
        <f>IF(Table1[Date of Initial Assessment]="","",IF(AND(Table1[Start Date]&gt;42460,Table1[Start Date]&lt;42826),Table1[Managing Money and Personal Administration],""))</f>
        <v/>
      </c>
      <c r="FX273" s="44" t="str">
        <f>IF(Table1[Date of Initial Assessment]="","",IF(AND(Table1[Start Date]&gt;42460,Table1[Start Date]&lt;42826),Table1[Social Networks and Relationships],""))</f>
        <v/>
      </c>
      <c r="FY273" s="44" t="str">
        <f>IF(Table1[Date of Initial Assessment]="","",IF(AND(Table1[Start Date]&gt;42460,Table1[Start Date]&lt;42826),Table1[Drug and Alcohol Misuse],""))</f>
        <v/>
      </c>
      <c r="FZ273" s="44" t="str">
        <f>IF(Table1[Date of Initial Assessment]="","",IF(AND(Table1[Start Date]&gt;42460,Table1[Start Date]&lt;42826),Table1[Physical Health],""))</f>
        <v/>
      </c>
      <c r="GA273" s="44" t="str">
        <f>IF(Table1[Date of Initial Assessment]="","",IF(AND(Table1[Start Date]&gt;42460,Table1[Start Date]&lt;42826),Table1[Emotional and Mental Health],""))</f>
        <v/>
      </c>
      <c r="GB273" s="44" t="str">
        <f>IF(Table1[Date of Initial Assessment]="","",IF(AND(Table1[Start Date]&gt;42460,Table1[Start Date]&lt;42826),Table1[Meaningful Use of Time],""))</f>
        <v/>
      </c>
      <c r="GC273" s="44" t="str">
        <f>IF(Table1[Date of Initial Assessment]="","",IF(AND(Table1[Start Date]&gt;42460,Table1[Start Date]&lt;42826),Table1[Managing Tenancy and Accommodation],""))</f>
        <v/>
      </c>
      <c r="GD273" s="44" t="str">
        <f>IF(Table1[Date of Initial Assessment]="","",IF(AND(Table1[Start Date]&gt;42460,Table1[Start Date]&lt;42826),Table1[Offending],""))</f>
        <v/>
      </c>
      <c r="GE273" s="44" t="str">
        <f>IF(Table1[Leaving Date]="","",IF(AND(Table1[Leaving Date]&gt;42460,Table1[Leaving Date]&lt;42826),IF(Table1[Date of Last Assessment]="",Table1[Motivation and Taking Responsibility],Table1[Motivation and Taking Responsibility2]),""))</f>
        <v/>
      </c>
      <c r="GF273" s="44" t="str">
        <f>IF(Table1[Leaving Date]="","",IF(AND(Table1[Leaving Date]&gt;42460,Table1[Leaving Date]&lt;42826),IF(Table1[Date of Last Assessment]="",Table1[Self-Care and Living Skills],Table1[Self-Care and Living Skills2]),""))</f>
        <v/>
      </c>
      <c r="GG273" s="44" t="str">
        <f>IF(Table1[Leaving Date]="","",IF(AND(Table1[Leaving Date]&gt;42460,Table1[Leaving Date]&lt;42826),IF(Table1[Date of Last Assessment]="",Table1[Managing Money and Personal Administration],Table1[Managing Money and Personal Administration2]),""))</f>
        <v/>
      </c>
      <c r="GH273" s="44" t="str">
        <f>IF(Table1[Leaving Date]="","",IF(AND(Table1[Leaving Date]&gt;42460,Table1[Leaving Date]&lt;42826),IF(Table1[Date of Last Assessment]="",Table1[Social Networks and Relationships],Table1[Social Networks and Relationships2]),""))</f>
        <v/>
      </c>
      <c r="GI273" s="44" t="str">
        <f>IF(Table1[Leaving Date]="","",IF(AND(Table1[Leaving Date]&gt;42460,Table1[Leaving Date]&lt;42826),IF(Table1[Date of Last Assessment]="",Table1[Drug and Alcohol Misuse],Table1[Drug and Alcohol Misuse2]),""))</f>
        <v/>
      </c>
      <c r="GJ273" s="44" t="str">
        <f>IF(Table1[Leaving Date]="","",IF(AND(Table1[Leaving Date]&gt;42460,Table1[Leaving Date]&lt;42826),IF(Table1[Date of Last Assessment]="",Table1[Physical Health],Table1[Physical Health2]),""))</f>
        <v/>
      </c>
      <c r="GK273" s="44" t="str">
        <f>IF(Table1[Leaving Date]="","",IF(AND(Table1[Leaving Date]&gt;42460,Table1[Leaving Date]&lt;42826),IF(Table1[Date of Last Assessment]="",Table1[Emotional and Mental Health],Table1[Emotional and Mental Health2]),""))</f>
        <v/>
      </c>
      <c r="GL273" s="44" t="str">
        <f>IF(Table1[Leaving Date]="","",IF(AND(Table1[Leaving Date]&gt;42460,Table1[Leaving Date]&lt;42826),IF(Table1[Date of Last Assessment]="",Table1[Meaningful Use of Time],Table1[Meaningful Use of Time2]),""))</f>
        <v/>
      </c>
      <c r="GM273" s="44" t="str">
        <f>IF(Table1[Leaving Date]="","",IF(AND(Table1[Leaving Date]&gt;42460,Table1[Leaving Date]&lt;42826),IF(Table1[Date of Last Assessment]="",Table1[Managing Tenancy and Accommodation],Table1[Managing Tenancy and Accommodation2]),""))</f>
        <v/>
      </c>
      <c r="GN273" s="44" t="str">
        <f>IF(Table1[Leaving Date]="","",IF(AND(Table1[Leaving Date]&gt;42460,Table1[Leaving Date]&lt;42826),IF(Table1[Date of Last Assessment]="",Table1[Offending],Table1[Offending2]),""))</f>
        <v/>
      </c>
    </row>
    <row r="274" spans="2:196" ht="20.100000000000001" customHeight="1" x14ac:dyDescent="0.2">
      <c r="B274" s="86">
        <f>+'Service Data'!$C$5:$C$5</f>
        <v>0</v>
      </c>
      <c r="C274" s="86"/>
      <c r="D274" s="86"/>
      <c r="E274" s="86"/>
      <c r="F274" s="86"/>
      <c r="G274" s="86"/>
      <c r="H274" s="6"/>
      <c r="I274" s="99" t="str">
        <f ca="1">IF(Table1[[#This Row],[Date of Birth]]="","",SUM(TODAY()-Table1[[#This Row],[Date of Birth]])/365)</f>
        <v/>
      </c>
      <c r="L274" s="86"/>
      <c r="M274" s="77"/>
      <c r="N274" s="86"/>
      <c r="O274" s="86"/>
      <c r="P274" s="91"/>
      <c r="Q274" s="86"/>
      <c r="R274" s="77"/>
      <c r="S274" s="77"/>
      <c r="T274" s="68"/>
      <c r="U274" s="68"/>
      <c r="V274" s="67"/>
      <c r="W274" s="67"/>
      <c r="X274" s="67"/>
      <c r="Y274" s="67"/>
      <c r="Z274" s="67"/>
      <c r="AA274" s="67"/>
      <c r="AB274" s="67"/>
      <c r="AC274" s="67"/>
      <c r="AD274" s="67"/>
      <c r="AE274" s="67"/>
      <c r="AF274" s="67"/>
      <c r="AG274" s="67"/>
      <c r="AH274" s="67"/>
      <c r="AI274" s="67"/>
      <c r="AJ274" s="67"/>
      <c r="AK274" s="67"/>
      <c r="AL274" s="67"/>
      <c r="AM274" s="67"/>
      <c r="AN274" s="77"/>
      <c r="AO274" s="76"/>
      <c r="AP274" s="77"/>
      <c r="AQ274" s="76"/>
      <c r="AR274" s="76"/>
      <c r="AS274" s="76"/>
      <c r="AT274" s="76"/>
      <c r="AU274" s="76"/>
      <c r="AV274" s="77"/>
      <c r="AW274" s="76"/>
      <c r="AX274" s="77"/>
      <c r="AY274" s="76"/>
      <c r="AZ274" s="76"/>
      <c r="BA274" s="76"/>
      <c r="BB274" s="76"/>
      <c r="BC274" s="76"/>
      <c r="BD274" s="77"/>
      <c r="BE274" s="76"/>
      <c r="BF274" s="77"/>
      <c r="BG274" s="76"/>
      <c r="BH274" s="76"/>
      <c r="BI274" s="76"/>
      <c r="BJ274" s="76"/>
      <c r="BK274" s="76"/>
      <c r="BL274" s="77"/>
      <c r="BM274" s="76"/>
      <c r="BN274" s="77"/>
      <c r="BO274" s="76"/>
      <c r="BP274" s="76"/>
      <c r="BQ274" s="76"/>
      <c r="BR274" s="76"/>
      <c r="BS274" s="76"/>
      <c r="BT274" s="77"/>
      <c r="BU274" s="76"/>
      <c r="BV274" s="77"/>
      <c r="BW274" s="76"/>
      <c r="BX274" s="76"/>
      <c r="BY274" s="76"/>
      <c r="BZ274" s="76"/>
      <c r="CA274" s="76"/>
      <c r="CB274" s="77"/>
      <c r="CC274" s="76"/>
      <c r="CD274" s="77"/>
      <c r="CE274" s="76"/>
      <c r="CF274" s="76"/>
      <c r="CG274" s="76"/>
      <c r="CH274" s="76"/>
      <c r="CI274" s="76"/>
      <c r="CJ274" s="77"/>
      <c r="CK274" s="76"/>
      <c r="CL274" s="77"/>
      <c r="CM274" s="76"/>
      <c r="CN274" s="76"/>
      <c r="CO274" s="76"/>
      <c r="CP274" s="76"/>
      <c r="CQ274" s="76"/>
      <c r="CR274" s="78" t="str">
        <f t="shared" si="79"/>
        <v/>
      </c>
      <c r="CS274" s="79" t="str">
        <f t="shared" si="80"/>
        <v/>
      </c>
      <c r="CT274" s="79" t="str">
        <f t="shared" si="81"/>
        <v/>
      </c>
      <c r="CU274" s="79" t="str">
        <f t="shared" si="82"/>
        <v/>
      </c>
      <c r="CV274" s="79" t="str">
        <f t="shared" si="83"/>
        <v/>
      </c>
      <c r="CW274" s="79" t="str">
        <f t="shared" si="84"/>
        <v/>
      </c>
      <c r="CX274" s="79" t="str">
        <f t="shared" si="85"/>
        <v/>
      </c>
      <c r="CY274" s="79" t="str">
        <f t="shared" si="86"/>
        <v/>
      </c>
      <c r="CZ274" s="79" t="str">
        <f t="shared" si="87"/>
        <v/>
      </c>
      <c r="DA274" s="79" t="str">
        <f t="shared" si="88"/>
        <v/>
      </c>
      <c r="DB274" s="79" t="str">
        <f t="shared" si="89"/>
        <v/>
      </c>
      <c r="DC274" s="79" t="str">
        <f t="shared" si="90"/>
        <v/>
      </c>
      <c r="DD274" s="79" t="str">
        <f t="shared" si="91"/>
        <v/>
      </c>
      <c r="DE274" s="79" t="str">
        <f t="shared" si="92"/>
        <v/>
      </c>
      <c r="DF274" s="79" t="str">
        <f t="shared" si="93"/>
        <v/>
      </c>
      <c r="DG274" s="79" t="str">
        <f t="shared" si="94"/>
        <v/>
      </c>
      <c r="DH274" s="76"/>
      <c r="DI274" s="78"/>
      <c r="DJ274" s="76"/>
      <c r="DK274" s="77"/>
      <c r="DL274" s="77"/>
      <c r="DM274" s="77"/>
      <c r="DN274" s="80"/>
      <c r="DO274" s="80"/>
      <c r="DP274" s="92" t="str">
        <f>IF(Table1[Start Date]="","",IF(Table1[Start Date]&gt;42185,"",IF(AND(Table1[Leaving Date]&gt;1,Table1[Leaving Date]&lt;42095),"",1)))</f>
        <v/>
      </c>
      <c r="DQ274" s="92" t="str">
        <f>IF(Table1[Start Date]="","",IF(Table1[Start Date]&gt;42277,"",IF(AND(Table1[Leaving Date]&gt;1,Table1[Leaving Date]&lt;42186),"",1)))</f>
        <v/>
      </c>
      <c r="DR274" s="92" t="str">
        <f>IF(Table1[Start Date]="","",IF(Table1[Start Date]&gt;42369,"",IF(AND(Table1[Leaving Date]&gt;1,Table1[Leaving Date]&lt;42278),"",1)))</f>
        <v/>
      </c>
      <c r="DS274" s="92" t="str">
        <f>IF(Table1[Start Date]="","",IF(Table1[Start Date]&gt;42460,"",IF(AND(Table1[Leaving Date]&gt;1,Table1[Leaving Date]&lt;42370),"",1)))</f>
        <v/>
      </c>
      <c r="DT274" s="92" t="str">
        <f>IF(Table1[Start Date]="","",IF(Table1[Start Date]&gt;42551,"",IF(AND(Table1[Leaving Date]&gt;1,Table1[Leaving Date]&lt;42461),"",1)))</f>
        <v/>
      </c>
      <c r="DU274" s="92" t="str">
        <f>IF(Table1[Start Date]="","",IF(Table1[Start Date]&gt;42643,"",IF(AND(Table1[Leaving Date]&gt;1,Table1[Leaving Date]&lt;42552),"",1)))</f>
        <v/>
      </c>
      <c r="DV274" s="92" t="str">
        <f>IF(Table1[Start Date]="","",IF(Table1[Start Date]&gt;42735,"",IF(AND(Table1[Leaving Date]&gt;1,Table1[Leaving Date]&lt;42644),"",1)))</f>
        <v/>
      </c>
      <c r="DW274" s="92" t="str">
        <f>IF(Table1[Start Date]="","",IF(Table1[Start Date]&gt;42825,"",IF(AND(Table1[Leaving Date]&gt;1,Table1[Leaving Date]&lt;42736),"",1)))</f>
        <v/>
      </c>
      <c r="DX274"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274" s="44" t="e">
        <f>VLOOKUP(Table1[Referral Source],Lists!$G$2:$H$20,2,FALSE)</f>
        <v>#N/A</v>
      </c>
      <c r="DZ274" s="93" t="e">
        <f>SUM(Table1[Data Referral Quarter]+Table1[Data Referral Source])</f>
        <v>#N/A</v>
      </c>
      <c r="EA274" s="44" t="b">
        <f>IF(Table1[Referral Decision]="Accepted",100,IF(Table1[Referral Decision]="Rejected by Provider",200,IF(Table1[Referral Decision]="Rejected by Applicant",300)))</f>
        <v>0</v>
      </c>
      <c r="EB274" s="44">
        <f>SUM(Table1[Data Referral Quarter]+Table1[Data Referral Decision])</f>
        <v>0</v>
      </c>
      <c r="EC274" s="44" t="b">
        <f>IF(Table1[Start Date]&gt;42735,8000,IF(Table1[Start Date]&gt;42643,7000,IF(Table1[Start Date]&gt;42551,6000,IF(Table1[Start Date]&gt;42460,5000,IF(Table1[Start Date]&gt;42369,4000,IF(Table1[Start Date]&gt;42277,3000,IF(Table1[Start Date]&gt;42185,2000,IF(Table1[Start Date]&gt;42094,1000))))))))</f>
        <v>0</v>
      </c>
      <c r="ED274" s="44" t="str">
        <f>IF(Table1[Start Date]="","",IF(Table1[Current Local Authority]="Swindon",1,"2"))</f>
        <v/>
      </c>
      <c r="EE274" s="44" t="e">
        <f>SUM(Table1[Data Start Date]+Table1[Data Local Authority])</f>
        <v>#VALUE!</v>
      </c>
      <c r="EF274" s="44">
        <f>IF(Table1[Registered with GP]="Yes",1,0)</f>
        <v>0</v>
      </c>
      <c r="EG274" s="44">
        <f>SUM(Table1[Data Start Date]+Table1[Data GP Start])</f>
        <v>0</v>
      </c>
      <c r="EH274" s="44" t="str">
        <f>IF(Table1[EET]="NEET",1,IF(Table1[EET]="Education",2,IF(Table1[EET]="Employment",2,IF(Table1[EET]="Training",2,IF(Table1[EET]="Retired",3,"")))))</f>
        <v/>
      </c>
      <c r="EI274" s="44" t="e">
        <f>Table1[Data Start Date]+Table1[Data EET Start]</f>
        <v>#VALUE!</v>
      </c>
      <c r="EJ274" s="44" t="b">
        <f>IF(Table1[Leaving Date]&gt;42735,8000,IF(Table1[Leaving Date]&gt;42643,7000,IF(Table1[Leaving Date]&gt;42551,6000,IF(Table1[Leaving Date]&gt;42460,5000,IF(Table1[Leaving Date]&gt;42369,4000,IF(Table1[Leaving Date]&gt;42277,3000,IF(Table1[Leaving Date]&gt;42185,2000,IF(Table1[Leaving Date]&gt;42094,1000))))))))</f>
        <v>0</v>
      </c>
      <c r="EK274" s="44" t="e">
        <f>VLOOKUP(Table1[Reason for Leaving],Lists!$T$2:$U$15,2,FALSE)</f>
        <v>#N/A</v>
      </c>
      <c r="EL274" s="44" t="e">
        <f>SUM(Table1[Data Leavers Date]+Table1[Data Move On])</f>
        <v>#N/A</v>
      </c>
      <c r="EM274" s="44" t="b">
        <f>IF(Table1[Registered with GP2]="Yes",1,IF(Table1[Registered with GP2]="No",0,IF(Table1[Registered with GP]="Yes",1,IF(Table1[Registered with GP]="No",0))))</f>
        <v>0</v>
      </c>
      <c r="EN274" s="44">
        <f>SUM(Table1[Data Leavers Date]+Table1[Data GP End])</f>
        <v>0</v>
      </c>
      <c r="EO274" s="44" t="str">
        <f>IF(Table1[EET2]="NEET",1,IF(Table1[EET2]="Employment",2,IF(Table1[EET2]="Education",2,IF(Table1[EET2]="Training",2,IF(Table1[EET2]="Retired",3,IF(Table1[EET]="NEET",1,IF(Table1[EET]="Employment",2,IF(Table1[EET]="Education",2,IF(Table1[EET]="Training",2,IF(Table1[EET]="Retired",3,""))))))))))</f>
        <v/>
      </c>
      <c r="EP274" s="44" t="e">
        <f>+Table1[[#This Row],[Data Leavers Date]]+Table1[[#This Row],[Data EET End]]</f>
        <v>#VALUE!</v>
      </c>
      <c r="EQ274" s="44">
        <f>IF(Table1[Exit Form Received]="Yes",1,0)</f>
        <v>0</v>
      </c>
      <c r="ER274" s="44">
        <f>+Table1[[#This Row],[Data Leavers Date]]+Table1[[#This Row],[Data Exit Forms]]</f>
        <v>0</v>
      </c>
      <c r="ES274" s="44" t="str">
        <f>IF(Table1[Data Leavers Date]=1000,SUM(Table1[Leaving Date]-Table1[Start Date]),"")</f>
        <v/>
      </c>
      <c r="ET274" s="44" t="str">
        <f>IF(Table1[Data Leavers Date]=2000,SUM(Table1[Leaving Date]-Table1[Start Date]),"")</f>
        <v/>
      </c>
      <c r="EU274" s="44" t="str">
        <f>IF(Table1[Data Leavers Date]=3000,SUM(Table1[Leaving Date]-Table1[Start Date]),"")</f>
        <v/>
      </c>
      <c r="EV274" s="44" t="str">
        <f>IF(Table1[Data Leavers Date]=4000,SUM(Table1[Leaving Date]-Table1[Start Date]),"")</f>
        <v/>
      </c>
      <c r="EW274" s="44" t="str">
        <f>IF(Table1[Data Leavers Date]=5000,SUM(Table1[Leaving Date]-Table1[Start Date]),"")</f>
        <v/>
      </c>
      <c r="EX274" s="44" t="str">
        <f>IF(Table1[Data Leavers Date]=6000,SUM(Table1[Leaving Date]-Table1[Start Date]),"")</f>
        <v/>
      </c>
      <c r="EY274" s="44" t="str">
        <f>IF(Table1[Data Leavers Date]=7000,SUM(Table1[Leaving Date]-Table1[Start Date]),"")</f>
        <v/>
      </c>
      <c r="EZ274" s="44" t="str">
        <f>IF(Table1[Data Leavers Date]=8000,SUM(Table1[Leaving Date]-Table1[Start Date]),"")</f>
        <v/>
      </c>
      <c r="FA274" s="44" t="str">
        <f>IF(Table1[Date of Initial Assessment]="","",IF(AND(Table1[Start Date]&gt;42094,Table1[Start Date]&lt;42461),Table1[Motivation and Taking Responsibility],""))</f>
        <v/>
      </c>
      <c r="FB274" s="44" t="str">
        <f>IF(Table1[Date of Initial Assessment]="","",IF(AND(Table1[Start Date]&gt;42094,Table1[Start Date]&lt;42461),Table1[Self-Care and Living Skills],""))</f>
        <v/>
      </c>
      <c r="FC274" s="44" t="str">
        <f>IF(Table1[Date of Initial Assessment]="","",IF(AND(Table1[Start Date]&gt;42094,Table1[Start Date]&lt;42461),Table1[Managing Money and Personal Administration],""))</f>
        <v/>
      </c>
      <c r="FD274" s="44" t="str">
        <f>IF(Table1[Date of Initial Assessment]="","",IF(AND(Table1[Start Date]&gt;42094,Table1[Start Date]&lt;42461),Table1[Social Networks and Relationships],""))</f>
        <v/>
      </c>
      <c r="FE274" s="44" t="str">
        <f>IF(Table1[Date of Initial Assessment]="","",IF(AND(Table1[Start Date]&gt;42094,Table1[Start Date]&lt;42461),Table1[Drug and Alcohol Misuse],""))</f>
        <v/>
      </c>
      <c r="FF274" s="44" t="str">
        <f>IF(Table1[Date of Initial Assessment]="","",IF(AND(Table1[Start Date]&gt;42094,Table1[Start Date]&lt;42461),Table1[Physical Health],""))</f>
        <v/>
      </c>
      <c r="FG274" s="44" t="str">
        <f>IF(Table1[Date of Initial Assessment]="","",IF(AND(Table1[Start Date]&gt;42094,Table1[Start Date]&lt;42461),Table1[Emotional and Mental Health],""))</f>
        <v/>
      </c>
      <c r="FH274" s="44" t="str">
        <f>IF(Table1[Date of Initial Assessment]="","",IF(AND(Table1[Start Date]&gt;42094,Table1[Start Date]&lt;42461),Table1[Meaningful Use of Time],""))</f>
        <v/>
      </c>
      <c r="FI274" s="44" t="str">
        <f>IF(Table1[Date of Initial Assessment]="","",IF(AND(Table1[Start Date]&gt;42094,Table1[Start Date]&lt;42461),Table1[Managing Tenancy and Accommodation],""))</f>
        <v/>
      </c>
      <c r="FJ274" s="44" t="str">
        <f>IF(Table1[Date of Initial Assessment]="","",IF(AND(Table1[Start Date]&gt;42094,Table1[Start Date]&lt;42461),Table1[Offending],""))</f>
        <v/>
      </c>
      <c r="FK274" s="44" t="str">
        <f>IF(Table1[Leaving Date]="","",IF(Table1[Date of Initial Assessment]="","",IF(AND(Table1[Leaving Date]&gt;42094,Table1[Leaving Date]&lt;42461),IF(Table1[Date of Last Assessment]="",Table1[Motivation and Taking Responsibility],Table1[Motivation and Taking Responsibility2]),"")))</f>
        <v/>
      </c>
      <c r="FL274" s="44" t="str">
        <f>IF(Table1[Leaving Date]="","",IF(Table1[Date of Initial Assessment]="","",IF(AND(Table1[Leaving Date]&gt;42094,Table1[Leaving Date]&lt;42461),IF(Table1[Date of Last Assessment]="",Table1[Self-Care and Living Skills],Table1[Self-Care and Living Skills2]),"")))</f>
        <v/>
      </c>
      <c r="FM274" s="44" t="str">
        <f>IF(Table1[Leaving Date]="","",IF(Table1[Date of Initial Assessment]="","",IF(AND(Table1[Leaving Date]&gt;42094,Table1[Leaving Date]&lt;42461),IF(Table1[Date of Last Assessment]="",Table1[Managing Money and Personal Administration],Table1[Managing Money and Personal Administration2]),"")))</f>
        <v/>
      </c>
      <c r="FN274" s="44" t="str">
        <f>IF(Table1[Leaving Date]="","",IF(Table1[Date of Initial Assessment]="","",IF(AND(Table1[Leaving Date]&gt;42094,Table1[Leaving Date]&lt;42461),IF(Table1[Date of Last Assessment]="",Table1[Social Networks and Relationships],Table1[Social Networks and Relationships2]),"")))</f>
        <v/>
      </c>
      <c r="FO274" s="44" t="str">
        <f>IF(Table1[Leaving Date]="","",IF(Table1[Date of Initial Assessment]="","",IF(AND(Table1[Leaving Date]&gt;42094,Table1[Leaving Date]&lt;42461),IF(Table1[Date of Last Assessment]="",Table1[Drug and Alcohol Misuse],Table1[Drug and Alcohol Misuse2]),"")))</f>
        <v/>
      </c>
      <c r="FP274" s="44" t="str">
        <f>IF(Table1[Leaving Date]="","",IF(Table1[Date of Initial Assessment]="","",IF(AND(Table1[Leaving Date]&gt;42094,Table1[Leaving Date]&lt;42461),IF(Table1[Date of Last Assessment]="",Table1[Physical Health],Table1[Physical Health2]),"")))</f>
        <v/>
      </c>
      <c r="FQ274" s="44" t="str">
        <f>IF(Table1[Leaving Date]="","",IF(Table1[Date of Initial Assessment]="","",IF(AND(Table1[Leaving Date]&gt;42094,Table1[Leaving Date]&lt;42461),IF(Table1[Date of Last Assessment]="",Table1[Emotional and Mental Health],Table1[Emotional and Mental Health2]),"")))</f>
        <v/>
      </c>
      <c r="FR274" s="44" t="str">
        <f>IF(Table1[Leaving Date]="","",IF(Table1[Date of Initial Assessment]="","",IF(AND(Table1[Leaving Date]&gt;42094,Table1[Leaving Date]&lt;42461),IF(Table1[Date of Last Assessment]="",Table1[Meaningful Use of Time],Table1[Meaningful Use of Time2]),"")))</f>
        <v/>
      </c>
      <c r="FS274" s="44" t="str">
        <f>IF(Table1[Leaving Date]="","",IF(Table1[Date of Initial Assessment]="","",IF(AND(Table1[Leaving Date]&gt;42094,Table1[Leaving Date]&lt;42461),IF(Table1[Date of Last Assessment]="",Table1[Managing Tenancy and Accommodation],Table1[Managing Tenancy and Accommodation2]),"")))</f>
        <v/>
      </c>
      <c r="FT274" s="44" t="str">
        <f>IF(Table1[Leaving Date]="","",IF(Table1[Date of Initial Assessment]="","",IF(AND(Table1[Leaving Date]&gt;42094,Table1[Leaving Date]&lt;42461),IF(Table1[Date of Last Assessment]="",Table1[Offending],Table1[Offending2]),"")))</f>
        <v/>
      </c>
      <c r="FU274" s="44" t="str">
        <f>IF(Table1[Date of Initial Assessment]="","",IF(AND(Table1[Start Date]&gt;42460,Table1[Start Date]&lt;42826),Table1[Motivation and Taking Responsibility],""))</f>
        <v/>
      </c>
      <c r="FV274" s="44" t="str">
        <f>IF(Table1[Date of Initial Assessment]="","",IF(AND(Table1[Start Date]&gt;42460,Table1[Start Date]&lt;42826),Table1[Self-Care and Living Skills],""))</f>
        <v/>
      </c>
      <c r="FW274" s="44" t="str">
        <f>IF(Table1[Date of Initial Assessment]="","",IF(AND(Table1[Start Date]&gt;42460,Table1[Start Date]&lt;42826),Table1[Managing Money and Personal Administration],""))</f>
        <v/>
      </c>
      <c r="FX274" s="44" t="str">
        <f>IF(Table1[Date of Initial Assessment]="","",IF(AND(Table1[Start Date]&gt;42460,Table1[Start Date]&lt;42826),Table1[Social Networks and Relationships],""))</f>
        <v/>
      </c>
      <c r="FY274" s="44" t="str">
        <f>IF(Table1[Date of Initial Assessment]="","",IF(AND(Table1[Start Date]&gt;42460,Table1[Start Date]&lt;42826),Table1[Drug and Alcohol Misuse],""))</f>
        <v/>
      </c>
      <c r="FZ274" s="44" t="str">
        <f>IF(Table1[Date of Initial Assessment]="","",IF(AND(Table1[Start Date]&gt;42460,Table1[Start Date]&lt;42826),Table1[Physical Health],""))</f>
        <v/>
      </c>
      <c r="GA274" s="44" t="str">
        <f>IF(Table1[Date of Initial Assessment]="","",IF(AND(Table1[Start Date]&gt;42460,Table1[Start Date]&lt;42826),Table1[Emotional and Mental Health],""))</f>
        <v/>
      </c>
      <c r="GB274" s="44" t="str">
        <f>IF(Table1[Date of Initial Assessment]="","",IF(AND(Table1[Start Date]&gt;42460,Table1[Start Date]&lt;42826),Table1[Meaningful Use of Time],""))</f>
        <v/>
      </c>
      <c r="GC274" s="44" t="str">
        <f>IF(Table1[Date of Initial Assessment]="","",IF(AND(Table1[Start Date]&gt;42460,Table1[Start Date]&lt;42826),Table1[Managing Tenancy and Accommodation],""))</f>
        <v/>
      </c>
      <c r="GD274" s="44" t="str">
        <f>IF(Table1[Date of Initial Assessment]="","",IF(AND(Table1[Start Date]&gt;42460,Table1[Start Date]&lt;42826),Table1[Offending],""))</f>
        <v/>
      </c>
      <c r="GE274" s="44" t="str">
        <f>IF(Table1[Leaving Date]="","",IF(AND(Table1[Leaving Date]&gt;42460,Table1[Leaving Date]&lt;42826),IF(Table1[Date of Last Assessment]="",Table1[Motivation and Taking Responsibility],Table1[Motivation and Taking Responsibility2]),""))</f>
        <v/>
      </c>
      <c r="GF274" s="44" t="str">
        <f>IF(Table1[Leaving Date]="","",IF(AND(Table1[Leaving Date]&gt;42460,Table1[Leaving Date]&lt;42826),IF(Table1[Date of Last Assessment]="",Table1[Self-Care and Living Skills],Table1[Self-Care and Living Skills2]),""))</f>
        <v/>
      </c>
      <c r="GG274" s="44" t="str">
        <f>IF(Table1[Leaving Date]="","",IF(AND(Table1[Leaving Date]&gt;42460,Table1[Leaving Date]&lt;42826),IF(Table1[Date of Last Assessment]="",Table1[Managing Money and Personal Administration],Table1[Managing Money and Personal Administration2]),""))</f>
        <v/>
      </c>
      <c r="GH274" s="44" t="str">
        <f>IF(Table1[Leaving Date]="","",IF(AND(Table1[Leaving Date]&gt;42460,Table1[Leaving Date]&lt;42826),IF(Table1[Date of Last Assessment]="",Table1[Social Networks and Relationships],Table1[Social Networks and Relationships2]),""))</f>
        <v/>
      </c>
      <c r="GI274" s="44" t="str">
        <f>IF(Table1[Leaving Date]="","",IF(AND(Table1[Leaving Date]&gt;42460,Table1[Leaving Date]&lt;42826),IF(Table1[Date of Last Assessment]="",Table1[Drug and Alcohol Misuse],Table1[Drug and Alcohol Misuse2]),""))</f>
        <v/>
      </c>
      <c r="GJ274" s="44" t="str">
        <f>IF(Table1[Leaving Date]="","",IF(AND(Table1[Leaving Date]&gt;42460,Table1[Leaving Date]&lt;42826),IF(Table1[Date of Last Assessment]="",Table1[Physical Health],Table1[Physical Health2]),""))</f>
        <v/>
      </c>
      <c r="GK274" s="44" t="str">
        <f>IF(Table1[Leaving Date]="","",IF(AND(Table1[Leaving Date]&gt;42460,Table1[Leaving Date]&lt;42826),IF(Table1[Date of Last Assessment]="",Table1[Emotional and Mental Health],Table1[Emotional and Mental Health2]),""))</f>
        <v/>
      </c>
      <c r="GL274" s="44" t="str">
        <f>IF(Table1[Leaving Date]="","",IF(AND(Table1[Leaving Date]&gt;42460,Table1[Leaving Date]&lt;42826),IF(Table1[Date of Last Assessment]="",Table1[Meaningful Use of Time],Table1[Meaningful Use of Time2]),""))</f>
        <v/>
      </c>
      <c r="GM274" s="44" t="str">
        <f>IF(Table1[Leaving Date]="","",IF(AND(Table1[Leaving Date]&gt;42460,Table1[Leaving Date]&lt;42826),IF(Table1[Date of Last Assessment]="",Table1[Managing Tenancy and Accommodation],Table1[Managing Tenancy and Accommodation2]),""))</f>
        <v/>
      </c>
      <c r="GN274" s="44" t="str">
        <f>IF(Table1[Leaving Date]="","",IF(AND(Table1[Leaving Date]&gt;42460,Table1[Leaving Date]&lt;42826),IF(Table1[Date of Last Assessment]="",Table1[Offending],Table1[Offending2]),""))</f>
        <v/>
      </c>
    </row>
    <row r="275" spans="2:196" ht="20.100000000000001" customHeight="1" x14ac:dyDescent="0.2">
      <c r="B275" s="86">
        <f>+'Service Data'!$C$5:$C$5</f>
        <v>0</v>
      </c>
      <c r="C275" s="86"/>
      <c r="D275" s="86"/>
      <c r="E275" s="86"/>
      <c r="F275" s="86"/>
      <c r="G275" s="86"/>
      <c r="H275" s="6"/>
      <c r="I275" s="99" t="str">
        <f ca="1">IF(Table1[[#This Row],[Date of Birth]]="","",SUM(TODAY()-Table1[[#This Row],[Date of Birth]])/365)</f>
        <v/>
      </c>
      <c r="L275" s="86"/>
      <c r="M275" s="77"/>
      <c r="N275" s="86"/>
      <c r="O275" s="86"/>
      <c r="P275" s="91"/>
      <c r="Q275" s="86"/>
      <c r="R275" s="77"/>
      <c r="S275" s="77"/>
      <c r="T275" s="68"/>
      <c r="U275" s="68"/>
      <c r="V275" s="67"/>
      <c r="W275" s="67"/>
      <c r="X275" s="67"/>
      <c r="Y275" s="67"/>
      <c r="Z275" s="67"/>
      <c r="AA275" s="67"/>
      <c r="AB275" s="67"/>
      <c r="AC275" s="67"/>
      <c r="AD275" s="67"/>
      <c r="AE275" s="67"/>
      <c r="AF275" s="67"/>
      <c r="AG275" s="67"/>
      <c r="AH275" s="67"/>
      <c r="AI275" s="67"/>
      <c r="AJ275" s="67"/>
      <c r="AK275" s="67"/>
      <c r="AL275" s="67"/>
      <c r="AM275" s="67"/>
      <c r="AN275" s="77"/>
      <c r="AO275" s="76"/>
      <c r="AP275" s="77"/>
      <c r="AQ275" s="76"/>
      <c r="AR275" s="76"/>
      <c r="AS275" s="76"/>
      <c r="AT275" s="76"/>
      <c r="AU275" s="76"/>
      <c r="AV275" s="77"/>
      <c r="AW275" s="76"/>
      <c r="AX275" s="77"/>
      <c r="AY275" s="76"/>
      <c r="AZ275" s="76"/>
      <c r="BA275" s="76"/>
      <c r="BB275" s="76"/>
      <c r="BC275" s="76"/>
      <c r="BD275" s="77"/>
      <c r="BE275" s="76"/>
      <c r="BF275" s="77"/>
      <c r="BG275" s="76"/>
      <c r="BH275" s="76"/>
      <c r="BI275" s="76"/>
      <c r="BJ275" s="76"/>
      <c r="BK275" s="76"/>
      <c r="BL275" s="77"/>
      <c r="BM275" s="76"/>
      <c r="BN275" s="77"/>
      <c r="BO275" s="76"/>
      <c r="BP275" s="76"/>
      <c r="BQ275" s="76"/>
      <c r="BR275" s="76"/>
      <c r="BS275" s="76"/>
      <c r="BT275" s="77"/>
      <c r="BU275" s="76"/>
      <c r="BV275" s="77"/>
      <c r="BW275" s="76"/>
      <c r="BX275" s="76"/>
      <c r="BY275" s="76"/>
      <c r="BZ275" s="76"/>
      <c r="CA275" s="76"/>
      <c r="CB275" s="77"/>
      <c r="CC275" s="76"/>
      <c r="CD275" s="77"/>
      <c r="CE275" s="76"/>
      <c r="CF275" s="76"/>
      <c r="CG275" s="76"/>
      <c r="CH275" s="76"/>
      <c r="CI275" s="76"/>
      <c r="CJ275" s="77"/>
      <c r="CK275" s="76"/>
      <c r="CL275" s="77"/>
      <c r="CM275" s="76"/>
      <c r="CN275" s="76"/>
      <c r="CO275" s="76"/>
      <c r="CP275" s="76"/>
      <c r="CQ275" s="76"/>
      <c r="CR275" s="78" t="str">
        <f t="shared" si="79"/>
        <v/>
      </c>
      <c r="CS275" s="79" t="str">
        <f t="shared" si="80"/>
        <v/>
      </c>
      <c r="CT275" s="79" t="str">
        <f t="shared" si="81"/>
        <v/>
      </c>
      <c r="CU275" s="79" t="str">
        <f t="shared" si="82"/>
        <v/>
      </c>
      <c r="CV275" s="79" t="str">
        <f t="shared" si="83"/>
        <v/>
      </c>
      <c r="CW275" s="79" t="str">
        <f t="shared" si="84"/>
        <v/>
      </c>
      <c r="CX275" s="79" t="str">
        <f t="shared" si="85"/>
        <v/>
      </c>
      <c r="CY275" s="79" t="str">
        <f t="shared" si="86"/>
        <v/>
      </c>
      <c r="CZ275" s="79" t="str">
        <f t="shared" si="87"/>
        <v/>
      </c>
      <c r="DA275" s="79" t="str">
        <f t="shared" si="88"/>
        <v/>
      </c>
      <c r="DB275" s="79" t="str">
        <f t="shared" si="89"/>
        <v/>
      </c>
      <c r="DC275" s="79" t="str">
        <f t="shared" si="90"/>
        <v/>
      </c>
      <c r="DD275" s="79" t="str">
        <f t="shared" si="91"/>
        <v/>
      </c>
      <c r="DE275" s="79" t="str">
        <f t="shared" si="92"/>
        <v/>
      </c>
      <c r="DF275" s="79" t="str">
        <f t="shared" si="93"/>
        <v/>
      </c>
      <c r="DG275" s="79" t="str">
        <f t="shared" si="94"/>
        <v/>
      </c>
      <c r="DH275" s="76"/>
      <c r="DI275" s="78"/>
      <c r="DJ275" s="76"/>
      <c r="DK275" s="77"/>
      <c r="DL275" s="77"/>
      <c r="DM275" s="77"/>
      <c r="DN275" s="80"/>
      <c r="DO275" s="80"/>
      <c r="DP275" s="92" t="str">
        <f>IF(Table1[Start Date]="","",IF(Table1[Start Date]&gt;42185,"",IF(AND(Table1[Leaving Date]&gt;1,Table1[Leaving Date]&lt;42095),"",1)))</f>
        <v/>
      </c>
      <c r="DQ275" s="92" t="str">
        <f>IF(Table1[Start Date]="","",IF(Table1[Start Date]&gt;42277,"",IF(AND(Table1[Leaving Date]&gt;1,Table1[Leaving Date]&lt;42186),"",1)))</f>
        <v/>
      </c>
      <c r="DR275" s="92" t="str">
        <f>IF(Table1[Start Date]="","",IF(Table1[Start Date]&gt;42369,"",IF(AND(Table1[Leaving Date]&gt;1,Table1[Leaving Date]&lt;42278),"",1)))</f>
        <v/>
      </c>
      <c r="DS275" s="92" t="str">
        <f>IF(Table1[Start Date]="","",IF(Table1[Start Date]&gt;42460,"",IF(AND(Table1[Leaving Date]&gt;1,Table1[Leaving Date]&lt;42370),"",1)))</f>
        <v/>
      </c>
      <c r="DT275" s="92" t="str">
        <f>IF(Table1[Start Date]="","",IF(Table1[Start Date]&gt;42551,"",IF(AND(Table1[Leaving Date]&gt;1,Table1[Leaving Date]&lt;42461),"",1)))</f>
        <v/>
      </c>
      <c r="DU275" s="92" t="str">
        <f>IF(Table1[Start Date]="","",IF(Table1[Start Date]&gt;42643,"",IF(AND(Table1[Leaving Date]&gt;1,Table1[Leaving Date]&lt;42552),"",1)))</f>
        <v/>
      </c>
      <c r="DV275" s="92" t="str">
        <f>IF(Table1[Start Date]="","",IF(Table1[Start Date]&gt;42735,"",IF(AND(Table1[Leaving Date]&gt;1,Table1[Leaving Date]&lt;42644),"",1)))</f>
        <v/>
      </c>
      <c r="DW275" s="92" t="str">
        <f>IF(Table1[Start Date]="","",IF(Table1[Start Date]&gt;42825,"",IF(AND(Table1[Leaving Date]&gt;1,Table1[Leaving Date]&lt;42736),"",1)))</f>
        <v/>
      </c>
      <c r="DX275"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275" s="44" t="e">
        <f>VLOOKUP(Table1[Referral Source],Lists!$G$2:$H$20,2,FALSE)</f>
        <v>#N/A</v>
      </c>
      <c r="DZ275" s="93" t="e">
        <f>SUM(Table1[Data Referral Quarter]+Table1[Data Referral Source])</f>
        <v>#N/A</v>
      </c>
      <c r="EA275" s="44" t="b">
        <f>IF(Table1[Referral Decision]="Accepted",100,IF(Table1[Referral Decision]="Rejected by Provider",200,IF(Table1[Referral Decision]="Rejected by Applicant",300)))</f>
        <v>0</v>
      </c>
      <c r="EB275" s="44">
        <f>SUM(Table1[Data Referral Quarter]+Table1[Data Referral Decision])</f>
        <v>0</v>
      </c>
      <c r="EC275" s="44" t="b">
        <f>IF(Table1[Start Date]&gt;42735,8000,IF(Table1[Start Date]&gt;42643,7000,IF(Table1[Start Date]&gt;42551,6000,IF(Table1[Start Date]&gt;42460,5000,IF(Table1[Start Date]&gt;42369,4000,IF(Table1[Start Date]&gt;42277,3000,IF(Table1[Start Date]&gt;42185,2000,IF(Table1[Start Date]&gt;42094,1000))))))))</f>
        <v>0</v>
      </c>
      <c r="ED275" s="44" t="str">
        <f>IF(Table1[Start Date]="","",IF(Table1[Current Local Authority]="Swindon",1,"2"))</f>
        <v/>
      </c>
      <c r="EE275" s="44" t="e">
        <f>SUM(Table1[Data Start Date]+Table1[Data Local Authority])</f>
        <v>#VALUE!</v>
      </c>
      <c r="EF275" s="44">
        <f>IF(Table1[Registered with GP]="Yes",1,0)</f>
        <v>0</v>
      </c>
      <c r="EG275" s="44">
        <f>SUM(Table1[Data Start Date]+Table1[Data GP Start])</f>
        <v>0</v>
      </c>
      <c r="EH275" s="44" t="str">
        <f>IF(Table1[EET]="NEET",1,IF(Table1[EET]="Education",2,IF(Table1[EET]="Employment",2,IF(Table1[EET]="Training",2,IF(Table1[EET]="Retired",3,"")))))</f>
        <v/>
      </c>
      <c r="EI275" s="44" t="e">
        <f>Table1[Data Start Date]+Table1[Data EET Start]</f>
        <v>#VALUE!</v>
      </c>
      <c r="EJ275" s="44" t="b">
        <f>IF(Table1[Leaving Date]&gt;42735,8000,IF(Table1[Leaving Date]&gt;42643,7000,IF(Table1[Leaving Date]&gt;42551,6000,IF(Table1[Leaving Date]&gt;42460,5000,IF(Table1[Leaving Date]&gt;42369,4000,IF(Table1[Leaving Date]&gt;42277,3000,IF(Table1[Leaving Date]&gt;42185,2000,IF(Table1[Leaving Date]&gt;42094,1000))))))))</f>
        <v>0</v>
      </c>
      <c r="EK275" s="44" t="e">
        <f>VLOOKUP(Table1[Reason for Leaving],Lists!$T$2:$U$15,2,FALSE)</f>
        <v>#N/A</v>
      </c>
      <c r="EL275" s="44" t="e">
        <f>SUM(Table1[Data Leavers Date]+Table1[Data Move On])</f>
        <v>#N/A</v>
      </c>
      <c r="EM275" s="44" t="b">
        <f>IF(Table1[Registered with GP2]="Yes",1,IF(Table1[Registered with GP2]="No",0,IF(Table1[Registered with GP]="Yes",1,IF(Table1[Registered with GP]="No",0))))</f>
        <v>0</v>
      </c>
      <c r="EN275" s="44">
        <f>SUM(Table1[Data Leavers Date]+Table1[Data GP End])</f>
        <v>0</v>
      </c>
      <c r="EO275" s="44" t="str">
        <f>IF(Table1[EET2]="NEET",1,IF(Table1[EET2]="Employment",2,IF(Table1[EET2]="Education",2,IF(Table1[EET2]="Training",2,IF(Table1[EET2]="Retired",3,IF(Table1[EET]="NEET",1,IF(Table1[EET]="Employment",2,IF(Table1[EET]="Education",2,IF(Table1[EET]="Training",2,IF(Table1[EET]="Retired",3,""))))))))))</f>
        <v/>
      </c>
      <c r="EP275" s="44" t="e">
        <f>+Table1[[#This Row],[Data Leavers Date]]+Table1[[#This Row],[Data EET End]]</f>
        <v>#VALUE!</v>
      </c>
      <c r="EQ275" s="44">
        <f>IF(Table1[Exit Form Received]="Yes",1,0)</f>
        <v>0</v>
      </c>
      <c r="ER275" s="44">
        <f>+Table1[[#This Row],[Data Leavers Date]]+Table1[[#This Row],[Data Exit Forms]]</f>
        <v>0</v>
      </c>
      <c r="ES275" s="44" t="str">
        <f>IF(Table1[Data Leavers Date]=1000,SUM(Table1[Leaving Date]-Table1[Start Date]),"")</f>
        <v/>
      </c>
      <c r="ET275" s="44" t="str">
        <f>IF(Table1[Data Leavers Date]=2000,SUM(Table1[Leaving Date]-Table1[Start Date]),"")</f>
        <v/>
      </c>
      <c r="EU275" s="44" t="str">
        <f>IF(Table1[Data Leavers Date]=3000,SUM(Table1[Leaving Date]-Table1[Start Date]),"")</f>
        <v/>
      </c>
      <c r="EV275" s="44" t="str">
        <f>IF(Table1[Data Leavers Date]=4000,SUM(Table1[Leaving Date]-Table1[Start Date]),"")</f>
        <v/>
      </c>
      <c r="EW275" s="44" t="str">
        <f>IF(Table1[Data Leavers Date]=5000,SUM(Table1[Leaving Date]-Table1[Start Date]),"")</f>
        <v/>
      </c>
      <c r="EX275" s="44" t="str">
        <f>IF(Table1[Data Leavers Date]=6000,SUM(Table1[Leaving Date]-Table1[Start Date]),"")</f>
        <v/>
      </c>
      <c r="EY275" s="44" t="str">
        <f>IF(Table1[Data Leavers Date]=7000,SUM(Table1[Leaving Date]-Table1[Start Date]),"")</f>
        <v/>
      </c>
      <c r="EZ275" s="44" t="str">
        <f>IF(Table1[Data Leavers Date]=8000,SUM(Table1[Leaving Date]-Table1[Start Date]),"")</f>
        <v/>
      </c>
      <c r="FA275" s="44" t="str">
        <f>IF(Table1[Date of Initial Assessment]="","",IF(AND(Table1[Start Date]&gt;42094,Table1[Start Date]&lt;42461),Table1[Motivation and Taking Responsibility],""))</f>
        <v/>
      </c>
      <c r="FB275" s="44" t="str">
        <f>IF(Table1[Date of Initial Assessment]="","",IF(AND(Table1[Start Date]&gt;42094,Table1[Start Date]&lt;42461),Table1[Self-Care and Living Skills],""))</f>
        <v/>
      </c>
      <c r="FC275" s="44" t="str">
        <f>IF(Table1[Date of Initial Assessment]="","",IF(AND(Table1[Start Date]&gt;42094,Table1[Start Date]&lt;42461),Table1[Managing Money and Personal Administration],""))</f>
        <v/>
      </c>
      <c r="FD275" s="44" t="str">
        <f>IF(Table1[Date of Initial Assessment]="","",IF(AND(Table1[Start Date]&gt;42094,Table1[Start Date]&lt;42461),Table1[Social Networks and Relationships],""))</f>
        <v/>
      </c>
      <c r="FE275" s="44" t="str">
        <f>IF(Table1[Date of Initial Assessment]="","",IF(AND(Table1[Start Date]&gt;42094,Table1[Start Date]&lt;42461),Table1[Drug and Alcohol Misuse],""))</f>
        <v/>
      </c>
      <c r="FF275" s="44" t="str">
        <f>IF(Table1[Date of Initial Assessment]="","",IF(AND(Table1[Start Date]&gt;42094,Table1[Start Date]&lt;42461),Table1[Physical Health],""))</f>
        <v/>
      </c>
      <c r="FG275" s="44" t="str">
        <f>IF(Table1[Date of Initial Assessment]="","",IF(AND(Table1[Start Date]&gt;42094,Table1[Start Date]&lt;42461),Table1[Emotional and Mental Health],""))</f>
        <v/>
      </c>
      <c r="FH275" s="44" t="str">
        <f>IF(Table1[Date of Initial Assessment]="","",IF(AND(Table1[Start Date]&gt;42094,Table1[Start Date]&lt;42461),Table1[Meaningful Use of Time],""))</f>
        <v/>
      </c>
      <c r="FI275" s="44" t="str">
        <f>IF(Table1[Date of Initial Assessment]="","",IF(AND(Table1[Start Date]&gt;42094,Table1[Start Date]&lt;42461),Table1[Managing Tenancy and Accommodation],""))</f>
        <v/>
      </c>
      <c r="FJ275" s="44" t="str">
        <f>IF(Table1[Date of Initial Assessment]="","",IF(AND(Table1[Start Date]&gt;42094,Table1[Start Date]&lt;42461),Table1[Offending],""))</f>
        <v/>
      </c>
      <c r="FK275" s="44" t="str">
        <f>IF(Table1[Leaving Date]="","",IF(Table1[Date of Initial Assessment]="","",IF(AND(Table1[Leaving Date]&gt;42094,Table1[Leaving Date]&lt;42461),IF(Table1[Date of Last Assessment]="",Table1[Motivation and Taking Responsibility],Table1[Motivation and Taking Responsibility2]),"")))</f>
        <v/>
      </c>
      <c r="FL275" s="44" t="str">
        <f>IF(Table1[Leaving Date]="","",IF(Table1[Date of Initial Assessment]="","",IF(AND(Table1[Leaving Date]&gt;42094,Table1[Leaving Date]&lt;42461),IF(Table1[Date of Last Assessment]="",Table1[Self-Care and Living Skills],Table1[Self-Care and Living Skills2]),"")))</f>
        <v/>
      </c>
      <c r="FM275" s="44" t="str">
        <f>IF(Table1[Leaving Date]="","",IF(Table1[Date of Initial Assessment]="","",IF(AND(Table1[Leaving Date]&gt;42094,Table1[Leaving Date]&lt;42461),IF(Table1[Date of Last Assessment]="",Table1[Managing Money and Personal Administration],Table1[Managing Money and Personal Administration2]),"")))</f>
        <v/>
      </c>
      <c r="FN275" s="44" t="str">
        <f>IF(Table1[Leaving Date]="","",IF(Table1[Date of Initial Assessment]="","",IF(AND(Table1[Leaving Date]&gt;42094,Table1[Leaving Date]&lt;42461),IF(Table1[Date of Last Assessment]="",Table1[Social Networks and Relationships],Table1[Social Networks and Relationships2]),"")))</f>
        <v/>
      </c>
      <c r="FO275" s="44" t="str">
        <f>IF(Table1[Leaving Date]="","",IF(Table1[Date of Initial Assessment]="","",IF(AND(Table1[Leaving Date]&gt;42094,Table1[Leaving Date]&lt;42461),IF(Table1[Date of Last Assessment]="",Table1[Drug and Alcohol Misuse],Table1[Drug and Alcohol Misuse2]),"")))</f>
        <v/>
      </c>
      <c r="FP275" s="44" t="str">
        <f>IF(Table1[Leaving Date]="","",IF(Table1[Date of Initial Assessment]="","",IF(AND(Table1[Leaving Date]&gt;42094,Table1[Leaving Date]&lt;42461),IF(Table1[Date of Last Assessment]="",Table1[Physical Health],Table1[Physical Health2]),"")))</f>
        <v/>
      </c>
      <c r="FQ275" s="44" t="str">
        <f>IF(Table1[Leaving Date]="","",IF(Table1[Date of Initial Assessment]="","",IF(AND(Table1[Leaving Date]&gt;42094,Table1[Leaving Date]&lt;42461),IF(Table1[Date of Last Assessment]="",Table1[Emotional and Mental Health],Table1[Emotional and Mental Health2]),"")))</f>
        <v/>
      </c>
      <c r="FR275" s="44" t="str">
        <f>IF(Table1[Leaving Date]="","",IF(Table1[Date of Initial Assessment]="","",IF(AND(Table1[Leaving Date]&gt;42094,Table1[Leaving Date]&lt;42461),IF(Table1[Date of Last Assessment]="",Table1[Meaningful Use of Time],Table1[Meaningful Use of Time2]),"")))</f>
        <v/>
      </c>
      <c r="FS275" s="44" t="str">
        <f>IF(Table1[Leaving Date]="","",IF(Table1[Date of Initial Assessment]="","",IF(AND(Table1[Leaving Date]&gt;42094,Table1[Leaving Date]&lt;42461),IF(Table1[Date of Last Assessment]="",Table1[Managing Tenancy and Accommodation],Table1[Managing Tenancy and Accommodation2]),"")))</f>
        <v/>
      </c>
      <c r="FT275" s="44" t="str">
        <f>IF(Table1[Leaving Date]="","",IF(Table1[Date of Initial Assessment]="","",IF(AND(Table1[Leaving Date]&gt;42094,Table1[Leaving Date]&lt;42461),IF(Table1[Date of Last Assessment]="",Table1[Offending],Table1[Offending2]),"")))</f>
        <v/>
      </c>
      <c r="FU275" s="44" t="str">
        <f>IF(Table1[Date of Initial Assessment]="","",IF(AND(Table1[Start Date]&gt;42460,Table1[Start Date]&lt;42826),Table1[Motivation and Taking Responsibility],""))</f>
        <v/>
      </c>
      <c r="FV275" s="44" t="str">
        <f>IF(Table1[Date of Initial Assessment]="","",IF(AND(Table1[Start Date]&gt;42460,Table1[Start Date]&lt;42826),Table1[Self-Care and Living Skills],""))</f>
        <v/>
      </c>
      <c r="FW275" s="44" t="str">
        <f>IF(Table1[Date of Initial Assessment]="","",IF(AND(Table1[Start Date]&gt;42460,Table1[Start Date]&lt;42826),Table1[Managing Money and Personal Administration],""))</f>
        <v/>
      </c>
      <c r="FX275" s="44" t="str">
        <f>IF(Table1[Date of Initial Assessment]="","",IF(AND(Table1[Start Date]&gt;42460,Table1[Start Date]&lt;42826),Table1[Social Networks and Relationships],""))</f>
        <v/>
      </c>
      <c r="FY275" s="44" t="str">
        <f>IF(Table1[Date of Initial Assessment]="","",IF(AND(Table1[Start Date]&gt;42460,Table1[Start Date]&lt;42826),Table1[Drug and Alcohol Misuse],""))</f>
        <v/>
      </c>
      <c r="FZ275" s="44" t="str">
        <f>IF(Table1[Date of Initial Assessment]="","",IF(AND(Table1[Start Date]&gt;42460,Table1[Start Date]&lt;42826),Table1[Physical Health],""))</f>
        <v/>
      </c>
      <c r="GA275" s="44" t="str">
        <f>IF(Table1[Date of Initial Assessment]="","",IF(AND(Table1[Start Date]&gt;42460,Table1[Start Date]&lt;42826),Table1[Emotional and Mental Health],""))</f>
        <v/>
      </c>
      <c r="GB275" s="44" t="str">
        <f>IF(Table1[Date of Initial Assessment]="","",IF(AND(Table1[Start Date]&gt;42460,Table1[Start Date]&lt;42826),Table1[Meaningful Use of Time],""))</f>
        <v/>
      </c>
      <c r="GC275" s="44" t="str">
        <f>IF(Table1[Date of Initial Assessment]="","",IF(AND(Table1[Start Date]&gt;42460,Table1[Start Date]&lt;42826),Table1[Managing Tenancy and Accommodation],""))</f>
        <v/>
      </c>
      <c r="GD275" s="44" t="str">
        <f>IF(Table1[Date of Initial Assessment]="","",IF(AND(Table1[Start Date]&gt;42460,Table1[Start Date]&lt;42826),Table1[Offending],""))</f>
        <v/>
      </c>
      <c r="GE275" s="44" t="str">
        <f>IF(Table1[Leaving Date]="","",IF(AND(Table1[Leaving Date]&gt;42460,Table1[Leaving Date]&lt;42826),IF(Table1[Date of Last Assessment]="",Table1[Motivation and Taking Responsibility],Table1[Motivation and Taking Responsibility2]),""))</f>
        <v/>
      </c>
      <c r="GF275" s="44" t="str">
        <f>IF(Table1[Leaving Date]="","",IF(AND(Table1[Leaving Date]&gt;42460,Table1[Leaving Date]&lt;42826),IF(Table1[Date of Last Assessment]="",Table1[Self-Care and Living Skills],Table1[Self-Care and Living Skills2]),""))</f>
        <v/>
      </c>
      <c r="GG275" s="44" t="str">
        <f>IF(Table1[Leaving Date]="","",IF(AND(Table1[Leaving Date]&gt;42460,Table1[Leaving Date]&lt;42826),IF(Table1[Date of Last Assessment]="",Table1[Managing Money and Personal Administration],Table1[Managing Money and Personal Administration2]),""))</f>
        <v/>
      </c>
      <c r="GH275" s="44" t="str">
        <f>IF(Table1[Leaving Date]="","",IF(AND(Table1[Leaving Date]&gt;42460,Table1[Leaving Date]&lt;42826),IF(Table1[Date of Last Assessment]="",Table1[Social Networks and Relationships],Table1[Social Networks and Relationships2]),""))</f>
        <v/>
      </c>
      <c r="GI275" s="44" t="str">
        <f>IF(Table1[Leaving Date]="","",IF(AND(Table1[Leaving Date]&gt;42460,Table1[Leaving Date]&lt;42826),IF(Table1[Date of Last Assessment]="",Table1[Drug and Alcohol Misuse],Table1[Drug and Alcohol Misuse2]),""))</f>
        <v/>
      </c>
      <c r="GJ275" s="44" t="str">
        <f>IF(Table1[Leaving Date]="","",IF(AND(Table1[Leaving Date]&gt;42460,Table1[Leaving Date]&lt;42826),IF(Table1[Date of Last Assessment]="",Table1[Physical Health],Table1[Physical Health2]),""))</f>
        <v/>
      </c>
      <c r="GK275" s="44" t="str">
        <f>IF(Table1[Leaving Date]="","",IF(AND(Table1[Leaving Date]&gt;42460,Table1[Leaving Date]&lt;42826),IF(Table1[Date of Last Assessment]="",Table1[Emotional and Mental Health],Table1[Emotional and Mental Health2]),""))</f>
        <v/>
      </c>
      <c r="GL275" s="44" t="str">
        <f>IF(Table1[Leaving Date]="","",IF(AND(Table1[Leaving Date]&gt;42460,Table1[Leaving Date]&lt;42826),IF(Table1[Date of Last Assessment]="",Table1[Meaningful Use of Time],Table1[Meaningful Use of Time2]),""))</f>
        <v/>
      </c>
      <c r="GM275" s="44" t="str">
        <f>IF(Table1[Leaving Date]="","",IF(AND(Table1[Leaving Date]&gt;42460,Table1[Leaving Date]&lt;42826),IF(Table1[Date of Last Assessment]="",Table1[Managing Tenancy and Accommodation],Table1[Managing Tenancy and Accommodation2]),""))</f>
        <v/>
      </c>
      <c r="GN275" s="44" t="str">
        <f>IF(Table1[Leaving Date]="","",IF(AND(Table1[Leaving Date]&gt;42460,Table1[Leaving Date]&lt;42826),IF(Table1[Date of Last Assessment]="",Table1[Offending],Table1[Offending2]),""))</f>
        <v/>
      </c>
    </row>
    <row r="276" spans="2:196" ht="20.100000000000001" customHeight="1" x14ac:dyDescent="0.2">
      <c r="B276" s="86">
        <f>+'Service Data'!$C$5:$C$5</f>
        <v>0</v>
      </c>
      <c r="C276" s="86"/>
      <c r="D276" s="86"/>
      <c r="E276" s="86"/>
      <c r="F276" s="86"/>
      <c r="G276" s="86"/>
      <c r="H276" s="6"/>
      <c r="I276" s="99" t="str">
        <f ca="1">IF(Table1[[#This Row],[Date of Birth]]="","",SUM(TODAY()-Table1[[#This Row],[Date of Birth]])/365)</f>
        <v/>
      </c>
      <c r="L276" s="86"/>
      <c r="M276" s="77"/>
      <c r="N276" s="86"/>
      <c r="O276" s="86"/>
      <c r="P276" s="91"/>
      <c r="Q276" s="86"/>
      <c r="R276" s="77"/>
      <c r="S276" s="77"/>
      <c r="T276" s="68"/>
      <c r="U276" s="68"/>
      <c r="V276" s="67"/>
      <c r="W276" s="67"/>
      <c r="X276" s="67"/>
      <c r="Y276" s="67"/>
      <c r="Z276" s="67"/>
      <c r="AA276" s="67"/>
      <c r="AB276" s="67"/>
      <c r="AC276" s="67"/>
      <c r="AD276" s="67"/>
      <c r="AE276" s="67"/>
      <c r="AF276" s="67"/>
      <c r="AG276" s="67"/>
      <c r="AH276" s="67"/>
      <c r="AI276" s="67"/>
      <c r="AJ276" s="67"/>
      <c r="AK276" s="67"/>
      <c r="AL276" s="67"/>
      <c r="AM276" s="67"/>
      <c r="AN276" s="77"/>
      <c r="AO276" s="76"/>
      <c r="AP276" s="77"/>
      <c r="AQ276" s="76"/>
      <c r="AR276" s="76"/>
      <c r="AS276" s="76"/>
      <c r="AT276" s="76"/>
      <c r="AU276" s="76"/>
      <c r="AV276" s="77"/>
      <c r="AW276" s="76"/>
      <c r="AX276" s="77"/>
      <c r="AY276" s="76"/>
      <c r="AZ276" s="76"/>
      <c r="BA276" s="76"/>
      <c r="BB276" s="76"/>
      <c r="BC276" s="76"/>
      <c r="BD276" s="77"/>
      <c r="BE276" s="76"/>
      <c r="BF276" s="77"/>
      <c r="BG276" s="76"/>
      <c r="BH276" s="76"/>
      <c r="BI276" s="76"/>
      <c r="BJ276" s="76"/>
      <c r="BK276" s="76"/>
      <c r="BL276" s="77"/>
      <c r="BM276" s="76"/>
      <c r="BN276" s="77"/>
      <c r="BO276" s="76"/>
      <c r="BP276" s="76"/>
      <c r="BQ276" s="76"/>
      <c r="BR276" s="76"/>
      <c r="BS276" s="76"/>
      <c r="BT276" s="77"/>
      <c r="BU276" s="76"/>
      <c r="BV276" s="77"/>
      <c r="BW276" s="76"/>
      <c r="BX276" s="76"/>
      <c r="BY276" s="76"/>
      <c r="BZ276" s="76"/>
      <c r="CA276" s="76"/>
      <c r="CB276" s="77"/>
      <c r="CC276" s="76"/>
      <c r="CD276" s="77"/>
      <c r="CE276" s="76"/>
      <c r="CF276" s="76"/>
      <c r="CG276" s="76"/>
      <c r="CH276" s="76"/>
      <c r="CI276" s="76"/>
      <c r="CJ276" s="77"/>
      <c r="CK276" s="76"/>
      <c r="CL276" s="77"/>
      <c r="CM276" s="76"/>
      <c r="CN276" s="76"/>
      <c r="CO276" s="76"/>
      <c r="CP276" s="76"/>
      <c r="CQ276" s="76"/>
      <c r="CR276" s="78" t="str">
        <f t="shared" si="79"/>
        <v/>
      </c>
      <c r="CS276" s="79" t="str">
        <f t="shared" si="80"/>
        <v/>
      </c>
      <c r="CT276" s="79" t="str">
        <f t="shared" si="81"/>
        <v/>
      </c>
      <c r="CU276" s="79" t="str">
        <f t="shared" si="82"/>
        <v/>
      </c>
      <c r="CV276" s="79" t="str">
        <f t="shared" si="83"/>
        <v/>
      </c>
      <c r="CW276" s="79" t="str">
        <f t="shared" si="84"/>
        <v/>
      </c>
      <c r="CX276" s="79" t="str">
        <f t="shared" si="85"/>
        <v/>
      </c>
      <c r="CY276" s="79" t="str">
        <f t="shared" si="86"/>
        <v/>
      </c>
      <c r="CZ276" s="79" t="str">
        <f t="shared" si="87"/>
        <v/>
      </c>
      <c r="DA276" s="79" t="str">
        <f t="shared" si="88"/>
        <v/>
      </c>
      <c r="DB276" s="79" t="str">
        <f t="shared" si="89"/>
        <v/>
      </c>
      <c r="DC276" s="79" t="str">
        <f t="shared" si="90"/>
        <v/>
      </c>
      <c r="DD276" s="79" t="str">
        <f t="shared" si="91"/>
        <v/>
      </c>
      <c r="DE276" s="79" t="str">
        <f t="shared" si="92"/>
        <v/>
      </c>
      <c r="DF276" s="79" t="str">
        <f t="shared" si="93"/>
        <v/>
      </c>
      <c r="DG276" s="79" t="str">
        <f t="shared" si="94"/>
        <v/>
      </c>
      <c r="DH276" s="76"/>
      <c r="DI276" s="78"/>
      <c r="DJ276" s="76"/>
      <c r="DK276" s="77"/>
      <c r="DL276" s="77"/>
      <c r="DM276" s="77"/>
      <c r="DN276" s="80"/>
      <c r="DO276" s="80"/>
      <c r="DP276" s="92" t="str">
        <f>IF(Table1[Start Date]="","",IF(Table1[Start Date]&gt;42185,"",IF(AND(Table1[Leaving Date]&gt;1,Table1[Leaving Date]&lt;42095),"",1)))</f>
        <v/>
      </c>
      <c r="DQ276" s="92" t="str">
        <f>IF(Table1[Start Date]="","",IF(Table1[Start Date]&gt;42277,"",IF(AND(Table1[Leaving Date]&gt;1,Table1[Leaving Date]&lt;42186),"",1)))</f>
        <v/>
      </c>
      <c r="DR276" s="92" t="str">
        <f>IF(Table1[Start Date]="","",IF(Table1[Start Date]&gt;42369,"",IF(AND(Table1[Leaving Date]&gt;1,Table1[Leaving Date]&lt;42278),"",1)))</f>
        <v/>
      </c>
      <c r="DS276" s="92" t="str">
        <f>IF(Table1[Start Date]="","",IF(Table1[Start Date]&gt;42460,"",IF(AND(Table1[Leaving Date]&gt;1,Table1[Leaving Date]&lt;42370),"",1)))</f>
        <v/>
      </c>
      <c r="DT276" s="92" t="str">
        <f>IF(Table1[Start Date]="","",IF(Table1[Start Date]&gt;42551,"",IF(AND(Table1[Leaving Date]&gt;1,Table1[Leaving Date]&lt;42461),"",1)))</f>
        <v/>
      </c>
      <c r="DU276" s="92" t="str">
        <f>IF(Table1[Start Date]="","",IF(Table1[Start Date]&gt;42643,"",IF(AND(Table1[Leaving Date]&gt;1,Table1[Leaving Date]&lt;42552),"",1)))</f>
        <v/>
      </c>
      <c r="DV276" s="92" t="str">
        <f>IF(Table1[Start Date]="","",IF(Table1[Start Date]&gt;42735,"",IF(AND(Table1[Leaving Date]&gt;1,Table1[Leaving Date]&lt;42644),"",1)))</f>
        <v/>
      </c>
      <c r="DW276" s="92" t="str">
        <f>IF(Table1[Start Date]="","",IF(Table1[Start Date]&gt;42825,"",IF(AND(Table1[Leaving Date]&gt;1,Table1[Leaving Date]&lt;42736),"",1)))</f>
        <v/>
      </c>
      <c r="DX276"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276" s="44" t="e">
        <f>VLOOKUP(Table1[Referral Source],Lists!$G$2:$H$20,2,FALSE)</f>
        <v>#N/A</v>
      </c>
      <c r="DZ276" s="93" t="e">
        <f>SUM(Table1[Data Referral Quarter]+Table1[Data Referral Source])</f>
        <v>#N/A</v>
      </c>
      <c r="EA276" s="44" t="b">
        <f>IF(Table1[Referral Decision]="Accepted",100,IF(Table1[Referral Decision]="Rejected by Provider",200,IF(Table1[Referral Decision]="Rejected by Applicant",300)))</f>
        <v>0</v>
      </c>
      <c r="EB276" s="44">
        <f>SUM(Table1[Data Referral Quarter]+Table1[Data Referral Decision])</f>
        <v>0</v>
      </c>
      <c r="EC276" s="44" t="b">
        <f>IF(Table1[Start Date]&gt;42735,8000,IF(Table1[Start Date]&gt;42643,7000,IF(Table1[Start Date]&gt;42551,6000,IF(Table1[Start Date]&gt;42460,5000,IF(Table1[Start Date]&gt;42369,4000,IF(Table1[Start Date]&gt;42277,3000,IF(Table1[Start Date]&gt;42185,2000,IF(Table1[Start Date]&gt;42094,1000))))))))</f>
        <v>0</v>
      </c>
      <c r="ED276" s="44" t="str">
        <f>IF(Table1[Start Date]="","",IF(Table1[Current Local Authority]="Swindon",1,"2"))</f>
        <v/>
      </c>
      <c r="EE276" s="44" t="e">
        <f>SUM(Table1[Data Start Date]+Table1[Data Local Authority])</f>
        <v>#VALUE!</v>
      </c>
      <c r="EF276" s="44">
        <f>IF(Table1[Registered with GP]="Yes",1,0)</f>
        <v>0</v>
      </c>
      <c r="EG276" s="44">
        <f>SUM(Table1[Data Start Date]+Table1[Data GP Start])</f>
        <v>0</v>
      </c>
      <c r="EH276" s="44" t="str">
        <f>IF(Table1[EET]="NEET",1,IF(Table1[EET]="Education",2,IF(Table1[EET]="Employment",2,IF(Table1[EET]="Training",2,IF(Table1[EET]="Retired",3,"")))))</f>
        <v/>
      </c>
      <c r="EI276" s="44" t="e">
        <f>Table1[Data Start Date]+Table1[Data EET Start]</f>
        <v>#VALUE!</v>
      </c>
      <c r="EJ276" s="44" t="b">
        <f>IF(Table1[Leaving Date]&gt;42735,8000,IF(Table1[Leaving Date]&gt;42643,7000,IF(Table1[Leaving Date]&gt;42551,6000,IF(Table1[Leaving Date]&gt;42460,5000,IF(Table1[Leaving Date]&gt;42369,4000,IF(Table1[Leaving Date]&gt;42277,3000,IF(Table1[Leaving Date]&gt;42185,2000,IF(Table1[Leaving Date]&gt;42094,1000))))))))</f>
        <v>0</v>
      </c>
      <c r="EK276" s="44" t="e">
        <f>VLOOKUP(Table1[Reason for Leaving],Lists!$T$2:$U$15,2,FALSE)</f>
        <v>#N/A</v>
      </c>
      <c r="EL276" s="44" t="e">
        <f>SUM(Table1[Data Leavers Date]+Table1[Data Move On])</f>
        <v>#N/A</v>
      </c>
      <c r="EM276" s="44" t="b">
        <f>IF(Table1[Registered with GP2]="Yes",1,IF(Table1[Registered with GP2]="No",0,IF(Table1[Registered with GP]="Yes",1,IF(Table1[Registered with GP]="No",0))))</f>
        <v>0</v>
      </c>
      <c r="EN276" s="44">
        <f>SUM(Table1[Data Leavers Date]+Table1[Data GP End])</f>
        <v>0</v>
      </c>
      <c r="EO276" s="44" t="str">
        <f>IF(Table1[EET2]="NEET",1,IF(Table1[EET2]="Employment",2,IF(Table1[EET2]="Education",2,IF(Table1[EET2]="Training",2,IF(Table1[EET2]="Retired",3,IF(Table1[EET]="NEET",1,IF(Table1[EET]="Employment",2,IF(Table1[EET]="Education",2,IF(Table1[EET]="Training",2,IF(Table1[EET]="Retired",3,""))))))))))</f>
        <v/>
      </c>
      <c r="EP276" s="44" t="e">
        <f>+Table1[[#This Row],[Data Leavers Date]]+Table1[[#This Row],[Data EET End]]</f>
        <v>#VALUE!</v>
      </c>
      <c r="EQ276" s="44">
        <f>IF(Table1[Exit Form Received]="Yes",1,0)</f>
        <v>0</v>
      </c>
      <c r="ER276" s="44">
        <f>+Table1[[#This Row],[Data Leavers Date]]+Table1[[#This Row],[Data Exit Forms]]</f>
        <v>0</v>
      </c>
      <c r="ES276" s="44" t="str">
        <f>IF(Table1[Data Leavers Date]=1000,SUM(Table1[Leaving Date]-Table1[Start Date]),"")</f>
        <v/>
      </c>
      <c r="ET276" s="44" t="str">
        <f>IF(Table1[Data Leavers Date]=2000,SUM(Table1[Leaving Date]-Table1[Start Date]),"")</f>
        <v/>
      </c>
      <c r="EU276" s="44" t="str">
        <f>IF(Table1[Data Leavers Date]=3000,SUM(Table1[Leaving Date]-Table1[Start Date]),"")</f>
        <v/>
      </c>
      <c r="EV276" s="44" t="str">
        <f>IF(Table1[Data Leavers Date]=4000,SUM(Table1[Leaving Date]-Table1[Start Date]),"")</f>
        <v/>
      </c>
      <c r="EW276" s="44" t="str">
        <f>IF(Table1[Data Leavers Date]=5000,SUM(Table1[Leaving Date]-Table1[Start Date]),"")</f>
        <v/>
      </c>
      <c r="EX276" s="44" t="str">
        <f>IF(Table1[Data Leavers Date]=6000,SUM(Table1[Leaving Date]-Table1[Start Date]),"")</f>
        <v/>
      </c>
      <c r="EY276" s="44" t="str">
        <f>IF(Table1[Data Leavers Date]=7000,SUM(Table1[Leaving Date]-Table1[Start Date]),"")</f>
        <v/>
      </c>
      <c r="EZ276" s="44" t="str">
        <f>IF(Table1[Data Leavers Date]=8000,SUM(Table1[Leaving Date]-Table1[Start Date]),"")</f>
        <v/>
      </c>
      <c r="FA276" s="44" t="str">
        <f>IF(Table1[Date of Initial Assessment]="","",IF(AND(Table1[Start Date]&gt;42094,Table1[Start Date]&lt;42461),Table1[Motivation and Taking Responsibility],""))</f>
        <v/>
      </c>
      <c r="FB276" s="44" t="str">
        <f>IF(Table1[Date of Initial Assessment]="","",IF(AND(Table1[Start Date]&gt;42094,Table1[Start Date]&lt;42461),Table1[Self-Care and Living Skills],""))</f>
        <v/>
      </c>
      <c r="FC276" s="44" t="str">
        <f>IF(Table1[Date of Initial Assessment]="","",IF(AND(Table1[Start Date]&gt;42094,Table1[Start Date]&lt;42461),Table1[Managing Money and Personal Administration],""))</f>
        <v/>
      </c>
      <c r="FD276" s="44" t="str">
        <f>IF(Table1[Date of Initial Assessment]="","",IF(AND(Table1[Start Date]&gt;42094,Table1[Start Date]&lt;42461),Table1[Social Networks and Relationships],""))</f>
        <v/>
      </c>
      <c r="FE276" s="44" t="str">
        <f>IF(Table1[Date of Initial Assessment]="","",IF(AND(Table1[Start Date]&gt;42094,Table1[Start Date]&lt;42461),Table1[Drug and Alcohol Misuse],""))</f>
        <v/>
      </c>
      <c r="FF276" s="44" t="str">
        <f>IF(Table1[Date of Initial Assessment]="","",IF(AND(Table1[Start Date]&gt;42094,Table1[Start Date]&lt;42461),Table1[Physical Health],""))</f>
        <v/>
      </c>
      <c r="FG276" s="44" t="str">
        <f>IF(Table1[Date of Initial Assessment]="","",IF(AND(Table1[Start Date]&gt;42094,Table1[Start Date]&lt;42461),Table1[Emotional and Mental Health],""))</f>
        <v/>
      </c>
      <c r="FH276" s="44" t="str">
        <f>IF(Table1[Date of Initial Assessment]="","",IF(AND(Table1[Start Date]&gt;42094,Table1[Start Date]&lt;42461),Table1[Meaningful Use of Time],""))</f>
        <v/>
      </c>
      <c r="FI276" s="44" t="str">
        <f>IF(Table1[Date of Initial Assessment]="","",IF(AND(Table1[Start Date]&gt;42094,Table1[Start Date]&lt;42461),Table1[Managing Tenancy and Accommodation],""))</f>
        <v/>
      </c>
      <c r="FJ276" s="44" t="str">
        <f>IF(Table1[Date of Initial Assessment]="","",IF(AND(Table1[Start Date]&gt;42094,Table1[Start Date]&lt;42461),Table1[Offending],""))</f>
        <v/>
      </c>
      <c r="FK276" s="44" t="str">
        <f>IF(Table1[Leaving Date]="","",IF(Table1[Date of Initial Assessment]="","",IF(AND(Table1[Leaving Date]&gt;42094,Table1[Leaving Date]&lt;42461),IF(Table1[Date of Last Assessment]="",Table1[Motivation and Taking Responsibility],Table1[Motivation and Taking Responsibility2]),"")))</f>
        <v/>
      </c>
      <c r="FL276" s="44" t="str">
        <f>IF(Table1[Leaving Date]="","",IF(Table1[Date of Initial Assessment]="","",IF(AND(Table1[Leaving Date]&gt;42094,Table1[Leaving Date]&lt;42461),IF(Table1[Date of Last Assessment]="",Table1[Self-Care and Living Skills],Table1[Self-Care and Living Skills2]),"")))</f>
        <v/>
      </c>
      <c r="FM276" s="44" t="str">
        <f>IF(Table1[Leaving Date]="","",IF(Table1[Date of Initial Assessment]="","",IF(AND(Table1[Leaving Date]&gt;42094,Table1[Leaving Date]&lt;42461),IF(Table1[Date of Last Assessment]="",Table1[Managing Money and Personal Administration],Table1[Managing Money and Personal Administration2]),"")))</f>
        <v/>
      </c>
      <c r="FN276" s="44" t="str">
        <f>IF(Table1[Leaving Date]="","",IF(Table1[Date of Initial Assessment]="","",IF(AND(Table1[Leaving Date]&gt;42094,Table1[Leaving Date]&lt;42461),IF(Table1[Date of Last Assessment]="",Table1[Social Networks and Relationships],Table1[Social Networks and Relationships2]),"")))</f>
        <v/>
      </c>
      <c r="FO276" s="44" t="str">
        <f>IF(Table1[Leaving Date]="","",IF(Table1[Date of Initial Assessment]="","",IF(AND(Table1[Leaving Date]&gt;42094,Table1[Leaving Date]&lt;42461),IF(Table1[Date of Last Assessment]="",Table1[Drug and Alcohol Misuse],Table1[Drug and Alcohol Misuse2]),"")))</f>
        <v/>
      </c>
      <c r="FP276" s="44" t="str">
        <f>IF(Table1[Leaving Date]="","",IF(Table1[Date of Initial Assessment]="","",IF(AND(Table1[Leaving Date]&gt;42094,Table1[Leaving Date]&lt;42461),IF(Table1[Date of Last Assessment]="",Table1[Physical Health],Table1[Physical Health2]),"")))</f>
        <v/>
      </c>
      <c r="FQ276" s="44" t="str">
        <f>IF(Table1[Leaving Date]="","",IF(Table1[Date of Initial Assessment]="","",IF(AND(Table1[Leaving Date]&gt;42094,Table1[Leaving Date]&lt;42461),IF(Table1[Date of Last Assessment]="",Table1[Emotional and Mental Health],Table1[Emotional and Mental Health2]),"")))</f>
        <v/>
      </c>
      <c r="FR276" s="44" t="str">
        <f>IF(Table1[Leaving Date]="","",IF(Table1[Date of Initial Assessment]="","",IF(AND(Table1[Leaving Date]&gt;42094,Table1[Leaving Date]&lt;42461),IF(Table1[Date of Last Assessment]="",Table1[Meaningful Use of Time],Table1[Meaningful Use of Time2]),"")))</f>
        <v/>
      </c>
      <c r="FS276" s="44" t="str">
        <f>IF(Table1[Leaving Date]="","",IF(Table1[Date of Initial Assessment]="","",IF(AND(Table1[Leaving Date]&gt;42094,Table1[Leaving Date]&lt;42461),IF(Table1[Date of Last Assessment]="",Table1[Managing Tenancy and Accommodation],Table1[Managing Tenancy and Accommodation2]),"")))</f>
        <v/>
      </c>
      <c r="FT276" s="44" t="str">
        <f>IF(Table1[Leaving Date]="","",IF(Table1[Date of Initial Assessment]="","",IF(AND(Table1[Leaving Date]&gt;42094,Table1[Leaving Date]&lt;42461),IF(Table1[Date of Last Assessment]="",Table1[Offending],Table1[Offending2]),"")))</f>
        <v/>
      </c>
      <c r="FU276" s="44" t="str">
        <f>IF(Table1[Date of Initial Assessment]="","",IF(AND(Table1[Start Date]&gt;42460,Table1[Start Date]&lt;42826),Table1[Motivation and Taking Responsibility],""))</f>
        <v/>
      </c>
      <c r="FV276" s="44" t="str">
        <f>IF(Table1[Date of Initial Assessment]="","",IF(AND(Table1[Start Date]&gt;42460,Table1[Start Date]&lt;42826),Table1[Self-Care and Living Skills],""))</f>
        <v/>
      </c>
      <c r="FW276" s="44" t="str">
        <f>IF(Table1[Date of Initial Assessment]="","",IF(AND(Table1[Start Date]&gt;42460,Table1[Start Date]&lt;42826),Table1[Managing Money and Personal Administration],""))</f>
        <v/>
      </c>
      <c r="FX276" s="44" t="str">
        <f>IF(Table1[Date of Initial Assessment]="","",IF(AND(Table1[Start Date]&gt;42460,Table1[Start Date]&lt;42826),Table1[Social Networks and Relationships],""))</f>
        <v/>
      </c>
      <c r="FY276" s="44" t="str">
        <f>IF(Table1[Date of Initial Assessment]="","",IF(AND(Table1[Start Date]&gt;42460,Table1[Start Date]&lt;42826),Table1[Drug and Alcohol Misuse],""))</f>
        <v/>
      </c>
      <c r="FZ276" s="44" t="str">
        <f>IF(Table1[Date of Initial Assessment]="","",IF(AND(Table1[Start Date]&gt;42460,Table1[Start Date]&lt;42826),Table1[Physical Health],""))</f>
        <v/>
      </c>
      <c r="GA276" s="44" t="str">
        <f>IF(Table1[Date of Initial Assessment]="","",IF(AND(Table1[Start Date]&gt;42460,Table1[Start Date]&lt;42826),Table1[Emotional and Mental Health],""))</f>
        <v/>
      </c>
      <c r="GB276" s="44" t="str">
        <f>IF(Table1[Date of Initial Assessment]="","",IF(AND(Table1[Start Date]&gt;42460,Table1[Start Date]&lt;42826),Table1[Meaningful Use of Time],""))</f>
        <v/>
      </c>
      <c r="GC276" s="44" t="str">
        <f>IF(Table1[Date of Initial Assessment]="","",IF(AND(Table1[Start Date]&gt;42460,Table1[Start Date]&lt;42826),Table1[Managing Tenancy and Accommodation],""))</f>
        <v/>
      </c>
      <c r="GD276" s="44" t="str">
        <f>IF(Table1[Date of Initial Assessment]="","",IF(AND(Table1[Start Date]&gt;42460,Table1[Start Date]&lt;42826),Table1[Offending],""))</f>
        <v/>
      </c>
      <c r="GE276" s="44" t="str">
        <f>IF(Table1[Leaving Date]="","",IF(AND(Table1[Leaving Date]&gt;42460,Table1[Leaving Date]&lt;42826),IF(Table1[Date of Last Assessment]="",Table1[Motivation and Taking Responsibility],Table1[Motivation and Taking Responsibility2]),""))</f>
        <v/>
      </c>
      <c r="GF276" s="44" t="str">
        <f>IF(Table1[Leaving Date]="","",IF(AND(Table1[Leaving Date]&gt;42460,Table1[Leaving Date]&lt;42826),IF(Table1[Date of Last Assessment]="",Table1[Self-Care and Living Skills],Table1[Self-Care and Living Skills2]),""))</f>
        <v/>
      </c>
      <c r="GG276" s="44" t="str">
        <f>IF(Table1[Leaving Date]="","",IF(AND(Table1[Leaving Date]&gt;42460,Table1[Leaving Date]&lt;42826),IF(Table1[Date of Last Assessment]="",Table1[Managing Money and Personal Administration],Table1[Managing Money and Personal Administration2]),""))</f>
        <v/>
      </c>
      <c r="GH276" s="44" t="str">
        <f>IF(Table1[Leaving Date]="","",IF(AND(Table1[Leaving Date]&gt;42460,Table1[Leaving Date]&lt;42826),IF(Table1[Date of Last Assessment]="",Table1[Social Networks and Relationships],Table1[Social Networks and Relationships2]),""))</f>
        <v/>
      </c>
      <c r="GI276" s="44" t="str">
        <f>IF(Table1[Leaving Date]="","",IF(AND(Table1[Leaving Date]&gt;42460,Table1[Leaving Date]&lt;42826),IF(Table1[Date of Last Assessment]="",Table1[Drug and Alcohol Misuse],Table1[Drug and Alcohol Misuse2]),""))</f>
        <v/>
      </c>
      <c r="GJ276" s="44" t="str">
        <f>IF(Table1[Leaving Date]="","",IF(AND(Table1[Leaving Date]&gt;42460,Table1[Leaving Date]&lt;42826),IF(Table1[Date of Last Assessment]="",Table1[Physical Health],Table1[Physical Health2]),""))</f>
        <v/>
      </c>
      <c r="GK276" s="44" t="str">
        <f>IF(Table1[Leaving Date]="","",IF(AND(Table1[Leaving Date]&gt;42460,Table1[Leaving Date]&lt;42826),IF(Table1[Date of Last Assessment]="",Table1[Emotional and Mental Health],Table1[Emotional and Mental Health2]),""))</f>
        <v/>
      </c>
      <c r="GL276" s="44" t="str">
        <f>IF(Table1[Leaving Date]="","",IF(AND(Table1[Leaving Date]&gt;42460,Table1[Leaving Date]&lt;42826),IF(Table1[Date of Last Assessment]="",Table1[Meaningful Use of Time],Table1[Meaningful Use of Time2]),""))</f>
        <v/>
      </c>
      <c r="GM276" s="44" t="str">
        <f>IF(Table1[Leaving Date]="","",IF(AND(Table1[Leaving Date]&gt;42460,Table1[Leaving Date]&lt;42826),IF(Table1[Date of Last Assessment]="",Table1[Managing Tenancy and Accommodation],Table1[Managing Tenancy and Accommodation2]),""))</f>
        <v/>
      </c>
      <c r="GN276" s="44" t="str">
        <f>IF(Table1[Leaving Date]="","",IF(AND(Table1[Leaving Date]&gt;42460,Table1[Leaving Date]&lt;42826),IF(Table1[Date of Last Assessment]="",Table1[Offending],Table1[Offending2]),""))</f>
        <v/>
      </c>
    </row>
    <row r="277" spans="2:196" ht="20.100000000000001" customHeight="1" x14ac:dyDescent="0.2">
      <c r="B277" s="86">
        <f>+'Service Data'!$C$5:$C$5</f>
        <v>0</v>
      </c>
      <c r="C277" s="86"/>
      <c r="D277" s="86"/>
      <c r="E277" s="86"/>
      <c r="F277" s="86"/>
      <c r="G277" s="86"/>
      <c r="H277" s="6"/>
      <c r="I277" s="99" t="str">
        <f ca="1">IF(Table1[[#This Row],[Date of Birth]]="","",SUM(TODAY()-Table1[[#This Row],[Date of Birth]])/365)</f>
        <v/>
      </c>
      <c r="L277" s="86"/>
      <c r="M277" s="77"/>
      <c r="N277" s="86"/>
      <c r="O277" s="86"/>
      <c r="P277" s="91"/>
      <c r="Q277" s="86"/>
      <c r="R277" s="77"/>
      <c r="S277" s="77"/>
      <c r="T277" s="68"/>
      <c r="U277" s="68"/>
      <c r="V277" s="67"/>
      <c r="W277" s="67"/>
      <c r="X277" s="67"/>
      <c r="Y277" s="67"/>
      <c r="Z277" s="67"/>
      <c r="AA277" s="67"/>
      <c r="AB277" s="67"/>
      <c r="AC277" s="67"/>
      <c r="AD277" s="67"/>
      <c r="AE277" s="67"/>
      <c r="AF277" s="67"/>
      <c r="AG277" s="67"/>
      <c r="AH277" s="67"/>
      <c r="AI277" s="67"/>
      <c r="AJ277" s="67"/>
      <c r="AK277" s="67"/>
      <c r="AL277" s="67"/>
      <c r="AM277" s="67"/>
      <c r="AN277" s="77"/>
      <c r="AO277" s="76"/>
      <c r="AP277" s="77"/>
      <c r="AQ277" s="76"/>
      <c r="AR277" s="76"/>
      <c r="AS277" s="76"/>
      <c r="AT277" s="76"/>
      <c r="AU277" s="76"/>
      <c r="AV277" s="77"/>
      <c r="AW277" s="76"/>
      <c r="AX277" s="77"/>
      <c r="AY277" s="76"/>
      <c r="AZ277" s="76"/>
      <c r="BA277" s="76"/>
      <c r="BB277" s="76"/>
      <c r="BC277" s="76"/>
      <c r="BD277" s="77"/>
      <c r="BE277" s="76"/>
      <c r="BF277" s="77"/>
      <c r="BG277" s="76"/>
      <c r="BH277" s="76"/>
      <c r="BI277" s="76"/>
      <c r="BJ277" s="76"/>
      <c r="BK277" s="76"/>
      <c r="BL277" s="77"/>
      <c r="BM277" s="76"/>
      <c r="BN277" s="77"/>
      <c r="BO277" s="76"/>
      <c r="BP277" s="76"/>
      <c r="BQ277" s="76"/>
      <c r="BR277" s="76"/>
      <c r="BS277" s="76"/>
      <c r="BT277" s="77"/>
      <c r="BU277" s="76"/>
      <c r="BV277" s="77"/>
      <c r="BW277" s="76"/>
      <c r="BX277" s="76"/>
      <c r="BY277" s="76"/>
      <c r="BZ277" s="76"/>
      <c r="CA277" s="76"/>
      <c r="CB277" s="77"/>
      <c r="CC277" s="76"/>
      <c r="CD277" s="77"/>
      <c r="CE277" s="76"/>
      <c r="CF277" s="76"/>
      <c r="CG277" s="76"/>
      <c r="CH277" s="76"/>
      <c r="CI277" s="76"/>
      <c r="CJ277" s="77"/>
      <c r="CK277" s="76"/>
      <c r="CL277" s="77"/>
      <c r="CM277" s="76"/>
      <c r="CN277" s="76"/>
      <c r="CO277" s="76"/>
      <c r="CP277" s="76"/>
      <c r="CQ277" s="76"/>
      <c r="CR277" s="78" t="str">
        <f t="shared" si="79"/>
        <v/>
      </c>
      <c r="CS277" s="79" t="str">
        <f t="shared" si="80"/>
        <v/>
      </c>
      <c r="CT277" s="79" t="str">
        <f t="shared" si="81"/>
        <v/>
      </c>
      <c r="CU277" s="79" t="str">
        <f t="shared" si="82"/>
        <v/>
      </c>
      <c r="CV277" s="79" t="str">
        <f t="shared" si="83"/>
        <v/>
      </c>
      <c r="CW277" s="79" t="str">
        <f t="shared" si="84"/>
        <v/>
      </c>
      <c r="CX277" s="79" t="str">
        <f t="shared" si="85"/>
        <v/>
      </c>
      <c r="CY277" s="79" t="str">
        <f t="shared" si="86"/>
        <v/>
      </c>
      <c r="CZ277" s="79" t="str">
        <f t="shared" si="87"/>
        <v/>
      </c>
      <c r="DA277" s="79" t="str">
        <f t="shared" si="88"/>
        <v/>
      </c>
      <c r="DB277" s="79" t="str">
        <f t="shared" si="89"/>
        <v/>
      </c>
      <c r="DC277" s="79" t="str">
        <f t="shared" si="90"/>
        <v/>
      </c>
      <c r="DD277" s="79" t="str">
        <f t="shared" si="91"/>
        <v/>
      </c>
      <c r="DE277" s="79" t="str">
        <f t="shared" si="92"/>
        <v/>
      </c>
      <c r="DF277" s="79" t="str">
        <f t="shared" si="93"/>
        <v/>
      </c>
      <c r="DG277" s="79" t="str">
        <f t="shared" si="94"/>
        <v/>
      </c>
      <c r="DH277" s="76"/>
      <c r="DI277" s="78"/>
      <c r="DJ277" s="76"/>
      <c r="DK277" s="77"/>
      <c r="DL277" s="77"/>
      <c r="DM277" s="77"/>
      <c r="DN277" s="80"/>
      <c r="DO277" s="80"/>
      <c r="DP277" s="92" t="str">
        <f>IF(Table1[Start Date]="","",IF(Table1[Start Date]&gt;42185,"",IF(AND(Table1[Leaving Date]&gt;1,Table1[Leaving Date]&lt;42095),"",1)))</f>
        <v/>
      </c>
      <c r="DQ277" s="92" t="str">
        <f>IF(Table1[Start Date]="","",IF(Table1[Start Date]&gt;42277,"",IF(AND(Table1[Leaving Date]&gt;1,Table1[Leaving Date]&lt;42186),"",1)))</f>
        <v/>
      </c>
      <c r="DR277" s="92" t="str">
        <f>IF(Table1[Start Date]="","",IF(Table1[Start Date]&gt;42369,"",IF(AND(Table1[Leaving Date]&gt;1,Table1[Leaving Date]&lt;42278),"",1)))</f>
        <v/>
      </c>
      <c r="DS277" s="92" t="str">
        <f>IF(Table1[Start Date]="","",IF(Table1[Start Date]&gt;42460,"",IF(AND(Table1[Leaving Date]&gt;1,Table1[Leaving Date]&lt;42370),"",1)))</f>
        <v/>
      </c>
      <c r="DT277" s="92" t="str">
        <f>IF(Table1[Start Date]="","",IF(Table1[Start Date]&gt;42551,"",IF(AND(Table1[Leaving Date]&gt;1,Table1[Leaving Date]&lt;42461),"",1)))</f>
        <v/>
      </c>
      <c r="DU277" s="92" t="str">
        <f>IF(Table1[Start Date]="","",IF(Table1[Start Date]&gt;42643,"",IF(AND(Table1[Leaving Date]&gt;1,Table1[Leaving Date]&lt;42552),"",1)))</f>
        <v/>
      </c>
      <c r="DV277" s="92" t="str">
        <f>IF(Table1[Start Date]="","",IF(Table1[Start Date]&gt;42735,"",IF(AND(Table1[Leaving Date]&gt;1,Table1[Leaving Date]&lt;42644),"",1)))</f>
        <v/>
      </c>
      <c r="DW277" s="92" t="str">
        <f>IF(Table1[Start Date]="","",IF(Table1[Start Date]&gt;42825,"",IF(AND(Table1[Leaving Date]&gt;1,Table1[Leaving Date]&lt;42736),"",1)))</f>
        <v/>
      </c>
      <c r="DX277"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277" s="44" t="e">
        <f>VLOOKUP(Table1[Referral Source],Lists!$G$2:$H$20,2,FALSE)</f>
        <v>#N/A</v>
      </c>
      <c r="DZ277" s="93" t="e">
        <f>SUM(Table1[Data Referral Quarter]+Table1[Data Referral Source])</f>
        <v>#N/A</v>
      </c>
      <c r="EA277" s="44" t="b">
        <f>IF(Table1[Referral Decision]="Accepted",100,IF(Table1[Referral Decision]="Rejected by Provider",200,IF(Table1[Referral Decision]="Rejected by Applicant",300)))</f>
        <v>0</v>
      </c>
      <c r="EB277" s="44">
        <f>SUM(Table1[Data Referral Quarter]+Table1[Data Referral Decision])</f>
        <v>0</v>
      </c>
      <c r="EC277" s="44" t="b">
        <f>IF(Table1[Start Date]&gt;42735,8000,IF(Table1[Start Date]&gt;42643,7000,IF(Table1[Start Date]&gt;42551,6000,IF(Table1[Start Date]&gt;42460,5000,IF(Table1[Start Date]&gt;42369,4000,IF(Table1[Start Date]&gt;42277,3000,IF(Table1[Start Date]&gt;42185,2000,IF(Table1[Start Date]&gt;42094,1000))))))))</f>
        <v>0</v>
      </c>
      <c r="ED277" s="44" t="str">
        <f>IF(Table1[Start Date]="","",IF(Table1[Current Local Authority]="Swindon",1,"2"))</f>
        <v/>
      </c>
      <c r="EE277" s="44" t="e">
        <f>SUM(Table1[Data Start Date]+Table1[Data Local Authority])</f>
        <v>#VALUE!</v>
      </c>
      <c r="EF277" s="44">
        <f>IF(Table1[Registered with GP]="Yes",1,0)</f>
        <v>0</v>
      </c>
      <c r="EG277" s="44">
        <f>SUM(Table1[Data Start Date]+Table1[Data GP Start])</f>
        <v>0</v>
      </c>
      <c r="EH277" s="44" t="str">
        <f>IF(Table1[EET]="NEET",1,IF(Table1[EET]="Education",2,IF(Table1[EET]="Employment",2,IF(Table1[EET]="Training",2,IF(Table1[EET]="Retired",3,"")))))</f>
        <v/>
      </c>
      <c r="EI277" s="44" t="e">
        <f>Table1[Data Start Date]+Table1[Data EET Start]</f>
        <v>#VALUE!</v>
      </c>
      <c r="EJ277" s="44" t="b">
        <f>IF(Table1[Leaving Date]&gt;42735,8000,IF(Table1[Leaving Date]&gt;42643,7000,IF(Table1[Leaving Date]&gt;42551,6000,IF(Table1[Leaving Date]&gt;42460,5000,IF(Table1[Leaving Date]&gt;42369,4000,IF(Table1[Leaving Date]&gt;42277,3000,IF(Table1[Leaving Date]&gt;42185,2000,IF(Table1[Leaving Date]&gt;42094,1000))))))))</f>
        <v>0</v>
      </c>
      <c r="EK277" s="44" t="e">
        <f>VLOOKUP(Table1[Reason for Leaving],Lists!$T$2:$U$15,2,FALSE)</f>
        <v>#N/A</v>
      </c>
      <c r="EL277" s="44" t="e">
        <f>SUM(Table1[Data Leavers Date]+Table1[Data Move On])</f>
        <v>#N/A</v>
      </c>
      <c r="EM277" s="44" t="b">
        <f>IF(Table1[Registered with GP2]="Yes",1,IF(Table1[Registered with GP2]="No",0,IF(Table1[Registered with GP]="Yes",1,IF(Table1[Registered with GP]="No",0))))</f>
        <v>0</v>
      </c>
      <c r="EN277" s="44">
        <f>SUM(Table1[Data Leavers Date]+Table1[Data GP End])</f>
        <v>0</v>
      </c>
      <c r="EO277" s="44" t="str">
        <f>IF(Table1[EET2]="NEET",1,IF(Table1[EET2]="Employment",2,IF(Table1[EET2]="Education",2,IF(Table1[EET2]="Training",2,IF(Table1[EET2]="Retired",3,IF(Table1[EET]="NEET",1,IF(Table1[EET]="Employment",2,IF(Table1[EET]="Education",2,IF(Table1[EET]="Training",2,IF(Table1[EET]="Retired",3,""))))))))))</f>
        <v/>
      </c>
      <c r="EP277" s="44" t="e">
        <f>+Table1[[#This Row],[Data Leavers Date]]+Table1[[#This Row],[Data EET End]]</f>
        <v>#VALUE!</v>
      </c>
      <c r="EQ277" s="44">
        <f>IF(Table1[Exit Form Received]="Yes",1,0)</f>
        <v>0</v>
      </c>
      <c r="ER277" s="44">
        <f>+Table1[[#This Row],[Data Leavers Date]]+Table1[[#This Row],[Data Exit Forms]]</f>
        <v>0</v>
      </c>
      <c r="ES277" s="44" t="str">
        <f>IF(Table1[Data Leavers Date]=1000,SUM(Table1[Leaving Date]-Table1[Start Date]),"")</f>
        <v/>
      </c>
      <c r="ET277" s="44" t="str">
        <f>IF(Table1[Data Leavers Date]=2000,SUM(Table1[Leaving Date]-Table1[Start Date]),"")</f>
        <v/>
      </c>
      <c r="EU277" s="44" t="str">
        <f>IF(Table1[Data Leavers Date]=3000,SUM(Table1[Leaving Date]-Table1[Start Date]),"")</f>
        <v/>
      </c>
      <c r="EV277" s="44" t="str">
        <f>IF(Table1[Data Leavers Date]=4000,SUM(Table1[Leaving Date]-Table1[Start Date]),"")</f>
        <v/>
      </c>
      <c r="EW277" s="44" t="str">
        <f>IF(Table1[Data Leavers Date]=5000,SUM(Table1[Leaving Date]-Table1[Start Date]),"")</f>
        <v/>
      </c>
      <c r="EX277" s="44" t="str">
        <f>IF(Table1[Data Leavers Date]=6000,SUM(Table1[Leaving Date]-Table1[Start Date]),"")</f>
        <v/>
      </c>
      <c r="EY277" s="44" t="str">
        <f>IF(Table1[Data Leavers Date]=7000,SUM(Table1[Leaving Date]-Table1[Start Date]),"")</f>
        <v/>
      </c>
      <c r="EZ277" s="44" t="str">
        <f>IF(Table1[Data Leavers Date]=8000,SUM(Table1[Leaving Date]-Table1[Start Date]),"")</f>
        <v/>
      </c>
      <c r="FA277" s="44" t="str">
        <f>IF(Table1[Date of Initial Assessment]="","",IF(AND(Table1[Start Date]&gt;42094,Table1[Start Date]&lt;42461),Table1[Motivation and Taking Responsibility],""))</f>
        <v/>
      </c>
      <c r="FB277" s="44" t="str">
        <f>IF(Table1[Date of Initial Assessment]="","",IF(AND(Table1[Start Date]&gt;42094,Table1[Start Date]&lt;42461),Table1[Self-Care and Living Skills],""))</f>
        <v/>
      </c>
      <c r="FC277" s="44" t="str">
        <f>IF(Table1[Date of Initial Assessment]="","",IF(AND(Table1[Start Date]&gt;42094,Table1[Start Date]&lt;42461),Table1[Managing Money and Personal Administration],""))</f>
        <v/>
      </c>
      <c r="FD277" s="44" t="str">
        <f>IF(Table1[Date of Initial Assessment]="","",IF(AND(Table1[Start Date]&gt;42094,Table1[Start Date]&lt;42461),Table1[Social Networks and Relationships],""))</f>
        <v/>
      </c>
      <c r="FE277" s="44" t="str">
        <f>IF(Table1[Date of Initial Assessment]="","",IF(AND(Table1[Start Date]&gt;42094,Table1[Start Date]&lt;42461),Table1[Drug and Alcohol Misuse],""))</f>
        <v/>
      </c>
      <c r="FF277" s="44" t="str">
        <f>IF(Table1[Date of Initial Assessment]="","",IF(AND(Table1[Start Date]&gt;42094,Table1[Start Date]&lt;42461),Table1[Physical Health],""))</f>
        <v/>
      </c>
      <c r="FG277" s="44" t="str">
        <f>IF(Table1[Date of Initial Assessment]="","",IF(AND(Table1[Start Date]&gt;42094,Table1[Start Date]&lt;42461),Table1[Emotional and Mental Health],""))</f>
        <v/>
      </c>
      <c r="FH277" s="44" t="str">
        <f>IF(Table1[Date of Initial Assessment]="","",IF(AND(Table1[Start Date]&gt;42094,Table1[Start Date]&lt;42461),Table1[Meaningful Use of Time],""))</f>
        <v/>
      </c>
      <c r="FI277" s="44" t="str">
        <f>IF(Table1[Date of Initial Assessment]="","",IF(AND(Table1[Start Date]&gt;42094,Table1[Start Date]&lt;42461),Table1[Managing Tenancy and Accommodation],""))</f>
        <v/>
      </c>
      <c r="FJ277" s="44" t="str">
        <f>IF(Table1[Date of Initial Assessment]="","",IF(AND(Table1[Start Date]&gt;42094,Table1[Start Date]&lt;42461),Table1[Offending],""))</f>
        <v/>
      </c>
      <c r="FK277" s="44" t="str">
        <f>IF(Table1[Leaving Date]="","",IF(Table1[Date of Initial Assessment]="","",IF(AND(Table1[Leaving Date]&gt;42094,Table1[Leaving Date]&lt;42461),IF(Table1[Date of Last Assessment]="",Table1[Motivation and Taking Responsibility],Table1[Motivation and Taking Responsibility2]),"")))</f>
        <v/>
      </c>
      <c r="FL277" s="44" t="str">
        <f>IF(Table1[Leaving Date]="","",IF(Table1[Date of Initial Assessment]="","",IF(AND(Table1[Leaving Date]&gt;42094,Table1[Leaving Date]&lt;42461),IF(Table1[Date of Last Assessment]="",Table1[Self-Care and Living Skills],Table1[Self-Care and Living Skills2]),"")))</f>
        <v/>
      </c>
      <c r="FM277" s="44" t="str">
        <f>IF(Table1[Leaving Date]="","",IF(Table1[Date of Initial Assessment]="","",IF(AND(Table1[Leaving Date]&gt;42094,Table1[Leaving Date]&lt;42461),IF(Table1[Date of Last Assessment]="",Table1[Managing Money and Personal Administration],Table1[Managing Money and Personal Administration2]),"")))</f>
        <v/>
      </c>
      <c r="FN277" s="44" t="str">
        <f>IF(Table1[Leaving Date]="","",IF(Table1[Date of Initial Assessment]="","",IF(AND(Table1[Leaving Date]&gt;42094,Table1[Leaving Date]&lt;42461),IF(Table1[Date of Last Assessment]="",Table1[Social Networks and Relationships],Table1[Social Networks and Relationships2]),"")))</f>
        <v/>
      </c>
      <c r="FO277" s="44" t="str">
        <f>IF(Table1[Leaving Date]="","",IF(Table1[Date of Initial Assessment]="","",IF(AND(Table1[Leaving Date]&gt;42094,Table1[Leaving Date]&lt;42461),IF(Table1[Date of Last Assessment]="",Table1[Drug and Alcohol Misuse],Table1[Drug and Alcohol Misuse2]),"")))</f>
        <v/>
      </c>
      <c r="FP277" s="44" t="str">
        <f>IF(Table1[Leaving Date]="","",IF(Table1[Date of Initial Assessment]="","",IF(AND(Table1[Leaving Date]&gt;42094,Table1[Leaving Date]&lt;42461),IF(Table1[Date of Last Assessment]="",Table1[Physical Health],Table1[Physical Health2]),"")))</f>
        <v/>
      </c>
      <c r="FQ277" s="44" t="str">
        <f>IF(Table1[Leaving Date]="","",IF(Table1[Date of Initial Assessment]="","",IF(AND(Table1[Leaving Date]&gt;42094,Table1[Leaving Date]&lt;42461),IF(Table1[Date of Last Assessment]="",Table1[Emotional and Mental Health],Table1[Emotional and Mental Health2]),"")))</f>
        <v/>
      </c>
      <c r="FR277" s="44" t="str">
        <f>IF(Table1[Leaving Date]="","",IF(Table1[Date of Initial Assessment]="","",IF(AND(Table1[Leaving Date]&gt;42094,Table1[Leaving Date]&lt;42461),IF(Table1[Date of Last Assessment]="",Table1[Meaningful Use of Time],Table1[Meaningful Use of Time2]),"")))</f>
        <v/>
      </c>
      <c r="FS277" s="44" t="str">
        <f>IF(Table1[Leaving Date]="","",IF(Table1[Date of Initial Assessment]="","",IF(AND(Table1[Leaving Date]&gt;42094,Table1[Leaving Date]&lt;42461),IF(Table1[Date of Last Assessment]="",Table1[Managing Tenancy and Accommodation],Table1[Managing Tenancy and Accommodation2]),"")))</f>
        <v/>
      </c>
      <c r="FT277" s="44" t="str">
        <f>IF(Table1[Leaving Date]="","",IF(Table1[Date of Initial Assessment]="","",IF(AND(Table1[Leaving Date]&gt;42094,Table1[Leaving Date]&lt;42461),IF(Table1[Date of Last Assessment]="",Table1[Offending],Table1[Offending2]),"")))</f>
        <v/>
      </c>
      <c r="FU277" s="44" t="str">
        <f>IF(Table1[Date of Initial Assessment]="","",IF(AND(Table1[Start Date]&gt;42460,Table1[Start Date]&lt;42826),Table1[Motivation and Taking Responsibility],""))</f>
        <v/>
      </c>
      <c r="FV277" s="44" t="str">
        <f>IF(Table1[Date of Initial Assessment]="","",IF(AND(Table1[Start Date]&gt;42460,Table1[Start Date]&lt;42826),Table1[Self-Care and Living Skills],""))</f>
        <v/>
      </c>
      <c r="FW277" s="44" t="str">
        <f>IF(Table1[Date of Initial Assessment]="","",IF(AND(Table1[Start Date]&gt;42460,Table1[Start Date]&lt;42826),Table1[Managing Money and Personal Administration],""))</f>
        <v/>
      </c>
      <c r="FX277" s="44" t="str">
        <f>IF(Table1[Date of Initial Assessment]="","",IF(AND(Table1[Start Date]&gt;42460,Table1[Start Date]&lt;42826),Table1[Social Networks and Relationships],""))</f>
        <v/>
      </c>
      <c r="FY277" s="44" t="str">
        <f>IF(Table1[Date of Initial Assessment]="","",IF(AND(Table1[Start Date]&gt;42460,Table1[Start Date]&lt;42826),Table1[Drug and Alcohol Misuse],""))</f>
        <v/>
      </c>
      <c r="FZ277" s="44" t="str">
        <f>IF(Table1[Date of Initial Assessment]="","",IF(AND(Table1[Start Date]&gt;42460,Table1[Start Date]&lt;42826),Table1[Physical Health],""))</f>
        <v/>
      </c>
      <c r="GA277" s="44" t="str">
        <f>IF(Table1[Date of Initial Assessment]="","",IF(AND(Table1[Start Date]&gt;42460,Table1[Start Date]&lt;42826),Table1[Emotional and Mental Health],""))</f>
        <v/>
      </c>
      <c r="GB277" s="44" t="str">
        <f>IF(Table1[Date of Initial Assessment]="","",IF(AND(Table1[Start Date]&gt;42460,Table1[Start Date]&lt;42826),Table1[Meaningful Use of Time],""))</f>
        <v/>
      </c>
      <c r="GC277" s="44" t="str">
        <f>IF(Table1[Date of Initial Assessment]="","",IF(AND(Table1[Start Date]&gt;42460,Table1[Start Date]&lt;42826),Table1[Managing Tenancy and Accommodation],""))</f>
        <v/>
      </c>
      <c r="GD277" s="44" t="str">
        <f>IF(Table1[Date of Initial Assessment]="","",IF(AND(Table1[Start Date]&gt;42460,Table1[Start Date]&lt;42826),Table1[Offending],""))</f>
        <v/>
      </c>
      <c r="GE277" s="44" t="str">
        <f>IF(Table1[Leaving Date]="","",IF(AND(Table1[Leaving Date]&gt;42460,Table1[Leaving Date]&lt;42826),IF(Table1[Date of Last Assessment]="",Table1[Motivation and Taking Responsibility],Table1[Motivation and Taking Responsibility2]),""))</f>
        <v/>
      </c>
      <c r="GF277" s="44" t="str">
        <f>IF(Table1[Leaving Date]="","",IF(AND(Table1[Leaving Date]&gt;42460,Table1[Leaving Date]&lt;42826),IF(Table1[Date of Last Assessment]="",Table1[Self-Care and Living Skills],Table1[Self-Care and Living Skills2]),""))</f>
        <v/>
      </c>
      <c r="GG277" s="44" t="str">
        <f>IF(Table1[Leaving Date]="","",IF(AND(Table1[Leaving Date]&gt;42460,Table1[Leaving Date]&lt;42826),IF(Table1[Date of Last Assessment]="",Table1[Managing Money and Personal Administration],Table1[Managing Money and Personal Administration2]),""))</f>
        <v/>
      </c>
      <c r="GH277" s="44" t="str">
        <f>IF(Table1[Leaving Date]="","",IF(AND(Table1[Leaving Date]&gt;42460,Table1[Leaving Date]&lt;42826),IF(Table1[Date of Last Assessment]="",Table1[Social Networks and Relationships],Table1[Social Networks and Relationships2]),""))</f>
        <v/>
      </c>
      <c r="GI277" s="44" t="str">
        <f>IF(Table1[Leaving Date]="","",IF(AND(Table1[Leaving Date]&gt;42460,Table1[Leaving Date]&lt;42826),IF(Table1[Date of Last Assessment]="",Table1[Drug and Alcohol Misuse],Table1[Drug and Alcohol Misuse2]),""))</f>
        <v/>
      </c>
      <c r="GJ277" s="44" t="str">
        <f>IF(Table1[Leaving Date]="","",IF(AND(Table1[Leaving Date]&gt;42460,Table1[Leaving Date]&lt;42826),IF(Table1[Date of Last Assessment]="",Table1[Physical Health],Table1[Physical Health2]),""))</f>
        <v/>
      </c>
      <c r="GK277" s="44" t="str">
        <f>IF(Table1[Leaving Date]="","",IF(AND(Table1[Leaving Date]&gt;42460,Table1[Leaving Date]&lt;42826),IF(Table1[Date of Last Assessment]="",Table1[Emotional and Mental Health],Table1[Emotional and Mental Health2]),""))</f>
        <v/>
      </c>
      <c r="GL277" s="44" t="str">
        <f>IF(Table1[Leaving Date]="","",IF(AND(Table1[Leaving Date]&gt;42460,Table1[Leaving Date]&lt;42826),IF(Table1[Date of Last Assessment]="",Table1[Meaningful Use of Time],Table1[Meaningful Use of Time2]),""))</f>
        <v/>
      </c>
      <c r="GM277" s="44" t="str">
        <f>IF(Table1[Leaving Date]="","",IF(AND(Table1[Leaving Date]&gt;42460,Table1[Leaving Date]&lt;42826),IF(Table1[Date of Last Assessment]="",Table1[Managing Tenancy and Accommodation],Table1[Managing Tenancy and Accommodation2]),""))</f>
        <v/>
      </c>
      <c r="GN277" s="44" t="str">
        <f>IF(Table1[Leaving Date]="","",IF(AND(Table1[Leaving Date]&gt;42460,Table1[Leaving Date]&lt;42826),IF(Table1[Date of Last Assessment]="",Table1[Offending],Table1[Offending2]),""))</f>
        <v/>
      </c>
    </row>
    <row r="278" spans="2:196" ht="20.100000000000001" customHeight="1" x14ac:dyDescent="0.2">
      <c r="B278" s="86">
        <f>+'Service Data'!$C$5:$C$5</f>
        <v>0</v>
      </c>
      <c r="C278" s="86"/>
      <c r="D278" s="86"/>
      <c r="E278" s="86"/>
      <c r="F278" s="86"/>
      <c r="G278" s="86"/>
      <c r="H278" s="6"/>
      <c r="I278" s="99" t="str">
        <f ca="1">IF(Table1[[#This Row],[Date of Birth]]="","",SUM(TODAY()-Table1[[#This Row],[Date of Birth]])/365)</f>
        <v/>
      </c>
      <c r="L278" s="86"/>
      <c r="M278" s="77"/>
      <c r="N278" s="86"/>
      <c r="O278" s="86"/>
      <c r="P278" s="91"/>
      <c r="Q278" s="86"/>
      <c r="R278" s="77"/>
      <c r="S278" s="77"/>
      <c r="T278" s="68"/>
      <c r="U278" s="68"/>
      <c r="V278" s="67"/>
      <c r="W278" s="67"/>
      <c r="X278" s="67"/>
      <c r="Y278" s="67"/>
      <c r="Z278" s="67"/>
      <c r="AA278" s="67"/>
      <c r="AB278" s="67"/>
      <c r="AC278" s="67"/>
      <c r="AD278" s="67"/>
      <c r="AE278" s="67"/>
      <c r="AF278" s="67"/>
      <c r="AG278" s="67"/>
      <c r="AH278" s="67"/>
      <c r="AI278" s="67"/>
      <c r="AJ278" s="67"/>
      <c r="AK278" s="67"/>
      <c r="AL278" s="67"/>
      <c r="AM278" s="67"/>
      <c r="AN278" s="77"/>
      <c r="AO278" s="76"/>
      <c r="AP278" s="77"/>
      <c r="AQ278" s="76"/>
      <c r="AR278" s="76"/>
      <c r="AS278" s="76"/>
      <c r="AT278" s="76"/>
      <c r="AU278" s="76"/>
      <c r="AV278" s="77"/>
      <c r="AW278" s="76"/>
      <c r="AX278" s="77"/>
      <c r="AY278" s="76"/>
      <c r="AZ278" s="76"/>
      <c r="BA278" s="76"/>
      <c r="BB278" s="76"/>
      <c r="BC278" s="76"/>
      <c r="BD278" s="77"/>
      <c r="BE278" s="76"/>
      <c r="BF278" s="77"/>
      <c r="BG278" s="76"/>
      <c r="BH278" s="76"/>
      <c r="BI278" s="76"/>
      <c r="BJ278" s="76"/>
      <c r="BK278" s="76"/>
      <c r="BL278" s="77"/>
      <c r="BM278" s="76"/>
      <c r="BN278" s="77"/>
      <c r="BO278" s="76"/>
      <c r="BP278" s="76"/>
      <c r="BQ278" s="76"/>
      <c r="BR278" s="76"/>
      <c r="BS278" s="76"/>
      <c r="BT278" s="77"/>
      <c r="BU278" s="76"/>
      <c r="BV278" s="77"/>
      <c r="BW278" s="76"/>
      <c r="BX278" s="76"/>
      <c r="BY278" s="76"/>
      <c r="BZ278" s="76"/>
      <c r="CA278" s="76"/>
      <c r="CB278" s="77"/>
      <c r="CC278" s="76"/>
      <c r="CD278" s="77"/>
      <c r="CE278" s="76"/>
      <c r="CF278" s="76"/>
      <c r="CG278" s="76"/>
      <c r="CH278" s="76"/>
      <c r="CI278" s="76"/>
      <c r="CJ278" s="77"/>
      <c r="CK278" s="76"/>
      <c r="CL278" s="77"/>
      <c r="CM278" s="76"/>
      <c r="CN278" s="76"/>
      <c r="CO278" s="76"/>
      <c r="CP278" s="76"/>
      <c r="CQ278" s="76"/>
      <c r="CR278" s="78" t="str">
        <f t="shared" si="79"/>
        <v/>
      </c>
      <c r="CS278" s="79" t="str">
        <f t="shared" si="80"/>
        <v/>
      </c>
      <c r="CT278" s="79" t="str">
        <f t="shared" si="81"/>
        <v/>
      </c>
      <c r="CU278" s="79" t="str">
        <f t="shared" si="82"/>
        <v/>
      </c>
      <c r="CV278" s="79" t="str">
        <f t="shared" si="83"/>
        <v/>
      </c>
      <c r="CW278" s="79" t="str">
        <f t="shared" si="84"/>
        <v/>
      </c>
      <c r="CX278" s="79" t="str">
        <f t="shared" si="85"/>
        <v/>
      </c>
      <c r="CY278" s="79" t="str">
        <f t="shared" si="86"/>
        <v/>
      </c>
      <c r="CZ278" s="79" t="str">
        <f t="shared" si="87"/>
        <v/>
      </c>
      <c r="DA278" s="79" t="str">
        <f t="shared" si="88"/>
        <v/>
      </c>
      <c r="DB278" s="79" t="str">
        <f t="shared" si="89"/>
        <v/>
      </c>
      <c r="DC278" s="79" t="str">
        <f t="shared" si="90"/>
        <v/>
      </c>
      <c r="DD278" s="79" t="str">
        <f t="shared" si="91"/>
        <v/>
      </c>
      <c r="DE278" s="79" t="str">
        <f t="shared" si="92"/>
        <v/>
      </c>
      <c r="DF278" s="79" t="str">
        <f t="shared" si="93"/>
        <v/>
      </c>
      <c r="DG278" s="79" t="str">
        <f t="shared" si="94"/>
        <v/>
      </c>
      <c r="DH278" s="76"/>
      <c r="DI278" s="78"/>
      <c r="DJ278" s="76"/>
      <c r="DK278" s="77"/>
      <c r="DL278" s="77"/>
      <c r="DM278" s="77"/>
      <c r="DN278" s="80"/>
      <c r="DO278" s="80"/>
      <c r="DP278" s="92" t="str">
        <f>IF(Table1[Start Date]="","",IF(Table1[Start Date]&gt;42185,"",IF(AND(Table1[Leaving Date]&gt;1,Table1[Leaving Date]&lt;42095),"",1)))</f>
        <v/>
      </c>
      <c r="DQ278" s="92" t="str">
        <f>IF(Table1[Start Date]="","",IF(Table1[Start Date]&gt;42277,"",IF(AND(Table1[Leaving Date]&gt;1,Table1[Leaving Date]&lt;42186),"",1)))</f>
        <v/>
      </c>
      <c r="DR278" s="92" t="str">
        <f>IF(Table1[Start Date]="","",IF(Table1[Start Date]&gt;42369,"",IF(AND(Table1[Leaving Date]&gt;1,Table1[Leaving Date]&lt;42278),"",1)))</f>
        <v/>
      </c>
      <c r="DS278" s="92" t="str">
        <f>IF(Table1[Start Date]="","",IF(Table1[Start Date]&gt;42460,"",IF(AND(Table1[Leaving Date]&gt;1,Table1[Leaving Date]&lt;42370),"",1)))</f>
        <v/>
      </c>
      <c r="DT278" s="92" t="str">
        <f>IF(Table1[Start Date]="","",IF(Table1[Start Date]&gt;42551,"",IF(AND(Table1[Leaving Date]&gt;1,Table1[Leaving Date]&lt;42461),"",1)))</f>
        <v/>
      </c>
      <c r="DU278" s="92" t="str">
        <f>IF(Table1[Start Date]="","",IF(Table1[Start Date]&gt;42643,"",IF(AND(Table1[Leaving Date]&gt;1,Table1[Leaving Date]&lt;42552),"",1)))</f>
        <v/>
      </c>
      <c r="DV278" s="92" t="str">
        <f>IF(Table1[Start Date]="","",IF(Table1[Start Date]&gt;42735,"",IF(AND(Table1[Leaving Date]&gt;1,Table1[Leaving Date]&lt;42644),"",1)))</f>
        <v/>
      </c>
      <c r="DW278" s="92" t="str">
        <f>IF(Table1[Start Date]="","",IF(Table1[Start Date]&gt;42825,"",IF(AND(Table1[Leaving Date]&gt;1,Table1[Leaving Date]&lt;42736),"",1)))</f>
        <v/>
      </c>
      <c r="DX278"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278" s="44" t="e">
        <f>VLOOKUP(Table1[Referral Source],Lists!$G$2:$H$20,2,FALSE)</f>
        <v>#N/A</v>
      </c>
      <c r="DZ278" s="93" t="e">
        <f>SUM(Table1[Data Referral Quarter]+Table1[Data Referral Source])</f>
        <v>#N/A</v>
      </c>
      <c r="EA278" s="44" t="b">
        <f>IF(Table1[Referral Decision]="Accepted",100,IF(Table1[Referral Decision]="Rejected by Provider",200,IF(Table1[Referral Decision]="Rejected by Applicant",300)))</f>
        <v>0</v>
      </c>
      <c r="EB278" s="44">
        <f>SUM(Table1[Data Referral Quarter]+Table1[Data Referral Decision])</f>
        <v>0</v>
      </c>
      <c r="EC278" s="44" t="b">
        <f>IF(Table1[Start Date]&gt;42735,8000,IF(Table1[Start Date]&gt;42643,7000,IF(Table1[Start Date]&gt;42551,6000,IF(Table1[Start Date]&gt;42460,5000,IF(Table1[Start Date]&gt;42369,4000,IF(Table1[Start Date]&gt;42277,3000,IF(Table1[Start Date]&gt;42185,2000,IF(Table1[Start Date]&gt;42094,1000))))))))</f>
        <v>0</v>
      </c>
      <c r="ED278" s="44" t="str">
        <f>IF(Table1[Start Date]="","",IF(Table1[Current Local Authority]="Swindon",1,"2"))</f>
        <v/>
      </c>
      <c r="EE278" s="44" t="e">
        <f>SUM(Table1[Data Start Date]+Table1[Data Local Authority])</f>
        <v>#VALUE!</v>
      </c>
      <c r="EF278" s="44">
        <f>IF(Table1[Registered with GP]="Yes",1,0)</f>
        <v>0</v>
      </c>
      <c r="EG278" s="44">
        <f>SUM(Table1[Data Start Date]+Table1[Data GP Start])</f>
        <v>0</v>
      </c>
      <c r="EH278" s="44" t="str">
        <f>IF(Table1[EET]="NEET",1,IF(Table1[EET]="Education",2,IF(Table1[EET]="Employment",2,IF(Table1[EET]="Training",2,IF(Table1[EET]="Retired",3,"")))))</f>
        <v/>
      </c>
      <c r="EI278" s="44" t="e">
        <f>Table1[Data Start Date]+Table1[Data EET Start]</f>
        <v>#VALUE!</v>
      </c>
      <c r="EJ278" s="44" t="b">
        <f>IF(Table1[Leaving Date]&gt;42735,8000,IF(Table1[Leaving Date]&gt;42643,7000,IF(Table1[Leaving Date]&gt;42551,6000,IF(Table1[Leaving Date]&gt;42460,5000,IF(Table1[Leaving Date]&gt;42369,4000,IF(Table1[Leaving Date]&gt;42277,3000,IF(Table1[Leaving Date]&gt;42185,2000,IF(Table1[Leaving Date]&gt;42094,1000))))))))</f>
        <v>0</v>
      </c>
      <c r="EK278" s="44" t="e">
        <f>VLOOKUP(Table1[Reason for Leaving],Lists!$T$2:$U$15,2,FALSE)</f>
        <v>#N/A</v>
      </c>
      <c r="EL278" s="44" t="e">
        <f>SUM(Table1[Data Leavers Date]+Table1[Data Move On])</f>
        <v>#N/A</v>
      </c>
      <c r="EM278" s="44" t="b">
        <f>IF(Table1[Registered with GP2]="Yes",1,IF(Table1[Registered with GP2]="No",0,IF(Table1[Registered with GP]="Yes",1,IF(Table1[Registered with GP]="No",0))))</f>
        <v>0</v>
      </c>
      <c r="EN278" s="44">
        <f>SUM(Table1[Data Leavers Date]+Table1[Data GP End])</f>
        <v>0</v>
      </c>
      <c r="EO278" s="44" t="str">
        <f>IF(Table1[EET2]="NEET",1,IF(Table1[EET2]="Employment",2,IF(Table1[EET2]="Education",2,IF(Table1[EET2]="Training",2,IF(Table1[EET2]="Retired",3,IF(Table1[EET]="NEET",1,IF(Table1[EET]="Employment",2,IF(Table1[EET]="Education",2,IF(Table1[EET]="Training",2,IF(Table1[EET]="Retired",3,""))))))))))</f>
        <v/>
      </c>
      <c r="EP278" s="44" t="e">
        <f>+Table1[[#This Row],[Data Leavers Date]]+Table1[[#This Row],[Data EET End]]</f>
        <v>#VALUE!</v>
      </c>
      <c r="EQ278" s="44">
        <f>IF(Table1[Exit Form Received]="Yes",1,0)</f>
        <v>0</v>
      </c>
      <c r="ER278" s="44">
        <f>+Table1[[#This Row],[Data Leavers Date]]+Table1[[#This Row],[Data Exit Forms]]</f>
        <v>0</v>
      </c>
      <c r="ES278" s="44" t="str">
        <f>IF(Table1[Data Leavers Date]=1000,SUM(Table1[Leaving Date]-Table1[Start Date]),"")</f>
        <v/>
      </c>
      <c r="ET278" s="44" t="str">
        <f>IF(Table1[Data Leavers Date]=2000,SUM(Table1[Leaving Date]-Table1[Start Date]),"")</f>
        <v/>
      </c>
      <c r="EU278" s="44" t="str">
        <f>IF(Table1[Data Leavers Date]=3000,SUM(Table1[Leaving Date]-Table1[Start Date]),"")</f>
        <v/>
      </c>
      <c r="EV278" s="44" t="str">
        <f>IF(Table1[Data Leavers Date]=4000,SUM(Table1[Leaving Date]-Table1[Start Date]),"")</f>
        <v/>
      </c>
      <c r="EW278" s="44" t="str">
        <f>IF(Table1[Data Leavers Date]=5000,SUM(Table1[Leaving Date]-Table1[Start Date]),"")</f>
        <v/>
      </c>
      <c r="EX278" s="44" t="str">
        <f>IF(Table1[Data Leavers Date]=6000,SUM(Table1[Leaving Date]-Table1[Start Date]),"")</f>
        <v/>
      </c>
      <c r="EY278" s="44" t="str">
        <f>IF(Table1[Data Leavers Date]=7000,SUM(Table1[Leaving Date]-Table1[Start Date]),"")</f>
        <v/>
      </c>
      <c r="EZ278" s="44" t="str">
        <f>IF(Table1[Data Leavers Date]=8000,SUM(Table1[Leaving Date]-Table1[Start Date]),"")</f>
        <v/>
      </c>
      <c r="FA278" s="44" t="str">
        <f>IF(Table1[Date of Initial Assessment]="","",IF(AND(Table1[Start Date]&gt;42094,Table1[Start Date]&lt;42461),Table1[Motivation and Taking Responsibility],""))</f>
        <v/>
      </c>
      <c r="FB278" s="44" t="str">
        <f>IF(Table1[Date of Initial Assessment]="","",IF(AND(Table1[Start Date]&gt;42094,Table1[Start Date]&lt;42461),Table1[Self-Care and Living Skills],""))</f>
        <v/>
      </c>
      <c r="FC278" s="44" t="str">
        <f>IF(Table1[Date of Initial Assessment]="","",IF(AND(Table1[Start Date]&gt;42094,Table1[Start Date]&lt;42461),Table1[Managing Money and Personal Administration],""))</f>
        <v/>
      </c>
      <c r="FD278" s="44" t="str">
        <f>IF(Table1[Date of Initial Assessment]="","",IF(AND(Table1[Start Date]&gt;42094,Table1[Start Date]&lt;42461),Table1[Social Networks and Relationships],""))</f>
        <v/>
      </c>
      <c r="FE278" s="44" t="str">
        <f>IF(Table1[Date of Initial Assessment]="","",IF(AND(Table1[Start Date]&gt;42094,Table1[Start Date]&lt;42461),Table1[Drug and Alcohol Misuse],""))</f>
        <v/>
      </c>
      <c r="FF278" s="44" t="str">
        <f>IF(Table1[Date of Initial Assessment]="","",IF(AND(Table1[Start Date]&gt;42094,Table1[Start Date]&lt;42461),Table1[Physical Health],""))</f>
        <v/>
      </c>
      <c r="FG278" s="44" t="str">
        <f>IF(Table1[Date of Initial Assessment]="","",IF(AND(Table1[Start Date]&gt;42094,Table1[Start Date]&lt;42461),Table1[Emotional and Mental Health],""))</f>
        <v/>
      </c>
      <c r="FH278" s="44" t="str">
        <f>IF(Table1[Date of Initial Assessment]="","",IF(AND(Table1[Start Date]&gt;42094,Table1[Start Date]&lt;42461),Table1[Meaningful Use of Time],""))</f>
        <v/>
      </c>
      <c r="FI278" s="44" t="str">
        <f>IF(Table1[Date of Initial Assessment]="","",IF(AND(Table1[Start Date]&gt;42094,Table1[Start Date]&lt;42461),Table1[Managing Tenancy and Accommodation],""))</f>
        <v/>
      </c>
      <c r="FJ278" s="44" t="str">
        <f>IF(Table1[Date of Initial Assessment]="","",IF(AND(Table1[Start Date]&gt;42094,Table1[Start Date]&lt;42461),Table1[Offending],""))</f>
        <v/>
      </c>
      <c r="FK278" s="44" t="str">
        <f>IF(Table1[Leaving Date]="","",IF(Table1[Date of Initial Assessment]="","",IF(AND(Table1[Leaving Date]&gt;42094,Table1[Leaving Date]&lt;42461),IF(Table1[Date of Last Assessment]="",Table1[Motivation and Taking Responsibility],Table1[Motivation and Taking Responsibility2]),"")))</f>
        <v/>
      </c>
      <c r="FL278" s="44" t="str">
        <f>IF(Table1[Leaving Date]="","",IF(Table1[Date of Initial Assessment]="","",IF(AND(Table1[Leaving Date]&gt;42094,Table1[Leaving Date]&lt;42461),IF(Table1[Date of Last Assessment]="",Table1[Self-Care and Living Skills],Table1[Self-Care and Living Skills2]),"")))</f>
        <v/>
      </c>
      <c r="FM278" s="44" t="str">
        <f>IF(Table1[Leaving Date]="","",IF(Table1[Date of Initial Assessment]="","",IF(AND(Table1[Leaving Date]&gt;42094,Table1[Leaving Date]&lt;42461),IF(Table1[Date of Last Assessment]="",Table1[Managing Money and Personal Administration],Table1[Managing Money and Personal Administration2]),"")))</f>
        <v/>
      </c>
      <c r="FN278" s="44" t="str">
        <f>IF(Table1[Leaving Date]="","",IF(Table1[Date of Initial Assessment]="","",IF(AND(Table1[Leaving Date]&gt;42094,Table1[Leaving Date]&lt;42461),IF(Table1[Date of Last Assessment]="",Table1[Social Networks and Relationships],Table1[Social Networks and Relationships2]),"")))</f>
        <v/>
      </c>
      <c r="FO278" s="44" t="str">
        <f>IF(Table1[Leaving Date]="","",IF(Table1[Date of Initial Assessment]="","",IF(AND(Table1[Leaving Date]&gt;42094,Table1[Leaving Date]&lt;42461),IF(Table1[Date of Last Assessment]="",Table1[Drug and Alcohol Misuse],Table1[Drug and Alcohol Misuse2]),"")))</f>
        <v/>
      </c>
      <c r="FP278" s="44" t="str">
        <f>IF(Table1[Leaving Date]="","",IF(Table1[Date of Initial Assessment]="","",IF(AND(Table1[Leaving Date]&gt;42094,Table1[Leaving Date]&lt;42461),IF(Table1[Date of Last Assessment]="",Table1[Physical Health],Table1[Physical Health2]),"")))</f>
        <v/>
      </c>
      <c r="FQ278" s="44" t="str">
        <f>IF(Table1[Leaving Date]="","",IF(Table1[Date of Initial Assessment]="","",IF(AND(Table1[Leaving Date]&gt;42094,Table1[Leaving Date]&lt;42461),IF(Table1[Date of Last Assessment]="",Table1[Emotional and Mental Health],Table1[Emotional and Mental Health2]),"")))</f>
        <v/>
      </c>
      <c r="FR278" s="44" t="str">
        <f>IF(Table1[Leaving Date]="","",IF(Table1[Date of Initial Assessment]="","",IF(AND(Table1[Leaving Date]&gt;42094,Table1[Leaving Date]&lt;42461),IF(Table1[Date of Last Assessment]="",Table1[Meaningful Use of Time],Table1[Meaningful Use of Time2]),"")))</f>
        <v/>
      </c>
      <c r="FS278" s="44" t="str">
        <f>IF(Table1[Leaving Date]="","",IF(Table1[Date of Initial Assessment]="","",IF(AND(Table1[Leaving Date]&gt;42094,Table1[Leaving Date]&lt;42461),IF(Table1[Date of Last Assessment]="",Table1[Managing Tenancy and Accommodation],Table1[Managing Tenancy and Accommodation2]),"")))</f>
        <v/>
      </c>
      <c r="FT278" s="44" t="str">
        <f>IF(Table1[Leaving Date]="","",IF(Table1[Date of Initial Assessment]="","",IF(AND(Table1[Leaving Date]&gt;42094,Table1[Leaving Date]&lt;42461),IF(Table1[Date of Last Assessment]="",Table1[Offending],Table1[Offending2]),"")))</f>
        <v/>
      </c>
      <c r="FU278" s="44" t="str">
        <f>IF(Table1[Date of Initial Assessment]="","",IF(AND(Table1[Start Date]&gt;42460,Table1[Start Date]&lt;42826),Table1[Motivation and Taking Responsibility],""))</f>
        <v/>
      </c>
      <c r="FV278" s="44" t="str">
        <f>IF(Table1[Date of Initial Assessment]="","",IF(AND(Table1[Start Date]&gt;42460,Table1[Start Date]&lt;42826),Table1[Self-Care and Living Skills],""))</f>
        <v/>
      </c>
      <c r="FW278" s="44" t="str">
        <f>IF(Table1[Date of Initial Assessment]="","",IF(AND(Table1[Start Date]&gt;42460,Table1[Start Date]&lt;42826),Table1[Managing Money and Personal Administration],""))</f>
        <v/>
      </c>
      <c r="FX278" s="44" t="str">
        <f>IF(Table1[Date of Initial Assessment]="","",IF(AND(Table1[Start Date]&gt;42460,Table1[Start Date]&lt;42826),Table1[Social Networks and Relationships],""))</f>
        <v/>
      </c>
      <c r="FY278" s="44" t="str">
        <f>IF(Table1[Date of Initial Assessment]="","",IF(AND(Table1[Start Date]&gt;42460,Table1[Start Date]&lt;42826),Table1[Drug and Alcohol Misuse],""))</f>
        <v/>
      </c>
      <c r="FZ278" s="44" t="str">
        <f>IF(Table1[Date of Initial Assessment]="","",IF(AND(Table1[Start Date]&gt;42460,Table1[Start Date]&lt;42826),Table1[Physical Health],""))</f>
        <v/>
      </c>
      <c r="GA278" s="44" t="str">
        <f>IF(Table1[Date of Initial Assessment]="","",IF(AND(Table1[Start Date]&gt;42460,Table1[Start Date]&lt;42826),Table1[Emotional and Mental Health],""))</f>
        <v/>
      </c>
      <c r="GB278" s="44" t="str">
        <f>IF(Table1[Date of Initial Assessment]="","",IF(AND(Table1[Start Date]&gt;42460,Table1[Start Date]&lt;42826),Table1[Meaningful Use of Time],""))</f>
        <v/>
      </c>
      <c r="GC278" s="44" t="str">
        <f>IF(Table1[Date of Initial Assessment]="","",IF(AND(Table1[Start Date]&gt;42460,Table1[Start Date]&lt;42826),Table1[Managing Tenancy and Accommodation],""))</f>
        <v/>
      </c>
      <c r="GD278" s="44" t="str">
        <f>IF(Table1[Date of Initial Assessment]="","",IF(AND(Table1[Start Date]&gt;42460,Table1[Start Date]&lt;42826),Table1[Offending],""))</f>
        <v/>
      </c>
      <c r="GE278" s="44" t="str">
        <f>IF(Table1[Leaving Date]="","",IF(AND(Table1[Leaving Date]&gt;42460,Table1[Leaving Date]&lt;42826),IF(Table1[Date of Last Assessment]="",Table1[Motivation and Taking Responsibility],Table1[Motivation and Taking Responsibility2]),""))</f>
        <v/>
      </c>
      <c r="GF278" s="44" t="str">
        <f>IF(Table1[Leaving Date]="","",IF(AND(Table1[Leaving Date]&gt;42460,Table1[Leaving Date]&lt;42826),IF(Table1[Date of Last Assessment]="",Table1[Self-Care and Living Skills],Table1[Self-Care and Living Skills2]),""))</f>
        <v/>
      </c>
      <c r="GG278" s="44" t="str">
        <f>IF(Table1[Leaving Date]="","",IF(AND(Table1[Leaving Date]&gt;42460,Table1[Leaving Date]&lt;42826),IF(Table1[Date of Last Assessment]="",Table1[Managing Money and Personal Administration],Table1[Managing Money and Personal Administration2]),""))</f>
        <v/>
      </c>
      <c r="GH278" s="44" t="str">
        <f>IF(Table1[Leaving Date]="","",IF(AND(Table1[Leaving Date]&gt;42460,Table1[Leaving Date]&lt;42826),IF(Table1[Date of Last Assessment]="",Table1[Social Networks and Relationships],Table1[Social Networks and Relationships2]),""))</f>
        <v/>
      </c>
      <c r="GI278" s="44" t="str">
        <f>IF(Table1[Leaving Date]="","",IF(AND(Table1[Leaving Date]&gt;42460,Table1[Leaving Date]&lt;42826),IF(Table1[Date of Last Assessment]="",Table1[Drug and Alcohol Misuse],Table1[Drug and Alcohol Misuse2]),""))</f>
        <v/>
      </c>
      <c r="GJ278" s="44" t="str">
        <f>IF(Table1[Leaving Date]="","",IF(AND(Table1[Leaving Date]&gt;42460,Table1[Leaving Date]&lt;42826),IF(Table1[Date of Last Assessment]="",Table1[Physical Health],Table1[Physical Health2]),""))</f>
        <v/>
      </c>
      <c r="GK278" s="44" t="str">
        <f>IF(Table1[Leaving Date]="","",IF(AND(Table1[Leaving Date]&gt;42460,Table1[Leaving Date]&lt;42826),IF(Table1[Date of Last Assessment]="",Table1[Emotional and Mental Health],Table1[Emotional and Mental Health2]),""))</f>
        <v/>
      </c>
      <c r="GL278" s="44" t="str">
        <f>IF(Table1[Leaving Date]="","",IF(AND(Table1[Leaving Date]&gt;42460,Table1[Leaving Date]&lt;42826),IF(Table1[Date of Last Assessment]="",Table1[Meaningful Use of Time],Table1[Meaningful Use of Time2]),""))</f>
        <v/>
      </c>
      <c r="GM278" s="44" t="str">
        <f>IF(Table1[Leaving Date]="","",IF(AND(Table1[Leaving Date]&gt;42460,Table1[Leaving Date]&lt;42826),IF(Table1[Date of Last Assessment]="",Table1[Managing Tenancy and Accommodation],Table1[Managing Tenancy and Accommodation2]),""))</f>
        <v/>
      </c>
      <c r="GN278" s="44" t="str">
        <f>IF(Table1[Leaving Date]="","",IF(AND(Table1[Leaving Date]&gt;42460,Table1[Leaving Date]&lt;42826),IF(Table1[Date of Last Assessment]="",Table1[Offending],Table1[Offending2]),""))</f>
        <v/>
      </c>
    </row>
    <row r="279" spans="2:196" ht="20.100000000000001" customHeight="1" x14ac:dyDescent="0.2">
      <c r="B279" s="86">
        <f>+'Service Data'!$C$5:$C$5</f>
        <v>0</v>
      </c>
      <c r="C279" s="86"/>
      <c r="D279" s="86"/>
      <c r="E279" s="86"/>
      <c r="F279" s="86"/>
      <c r="G279" s="86"/>
      <c r="H279" s="6"/>
      <c r="I279" s="99" t="str">
        <f ca="1">IF(Table1[[#This Row],[Date of Birth]]="","",SUM(TODAY()-Table1[[#This Row],[Date of Birth]])/365)</f>
        <v/>
      </c>
      <c r="L279" s="86"/>
      <c r="M279" s="77"/>
      <c r="N279" s="86"/>
      <c r="O279" s="86"/>
      <c r="P279" s="91"/>
      <c r="Q279" s="86"/>
      <c r="R279" s="77"/>
      <c r="S279" s="77"/>
      <c r="T279" s="68"/>
      <c r="U279" s="68"/>
      <c r="V279" s="67"/>
      <c r="W279" s="67"/>
      <c r="X279" s="67"/>
      <c r="Y279" s="67"/>
      <c r="Z279" s="67"/>
      <c r="AA279" s="67"/>
      <c r="AB279" s="67"/>
      <c r="AC279" s="67"/>
      <c r="AD279" s="67"/>
      <c r="AE279" s="67"/>
      <c r="AF279" s="67"/>
      <c r="AG279" s="67"/>
      <c r="AH279" s="67"/>
      <c r="AI279" s="67"/>
      <c r="AJ279" s="67"/>
      <c r="AK279" s="67"/>
      <c r="AL279" s="67"/>
      <c r="AM279" s="67"/>
      <c r="AN279" s="77"/>
      <c r="AO279" s="76"/>
      <c r="AP279" s="77"/>
      <c r="AQ279" s="76"/>
      <c r="AR279" s="76"/>
      <c r="AS279" s="76"/>
      <c r="AT279" s="76"/>
      <c r="AU279" s="76"/>
      <c r="AV279" s="77"/>
      <c r="AW279" s="76"/>
      <c r="AX279" s="77"/>
      <c r="AY279" s="76"/>
      <c r="AZ279" s="76"/>
      <c r="BA279" s="76"/>
      <c r="BB279" s="76"/>
      <c r="BC279" s="76"/>
      <c r="BD279" s="77"/>
      <c r="BE279" s="76"/>
      <c r="BF279" s="77"/>
      <c r="BG279" s="76"/>
      <c r="BH279" s="76"/>
      <c r="BI279" s="76"/>
      <c r="BJ279" s="76"/>
      <c r="BK279" s="76"/>
      <c r="BL279" s="77"/>
      <c r="BM279" s="76"/>
      <c r="BN279" s="77"/>
      <c r="BO279" s="76"/>
      <c r="BP279" s="76"/>
      <c r="BQ279" s="76"/>
      <c r="BR279" s="76"/>
      <c r="BS279" s="76"/>
      <c r="BT279" s="77"/>
      <c r="BU279" s="76"/>
      <c r="BV279" s="77"/>
      <c r="BW279" s="76"/>
      <c r="BX279" s="76"/>
      <c r="BY279" s="76"/>
      <c r="BZ279" s="76"/>
      <c r="CA279" s="76"/>
      <c r="CB279" s="77"/>
      <c r="CC279" s="76"/>
      <c r="CD279" s="77"/>
      <c r="CE279" s="76"/>
      <c r="CF279" s="76"/>
      <c r="CG279" s="76"/>
      <c r="CH279" s="76"/>
      <c r="CI279" s="76"/>
      <c r="CJ279" s="77"/>
      <c r="CK279" s="76"/>
      <c r="CL279" s="77"/>
      <c r="CM279" s="76"/>
      <c r="CN279" s="76"/>
      <c r="CO279" s="76"/>
      <c r="CP279" s="76"/>
      <c r="CQ279" s="76"/>
      <c r="CR279" s="78" t="str">
        <f t="shared" si="79"/>
        <v/>
      </c>
      <c r="CS279" s="79" t="str">
        <f t="shared" si="80"/>
        <v/>
      </c>
      <c r="CT279" s="79" t="str">
        <f t="shared" si="81"/>
        <v/>
      </c>
      <c r="CU279" s="79" t="str">
        <f t="shared" si="82"/>
        <v/>
      </c>
      <c r="CV279" s="79" t="str">
        <f t="shared" si="83"/>
        <v/>
      </c>
      <c r="CW279" s="79" t="str">
        <f t="shared" si="84"/>
        <v/>
      </c>
      <c r="CX279" s="79" t="str">
        <f t="shared" si="85"/>
        <v/>
      </c>
      <c r="CY279" s="79" t="str">
        <f t="shared" si="86"/>
        <v/>
      </c>
      <c r="CZ279" s="79" t="str">
        <f t="shared" si="87"/>
        <v/>
      </c>
      <c r="DA279" s="79" t="str">
        <f t="shared" si="88"/>
        <v/>
      </c>
      <c r="DB279" s="79" t="str">
        <f t="shared" si="89"/>
        <v/>
      </c>
      <c r="DC279" s="79" t="str">
        <f t="shared" si="90"/>
        <v/>
      </c>
      <c r="DD279" s="79" t="str">
        <f t="shared" si="91"/>
        <v/>
      </c>
      <c r="DE279" s="79" t="str">
        <f t="shared" si="92"/>
        <v/>
      </c>
      <c r="DF279" s="79" t="str">
        <f t="shared" si="93"/>
        <v/>
      </c>
      <c r="DG279" s="79" t="str">
        <f t="shared" si="94"/>
        <v/>
      </c>
      <c r="DH279" s="76"/>
      <c r="DI279" s="78"/>
      <c r="DJ279" s="76"/>
      <c r="DK279" s="77"/>
      <c r="DL279" s="77"/>
      <c r="DM279" s="77"/>
      <c r="DN279" s="80"/>
      <c r="DO279" s="80"/>
      <c r="DP279" s="92" t="str">
        <f>IF(Table1[Start Date]="","",IF(Table1[Start Date]&gt;42185,"",IF(AND(Table1[Leaving Date]&gt;1,Table1[Leaving Date]&lt;42095),"",1)))</f>
        <v/>
      </c>
      <c r="DQ279" s="92" t="str">
        <f>IF(Table1[Start Date]="","",IF(Table1[Start Date]&gt;42277,"",IF(AND(Table1[Leaving Date]&gt;1,Table1[Leaving Date]&lt;42186),"",1)))</f>
        <v/>
      </c>
      <c r="DR279" s="92" t="str">
        <f>IF(Table1[Start Date]="","",IF(Table1[Start Date]&gt;42369,"",IF(AND(Table1[Leaving Date]&gt;1,Table1[Leaving Date]&lt;42278),"",1)))</f>
        <v/>
      </c>
      <c r="DS279" s="92" t="str">
        <f>IF(Table1[Start Date]="","",IF(Table1[Start Date]&gt;42460,"",IF(AND(Table1[Leaving Date]&gt;1,Table1[Leaving Date]&lt;42370),"",1)))</f>
        <v/>
      </c>
      <c r="DT279" s="92" t="str">
        <f>IF(Table1[Start Date]="","",IF(Table1[Start Date]&gt;42551,"",IF(AND(Table1[Leaving Date]&gt;1,Table1[Leaving Date]&lt;42461),"",1)))</f>
        <v/>
      </c>
      <c r="DU279" s="92" t="str">
        <f>IF(Table1[Start Date]="","",IF(Table1[Start Date]&gt;42643,"",IF(AND(Table1[Leaving Date]&gt;1,Table1[Leaving Date]&lt;42552),"",1)))</f>
        <v/>
      </c>
      <c r="DV279" s="92" t="str">
        <f>IF(Table1[Start Date]="","",IF(Table1[Start Date]&gt;42735,"",IF(AND(Table1[Leaving Date]&gt;1,Table1[Leaving Date]&lt;42644),"",1)))</f>
        <v/>
      </c>
      <c r="DW279" s="92" t="str">
        <f>IF(Table1[Start Date]="","",IF(Table1[Start Date]&gt;42825,"",IF(AND(Table1[Leaving Date]&gt;1,Table1[Leaving Date]&lt;42736),"",1)))</f>
        <v/>
      </c>
      <c r="DX279"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279" s="44" t="e">
        <f>VLOOKUP(Table1[Referral Source],Lists!$G$2:$H$20,2,FALSE)</f>
        <v>#N/A</v>
      </c>
      <c r="DZ279" s="93" t="e">
        <f>SUM(Table1[Data Referral Quarter]+Table1[Data Referral Source])</f>
        <v>#N/A</v>
      </c>
      <c r="EA279" s="44" t="b">
        <f>IF(Table1[Referral Decision]="Accepted",100,IF(Table1[Referral Decision]="Rejected by Provider",200,IF(Table1[Referral Decision]="Rejected by Applicant",300)))</f>
        <v>0</v>
      </c>
      <c r="EB279" s="44">
        <f>SUM(Table1[Data Referral Quarter]+Table1[Data Referral Decision])</f>
        <v>0</v>
      </c>
      <c r="EC279" s="44" t="b">
        <f>IF(Table1[Start Date]&gt;42735,8000,IF(Table1[Start Date]&gt;42643,7000,IF(Table1[Start Date]&gt;42551,6000,IF(Table1[Start Date]&gt;42460,5000,IF(Table1[Start Date]&gt;42369,4000,IF(Table1[Start Date]&gt;42277,3000,IF(Table1[Start Date]&gt;42185,2000,IF(Table1[Start Date]&gt;42094,1000))))))))</f>
        <v>0</v>
      </c>
      <c r="ED279" s="44" t="str">
        <f>IF(Table1[Start Date]="","",IF(Table1[Current Local Authority]="Swindon",1,"2"))</f>
        <v/>
      </c>
      <c r="EE279" s="44" t="e">
        <f>SUM(Table1[Data Start Date]+Table1[Data Local Authority])</f>
        <v>#VALUE!</v>
      </c>
      <c r="EF279" s="44">
        <f>IF(Table1[Registered with GP]="Yes",1,0)</f>
        <v>0</v>
      </c>
      <c r="EG279" s="44">
        <f>SUM(Table1[Data Start Date]+Table1[Data GP Start])</f>
        <v>0</v>
      </c>
      <c r="EH279" s="44" t="str">
        <f>IF(Table1[EET]="NEET",1,IF(Table1[EET]="Education",2,IF(Table1[EET]="Employment",2,IF(Table1[EET]="Training",2,IF(Table1[EET]="Retired",3,"")))))</f>
        <v/>
      </c>
      <c r="EI279" s="44" t="e">
        <f>Table1[Data Start Date]+Table1[Data EET Start]</f>
        <v>#VALUE!</v>
      </c>
      <c r="EJ279" s="44" t="b">
        <f>IF(Table1[Leaving Date]&gt;42735,8000,IF(Table1[Leaving Date]&gt;42643,7000,IF(Table1[Leaving Date]&gt;42551,6000,IF(Table1[Leaving Date]&gt;42460,5000,IF(Table1[Leaving Date]&gt;42369,4000,IF(Table1[Leaving Date]&gt;42277,3000,IF(Table1[Leaving Date]&gt;42185,2000,IF(Table1[Leaving Date]&gt;42094,1000))))))))</f>
        <v>0</v>
      </c>
      <c r="EK279" s="44" t="e">
        <f>VLOOKUP(Table1[Reason for Leaving],Lists!$T$2:$U$15,2,FALSE)</f>
        <v>#N/A</v>
      </c>
      <c r="EL279" s="44" t="e">
        <f>SUM(Table1[Data Leavers Date]+Table1[Data Move On])</f>
        <v>#N/A</v>
      </c>
      <c r="EM279" s="44" t="b">
        <f>IF(Table1[Registered with GP2]="Yes",1,IF(Table1[Registered with GP2]="No",0,IF(Table1[Registered with GP]="Yes",1,IF(Table1[Registered with GP]="No",0))))</f>
        <v>0</v>
      </c>
      <c r="EN279" s="44">
        <f>SUM(Table1[Data Leavers Date]+Table1[Data GP End])</f>
        <v>0</v>
      </c>
      <c r="EO279" s="44" t="str">
        <f>IF(Table1[EET2]="NEET",1,IF(Table1[EET2]="Employment",2,IF(Table1[EET2]="Education",2,IF(Table1[EET2]="Training",2,IF(Table1[EET2]="Retired",3,IF(Table1[EET]="NEET",1,IF(Table1[EET]="Employment",2,IF(Table1[EET]="Education",2,IF(Table1[EET]="Training",2,IF(Table1[EET]="Retired",3,""))))))))))</f>
        <v/>
      </c>
      <c r="EP279" s="44" t="e">
        <f>+Table1[[#This Row],[Data Leavers Date]]+Table1[[#This Row],[Data EET End]]</f>
        <v>#VALUE!</v>
      </c>
      <c r="EQ279" s="44">
        <f>IF(Table1[Exit Form Received]="Yes",1,0)</f>
        <v>0</v>
      </c>
      <c r="ER279" s="44">
        <f>+Table1[[#This Row],[Data Leavers Date]]+Table1[[#This Row],[Data Exit Forms]]</f>
        <v>0</v>
      </c>
      <c r="ES279" s="44" t="str">
        <f>IF(Table1[Data Leavers Date]=1000,SUM(Table1[Leaving Date]-Table1[Start Date]),"")</f>
        <v/>
      </c>
      <c r="ET279" s="44" t="str">
        <f>IF(Table1[Data Leavers Date]=2000,SUM(Table1[Leaving Date]-Table1[Start Date]),"")</f>
        <v/>
      </c>
      <c r="EU279" s="44" t="str">
        <f>IF(Table1[Data Leavers Date]=3000,SUM(Table1[Leaving Date]-Table1[Start Date]),"")</f>
        <v/>
      </c>
      <c r="EV279" s="44" t="str">
        <f>IF(Table1[Data Leavers Date]=4000,SUM(Table1[Leaving Date]-Table1[Start Date]),"")</f>
        <v/>
      </c>
      <c r="EW279" s="44" t="str">
        <f>IF(Table1[Data Leavers Date]=5000,SUM(Table1[Leaving Date]-Table1[Start Date]),"")</f>
        <v/>
      </c>
      <c r="EX279" s="44" t="str">
        <f>IF(Table1[Data Leavers Date]=6000,SUM(Table1[Leaving Date]-Table1[Start Date]),"")</f>
        <v/>
      </c>
      <c r="EY279" s="44" t="str">
        <f>IF(Table1[Data Leavers Date]=7000,SUM(Table1[Leaving Date]-Table1[Start Date]),"")</f>
        <v/>
      </c>
      <c r="EZ279" s="44" t="str">
        <f>IF(Table1[Data Leavers Date]=8000,SUM(Table1[Leaving Date]-Table1[Start Date]),"")</f>
        <v/>
      </c>
      <c r="FA279" s="44" t="str">
        <f>IF(Table1[Date of Initial Assessment]="","",IF(AND(Table1[Start Date]&gt;42094,Table1[Start Date]&lt;42461),Table1[Motivation and Taking Responsibility],""))</f>
        <v/>
      </c>
      <c r="FB279" s="44" t="str">
        <f>IF(Table1[Date of Initial Assessment]="","",IF(AND(Table1[Start Date]&gt;42094,Table1[Start Date]&lt;42461),Table1[Self-Care and Living Skills],""))</f>
        <v/>
      </c>
      <c r="FC279" s="44" t="str">
        <f>IF(Table1[Date of Initial Assessment]="","",IF(AND(Table1[Start Date]&gt;42094,Table1[Start Date]&lt;42461),Table1[Managing Money and Personal Administration],""))</f>
        <v/>
      </c>
      <c r="FD279" s="44" t="str">
        <f>IF(Table1[Date of Initial Assessment]="","",IF(AND(Table1[Start Date]&gt;42094,Table1[Start Date]&lt;42461),Table1[Social Networks and Relationships],""))</f>
        <v/>
      </c>
      <c r="FE279" s="44" t="str">
        <f>IF(Table1[Date of Initial Assessment]="","",IF(AND(Table1[Start Date]&gt;42094,Table1[Start Date]&lt;42461),Table1[Drug and Alcohol Misuse],""))</f>
        <v/>
      </c>
      <c r="FF279" s="44" t="str">
        <f>IF(Table1[Date of Initial Assessment]="","",IF(AND(Table1[Start Date]&gt;42094,Table1[Start Date]&lt;42461),Table1[Physical Health],""))</f>
        <v/>
      </c>
      <c r="FG279" s="44" t="str">
        <f>IF(Table1[Date of Initial Assessment]="","",IF(AND(Table1[Start Date]&gt;42094,Table1[Start Date]&lt;42461),Table1[Emotional and Mental Health],""))</f>
        <v/>
      </c>
      <c r="FH279" s="44" t="str">
        <f>IF(Table1[Date of Initial Assessment]="","",IF(AND(Table1[Start Date]&gt;42094,Table1[Start Date]&lt;42461),Table1[Meaningful Use of Time],""))</f>
        <v/>
      </c>
      <c r="FI279" s="44" t="str">
        <f>IF(Table1[Date of Initial Assessment]="","",IF(AND(Table1[Start Date]&gt;42094,Table1[Start Date]&lt;42461),Table1[Managing Tenancy and Accommodation],""))</f>
        <v/>
      </c>
      <c r="FJ279" s="44" t="str">
        <f>IF(Table1[Date of Initial Assessment]="","",IF(AND(Table1[Start Date]&gt;42094,Table1[Start Date]&lt;42461),Table1[Offending],""))</f>
        <v/>
      </c>
      <c r="FK279" s="44" t="str">
        <f>IF(Table1[Leaving Date]="","",IF(Table1[Date of Initial Assessment]="","",IF(AND(Table1[Leaving Date]&gt;42094,Table1[Leaving Date]&lt;42461),IF(Table1[Date of Last Assessment]="",Table1[Motivation and Taking Responsibility],Table1[Motivation and Taking Responsibility2]),"")))</f>
        <v/>
      </c>
      <c r="FL279" s="44" t="str">
        <f>IF(Table1[Leaving Date]="","",IF(Table1[Date of Initial Assessment]="","",IF(AND(Table1[Leaving Date]&gt;42094,Table1[Leaving Date]&lt;42461),IF(Table1[Date of Last Assessment]="",Table1[Self-Care and Living Skills],Table1[Self-Care and Living Skills2]),"")))</f>
        <v/>
      </c>
      <c r="FM279" s="44" t="str">
        <f>IF(Table1[Leaving Date]="","",IF(Table1[Date of Initial Assessment]="","",IF(AND(Table1[Leaving Date]&gt;42094,Table1[Leaving Date]&lt;42461),IF(Table1[Date of Last Assessment]="",Table1[Managing Money and Personal Administration],Table1[Managing Money and Personal Administration2]),"")))</f>
        <v/>
      </c>
      <c r="FN279" s="44" t="str">
        <f>IF(Table1[Leaving Date]="","",IF(Table1[Date of Initial Assessment]="","",IF(AND(Table1[Leaving Date]&gt;42094,Table1[Leaving Date]&lt;42461),IF(Table1[Date of Last Assessment]="",Table1[Social Networks and Relationships],Table1[Social Networks and Relationships2]),"")))</f>
        <v/>
      </c>
      <c r="FO279" s="44" t="str">
        <f>IF(Table1[Leaving Date]="","",IF(Table1[Date of Initial Assessment]="","",IF(AND(Table1[Leaving Date]&gt;42094,Table1[Leaving Date]&lt;42461),IF(Table1[Date of Last Assessment]="",Table1[Drug and Alcohol Misuse],Table1[Drug and Alcohol Misuse2]),"")))</f>
        <v/>
      </c>
      <c r="FP279" s="44" t="str">
        <f>IF(Table1[Leaving Date]="","",IF(Table1[Date of Initial Assessment]="","",IF(AND(Table1[Leaving Date]&gt;42094,Table1[Leaving Date]&lt;42461),IF(Table1[Date of Last Assessment]="",Table1[Physical Health],Table1[Physical Health2]),"")))</f>
        <v/>
      </c>
      <c r="FQ279" s="44" t="str">
        <f>IF(Table1[Leaving Date]="","",IF(Table1[Date of Initial Assessment]="","",IF(AND(Table1[Leaving Date]&gt;42094,Table1[Leaving Date]&lt;42461),IF(Table1[Date of Last Assessment]="",Table1[Emotional and Mental Health],Table1[Emotional and Mental Health2]),"")))</f>
        <v/>
      </c>
      <c r="FR279" s="44" t="str">
        <f>IF(Table1[Leaving Date]="","",IF(Table1[Date of Initial Assessment]="","",IF(AND(Table1[Leaving Date]&gt;42094,Table1[Leaving Date]&lt;42461),IF(Table1[Date of Last Assessment]="",Table1[Meaningful Use of Time],Table1[Meaningful Use of Time2]),"")))</f>
        <v/>
      </c>
      <c r="FS279" s="44" t="str">
        <f>IF(Table1[Leaving Date]="","",IF(Table1[Date of Initial Assessment]="","",IF(AND(Table1[Leaving Date]&gt;42094,Table1[Leaving Date]&lt;42461),IF(Table1[Date of Last Assessment]="",Table1[Managing Tenancy and Accommodation],Table1[Managing Tenancy and Accommodation2]),"")))</f>
        <v/>
      </c>
      <c r="FT279" s="44" t="str">
        <f>IF(Table1[Leaving Date]="","",IF(Table1[Date of Initial Assessment]="","",IF(AND(Table1[Leaving Date]&gt;42094,Table1[Leaving Date]&lt;42461),IF(Table1[Date of Last Assessment]="",Table1[Offending],Table1[Offending2]),"")))</f>
        <v/>
      </c>
      <c r="FU279" s="44" t="str">
        <f>IF(Table1[Date of Initial Assessment]="","",IF(AND(Table1[Start Date]&gt;42460,Table1[Start Date]&lt;42826),Table1[Motivation and Taking Responsibility],""))</f>
        <v/>
      </c>
      <c r="FV279" s="44" t="str">
        <f>IF(Table1[Date of Initial Assessment]="","",IF(AND(Table1[Start Date]&gt;42460,Table1[Start Date]&lt;42826),Table1[Self-Care and Living Skills],""))</f>
        <v/>
      </c>
      <c r="FW279" s="44" t="str">
        <f>IF(Table1[Date of Initial Assessment]="","",IF(AND(Table1[Start Date]&gt;42460,Table1[Start Date]&lt;42826),Table1[Managing Money and Personal Administration],""))</f>
        <v/>
      </c>
      <c r="FX279" s="44" t="str">
        <f>IF(Table1[Date of Initial Assessment]="","",IF(AND(Table1[Start Date]&gt;42460,Table1[Start Date]&lt;42826),Table1[Social Networks and Relationships],""))</f>
        <v/>
      </c>
      <c r="FY279" s="44" t="str">
        <f>IF(Table1[Date of Initial Assessment]="","",IF(AND(Table1[Start Date]&gt;42460,Table1[Start Date]&lt;42826),Table1[Drug and Alcohol Misuse],""))</f>
        <v/>
      </c>
      <c r="FZ279" s="44" t="str">
        <f>IF(Table1[Date of Initial Assessment]="","",IF(AND(Table1[Start Date]&gt;42460,Table1[Start Date]&lt;42826),Table1[Physical Health],""))</f>
        <v/>
      </c>
      <c r="GA279" s="44" t="str">
        <f>IF(Table1[Date of Initial Assessment]="","",IF(AND(Table1[Start Date]&gt;42460,Table1[Start Date]&lt;42826),Table1[Emotional and Mental Health],""))</f>
        <v/>
      </c>
      <c r="GB279" s="44" t="str">
        <f>IF(Table1[Date of Initial Assessment]="","",IF(AND(Table1[Start Date]&gt;42460,Table1[Start Date]&lt;42826),Table1[Meaningful Use of Time],""))</f>
        <v/>
      </c>
      <c r="GC279" s="44" t="str">
        <f>IF(Table1[Date of Initial Assessment]="","",IF(AND(Table1[Start Date]&gt;42460,Table1[Start Date]&lt;42826),Table1[Managing Tenancy and Accommodation],""))</f>
        <v/>
      </c>
      <c r="GD279" s="44" t="str">
        <f>IF(Table1[Date of Initial Assessment]="","",IF(AND(Table1[Start Date]&gt;42460,Table1[Start Date]&lt;42826),Table1[Offending],""))</f>
        <v/>
      </c>
      <c r="GE279" s="44" t="str">
        <f>IF(Table1[Leaving Date]="","",IF(AND(Table1[Leaving Date]&gt;42460,Table1[Leaving Date]&lt;42826),IF(Table1[Date of Last Assessment]="",Table1[Motivation and Taking Responsibility],Table1[Motivation and Taking Responsibility2]),""))</f>
        <v/>
      </c>
      <c r="GF279" s="44" t="str">
        <f>IF(Table1[Leaving Date]="","",IF(AND(Table1[Leaving Date]&gt;42460,Table1[Leaving Date]&lt;42826),IF(Table1[Date of Last Assessment]="",Table1[Self-Care and Living Skills],Table1[Self-Care and Living Skills2]),""))</f>
        <v/>
      </c>
      <c r="GG279" s="44" t="str">
        <f>IF(Table1[Leaving Date]="","",IF(AND(Table1[Leaving Date]&gt;42460,Table1[Leaving Date]&lt;42826),IF(Table1[Date of Last Assessment]="",Table1[Managing Money and Personal Administration],Table1[Managing Money and Personal Administration2]),""))</f>
        <v/>
      </c>
      <c r="GH279" s="44" t="str">
        <f>IF(Table1[Leaving Date]="","",IF(AND(Table1[Leaving Date]&gt;42460,Table1[Leaving Date]&lt;42826),IF(Table1[Date of Last Assessment]="",Table1[Social Networks and Relationships],Table1[Social Networks and Relationships2]),""))</f>
        <v/>
      </c>
      <c r="GI279" s="44" t="str">
        <f>IF(Table1[Leaving Date]="","",IF(AND(Table1[Leaving Date]&gt;42460,Table1[Leaving Date]&lt;42826),IF(Table1[Date of Last Assessment]="",Table1[Drug and Alcohol Misuse],Table1[Drug and Alcohol Misuse2]),""))</f>
        <v/>
      </c>
      <c r="GJ279" s="44" t="str">
        <f>IF(Table1[Leaving Date]="","",IF(AND(Table1[Leaving Date]&gt;42460,Table1[Leaving Date]&lt;42826),IF(Table1[Date of Last Assessment]="",Table1[Physical Health],Table1[Physical Health2]),""))</f>
        <v/>
      </c>
      <c r="GK279" s="44" t="str">
        <f>IF(Table1[Leaving Date]="","",IF(AND(Table1[Leaving Date]&gt;42460,Table1[Leaving Date]&lt;42826),IF(Table1[Date of Last Assessment]="",Table1[Emotional and Mental Health],Table1[Emotional and Mental Health2]),""))</f>
        <v/>
      </c>
      <c r="GL279" s="44" t="str">
        <f>IF(Table1[Leaving Date]="","",IF(AND(Table1[Leaving Date]&gt;42460,Table1[Leaving Date]&lt;42826),IF(Table1[Date of Last Assessment]="",Table1[Meaningful Use of Time],Table1[Meaningful Use of Time2]),""))</f>
        <v/>
      </c>
      <c r="GM279" s="44" t="str">
        <f>IF(Table1[Leaving Date]="","",IF(AND(Table1[Leaving Date]&gt;42460,Table1[Leaving Date]&lt;42826),IF(Table1[Date of Last Assessment]="",Table1[Managing Tenancy and Accommodation],Table1[Managing Tenancy and Accommodation2]),""))</f>
        <v/>
      </c>
      <c r="GN279" s="44" t="str">
        <f>IF(Table1[Leaving Date]="","",IF(AND(Table1[Leaving Date]&gt;42460,Table1[Leaving Date]&lt;42826),IF(Table1[Date of Last Assessment]="",Table1[Offending],Table1[Offending2]),""))</f>
        <v/>
      </c>
    </row>
    <row r="280" spans="2:196" ht="20.100000000000001" customHeight="1" x14ac:dyDescent="0.2">
      <c r="B280" s="86">
        <f>+'Service Data'!$C$5:$C$5</f>
        <v>0</v>
      </c>
      <c r="C280" s="86"/>
      <c r="D280" s="86"/>
      <c r="E280" s="86"/>
      <c r="F280" s="86"/>
      <c r="G280" s="86"/>
      <c r="H280" s="6"/>
      <c r="I280" s="99" t="str">
        <f ca="1">IF(Table1[[#This Row],[Date of Birth]]="","",SUM(TODAY()-Table1[[#This Row],[Date of Birth]])/365)</f>
        <v/>
      </c>
      <c r="L280" s="86"/>
      <c r="M280" s="77"/>
      <c r="N280" s="86"/>
      <c r="O280" s="86"/>
      <c r="P280" s="91"/>
      <c r="Q280" s="86"/>
      <c r="R280" s="77"/>
      <c r="S280" s="77"/>
      <c r="T280" s="68"/>
      <c r="U280" s="68"/>
      <c r="V280" s="67"/>
      <c r="W280" s="67"/>
      <c r="X280" s="67"/>
      <c r="Y280" s="67"/>
      <c r="Z280" s="67"/>
      <c r="AA280" s="67"/>
      <c r="AB280" s="67"/>
      <c r="AC280" s="67"/>
      <c r="AD280" s="67"/>
      <c r="AE280" s="67"/>
      <c r="AF280" s="67"/>
      <c r="AG280" s="67"/>
      <c r="AH280" s="67"/>
      <c r="AI280" s="67"/>
      <c r="AJ280" s="67"/>
      <c r="AK280" s="67"/>
      <c r="AL280" s="67"/>
      <c r="AM280" s="67"/>
      <c r="AN280" s="77"/>
      <c r="AO280" s="76"/>
      <c r="AP280" s="77"/>
      <c r="AQ280" s="76"/>
      <c r="AR280" s="76"/>
      <c r="AS280" s="76"/>
      <c r="AT280" s="76"/>
      <c r="AU280" s="76"/>
      <c r="AV280" s="77"/>
      <c r="AW280" s="76"/>
      <c r="AX280" s="77"/>
      <c r="AY280" s="76"/>
      <c r="AZ280" s="76"/>
      <c r="BA280" s="76"/>
      <c r="BB280" s="76"/>
      <c r="BC280" s="76"/>
      <c r="BD280" s="77"/>
      <c r="BE280" s="76"/>
      <c r="BF280" s="77"/>
      <c r="BG280" s="76"/>
      <c r="BH280" s="76"/>
      <c r="BI280" s="76"/>
      <c r="BJ280" s="76"/>
      <c r="BK280" s="76"/>
      <c r="BL280" s="77"/>
      <c r="BM280" s="76"/>
      <c r="BN280" s="77"/>
      <c r="BO280" s="76"/>
      <c r="BP280" s="76"/>
      <c r="BQ280" s="76"/>
      <c r="BR280" s="76"/>
      <c r="BS280" s="76"/>
      <c r="BT280" s="77"/>
      <c r="BU280" s="76"/>
      <c r="BV280" s="77"/>
      <c r="BW280" s="76"/>
      <c r="BX280" s="76"/>
      <c r="BY280" s="76"/>
      <c r="BZ280" s="76"/>
      <c r="CA280" s="76"/>
      <c r="CB280" s="77"/>
      <c r="CC280" s="76"/>
      <c r="CD280" s="77"/>
      <c r="CE280" s="76"/>
      <c r="CF280" s="76"/>
      <c r="CG280" s="76"/>
      <c r="CH280" s="76"/>
      <c r="CI280" s="76"/>
      <c r="CJ280" s="77"/>
      <c r="CK280" s="76"/>
      <c r="CL280" s="77"/>
      <c r="CM280" s="76"/>
      <c r="CN280" s="76"/>
      <c r="CO280" s="76"/>
      <c r="CP280" s="76"/>
      <c r="CQ280" s="76"/>
      <c r="CR280" s="78" t="str">
        <f t="shared" si="79"/>
        <v/>
      </c>
      <c r="CS280" s="79" t="str">
        <f t="shared" si="80"/>
        <v/>
      </c>
      <c r="CT280" s="79" t="str">
        <f t="shared" si="81"/>
        <v/>
      </c>
      <c r="CU280" s="79" t="str">
        <f t="shared" si="82"/>
        <v/>
      </c>
      <c r="CV280" s="79" t="str">
        <f t="shared" si="83"/>
        <v/>
      </c>
      <c r="CW280" s="79" t="str">
        <f t="shared" si="84"/>
        <v/>
      </c>
      <c r="CX280" s="79" t="str">
        <f t="shared" si="85"/>
        <v/>
      </c>
      <c r="CY280" s="79" t="str">
        <f t="shared" si="86"/>
        <v/>
      </c>
      <c r="CZ280" s="79" t="str">
        <f t="shared" si="87"/>
        <v/>
      </c>
      <c r="DA280" s="79" t="str">
        <f t="shared" si="88"/>
        <v/>
      </c>
      <c r="DB280" s="79" t="str">
        <f t="shared" si="89"/>
        <v/>
      </c>
      <c r="DC280" s="79" t="str">
        <f t="shared" si="90"/>
        <v/>
      </c>
      <c r="DD280" s="79" t="str">
        <f t="shared" si="91"/>
        <v/>
      </c>
      <c r="DE280" s="79" t="str">
        <f t="shared" si="92"/>
        <v/>
      </c>
      <c r="DF280" s="79" t="str">
        <f t="shared" si="93"/>
        <v/>
      </c>
      <c r="DG280" s="79" t="str">
        <f t="shared" si="94"/>
        <v/>
      </c>
      <c r="DH280" s="76"/>
      <c r="DI280" s="78"/>
      <c r="DJ280" s="76"/>
      <c r="DK280" s="77"/>
      <c r="DL280" s="77"/>
      <c r="DM280" s="77"/>
      <c r="DN280" s="80"/>
      <c r="DO280" s="80"/>
      <c r="DP280" s="92" t="str">
        <f>IF(Table1[Start Date]="","",IF(Table1[Start Date]&gt;42185,"",IF(AND(Table1[Leaving Date]&gt;1,Table1[Leaving Date]&lt;42095),"",1)))</f>
        <v/>
      </c>
      <c r="DQ280" s="92" t="str">
        <f>IF(Table1[Start Date]="","",IF(Table1[Start Date]&gt;42277,"",IF(AND(Table1[Leaving Date]&gt;1,Table1[Leaving Date]&lt;42186),"",1)))</f>
        <v/>
      </c>
      <c r="DR280" s="92" t="str">
        <f>IF(Table1[Start Date]="","",IF(Table1[Start Date]&gt;42369,"",IF(AND(Table1[Leaving Date]&gt;1,Table1[Leaving Date]&lt;42278),"",1)))</f>
        <v/>
      </c>
      <c r="DS280" s="92" t="str">
        <f>IF(Table1[Start Date]="","",IF(Table1[Start Date]&gt;42460,"",IF(AND(Table1[Leaving Date]&gt;1,Table1[Leaving Date]&lt;42370),"",1)))</f>
        <v/>
      </c>
      <c r="DT280" s="92" t="str">
        <f>IF(Table1[Start Date]="","",IF(Table1[Start Date]&gt;42551,"",IF(AND(Table1[Leaving Date]&gt;1,Table1[Leaving Date]&lt;42461),"",1)))</f>
        <v/>
      </c>
      <c r="DU280" s="92" t="str">
        <f>IF(Table1[Start Date]="","",IF(Table1[Start Date]&gt;42643,"",IF(AND(Table1[Leaving Date]&gt;1,Table1[Leaving Date]&lt;42552),"",1)))</f>
        <v/>
      </c>
      <c r="DV280" s="92" t="str">
        <f>IF(Table1[Start Date]="","",IF(Table1[Start Date]&gt;42735,"",IF(AND(Table1[Leaving Date]&gt;1,Table1[Leaving Date]&lt;42644),"",1)))</f>
        <v/>
      </c>
      <c r="DW280" s="92" t="str">
        <f>IF(Table1[Start Date]="","",IF(Table1[Start Date]&gt;42825,"",IF(AND(Table1[Leaving Date]&gt;1,Table1[Leaving Date]&lt;42736),"",1)))</f>
        <v/>
      </c>
      <c r="DX280"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280" s="44" t="e">
        <f>VLOOKUP(Table1[Referral Source],Lists!$G$2:$H$20,2,FALSE)</f>
        <v>#N/A</v>
      </c>
      <c r="DZ280" s="93" t="e">
        <f>SUM(Table1[Data Referral Quarter]+Table1[Data Referral Source])</f>
        <v>#N/A</v>
      </c>
      <c r="EA280" s="44" t="b">
        <f>IF(Table1[Referral Decision]="Accepted",100,IF(Table1[Referral Decision]="Rejected by Provider",200,IF(Table1[Referral Decision]="Rejected by Applicant",300)))</f>
        <v>0</v>
      </c>
      <c r="EB280" s="44">
        <f>SUM(Table1[Data Referral Quarter]+Table1[Data Referral Decision])</f>
        <v>0</v>
      </c>
      <c r="EC280" s="44" t="b">
        <f>IF(Table1[Start Date]&gt;42735,8000,IF(Table1[Start Date]&gt;42643,7000,IF(Table1[Start Date]&gt;42551,6000,IF(Table1[Start Date]&gt;42460,5000,IF(Table1[Start Date]&gt;42369,4000,IF(Table1[Start Date]&gt;42277,3000,IF(Table1[Start Date]&gt;42185,2000,IF(Table1[Start Date]&gt;42094,1000))))))))</f>
        <v>0</v>
      </c>
      <c r="ED280" s="44" t="str">
        <f>IF(Table1[Start Date]="","",IF(Table1[Current Local Authority]="Swindon",1,"2"))</f>
        <v/>
      </c>
      <c r="EE280" s="44" t="e">
        <f>SUM(Table1[Data Start Date]+Table1[Data Local Authority])</f>
        <v>#VALUE!</v>
      </c>
      <c r="EF280" s="44">
        <f>IF(Table1[Registered with GP]="Yes",1,0)</f>
        <v>0</v>
      </c>
      <c r="EG280" s="44">
        <f>SUM(Table1[Data Start Date]+Table1[Data GP Start])</f>
        <v>0</v>
      </c>
      <c r="EH280" s="44" t="str">
        <f>IF(Table1[EET]="NEET",1,IF(Table1[EET]="Education",2,IF(Table1[EET]="Employment",2,IF(Table1[EET]="Training",2,IF(Table1[EET]="Retired",3,"")))))</f>
        <v/>
      </c>
      <c r="EI280" s="44" t="e">
        <f>Table1[Data Start Date]+Table1[Data EET Start]</f>
        <v>#VALUE!</v>
      </c>
      <c r="EJ280" s="44" t="b">
        <f>IF(Table1[Leaving Date]&gt;42735,8000,IF(Table1[Leaving Date]&gt;42643,7000,IF(Table1[Leaving Date]&gt;42551,6000,IF(Table1[Leaving Date]&gt;42460,5000,IF(Table1[Leaving Date]&gt;42369,4000,IF(Table1[Leaving Date]&gt;42277,3000,IF(Table1[Leaving Date]&gt;42185,2000,IF(Table1[Leaving Date]&gt;42094,1000))))))))</f>
        <v>0</v>
      </c>
      <c r="EK280" s="44" t="e">
        <f>VLOOKUP(Table1[Reason for Leaving],Lists!$T$2:$U$15,2,FALSE)</f>
        <v>#N/A</v>
      </c>
      <c r="EL280" s="44" t="e">
        <f>SUM(Table1[Data Leavers Date]+Table1[Data Move On])</f>
        <v>#N/A</v>
      </c>
      <c r="EM280" s="44" t="b">
        <f>IF(Table1[Registered with GP2]="Yes",1,IF(Table1[Registered with GP2]="No",0,IF(Table1[Registered with GP]="Yes",1,IF(Table1[Registered with GP]="No",0))))</f>
        <v>0</v>
      </c>
      <c r="EN280" s="44">
        <f>SUM(Table1[Data Leavers Date]+Table1[Data GP End])</f>
        <v>0</v>
      </c>
      <c r="EO280" s="44" t="str">
        <f>IF(Table1[EET2]="NEET",1,IF(Table1[EET2]="Employment",2,IF(Table1[EET2]="Education",2,IF(Table1[EET2]="Training",2,IF(Table1[EET2]="Retired",3,IF(Table1[EET]="NEET",1,IF(Table1[EET]="Employment",2,IF(Table1[EET]="Education",2,IF(Table1[EET]="Training",2,IF(Table1[EET]="Retired",3,""))))))))))</f>
        <v/>
      </c>
      <c r="EP280" s="44" t="e">
        <f>+Table1[[#This Row],[Data Leavers Date]]+Table1[[#This Row],[Data EET End]]</f>
        <v>#VALUE!</v>
      </c>
      <c r="EQ280" s="44">
        <f>IF(Table1[Exit Form Received]="Yes",1,0)</f>
        <v>0</v>
      </c>
      <c r="ER280" s="44">
        <f>+Table1[[#This Row],[Data Leavers Date]]+Table1[[#This Row],[Data Exit Forms]]</f>
        <v>0</v>
      </c>
      <c r="ES280" s="44" t="str">
        <f>IF(Table1[Data Leavers Date]=1000,SUM(Table1[Leaving Date]-Table1[Start Date]),"")</f>
        <v/>
      </c>
      <c r="ET280" s="44" t="str">
        <f>IF(Table1[Data Leavers Date]=2000,SUM(Table1[Leaving Date]-Table1[Start Date]),"")</f>
        <v/>
      </c>
      <c r="EU280" s="44" t="str">
        <f>IF(Table1[Data Leavers Date]=3000,SUM(Table1[Leaving Date]-Table1[Start Date]),"")</f>
        <v/>
      </c>
      <c r="EV280" s="44" t="str">
        <f>IF(Table1[Data Leavers Date]=4000,SUM(Table1[Leaving Date]-Table1[Start Date]),"")</f>
        <v/>
      </c>
      <c r="EW280" s="44" t="str">
        <f>IF(Table1[Data Leavers Date]=5000,SUM(Table1[Leaving Date]-Table1[Start Date]),"")</f>
        <v/>
      </c>
      <c r="EX280" s="44" t="str">
        <f>IF(Table1[Data Leavers Date]=6000,SUM(Table1[Leaving Date]-Table1[Start Date]),"")</f>
        <v/>
      </c>
      <c r="EY280" s="44" t="str">
        <f>IF(Table1[Data Leavers Date]=7000,SUM(Table1[Leaving Date]-Table1[Start Date]),"")</f>
        <v/>
      </c>
      <c r="EZ280" s="44" t="str">
        <f>IF(Table1[Data Leavers Date]=8000,SUM(Table1[Leaving Date]-Table1[Start Date]),"")</f>
        <v/>
      </c>
      <c r="FA280" s="44" t="str">
        <f>IF(Table1[Date of Initial Assessment]="","",IF(AND(Table1[Start Date]&gt;42094,Table1[Start Date]&lt;42461),Table1[Motivation and Taking Responsibility],""))</f>
        <v/>
      </c>
      <c r="FB280" s="44" t="str">
        <f>IF(Table1[Date of Initial Assessment]="","",IF(AND(Table1[Start Date]&gt;42094,Table1[Start Date]&lt;42461),Table1[Self-Care and Living Skills],""))</f>
        <v/>
      </c>
      <c r="FC280" s="44" t="str">
        <f>IF(Table1[Date of Initial Assessment]="","",IF(AND(Table1[Start Date]&gt;42094,Table1[Start Date]&lt;42461),Table1[Managing Money and Personal Administration],""))</f>
        <v/>
      </c>
      <c r="FD280" s="44" t="str">
        <f>IF(Table1[Date of Initial Assessment]="","",IF(AND(Table1[Start Date]&gt;42094,Table1[Start Date]&lt;42461),Table1[Social Networks and Relationships],""))</f>
        <v/>
      </c>
      <c r="FE280" s="44" t="str">
        <f>IF(Table1[Date of Initial Assessment]="","",IF(AND(Table1[Start Date]&gt;42094,Table1[Start Date]&lt;42461),Table1[Drug and Alcohol Misuse],""))</f>
        <v/>
      </c>
      <c r="FF280" s="44" t="str">
        <f>IF(Table1[Date of Initial Assessment]="","",IF(AND(Table1[Start Date]&gt;42094,Table1[Start Date]&lt;42461),Table1[Physical Health],""))</f>
        <v/>
      </c>
      <c r="FG280" s="44" t="str">
        <f>IF(Table1[Date of Initial Assessment]="","",IF(AND(Table1[Start Date]&gt;42094,Table1[Start Date]&lt;42461),Table1[Emotional and Mental Health],""))</f>
        <v/>
      </c>
      <c r="FH280" s="44" t="str">
        <f>IF(Table1[Date of Initial Assessment]="","",IF(AND(Table1[Start Date]&gt;42094,Table1[Start Date]&lt;42461),Table1[Meaningful Use of Time],""))</f>
        <v/>
      </c>
      <c r="FI280" s="44" t="str">
        <f>IF(Table1[Date of Initial Assessment]="","",IF(AND(Table1[Start Date]&gt;42094,Table1[Start Date]&lt;42461),Table1[Managing Tenancy and Accommodation],""))</f>
        <v/>
      </c>
      <c r="FJ280" s="44" t="str">
        <f>IF(Table1[Date of Initial Assessment]="","",IF(AND(Table1[Start Date]&gt;42094,Table1[Start Date]&lt;42461),Table1[Offending],""))</f>
        <v/>
      </c>
      <c r="FK280" s="44" t="str">
        <f>IF(Table1[Leaving Date]="","",IF(Table1[Date of Initial Assessment]="","",IF(AND(Table1[Leaving Date]&gt;42094,Table1[Leaving Date]&lt;42461),IF(Table1[Date of Last Assessment]="",Table1[Motivation and Taking Responsibility],Table1[Motivation and Taking Responsibility2]),"")))</f>
        <v/>
      </c>
      <c r="FL280" s="44" t="str">
        <f>IF(Table1[Leaving Date]="","",IF(Table1[Date of Initial Assessment]="","",IF(AND(Table1[Leaving Date]&gt;42094,Table1[Leaving Date]&lt;42461),IF(Table1[Date of Last Assessment]="",Table1[Self-Care and Living Skills],Table1[Self-Care and Living Skills2]),"")))</f>
        <v/>
      </c>
      <c r="FM280" s="44" t="str">
        <f>IF(Table1[Leaving Date]="","",IF(Table1[Date of Initial Assessment]="","",IF(AND(Table1[Leaving Date]&gt;42094,Table1[Leaving Date]&lt;42461),IF(Table1[Date of Last Assessment]="",Table1[Managing Money and Personal Administration],Table1[Managing Money and Personal Administration2]),"")))</f>
        <v/>
      </c>
      <c r="FN280" s="44" t="str">
        <f>IF(Table1[Leaving Date]="","",IF(Table1[Date of Initial Assessment]="","",IF(AND(Table1[Leaving Date]&gt;42094,Table1[Leaving Date]&lt;42461),IF(Table1[Date of Last Assessment]="",Table1[Social Networks and Relationships],Table1[Social Networks and Relationships2]),"")))</f>
        <v/>
      </c>
      <c r="FO280" s="44" t="str">
        <f>IF(Table1[Leaving Date]="","",IF(Table1[Date of Initial Assessment]="","",IF(AND(Table1[Leaving Date]&gt;42094,Table1[Leaving Date]&lt;42461),IF(Table1[Date of Last Assessment]="",Table1[Drug and Alcohol Misuse],Table1[Drug and Alcohol Misuse2]),"")))</f>
        <v/>
      </c>
      <c r="FP280" s="44" t="str">
        <f>IF(Table1[Leaving Date]="","",IF(Table1[Date of Initial Assessment]="","",IF(AND(Table1[Leaving Date]&gt;42094,Table1[Leaving Date]&lt;42461),IF(Table1[Date of Last Assessment]="",Table1[Physical Health],Table1[Physical Health2]),"")))</f>
        <v/>
      </c>
      <c r="FQ280" s="44" t="str">
        <f>IF(Table1[Leaving Date]="","",IF(Table1[Date of Initial Assessment]="","",IF(AND(Table1[Leaving Date]&gt;42094,Table1[Leaving Date]&lt;42461),IF(Table1[Date of Last Assessment]="",Table1[Emotional and Mental Health],Table1[Emotional and Mental Health2]),"")))</f>
        <v/>
      </c>
      <c r="FR280" s="44" t="str">
        <f>IF(Table1[Leaving Date]="","",IF(Table1[Date of Initial Assessment]="","",IF(AND(Table1[Leaving Date]&gt;42094,Table1[Leaving Date]&lt;42461),IF(Table1[Date of Last Assessment]="",Table1[Meaningful Use of Time],Table1[Meaningful Use of Time2]),"")))</f>
        <v/>
      </c>
      <c r="FS280" s="44" t="str">
        <f>IF(Table1[Leaving Date]="","",IF(Table1[Date of Initial Assessment]="","",IF(AND(Table1[Leaving Date]&gt;42094,Table1[Leaving Date]&lt;42461),IF(Table1[Date of Last Assessment]="",Table1[Managing Tenancy and Accommodation],Table1[Managing Tenancy and Accommodation2]),"")))</f>
        <v/>
      </c>
      <c r="FT280" s="44" t="str">
        <f>IF(Table1[Leaving Date]="","",IF(Table1[Date of Initial Assessment]="","",IF(AND(Table1[Leaving Date]&gt;42094,Table1[Leaving Date]&lt;42461),IF(Table1[Date of Last Assessment]="",Table1[Offending],Table1[Offending2]),"")))</f>
        <v/>
      </c>
      <c r="FU280" s="44" t="str">
        <f>IF(Table1[Date of Initial Assessment]="","",IF(AND(Table1[Start Date]&gt;42460,Table1[Start Date]&lt;42826),Table1[Motivation and Taking Responsibility],""))</f>
        <v/>
      </c>
      <c r="FV280" s="44" t="str">
        <f>IF(Table1[Date of Initial Assessment]="","",IF(AND(Table1[Start Date]&gt;42460,Table1[Start Date]&lt;42826),Table1[Self-Care and Living Skills],""))</f>
        <v/>
      </c>
      <c r="FW280" s="44" t="str">
        <f>IF(Table1[Date of Initial Assessment]="","",IF(AND(Table1[Start Date]&gt;42460,Table1[Start Date]&lt;42826),Table1[Managing Money and Personal Administration],""))</f>
        <v/>
      </c>
      <c r="FX280" s="44" t="str">
        <f>IF(Table1[Date of Initial Assessment]="","",IF(AND(Table1[Start Date]&gt;42460,Table1[Start Date]&lt;42826),Table1[Social Networks and Relationships],""))</f>
        <v/>
      </c>
      <c r="FY280" s="44" t="str">
        <f>IF(Table1[Date of Initial Assessment]="","",IF(AND(Table1[Start Date]&gt;42460,Table1[Start Date]&lt;42826),Table1[Drug and Alcohol Misuse],""))</f>
        <v/>
      </c>
      <c r="FZ280" s="44" t="str">
        <f>IF(Table1[Date of Initial Assessment]="","",IF(AND(Table1[Start Date]&gt;42460,Table1[Start Date]&lt;42826),Table1[Physical Health],""))</f>
        <v/>
      </c>
      <c r="GA280" s="44" t="str">
        <f>IF(Table1[Date of Initial Assessment]="","",IF(AND(Table1[Start Date]&gt;42460,Table1[Start Date]&lt;42826),Table1[Emotional and Mental Health],""))</f>
        <v/>
      </c>
      <c r="GB280" s="44" t="str">
        <f>IF(Table1[Date of Initial Assessment]="","",IF(AND(Table1[Start Date]&gt;42460,Table1[Start Date]&lt;42826),Table1[Meaningful Use of Time],""))</f>
        <v/>
      </c>
      <c r="GC280" s="44" t="str">
        <f>IF(Table1[Date of Initial Assessment]="","",IF(AND(Table1[Start Date]&gt;42460,Table1[Start Date]&lt;42826),Table1[Managing Tenancy and Accommodation],""))</f>
        <v/>
      </c>
      <c r="GD280" s="44" t="str">
        <f>IF(Table1[Date of Initial Assessment]="","",IF(AND(Table1[Start Date]&gt;42460,Table1[Start Date]&lt;42826),Table1[Offending],""))</f>
        <v/>
      </c>
      <c r="GE280" s="44" t="str">
        <f>IF(Table1[Leaving Date]="","",IF(AND(Table1[Leaving Date]&gt;42460,Table1[Leaving Date]&lt;42826),IF(Table1[Date of Last Assessment]="",Table1[Motivation and Taking Responsibility],Table1[Motivation and Taking Responsibility2]),""))</f>
        <v/>
      </c>
      <c r="GF280" s="44" t="str">
        <f>IF(Table1[Leaving Date]="","",IF(AND(Table1[Leaving Date]&gt;42460,Table1[Leaving Date]&lt;42826),IF(Table1[Date of Last Assessment]="",Table1[Self-Care and Living Skills],Table1[Self-Care and Living Skills2]),""))</f>
        <v/>
      </c>
      <c r="GG280" s="44" t="str">
        <f>IF(Table1[Leaving Date]="","",IF(AND(Table1[Leaving Date]&gt;42460,Table1[Leaving Date]&lt;42826),IF(Table1[Date of Last Assessment]="",Table1[Managing Money and Personal Administration],Table1[Managing Money and Personal Administration2]),""))</f>
        <v/>
      </c>
      <c r="GH280" s="44" t="str">
        <f>IF(Table1[Leaving Date]="","",IF(AND(Table1[Leaving Date]&gt;42460,Table1[Leaving Date]&lt;42826),IF(Table1[Date of Last Assessment]="",Table1[Social Networks and Relationships],Table1[Social Networks and Relationships2]),""))</f>
        <v/>
      </c>
      <c r="GI280" s="44" t="str">
        <f>IF(Table1[Leaving Date]="","",IF(AND(Table1[Leaving Date]&gt;42460,Table1[Leaving Date]&lt;42826),IF(Table1[Date of Last Assessment]="",Table1[Drug and Alcohol Misuse],Table1[Drug and Alcohol Misuse2]),""))</f>
        <v/>
      </c>
      <c r="GJ280" s="44" t="str">
        <f>IF(Table1[Leaving Date]="","",IF(AND(Table1[Leaving Date]&gt;42460,Table1[Leaving Date]&lt;42826),IF(Table1[Date of Last Assessment]="",Table1[Physical Health],Table1[Physical Health2]),""))</f>
        <v/>
      </c>
      <c r="GK280" s="44" t="str">
        <f>IF(Table1[Leaving Date]="","",IF(AND(Table1[Leaving Date]&gt;42460,Table1[Leaving Date]&lt;42826),IF(Table1[Date of Last Assessment]="",Table1[Emotional and Mental Health],Table1[Emotional and Mental Health2]),""))</f>
        <v/>
      </c>
      <c r="GL280" s="44" t="str">
        <f>IF(Table1[Leaving Date]="","",IF(AND(Table1[Leaving Date]&gt;42460,Table1[Leaving Date]&lt;42826),IF(Table1[Date of Last Assessment]="",Table1[Meaningful Use of Time],Table1[Meaningful Use of Time2]),""))</f>
        <v/>
      </c>
      <c r="GM280" s="44" t="str">
        <f>IF(Table1[Leaving Date]="","",IF(AND(Table1[Leaving Date]&gt;42460,Table1[Leaving Date]&lt;42826),IF(Table1[Date of Last Assessment]="",Table1[Managing Tenancy and Accommodation],Table1[Managing Tenancy and Accommodation2]),""))</f>
        <v/>
      </c>
      <c r="GN280" s="44" t="str">
        <f>IF(Table1[Leaving Date]="","",IF(AND(Table1[Leaving Date]&gt;42460,Table1[Leaving Date]&lt;42826),IF(Table1[Date of Last Assessment]="",Table1[Offending],Table1[Offending2]),""))</f>
        <v/>
      </c>
    </row>
    <row r="281" spans="2:196" ht="20.100000000000001" customHeight="1" x14ac:dyDescent="0.2">
      <c r="B281" s="86">
        <f>+'Service Data'!$C$5:$C$5</f>
        <v>0</v>
      </c>
      <c r="C281" s="86"/>
      <c r="D281" s="86"/>
      <c r="E281" s="86"/>
      <c r="F281" s="86"/>
      <c r="G281" s="86"/>
      <c r="H281" s="6"/>
      <c r="I281" s="99" t="str">
        <f ca="1">IF(Table1[[#This Row],[Date of Birth]]="","",SUM(TODAY()-Table1[[#This Row],[Date of Birth]])/365)</f>
        <v/>
      </c>
      <c r="L281" s="86"/>
      <c r="M281" s="77"/>
      <c r="N281" s="86"/>
      <c r="O281" s="86"/>
      <c r="P281" s="91"/>
      <c r="Q281" s="86"/>
      <c r="R281" s="77"/>
      <c r="S281" s="77"/>
      <c r="T281" s="68"/>
      <c r="U281" s="68"/>
      <c r="V281" s="67"/>
      <c r="W281" s="67"/>
      <c r="X281" s="67"/>
      <c r="Y281" s="67"/>
      <c r="Z281" s="67"/>
      <c r="AA281" s="67"/>
      <c r="AB281" s="67"/>
      <c r="AC281" s="67"/>
      <c r="AD281" s="67"/>
      <c r="AE281" s="67"/>
      <c r="AF281" s="67"/>
      <c r="AG281" s="67"/>
      <c r="AH281" s="67"/>
      <c r="AI281" s="67"/>
      <c r="AJ281" s="67"/>
      <c r="AK281" s="67"/>
      <c r="AL281" s="67"/>
      <c r="AM281" s="67"/>
      <c r="AN281" s="77"/>
      <c r="AO281" s="76"/>
      <c r="AP281" s="77"/>
      <c r="AQ281" s="76"/>
      <c r="AR281" s="76"/>
      <c r="AS281" s="76"/>
      <c r="AT281" s="76"/>
      <c r="AU281" s="76"/>
      <c r="AV281" s="77"/>
      <c r="AW281" s="76"/>
      <c r="AX281" s="77"/>
      <c r="AY281" s="76"/>
      <c r="AZ281" s="76"/>
      <c r="BA281" s="76"/>
      <c r="BB281" s="76"/>
      <c r="BC281" s="76"/>
      <c r="BD281" s="77"/>
      <c r="BE281" s="76"/>
      <c r="BF281" s="77"/>
      <c r="BG281" s="76"/>
      <c r="BH281" s="76"/>
      <c r="BI281" s="76"/>
      <c r="BJ281" s="76"/>
      <c r="BK281" s="76"/>
      <c r="BL281" s="77"/>
      <c r="BM281" s="76"/>
      <c r="BN281" s="77"/>
      <c r="BO281" s="76"/>
      <c r="BP281" s="76"/>
      <c r="BQ281" s="76"/>
      <c r="BR281" s="76"/>
      <c r="BS281" s="76"/>
      <c r="BT281" s="77"/>
      <c r="BU281" s="76"/>
      <c r="BV281" s="77"/>
      <c r="BW281" s="76"/>
      <c r="BX281" s="76"/>
      <c r="BY281" s="76"/>
      <c r="BZ281" s="76"/>
      <c r="CA281" s="76"/>
      <c r="CB281" s="77"/>
      <c r="CC281" s="76"/>
      <c r="CD281" s="77"/>
      <c r="CE281" s="76"/>
      <c r="CF281" s="76"/>
      <c r="CG281" s="76"/>
      <c r="CH281" s="76"/>
      <c r="CI281" s="76"/>
      <c r="CJ281" s="77"/>
      <c r="CK281" s="76"/>
      <c r="CL281" s="77"/>
      <c r="CM281" s="76"/>
      <c r="CN281" s="76"/>
      <c r="CO281" s="76"/>
      <c r="CP281" s="76"/>
      <c r="CQ281" s="76"/>
      <c r="CR281" s="78" t="str">
        <f t="shared" si="79"/>
        <v/>
      </c>
      <c r="CS281" s="79" t="str">
        <f t="shared" si="80"/>
        <v/>
      </c>
      <c r="CT281" s="79" t="str">
        <f t="shared" si="81"/>
        <v/>
      </c>
      <c r="CU281" s="79" t="str">
        <f t="shared" si="82"/>
        <v/>
      </c>
      <c r="CV281" s="79" t="str">
        <f t="shared" si="83"/>
        <v/>
      </c>
      <c r="CW281" s="79" t="str">
        <f t="shared" si="84"/>
        <v/>
      </c>
      <c r="CX281" s="79" t="str">
        <f t="shared" si="85"/>
        <v/>
      </c>
      <c r="CY281" s="79" t="str">
        <f t="shared" si="86"/>
        <v/>
      </c>
      <c r="CZ281" s="79" t="str">
        <f t="shared" si="87"/>
        <v/>
      </c>
      <c r="DA281" s="79" t="str">
        <f t="shared" si="88"/>
        <v/>
      </c>
      <c r="DB281" s="79" t="str">
        <f t="shared" si="89"/>
        <v/>
      </c>
      <c r="DC281" s="79" t="str">
        <f t="shared" si="90"/>
        <v/>
      </c>
      <c r="DD281" s="79" t="str">
        <f t="shared" si="91"/>
        <v/>
      </c>
      <c r="DE281" s="79" t="str">
        <f t="shared" si="92"/>
        <v/>
      </c>
      <c r="DF281" s="79" t="str">
        <f t="shared" si="93"/>
        <v/>
      </c>
      <c r="DG281" s="79" t="str">
        <f t="shared" si="94"/>
        <v/>
      </c>
      <c r="DH281" s="76"/>
      <c r="DI281" s="78"/>
      <c r="DJ281" s="76"/>
      <c r="DK281" s="77"/>
      <c r="DL281" s="77"/>
      <c r="DM281" s="77"/>
      <c r="DN281" s="80"/>
      <c r="DO281" s="80"/>
      <c r="DP281" s="92" t="str">
        <f>IF(Table1[Start Date]="","",IF(Table1[Start Date]&gt;42185,"",IF(AND(Table1[Leaving Date]&gt;1,Table1[Leaving Date]&lt;42095),"",1)))</f>
        <v/>
      </c>
      <c r="DQ281" s="92" t="str">
        <f>IF(Table1[Start Date]="","",IF(Table1[Start Date]&gt;42277,"",IF(AND(Table1[Leaving Date]&gt;1,Table1[Leaving Date]&lt;42186),"",1)))</f>
        <v/>
      </c>
      <c r="DR281" s="92" t="str">
        <f>IF(Table1[Start Date]="","",IF(Table1[Start Date]&gt;42369,"",IF(AND(Table1[Leaving Date]&gt;1,Table1[Leaving Date]&lt;42278),"",1)))</f>
        <v/>
      </c>
      <c r="DS281" s="92" t="str">
        <f>IF(Table1[Start Date]="","",IF(Table1[Start Date]&gt;42460,"",IF(AND(Table1[Leaving Date]&gt;1,Table1[Leaving Date]&lt;42370),"",1)))</f>
        <v/>
      </c>
      <c r="DT281" s="92" t="str">
        <f>IF(Table1[Start Date]="","",IF(Table1[Start Date]&gt;42551,"",IF(AND(Table1[Leaving Date]&gt;1,Table1[Leaving Date]&lt;42461),"",1)))</f>
        <v/>
      </c>
      <c r="DU281" s="92" t="str">
        <f>IF(Table1[Start Date]="","",IF(Table1[Start Date]&gt;42643,"",IF(AND(Table1[Leaving Date]&gt;1,Table1[Leaving Date]&lt;42552),"",1)))</f>
        <v/>
      </c>
      <c r="DV281" s="92" t="str">
        <f>IF(Table1[Start Date]="","",IF(Table1[Start Date]&gt;42735,"",IF(AND(Table1[Leaving Date]&gt;1,Table1[Leaving Date]&lt;42644),"",1)))</f>
        <v/>
      </c>
      <c r="DW281" s="92" t="str">
        <f>IF(Table1[Start Date]="","",IF(Table1[Start Date]&gt;42825,"",IF(AND(Table1[Leaving Date]&gt;1,Table1[Leaving Date]&lt;42736),"",1)))</f>
        <v/>
      </c>
      <c r="DX281"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281" s="44" t="e">
        <f>VLOOKUP(Table1[Referral Source],Lists!$G$2:$H$20,2,FALSE)</f>
        <v>#N/A</v>
      </c>
      <c r="DZ281" s="93" t="e">
        <f>SUM(Table1[Data Referral Quarter]+Table1[Data Referral Source])</f>
        <v>#N/A</v>
      </c>
      <c r="EA281" s="44" t="b">
        <f>IF(Table1[Referral Decision]="Accepted",100,IF(Table1[Referral Decision]="Rejected by Provider",200,IF(Table1[Referral Decision]="Rejected by Applicant",300)))</f>
        <v>0</v>
      </c>
      <c r="EB281" s="44">
        <f>SUM(Table1[Data Referral Quarter]+Table1[Data Referral Decision])</f>
        <v>0</v>
      </c>
      <c r="EC281" s="44" t="b">
        <f>IF(Table1[Start Date]&gt;42735,8000,IF(Table1[Start Date]&gt;42643,7000,IF(Table1[Start Date]&gt;42551,6000,IF(Table1[Start Date]&gt;42460,5000,IF(Table1[Start Date]&gt;42369,4000,IF(Table1[Start Date]&gt;42277,3000,IF(Table1[Start Date]&gt;42185,2000,IF(Table1[Start Date]&gt;42094,1000))))))))</f>
        <v>0</v>
      </c>
      <c r="ED281" s="44" t="str">
        <f>IF(Table1[Start Date]="","",IF(Table1[Current Local Authority]="Swindon",1,"2"))</f>
        <v/>
      </c>
      <c r="EE281" s="44" t="e">
        <f>SUM(Table1[Data Start Date]+Table1[Data Local Authority])</f>
        <v>#VALUE!</v>
      </c>
      <c r="EF281" s="44">
        <f>IF(Table1[Registered with GP]="Yes",1,0)</f>
        <v>0</v>
      </c>
      <c r="EG281" s="44">
        <f>SUM(Table1[Data Start Date]+Table1[Data GP Start])</f>
        <v>0</v>
      </c>
      <c r="EH281" s="44" t="str">
        <f>IF(Table1[EET]="NEET",1,IF(Table1[EET]="Education",2,IF(Table1[EET]="Employment",2,IF(Table1[EET]="Training",2,IF(Table1[EET]="Retired",3,"")))))</f>
        <v/>
      </c>
      <c r="EI281" s="44" t="e">
        <f>Table1[Data Start Date]+Table1[Data EET Start]</f>
        <v>#VALUE!</v>
      </c>
      <c r="EJ281" s="44" t="b">
        <f>IF(Table1[Leaving Date]&gt;42735,8000,IF(Table1[Leaving Date]&gt;42643,7000,IF(Table1[Leaving Date]&gt;42551,6000,IF(Table1[Leaving Date]&gt;42460,5000,IF(Table1[Leaving Date]&gt;42369,4000,IF(Table1[Leaving Date]&gt;42277,3000,IF(Table1[Leaving Date]&gt;42185,2000,IF(Table1[Leaving Date]&gt;42094,1000))))))))</f>
        <v>0</v>
      </c>
      <c r="EK281" s="44" t="e">
        <f>VLOOKUP(Table1[Reason for Leaving],Lists!$T$2:$U$15,2,FALSE)</f>
        <v>#N/A</v>
      </c>
      <c r="EL281" s="44" t="e">
        <f>SUM(Table1[Data Leavers Date]+Table1[Data Move On])</f>
        <v>#N/A</v>
      </c>
      <c r="EM281" s="44" t="b">
        <f>IF(Table1[Registered with GP2]="Yes",1,IF(Table1[Registered with GP2]="No",0,IF(Table1[Registered with GP]="Yes",1,IF(Table1[Registered with GP]="No",0))))</f>
        <v>0</v>
      </c>
      <c r="EN281" s="44">
        <f>SUM(Table1[Data Leavers Date]+Table1[Data GP End])</f>
        <v>0</v>
      </c>
      <c r="EO281" s="44" t="str">
        <f>IF(Table1[EET2]="NEET",1,IF(Table1[EET2]="Employment",2,IF(Table1[EET2]="Education",2,IF(Table1[EET2]="Training",2,IF(Table1[EET2]="Retired",3,IF(Table1[EET]="NEET",1,IF(Table1[EET]="Employment",2,IF(Table1[EET]="Education",2,IF(Table1[EET]="Training",2,IF(Table1[EET]="Retired",3,""))))))))))</f>
        <v/>
      </c>
      <c r="EP281" s="44" t="e">
        <f>+Table1[[#This Row],[Data Leavers Date]]+Table1[[#This Row],[Data EET End]]</f>
        <v>#VALUE!</v>
      </c>
      <c r="EQ281" s="44">
        <f>IF(Table1[Exit Form Received]="Yes",1,0)</f>
        <v>0</v>
      </c>
      <c r="ER281" s="44">
        <f>+Table1[[#This Row],[Data Leavers Date]]+Table1[[#This Row],[Data Exit Forms]]</f>
        <v>0</v>
      </c>
      <c r="ES281" s="44" t="str">
        <f>IF(Table1[Data Leavers Date]=1000,SUM(Table1[Leaving Date]-Table1[Start Date]),"")</f>
        <v/>
      </c>
      <c r="ET281" s="44" t="str">
        <f>IF(Table1[Data Leavers Date]=2000,SUM(Table1[Leaving Date]-Table1[Start Date]),"")</f>
        <v/>
      </c>
      <c r="EU281" s="44" t="str">
        <f>IF(Table1[Data Leavers Date]=3000,SUM(Table1[Leaving Date]-Table1[Start Date]),"")</f>
        <v/>
      </c>
      <c r="EV281" s="44" t="str">
        <f>IF(Table1[Data Leavers Date]=4000,SUM(Table1[Leaving Date]-Table1[Start Date]),"")</f>
        <v/>
      </c>
      <c r="EW281" s="44" t="str">
        <f>IF(Table1[Data Leavers Date]=5000,SUM(Table1[Leaving Date]-Table1[Start Date]),"")</f>
        <v/>
      </c>
      <c r="EX281" s="44" t="str">
        <f>IF(Table1[Data Leavers Date]=6000,SUM(Table1[Leaving Date]-Table1[Start Date]),"")</f>
        <v/>
      </c>
      <c r="EY281" s="44" t="str">
        <f>IF(Table1[Data Leavers Date]=7000,SUM(Table1[Leaving Date]-Table1[Start Date]),"")</f>
        <v/>
      </c>
      <c r="EZ281" s="44" t="str">
        <f>IF(Table1[Data Leavers Date]=8000,SUM(Table1[Leaving Date]-Table1[Start Date]),"")</f>
        <v/>
      </c>
      <c r="FA281" s="44" t="str">
        <f>IF(Table1[Date of Initial Assessment]="","",IF(AND(Table1[Start Date]&gt;42094,Table1[Start Date]&lt;42461),Table1[Motivation and Taking Responsibility],""))</f>
        <v/>
      </c>
      <c r="FB281" s="44" t="str">
        <f>IF(Table1[Date of Initial Assessment]="","",IF(AND(Table1[Start Date]&gt;42094,Table1[Start Date]&lt;42461),Table1[Self-Care and Living Skills],""))</f>
        <v/>
      </c>
      <c r="FC281" s="44" t="str">
        <f>IF(Table1[Date of Initial Assessment]="","",IF(AND(Table1[Start Date]&gt;42094,Table1[Start Date]&lt;42461),Table1[Managing Money and Personal Administration],""))</f>
        <v/>
      </c>
      <c r="FD281" s="44" t="str">
        <f>IF(Table1[Date of Initial Assessment]="","",IF(AND(Table1[Start Date]&gt;42094,Table1[Start Date]&lt;42461),Table1[Social Networks and Relationships],""))</f>
        <v/>
      </c>
      <c r="FE281" s="44" t="str">
        <f>IF(Table1[Date of Initial Assessment]="","",IF(AND(Table1[Start Date]&gt;42094,Table1[Start Date]&lt;42461),Table1[Drug and Alcohol Misuse],""))</f>
        <v/>
      </c>
      <c r="FF281" s="44" t="str">
        <f>IF(Table1[Date of Initial Assessment]="","",IF(AND(Table1[Start Date]&gt;42094,Table1[Start Date]&lt;42461),Table1[Physical Health],""))</f>
        <v/>
      </c>
      <c r="FG281" s="44" t="str">
        <f>IF(Table1[Date of Initial Assessment]="","",IF(AND(Table1[Start Date]&gt;42094,Table1[Start Date]&lt;42461),Table1[Emotional and Mental Health],""))</f>
        <v/>
      </c>
      <c r="FH281" s="44" t="str">
        <f>IF(Table1[Date of Initial Assessment]="","",IF(AND(Table1[Start Date]&gt;42094,Table1[Start Date]&lt;42461),Table1[Meaningful Use of Time],""))</f>
        <v/>
      </c>
      <c r="FI281" s="44" t="str">
        <f>IF(Table1[Date of Initial Assessment]="","",IF(AND(Table1[Start Date]&gt;42094,Table1[Start Date]&lt;42461),Table1[Managing Tenancy and Accommodation],""))</f>
        <v/>
      </c>
      <c r="FJ281" s="44" t="str">
        <f>IF(Table1[Date of Initial Assessment]="","",IF(AND(Table1[Start Date]&gt;42094,Table1[Start Date]&lt;42461),Table1[Offending],""))</f>
        <v/>
      </c>
      <c r="FK281" s="44" t="str">
        <f>IF(Table1[Leaving Date]="","",IF(Table1[Date of Initial Assessment]="","",IF(AND(Table1[Leaving Date]&gt;42094,Table1[Leaving Date]&lt;42461),IF(Table1[Date of Last Assessment]="",Table1[Motivation and Taking Responsibility],Table1[Motivation and Taking Responsibility2]),"")))</f>
        <v/>
      </c>
      <c r="FL281" s="44" t="str">
        <f>IF(Table1[Leaving Date]="","",IF(Table1[Date of Initial Assessment]="","",IF(AND(Table1[Leaving Date]&gt;42094,Table1[Leaving Date]&lt;42461),IF(Table1[Date of Last Assessment]="",Table1[Self-Care and Living Skills],Table1[Self-Care and Living Skills2]),"")))</f>
        <v/>
      </c>
      <c r="FM281" s="44" t="str">
        <f>IF(Table1[Leaving Date]="","",IF(Table1[Date of Initial Assessment]="","",IF(AND(Table1[Leaving Date]&gt;42094,Table1[Leaving Date]&lt;42461),IF(Table1[Date of Last Assessment]="",Table1[Managing Money and Personal Administration],Table1[Managing Money and Personal Administration2]),"")))</f>
        <v/>
      </c>
      <c r="FN281" s="44" t="str">
        <f>IF(Table1[Leaving Date]="","",IF(Table1[Date of Initial Assessment]="","",IF(AND(Table1[Leaving Date]&gt;42094,Table1[Leaving Date]&lt;42461),IF(Table1[Date of Last Assessment]="",Table1[Social Networks and Relationships],Table1[Social Networks and Relationships2]),"")))</f>
        <v/>
      </c>
      <c r="FO281" s="44" t="str">
        <f>IF(Table1[Leaving Date]="","",IF(Table1[Date of Initial Assessment]="","",IF(AND(Table1[Leaving Date]&gt;42094,Table1[Leaving Date]&lt;42461),IF(Table1[Date of Last Assessment]="",Table1[Drug and Alcohol Misuse],Table1[Drug and Alcohol Misuse2]),"")))</f>
        <v/>
      </c>
      <c r="FP281" s="44" t="str">
        <f>IF(Table1[Leaving Date]="","",IF(Table1[Date of Initial Assessment]="","",IF(AND(Table1[Leaving Date]&gt;42094,Table1[Leaving Date]&lt;42461),IF(Table1[Date of Last Assessment]="",Table1[Physical Health],Table1[Physical Health2]),"")))</f>
        <v/>
      </c>
      <c r="FQ281" s="44" t="str">
        <f>IF(Table1[Leaving Date]="","",IF(Table1[Date of Initial Assessment]="","",IF(AND(Table1[Leaving Date]&gt;42094,Table1[Leaving Date]&lt;42461),IF(Table1[Date of Last Assessment]="",Table1[Emotional and Mental Health],Table1[Emotional and Mental Health2]),"")))</f>
        <v/>
      </c>
      <c r="FR281" s="44" t="str">
        <f>IF(Table1[Leaving Date]="","",IF(Table1[Date of Initial Assessment]="","",IF(AND(Table1[Leaving Date]&gt;42094,Table1[Leaving Date]&lt;42461),IF(Table1[Date of Last Assessment]="",Table1[Meaningful Use of Time],Table1[Meaningful Use of Time2]),"")))</f>
        <v/>
      </c>
      <c r="FS281" s="44" t="str">
        <f>IF(Table1[Leaving Date]="","",IF(Table1[Date of Initial Assessment]="","",IF(AND(Table1[Leaving Date]&gt;42094,Table1[Leaving Date]&lt;42461),IF(Table1[Date of Last Assessment]="",Table1[Managing Tenancy and Accommodation],Table1[Managing Tenancy and Accommodation2]),"")))</f>
        <v/>
      </c>
      <c r="FT281" s="44" t="str">
        <f>IF(Table1[Leaving Date]="","",IF(Table1[Date of Initial Assessment]="","",IF(AND(Table1[Leaving Date]&gt;42094,Table1[Leaving Date]&lt;42461),IF(Table1[Date of Last Assessment]="",Table1[Offending],Table1[Offending2]),"")))</f>
        <v/>
      </c>
      <c r="FU281" s="44" t="str">
        <f>IF(Table1[Date of Initial Assessment]="","",IF(AND(Table1[Start Date]&gt;42460,Table1[Start Date]&lt;42826),Table1[Motivation and Taking Responsibility],""))</f>
        <v/>
      </c>
      <c r="FV281" s="44" t="str">
        <f>IF(Table1[Date of Initial Assessment]="","",IF(AND(Table1[Start Date]&gt;42460,Table1[Start Date]&lt;42826),Table1[Self-Care and Living Skills],""))</f>
        <v/>
      </c>
      <c r="FW281" s="44" t="str">
        <f>IF(Table1[Date of Initial Assessment]="","",IF(AND(Table1[Start Date]&gt;42460,Table1[Start Date]&lt;42826),Table1[Managing Money and Personal Administration],""))</f>
        <v/>
      </c>
      <c r="FX281" s="44" t="str">
        <f>IF(Table1[Date of Initial Assessment]="","",IF(AND(Table1[Start Date]&gt;42460,Table1[Start Date]&lt;42826),Table1[Social Networks and Relationships],""))</f>
        <v/>
      </c>
      <c r="FY281" s="44" t="str">
        <f>IF(Table1[Date of Initial Assessment]="","",IF(AND(Table1[Start Date]&gt;42460,Table1[Start Date]&lt;42826),Table1[Drug and Alcohol Misuse],""))</f>
        <v/>
      </c>
      <c r="FZ281" s="44" t="str">
        <f>IF(Table1[Date of Initial Assessment]="","",IF(AND(Table1[Start Date]&gt;42460,Table1[Start Date]&lt;42826),Table1[Physical Health],""))</f>
        <v/>
      </c>
      <c r="GA281" s="44" t="str">
        <f>IF(Table1[Date of Initial Assessment]="","",IF(AND(Table1[Start Date]&gt;42460,Table1[Start Date]&lt;42826),Table1[Emotional and Mental Health],""))</f>
        <v/>
      </c>
      <c r="GB281" s="44" t="str">
        <f>IF(Table1[Date of Initial Assessment]="","",IF(AND(Table1[Start Date]&gt;42460,Table1[Start Date]&lt;42826),Table1[Meaningful Use of Time],""))</f>
        <v/>
      </c>
      <c r="GC281" s="44" t="str">
        <f>IF(Table1[Date of Initial Assessment]="","",IF(AND(Table1[Start Date]&gt;42460,Table1[Start Date]&lt;42826),Table1[Managing Tenancy and Accommodation],""))</f>
        <v/>
      </c>
      <c r="GD281" s="44" t="str">
        <f>IF(Table1[Date of Initial Assessment]="","",IF(AND(Table1[Start Date]&gt;42460,Table1[Start Date]&lt;42826),Table1[Offending],""))</f>
        <v/>
      </c>
      <c r="GE281" s="44" t="str">
        <f>IF(Table1[Leaving Date]="","",IF(AND(Table1[Leaving Date]&gt;42460,Table1[Leaving Date]&lt;42826),IF(Table1[Date of Last Assessment]="",Table1[Motivation and Taking Responsibility],Table1[Motivation and Taking Responsibility2]),""))</f>
        <v/>
      </c>
      <c r="GF281" s="44" t="str">
        <f>IF(Table1[Leaving Date]="","",IF(AND(Table1[Leaving Date]&gt;42460,Table1[Leaving Date]&lt;42826),IF(Table1[Date of Last Assessment]="",Table1[Self-Care and Living Skills],Table1[Self-Care and Living Skills2]),""))</f>
        <v/>
      </c>
      <c r="GG281" s="44" t="str">
        <f>IF(Table1[Leaving Date]="","",IF(AND(Table1[Leaving Date]&gt;42460,Table1[Leaving Date]&lt;42826),IF(Table1[Date of Last Assessment]="",Table1[Managing Money and Personal Administration],Table1[Managing Money and Personal Administration2]),""))</f>
        <v/>
      </c>
      <c r="GH281" s="44" t="str">
        <f>IF(Table1[Leaving Date]="","",IF(AND(Table1[Leaving Date]&gt;42460,Table1[Leaving Date]&lt;42826),IF(Table1[Date of Last Assessment]="",Table1[Social Networks and Relationships],Table1[Social Networks and Relationships2]),""))</f>
        <v/>
      </c>
      <c r="GI281" s="44" t="str">
        <f>IF(Table1[Leaving Date]="","",IF(AND(Table1[Leaving Date]&gt;42460,Table1[Leaving Date]&lt;42826),IF(Table1[Date of Last Assessment]="",Table1[Drug and Alcohol Misuse],Table1[Drug and Alcohol Misuse2]),""))</f>
        <v/>
      </c>
      <c r="GJ281" s="44" t="str">
        <f>IF(Table1[Leaving Date]="","",IF(AND(Table1[Leaving Date]&gt;42460,Table1[Leaving Date]&lt;42826),IF(Table1[Date of Last Assessment]="",Table1[Physical Health],Table1[Physical Health2]),""))</f>
        <v/>
      </c>
      <c r="GK281" s="44" t="str">
        <f>IF(Table1[Leaving Date]="","",IF(AND(Table1[Leaving Date]&gt;42460,Table1[Leaving Date]&lt;42826),IF(Table1[Date of Last Assessment]="",Table1[Emotional and Mental Health],Table1[Emotional and Mental Health2]),""))</f>
        <v/>
      </c>
      <c r="GL281" s="44" t="str">
        <f>IF(Table1[Leaving Date]="","",IF(AND(Table1[Leaving Date]&gt;42460,Table1[Leaving Date]&lt;42826),IF(Table1[Date of Last Assessment]="",Table1[Meaningful Use of Time],Table1[Meaningful Use of Time2]),""))</f>
        <v/>
      </c>
      <c r="GM281" s="44" t="str">
        <f>IF(Table1[Leaving Date]="","",IF(AND(Table1[Leaving Date]&gt;42460,Table1[Leaving Date]&lt;42826),IF(Table1[Date of Last Assessment]="",Table1[Managing Tenancy and Accommodation],Table1[Managing Tenancy and Accommodation2]),""))</f>
        <v/>
      </c>
      <c r="GN281" s="44" t="str">
        <f>IF(Table1[Leaving Date]="","",IF(AND(Table1[Leaving Date]&gt;42460,Table1[Leaving Date]&lt;42826),IF(Table1[Date of Last Assessment]="",Table1[Offending],Table1[Offending2]),""))</f>
        <v/>
      </c>
    </row>
    <row r="282" spans="2:196" ht="20.100000000000001" customHeight="1" x14ac:dyDescent="0.2">
      <c r="B282" s="86">
        <f>+'Service Data'!$C$5:$C$5</f>
        <v>0</v>
      </c>
      <c r="C282" s="86"/>
      <c r="D282" s="86"/>
      <c r="E282" s="86"/>
      <c r="F282" s="86"/>
      <c r="G282" s="86"/>
      <c r="H282" s="6"/>
      <c r="I282" s="99" t="str">
        <f ca="1">IF(Table1[[#This Row],[Date of Birth]]="","",SUM(TODAY()-Table1[[#This Row],[Date of Birth]])/365)</f>
        <v/>
      </c>
      <c r="L282" s="86"/>
      <c r="M282" s="77"/>
      <c r="N282" s="86"/>
      <c r="O282" s="86"/>
      <c r="P282" s="91"/>
      <c r="Q282" s="86"/>
      <c r="R282" s="77"/>
      <c r="S282" s="77"/>
      <c r="T282" s="68"/>
      <c r="U282" s="68"/>
      <c r="V282" s="67"/>
      <c r="W282" s="67"/>
      <c r="X282" s="67"/>
      <c r="Y282" s="67"/>
      <c r="Z282" s="67"/>
      <c r="AA282" s="67"/>
      <c r="AB282" s="67"/>
      <c r="AC282" s="67"/>
      <c r="AD282" s="67"/>
      <c r="AE282" s="67"/>
      <c r="AF282" s="67"/>
      <c r="AG282" s="67"/>
      <c r="AH282" s="67"/>
      <c r="AI282" s="67"/>
      <c r="AJ282" s="67"/>
      <c r="AK282" s="67"/>
      <c r="AL282" s="67"/>
      <c r="AM282" s="67"/>
      <c r="AN282" s="77"/>
      <c r="AO282" s="76"/>
      <c r="AP282" s="77"/>
      <c r="AQ282" s="76"/>
      <c r="AR282" s="76"/>
      <c r="AS282" s="76"/>
      <c r="AT282" s="76"/>
      <c r="AU282" s="76"/>
      <c r="AV282" s="77"/>
      <c r="AW282" s="76"/>
      <c r="AX282" s="77"/>
      <c r="AY282" s="76"/>
      <c r="AZ282" s="76"/>
      <c r="BA282" s="76"/>
      <c r="BB282" s="76"/>
      <c r="BC282" s="76"/>
      <c r="BD282" s="77"/>
      <c r="BE282" s="76"/>
      <c r="BF282" s="77"/>
      <c r="BG282" s="76"/>
      <c r="BH282" s="76"/>
      <c r="BI282" s="76"/>
      <c r="BJ282" s="76"/>
      <c r="BK282" s="76"/>
      <c r="BL282" s="77"/>
      <c r="BM282" s="76"/>
      <c r="BN282" s="77"/>
      <c r="BO282" s="76"/>
      <c r="BP282" s="76"/>
      <c r="BQ282" s="76"/>
      <c r="BR282" s="76"/>
      <c r="BS282" s="76"/>
      <c r="BT282" s="77"/>
      <c r="BU282" s="76"/>
      <c r="BV282" s="77"/>
      <c r="BW282" s="76"/>
      <c r="BX282" s="76"/>
      <c r="BY282" s="76"/>
      <c r="BZ282" s="76"/>
      <c r="CA282" s="76"/>
      <c r="CB282" s="77"/>
      <c r="CC282" s="76"/>
      <c r="CD282" s="77"/>
      <c r="CE282" s="76"/>
      <c r="CF282" s="76"/>
      <c r="CG282" s="76"/>
      <c r="CH282" s="76"/>
      <c r="CI282" s="76"/>
      <c r="CJ282" s="77"/>
      <c r="CK282" s="76"/>
      <c r="CL282" s="77"/>
      <c r="CM282" s="76"/>
      <c r="CN282" s="76"/>
      <c r="CO282" s="76"/>
      <c r="CP282" s="76"/>
      <c r="CQ282" s="76"/>
      <c r="CR282" s="78" t="str">
        <f t="shared" si="79"/>
        <v/>
      </c>
      <c r="CS282" s="79" t="str">
        <f t="shared" si="80"/>
        <v/>
      </c>
      <c r="CT282" s="79" t="str">
        <f t="shared" si="81"/>
        <v/>
      </c>
      <c r="CU282" s="79" t="str">
        <f t="shared" si="82"/>
        <v/>
      </c>
      <c r="CV282" s="79" t="str">
        <f t="shared" si="83"/>
        <v/>
      </c>
      <c r="CW282" s="79" t="str">
        <f t="shared" si="84"/>
        <v/>
      </c>
      <c r="CX282" s="79" t="str">
        <f t="shared" si="85"/>
        <v/>
      </c>
      <c r="CY282" s="79" t="str">
        <f t="shared" si="86"/>
        <v/>
      </c>
      <c r="CZ282" s="79" t="str">
        <f t="shared" si="87"/>
        <v/>
      </c>
      <c r="DA282" s="79" t="str">
        <f t="shared" si="88"/>
        <v/>
      </c>
      <c r="DB282" s="79" t="str">
        <f t="shared" si="89"/>
        <v/>
      </c>
      <c r="DC282" s="79" t="str">
        <f t="shared" si="90"/>
        <v/>
      </c>
      <c r="DD282" s="79" t="str">
        <f t="shared" si="91"/>
        <v/>
      </c>
      <c r="DE282" s="79" t="str">
        <f t="shared" si="92"/>
        <v/>
      </c>
      <c r="DF282" s="79" t="str">
        <f t="shared" si="93"/>
        <v/>
      </c>
      <c r="DG282" s="79" t="str">
        <f t="shared" si="94"/>
        <v/>
      </c>
      <c r="DH282" s="76"/>
      <c r="DI282" s="78"/>
      <c r="DJ282" s="76"/>
      <c r="DK282" s="77"/>
      <c r="DL282" s="77"/>
      <c r="DM282" s="77"/>
      <c r="DN282" s="80"/>
      <c r="DO282" s="80"/>
      <c r="DP282" s="92" t="str">
        <f>IF(Table1[Start Date]="","",IF(Table1[Start Date]&gt;42185,"",IF(AND(Table1[Leaving Date]&gt;1,Table1[Leaving Date]&lt;42095),"",1)))</f>
        <v/>
      </c>
      <c r="DQ282" s="92" t="str">
        <f>IF(Table1[Start Date]="","",IF(Table1[Start Date]&gt;42277,"",IF(AND(Table1[Leaving Date]&gt;1,Table1[Leaving Date]&lt;42186),"",1)))</f>
        <v/>
      </c>
      <c r="DR282" s="92" t="str">
        <f>IF(Table1[Start Date]="","",IF(Table1[Start Date]&gt;42369,"",IF(AND(Table1[Leaving Date]&gt;1,Table1[Leaving Date]&lt;42278),"",1)))</f>
        <v/>
      </c>
      <c r="DS282" s="92" t="str">
        <f>IF(Table1[Start Date]="","",IF(Table1[Start Date]&gt;42460,"",IF(AND(Table1[Leaving Date]&gt;1,Table1[Leaving Date]&lt;42370),"",1)))</f>
        <v/>
      </c>
      <c r="DT282" s="92" t="str">
        <f>IF(Table1[Start Date]="","",IF(Table1[Start Date]&gt;42551,"",IF(AND(Table1[Leaving Date]&gt;1,Table1[Leaving Date]&lt;42461),"",1)))</f>
        <v/>
      </c>
      <c r="DU282" s="92" t="str">
        <f>IF(Table1[Start Date]="","",IF(Table1[Start Date]&gt;42643,"",IF(AND(Table1[Leaving Date]&gt;1,Table1[Leaving Date]&lt;42552),"",1)))</f>
        <v/>
      </c>
      <c r="DV282" s="92" t="str">
        <f>IF(Table1[Start Date]="","",IF(Table1[Start Date]&gt;42735,"",IF(AND(Table1[Leaving Date]&gt;1,Table1[Leaving Date]&lt;42644),"",1)))</f>
        <v/>
      </c>
      <c r="DW282" s="92" t="str">
        <f>IF(Table1[Start Date]="","",IF(Table1[Start Date]&gt;42825,"",IF(AND(Table1[Leaving Date]&gt;1,Table1[Leaving Date]&lt;42736),"",1)))</f>
        <v/>
      </c>
      <c r="DX282"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282" s="44" t="e">
        <f>VLOOKUP(Table1[Referral Source],Lists!$G$2:$H$20,2,FALSE)</f>
        <v>#N/A</v>
      </c>
      <c r="DZ282" s="93" t="e">
        <f>SUM(Table1[Data Referral Quarter]+Table1[Data Referral Source])</f>
        <v>#N/A</v>
      </c>
      <c r="EA282" s="44" t="b">
        <f>IF(Table1[Referral Decision]="Accepted",100,IF(Table1[Referral Decision]="Rejected by Provider",200,IF(Table1[Referral Decision]="Rejected by Applicant",300)))</f>
        <v>0</v>
      </c>
      <c r="EB282" s="44">
        <f>SUM(Table1[Data Referral Quarter]+Table1[Data Referral Decision])</f>
        <v>0</v>
      </c>
      <c r="EC282" s="44" t="b">
        <f>IF(Table1[Start Date]&gt;42735,8000,IF(Table1[Start Date]&gt;42643,7000,IF(Table1[Start Date]&gt;42551,6000,IF(Table1[Start Date]&gt;42460,5000,IF(Table1[Start Date]&gt;42369,4000,IF(Table1[Start Date]&gt;42277,3000,IF(Table1[Start Date]&gt;42185,2000,IF(Table1[Start Date]&gt;42094,1000))))))))</f>
        <v>0</v>
      </c>
      <c r="ED282" s="44" t="str">
        <f>IF(Table1[Start Date]="","",IF(Table1[Current Local Authority]="Swindon",1,"2"))</f>
        <v/>
      </c>
      <c r="EE282" s="44" t="e">
        <f>SUM(Table1[Data Start Date]+Table1[Data Local Authority])</f>
        <v>#VALUE!</v>
      </c>
      <c r="EF282" s="44">
        <f>IF(Table1[Registered with GP]="Yes",1,0)</f>
        <v>0</v>
      </c>
      <c r="EG282" s="44">
        <f>SUM(Table1[Data Start Date]+Table1[Data GP Start])</f>
        <v>0</v>
      </c>
      <c r="EH282" s="44" t="str">
        <f>IF(Table1[EET]="NEET",1,IF(Table1[EET]="Education",2,IF(Table1[EET]="Employment",2,IF(Table1[EET]="Training",2,IF(Table1[EET]="Retired",3,"")))))</f>
        <v/>
      </c>
      <c r="EI282" s="44" t="e">
        <f>Table1[Data Start Date]+Table1[Data EET Start]</f>
        <v>#VALUE!</v>
      </c>
      <c r="EJ282" s="44" t="b">
        <f>IF(Table1[Leaving Date]&gt;42735,8000,IF(Table1[Leaving Date]&gt;42643,7000,IF(Table1[Leaving Date]&gt;42551,6000,IF(Table1[Leaving Date]&gt;42460,5000,IF(Table1[Leaving Date]&gt;42369,4000,IF(Table1[Leaving Date]&gt;42277,3000,IF(Table1[Leaving Date]&gt;42185,2000,IF(Table1[Leaving Date]&gt;42094,1000))))))))</f>
        <v>0</v>
      </c>
      <c r="EK282" s="44" t="e">
        <f>VLOOKUP(Table1[Reason for Leaving],Lists!$T$2:$U$15,2,FALSE)</f>
        <v>#N/A</v>
      </c>
      <c r="EL282" s="44" t="e">
        <f>SUM(Table1[Data Leavers Date]+Table1[Data Move On])</f>
        <v>#N/A</v>
      </c>
      <c r="EM282" s="44" t="b">
        <f>IF(Table1[Registered with GP2]="Yes",1,IF(Table1[Registered with GP2]="No",0,IF(Table1[Registered with GP]="Yes",1,IF(Table1[Registered with GP]="No",0))))</f>
        <v>0</v>
      </c>
      <c r="EN282" s="44">
        <f>SUM(Table1[Data Leavers Date]+Table1[Data GP End])</f>
        <v>0</v>
      </c>
      <c r="EO282" s="44" t="str">
        <f>IF(Table1[EET2]="NEET",1,IF(Table1[EET2]="Employment",2,IF(Table1[EET2]="Education",2,IF(Table1[EET2]="Training",2,IF(Table1[EET2]="Retired",3,IF(Table1[EET]="NEET",1,IF(Table1[EET]="Employment",2,IF(Table1[EET]="Education",2,IF(Table1[EET]="Training",2,IF(Table1[EET]="Retired",3,""))))))))))</f>
        <v/>
      </c>
      <c r="EP282" s="44" t="e">
        <f>+Table1[[#This Row],[Data Leavers Date]]+Table1[[#This Row],[Data EET End]]</f>
        <v>#VALUE!</v>
      </c>
      <c r="EQ282" s="44">
        <f>IF(Table1[Exit Form Received]="Yes",1,0)</f>
        <v>0</v>
      </c>
      <c r="ER282" s="44">
        <f>+Table1[[#This Row],[Data Leavers Date]]+Table1[[#This Row],[Data Exit Forms]]</f>
        <v>0</v>
      </c>
      <c r="ES282" s="44" t="str">
        <f>IF(Table1[Data Leavers Date]=1000,SUM(Table1[Leaving Date]-Table1[Start Date]),"")</f>
        <v/>
      </c>
      <c r="ET282" s="44" t="str">
        <f>IF(Table1[Data Leavers Date]=2000,SUM(Table1[Leaving Date]-Table1[Start Date]),"")</f>
        <v/>
      </c>
      <c r="EU282" s="44" t="str">
        <f>IF(Table1[Data Leavers Date]=3000,SUM(Table1[Leaving Date]-Table1[Start Date]),"")</f>
        <v/>
      </c>
      <c r="EV282" s="44" t="str">
        <f>IF(Table1[Data Leavers Date]=4000,SUM(Table1[Leaving Date]-Table1[Start Date]),"")</f>
        <v/>
      </c>
      <c r="EW282" s="44" t="str">
        <f>IF(Table1[Data Leavers Date]=5000,SUM(Table1[Leaving Date]-Table1[Start Date]),"")</f>
        <v/>
      </c>
      <c r="EX282" s="44" t="str">
        <f>IF(Table1[Data Leavers Date]=6000,SUM(Table1[Leaving Date]-Table1[Start Date]),"")</f>
        <v/>
      </c>
      <c r="EY282" s="44" t="str">
        <f>IF(Table1[Data Leavers Date]=7000,SUM(Table1[Leaving Date]-Table1[Start Date]),"")</f>
        <v/>
      </c>
      <c r="EZ282" s="44" t="str">
        <f>IF(Table1[Data Leavers Date]=8000,SUM(Table1[Leaving Date]-Table1[Start Date]),"")</f>
        <v/>
      </c>
      <c r="FA282" s="44" t="str">
        <f>IF(Table1[Date of Initial Assessment]="","",IF(AND(Table1[Start Date]&gt;42094,Table1[Start Date]&lt;42461),Table1[Motivation and Taking Responsibility],""))</f>
        <v/>
      </c>
      <c r="FB282" s="44" t="str">
        <f>IF(Table1[Date of Initial Assessment]="","",IF(AND(Table1[Start Date]&gt;42094,Table1[Start Date]&lt;42461),Table1[Self-Care and Living Skills],""))</f>
        <v/>
      </c>
      <c r="FC282" s="44" t="str">
        <f>IF(Table1[Date of Initial Assessment]="","",IF(AND(Table1[Start Date]&gt;42094,Table1[Start Date]&lt;42461),Table1[Managing Money and Personal Administration],""))</f>
        <v/>
      </c>
      <c r="FD282" s="44" t="str">
        <f>IF(Table1[Date of Initial Assessment]="","",IF(AND(Table1[Start Date]&gt;42094,Table1[Start Date]&lt;42461),Table1[Social Networks and Relationships],""))</f>
        <v/>
      </c>
      <c r="FE282" s="44" t="str">
        <f>IF(Table1[Date of Initial Assessment]="","",IF(AND(Table1[Start Date]&gt;42094,Table1[Start Date]&lt;42461),Table1[Drug and Alcohol Misuse],""))</f>
        <v/>
      </c>
      <c r="FF282" s="44" t="str">
        <f>IF(Table1[Date of Initial Assessment]="","",IF(AND(Table1[Start Date]&gt;42094,Table1[Start Date]&lt;42461),Table1[Physical Health],""))</f>
        <v/>
      </c>
      <c r="FG282" s="44" t="str">
        <f>IF(Table1[Date of Initial Assessment]="","",IF(AND(Table1[Start Date]&gt;42094,Table1[Start Date]&lt;42461),Table1[Emotional and Mental Health],""))</f>
        <v/>
      </c>
      <c r="FH282" s="44" t="str">
        <f>IF(Table1[Date of Initial Assessment]="","",IF(AND(Table1[Start Date]&gt;42094,Table1[Start Date]&lt;42461),Table1[Meaningful Use of Time],""))</f>
        <v/>
      </c>
      <c r="FI282" s="44" t="str">
        <f>IF(Table1[Date of Initial Assessment]="","",IF(AND(Table1[Start Date]&gt;42094,Table1[Start Date]&lt;42461),Table1[Managing Tenancy and Accommodation],""))</f>
        <v/>
      </c>
      <c r="FJ282" s="44" t="str">
        <f>IF(Table1[Date of Initial Assessment]="","",IF(AND(Table1[Start Date]&gt;42094,Table1[Start Date]&lt;42461),Table1[Offending],""))</f>
        <v/>
      </c>
      <c r="FK282" s="44" t="str">
        <f>IF(Table1[Leaving Date]="","",IF(Table1[Date of Initial Assessment]="","",IF(AND(Table1[Leaving Date]&gt;42094,Table1[Leaving Date]&lt;42461),IF(Table1[Date of Last Assessment]="",Table1[Motivation and Taking Responsibility],Table1[Motivation and Taking Responsibility2]),"")))</f>
        <v/>
      </c>
      <c r="FL282" s="44" t="str">
        <f>IF(Table1[Leaving Date]="","",IF(Table1[Date of Initial Assessment]="","",IF(AND(Table1[Leaving Date]&gt;42094,Table1[Leaving Date]&lt;42461),IF(Table1[Date of Last Assessment]="",Table1[Self-Care and Living Skills],Table1[Self-Care and Living Skills2]),"")))</f>
        <v/>
      </c>
      <c r="FM282" s="44" t="str">
        <f>IF(Table1[Leaving Date]="","",IF(Table1[Date of Initial Assessment]="","",IF(AND(Table1[Leaving Date]&gt;42094,Table1[Leaving Date]&lt;42461),IF(Table1[Date of Last Assessment]="",Table1[Managing Money and Personal Administration],Table1[Managing Money and Personal Administration2]),"")))</f>
        <v/>
      </c>
      <c r="FN282" s="44" t="str">
        <f>IF(Table1[Leaving Date]="","",IF(Table1[Date of Initial Assessment]="","",IF(AND(Table1[Leaving Date]&gt;42094,Table1[Leaving Date]&lt;42461),IF(Table1[Date of Last Assessment]="",Table1[Social Networks and Relationships],Table1[Social Networks and Relationships2]),"")))</f>
        <v/>
      </c>
      <c r="FO282" s="44" t="str">
        <f>IF(Table1[Leaving Date]="","",IF(Table1[Date of Initial Assessment]="","",IF(AND(Table1[Leaving Date]&gt;42094,Table1[Leaving Date]&lt;42461),IF(Table1[Date of Last Assessment]="",Table1[Drug and Alcohol Misuse],Table1[Drug and Alcohol Misuse2]),"")))</f>
        <v/>
      </c>
      <c r="FP282" s="44" t="str">
        <f>IF(Table1[Leaving Date]="","",IF(Table1[Date of Initial Assessment]="","",IF(AND(Table1[Leaving Date]&gt;42094,Table1[Leaving Date]&lt;42461),IF(Table1[Date of Last Assessment]="",Table1[Physical Health],Table1[Physical Health2]),"")))</f>
        <v/>
      </c>
      <c r="FQ282" s="44" t="str">
        <f>IF(Table1[Leaving Date]="","",IF(Table1[Date of Initial Assessment]="","",IF(AND(Table1[Leaving Date]&gt;42094,Table1[Leaving Date]&lt;42461),IF(Table1[Date of Last Assessment]="",Table1[Emotional and Mental Health],Table1[Emotional and Mental Health2]),"")))</f>
        <v/>
      </c>
      <c r="FR282" s="44" t="str">
        <f>IF(Table1[Leaving Date]="","",IF(Table1[Date of Initial Assessment]="","",IF(AND(Table1[Leaving Date]&gt;42094,Table1[Leaving Date]&lt;42461),IF(Table1[Date of Last Assessment]="",Table1[Meaningful Use of Time],Table1[Meaningful Use of Time2]),"")))</f>
        <v/>
      </c>
      <c r="FS282" s="44" t="str">
        <f>IF(Table1[Leaving Date]="","",IF(Table1[Date of Initial Assessment]="","",IF(AND(Table1[Leaving Date]&gt;42094,Table1[Leaving Date]&lt;42461),IF(Table1[Date of Last Assessment]="",Table1[Managing Tenancy and Accommodation],Table1[Managing Tenancy and Accommodation2]),"")))</f>
        <v/>
      </c>
      <c r="FT282" s="44" t="str">
        <f>IF(Table1[Leaving Date]="","",IF(Table1[Date of Initial Assessment]="","",IF(AND(Table1[Leaving Date]&gt;42094,Table1[Leaving Date]&lt;42461),IF(Table1[Date of Last Assessment]="",Table1[Offending],Table1[Offending2]),"")))</f>
        <v/>
      </c>
      <c r="FU282" s="44" t="str">
        <f>IF(Table1[Date of Initial Assessment]="","",IF(AND(Table1[Start Date]&gt;42460,Table1[Start Date]&lt;42826),Table1[Motivation and Taking Responsibility],""))</f>
        <v/>
      </c>
      <c r="FV282" s="44" t="str">
        <f>IF(Table1[Date of Initial Assessment]="","",IF(AND(Table1[Start Date]&gt;42460,Table1[Start Date]&lt;42826),Table1[Self-Care and Living Skills],""))</f>
        <v/>
      </c>
      <c r="FW282" s="44" t="str">
        <f>IF(Table1[Date of Initial Assessment]="","",IF(AND(Table1[Start Date]&gt;42460,Table1[Start Date]&lt;42826),Table1[Managing Money and Personal Administration],""))</f>
        <v/>
      </c>
      <c r="FX282" s="44" t="str">
        <f>IF(Table1[Date of Initial Assessment]="","",IF(AND(Table1[Start Date]&gt;42460,Table1[Start Date]&lt;42826),Table1[Social Networks and Relationships],""))</f>
        <v/>
      </c>
      <c r="FY282" s="44" t="str">
        <f>IF(Table1[Date of Initial Assessment]="","",IF(AND(Table1[Start Date]&gt;42460,Table1[Start Date]&lt;42826),Table1[Drug and Alcohol Misuse],""))</f>
        <v/>
      </c>
      <c r="FZ282" s="44" t="str">
        <f>IF(Table1[Date of Initial Assessment]="","",IF(AND(Table1[Start Date]&gt;42460,Table1[Start Date]&lt;42826),Table1[Physical Health],""))</f>
        <v/>
      </c>
      <c r="GA282" s="44" t="str">
        <f>IF(Table1[Date of Initial Assessment]="","",IF(AND(Table1[Start Date]&gt;42460,Table1[Start Date]&lt;42826),Table1[Emotional and Mental Health],""))</f>
        <v/>
      </c>
      <c r="GB282" s="44" t="str">
        <f>IF(Table1[Date of Initial Assessment]="","",IF(AND(Table1[Start Date]&gt;42460,Table1[Start Date]&lt;42826),Table1[Meaningful Use of Time],""))</f>
        <v/>
      </c>
      <c r="GC282" s="44" t="str">
        <f>IF(Table1[Date of Initial Assessment]="","",IF(AND(Table1[Start Date]&gt;42460,Table1[Start Date]&lt;42826),Table1[Managing Tenancy and Accommodation],""))</f>
        <v/>
      </c>
      <c r="GD282" s="44" t="str">
        <f>IF(Table1[Date of Initial Assessment]="","",IF(AND(Table1[Start Date]&gt;42460,Table1[Start Date]&lt;42826),Table1[Offending],""))</f>
        <v/>
      </c>
      <c r="GE282" s="44" t="str">
        <f>IF(Table1[Leaving Date]="","",IF(AND(Table1[Leaving Date]&gt;42460,Table1[Leaving Date]&lt;42826),IF(Table1[Date of Last Assessment]="",Table1[Motivation and Taking Responsibility],Table1[Motivation and Taking Responsibility2]),""))</f>
        <v/>
      </c>
      <c r="GF282" s="44" t="str">
        <f>IF(Table1[Leaving Date]="","",IF(AND(Table1[Leaving Date]&gt;42460,Table1[Leaving Date]&lt;42826),IF(Table1[Date of Last Assessment]="",Table1[Self-Care and Living Skills],Table1[Self-Care and Living Skills2]),""))</f>
        <v/>
      </c>
      <c r="GG282" s="44" t="str">
        <f>IF(Table1[Leaving Date]="","",IF(AND(Table1[Leaving Date]&gt;42460,Table1[Leaving Date]&lt;42826),IF(Table1[Date of Last Assessment]="",Table1[Managing Money and Personal Administration],Table1[Managing Money and Personal Administration2]),""))</f>
        <v/>
      </c>
      <c r="GH282" s="44" t="str">
        <f>IF(Table1[Leaving Date]="","",IF(AND(Table1[Leaving Date]&gt;42460,Table1[Leaving Date]&lt;42826),IF(Table1[Date of Last Assessment]="",Table1[Social Networks and Relationships],Table1[Social Networks and Relationships2]),""))</f>
        <v/>
      </c>
      <c r="GI282" s="44" t="str">
        <f>IF(Table1[Leaving Date]="","",IF(AND(Table1[Leaving Date]&gt;42460,Table1[Leaving Date]&lt;42826),IF(Table1[Date of Last Assessment]="",Table1[Drug and Alcohol Misuse],Table1[Drug and Alcohol Misuse2]),""))</f>
        <v/>
      </c>
      <c r="GJ282" s="44" t="str">
        <f>IF(Table1[Leaving Date]="","",IF(AND(Table1[Leaving Date]&gt;42460,Table1[Leaving Date]&lt;42826),IF(Table1[Date of Last Assessment]="",Table1[Physical Health],Table1[Physical Health2]),""))</f>
        <v/>
      </c>
      <c r="GK282" s="44" t="str">
        <f>IF(Table1[Leaving Date]="","",IF(AND(Table1[Leaving Date]&gt;42460,Table1[Leaving Date]&lt;42826),IF(Table1[Date of Last Assessment]="",Table1[Emotional and Mental Health],Table1[Emotional and Mental Health2]),""))</f>
        <v/>
      </c>
      <c r="GL282" s="44" t="str">
        <f>IF(Table1[Leaving Date]="","",IF(AND(Table1[Leaving Date]&gt;42460,Table1[Leaving Date]&lt;42826),IF(Table1[Date of Last Assessment]="",Table1[Meaningful Use of Time],Table1[Meaningful Use of Time2]),""))</f>
        <v/>
      </c>
      <c r="GM282" s="44" t="str">
        <f>IF(Table1[Leaving Date]="","",IF(AND(Table1[Leaving Date]&gt;42460,Table1[Leaving Date]&lt;42826),IF(Table1[Date of Last Assessment]="",Table1[Managing Tenancy and Accommodation],Table1[Managing Tenancy and Accommodation2]),""))</f>
        <v/>
      </c>
      <c r="GN282" s="44" t="str">
        <f>IF(Table1[Leaving Date]="","",IF(AND(Table1[Leaving Date]&gt;42460,Table1[Leaving Date]&lt;42826),IF(Table1[Date of Last Assessment]="",Table1[Offending],Table1[Offending2]),""))</f>
        <v/>
      </c>
    </row>
    <row r="283" spans="2:196" ht="20.100000000000001" customHeight="1" x14ac:dyDescent="0.2">
      <c r="B283" s="86">
        <f>+'Service Data'!$C$5:$C$5</f>
        <v>0</v>
      </c>
      <c r="C283" s="86"/>
      <c r="D283" s="86"/>
      <c r="E283" s="86"/>
      <c r="F283" s="86"/>
      <c r="G283" s="86"/>
      <c r="H283" s="6"/>
      <c r="I283" s="99" t="str">
        <f ca="1">IF(Table1[[#This Row],[Date of Birth]]="","",SUM(TODAY()-Table1[[#This Row],[Date of Birth]])/365)</f>
        <v/>
      </c>
      <c r="L283" s="86"/>
      <c r="M283" s="77"/>
      <c r="N283" s="86"/>
      <c r="O283" s="86"/>
      <c r="P283" s="91"/>
      <c r="Q283" s="86"/>
      <c r="R283" s="77"/>
      <c r="S283" s="77"/>
      <c r="T283" s="68"/>
      <c r="U283" s="68"/>
      <c r="V283" s="67"/>
      <c r="W283" s="67"/>
      <c r="X283" s="67"/>
      <c r="Y283" s="67"/>
      <c r="Z283" s="67"/>
      <c r="AA283" s="67"/>
      <c r="AB283" s="67"/>
      <c r="AC283" s="67"/>
      <c r="AD283" s="67"/>
      <c r="AE283" s="67"/>
      <c r="AF283" s="67"/>
      <c r="AG283" s="67"/>
      <c r="AH283" s="67"/>
      <c r="AI283" s="67"/>
      <c r="AJ283" s="67"/>
      <c r="AK283" s="67"/>
      <c r="AL283" s="67"/>
      <c r="AM283" s="67"/>
      <c r="AN283" s="77"/>
      <c r="AO283" s="76"/>
      <c r="AP283" s="77"/>
      <c r="AQ283" s="76"/>
      <c r="AR283" s="76"/>
      <c r="AS283" s="76"/>
      <c r="AT283" s="76"/>
      <c r="AU283" s="76"/>
      <c r="AV283" s="77"/>
      <c r="AW283" s="76"/>
      <c r="AX283" s="77"/>
      <c r="AY283" s="76"/>
      <c r="AZ283" s="76"/>
      <c r="BA283" s="76"/>
      <c r="BB283" s="76"/>
      <c r="BC283" s="76"/>
      <c r="BD283" s="77"/>
      <c r="BE283" s="76"/>
      <c r="BF283" s="77"/>
      <c r="BG283" s="76"/>
      <c r="BH283" s="76"/>
      <c r="BI283" s="76"/>
      <c r="BJ283" s="76"/>
      <c r="BK283" s="76"/>
      <c r="BL283" s="77"/>
      <c r="BM283" s="76"/>
      <c r="BN283" s="77"/>
      <c r="BO283" s="76"/>
      <c r="BP283" s="76"/>
      <c r="BQ283" s="76"/>
      <c r="BR283" s="76"/>
      <c r="BS283" s="76"/>
      <c r="BT283" s="77"/>
      <c r="BU283" s="76"/>
      <c r="BV283" s="77"/>
      <c r="BW283" s="76"/>
      <c r="BX283" s="76"/>
      <c r="BY283" s="76"/>
      <c r="BZ283" s="76"/>
      <c r="CA283" s="76"/>
      <c r="CB283" s="77"/>
      <c r="CC283" s="76"/>
      <c r="CD283" s="77"/>
      <c r="CE283" s="76"/>
      <c r="CF283" s="76"/>
      <c r="CG283" s="76"/>
      <c r="CH283" s="76"/>
      <c r="CI283" s="76"/>
      <c r="CJ283" s="77"/>
      <c r="CK283" s="76"/>
      <c r="CL283" s="77"/>
      <c r="CM283" s="76"/>
      <c r="CN283" s="76"/>
      <c r="CO283" s="76"/>
      <c r="CP283" s="76"/>
      <c r="CQ283" s="76"/>
      <c r="CR283" s="78" t="str">
        <f t="shared" si="79"/>
        <v/>
      </c>
      <c r="CS283" s="79" t="str">
        <f t="shared" si="80"/>
        <v/>
      </c>
      <c r="CT283" s="79" t="str">
        <f t="shared" si="81"/>
        <v/>
      </c>
      <c r="CU283" s="79" t="str">
        <f t="shared" si="82"/>
        <v/>
      </c>
      <c r="CV283" s="79" t="str">
        <f t="shared" si="83"/>
        <v/>
      </c>
      <c r="CW283" s="79" t="str">
        <f t="shared" si="84"/>
        <v/>
      </c>
      <c r="CX283" s="79" t="str">
        <f t="shared" si="85"/>
        <v/>
      </c>
      <c r="CY283" s="79" t="str">
        <f t="shared" si="86"/>
        <v/>
      </c>
      <c r="CZ283" s="79" t="str">
        <f t="shared" si="87"/>
        <v/>
      </c>
      <c r="DA283" s="79" t="str">
        <f t="shared" si="88"/>
        <v/>
      </c>
      <c r="DB283" s="79" t="str">
        <f t="shared" si="89"/>
        <v/>
      </c>
      <c r="DC283" s="79" t="str">
        <f t="shared" si="90"/>
        <v/>
      </c>
      <c r="DD283" s="79" t="str">
        <f t="shared" si="91"/>
        <v/>
      </c>
      <c r="DE283" s="79" t="str">
        <f t="shared" si="92"/>
        <v/>
      </c>
      <c r="DF283" s="79" t="str">
        <f t="shared" si="93"/>
        <v/>
      </c>
      <c r="DG283" s="79" t="str">
        <f t="shared" si="94"/>
        <v/>
      </c>
      <c r="DH283" s="76"/>
      <c r="DI283" s="78"/>
      <c r="DJ283" s="76"/>
      <c r="DK283" s="77"/>
      <c r="DL283" s="77"/>
      <c r="DM283" s="77"/>
      <c r="DN283" s="80"/>
      <c r="DO283" s="80"/>
      <c r="DP283" s="92" t="str">
        <f>IF(Table1[Start Date]="","",IF(Table1[Start Date]&gt;42185,"",IF(AND(Table1[Leaving Date]&gt;1,Table1[Leaving Date]&lt;42095),"",1)))</f>
        <v/>
      </c>
      <c r="DQ283" s="92" t="str">
        <f>IF(Table1[Start Date]="","",IF(Table1[Start Date]&gt;42277,"",IF(AND(Table1[Leaving Date]&gt;1,Table1[Leaving Date]&lt;42186),"",1)))</f>
        <v/>
      </c>
      <c r="DR283" s="92" t="str">
        <f>IF(Table1[Start Date]="","",IF(Table1[Start Date]&gt;42369,"",IF(AND(Table1[Leaving Date]&gt;1,Table1[Leaving Date]&lt;42278),"",1)))</f>
        <v/>
      </c>
      <c r="DS283" s="92" t="str">
        <f>IF(Table1[Start Date]="","",IF(Table1[Start Date]&gt;42460,"",IF(AND(Table1[Leaving Date]&gt;1,Table1[Leaving Date]&lt;42370),"",1)))</f>
        <v/>
      </c>
      <c r="DT283" s="92" t="str">
        <f>IF(Table1[Start Date]="","",IF(Table1[Start Date]&gt;42551,"",IF(AND(Table1[Leaving Date]&gt;1,Table1[Leaving Date]&lt;42461),"",1)))</f>
        <v/>
      </c>
      <c r="DU283" s="92" t="str">
        <f>IF(Table1[Start Date]="","",IF(Table1[Start Date]&gt;42643,"",IF(AND(Table1[Leaving Date]&gt;1,Table1[Leaving Date]&lt;42552),"",1)))</f>
        <v/>
      </c>
      <c r="DV283" s="92" t="str">
        <f>IF(Table1[Start Date]="","",IF(Table1[Start Date]&gt;42735,"",IF(AND(Table1[Leaving Date]&gt;1,Table1[Leaving Date]&lt;42644),"",1)))</f>
        <v/>
      </c>
      <c r="DW283" s="92" t="str">
        <f>IF(Table1[Start Date]="","",IF(Table1[Start Date]&gt;42825,"",IF(AND(Table1[Leaving Date]&gt;1,Table1[Leaving Date]&lt;42736),"",1)))</f>
        <v/>
      </c>
      <c r="DX283"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283" s="44" t="e">
        <f>VLOOKUP(Table1[Referral Source],Lists!$G$2:$H$20,2,FALSE)</f>
        <v>#N/A</v>
      </c>
      <c r="DZ283" s="93" t="e">
        <f>SUM(Table1[Data Referral Quarter]+Table1[Data Referral Source])</f>
        <v>#N/A</v>
      </c>
      <c r="EA283" s="44" t="b">
        <f>IF(Table1[Referral Decision]="Accepted",100,IF(Table1[Referral Decision]="Rejected by Provider",200,IF(Table1[Referral Decision]="Rejected by Applicant",300)))</f>
        <v>0</v>
      </c>
      <c r="EB283" s="44">
        <f>SUM(Table1[Data Referral Quarter]+Table1[Data Referral Decision])</f>
        <v>0</v>
      </c>
      <c r="EC283" s="44" t="b">
        <f>IF(Table1[Start Date]&gt;42735,8000,IF(Table1[Start Date]&gt;42643,7000,IF(Table1[Start Date]&gt;42551,6000,IF(Table1[Start Date]&gt;42460,5000,IF(Table1[Start Date]&gt;42369,4000,IF(Table1[Start Date]&gt;42277,3000,IF(Table1[Start Date]&gt;42185,2000,IF(Table1[Start Date]&gt;42094,1000))))))))</f>
        <v>0</v>
      </c>
      <c r="ED283" s="44" t="str">
        <f>IF(Table1[Start Date]="","",IF(Table1[Current Local Authority]="Swindon",1,"2"))</f>
        <v/>
      </c>
      <c r="EE283" s="44" t="e">
        <f>SUM(Table1[Data Start Date]+Table1[Data Local Authority])</f>
        <v>#VALUE!</v>
      </c>
      <c r="EF283" s="44">
        <f>IF(Table1[Registered with GP]="Yes",1,0)</f>
        <v>0</v>
      </c>
      <c r="EG283" s="44">
        <f>SUM(Table1[Data Start Date]+Table1[Data GP Start])</f>
        <v>0</v>
      </c>
      <c r="EH283" s="44" t="str">
        <f>IF(Table1[EET]="NEET",1,IF(Table1[EET]="Education",2,IF(Table1[EET]="Employment",2,IF(Table1[EET]="Training",2,IF(Table1[EET]="Retired",3,"")))))</f>
        <v/>
      </c>
      <c r="EI283" s="44" t="e">
        <f>Table1[Data Start Date]+Table1[Data EET Start]</f>
        <v>#VALUE!</v>
      </c>
      <c r="EJ283" s="44" t="b">
        <f>IF(Table1[Leaving Date]&gt;42735,8000,IF(Table1[Leaving Date]&gt;42643,7000,IF(Table1[Leaving Date]&gt;42551,6000,IF(Table1[Leaving Date]&gt;42460,5000,IF(Table1[Leaving Date]&gt;42369,4000,IF(Table1[Leaving Date]&gt;42277,3000,IF(Table1[Leaving Date]&gt;42185,2000,IF(Table1[Leaving Date]&gt;42094,1000))))))))</f>
        <v>0</v>
      </c>
      <c r="EK283" s="44" t="e">
        <f>VLOOKUP(Table1[Reason for Leaving],Lists!$T$2:$U$15,2,FALSE)</f>
        <v>#N/A</v>
      </c>
      <c r="EL283" s="44" t="e">
        <f>SUM(Table1[Data Leavers Date]+Table1[Data Move On])</f>
        <v>#N/A</v>
      </c>
      <c r="EM283" s="44" t="b">
        <f>IF(Table1[Registered with GP2]="Yes",1,IF(Table1[Registered with GP2]="No",0,IF(Table1[Registered with GP]="Yes",1,IF(Table1[Registered with GP]="No",0))))</f>
        <v>0</v>
      </c>
      <c r="EN283" s="44">
        <f>SUM(Table1[Data Leavers Date]+Table1[Data GP End])</f>
        <v>0</v>
      </c>
      <c r="EO283" s="44" t="str">
        <f>IF(Table1[EET2]="NEET",1,IF(Table1[EET2]="Employment",2,IF(Table1[EET2]="Education",2,IF(Table1[EET2]="Training",2,IF(Table1[EET2]="Retired",3,IF(Table1[EET]="NEET",1,IF(Table1[EET]="Employment",2,IF(Table1[EET]="Education",2,IF(Table1[EET]="Training",2,IF(Table1[EET]="Retired",3,""))))))))))</f>
        <v/>
      </c>
      <c r="EP283" s="44" t="e">
        <f>+Table1[[#This Row],[Data Leavers Date]]+Table1[[#This Row],[Data EET End]]</f>
        <v>#VALUE!</v>
      </c>
      <c r="EQ283" s="44">
        <f>IF(Table1[Exit Form Received]="Yes",1,0)</f>
        <v>0</v>
      </c>
      <c r="ER283" s="44">
        <f>+Table1[[#This Row],[Data Leavers Date]]+Table1[[#This Row],[Data Exit Forms]]</f>
        <v>0</v>
      </c>
      <c r="ES283" s="44" t="str">
        <f>IF(Table1[Data Leavers Date]=1000,SUM(Table1[Leaving Date]-Table1[Start Date]),"")</f>
        <v/>
      </c>
      <c r="ET283" s="44" t="str">
        <f>IF(Table1[Data Leavers Date]=2000,SUM(Table1[Leaving Date]-Table1[Start Date]),"")</f>
        <v/>
      </c>
      <c r="EU283" s="44" t="str">
        <f>IF(Table1[Data Leavers Date]=3000,SUM(Table1[Leaving Date]-Table1[Start Date]),"")</f>
        <v/>
      </c>
      <c r="EV283" s="44" t="str">
        <f>IF(Table1[Data Leavers Date]=4000,SUM(Table1[Leaving Date]-Table1[Start Date]),"")</f>
        <v/>
      </c>
      <c r="EW283" s="44" t="str">
        <f>IF(Table1[Data Leavers Date]=5000,SUM(Table1[Leaving Date]-Table1[Start Date]),"")</f>
        <v/>
      </c>
      <c r="EX283" s="44" t="str">
        <f>IF(Table1[Data Leavers Date]=6000,SUM(Table1[Leaving Date]-Table1[Start Date]),"")</f>
        <v/>
      </c>
      <c r="EY283" s="44" t="str">
        <f>IF(Table1[Data Leavers Date]=7000,SUM(Table1[Leaving Date]-Table1[Start Date]),"")</f>
        <v/>
      </c>
      <c r="EZ283" s="44" t="str">
        <f>IF(Table1[Data Leavers Date]=8000,SUM(Table1[Leaving Date]-Table1[Start Date]),"")</f>
        <v/>
      </c>
      <c r="FA283" s="44" t="str">
        <f>IF(Table1[Date of Initial Assessment]="","",IF(AND(Table1[Start Date]&gt;42094,Table1[Start Date]&lt;42461),Table1[Motivation and Taking Responsibility],""))</f>
        <v/>
      </c>
      <c r="FB283" s="44" t="str">
        <f>IF(Table1[Date of Initial Assessment]="","",IF(AND(Table1[Start Date]&gt;42094,Table1[Start Date]&lt;42461),Table1[Self-Care and Living Skills],""))</f>
        <v/>
      </c>
      <c r="FC283" s="44" t="str">
        <f>IF(Table1[Date of Initial Assessment]="","",IF(AND(Table1[Start Date]&gt;42094,Table1[Start Date]&lt;42461),Table1[Managing Money and Personal Administration],""))</f>
        <v/>
      </c>
      <c r="FD283" s="44" t="str">
        <f>IF(Table1[Date of Initial Assessment]="","",IF(AND(Table1[Start Date]&gt;42094,Table1[Start Date]&lt;42461),Table1[Social Networks and Relationships],""))</f>
        <v/>
      </c>
      <c r="FE283" s="44" t="str">
        <f>IF(Table1[Date of Initial Assessment]="","",IF(AND(Table1[Start Date]&gt;42094,Table1[Start Date]&lt;42461),Table1[Drug and Alcohol Misuse],""))</f>
        <v/>
      </c>
      <c r="FF283" s="44" t="str">
        <f>IF(Table1[Date of Initial Assessment]="","",IF(AND(Table1[Start Date]&gt;42094,Table1[Start Date]&lt;42461),Table1[Physical Health],""))</f>
        <v/>
      </c>
      <c r="FG283" s="44" t="str">
        <f>IF(Table1[Date of Initial Assessment]="","",IF(AND(Table1[Start Date]&gt;42094,Table1[Start Date]&lt;42461),Table1[Emotional and Mental Health],""))</f>
        <v/>
      </c>
      <c r="FH283" s="44" t="str">
        <f>IF(Table1[Date of Initial Assessment]="","",IF(AND(Table1[Start Date]&gt;42094,Table1[Start Date]&lt;42461),Table1[Meaningful Use of Time],""))</f>
        <v/>
      </c>
      <c r="FI283" s="44" t="str">
        <f>IF(Table1[Date of Initial Assessment]="","",IF(AND(Table1[Start Date]&gt;42094,Table1[Start Date]&lt;42461),Table1[Managing Tenancy and Accommodation],""))</f>
        <v/>
      </c>
      <c r="FJ283" s="44" t="str">
        <f>IF(Table1[Date of Initial Assessment]="","",IF(AND(Table1[Start Date]&gt;42094,Table1[Start Date]&lt;42461),Table1[Offending],""))</f>
        <v/>
      </c>
      <c r="FK283" s="44" t="str">
        <f>IF(Table1[Leaving Date]="","",IF(Table1[Date of Initial Assessment]="","",IF(AND(Table1[Leaving Date]&gt;42094,Table1[Leaving Date]&lt;42461),IF(Table1[Date of Last Assessment]="",Table1[Motivation and Taking Responsibility],Table1[Motivation and Taking Responsibility2]),"")))</f>
        <v/>
      </c>
      <c r="FL283" s="44" t="str">
        <f>IF(Table1[Leaving Date]="","",IF(Table1[Date of Initial Assessment]="","",IF(AND(Table1[Leaving Date]&gt;42094,Table1[Leaving Date]&lt;42461),IF(Table1[Date of Last Assessment]="",Table1[Self-Care and Living Skills],Table1[Self-Care and Living Skills2]),"")))</f>
        <v/>
      </c>
      <c r="FM283" s="44" t="str">
        <f>IF(Table1[Leaving Date]="","",IF(Table1[Date of Initial Assessment]="","",IF(AND(Table1[Leaving Date]&gt;42094,Table1[Leaving Date]&lt;42461),IF(Table1[Date of Last Assessment]="",Table1[Managing Money and Personal Administration],Table1[Managing Money and Personal Administration2]),"")))</f>
        <v/>
      </c>
      <c r="FN283" s="44" t="str">
        <f>IF(Table1[Leaving Date]="","",IF(Table1[Date of Initial Assessment]="","",IF(AND(Table1[Leaving Date]&gt;42094,Table1[Leaving Date]&lt;42461),IF(Table1[Date of Last Assessment]="",Table1[Social Networks and Relationships],Table1[Social Networks and Relationships2]),"")))</f>
        <v/>
      </c>
      <c r="FO283" s="44" t="str">
        <f>IF(Table1[Leaving Date]="","",IF(Table1[Date of Initial Assessment]="","",IF(AND(Table1[Leaving Date]&gt;42094,Table1[Leaving Date]&lt;42461),IF(Table1[Date of Last Assessment]="",Table1[Drug and Alcohol Misuse],Table1[Drug and Alcohol Misuse2]),"")))</f>
        <v/>
      </c>
      <c r="FP283" s="44" t="str">
        <f>IF(Table1[Leaving Date]="","",IF(Table1[Date of Initial Assessment]="","",IF(AND(Table1[Leaving Date]&gt;42094,Table1[Leaving Date]&lt;42461),IF(Table1[Date of Last Assessment]="",Table1[Physical Health],Table1[Physical Health2]),"")))</f>
        <v/>
      </c>
      <c r="FQ283" s="44" t="str">
        <f>IF(Table1[Leaving Date]="","",IF(Table1[Date of Initial Assessment]="","",IF(AND(Table1[Leaving Date]&gt;42094,Table1[Leaving Date]&lt;42461),IF(Table1[Date of Last Assessment]="",Table1[Emotional and Mental Health],Table1[Emotional and Mental Health2]),"")))</f>
        <v/>
      </c>
      <c r="FR283" s="44" t="str">
        <f>IF(Table1[Leaving Date]="","",IF(Table1[Date of Initial Assessment]="","",IF(AND(Table1[Leaving Date]&gt;42094,Table1[Leaving Date]&lt;42461),IF(Table1[Date of Last Assessment]="",Table1[Meaningful Use of Time],Table1[Meaningful Use of Time2]),"")))</f>
        <v/>
      </c>
      <c r="FS283" s="44" t="str">
        <f>IF(Table1[Leaving Date]="","",IF(Table1[Date of Initial Assessment]="","",IF(AND(Table1[Leaving Date]&gt;42094,Table1[Leaving Date]&lt;42461),IF(Table1[Date of Last Assessment]="",Table1[Managing Tenancy and Accommodation],Table1[Managing Tenancy and Accommodation2]),"")))</f>
        <v/>
      </c>
      <c r="FT283" s="44" t="str">
        <f>IF(Table1[Leaving Date]="","",IF(Table1[Date of Initial Assessment]="","",IF(AND(Table1[Leaving Date]&gt;42094,Table1[Leaving Date]&lt;42461),IF(Table1[Date of Last Assessment]="",Table1[Offending],Table1[Offending2]),"")))</f>
        <v/>
      </c>
      <c r="FU283" s="44" t="str">
        <f>IF(Table1[Date of Initial Assessment]="","",IF(AND(Table1[Start Date]&gt;42460,Table1[Start Date]&lt;42826),Table1[Motivation and Taking Responsibility],""))</f>
        <v/>
      </c>
      <c r="FV283" s="44" t="str">
        <f>IF(Table1[Date of Initial Assessment]="","",IF(AND(Table1[Start Date]&gt;42460,Table1[Start Date]&lt;42826),Table1[Self-Care and Living Skills],""))</f>
        <v/>
      </c>
      <c r="FW283" s="44" t="str">
        <f>IF(Table1[Date of Initial Assessment]="","",IF(AND(Table1[Start Date]&gt;42460,Table1[Start Date]&lt;42826),Table1[Managing Money and Personal Administration],""))</f>
        <v/>
      </c>
      <c r="FX283" s="44" t="str">
        <f>IF(Table1[Date of Initial Assessment]="","",IF(AND(Table1[Start Date]&gt;42460,Table1[Start Date]&lt;42826),Table1[Social Networks and Relationships],""))</f>
        <v/>
      </c>
      <c r="FY283" s="44" t="str">
        <f>IF(Table1[Date of Initial Assessment]="","",IF(AND(Table1[Start Date]&gt;42460,Table1[Start Date]&lt;42826),Table1[Drug and Alcohol Misuse],""))</f>
        <v/>
      </c>
      <c r="FZ283" s="44" t="str">
        <f>IF(Table1[Date of Initial Assessment]="","",IF(AND(Table1[Start Date]&gt;42460,Table1[Start Date]&lt;42826),Table1[Physical Health],""))</f>
        <v/>
      </c>
      <c r="GA283" s="44" t="str">
        <f>IF(Table1[Date of Initial Assessment]="","",IF(AND(Table1[Start Date]&gt;42460,Table1[Start Date]&lt;42826),Table1[Emotional and Mental Health],""))</f>
        <v/>
      </c>
      <c r="GB283" s="44" t="str">
        <f>IF(Table1[Date of Initial Assessment]="","",IF(AND(Table1[Start Date]&gt;42460,Table1[Start Date]&lt;42826),Table1[Meaningful Use of Time],""))</f>
        <v/>
      </c>
      <c r="GC283" s="44" t="str">
        <f>IF(Table1[Date of Initial Assessment]="","",IF(AND(Table1[Start Date]&gt;42460,Table1[Start Date]&lt;42826),Table1[Managing Tenancy and Accommodation],""))</f>
        <v/>
      </c>
      <c r="GD283" s="44" t="str">
        <f>IF(Table1[Date of Initial Assessment]="","",IF(AND(Table1[Start Date]&gt;42460,Table1[Start Date]&lt;42826),Table1[Offending],""))</f>
        <v/>
      </c>
      <c r="GE283" s="44" t="str">
        <f>IF(Table1[Leaving Date]="","",IF(AND(Table1[Leaving Date]&gt;42460,Table1[Leaving Date]&lt;42826),IF(Table1[Date of Last Assessment]="",Table1[Motivation and Taking Responsibility],Table1[Motivation and Taking Responsibility2]),""))</f>
        <v/>
      </c>
      <c r="GF283" s="44" t="str">
        <f>IF(Table1[Leaving Date]="","",IF(AND(Table1[Leaving Date]&gt;42460,Table1[Leaving Date]&lt;42826),IF(Table1[Date of Last Assessment]="",Table1[Self-Care and Living Skills],Table1[Self-Care and Living Skills2]),""))</f>
        <v/>
      </c>
      <c r="GG283" s="44" t="str">
        <f>IF(Table1[Leaving Date]="","",IF(AND(Table1[Leaving Date]&gt;42460,Table1[Leaving Date]&lt;42826),IF(Table1[Date of Last Assessment]="",Table1[Managing Money and Personal Administration],Table1[Managing Money and Personal Administration2]),""))</f>
        <v/>
      </c>
      <c r="GH283" s="44" t="str">
        <f>IF(Table1[Leaving Date]="","",IF(AND(Table1[Leaving Date]&gt;42460,Table1[Leaving Date]&lt;42826),IF(Table1[Date of Last Assessment]="",Table1[Social Networks and Relationships],Table1[Social Networks and Relationships2]),""))</f>
        <v/>
      </c>
      <c r="GI283" s="44" t="str">
        <f>IF(Table1[Leaving Date]="","",IF(AND(Table1[Leaving Date]&gt;42460,Table1[Leaving Date]&lt;42826),IF(Table1[Date of Last Assessment]="",Table1[Drug and Alcohol Misuse],Table1[Drug and Alcohol Misuse2]),""))</f>
        <v/>
      </c>
      <c r="GJ283" s="44" t="str">
        <f>IF(Table1[Leaving Date]="","",IF(AND(Table1[Leaving Date]&gt;42460,Table1[Leaving Date]&lt;42826),IF(Table1[Date of Last Assessment]="",Table1[Physical Health],Table1[Physical Health2]),""))</f>
        <v/>
      </c>
      <c r="GK283" s="44" t="str">
        <f>IF(Table1[Leaving Date]="","",IF(AND(Table1[Leaving Date]&gt;42460,Table1[Leaving Date]&lt;42826),IF(Table1[Date of Last Assessment]="",Table1[Emotional and Mental Health],Table1[Emotional and Mental Health2]),""))</f>
        <v/>
      </c>
      <c r="GL283" s="44" t="str">
        <f>IF(Table1[Leaving Date]="","",IF(AND(Table1[Leaving Date]&gt;42460,Table1[Leaving Date]&lt;42826),IF(Table1[Date of Last Assessment]="",Table1[Meaningful Use of Time],Table1[Meaningful Use of Time2]),""))</f>
        <v/>
      </c>
      <c r="GM283" s="44" t="str">
        <f>IF(Table1[Leaving Date]="","",IF(AND(Table1[Leaving Date]&gt;42460,Table1[Leaving Date]&lt;42826),IF(Table1[Date of Last Assessment]="",Table1[Managing Tenancy and Accommodation],Table1[Managing Tenancy and Accommodation2]),""))</f>
        <v/>
      </c>
      <c r="GN283" s="44" t="str">
        <f>IF(Table1[Leaving Date]="","",IF(AND(Table1[Leaving Date]&gt;42460,Table1[Leaving Date]&lt;42826),IF(Table1[Date of Last Assessment]="",Table1[Offending],Table1[Offending2]),""))</f>
        <v/>
      </c>
    </row>
    <row r="284" spans="2:196" ht="20.100000000000001" customHeight="1" x14ac:dyDescent="0.2">
      <c r="B284" s="86">
        <f>+'Service Data'!$C$5:$C$5</f>
        <v>0</v>
      </c>
      <c r="C284" s="86"/>
      <c r="D284" s="86"/>
      <c r="E284" s="86"/>
      <c r="F284" s="86"/>
      <c r="G284" s="86"/>
      <c r="H284" s="6"/>
      <c r="I284" s="99" t="str">
        <f ca="1">IF(Table1[[#This Row],[Date of Birth]]="","",SUM(TODAY()-Table1[[#This Row],[Date of Birth]])/365)</f>
        <v/>
      </c>
      <c r="L284" s="86"/>
      <c r="M284" s="77"/>
      <c r="N284" s="86"/>
      <c r="O284" s="86"/>
      <c r="P284" s="91"/>
      <c r="Q284" s="86"/>
      <c r="R284" s="77"/>
      <c r="S284" s="77"/>
      <c r="T284" s="68"/>
      <c r="U284" s="68"/>
      <c r="V284" s="67"/>
      <c r="W284" s="67"/>
      <c r="X284" s="67"/>
      <c r="Y284" s="67"/>
      <c r="Z284" s="67"/>
      <c r="AA284" s="67"/>
      <c r="AB284" s="67"/>
      <c r="AC284" s="67"/>
      <c r="AD284" s="67"/>
      <c r="AE284" s="67"/>
      <c r="AF284" s="67"/>
      <c r="AG284" s="67"/>
      <c r="AH284" s="67"/>
      <c r="AI284" s="67"/>
      <c r="AJ284" s="67"/>
      <c r="AK284" s="67"/>
      <c r="AL284" s="67"/>
      <c r="AM284" s="67"/>
      <c r="AN284" s="77"/>
      <c r="AO284" s="76"/>
      <c r="AP284" s="77"/>
      <c r="AQ284" s="76"/>
      <c r="AR284" s="76"/>
      <c r="AS284" s="76"/>
      <c r="AT284" s="76"/>
      <c r="AU284" s="76"/>
      <c r="AV284" s="77"/>
      <c r="AW284" s="76"/>
      <c r="AX284" s="77"/>
      <c r="AY284" s="76"/>
      <c r="AZ284" s="76"/>
      <c r="BA284" s="76"/>
      <c r="BB284" s="76"/>
      <c r="BC284" s="76"/>
      <c r="BD284" s="77"/>
      <c r="BE284" s="76"/>
      <c r="BF284" s="77"/>
      <c r="BG284" s="76"/>
      <c r="BH284" s="76"/>
      <c r="BI284" s="76"/>
      <c r="BJ284" s="76"/>
      <c r="BK284" s="76"/>
      <c r="BL284" s="77"/>
      <c r="BM284" s="76"/>
      <c r="BN284" s="77"/>
      <c r="BO284" s="76"/>
      <c r="BP284" s="76"/>
      <c r="BQ284" s="76"/>
      <c r="BR284" s="76"/>
      <c r="BS284" s="76"/>
      <c r="BT284" s="77"/>
      <c r="BU284" s="76"/>
      <c r="BV284" s="77"/>
      <c r="BW284" s="76"/>
      <c r="BX284" s="76"/>
      <c r="BY284" s="76"/>
      <c r="BZ284" s="76"/>
      <c r="CA284" s="76"/>
      <c r="CB284" s="77"/>
      <c r="CC284" s="76"/>
      <c r="CD284" s="77"/>
      <c r="CE284" s="76"/>
      <c r="CF284" s="76"/>
      <c r="CG284" s="76"/>
      <c r="CH284" s="76"/>
      <c r="CI284" s="76"/>
      <c r="CJ284" s="77"/>
      <c r="CK284" s="76"/>
      <c r="CL284" s="77"/>
      <c r="CM284" s="76"/>
      <c r="CN284" s="76"/>
      <c r="CO284" s="76"/>
      <c r="CP284" s="76"/>
      <c r="CQ284" s="76"/>
      <c r="CR284" s="78" t="str">
        <f t="shared" si="79"/>
        <v/>
      </c>
      <c r="CS284" s="79" t="str">
        <f t="shared" si="80"/>
        <v/>
      </c>
      <c r="CT284" s="79" t="str">
        <f t="shared" si="81"/>
        <v/>
      </c>
      <c r="CU284" s="79" t="str">
        <f t="shared" si="82"/>
        <v/>
      </c>
      <c r="CV284" s="79" t="str">
        <f t="shared" si="83"/>
        <v/>
      </c>
      <c r="CW284" s="79" t="str">
        <f t="shared" si="84"/>
        <v/>
      </c>
      <c r="CX284" s="79" t="str">
        <f t="shared" si="85"/>
        <v/>
      </c>
      <c r="CY284" s="79" t="str">
        <f t="shared" si="86"/>
        <v/>
      </c>
      <c r="CZ284" s="79" t="str">
        <f t="shared" si="87"/>
        <v/>
      </c>
      <c r="DA284" s="79" t="str">
        <f t="shared" si="88"/>
        <v/>
      </c>
      <c r="DB284" s="79" t="str">
        <f t="shared" si="89"/>
        <v/>
      </c>
      <c r="DC284" s="79" t="str">
        <f t="shared" si="90"/>
        <v/>
      </c>
      <c r="DD284" s="79" t="str">
        <f t="shared" si="91"/>
        <v/>
      </c>
      <c r="DE284" s="79" t="str">
        <f t="shared" si="92"/>
        <v/>
      </c>
      <c r="DF284" s="79" t="str">
        <f t="shared" si="93"/>
        <v/>
      </c>
      <c r="DG284" s="79" t="str">
        <f t="shared" si="94"/>
        <v/>
      </c>
      <c r="DH284" s="76"/>
      <c r="DI284" s="78"/>
      <c r="DJ284" s="76"/>
      <c r="DK284" s="77"/>
      <c r="DL284" s="77"/>
      <c r="DM284" s="77"/>
      <c r="DN284" s="80"/>
      <c r="DO284" s="80"/>
      <c r="DP284" s="92" t="str">
        <f>IF(Table1[Start Date]="","",IF(Table1[Start Date]&gt;42185,"",IF(AND(Table1[Leaving Date]&gt;1,Table1[Leaving Date]&lt;42095),"",1)))</f>
        <v/>
      </c>
      <c r="DQ284" s="92" t="str">
        <f>IF(Table1[Start Date]="","",IF(Table1[Start Date]&gt;42277,"",IF(AND(Table1[Leaving Date]&gt;1,Table1[Leaving Date]&lt;42186),"",1)))</f>
        <v/>
      </c>
      <c r="DR284" s="92" t="str">
        <f>IF(Table1[Start Date]="","",IF(Table1[Start Date]&gt;42369,"",IF(AND(Table1[Leaving Date]&gt;1,Table1[Leaving Date]&lt;42278),"",1)))</f>
        <v/>
      </c>
      <c r="DS284" s="92" t="str">
        <f>IF(Table1[Start Date]="","",IF(Table1[Start Date]&gt;42460,"",IF(AND(Table1[Leaving Date]&gt;1,Table1[Leaving Date]&lt;42370),"",1)))</f>
        <v/>
      </c>
      <c r="DT284" s="92" t="str">
        <f>IF(Table1[Start Date]="","",IF(Table1[Start Date]&gt;42551,"",IF(AND(Table1[Leaving Date]&gt;1,Table1[Leaving Date]&lt;42461),"",1)))</f>
        <v/>
      </c>
      <c r="DU284" s="92" t="str">
        <f>IF(Table1[Start Date]="","",IF(Table1[Start Date]&gt;42643,"",IF(AND(Table1[Leaving Date]&gt;1,Table1[Leaving Date]&lt;42552),"",1)))</f>
        <v/>
      </c>
      <c r="DV284" s="92" t="str">
        <f>IF(Table1[Start Date]="","",IF(Table1[Start Date]&gt;42735,"",IF(AND(Table1[Leaving Date]&gt;1,Table1[Leaving Date]&lt;42644),"",1)))</f>
        <v/>
      </c>
      <c r="DW284" s="92" t="str">
        <f>IF(Table1[Start Date]="","",IF(Table1[Start Date]&gt;42825,"",IF(AND(Table1[Leaving Date]&gt;1,Table1[Leaving Date]&lt;42736),"",1)))</f>
        <v/>
      </c>
      <c r="DX284"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284" s="44" t="e">
        <f>VLOOKUP(Table1[Referral Source],Lists!$G$2:$H$20,2,FALSE)</f>
        <v>#N/A</v>
      </c>
      <c r="DZ284" s="93" t="e">
        <f>SUM(Table1[Data Referral Quarter]+Table1[Data Referral Source])</f>
        <v>#N/A</v>
      </c>
      <c r="EA284" s="44" t="b">
        <f>IF(Table1[Referral Decision]="Accepted",100,IF(Table1[Referral Decision]="Rejected by Provider",200,IF(Table1[Referral Decision]="Rejected by Applicant",300)))</f>
        <v>0</v>
      </c>
      <c r="EB284" s="44">
        <f>SUM(Table1[Data Referral Quarter]+Table1[Data Referral Decision])</f>
        <v>0</v>
      </c>
      <c r="EC284" s="44" t="b">
        <f>IF(Table1[Start Date]&gt;42735,8000,IF(Table1[Start Date]&gt;42643,7000,IF(Table1[Start Date]&gt;42551,6000,IF(Table1[Start Date]&gt;42460,5000,IF(Table1[Start Date]&gt;42369,4000,IF(Table1[Start Date]&gt;42277,3000,IF(Table1[Start Date]&gt;42185,2000,IF(Table1[Start Date]&gt;42094,1000))))))))</f>
        <v>0</v>
      </c>
      <c r="ED284" s="44" t="str">
        <f>IF(Table1[Start Date]="","",IF(Table1[Current Local Authority]="Swindon",1,"2"))</f>
        <v/>
      </c>
      <c r="EE284" s="44" t="e">
        <f>SUM(Table1[Data Start Date]+Table1[Data Local Authority])</f>
        <v>#VALUE!</v>
      </c>
      <c r="EF284" s="44">
        <f>IF(Table1[Registered with GP]="Yes",1,0)</f>
        <v>0</v>
      </c>
      <c r="EG284" s="44">
        <f>SUM(Table1[Data Start Date]+Table1[Data GP Start])</f>
        <v>0</v>
      </c>
      <c r="EH284" s="44" t="str">
        <f>IF(Table1[EET]="NEET",1,IF(Table1[EET]="Education",2,IF(Table1[EET]="Employment",2,IF(Table1[EET]="Training",2,IF(Table1[EET]="Retired",3,"")))))</f>
        <v/>
      </c>
      <c r="EI284" s="44" t="e">
        <f>Table1[Data Start Date]+Table1[Data EET Start]</f>
        <v>#VALUE!</v>
      </c>
      <c r="EJ284" s="44" t="b">
        <f>IF(Table1[Leaving Date]&gt;42735,8000,IF(Table1[Leaving Date]&gt;42643,7000,IF(Table1[Leaving Date]&gt;42551,6000,IF(Table1[Leaving Date]&gt;42460,5000,IF(Table1[Leaving Date]&gt;42369,4000,IF(Table1[Leaving Date]&gt;42277,3000,IF(Table1[Leaving Date]&gt;42185,2000,IF(Table1[Leaving Date]&gt;42094,1000))))))))</f>
        <v>0</v>
      </c>
      <c r="EK284" s="44" t="e">
        <f>VLOOKUP(Table1[Reason for Leaving],Lists!$T$2:$U$15,2,FALSE)</f>
        <v>#N/A</v>
      </c>
      <c r="EL284" s="44" t="e">
        <f>SUM(Table1[Data Leavers Date]+Table1[Data Move On])</f>
        <v>#N/A</v>
      </c>
      <c r="EM284" s="44" t="b">
        <f>IF(Table1[Registered with GP2]="Yes",1,IF(Table1[Registered with GP2]="No",0,IF(Table1[Registered with GP]="Yes",1,IF(Table1[Registered with GP]="No",0))))</f>
        <v>0</v>
      </c>
      <c r="EN284" s="44">
        <f>SUM(Table1[Data Leavers Date]+Table1[Data GP End])</f>
        <v>0</v>
      </c>
      <c r="EO284" s="44" t="str">
        <f>IF(Table1[EET2]="NEET",1,IF(Table1[EET2]="Employment",2,IF(Table1[EET2]="Education",2,IF(Table1[EET2]="Training",2,IF(Table1[EET2]="Retired",3,IF(Table1[EET]="NEET",1,IF(Table1[EET]="Employment",2,IF(Table1[EET]="Education",2,IF(Table1[EET]="Training",2,IF(Table1[EET]="Retired",3,""))))))))))</f>
        <v/>
      </c>
      <c r="EP284" s="44" t="e">
        <f>+Table1[[#This Row],[Data Leavers Date]]+Table1[[#This Row],[Data EET End]]</f>
        <v>#VALUE!</v>
      </c>
      <c r="EQ284" s="44">
        <f>IF(Table1[Exit Form Received]="Yes",1,0)</f>
        <v>0</v>
      </c>
      <c r="ER284" s="44">
        <f>+Table1[[#This Row],[Data Leavers Date]]+Table1[[#This Row],[Data Exit Forms]]</f>
        <v>0</v>
      </c>
      <c r="ES284" s="44" t="str">
        <f>IF(Table1[Data Leavers Date]=1000,SUM(Table1[Leaving Date]-Table1[Start Date]),"")</f>
        <v/>
      </c>
      <c r="ET284" s="44" t="str">
        <f>IF(Table1[Data Leavers Date]=2000,SUM(Table1[Leaving Date]-Table1[Start Date]),"")</f>
        <v/>
      </c>
      <c r="EU284" s="44" t="str">
        <f>IF(Table1[Data Leavers Date]=3000,SUM(Table1[Leaving Date]-Table1[Start Date]),"")</f>
        <v/>
      </c>
      <c r="EV284" s="44" t="str">
        <f>IF(Table1[Data Leavers Date]=4000,SUM(Table1[Leaving Date]-Table1[Start Date]),"")</f>
        <v/>
      </c>
      <c r="EW284" s="44" t="str">
        <f>IF(Table1[Data Leavers Date]=5000,SUM(Table1[Leaving Date]-Table1[Start Date]),"")</f>
        <v/>
      </c>
      <c r="EX284" s="44" t="str">
        <f>IF(Table1[Data Leavers Date]=6000,SUM(Table1[Leaving Date]-Table1[Start Date]),"")</f>
        <v/>
      </c>
      <c r="EY284" s="44" t="str">
        <f>IF(Table1[Data Leavers Date]=7000,SUM(Table1[Leaving Date]-Table1[Start Date]),"")</f>
        <v/>
      </c>
      <c r="EZ284" s="44" t="str">
        <f>IF(Table1[Data Leavers Date]=8000,SUM(Table1[Leaving Date]-Table1[Start Date]),"")</f>
        <v/>
      </c>
      <c r="FA284" s="44" t="str">
        <f>IF(Table1[Date of Initial Assessment]="","",IF(AND(Table1[Start Date]&gt;42094,Table1[Start Date]&lt;42461),Table1[Motivation and Taking Responsibility],""))</f>
        <v/>
      </c>
      <c r="FB284" s="44" t="str">
        <f>IF(Table1[Date of Initial Assessment]="","",IF(AND(Table1[Start Date]&gt;42094,Table1[Start Date]&lt;42461),Table1[Self-Care and Living Skills],""))</f>
        <v/>
      </c>
      <c r="FC284" s="44" t="str">
        <f>IF(Table1[Date of Initial Assessment]="","",IF(AND(Table1[Start Date]&gt;42094,Table1[Start Date]&lt;42461),Table1[Managing Money and Personal Administration],""))</f>
        <v/>
      </c>
      <c r="FD284" s="44" t="str">
        <f>IF(Table1[Date of Initial Assessment]="","",IF(AND(Table1[Start Date]&gt;42094,Table1[Start Date]&lt;42461),Table1[Social Networks and Relationships],""))</f>
        <v/>
      </c>
      <c r="FE284" s="44" t="str">
        <f>IF(Table1[Date of Initial Assessment]="","",IF(AND(Table1[Start Date]&gt;42094,Table1[Start Date]&lt;42461),Table1[Drug and Alcohol Misuse],""))</f>
        <v/>
      </c>
      <c r="FF284" s="44" t="str">
        <f>IF(Table1[Date of Initial Assessment]="","",IF(AND(Table1[Start Date]&gt;42094,Table1[Start Date]&lt;42461),Table1[Physical Health],""))</f>
        <v/>
      </c>
      <c r="FG284" s="44" t="str">
        <f>IF(Table1[Date of Initial Assessment]="","",IF(AND(Table1[Start Date]&gt;42094,Table1[Start Date]&lt;42461),Table1[Emotional and Mental Health],""))</f>
        <v/>
      </c>
      <c r="FH284" s="44" t="str">
        <f>IF(Table1[Date of Initial Assessment]="","",IF(AND(Table1[Start Date]&gt;42094,Table1[Start Date]&lt;42461),Table1[Meaningful Use of Time],""))</f>
        <v/>
      </c>
      <c r="FI284" s="44" t="str">
        <f>IF(Table1[Date of Initial Assessment]="","",IF(AND(Table1[Start Date]&gt;42094,Table1[Start Date]&lt;42461),Table1[Managing Tenancy and Accommodation],""))</f>
        <v/>
      </c>
      <c r="FJ284" s="44" t="str">
        <f>IF(Table1[Date of Initial Assessment]="","",IF(AND(Table1[Start Date]&gt;42094,Table1[Start Date]&lt;42461),Table1[Offending],""))</f>
        <v/>
      </c>
      <c r="FK284" s="44" t="str">
        <f>IF(Table1[Leaving Date]="","",IF(Table1[Date of Initial Assessment]="","",IF(AND(Table1[Leaving Date]&gt;42094,Table1[Leaving Date]&lt;42461),IF(Table1[Date of Last Assessment]="",Table1[Motivation and Taking Responsibility],Table1[Motivation and Taking Responsibility2]),"")))</f>
        <v/>
      </c>
      <c r="FL284" s="44" t="str">
        <f>IF(Table1[Leaving Date]="","",IF(Table1[Date of Initial Assessment]="","",IF(AND(Table1[Leaving Date]&gt;42094,Table1[Leaving Date]&lt;42461),IF(Table1[Date of Last Assessment]="",Table1[Self-Care and Living Skills],Table1[Self-Care and Living Skills2]),"")))</f>
        <v/>
      </c>
      <c r="FM284" s="44" t="str">
        <f>IF(Table1[Leaving Date]="","",IF(Table1[Date of Initial Assessment]="","",IF(AND(Table1[Leaving Date]&gt;42094,Table1[Leaving Date]&lt;42461),IF(Table1[Date of Last Assessment]="",Table1[Managing Money and Personal Administration],Table1[Managing Money and Personal Administration2]),"")))</f>
        <v/>
      </c>
      <c r="FN284" s="44" t="str">
        <f>IF(Table1[Leaving Date]="","",IF(Table1[Date of Initial Assessment]="","",IF(AND(Table1[Leaving Date]&gt;42094,Table1[Leaving Date]&lt;42461),IF(Table1[Date of Last Assessment]="",Table1[Social Networks and Relationships],Table1[Social Networks and Relationships2]),"")))</f>
        <v/>
      </c>
      <c r="FO284" s="44" t="str">
        <f>IF(Table1[Leaving Date]="","",IF(Table1[Date of Initial Assessment]="","",IF(AND(Table1[Leaving Date]&gt;42094,Table1[Leaving Date]&lt;42461),IF(Table1[Date of Last Assessment]="",Table1[Drug and Alcohol Misuse],Table1[Drug and Alcohol Misuse2]),"")))</f>
        <v/>
      </c>
      <c r="FP284" s="44" t="str">
        <f>IF(Table1[Leaving Date]="","",IF(Table1[Date of Initial Assessment]="","",IF(AND(Table1[Leaving Date]&gt;42094,Table1[Leaving Date]&lt;42461),IF(Table1[Date of Last Assessment]="",Table1[Physical Health],Table1[Physical Health2]),"")))</f>
        <v/>
      </c>
      <c r="FQ284" s="44" t="str">
        <f>IF(Table1[Leaving Date]="","",IF(Table1[Date of Initial Assessment]="","",IF(AND(Table1[Leaving Date]&gt;42094,Table1[Leaving Date]&lt;42461),IF(Table1[Date of Last Assessment]="",Table1[Emotional and Mental Health],Table1[Emotional and Mental Health2]),"")))</f>
        <v/>
      </c>
      <c r="FR284" s="44" t="str">
        <f>IF(Table1[Leaving Date]="","",IF(Table1[Date of Initial Assessment]="","",IF(AND(Table1[Leaving Date]&gt;42094,Table1[Leaving Date]&lt;42461),IF(Table1[Date of Last Assessment]="",Table1[Meaningful Use of Time],Table1[Meaningful Use of Time2]),"")))</f>
        <v/>
      </c>
      <c r="FS284" s="44" t="str">
        <f>IF(Table1[Leaving Date]="","",IF(Table1[Date of Initial Assessment]="","",IF(AND(Table1[Leaving Date]&gt;42094,Table1[Leaving Date]&lt;42461),IF(Table1[Date of Last Assessment]="",Table1[Managing Tenancy and Accommodation],Table1[Managing Tenancy and Accommodation2]),"")))</f>
        <v/>
      </c>
      <c r="FT284" s="44" t="str">
        <f>IF(Table1[Leaving Date]="","",IF(Table1[Date of Initial Assessment]="","",IF(AND(Table1[Leaving Date]&gt;42094,Table1[Leaving Date]&lt;42461),IF(Table1[Date of Last Assessment]="",Table1[Offending],Table1[Offending2]),"")))</f>
        <v/>
      </c>
      <c r="FU284" s="44" t="str">
        <f>IF(Table1[Date of Initial Assessment]="","",IF(AND(Table1[Start Date]&gt;42460,Table1[Start Date]&lt;42826),Table1[Motivation and Taking Responsibility],""))</f>
        <v/>
      </c>
      <c r="FV284" s="44" t="str">
        <f>IF(Table1[Date of Initial Assessment]="","",IF(AND(Table1[Start Date]&gt;42460,Table1[Start Date]&lt;42826),Table1[Self-Care and Living Skills],""))</f>
        <v/>
      </c>
      <c r="FW284" s="44" t="str">
        <f>IF(Table1[Date of Initial Assessment]="","",IF(AND(Table1[Start Date]&gt;42460,Table1[Start Date]&lt;42826),Table1[Managing Money and Personal Administration],""))</f>
        <v/>
      </c>
      <c r="FX284" s="44" t="str">
        <f>IF(Table1[Date of Initial Assessment]="","",IF(AND(Table1[Start Date]&gt;42460,Table1[Start Date]&lt;42826),Table1[Social Networks and Relationships],""))</f>
        <v/>
      </c>
      <c r="FY284" s="44" t="str">
        <f>IF(Table1[Date of Initial Assessment]="","",IF(AND(Table1[Start Date]&gt;42460,Table1[Start Date]&lt;42826),Table1[Drug and Alcohol Misuse],""))</f>
        <v/>
      </c>
      <c r="FZ284" s="44" t="str">
        <f>IF(Table1[Date of Initial Assessment]="","",IF(AND(Table1[Start Date]&gt;42460,Table1[Start Date]&lt;42826),Table1[Physical Health],""))</f>
        <v/>
      </c>
      <c r="GA284" s="44" t="str">
        <f>IF(Table1[Date of Initial Assessment]="","",IF(AND(Table1[Start Date]&gt;42460,Table1[Start Date]&lt;42826),Table1[Emotional and Mental Health],""))</f>
        <v/>
      </c>
      <c r="GB284" s="44" t="str">
        <f>IF(Table1[Date of Initial Assessment]="","",IF(AND(Table1[Start Date]&gt;42460,Table1[Start Date]&lt;42826),Table1[Meaningful Use of Time],""))</f>
        <v/>
      </c>
      <c r="GC284" s="44" t="str">
        <f>IF(Table1[Date of Initial Assessment]="","",IF(AND(Table1[Start Date]&gt;42460,Table1[Start Date]&lt;42826),Table1[Managing Tenancy and Accommodation],""))</f>
        <v/>
      </c>
      <c r="GD284" s="44" t="str">
        <f>IF(Table1[Date of Initial Assessment]="","",IF(AND(Table1[Start Date]&gt;42460,Table1[Start Date]&lt;42826),Table1[Offending],""))</f>
        <v/>
      </c>
      <c r="GE284" s="44" t="str">
        <f>IF(Table1[Leaving Date]="","",IF(AND(Table1[Leaving Date]&gt;42460,Table1[Leaving Date]&lt;42826),IF(Table1[Date of Last Assessment]="",Table1[Motivation and Taking Responsibility],Table1[Motivation and Taking Responsibility2]),""))</f>
        <v/>
      </c>
      <c r="GF284" s="44" t="str">
        <f>IF(Table1[Leaving Date]="","",IF(AND(Table1[Leaving Date]&gt;42460,Table1[Leaving Date]&lt;42826),IF(Table1[Date of Last Assessment]="",Table1[Self-Care and Living Skills],Table1[Self-Care and Living Skills2]),""))</f>
        <v/>
      </c>
      <c r="GG284" s="44" t="str">
        <f>IF(Table1[Leaving Date]="","",IF(AND(Table1[Leaving Date]&gt;42460,Table1[Leaving Date]&lt;42826),IF(Table1[Date of Last Assessment]="",Table1[Managing Money and Personal Administration],Table1[Managing Money and Personal Administration2]),""))</f>
        <v/>
      </c>
      <c r="GH284" s="44" t="str">
        <f>IF(Table1[Leaving Date]="","",IF(AND(Table1[Leaving Date]&gt;42460,Table1[Leaving Date]&lt;42826),IF(Table1[Date of Last Assessment]="",Table1[Social Networks and Relationships],Table1[Social Networks and Relationships2]),""))</f>
        <v/>
      </c>
      <c r="GI284" s="44" t="str">
        <f>IF(Table1[Leaving Date]="","",IF(AND(Table1[Leaving Date]&gt;42460,Table1[Leaving Date]&lt;42826),IF(Table1[Date of Last Assessment]="",Table1[Drug and Alcohol Misuse],Table1[Drug and Alcohol Misuse2]),""))</f>
        <v/>
      </c>
      <c r="GJ284" s="44" t="str">
        <f>IF(Table1[Leaving Date]="","",IF(AND(Table1[Leaving Date]&gt;42460,Table1[Leaving Date]&lt;42826),IF(Table1[Date of Last Assessment]="",Table1[Physical Health],Table1[Physical Health2]),""))</f>
        <v/>
      </c>
      <c r="GK284" s="44" t="str">
        <f>IF(Table1[Leaving Date]="","",IF(AND(Table1[Leaving Date]&gt;42460,Table1[Leaving Date]&lt;42826),IF(Table1[Date of Last Assessment]="",Table1[Emotional and Mental Health],Table1[Emotional and Mental Health2]),""))</f>
        <v/>
      </c>
      <c r="GL284" s="44" t="str">
        <f>IF(Table1[Leaving Date]="","",IF(AND(Table1[Leaving Date]&gt;42460,Table1[Leaving Date]&lt;42826),IF(Table1[Date of Last Assessment]="",Table1[Meaningful Use of Time],Table1[Meaningful Use of Time2]),""))</f>
        <v/>
      </c>
      <c r="GM284" s="44" t="str">
        <f>IF(Table1[Leaving Date]="","",IF(AND(Table1[Leaving Date]&gt;42460,Table1[Leaving Date]&lt;42826),IF(Table1[Date of Last Assessment]="",Table1[Managing Tenancy and Accommodation],Table1[Managing Tenancy and Accommodation2]),""))</f>
        <v/>
      </c>
      <c r="GN284" s="44" t="str">
        <f>IF(Table1[Leaving Date]="","",IF(AND(Table1[Leaving Date]&gt;42460,Table1[Leaving Date]&lt;42826),IF(Table1[Date of Last Assessment]="",Table1[Offending],Table1[Offending2]),""))</f>
        <v/>
      </c>
    </row>
    <row r="285" spans="2:196" ht="20.100000000000001" customHeight="1" x14ac:dyDescent="0.2">
      <c r="B285" s="86">
        <f>+'Service Data'!$C$5:$C$5</f>
        <v>0</v>
      </c>
      <c r="C285" s="86"/>
      <c r="D285" s="86"/>
      <c r="E285" s="86"/>
      <c r="F285" s="86"/>
      <c r="G285" s="86"/>
      <c r="H285" s="6"/>
      <c r="I285" s="99" t="str">
        <f ca="1">IF(Table1[[#This Row],[Date of Birth]]="","",SUM(TODAY()-Table1[[#This Row],[Date of Birth]])/365)</f>
        <v/>
      </c>
      <c r="L285" s="86"/>
      <c r="M285" s="77"/>
      <c r="N285" s="86"/>
      <c r="O285" s="86"/>
      <c r="P285" s="91"/>
      <c r="Q285" s="86"/>
      <c r="R285" s="77"/>
      <c r="S285" s="77"/>
      <c r="T285" s="68"/>
      <c r="U285" s="68"/>
      <c r="V285" s="67"/>
      <c r="W285" s="67"/>
      <c r="X285" s="67"/>
      <c r="Y285" s="67"/>
      <c r="Z285" s="67"/>
      <c r="AA285" s="67"/>
      <c r="AB285" s="67"/>
      <c r="AC285" s="67"/>
      <c r="AD285" s="67"/>
      <c r="AE285" s="67"/>
      <c r="AF285" s="67"/>
      <c r="AG285" s="67"/>
      <c r="AH285" s="67"/>
      <c r="AI285" s="67"/>
      <c r="AJ285" s="67"/>
      <c r="AK285" s="67"/>
      <c r="AL285" s="67"/>
      <c r="AM285" s="67"/>
      <c r="AN285" s="77"/>
      <c r="AO285" s="76"/>
      <c r="AP285" s="77"/>
      <c r="AQ285" s="76"/>
      <c r="AR285" s="76"/>
      <c r="AS285" s="76"/>
      <c r="AT285" s="76"/>
      <c r="AU285" s="76"/>
      <c r="AV285" s="77"/>
      <c r="AW285" s="76"/>
      <c r="AX285" s="77"/>
      <c r="AY285" s="76"/>
      <c r="AZ285" s="76"/>
      <c r="BA285" s="76"/>
      <c r="BB285" s="76"/>
      <c r="BC285" s="76"/>
      <c r="BD285" s="77"/>
      <c r="BE285" s="76"/>
      <c r="BF285" s="77"/>
      <c r="BG285" s="76"/>
      <c r="BH285" s="76"/>
      <c r="BI285" s="76"/>
      <c r="BJ285" s="76"/>
      <c r="BK285" s="76"/>
      <c r="BL285" s="77"/>
      <c r="BM285" s="76"/>
      <c r="BN285" s="77"/>
      <c r="BO285" s="76"/>
      <c r="BP285" s="76"/>
      <c r="BQ285" s="76"/>
      <c r="BR285" s="76"/>
      <c r="BS285" s="76"/>
      <c r="BT285" s="77"/>
      <c r="BU285" s="76"/>
      <c r="BV285" s="77"/>
      <c r="BW285" s="76"/>
      <c r="BX285" s="76"/>
      <c r="BY285" s="76"/>
      <c r="BZ285" s="76"/>
      <c r="CA285" s="76"/>
      <c r="CB285" s="77"/>
      <c r="CC285" s="76"/>
      <c r="CD285" s="77"/>
      <c r="CE285" s="76"/>
      <c r="CF285" s="76"/>
      <c r="CG285" s="76"/>
      <c r="CH285" s="76"/>
      <c r="CI285" s="76"/>
      <c r="CJ285" s="77"/>
      <c r="CK285" s="76"/>
      <c r="CL285" s="77"/>
      <c r="CM285" s="76"/>
      <c r="CN285" s="76"/>
      <c r="CO285" s="76"/>
      <c r="CP285" s="76"/>
      <c r="CQ285" s="76"/>
      <c r="CR285" s="78" t="str">
        <f t="shared" si="79"/>
        <v/>
      </c>
      <c r="CS285" s="79" t="str">
        <f t="shared" si="80"/>
        <v/>
      </c>
      <c r="CT285" s="79" t="str">
        <f t="shared" si="81"/>
        <v/>
      </c>
      <c r="CU285" s="79" t="str">
        <f t="shared" si="82"/>
        <v/>
      </c>
      <c r="CV285" s="79" t="str">
        <f t="shared" si="83"/>
        <v/>
      </c>
      <c r="CW285" s="79" t="str">
        <f t="shared" si="84"/>
        <v/>
      </c>
      <c r="CX285" s="79" t="str">
        <f t="shared" si="85"/>
        <v/>
      </c>
      <c r="CY285" s="79" t="str">
        <f t="shared" si="86"/>
        <v/>
      </c>
      <c r="CZ285" s="79" t="str">
        <f t="shared" si="87"/>
        <v/>
      </c>
      <c r="DA285" s="79" t="str">
        <f t="shared" si="88"/>
        <v/>
      </c>
      <c r="DB285" s="79" t="str">
        <f t="shared" si="89"/>
        <v/>
      </c>
      <c r="DC285" s="79" t="str">
        <f t="shared" si="90"/>
        <v/>
      </c>
      <c r="DD285" s="79" t="str">
        <f t="shared" si="91"/>
        <v/>
      </c>
      <c r="DE285" s="79" t="str">
        <f t="shared" si="92"/>
        <v/>
      </c>
      <c r="DF285" s="79" t="str">
        <f t="shared" si="93"/>
        <v/>
      </c>
      <c r="DG285" s="79" t="str">
        <f t="shared" si="94"/>
        <v/>
      </c>
      <c r="DH285" s="76"/>
      <c r="DI285" s="78"/>
      <c r="DJ285" s="76"/>
      <c r="DK285" s="77"/>
      <c r="DL285" s="77"/>
      <c r="DM285" s="77"/>
      <c r="DN285" s="80"/>
      <c r="DO285" s="80"/>
      <c r="DP285" s="92" t="str">
        <f>IF(Table1[Start Date]="","",IF(Table1[Start Date]&gt;42185,"",IF(AND(Table1[Leaving Date]&gt;1,Table1[Leaving Date]&lt;42095),"",1)))</f>
        <v/>
      </c>
      <c r="DQ285" s="92" t="str">
        <f>IF(Table1[Start Date]="","",IF(Table1[Start Date]&gt;42277,"",IF(AND(Table1[Leaving Date]&gt;1,Table1[Leaving Date]&lt;42186),"",1)))</f>
        <v/>
      </c>
      <c r="DR285" s="92" t="str">
        <f>IF(Table1[Start Date]="","",IF(Table1[Start Date]&gt;42369,"",IF(AND(Table1[Leaving Date]&gt;1,Table1[Leaving Date]&lt;42278),"",1)))</f>
        <v/>
      </c>
      <c r="DS285" s="92" t="str">
        <f>IF(Table1[Start Date]="","",IF(Table1[Start Date]&gt;42460,"",IF(AND(Table1[Leaving Date]&gt;1,Table1[Leaving Date]&lt;42370),"",1)))</f>
        <v/>
      </c>
      <c r="DT285" s="92" t="str">
        <f>IF(Table1[Start Date]="","",IF(Table1[Start Date]&gt;42551,"",IF(AND(Table1[Leaving Date]&gt;1,Table1[Leaving Date]&lt;42461),"",1)))</f>
        <v/>
      </c>
      <c r="DU285" s="92" t="str">
        <f>IF(Table1[Start Date]="","",IF(Table1[Start Date]&gt;42643,"",IF(AND(Table1[Leaving Date]&gt;1,Table1[Leaving Date]&lt;42552),"",1)))</f>
        <v/>
      </c>
      <c r="DV285" s="92" t="str">
        <f>IF(Table1[Start Date]="","",IF(Table1[Start Date]&gt;42735,"",IF(AND(Table1[Leaving Date]&gt;1,Table1[Leaving Date]&lt;42644),"",1)))</f>
        <v/>
      </c>
      <c r="DW285" s="92" t="str">
        <f>IF(Table1[Start Date]="","",IF(Table1[Start Date]&gt;42825,"",IF(AND(Table1[Leaving Date]&gt;1,Table1[Leaving Date]&lt;42736),"",1)))</f>
        <v/>
      </c>
      <c r="DX285"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285" s="44" t="e">
        <f>VLOOKUP(Table1[Referral Source],Lists!$G$2:$H$20,2,FALSE)</f>
        <v>#N/A</v>
      </c>
      <c r="DZ285" s="93" t="e">
        <f>SUM(Table1[Data Referral Quarter]+Table1[Data Referral Source])</f>
        <v>#N/A</v>
      </c>
      <c r="EA285" s="44" t="b">
        <f>IF(Table1[Referral Decision]="Accepted",100,IF(Table1[Referral Decision]="Rejected by Provider",200,IF(Table1[Referral Decision]="Rejected by Applicant",300)))</f>
        <v>0</v>
      </c>
      <c r="EB285" s="44">
        <f>SUM(Table1[Data Referral Quarter]+Table1[Data Referral Decision])</f>
        <v>0</v>
      </c>
      <c r="EC285" s="44" t="b">
        <f>IF(Table1[Start Date]&gt;42735,8000,IF(Table1[Start Date]&gt;42643,7000,IF(Table1[Start Date]&gt;42551,6000,IF(Table1[Start Date]&gt;42460,5000,IF(Table1[Start Date]&gt;42369,4000,IF(Table1[Start Date]&gt;42277,3000,IF(Table1[Start Date]&gt;42185,2000,IF(Table1[Start Date]&gt;42094,1000))))))))</f>
        <v>0</v>
      </c>
      <c r="ED285" s="44" t="str">
        <f>IF(Table1[Start Date]="","",IF(Table1[Current Local Authority]="Swindon",1,"2"))</f>
        <v/>
      </c>
      <c r="EE285" s="44" t="e">
        <f>SUM(Table1[Data Start Date]+Table1[Data Local Authority])</f>
        <v>#VALUE!</v>
      </c>
      <c r="EF285" s="44">
        <f>IF(Table1[Registered with GP]="Yes",1,0)</f>
        <v>0</v>
      </c>
      <c r="EG285" s="44">
        <f>SUM(Table1[Data Start Date]+Table1[Data GP Start])</f>
        <v>0</v>
      </c>
      <c r="EH285" s="44" t="str">
        <f>IF(Table1[EET]="NEET",1,IF(Table1[EET]="Education",2,IF(Table1[EET]="Employment",2,IF(Table1[EET]="Training",2,IF(Table1[EET]="Retired",3,"")))))</f>
        <v/>
      </c>
      <c r="EI285" s="44" t="e">
        <f>Table1[Data Start Date]+Table1[Data EET Start]</f>
        <v>#VALUE!</v>
      </c>
      <c r="EJ285" s="44" t="b">
        <f>IF(Table1[Leaving Date]&gt;42735,8000,IF(Table1[Leaving Date]&gt;42643,7000,IF(Table1[Leaving Date]&gt;42551,6000,IF(Table1[Leaving Date]&gt;42460,5000,IF(Table1[Leaving Date]&gt;42369,4000,IF(Table1[Leaving Date]&gt;42277,3000,IF(Table1[Leaving Date]&gt;42185,2000,IF(Table1[Leaving Date]&gt;42094,1000))))))))</f>
        <v>0</v>
      </c>
      <c r="EK285" s="44" t="e">
        <f>VLOOKUP(Table1[Reason for Leaving],Lists!$T$2:$U$15,2,FALSE)</f>
        <v>#N/A</v>
      </c>
      <c r="EL285" s="44" t="e">
        <f>SUM(Table1[Data Leavers Date]+Table1[Data Move On])</f>
        <v>#N/A</v>
      </c>
      <c r="EM285" s="44" t="b">
        <f>IF(Table1[Registered with GP2]="Yes",1,IF(Table1[Registered with GP2]="No",0,IF(Table1[Registered with GP]="Yes",1,IF(Table1[Registered with GP]="No",0))))</f>
        <v>0</v>
      </c>
      <c r="EN285" s="44">
        <f>SUM(Table1[Data Leavers Date]+Table1[Data GP End])</f>
        <v>0</v>
      </c>
      <c r="EO285" s="44" t="str">
        <f>IF(Table1[EET2]="NEET",1,IF(Table1[EET2]="Employment",2,IF(Table1[EET2]="Education",2,IF(Table1[EET2]="Training",2,IF(Table1[EET2]="Retired",3,IF(Table1[EET]="NEET",1,IF(Table1[EET]="Employment",2,IF(Table1[EET]="Education",2,IF(Table1[EET]="Training",2,IF(Table1[EET]="Retired",3,""))))))))))</f>
        <v/>
      </c>
      <c r="EP285" s="44" t="e">
        <f>+Table1[[#This Row],[Data Leavers Date]]+Table1[[#This Row],[Data EET End]]</f>
        <v>#VALUE!</v>
      </c>
      <c r="EQ285" s="44">
        <f>IF(Table1[Exit Form Received]="Yes",1,0)</f>
        <v>0</v>
      </c>
      <c r="ER285" s="44">
        <f>+Table1[[#This Row],[Data Leavers Date]]+Table1[[#This Row],[Data Exit Forms]]</f>
        <v>0</v>
      </c>
      <c r="ES285" s="44" t="str">
        <f>IF(Table1[Data Leavers Date]=1000,SUM(Table1[Leaving Date]-Table1[Start Date]),"")</f>
        <v/>
      </c>
      <c r="ET285" s="44" t="str">
        <f>IF(Table1[Data Leavers Date]=2000,SUM(Table1[Leaving Date]-Table1[Start Date]),"")</f>
        <v/>
      </c>
      <c r="EU285" s="44" t="str">
        <f>IF(Table1[Data Leavers Date]=3000,SUM(Table1[Leaving Date]-Table1[Start Date]),"")</f>
        <v/>
      </c>
      <c r="EV285" s="44" t="str">
        <f>IF(Table1[Data Leavers Date]=4000,SUM(Table1[Leaving Date]-Table1[Start Date]),"")</f>
        <v/>
      </c>
      <c r="EW285" s="44" t="str">
        <f>IF(Table1[Data Leavers Date]=5000,SUM(Table1[Leaving Date]-Table1[Start Date]),"")</f>
        <v/>
      </c>
      <c r="EX285" s="44" t="str">
        <f>IF(Table1[Data Leavers Date]=6000,SUM(Table1[Leaving Date]-Table1[Start Date]),"")</f>
        <v/>
      </c>
      <c r="EY285" s="44" t="str">
        <f>IF(Table1[Data Leavers Date]=7000,SUM(Table1[Leaving Date]-Table1[Start Date]),"")</f>
        <v/>
      </c>
      <c r="EZ285" s="44" t="str">
        <f>IF(Table1[Data Leavers Date]=8000,SUM(Table1[Leaving Date]-Table1[Start Date]),"")</f>
        <v/>
      </c>
      <c r="FA285" s="44" t="str">
        <f>IF(Table1[Date of Initial Assessment]="","",IF(AND(Table1[Start Date]&gt;42094,Table1[Start Date]&lt;42461),Table1[Motivation and Taking Responsibility],""))</f>
        <v/>
      </c>
      <c r="FB285" s="44" t="str">
        <f>IF(Table1[Date of Initial Assessment]="","",IF(AND(Table1[Start Date]&gt;42094,Table1[Start Date]&lt;42461),Table1[Self-Care and Living Skills],""))</f>
        <v/>
      </c>
      <c r="FC285" s="44" t="str">
        <f>IF(Table1[Date of Initial Assessment]="","",IF(AND(Table1[Start Date]&gt;42094,Table1[Start Date]&lt;42461),Table1[Managing Money and Personal Administration],""))</f>
        <v/>
      </c>
      <c r="FD285" s="44" t="str">
        <f>IF(Table1[Date of Initial Assessment]="","",IF(AND(Table1[Start Date]&gt;42094,Table1[Start Date]&lt;42461),Table1[Social Networks and Relationships],""))</f>
        <v/>
      </c>
      <c r="FE285" s="44" t="str">
        <f>IF(Table1[Date of Initial Assessment]="","",IF(AND(Table1[Start Date]&gt;42094,Table1[Start Date]&lt;42461),Table1[Drug and Alcohol Misuse],""))</f>
        <v/>
      </c>
      <c r="FF285" s="44" t="str">
        <f>IF(Table1[Date of Initial Assessment]="","",IF(AND(Table1[Start Date]&gt;42094,Table1[Start Date]&lt;42461),Table1[Physical Health],""))</f>
        <v/>
      </c>
      <c r="FG285" s="44" t="str">
        <f>IF(Table1[Date of Initial Assessment]="","",IF(AND(Table1[Start Date]&gt;42094,Table1[Start Date]&lt;42461),Table1[Emotional and Mental Health],""))</f>
        <v/>
      </c>
      <c r="FH285" s="44" t="str">
        <f>IF(Table1[Date of Initial Assessment]="","",IF(AND(Table1[Start Date]&gt;42094,Table1[Start Date]&lt;42461),Table1[Meaningful Use of Time],""))</f>
        <v/>
      </c>
      <c r="FI285" s="44" t="str">
        <f>IF(Table1[Date of Initial Assessment]="","",IF(AND(Table1[Start Date]&gt;42094,Table1[Start Date]&lt;42461),Table1[Managing Tenancy and Accommodation],""))</f>
        <v/>
      </c>
      <c r="FJ285" s="44" t="str">
        <f>IF(Table1[Date of Initial Assessment]="","",IF(AND(Table1[Start Date]&gt;42094,Table1[Start Date]&lt;42461),Table1[Offending],""))</f>
        <v/>
      </c>
      <c r="FK285" s="44" t="str">
        <f>IF(Table1[Leaving Date]="","",IF(Table1[Date of Initial Assessment]="","",IF(AND(Table1[Leaving Date]&gt;42094,Table1[Leaving Date]&lt;42461),IF(Table1[Date of Last Assessment]="",Table1[Motivation and Taking Responsibility],Table1[Motivation and Taking Responsibility2]),"")))</f>
        <v/>
      </c>
      <c r="FL285" s="44" t="str">
        <f>IF(Table1[Leaving Date]="","",IF(Table1[Date of Initial Assessment]="","",IF(AND(Table1[Leaving Date]&gt;42094,Table1[Leaving Date]&lt;42461),IF(Table1[Date of Last Assessment]="",Table1[Self-Care and Living Skills],Table1[Self-Care and Living Skills2]),"")))</f>
        <v/>
      </c>
      <c r="FM285" s="44" t="str">
        <f>IF(Table1[Leaving Date]="","",IF(Table1[Date of Initial Assessment]="","",IF(AND(Table1[Leaving Date]&gt;42094,Table1[Leaving Date]&lt;42461),IF(Table1[Date of Last Assessment]="",Table1[Managing Money and Personal Administration],Table1[Managing Money and Personal Administration2]),"")))</f>
        <v/>
      </c>
      <c r="FN285" s="44" t="str">
        <f>IF(Table1[Leaving Date]="","",IF(Table1[Date of Initial Assessment]="","",IF(AND(Table1[Leaving Date]&gt;42094,Table1[Leaving Date]&lt;42461),IF(Table1[Date of Last Assessment]="",Table1[Social Networks and Relationships],Table1[Social Networks and Relationships2]),"")))</f>
        <v/>
      </c>
      <c r="FO285" s="44" t="str">
        <f>IF(Table1[Leaving Date]="","",IF(Table1[Date of Initial Assessment]="","",IF(AND(Table1[Leaving Date]&gt;42094,Table1[Leaving Date]&lt;42461),IF(Table1[Date of Last Assessment]="",Table1[Drug and Alcohol Misuse],Table1[Drug and Alcohol Misuse2]),"")))</f>
        <v/>
      </c>
      <c r="FP285" s="44" t="str">
        <f>IF(Table1[Leaving Date]="","",IF(Table1[Date of Initial Assessment]="","",IF(AND(Table1[Leaving Date]&gt;42094,Table1[Leaving Date]&lt;42461),IF(Table1[Date of Last Assessment]="",Table1[Physical Health],Table1[Physical Health2]),"")))</f>
        <v/>
      </c>
      <c r="FQ285" s="44" t="str">
        <f>IF(Table1[Leaving Date]="","",IF(Table1[Date of Initial Assessment]="","",IF(AND(Table1[Leaving Date]&gt;42094,Table1[Leaving Date]&lt;42461),IF(Table1[Date of Last Assessment]="",Table1[Emotional and Mental Health],Table1[Emotional and Mental Health2]),"")))</f>
        <v/>
      </c>
      <c r="FR285" s="44" t="str">
        <f>IF(Table1[Leaving Date]="","",IF(Table1[Date of Initial Assessment]="","",IF(AND(Table1[Leaving Date]&gt;42094,Table1[Leaving Date]&lt;42461),IF(Table1[Date of Last Assessment]="",Table1[Meaningful Use of Time],Table1[Meaningful Use of Time2]),"")))</f>
        <v/>
      </c>
      <c r="FS285" s="44" t="str">
        <f>IF(Table1[Leaving Date]="","",IF(Table1[Date of Initial Assessment]="","",IF(AND(Table1[Leaving Date]&gt;42094,Table1[Leaving Date]&lt;42461),IF(Table1[Date of Last Assessment]="",Table1[Managing Tenancy and Accommodation],Table1[Managing Tenancy and Accommodation2]),"")))</f>
        <v/>
      </c>
      <c r="FT285" s="44" t="str">
        <f>IF(Table1[Leaving Date]="","",IF(Table1[Date of Initial Assessment]="","",IF(AND(Table1[Leaving Date]&gt;42094,Table1[Leaving Date]&lt;42461),IF(Table1[Date of Last Assessment]="",Table1[Offending],Table1[Offending2]),"")))</f>
        <v/>
      </c>
      <c r="FU285" s="44" t="str">
        <f>IF(Table1[Date of Initial Assessment]="","",IF(AND(Table1[Start Date]&gt;42460,Table1[Start Date]&lt;42826),Table1[Motivation and Taking Responsibility],""))</f>
        <v/>
      </c>
      <c r="FV285" s="44" t="str">
        <f>IF(Table1[Date of Initial Assessment]="","",IF(AND(Table1[Start Date]&gt;42460,Table1[Start Date]&lt;42826),Table1[Self-Care and Living Skills],""))</f>
        <v/>
      </c>
      <c r="FW285" s="44" t="str">
        <f>IF(Table1[Date of Initial Assessment]="","",IF(AND(Table1[Start Date]&gt;42460,Table1[Start Date]&lt;42826),Table1[Managing Money and Personal Administration],""))</f>
        <v/>
      </c>
      <c r="FX285" s="44" t="str">
        <f>IF(Table1[Date of Initial Assessment]="","",IF(AND(Table1[Start Date]&gt;42460,Table1[Start Date]&lt;42826),Table1[Social Networks and Relationships],""))</f>
        <v/>
      </c>
      <c r="FY285" s="44" t="str">
        <f>IF(Table1[Date of Initial Assessment]="","",IF(AND(Table1[Start Date]&gt;42460,Table1[Start Date]&lt;42826),Table1[Drug and Alcohol Misuse],""))</f>
        <v/>
      </c>
      <c r="FZ285" s="44" t="str">
        <f>IF(Table1[Date of Initial Assessment]="","",IF(AND(Table1[Start Date]&gt;42460,Table1[Start Date]&lt;42826),Table1[Physical Health],""))</f>
        <v/>
      </c>
      <c r="GA285" s="44" t="str">
        <f>IF(Table1[Date of Initial Assessment]="","",IF(AND(Table1[Start Date]&gt;42460,Table1[Start Date]&lt;42826),Table1[Emotional and Mental Health],""))</f>
        <v/>
      </c>
      <c r="GB285" s="44" t="str">
        <f>IF(Table1[Date of Initial Assessment]="","",IF(AND(Table1[Start Date]&gt;42460,Table1[Start Date]&lt;42826),Table1[Meaningful Use of Time],""))</f>
        <v/>
      </c>
      <c r="GC285" s="44" t="str">
        <f>IF(Table1[Date of Initial Assessment]="","",IF(AND(Table1[Start Date]&gt;42460,Table1[Start Date]&lt;42826),Table1[Managing Tenancy and Accommodation],""))</f>
        <v/>
      </c>
      <c r="GD285" s="44" t="str">
        <f>IF(Table1[Date of Initial Assessment]="","",IF(AND(Table1[Start Date]&gt;42460,Table1[Start Date]&lt;42826),Table1[Offending],""))</f>
        <v/>
      </c>
      <c r="GE285" s="44" t="str">
        <f>IF(Table1[Leaving Date]="","",IF(AND(Table1[Leaving Date]&gt;42460,Table1[Leaving Date]&lt;42826),IF(Table1[Date of Last Assessment]="",Table1[Motivation and Taking Responsibility],Table1[Motivation and Taking Responsibility2]),""))</f>
        <v/>
      </c>
      <c r="GF285" s="44" t="str">
        <f>IF(Table1[Leaving Date]="","",IF(AND(Table1[Leaving Date]&gt;42460,Table1[Leaving Date]&lt;42826),IF(Table1[Date of Last Assessment]="",Table1[Self-Care and Living Skills],Table1[Self-Care and Living Skills2]),""))</f>
        <v/>
      </c>
      <c r="GG285" s="44" t="str">
        <f>IF(Table1[Leaving Date]="","",IF(AND(Table1[Leaving Date]&gt;42460,Table1[Leaving Date]&lt;42826),IF(Table1[Date of Last Assessment]="",Table1[Managing Money and Personal Administration],Table1[Managing Money and Personal Administration2]),""))</f>
        <v/>
      </c>
      <c r="GH285" s="44" t="str">
        <f>IF(Table1[Leaving Date]="","",IF(AND(Table1[Leaving Date]&gt;42460,Table1[Leaving Date]&lt;42826),IF(Table1[Date of Last Assessment]="",Table1[Social Networks and Relationships],Table1[Social Networks and Relationships2]),""))</f>
        <v/>
      </c>
      <c r="GI285" s="44" t="str">
        <f>IF(Table1[Leaving Date]="","",IF(AND(Table1[Leaving Date]&gt;42460,Table1[Leaving Date]&lt;42826),IF(Table1[Date of Last Assessment]="",Table1[Drug and Alcohol Misuse],Table1[Drug and Alcohol Misuse2]),""))</f>
        <v/>
      </c>
      <c r="GJ285" s="44" t="str">
        <f>IF(Table1[Leaving Date]="","",IF(AND(Table1[Leaving Date]&gt;42460,Table1[Leaving Date]&lt;42826),IF(Table1[Date of Last Assessment]="",Table1[Physical Health],Table1[Physical Health2]),""))</f>
        <v/>
      </c>
      <c r="GK285" s="44" t="str">
        <f>IF(Table1[Leaving Date]="","",IF(AND(Table1[Leaving Date]&gt;42460,Table1[Leaving Date]&lt;42826),IF(Table1[Date of Last Assessment]="",Table1[Emotional and Mental Health],Table1[Emotional and Mental Health2]),""))</f>
        <v/>
      </c>
      <c r="GL285" s="44" t="str">
        <f>IF(Table1[Leaving Date]="","",IF(AND(Table1[Leaving Date]&gt;42460,Table1[Leaving Date]&lt;42826),IF(Table1[Date of Last Assessment]="",Table1[Meaningful Use of Time],Table1[Meaningful Use of Time2]),""))</f>
        <v/>
      </c>
      <c r="GM285" s="44" t="str">
        <f>IF(Table1[Leaving Date]="","",IF(AND(Table1[Leaving Date]&gt;42460,Table1[Leaving Date]&lt;42826),IF(Table1[Date of Last Assessment]="",Table1[Managing Tenancy and Accommodation],Table1[Managing Tenancy and Accommodation2]),""))</f>
        <v/>
      </c>
      <c r="GN285" s="44" t="str">
        <f>IF(Table1[Leaving Date]="","",IF(AND(Table1[Leaving Date]&gt;42460,Table1[Leaving Date]&lt;42826),IF(Table1[Date of Last Assessment]="",Table1[Offending],Table1[Offending2]),""))</f>
        <v/>
      </c>
    </row>
    <row r="286" spans="2:196" ht="20.100000000000001" customHeight="1" x14ac:dyDescent="0.2">
      <c r="B286" s="86">
        <f>+'Service Data'!$C$5:$C$5</f>
        <v>0</v>
      </c>
      <c r="C286" s="86"/>
      <c r="D286" s="86"/>
      <c r="E286" s="86"/>
      <c r="F286" s="86"/>
      <c r="G286" s="86"/>
      <c r="H286" s="6"/>
      <c r="I286" s="99" t="str">
        <f ca="1">IF(Table1[[#This Row],[Date of Birth]]="","",SUM(TODAY()-Table1[[#This Row],[Date of Birth]])/365)</f>
        <v/>
      </c>
      <c r="L286" s="86"/>
      <c r="M286" s="77"/>
      <c r="N286" s="86"/>
      <c r="O286" s="86"/>
      <c r="P286" s="91"/>
      <c r="Q286" s="86"/>
      <c r="R286" s="77"/>
      <c r="S286" s="77"/>
      <c r="T286" s="68"/>
      <c r="U286" s="68"/>
      <c r="V286" s="67"/>
      <c r="W286" s="67"/>
      <c r="X286" s="67"/>
      <c r="Y286" s="67"/>
      <c r="Z286" s="67"/>
      <c r="AA286" s="67"/>
      <c r="AB286" s="67"/>
      <c r="AC286" s="67"/>
      <c r="AD286" s="67"/>
      <c r="AE286" s="67"/>
      <c r="AF286" s="67"/>
      <c r="AG286" s="67"/>
      <c r="AH286" s="67"/>
      <c r="AI286" s="67"/>
      <c r="AJ286" s="67"/>
      <c r="AK286" s="67"/>
      <c r="AL286" s="67"/>
      <c r="AM286" s="67"/>
      <c r="AN286" s="77"/>
      <c r="AO286" s="76"/>
      <c r="AP286" s="77"/>
      <c r="AQ286" s="76"/>
      <c r="AR286" s="76"/>
      <c r="AS286" s="76"/>
      <c r="AT286" s="76"/>
      <c r="AU286" s="76"/>
      <c r="AV286" s="77"/>
      <c r="AW286" s="76"/>
      <c r="AX286" s="77"/>
      <c r="AY286" s="76"/>
      <c r="AZ286" s="76"/>
      <c r="BA286" s="76"/>
      <c r="BB286" s="76"/>
      <c r="BC286" s="76"/>
      <c r="BD286" s="77"/>
      <c r="BE286" s="76"/>
      <c r="BF286" s="77"/>
      <c r="BG286" s="76"/>
      <c r="BH286" s="76"/>
      <c r="BI286" s="76"/>
      <c r="BJ286" s="76"/>
      <c r="BK286" s="76"/>
      <c r="BL286" s="77"/>
      <c r="BM286" s="76"/>
      <c r="BN286" s="77"/>
      <c r="BO286" s="76"/>
      <c r="BP286" s="76"/>
      <c r="BQ286" s="76"/>
      <c r="BR286" s="76"/>
      <c r="BS286" s="76"/>
      <c r="BT286" s="77"/>
      <c r="BU286" s="76"/>
      <c r="BV286" s="77"/>
      <c r="BW286" s="76"/>
      <c r="BX286" s="76"/>
      <c r="BY286" s="76"/>
      <c r="BZ286" s="76"/>
      <c r="CA286" s="76"/>
      <c r="CB286" s="77"/>
      <c r="CC286" s="76"/>
      <c r="CD286" s="77"/>
      <c r="CE286" s="76"/>
      <c r="CF286" s="76"/>
      <c r="CG286" s="76"/>
      <c r="CH286" s="76"/>
      <c r="CI286" s="76"/>
      <c r="CJ286" s="77"/>
      <c r="CK286" s="76"/>
      <c r="CL286" s="77"/>
      <c r="CM286" s="76"/>
      <c r="CN286" s="76"/>
      <c r="CO286" s="76"/>
      <c r="CP286" s="76"/>
      <c r="CQ286" s="76"/>
      <c r="CR286" s="78" t="str">
        <f t="shared" si="79"/>
        <v/>
      </c>
      <c r="CS286" s="79" t="str">
        <f t="shared" si="80"/>
        <v/>
      </c>
      <c r="CT286" s="79" t="str">
        <f t="shared" si="81"/>
        <v/>
      </c>
      <c r="CU286" s="79" t="str">
        <f t="shared" si="82"/>
        <v/>
      </c>
      <c r="CV286" s="79" t="str">
        <f t="shared" si="83"/>
        <v/>
      </c>
      <c r="CW286" s="79" t="str">
        <f t="shared" si="84"/>
        <v/>
      </c>
      <c r="CX286" s="79" t="str">
        <f t="shared" si="85"/>
        <v/>
      </c>
      <c r="CY286" s="79" t="str">
        <f t="shared" si="86"/>
        <v/>
      </c>
      <c r="CZ286" s="79" t="str">
        <f t="shared" si="87"/>
        <v/>
      </c>
      <c r="DA286" s="79" t="str">
        <f t="shared" si="88"/>
        <v/>
      </c>
      <c r="DB286" s="79" t="str">
        <f t="shared" si="89"/>
        <v/>
      </c>
      <c r="DC286" s="79" t="str">
        <f t="shared" si="90"/>
        <v/>
      </c>
      <c r="DD286" s="79" t="str">
        <f t="shared" si="91"/>
        <v/>
      </c>
      <c r="DE286" s="79" t="str">
        <f t="shared" si="92"/>
        <v/>
      </c>
      <c r="DF286" s="79" t="str">
        <f t="shared" si="93"/>
        <v/>
      </c>
      <c r="DG286" s="79" t="str">
        <f t="shared" si="94"/>
        <v/>
      </c>
      <c r="DH286" s="76"/>
      <c r="DI286" s="78"/>
      <c r="DJ286" s="76"/>
      <c r="DK286" s="77"/>
      <c r="DL286" s="77"/>
      <c r="DM286" s="77"/>
      <c r="DN286" s="80"/>
      <c r="DO286" s="80"/>
      <c r="DP286" s="92" t="str">
        <f>IF(Table1[Start Date]="","",IF(Table1[Start Date]&gt;42185,"",IF(AND(Table1[Leaving Date]&gt;1,Table1[Leaving Date]&lt;42095),"",1)))</f>
        <v/>
      </c>
      <c r="DQ286" s="92" t="str">
        <f>IF(Table1[Start Date]="","",IF(Table1[Start Date]&gt;42277,"",IF(AND(Table1[Leaving Date]&gt;1,Table1[Leaving Date]&lt;42186),"",1)))</f>
        <v/>
      </c>
      <c r="DR286" s="92" t="str">
        <f>IF(Table1[Start Date]="","",IF(Table1[Start Date]&gt;42369,"",IF(AND(Table1[Leaving Date]&gt;1,Table1[Leaving Date]&lt;42278),"",1)))</f>
        <v/>
      </c>
      <c r="DS286" s="92" t="str">
        <f>IF(Table1[Start Date]="","",IF(Table1[Start Date]&gt;42460,"",IF(AND(Table1[Leaving Date]&gt;1,Table1[Leaving Date]&lt;42370),"",1)))</f>
        <v/>
      </c>
      <c r="DT286" s="92" t="str">
        <f>IF(Table1[Start Date]="","",IF(Table1[Start Date]&gt;42551,"",IF(AND(Table1[Leaving Date]&gt;1,Table1[Leaving Date]&lt;42461),"",1)))</f>
        <v/>
      </c>
      <c r="DU286" s="92" t="str">
        <f>IF(Table1[Start Date]="","",IF(Table1[Start Date]&gt;42643,"",IF(AND(Table1[Leaving Date]&gt;1,Table1[Leaving Date]&lt;42552),"",1)))</f>
        <v/>
      </c>
      <c r="DV286" s="92" t="str">
        <f>IF(Table1[Start Date]="","",IF(Table1[Start Date]&gt;42735,"",IF(AND(Table1[Leaving Date]&gt;1,Table1[Leaving Date]&lt;42644),"",1)))</f>
        <v/>
      </c>
      <c r="DW286" s="92" t="str">
        <f>IF(Table1[Start Date]="","",IF(Table1[Start Date]&gt;42825,"",IF(AND(Table1[Leaving Date]&gt;1,Table1[Leaving Date]&lt;42736),"",1)))</f>
        <v/>
      </c>
      <c r="DX286"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286" s="44" t="e">
        <f>VLOOKUP(Table1[Referral Source],Lists!$G$2:$H$20,2,FALSE)</f>
        <v>#N/A</v>
      </c>
      <c r="DZ286" s="93" t="e">
        <f>SUM(Table1[Data Referral Quarter]+Table1[Data Referral Source])</f>
        <v>#N/A</v>
      </c>
      <c r="EA286" s="44" t="b">
        <f>IF(Table1[Referral Decision]="Accepted",100,IF(Table1[Referral Decision]="Rejected by Provider",200,IF(Table1[Referral Decision]="Rejected by Applicant",300)))</f>
        <v>0</v>
      </c>
      <c r="EB286" s="44">
        <f>SUM(Table1[Data Referral Quarter]+Table1[Data Referral Decision])</f>
        <v>0</v>
      </c>
      <c r="EC286" s="44" t="b">
        <f>IF(Table1[Start Date]&gt;42735,8000,IF(Table1[Start Date]&gt;42643,7000,IF(Table1[Start Date]&gt;42551,6000,IF(Table1[Start Date]&gt;42460,5000,IF(Table1[Start Date]&gt;42369,4000,IF(Table1[Start Date]&gt;42277,3000,IF(Table1[Start Date]&gt;42185,2000,IF(Table1[Start Date]&gt;42094,1000))))))))</f>
        <v>0</v>
      </c>
      <c r="ED286" s="44" t="str">
        <f>IF(Table1[Start Date]="","",IF(Table1[Current Local Authority]="Swindon",1,"2"))</f>
        <v/>
      </c>
      <c r="EE286" s="44" t="e">
        <f>SUM(Table1[Data Start Date]+Table1[Data Local Authority])</f>
        <v>#VALUE!</v>
      </c>
      <c r="EF286" s="44">
        <f>IF(Table1[Registered with GP]="Yes",1,0)</f>
        <v>0</v>
      </c>
      <c r="EG286" s="44">
        <f>SUM(Table1[Data Start Date]+Table1[Data GP Start])</f>
        <v>0</v>
      </c>
      <c r="EH286" s="44" t="str">
        <f>IF(Table1[EET]="NEET",1,IF(Table1[EET]="Education",2,IF(Table1[EET]="Employment",2,IF(Table1[EET]="Training",2,IF(Table1[EET]="Retired",3,"")))))</f>
        <v/>
      </c>
      <c r="EI286" s="44" t="e">
        <f>Table1[Data Start Date]+Table1[Data EET Start]</f>
        <v>#VALUE!</v>
      </c>
      <c r="EJ286" s="44" t="b">
        <f>IF(Table1[Leaving Date]&gt;42735,8000,IF(Table1[Leaving Date]&gt;42643,7000,IF(Table1[Leaving Date]&gt;42551,6000,IF(Table1[Leaving Date]&gt;42460,5000,IF(Table1[Leaving Date]&gt;42369,4000,IF(Table1[Leaving Date]&gt;42277,3000,IF(Table1[Leaving Date]&gt;42185,2000,IF(Table1[Leaving Date]&gt;42094,1000))))))))</f>
        <v>0</v>
      </c>
      <c r="EK286" s="44" t="e">
        <f>VLOOKUP(Table1[Reason for Leaving],Lists!$T$2:$U$15,2,FALSE)</f>
        <v>#N/A</v>
      </c>
      <c r="EL286" s="44" t="e">
        <f>SUM(Table1[Data Leavers Date]+Table1[Data Move On])</f>
        <v>#N/A</v>
      </c>
      <c r="EM286" s="44" t="b">
        <f>IF(Table1[Registered with GP2]="Yes",1,IF(Table1[Registered with GP2]="No",0,IF(Table1[Registered with GP]="Yes",1,IF(Table1[Registered with GP]="No",0))))</f>
        <v>0</v>
      </c>
      <c r="EN286" s="44">
        <f>SUM(Table1[Data Leavers Date]+Table1[Data GP End])</f>
        <v>0</v>
      </c>
      <c r="EO286" s="44" t="str">
        <f>IF(Table1[EET2]="NEET",1,IF(Table1[EET2]="Employment",2,IF(Table1[EET2]="Education",2,IF(Table1[EET2]="Training",2,IF(Table1[EET2]="Retired",3,IF(Table1[EET]="NEET",1,IF(Table1[EET]="Employment",2,IF(Table1[EET]="Education",2,IF(Table1[EET]="Training",2,IF(Table1[EET]="Retired",3,""))))))))))</f>
        <v/>
      </c>
      <c r="EP286" s="44" t="e">
        <f>+Table1[[#This Row],[Data Leavers Date]]+Table1[[#This Row],[Data EET End]]</f>
        <v>#VALUE!</v>
      </c>
      <c r="EQ286" s="44">
        <f>IF(Table1[Exit Form Received]="Yes",1,0)</f>
        <v>0</v>
      </c>
      <c r="ER286" s="44">
        <f>+Table1[[#This Row],[Data Leavers Date]]+Table1[[#This Row],[Data Exit Forms]]</f>
        <v>0</v>
      </c>
      <c r="ES286" s="44" t="str">
        <f>IF(Table1[Data Leavers Date]=1000,SUM(Table1[Leaving Date]-Table1[Start Date]),"")</f>
        <v/>
      </c>
      <c r="ET286" s="44" t="str">
        <f>IF(Table1[Data Leavers Date]=2000,SUM(Table1[Leaving Date]-Table1[Start Date]),"")</f>
        <v/>
      </c>
      <c r="EU286" s="44" t="str">
        <f>IF(Table1[Data Leavers Date]=3000,SUM(Table1[Leaving Date]-Table1[Start Date]),"")</f>
        <v/>
      </c>
      <c r="EV286" s="44" t="str">
        <f>IF(Table1[Data Leavers Date]=4000,SUM(Table1[Leaving Date]-Table1[Start Date]),"")</f>
        <v/>
      </c>
      <c r="EW286" s="44" t="str">
        <f>IF(Table1[Data Leavers Date]=5000,SUM(Table1[Leaving Date]-Table1[Start Date]),"")</f>
        <v/>
      </c>
      <c r="EX286" s="44" t="str">
        <f>IF(Table1[Data Leavers Date]=6000,SUM(Table1[Leaving Date]-Table1[Start Date]),"")</f>
        <v/>
      </c>
      <c r="EY286" s="44" t="str">
        <f>IF(Table1[Data Leavers Date]=7000,SUM(Table1[Leaving Date]-Table1[Start Date]),"")</f>
        <v/>
      </c>
      <c r="EZ286" s="44" t="str">
        <f>IF(Table1[Data Leavers Date]=8000,SUM(Table1[Leaving Date]-Table1[Start Date]),"")</f>
        <v/>
      </c>
      <c r="FA286" s="44" t="str">
        <f>IF(Table1[Date of Initial Assessment]="","",IF(AND(Table1[Start Date]&gt;42094,Table1[Start Date]&lt;42461),Table1[Motivation and Taking Responsibility],""))</f>
        <v/>
      </c>
      <c r="FB286" s="44" t="str">
        <f>IF(Table1[Date of Initial Assessment]="","",IF(AND(Table1[Start Date]&gt;42094,Table1[Start Date]&lt;42461),Table1[Self-Care and Living Skills],""))</f>
        <v/>
      </c>
      <c r="FC286" s="44" t="str">
        <f>IF(Table1[Date of Initial Assessment]="","",IF(AND(Table1[Start Date]&gt;42094,Table1[Start Date]&lt;42461),Table1[Managing Money and Personal Administration],""))</f>
        <v/>
      </c>
      <c r="FD286" s="44" t="str">
        <f>IF(Table1[Date of Initial Assessment]="","",IF(AND(Table1[Start Date]&gt;42094,Table1[Start Date]&lt;42461),Table1[Social Networks and Relationships],""))</f>
        <v/>
      </c>
      <c r="FE286" s="44" t="str">
        <f>IF(Table1[Date of Initial Assessment]="","",IF(AND(Table1[Start Date]&gt;42094,Table1[Start Date]&lt;42461),Table1[Drug and Alcohol Misuse],""))</f>
        <v/>
      </c>
      <c r="FF286" s="44" t="str">
        <f>IF(Table1[Date of Initial Assessment]="","",IF(AND(Table1[Start Date]&gt;42094,Table1[Start Date]&lt;42461),Table1[Physical Health],""))</f>
        <v/>
      </c>
      <c r="FG286" s="44" t="str">
        <f>IF(Table1[Date of Initial Assessment]="","",IF(AND(Table1[Start Date]&gt;42094,Table1[Start Date]&lt;42461),Table1[Emotional and Mental Health],""))</f>
        <v/>
      </c>
      <c r="FH286" s="44" t="str">
        <f>IF(Table1[Date of Initial Assessment]="","",IF(AND(Table1[Start Date]&gt;42094,Table1[Start Date]&lt;42461),Table1[Meaningful Use of Time],""))</f>
        <v/>
      </c>
      <c r="FI286" s="44" t="str">
        <f>IF(Table1[Date of Initial Assessment]="","",IF(AND(Table1[Start Date]&gt;42094,Table1[Start Date]&lt;42461),Table1[Managing Tenancy and Accommodation],""))</f>
        <v/>
      </c>
      <c r="FJ286" s="44" t="str">
        <f>IF(Table1[Date of Initial Assessment]="","",IF(AND(Table1[Start Date]&gt;42094,Table1[Start Date]&lt;42461),Table1[Offending],""))</f>
        <v/>
      </c>
      <c r="FK286" s="44" t="str">
        <f>IF(Table1[Leaving Date]="","",IF(Table1[Date of Initial Assessment]="","",IF(AND(Table1[Leaving Date]&gt;42094,Table1[Leaving Date]&lt;42461),IF(Table1[Date of Last Assessment]="",Table1[Motivation and Taking Responsibility],Table1[Motivation and Taking Responsibility2]),"")))</f>
        <v/>
      </c>
      <c r="FL286" s="44" t="str">
        <f>IF(Table1[Leaving Date]="","",IF(Table1[Date of Initial Assessment]="","",IF(AND(Table1[Leaving Date]&gt;42094,Table1[Leaving Date]&lt;42461),IF(Table1[Date of Last Assessment]="",Table1[Self-Care and Living Skills],Table1[Self-Care and Living Skills2]),"")))</f>
        <v/>
      </c>
      <c r="FM286" s="44" t="str">
        <f>IF(Table1[Leaving Date]="","",IF(Table1[Date of Initial Assessment]="","",IF(AND(Table1[Leaving Date]&gt;42094,Table1[Leaving Date]&lt;42461),IF(Table1[Date of Last Assessment]="",Table1[Managing Money and Personal Administration],Table1[Managing Money and Personal Administration2]),"")))</f>
        <v/>
      </c>
      <c r="FN286" s="44" t="str">
        <f>IF(Table1[Leaving Date]="","",IF(Table1[Date of Initial Assessment]="","",IF(AND(Table1[Leaving Date]&gt;42094,Table1[Leaving Date]&lt;42461),IF(Table1[Date of Last Assessment]="",Table1[Social Networks and Relationships],Table1[Social Networks and Relationships2]),"")))</f>
        <v/>
      </c>
      <c r="FO286" s="44" t="str">
        <f>IF(Table1[Leaving Date]="","",IF(Table1[Date of Initial Assessment]="","",IF(AND(Table1[Leaving Date]&gt;42094,Table1[Leaving Date]&lt;42461),IF(Table1[Date of Last Assessment]="",Table1[Drug and Alcohol Misuse],Table1[Drug and Alcohol Misuse2]),"")))</f>
        <v/>
      </c>
      <c r="FP286" s="44" t="str">
        <f>IF(Table1[Leaving Date]="","",IF(Table1[Date of Initial Assessment]="","",IF(AND(Table1[Leaving Date]&gt;42094,Table1[Leaving Date]&lt;42461),IF(Table1[Date of Last Assessment]="",Table1[Physical Health],Table1[Physical Health2]),"")))</f>
        <v/>
      </c>
      <c r="FQ286" s="44" t="str">
        <f>IF(Table1[Leaving Date]="","",IF(Table1[Date of Initial Assessment]="","",IF(AND(Table1[Leaving Date]&gt;42094,Table1[Leaving Date]&lt;42461),IF(Table1[Date of Last Assessment]="",Table1[Emotional and Mental Health],Table1[Emotional and Mental Health2]),"")))</f>
        <v/>
      </c>
      <c r="FR286" s="44" t="str">
        <f>IF(Table1[Leaving Date]="","",IF(Table1[Date of Initial Assessment]="","",IF(AND(Table1[Leaving Date]&gt;42094,Table1[Leaving Date]&lt;42461),IF(Table1[Date of Last Assessment]="",Table1[Meaningful Use of Time],Table1[Meaningful Use of Time2]),"")))</f>
        <v/>
      </c>
      <c r="FS286" s="44" t="str">
        <f>IF(Table1[Leaving Date]="","",IF(Table1[Date of Initial Assessment]="","",IF(AND(Table1[Leaving Date]&gt;42094,Table1[Leaving Date]&lt;42461),IF(Table1[Date of Last Assessment]="",Table1[Managing Tenancy and Accommodation],Table1[Managing Tenancy and Accommodation2]),"")))</f>
        <v/>
      </c>
      <c r="FT286" s="44" t="str">
        <f>IF(Table1[Leaving Date]="","",IF(Table1[Date of Initial Assessment]="","",IF(AND(Table1[Leaving Date]&gt;42094,Table1[Leaving Date]&lt;42461),IF(Table1[Date of Last Assessment]="",Table1[Offending],Table1[Offending2]),"")))</f>
        <v/>
      </c>
      <c r="FU286" s="44" t="str">
        <f>IF(Table1[Date of Initial Assessment]="","",IF(AND(Table1[Start Date]&gt;42460,Table1[Start Date]&lt;42826),Table1[Motivation and Taking Responsibility],""))</f>
        <v/>
      </c>
      <c r="FV286" s="44" t="str">
        <f>IF(Table1[Date of Initial Assessment]="","",IF(AND(Table1[Start Date]&gt;42460,Table1[Start Date]&lt;42826),Table1[Self-Care and Living Skills],""))</f>
        <v/>
      </c>
      <c r="FW286" s="44" t="str">
        <f>IF(Table1[Date of Initial Assessment]="","",IF(AND(Table1[Start Date]&gt;42460,Table1[Start Date]&lt;42826),Table1[Managing Money and Personal Administration],""))</f>
        <v/>
      </c>
      <c r="FX286" s="44" t="str">
        <f>IF(Table1[Date of Initial Assessment]="","",IF(AND(Table1[Start Date]&gt;42460,Table1[Start Date]&lt;42826),Table1[Social Networks and Relationships],""))</f>
        <v/>
      </c>
      <c r="FY286" s="44" t="str">
        <f>IF(Table1[Date of Initial Assessment]="","",IF(AND(Table1[Start Date]&gt;42460,Table1[Start Date]&lt;42826),Table1[Drug and Alcohol Misuse],""))</f>
        <v/>
      </c>
      <c r="FZ286" s="44" t="str">
        <f>IF(Table1[Date of Initial Assessment]="","",IF(AND(Table1[Start Date]&gt;42460,Table1[Start Date]&lt;42826),Table1[Physical Health],""))</f>
        <v/>
      </c>
      <c r="GA286" s="44" t="str">
        <f>IF(Table1[Date of Initial Assessment]="","",IF(AND(Table1[Start Date]&gt;42460,Table1[Start Date]&lt;42826),Table1[Emotional and Mental Health],""))</f>
        <v/>
      </c>
      <c r="GB286" s="44" t="str">
        <f>IF(Table1[Date of Initial Assessment]="","",IF(AND(Table1[Start Date]&gt;42460,Table1[Start Date]&lt;42826),Table1[Meaningful Use of Time],""))</f>
        <v/>
      </c>
      <c r="GC286" s="44" t="str">
        <f>IF(Table1[Date of Initial Assessment]="","",IF(AND(Table1[Start Date]&gt;42460,Table1[Start Date]&lt;42826),Table1[Managing Tenancy and Accommodation],""))</f>
        <v/>
      </c>
      <c r="GD286" s="44" t="str">
        <f>IF(Table1[Date of Initial Assessment]="","",IF(AND(Table1[Start Date]&gt;42460,Table1[Start Date]&lt;42826),Table1[Offending],""))</f>
        <v/>
      </c>
      <c r="GE286" s="44" t="str">
        <f>IF(Table1[Leaving Date]="","",IF(AND(Table1[Leaving Date]&gt;42460,Table1[Leaving Date]&lt;42826),IF(Table1[Date of Last Assessment]="",Table1[Motivation and Taking Responsibility],Table1[Motivation and Taking Responsibility2]),""))</f>
        <v/>
      </c>
      <c r="GF286" s="44" t="str">
        <f>IF(Table1[Leaving Date]="","",IF(AND(Table1[Leaving Date]&gt;42460,Table1[Leaving Date]&lt;42826),IF(Table1[Date of Last Assessment]="",Table1[Self-Care and Living Skills],Table1[Self-Care and Living Skills2]),""))</f>
        <v/>
      </c>
      <c r="GG286" s="44" t="str">
        <f>IF(Table1[Leaving Date]="","",IF(AND(Table1[Leaving Date]&gt;42460,Table1[Leaving Date]&lt;42826),IF(Table1[Date of Last Assessment]="",Table1[Managing Money and Personal Administration],Table1[Managing Money and Personal Administration2]),""))</f>
        <v/>
      </c>
      <c r="GH286" s="44" t="str">
        <f>IF(Table1[Leaving Date]="","",IF(AND(Table1[Leaving Date]&gt;42460,Table1[Leaving Date]&lt;42826),IF(Table1[Date of Last Assessment]="",Table1[Social Networks and Relationships],Table1[Social Networks and Relationships2]),""))</f>
        <v/>
      </c>
      <c r="GI286" s="44" t="str">
        <f>IF(Table1[Leaving Date]="","",IF(AND(Table1[Leaving Date]&gt;42460,Table1[Leaving Date]&lt;42826),IF(Table1[Date of Last Assessment]="",Table1[Drug and Alcohol Misuse],Table1[Drug and Alcohol Misuse2]),""))</f>
        <v/>
      </c>
      <c r="GJ286" s="44" t="str">
        <f>IF(Table1[Leaving Date]="","",IF(AND(Table1[Leaving Date]&gt;42460,Table1[Leaving Date]&lt;42826),IF(Table1[Date of Last Assessment]="",Table1[Physical Health],Table1[Physical Health2]),""))</f>
        <v/>
      </c>
      <c r="GK286" s="44" t="str">
        <f>IF(Table1[Leaving Date]="","",IF(AND(Table1[Leaving Date]&gt;42460,Table1[Leaving Date]&lt;42826),IF(Table1[Date of Last Assessment]="",Table1[Emotional and Mental Health],Table1[Emotional and Mental Health2]),""))</f>
        <v/>
      </c>
      <c r="GL286" s="44" t="str">
        <f>IF(Table1[Leaving Date]="","",IF(AND(Table1[Leaving Date]&gt;42460,Table1[Leaving Date]&lt;42826),IF(Table1[Date of Last Assessment]="",Table1[Meaningful Use of Time],Table1[Meaningful Use of Time2]),""))</f>
        <v/>
      </c>
      <c r="GM286" s="44" t="str">
        <f>IF(Table1[Leaving Date]="","",IF(AND(Table1[Leaving Date]&gt;42460,Table1[Leaving Date]&lt;42826),IF(Table1[Date of Last Assessment]="",Table1[Managing Tenancy and Accommodation],Table1[Managing Tenancy and Accommodation2]),""))</f>
        <v/>
      </c>
      <c r="GN286" s="44" t="str">
        <f>IF(Table1[Leaving Date]="","",IF(AND(Table1[Leaving Date]&gt;42460,Table1[Leaving Date]&lt;42826),IF(Table1[Date of Last Assessment]="",Table1[Offending],Table1[Offending2]),""))</f>
        <v/>
      </c>
    </row>
    <row r="287" spans="2:196" ht="20.100000000000001" customHeight="1" x14ac:dyDescent="0.2">
      <c r="B287" s="86">
        <f>+'Service Data'!$C$5:$C$5</f>
        <v>0</v>
      </c>
      <c r="C287" s="86"/>
      <c r="D287" s="86"/>
      <c r="E287" s="86"/>
      <c r="F287" s="86"/>
      <c r="G287" s="86"/>
      <c r="H287" s="6"/>
      <c r="I287" s="99" t="str">
        <f ca="1">IF(Table1[[#This Row],[Date of Birth]]="","",SUM(TODAY()-Table1[[#This Row],[Date of Birth]])/365)</f>
        <v/>
      </c>
      <c r="L287" s="86"/>
      <c r="M287" s="77"/>
      <c r="N287" s="86"/>
      <c r="O287" s="86"/>
      <c r="P287" s="91"/>
      <c r="Q287" s="86"/>
      <c r="R287" s="77"/>
      <c r="S287" s="77"/>
      <c r="T287" s="68"/>
      <c r="U287" s="68"/>
      <c r="V287" s="67"/>
      <c r="W287" s="67"/>
      <c r="X287" s="67"/>
      <c r="Y287" s="67"/>
      <c r="Z287" s="67"/>
      <c r="AA287" s="67"/>
      <c r="AB287" s="67"/>
      <c r="AC287" s="67"/>
      <c r="AD287" s="67"/>
      <c r="AE287" s="67"/>
      <c r="AF287" s="67"/>
      <c r="AG287" s="67"/>
      <c r="AH287" s="67"/>
      <c r="AI287" s="67"/>
      <c r="AJ287" s="67"/>
      <c r="AK287" s="67"/>
      <c r="AL287" s="67"/>
      <c r="AM287" s="67"/>
      <c r="AN287" s="77"/>
      <c r="AO287" s="76"/>
      <c r="AP287" s="77"/>
      <c r="AQ287" s="76"/>
      <c r="AR287" s="76"/>
      <c r="AS287" s="76"/>
      <c r="AT287" s="76"/>
      <c r="AU287" s="76"/>
      <c r="AV287" s="77"/>
      <c r="AW287" s="76"/>
      <c r="AX287" s="77"/>
      <c r="AY287" s="76"/>
      <c r="AZ287" s="76"/>
      <c r="BA287" s="76"/>
      <c r="BB287" s="76"/>
      <c r="BC287" s="76"/>
      <c r="BD287" s="77"/>
      <c r="BE287" s="76"/>
      <c r="BF287" s="77"/>
      <c r="BG287" s="76"/>
      <c r="BH287" s="76"/>
      <c r="BI287" s="76"/>
      <c r="BJ287" s="76"/>
      <c r="BK287" s="76"/>
      <c r="BL287" s="77"/>
      <c r="BM287" s="76"/>
      <c r="BN287" s="77"/>
      <c r="BO287" s="76"/>
      <c r="BP287" s="76"/>
      <c r="BQ287" s="76"/>
      <c r="BR287" s="76"/>
      <c r="BS287" s="76"/>
      <c r="BT287" s="77"/>
      <c r="BU287" s="76"/>
      <c r="BV287" s="77"/>
      <c r="BW287" s="76"/>
      <c r="BX287" s="76"/>
      <c r="BY287" s="76"/>
      <c r="BZ287" s="76"/>
      <c r="CA287" s="76"/>
      <c r="CB287" s="77"/>
      <c r="CC287" s="76"/>
      <c r="CD287" s="77"/>
      <c r="CE287" s="76"/>
      <c r="CF287" s="76"/>
      <c r="CG287" s="76"/>
      <c r="CH287" s="76"/>
      <c r="CI287" s="76"/>
      <c r="CJ287" s="77"/>
      <c r="CK287" s="76"/>
      <c r="CL287" s="77"/>
      <c r="CM287" s="76"/>
      <c r="CN287" s="76"/>
      <c r="CO287" s="76"/>
      <c r="CP287" s="76"/>
      <c r="CQ287" s="76"/>
      <c r="CR287" s="78" t="str">
        <f t="shared" si="79"/>
        <v/>
      </c>
      <c r="CS287" s="79" t="str">
        <f t="shared" si="80"/>
        <v/>
      </c>
      <c r="CT287" s="79" t="str">
        <f t="shared" si="81"/>
        <v/>
      </c>
      <c r="CU287" s="79" t="str">
        <f t="shared" si="82"/>
        <v/>
      </c>
      <c r="CV287" s="79" t="str">
        <f t="shared" si="83"/>
        <v/>
      </c>
      <c r="CW287" s="79" t="str">
        <f t="shared" si="84"/>
        <v/>
      </c>
      <c r="CX287" s="79" t="str">
        <f t="shared" si="85"/>
        <v/>
      </c>
      <c r="CY287" s="79" t="str">
        <f t="shared" si="86"/>
        <v/>
      </c>
      <c r="CZ287" s="79" t="str">
        <f t="shared" si="87"/>
        <v/>
      </c>
      <c r="DA287" s="79" t="str">
        <f t="shared" si="88"/>
        <v/>
      </c>
      <c r="DB287" s="79" t="str">
        <f t="shared" si="89"/>
        <v/>
      </c>
      <c r="DC287" s="79" t="str">
        <f t="shared" si="90"/>
        <v/>
      </c>
      <c r="DD287" s="79" t="str">
        <f t="shared" si="91"/>
        <v/>
      </c>
      <c r="DE287" s="79" t="str">
        <f t="shared" si="92"/>
        <v/>
      </c>
      <c r="DF287" s="79" t="str">
        <f t="shared" si="93"/>
        <v/>
      </c>
      <c r="DG287" s="79" t="str">
        <f t="shared" si="94"/>
        <v/>
      </c>
      <c r="DH287" s="76"/>
      <c r="DI287" s="78"/>
      <c r="DJ287" s="76"/>
      <c r="DK287" s="77"/>
      <c r="DL287" s="77"/>
      <c r="DM287" s="77"/>
      <c r="DN287" s="80"/>
      <c r="DO287" s="80"/>
      <c r="DP287" s="92" t="str">
        <f>IF(Table1[Start Date]="","",IF(Table1[Start Date]&gt;42185,"",IF(AND(Table1[Leaving Date]&gt;1,Table1[Leaving Date]&lt;42095),"",1)))</f>
        <v/>
      </c>
      <c r="DQ287" s="92" t="str">
        <f>IF(Table1[Start Date]="","",IF(Table1[Start Date]&gt;42277,"",IF(AND(Table1[Leaving Date]&gt;1,Table1[Leaving Date]&lt;42186),"",1)))</f>
        <v/>
      </c>
      <c r="DR287" s="92" t="str">
        <f>IF(Table1[Start Date]="","",IF(Table1[Start Date]&gt;42369,"",IF(AND(Table1[Leaving Date]&gt;1,Table1[Leaving Date]&lt;42278),"",1)))</f>
        <v/>
      </c>
      <c r="DS287" s="92" t="str">
        <f>IF(Table1[Start Date]="","",IF(Table1[Start Date]&gt;42460,"",IF(AND(Table1[Leaving Date]&gt;1,Table1[Leaving Date]&lt;42370),"",1)))</f>
        <v/>
      </c>
      <c r="DT287" s="92" t="str">
        <f>IF(Table1[Start Date]="","",IF(Table1[Start Date]&gt;42551,"",IF(AND(Table1[Leaving Date]&gt;1,Table1[Leaving Date]&lt;42461),"",1)))</f>
        <v/>
      </c>
      <c r="DU287" s="92" t="str">
        <f>IF(Table1[Start Date]="","",IF(Table1[Start Date]&gt;42643,"",IF(AND(Table1[Leaving Date]&gt;1,Table1[Leaving Date]&lt;42552),"",1)))</f>
        <v/>
      </c>
      <c r="DV287" s="92" t="str">
        <f>IF(Table1[Start Date]="","",IF(Table1[Start Date]&gt;42735,"",IF(AND(Table1[Leaving Date]&gt;1,Table1[Leaving Date]&lt;42644),"",1)))</f>
        <v/>
      </c>
      <c r="DW287" s="92" t="str">
        <f>IF(Table1[Start Date]="","",IF(Table1[Start Date]&gt;42825,"",IF(AND(Table1[Leaving Date]&gt;1,Table1[Leaving Date]&lt;42736),"",1)))</f>
        <v/>
      </c>
      <c r="DX287"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287" s="44" t="e">
        <f>VLOOKUP(Table1[Referral Source],Lists!$G$2:$H$20,2,FALSE)</f>
        <v>#N/A</v>
      </c>
      <c r="DZ287" s="93" t="e">
        <f>SUM(Table1[Data Referral Quarter]+Table1[Data Referral Source])</f>
        <v>#N/A</v>
      </c>
      <c r="EA287" s="44" t="b">
        <f>IF(Table1[Referral Decision]="Accepted",100,IF(Table1[Referral Decision]="Rejected by Provider",200,IF(Table1[Referral Decision]="Rejected by Applicant",300)))</f>
        <v>0</v>
      </c>
      <c r="EB287" s="44">
        <f>SUM(Table1[Data Referral Quarter]+Table1[Data Referral Decision])</f>
        <v>0</v>
      </c>
      <c r="EC287" s="44" t="b">
        <f>IF(Table1[Start Date]&gt;42735,8000,IF(Table1[Start Date]&gt;42643,7000,IF(Table1[Start Date]&gt;42551,6000,IF(Table1[Start Date]&gt;42460,5000,IF(Table1[Start Date]&gt;42369,4000,IF(Table1[Start Date]&gt;42277,3000,IF(Table1[Start Date]&gt;42185,2000,IF(Table1[Start Date]&gt;42094,1000))))))))</f>
        <v>0</v>
      </c>
      <c r="ED287" s="44" t="str">
        <f>IF(Table1[Start Date]="","",IF(Table1[Current Local Authority]="Swindon",1,"2"))</f>
        <v/>
      </c>
      <c r="EE287" s="44" t="e">
        <f>SUM(Table1[Data Start Date]+Table1[Data Local Authority])</f>
        <v>#VALUE!</v>
      </c>
      <c r="EF287" s="44">
        <f>IF(Table1[Registered with GP]="Yes",1,0)</f>
        <v>0</v>
      </c>
      <c r="EG287" s="44">
        <f>SUM(Table1[Data Start Date]+Table1[Data GP Start])</f>
        <v>0</v>
      </c>
      <c r="EH287" s="44" t="str">
        <f>IF(Table1[EET]="NEET",1,IF(Table1[EET]="Education",2,IF(Table1[EET]="Employment",2,IF(Table1[EET]="Training",2,IF(Table1[EET]="Retired",3,"")))))</f>
        <v/>
      </c>
      <c r="EI287" s="44" t="e">
        <f>Table1[Data Start Date]+Table1[Data EET Start]</f>
        <v>#VALUE!</v>
      </c>
      <c r="EJ287" s="44" t="b">
        <f>IF(Table1[Leaving Date]&gt;42735,8000,IF(Table1[Leaving Date]&gt;42643,7000,IF(Table1[Leaving Date]&gt;42551,6000,IF(Table1[Leaving Date]&gt;42460,5000,IF(Table1[Leaving Date]&gt;42369,4000,IF(Table1[Leaving Date]&gt;42277,3000,IF(Table1[Leaving Date]&gt;42185,2000,IF(Table1[Leaving Date]&gt;42094,1000))))))))</f>
        <v>0</v>
      </c>
      <c r="EK287" s="44" t="e">
        <f>VLOOKUP(Table1[Reason for Leaving],Lists!$T$2:$U$15,2,FALSE)</f>
        <v>#N/A</v>
      </c>
      <c r="EL287" s="44" t="e">
        <f>SUM(Table1[Data Leavers Date]+Table1[Data Move On])</f>
        <v>#N/A</v>
      </c>
      <c r="EM287" s="44" t="b">
        <f>IF(Table1[Registered with GP2]="Yes",1,IF(Table1[Registered with GP2]="No",0,IF(Table1[Registered with GP]="Yes",1,IF(Table1[Registered with GP]="No",0))))</f>
        <v>0</v>
      </c>
      <c r="EN287" s="44">
        <f>SUM(Table1[Data Leavers Date]+Table1[Data GP End])</f>
        <v>0</v>
      </c>
      <c r="EO287" s="44" t="str">
        <f>IF(Table1[EET2]="NEET",1,IF(Table1[EET2]="Employment",2,IF(Table1[EET2]="Education",2,IF(Table1[EET2]="Training",2,IF(Table1[EET2]="Retired",3,IF(Table1[EET]="NEET",1,IF(Table1[EET]="Employment",2,IF(Table1[EET]="Education",2,IF(Table1[EET]="Training",2,IF(Table1[EET]="Retired",3,""))))))))))</f>
        <v/>
      </c>
      <c r="EP287" s="44" t="e">
        <f>+Table1[[#This Row],[Data Leavers Date]]+Table1[[#This Row],[Data EET End]]</f>
        <v>#VALUE!</v>
      </c>
      <c r="EQ287" s="44">
        <f>IF(Table1[Exit Form Received]="Yes",1,0)</f>
        <v>0</v>
      </c>
      <c r="ER287" s="44">
        <f>+Table1[[#This Row],[Data Leavers Date]]+Table1[[#This Row],[Data Exit Forms]]</f>
        <v>0</v>
      </c>
      <c r="ES287" s="44" t="str">
        <f>IF(Table1[Data Leavers Date]=1000,SUM(Table1[Leaving Date]-Table1[Start Date]),"")</f>
        <v/>
      </c>
      <c r="ET287" s="44" t="str">
        <f>IF(Table1[Data Leavers Date]=2000,SUM(Table1[Leaving Date]-Table1[Start Date]),"")</f>
        <v/>
      </c>
      <c r="EU287" s="44" t="str">
        <f>IF(Table1[Data Leavers Date]=3000,SUM(Table1[Leaving Date]-Table1[Start Date]),"")</f>
        <v/>
      </c>
      <c r="EV287" s="44" t="str">
        <f>IF(Table1[Data Leavers Date]=4000,SUM(Table1[Leaving Date]-Table1[Start Date]),"")</f>
        <v/>
      </c>
      <c r="EW287" s="44" t="str">
        <f>IF(Table1[Data Leavers Date]=5000,SUM(Table1[Leaving Date]-Table1[Start Date]),"")</f>
        <v/>
      </c>
      <c r="EX287" s="44" t="str">
        <f>IF(Table1[Data Leavers Date]=6000,SUM(Table1[Leaving Date]-Table1[Start Date]),"")</f>
        <v/>
      </c>
      <c r="EY287" s="44" t="str">
        <f>IF(Table1[Data Leavers Date]=7000,SUM(Table1[Leaving Date]-Table1[Start Date]),"")</f>
        <v/>
      </c>
      <c r="EZ287" s="44" t="str">
        <f>IF(Table1[Data Leavers Date]=8000,SUM(Table1[Leaving Date]-Table1[Start Date]),"")</f>
        <v/>
      </c>
      <c r="FA287" s="44" t="str">
        <f>IF(Table1[Date of Initial Assessment]="","",IF(AND(Table1[Start Date]&gt;42094,Table1[Start Date]&lt;42461),Table1[Motivation and Taking Responsibility],""))</f>
        <v/>
      </c>
      <c r="FB287" s="44" t="str">
        <f>IF(Table1[Date of Initial Assessment]="","",IF(AND(Table1[Start Date]&gt;42094,Table1[Start Date]&lt;42461),Table1[Self-Care and Living Skills],""))</f>
        <v/>
      </c>
      <c r="FC287" s="44" t="str">
        <f>IF(Table1[Date of Initial Assessment]="","",IF(AND(Table1[Start Date]&gt;42094,Table1[Start Date]&lt;42461),Table1[Managing Money and Personal Administration],""))</f>
        <v/>
      </c>
      <c r="FD287" s="44" t="str">
        <f>IF(Table1[Date of Initial Assessment]="","",IF(AND(Table1[Start Date]&gt;42094,Table1[Start Date]&lt;42461),Table1[Social Networks and Relationships],""))</f>
        <v/>
      </c>
      <c r="FE287" s="44" t="str">
        <f>IF(Table1[Date of Initial Assessment]="","",IF(AND(Table1[Start Date]&gt;42094,Table1[Start Date]&lt;42461),Table1[Drug and Alcohol Misuse],""))</f>
        <v/>
      </c>
      <c r="FF287" s="44" t="str">
        <f>IF(Table1[Date of Initial Assessment]="","",IF(AND(Table1[Start Date]&gt;42094,Table1[Start Date]&lt;42461),Table1[Physical Health],""))</f>
        <v/>
      </c>
      <c r="FG287" s="44" t="str">
        <f>IF(Table1[Date of Initial Assessment]="","",IF(AND(Table1[Start Date]&gt;42094,Table1[Start Date]&lt;42461),Table1[Emotional and Mental Health],""))</f>
        <v/>
      </c>
      <c r="FH287" s="44" t="str">
        <f>IF(Table1[Date of Initial Assessment]="","",IF(AND(Table1[Start Date]&gt;42094,Table1[Start Date]&lt;42461),Table1[Meaningful Use of Time],""))</f>
        <v/>
      </c>
      <c r="FI287" s="44" t="str">
        <f>IF(Table1[Date of Initial Assessment]="","",IF(AND(Table1[Start Date]&gt;42094,Table1[Start Date]&lt;42461),Table1[Managing Tenancy and Accommodation],""))</f>
        <v/>
      </c>
      <c r="FJ287" s="44" t="str">
        <f>IF(Table1[Date of Initial Assessment]="","",IF(AND(Table1[Start Date]&gt;42094,Table1[Start Date]&lt;42461),Table1[Offending],""))</f>
        <v/>
      </c>
      <c r="FK287" s="44" t="str">
        <f>IF(Table1[Leaving Date]="","",IF(Table1[Date of Initial Assessment]="","",IF(AND(Table1[Leaving Date]&gt;42094,Table1[Leaving Date]&lt;42461),IF(Table1[Date of Last Assessment]="",Table1[Motivation and Taking Responsibility],Table1[Motivation and Taking Responsibility2]),"")))</f>
        <v/>
      </c>
      <c r="FL287" s="44" t="str">
        <f>IF(Table1[Leaving Date]="","",IF(Table1[Date of Initial Assessment]="","",IF(AND(Table1[Leaving Date]&gt;42094,Table1[Leaving Date]&lt;42461),IF(Table1[Date of Last Assessment]="",Table1[Self-Care and Living Skills],Table1[Self-Care and Living Skills2]),"")))</f>
        <v/>
      </c>
      <c r="FM287" s="44" t="str">
        <f>IF(Table1[Leaving Date]="","",IF(Table1[Date of Initial Assessment]="","",IF(AND(Table1[Leaving Date]&gt;42094,Table1[Leaving Date]&lt;42461),IF(Table1[Date of Last Assessment]="",Table1[Managing Money and Personal Administration],Table1[Managing Money and Personal Administration2]),"")))</f>
        <v/>
      </c>
      <c r="FN287" s="44" t="str">
        <f>IF(Table1[Leaving Date]="","",IF(Table1[Date of Initial Assessment]="","",IF(AND(Table1[Leaving Date]&gt;42094,Table1[Leaving Date]&lt;42461),IF(Table1[Date of Last Assessment]="",Table1[Social Networks and Relationships],Table1[Social Networks and Relationships2]),"")))</f>
        <v/>
      </c>
      <c r="FO287" s="44" t="str">
        <f>IF(Table1[Leaving Date]="","",IF(Table1[Date of Initial Assessment]="","",IF(AND(Table1[Leaving Date]&gt;42094,Table1[Leaving Date]&lt;42461),IF(Table1[Date of Last Assessment]="",Table1[Drug and Alcohol Misuse],Table1[Drug and Alcohol Misuse2]),"")))</f>
        <v/>
      </c>
      <c r="FP287" s="44" t="str">
        <f>IF(Table1[Leaving Date]="","",IF(Table1[Date of Initial Assessment]="","",IF(AND(Table1[Leaving Date]&gt;42094,Table1[Leaving Date]&lt;42461),IF(Table1[Date of Last Assessment]="",Table1[Physical Health],Table1[Physical Health2]),"")))</f>
        <v/>
      </c>
      <c r="FQ287" s="44" t="str">
        <f>IF(Table1[Leaving Date]="","",IF(Table1[Date of Initial Assessment]="","",IF(AND(Table1[Leaving Date]&gt;42094,Table1[Leaving Date]&lt;42461),IF(Table1[Date of Last Assessment]="",Table1[Emotional and Mental Health],Table1[Emotional and Mental Health2]),"")))</f>
        <v/>
      </c>
      <c r="FR287" s="44" t="str">
        <f>IF(Table1[Leaving Date]="","",IF(Table1[Date of Initial Assessment]="","",IF(AND(Table1[Leaving Date]&gt;42094,Table1[Leaving Date]&lt;42461),IF(Table1[Date of Last Assessment]="",Table1[Meaningful Use of Time],Table1[Meaningful Use of Time2]),"")))</f>
        <v/>
      </c>
      <c r="FS287" s="44" t="str">
        <f>IF(Table1[Leaving Date]="","",IF(Table1[Date of Initial Assessment]="","",IF(AND(Table1[Leaving Date]&gt;42094,Table1[Leaving Date]&lt;42461),IF(Table1[Date of Last Assessment]="",Table1[Managing Tenancy and Accommodation],Table1[Managing Tenancy and Accommodation2]),"")))</f>
        <v/>
      </c>
      <c r="FT287" s="44" t="str">
        <f>IF(Table1[Leaving Date]="","",IF(Table1[Date of Initial Assessment]="","",IF(AND(Table1[Leaving Date]&gt;42094,Table1[Leaving Date]&lt;42461),IF(Table1[Date of Last Assessment]="",Table1[Offending],Table1[Offending2]),"")))</f>
        <v/>
      </c>
      <c r="FU287" s="44" t="str">
        <f>IF(Table1[Date of Initial Assessment]="","",IF(AND(Table1[Start Date]&gt;42460,Table1[Start Date]&lt;42826),Table1[Motivation and Taking Responsibility],""))</f>
        <v/>
      </c>
      <c r="FV287" s="44" t="str">
        <f>IF(Table1[Date of Initial Assessment]="","",IF(AND(Table1[Start Date]&gt;42460,Table1[Start Date]&lt;42826),Table1[Self-Care and Living Skills],""))</f>
        <v/>
      </c>
      <c r="FW287" s="44" t="str">
        <f>IF(Table1[Date of Initial Assessment]="","",IF(AND(Table1[Start Date]&gt;42460,Table1[Start Date]&lt;42826),Table1[Managing Money and Personal Administration],""))</f>
        <v/>
      </c>
      <c r="FX287" s="44" t="str">
        <f>IF(Table1[Date of Initial Assessment]="","",IF(AND(Table1[Start Date]&gt;42460,Table1[Start Date]&lt;42826),Table1[Social Networks and Relationships],""))</f>
        <v/>
      </c>
      <c r="FY287" s="44" t="str">
        <f>IF(Table1[Date of Initial Assessment]="","",IF(AND(Table1[Start Date]&gt;42460,Table1[Start Date]&lt;42826),Table1[Drug and Alcohol Misuse],""))</f>
        <v/>
      </c>
      <c r="FZ287" s="44" t="str">
        <f>IF(Table1[Date of Initial Assessment]="","",IF(AND(Table1[Start Date]&gt;42460,Table1[Start Date]&lt;42826),Table1[Physical Health],""))</f>
        <v/>
      </c>
      <c r="GA287" s="44" t="str">
        <f>IF(Table1[Date of Initial Assessment]="","",IF(AND(Table1[Start Date]&gt;42460,Table1[Start Date]&lt;42826),Table1[Emotional and Mental Health],""))</f>
        <v/>
      </c>
      <c r="GB287" s="44" t="str">
        <f>IF(Table1[Date of Initial Assessment]="","",IF(AND(Table1[Start Date]&gt;42460,Table1[Start Date]&lt;42826),Table1[Meaningful Use of Time],""))</f>
        <v/>
      </c>
      <c r="GC287" s="44" t="str">
        <f>IF(Table1[Date of Initial Assessment]="","",IF(AND(Table1[Start Date]&gt;42460,Table1[Start Date]&lt;42826),Table1[Managing Tenancy and Accommodation],""))</f>
        <v/>
      </c>
      <c r="GD287" s="44" t="str">
        <f>IF(Table1[Date of Initial Assessment]="","",IF(AND(Table1[Start Date]&gt;42460,Table1[Start Date]&lt;42826),Table1[Offending],""))</f>
        <v/>
      </c>
      <c r="GE287" s="44" t="str">
        <f>IF(Table1[Leaving Date]="","",IF(AND(Table1[Leaving Date]&gt;42460,Table1[Leaving Date]&lt;42826),IF(Table1[Date of Last Assessment]="",Table1[Motivation and Taking Responsibility],Table1[Motivation and Taking Responsibility2]),""))</f>
        <v/>
      </c>
      <c r="GF287" s="44" t="str">
        <f>IF(Table1[Leaving Date]="","",IF(AND(Table1[Leaving Date]&gt;42460,Table1[Leaving Date]&lt;42826),IF(Table1[Date of Last Assessment]="",Table1[Self-Care and Living Skills],Table1[Self-Care and Living Skills2]),""))</f>
        <v/>
      </c>
      <c r="GG287" s="44" t="str">
        <f>IF(Table1[Leaving Date]="","",IF(AND(Table1[Leaving Date]&gt;42460,Table1[Leaving Date]&lt;42826),IF(Table1[Date of Last Assessment]="",Table1[Managing Money and Personal Administration],Table1[Managing Money and Personal Administration2]),""))</f>
        <v/>
      </c>
      <c r="GH287" s="44" t="str">
        <f>IF(Table1[Leaving Date]="","",IF(AND(Table1[Leaving Date]&gt;42460,Table1[Leaving Date]&lt;42826),IF(Table1[Date of Last Assessment]="",Table1[Social Networks and Relationships],Table1[Social Networks and Relationships2]),""))</f>
        <v/>
      </c>
      <c r="GI287" s="44" t="str">
        <f>IF(Table1[Leaving Date]="","",IF(AND(Table1[Leaving Date]&gt;42460,Table1[Leaving Date]&lt;42826),IF(Table1[Date of Last Assessment]="",Table1[Drug and Alcohol Misuse],Table1[Drug and Alcohol Misuse2]),""))</f>
        <v/>
      </c>
      <c r="GJ287" s="44" t="str">
        <f>IF(Table1[Leaving Date]="","",IF(AND(Table1[Leaving Date]&gt;42460,Table1[Leaving Date]&lt;42826),IF(Table1[Date of Last Assessment]="",Table1[Physical Health],Table1[Physical Health2]),""))</f>
        <v/>
      </c>
      <c r="GK287" s="44" t="str">
        <f>IF(Table1[Leaving Date]="","",IF(AND(Table1[Leaving Date]&gt;42460,Table1[Leaving Date]&lt;42826),IF(Table1[Date of Last Assessment]="",Table1[Emotional and Mental Health],Table1[Emotional and Mental Health2]),""))</f>
        <v/>
      </c>
      <c r="GL287" s="44" t="str">
        <f>IF(Table1[Leaving Date]="","",IF(AND(Table1[Leaving Date]&gt;42460,Table1[Leaving Date]&lt;42826),IF(Table1[Date of Last Assessment]="",Table1[Meaningful Use of Time],Table1[Meaningful Use of Time2]),""))</f>
        <v/>
      </c>
      <c r="GM287" s="44" t="str">
        <f>IF(Table1[Leaving Date]="","",IF(AND(Table1[Leaving Date]&gt;42460,Table1[Leaving Date]&lt;42826),IF(Table1[Date of Last Assessment]="",Table1[Managing Tenancy and Accommodation],Table1[Managing Tenancy and Accommodation2]),""))</f>
        <v/>
      </c>
      <c r="GN287" s="44" t="str">
        <f>IF(Table1[Leaving Date]="","",IF(AND(Table1[Leaving Date]&gt;42460,Table1[Leaving Date]&lt;42826),IF(Table1[Date of Last Assessment]="",Table1[Offending],Table1[Offending2]),""))</f>
        <v/>
      </c>
    </row>
    <row r="288" spans="2:196" ht="20.100000000000001" customHeight="1" x14ac:dyDescent="0.2">
      <c r="B288" s="86">
        <f>+'Service Data'!$C$5:$C$5</f>
        <v>0</v>
      </c>
      <c r="C288" s="86"/>
      <c r="D288" s="86"/>
      <c r="E288" s="86"/>
      <c r="F288" s="86"/>
      <c r="G288" s="86"/>
      <c r="H288" s="6"/>
      <c r="I288" s="99" t="str">
        <f ca="1">IF(Table1[[#This Row],[Date of Birth]]="","",SUM(TODAY()-Table1[[#This Row],[Date of Birth]])/365)</f>
        <v/>
      </c>
      <c r="L288" s="86"/>
      <c r="M288" s="77"/>
      <c r="N288" s="86"/>
      <c r="O288" s="86"/>
      <c r="P288" s="91"/>
      <c r="Q288" s="86"/>
      <c r="R288" s="77"/>
      <c r="S288" s="77"/>
      <c r="T288" s="68"/>
      <c r="U288" s="68"/>
      <c r="V288" s="67"/>
      <c r="W288" s="67"/>
      <c r="X288" s="67"/>
      <c r="Y288" s="67"/>
      <c r="Z288" s="67"/>
      <c r="AA288" s="67"/>
      <c r="AB288" s="67"/>
      <c r="AC288" s="67"/>
      <c r="AD288" s="67"/>
      <c r="AE288" s="67"/>
      <c r="AF288" s="67"/>
      <c r="AG288" s="67"/>
      <c r="AH288" s="67"/>
      <c r="AI288" s="67"/>
      <c r="AJ288" s="67"/>
      <c r="AK288" s="67"/>
      <c r="AL288" s="67"/>
      <c r="AM288" s="67"/>
      <c r="AN288" s="77"/>
      <c r="AO288" s="76"/>
      <c r="AP288" s="77"/>
      <c r="AQ288" s="76"/>
      <c r="AR288" s="76"/>
      <c r="AS288" s="76"/>
      <c r="AT288" s="76"/>
      <c r="AU288" s="76"/>
      <c r="AV288" s="77"/>
      <c r="AW288" s="76"/>
      <c r="AX288" s="77"/>
      <c r="AY288" s="76"/>
      <c r="AZ288" s="76"/>
      <c r="BA288" s="76"/>
      <c r="BB288" s="76"/>
      <c r="BC288" s="76"/>
      <c r="BD288" s="77"/>
      <c r="BE288" s="76"/>
      <c r="BF288" s="77"/>
      <c r="BG288" s="76"/>
      <c r="BH288" s="76"/>
      <c r="BI288" s="76"/>
      <c r="BJ288" s="76"/>
      <c r="BK288" s="76"/>
      <c r="BL288" s="77"/>
      <c r="BM288" s="76"/>
      <c r="BN288" s="77"/>
      <c r="BO288" s="76"/>
      <c r="BP288" s="76"/>
      <c r="BQ288" s="76"/>
      <c r="BR288" s="76"/>
      <c r="BS288" s="76"/>
      <c r="BT288" s="77"/>
      <c r="BU288" s="76"/>
      <c r="BV288" s="77"/>
      <c r="BW288" s="76"/>
      <c r="BX288" s="76"/>
      <c r="BY288" s="76"/>
      <c r="BZ288" s="76"/>
      <c r="CA288" s="76"/>
      <c r="CB288" s="77"/>
      <c r="CC288" s="76"/>
      <c r="CD288" s="77"/>
      <c r="CE288" s="76"/>
      <c r="CF288" s="76"/>
      <c r="CG288" s="76"/>
      <c r="CH288" s="76"/>
      <c r="CI288" s="76"/>
      <c r="CJ288" s="77"/>
      <c r="CK288" s="76"/>
      <c r="CL288" s="77"/>
      <c r="CM288" s="76"/>
      <c r="CN288" s="76"/>
      <c r="CO288" s="76"/>
      <c r="CP288" s="76"/>
      <c r="CQ288" s="76"/>
      <c r="CR288" s="78" t="str">
        <f t="shared" si="79"/>
        <v/>
      </c>
      <c r="CS288" s="79" t="str">
        <f t="shared" si="80"/>
        <v/>
      </c>
      <c r="CT288" s="79" t="str">
        <f t="shared" si="81"/>
        <v/>
      </c>
      <c r="CU288" s="79" t="str">
        <f t="shared" si="82"/>
        <v/>
      </c>
      <c r="CV288" s="79" t="str">
        <f t="shared" si="83"/>
        <v/>
      </c>
      <c r="CW288" s="79" t="str">
        <f t="shared" si="84"/>
        <v/>
      </c>
      <c r="CX288" s="79" t="str">
        <f t="shared" si="85"/>
        <v/>
      </c>
      <c r="CY288" s="79" t="str">
        <f t="shared" si="86"/>
        <v/>
      </c>
      <c r="CZ288" s="79" t="str">
        <f t="shared" si="87"/>
        <v/>
      </c>
      <c r="DA288" s="79" t="str">
        <f t="shared" si="88"/>
        <v/>
      </c>
      <c r="DB288" s="79" t="str">
        <f t="shared" si="89"/>
        <v/>
      </c>
      <c r="DC288" s="79" t="str">
        <f t="shared" si="90"/>
        <v/>
      </c>
      <c r="DD288" s="79" t="str">
        <f t="shared" si="91"/>
        <v/>
      </c>
      <c r="DE288" s="79" t="str">
        <f t="shared" si="92"/>
        <v/>
      </c>
      <c r="DF288" s="79" t="str">
        <f t="shared" si="93"/>
        <v/>
      </c>
      <c r="DG288" s="79" t="str">
        <f t="shared" si="94"/>
        <v/>
      </c>
      <c r="DH288" s="76"/>
      <c r="DI288" s="78"/>
      <c r="DJ288" s="76"/>
      <c r="DK288" s="77"/>
      <c r="DL288" s="77"/>
      <c r="DM288" s="77"/>
      <c r="DN288" s="80"/>
      <c r="DO288" s="80"/>
      <c r="DP288" s="92" t="str">
        <f>IF(Table1[Start Date]="","",IF(Table1[Start Date]&gt;42185,"",IF(AND(Table1[Leaving Date]&gt;1,Table1[Leaving Date]&lt;42095),"",1)))</f>
        <v/>
      </c>
      <c r="DQ288" s="92" t="str">
        <f>IF(Table1[Start Date]="","",IF(Table1[Start Date]&gt;42277,"",IF(AND(Table1[Leaving Date]&gt;1,Table1[Leaving Date]&lt;42186),"",1)))</f>
        <v/>
      </c>
      <c r="DR288" s="92" t="str">
        <f>IF(Table1[Start Date]="","",IF(Table1[Start Date]&gt;42369,"",IF(AND(Table1[Leaving Date]&gt;1,Table1[Leaving Date]&lt;42278),"",1)))</f>
        <v/>
      </c>
      <c r="DS288" s="92" t="str">
        <f>IF(Table1[Start Date]="","",IF(Table1[Start Date]&gt;42460,"",IF(AND(Table1[Leaving Date]&gt;1,Table1[Leaving Date]&lt;42370),"",1)))</f>
        <v/>
      </c>
      <c r="DT288" s="92" t="str">
        <f>IF(Table1[Start Date]="","",IF(Table1[Start Date]&gt;42551,"",IF(AND(Table1[Leaving Date]&gt;1,Table1[Leaving Date]&lt;42461),"",1)))</f>
        <v/>
      </c>
      <c r="DU288" s="92" t="str">
        <f>IF(Table1[Start Date]="","",IF(Table1[Start Date]&gt;42643,"",IF(AND(Table1[Leaving Date]&gt;1,Table1[Leaving Date]&lt;42552),"",1)))</f>
        <v/>
      </c>
      <c r="DV288" s="92" t="str">
        <f>IF(Table1[Start Date]="","",IF(Table1[Start Date]&gt;42735,"",IF(AND(Table1[Leaving Date]&gt;1,Table1[Leaving Date]&lt;42644),"",1)))</f>
        <v/>
      </c>
      <c r="DW288" s="92" t="str">
        <f>IF(Table1[Start Date]="","",IF(Table1[Start Date]&gt;42825,"",IF(AND(Table1[Leaving Date]&gt;1,Table1[Leaving Date]&lt;42736),"",1)))</f>
        <v/>
      </c>
      <c r="DX288"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288" s="44" t="e">
        <f>VLOOKUP(Table1[Referral Source],Lists!$G$2:$H$20,2,FALSE)</f>
        <v>#N/A</v>
      </c>
      <c r="DZ288" s="93" t="e">
        <f>SUM(Table1[Data Referral Quarter]+Table1[Data Referral Source])</f>
        <v>#N/A</v>
      </c>
      <c r="EA288" s="44" t="b">
        <f>IF(Table1[Referral Decision]="Accepted",100,IF(Table1[Referral Decision]="Rejected by Provider",200,IF(Table1[Referral Decision]="Rejected by Applicant",300)))</f>
        <v>0</v>
      </c>
      <c r="EB288" s="44">
        <f>SUM(Table1[Data Referral Quarter]+Table1[Data Referral Decision])</f>
        <v>0</v>
      </c>
      <c r="EC288" s="44" t="b">
        <f>IF(Table1[Start Date]&gt;42735,8000,IF(Table1[Start Date]&gt;42643,7000,IF(Table1[Start Date]&gt;42551,6000,IF(Table1[Start Date]&gt;42460,5000,IF(Table1[Start Date]&gt;42369,4000,IF(Table1[Start Date]&gt;42277,3000,IF(Table1[Start Date]&gt;42185,2000,IF(Table1[Start Date]&gt;42094,1000))))))))</f>
        <v>0</v>
      </c>
      <c r="ED288" s="44" t="str">
        <f>IF(Table1[Start Date]="","",IF(Table1[Current Local Authority]="Swindon",1,"2"))</f>
        <v/>
      </c>
      <c r="EE288" s="44" t="e">
        <f>SUM(Table1[Data Start Date]+Table1[Data Local Authority])</f>
        <v>#VALUE!</v>
      </c>
      <c r="EF288" s="44">
        <f>IF(Table1[Registered with GP]="Yes",1,0)</f>
        <v>0</v>
      </c>
      <c r="EG288" s="44">
        <f>SUM(Table1[Data Start Date]+Table1[Data GP Start])</f>
        <v>0</v>
      </c>
      <c r="EH288" s="44" t="str">
        <f>IF(Table1[EET]="NEET",1,IF(Table1[EET]="Education",2,IF(Table1[EET]="Employment",2,IF(Table1[EET]="Training",2,IF(Table1[EET]="Retired",3,"")))))</f>
        <v/>
      </c>
      <c r="EI288" s="44" t="e">
        <f>Table1[Data Start Date]+Table1[Data EET Start]</f>
        <v>#VALUE!</v>
      </c>
      <c r="EJ288" s="44" t="b">
        <f>IF(Table1[Leaving Date]&gt;42735,8000,IF(Table1[Leaving Date]&gt;42643,7000,IF(Table1[Leaving Date]&gt;42551,6000,IF(Table1[Leaving Date]&gt;42460,5000,IF(Table1[Leaving Date]&gt;42369,4000,IF(Table1[Leaving Date]&gt;42277,3000,IF(Table1[Leaving Date]&gt;42185,2000,IF(Table1[Leaving Date]&gt;42094,1000))))))))</f>
        <v>0</v>
      </c>
      <c r="EK288" s="44" t="e">
        <f>VLOOKUP(Table1[Reason for Leaving],Lists!$T$2:$U$15,2,FALSE)</f>
        <v>#N/A</v>
      </c>
      <c r="EL288" s="44" t="e">
        <f>SUM(Table1[Data Leavers Date]+Table1[Data Move On])</f>
        <v>#N/A</v>
      </c>
      <c r="EM288" s="44" t="b">
        <f>IF(Table1[Registered with GP2]="Yes",1,IF(Table1[Registered with GP2]="No",0,IF(Table1[Registered with GP]="Yes",1,IF(Table1[Registered with GP]="No",0))))</f>
        <v>0</v>
      </c>
      <c r="EN288" s="44">
        <f>SUM(Table1[Data Leavers Date]+Table1[Data GP End])</f>
        <v>0</v>
      </c>
      <c r="EO288" s="44" t="str">
        <f>IF(Table1[EET2]="NEET",1,IF(Table1[EET2]="Employment",2,IF(Table1[EET2]="Education",2,IF(Table1[EET2]="Training",2,IF(Table1[EET2]="Retired",3,IF(Table1[EET]="NEET",1,IF(Table1[EET]="Employment",2,IF(Table1[EET]="Education",2,IF(Table1[EET]="Training",2,IF(Table1[EET]="Retired",3,""))))))))))</f>
        <v/>
      </c>
      <c r="EP288" s="44" t="e">
        <f>+Table1[[#This Row],[Data Leavers Date]]+Table1[[#This Row],[Data EET End]]</f>
        <v>#VALUE!</v>
      </c>
      <c r="EQ288" s="44">
        <f>IF(Table1[Exit Form Received]="Yes",1,0)</f>
        <v>0</v>
      </c>
      <c r="ER288" s="44">
        <f>+Table1[[#This Row],[Data Leavers Date]]+Table1[[#This Row],[Data Exit Forms]]</f>
        <v>0</v>
      </c>
      <c r="ES288" s="44" t="str">
        <f>IF(Table1[Data Leavers Date]=1000,SUM(Table1[Leaving Date]-Table1[Start Date]),"")</f>
        <v/>
      </c>
      <c r="ET288" s="44" t="str">
        <f>IF(Table1[Data Leavers Date]=2000,SUM(Table1[Leaving Date]-Table1[Start Date]),"")</f>
        <v/>
      </c>
      <c r="EU288" s="44" t="str">
        <f>IF(Table1[Data Leavers Date]=3000,SUM(Table1[Leaving Date]-Table1[Start Date]),"")</f>
        <v/>
      </c>
      <c r="EV288" s="44" t="str">
        <f>IF(Table1[Data Leavers Date]=4000,SUM(Table1[Leaving Date]-Table1[Start Date]),"")</f>
        <v/>
      </c>
      <c r="EW288" s="44" t="str">
        <f>IF(Table1[Data Leavers Date]=5000,SUM(Table1[Leaving Date]-Table1[Start Date]),"")</f>
        <v/>
      </c>
      <c r="EX288" s="44" t="str">
        <f>IF(Table1[Data Leavers Date]=6000,SUM(Table1[Leaving Date]-Table1[Start Date]),"")</f>
        <v/>
      </c>
      <c r="EY288" s="44" t="str">
        <f>IF(Table1[Data Leavers Date]=7000,SUM(Table1[Leaving Date]-Table1[Start Date]),"")</f>
        <v/>
      </c>
      <c r="EZ288" s="44" t="str">
        <f>IF(Table1[Data Leavers Date]=8000,SUM(Table1[Leaving Date]-Table1[Start Date]),"")</f>
        <v/>
      </c>
      <c r="FA288" s="44" t="str">
        <f>IF(Table1[Date of Initial Assessment]="","",IF(AND(Table1[Start Date]&gt;42094,Table1[Start Date]&lt;42461),Table1[Motivation and Taking Responsibility],""))</f>
        <v/>
      </c>
      <c r="FB288" s="44" t="str">
        <f>IF(Table1[Date of Initial Assessment]="","",IF(AND(Table1[Start Date]&gt;42094,Table1[Start Date]&lt;42461),Table1[Self-Care and Living Skills],""))</f>
        <v/>
      </c>
      <c r="FC288" s="44" t="str">
        <f>IF(Table1[Date of Initial Assessment]="","",IF(AND(Table1[Start Date]&gt;42094,Table1[Start Date]&lt;42461),Table1[Managing Money and Personal Administration],""))</f>
        <v/>
      </c>
      <c r="FD288" s="44" t="str">
        <f>IF(Table1[Date of Initial Assessment]="","",IF(AND(Table1[Start Date]&gt;42094,Table1[Start Date]&lt;42461),Table1[Social Networks and Relationships],""))</f>
        <v/>
      </c>
      <c r="FE288" s="44" t="str">
        <f>IF(Table1[Date of Initial Assessment]="","",IF(AND(Table1[Start Date]&gt;42094,Table1[Start Date]&lt;42461),Table1[Drug and Alcohol Misuse],""))</f>
        <v/>
      </c>
      <c r="FF288" s="44" t="str">
        <f>IF(Table1[Date of Initial Assessment]="","",IF(AND(Table1[Start Date]&gt;42094,Table1[Start Date]&lt;42461),Table1[Physical Health],""))</f>
        <v/>
      </c>
      <c r="FG288" s="44" t="str">
        <f>IF(Table1[Date of Initial Assessment]="","",IF(AND(Table1[Start Date]&gt;42094,Table1[Start Date]&lt;42461),Table1[Emotional and Mental Health],""))</f>
        <v/>
      </c>
      <c r="FH288" s="44" t="str">
        <f>IF(Table1[Date of Initial Assessment]="","",IF(AND(Table1[Start Date]&gt;42094,Table1[Start Date]&lt;42461),Table1[Meaningful Use of Time],""))</f>
        <v/>
      </c>
      <c r="FI288" s="44" t="str">
        <f>IF(Table1[Date of Initial Assessment]="","",IF(AND(Table1[Start Date]&gt;42094,Table1[Start Date]&lt;42461),Table1[Managing Tenancy and Accommodation],""))</f>
        <v/>
      </c>
      <c r="FJ288" s="44" t="str">
        <f>IF(Table1[Date of Initial Assessment]="","",IF(AND(Table1[Start Date]&gt;42094,Table1[Start Date]&lt;42461),Table1[Offending],""))</f>
        <v/>
      </c>
      <c r="FK288" s="44" t="str">
        <f>IF(Table1[Leaving Date]="","",IF(Table1[Date of Initial Assessment]="","",IF(AND(Table1[Leaving Date]&gt;42094,Table1[Leaving Date]&lt;42461),IF(Table1[Date of Last Assessment]="",Table1[Motivation and Taking Responsibility],Table1[Motivation and Taking Responsibility2]),"")))</f>
        <v/>
      </c>
      <c r="FL288" s="44" t="str">
        <f>IF(Table1[Leaving Date]="","",IF(Table1[Date of Initial Assessment]="","",IF(AND(Table1[Leaving Date]&gt;42094,Table1[Leaving Date]&lt;42461),IF(Table1[Date of Last Assessment]="",Table1[Self-Care and Living Skills],Table1[Self-Care and Living Skills2]),"")))</f>
        <v/>
      </c>
      <c r="FM288" s="44" t="str">
        <f>IF(Table1[Leaving Date]="","",IF(Table1[Date of Initial Assessment]="","",IF(AND(Table1[Leaving Date]&gt;42094,Table1[Leaving Date]&lt;42461),IF(Table1[Date of Last Assessment]="",Table1[Managing Money and Personal Administration],Table1[Managing Money and Personal Administration2]),"")))</f>
        <v/>
      </c>
      <c r="FN288" s="44" t="str">
        <f>IF(Table1[Leaving Date]="","",IF(Table1[Date of Initial Assessment]="","",IF(AND(Table1[Leaving Date]&gt;42094,Table1[Leaving Date]&lt;42461),IF(Table1[Date of Last Assessment]="",Table1[Social Networks and Relationships],Table1[Social Networks and Relationships2]),"")))</f>
        <v/>
      </c>
      <c r="FO288" s="44" t="str">
        <f>IF(Table1[Leaving Date]="","",IF(Table1[Date of Initial Assessment]="","",IF(AND(Table1[Leaving Date]&gt;42094,Table1[Leaving Date]&lt;42461),IF(Table1[Date of Last Assessment]="",Table1[Drug and Alcohol Misuse],Table1[Drug and Alcohol Misuse2]),"")))</f>
        <v/>
      </c>
      <c r="FP288" s="44" t="str">
        <f>IF(Table1[Leaving Date]="","",IF(Table1[Date of Initial Assessment]="","",IF(AND(Table1[Leaving Date]&gt;42094,Table1[Leaving Date]&lt;42461),IF(Table1[Date of Last Assessment]="",Table1[Physical Health],Table1[Physical Health2]),"")))</f>
        <v/>
      </c>
      <c r="FQ288" s="44" t="str">
        <f>IF(Table1[Leaving Date]="","",IF(Table1[Date of Initial Assessment]="","",IF(AND(Table1[Leaving Date]&gt;42094,Table1[Leaving Date]&lt;42461),IF(Table1[Date of Last Assessment]="",Table1[Emotional and Mental Health],Table1[Emotional and Mental Health2]),"")))</f>
        <v/>
      </c>
      <c r="FR288" s="44" t="str">
        <f>IF(Table1[Leaving Date]="","",IF(Table1[Date of Initial Assessment]="","",IF(AND(Table1[Leaving Date]&gt;42094,Table1[Leaving Date]&lt;42461),IF(Table1[Date of Last Assessment]="",Table1[Meaningful Use of Time],Table1[Meaningful Use of Time2]),"")))</f>
        <v/>
      </c>
      <c r="FS288" s="44" t="str">
        <f>IF(Table1[Leaving Date]="","",IF(Table1[Date of Initial Assessment]="","",IF(AND(Table1[Leaving Date]&gt;42094,Table1[Leaving Date]&lt;42461),IF(Table1[Date of Last Assessment]="",Table1[Managing Tenancy and Accommodation],Table1[Managing Tenancy and Accommodation2]),"")))</f>
        <v/>
      </c>
      <c r="FT288" s="44" t="str">
        <f>IF(Table1[Leaving Date]="","",IF(Table1[Date of Initial Assessment]="","",IF(AND(Table1[Leaving Date]&gt;42094,Table1[Leaving Date]&lt;42461),IF(Table1[Date of Last Assessment]="",Table1[Offending],Table1[Offending2]),"")))</f>
        <v/>
      </c>
      <c r="FU288" s="44" t="str">
        <f>IF(Table1[Date of Initial Assessment]="","",IF(AND(Table1[Start Date]&gt;42460,Table1[Start Date]&lt;42826),Table1[Motivation and Taking Responsibility],""))</f>
        <v/>
      </c>
      <c r="FV288" s="44" t="str">
        <f>IF(Table1[Date of Initial Assessment]="","",IF(AND(Table1[Start Date]&gt;42460,Table1[Start Date]&lt;42826),Table1[Self-Care and Living Skills],""))</f>
        <v/>
      </c>
      <c r="FW288" s="44" t="str">
        <f>IF(Table1[Date of Initial Assessment]="","",IF(AND(Table1[Start Date]&gt;42460,Table1[Start Date]&lt;42826),Table1[Managing Money and Personal Administration],""))</f>
        <v/>
      </c>
      <c r="FX288" s="44" t="str">
        <f>IF(Table1[Date of Initial Assessment]="","",IF(AND(Table1[Start Date]&gt;42460,Table1[Start Date]&lt;42826),Table1[Social Networks and Relationships],""))</f>
        <v/>
      </c>
      <c r="FY288" s="44" t="str">
        <f>IF(Table1[Date of Initial Assessment]="","",IF(AND(Table1[Start Date]&gt;42460,Table1[Start Date]&lt;42826),Table1[Drug and Alcohol Misuse],""))</f>
        <v/>
      </c>
      <c r="FZ288" s="44" t="str">
        <f>IF(Table1[Date of Initial Assessment]="","",IF(AND(Table1[Start Date]&gt;42460,Table1[Start Date]&lt;42826),Table1[Physical Health],""))</f>
        <v/>
      </c>
      <c r="GA288" s="44" t="str">
        <f>IF(Table1[Date of Initial Assessment]="","",IF(AND(Table1[Start Date]&gt;42460,Table1[Start Date]&lt;42826),Table1[Emotional and Mental Health],""))</f>
        <v/>
      </c>
      <c r="GB288" s="44" t="str">
        <f>IF(Table1[Date of Initial Assessment]="","",IF(AND(Table1[Start Date]&gt;42460,Table1[Start Date]&lt;42826),Table1[Meaningful Use of Time],""))</f>
        <v/>
      </c>
      <c r="GC288" s="44" t="str">
        <f>IF(Table1[Date of Initial Assessment]="","",IF(AND(Table1[Start Date]&gt;42460,Table1[Start Date]&lt;42826),Table1[Managing Tenancy and Accommodation],""))</f>
        <v/>
      </c>
      <c r="GD288" s="44" t="str">
        <f>IF(Table1[Date of Initial Assessment]="","",IF(AND(Table1[Start Date]&gt;42460,Table1[Start Date]&lt;42826),Table1[Offending],""))</f>
        <v/>
      </c>
      <c r="GE288" s="44" t="str">
        <f>IF(Table1[Leaving Date]="","",IF(AND(Table1[Leaving Date]&gt;42460,Table1[Leaving Date]&lt;42826),IF(Table1[Date of Last Assessment]="",Table1[Motivation and Taking Responsibility],Table1[Motivation and Taking Responsibility2]),""))</f>
        <v/>
      </c>
      <c r="GF288" s="44" t="str">
        <f>IF(Table1[Leaving Date]="","",IF(AND(Table1[Leaving Date]&gt;42460,Table1[Leaving Date]&lt;42826),IF(Table1[Date of Last Assessment]="",Table1[Self-Care and Living Skills],Table1[Self-Care and Living Skills2]),""))</f>
        <v/>
      </c>
      <c r="GG288" s="44" t="str">
        <f>IF(Table1[Leaving Date]="","",IF(AND(Table1[Leaving Date]&gt;42460,Table1[Leaving Date]&lt;42826),IF(Table1[Date of Last Assessment]="",Table1[Managing Money and Personal Administration],Table1[Managing Money and Personal Administration2]),""))</f>
        <v/>
      </c>
      <c r="GH288" s="44" t="str">
        <f>IF(Table1[Leaving Date]="","",IF(AND(Table1[Leaving Date]&gt;42460,Table1[Leaving Date]&lt;42826),IF(Table1[Date of Last Assessment]="",Table1[Social Networks and Relationships],Table1[Social Networks and Relationships2]),""))</f>
        <v/>
      </c>
      <c r="GI288" s="44" t="str">
        <f>IF(Table1[Leaving Date]="","",IF(AND(Table1[Leaving Date]&gt;42460,Table1[Leaving Date]&lt;42826),IF(Table1[Date of Last Assessment]="",Table1[Drug and Alcohol Misuse],Table1[Drug and Alcohol Misuse2]),""))</f>
        <v/>
      </c>
      <c r="GJ288" s="44" t="str">
        <f>IF(Table1[Leaving Date]="","",IF(AND(Table1[Leaving Date]&gt;42460,Table1[Leaving Date]&lt;42826),IF(Table1[Date of Last Assessment]="",Table1[Physical Health],Table1[Physical Health2]),""))</f>
        <v/>
      </c>
      <c r="GK288" s="44" t="str">
        <f>IF(Table1[Leaving Date]="","",IF(AND(Table1[Leaving Date]&gt;42460,Table1[Leaving Date]&lt;42826),IF(Table1[Date of Last Assessment]="",Table1[Emotional and Mental Health],Table1[Emotional and Mental Health2]),""))</f>
        <v/>
      </c>
      <c r="GL288" s="44" t="str">
        <f>IF(Table1[Leaving Date]="","",IF(AND(Table1[Leaving Date]&gt;42460,Table1[Leaving Date]&lt;42826),IF(Table1[Date of Last Assessment]="",Table1[Meaningful Use of Time],Table1[Meaningful Use of Time2]),""))</f>
        <v/>
      </c>
      <c r="GM288" s="44" t="str">
        <f>IF(Table1[Leaving Date]="","",IF(AND(Table1[Leaving Date]&gt;42460,Table1[Leaving Date]&lt;42826),IF(Table1[Date of Last Assessment]="",Table1[Managing Tenancy and Accommodation],Table1[Managing Tenancy and Accommodation2]),""))</f>
        <v/>
      </c>
      <c r="GN288" s="44" t="str">
        <f>IF(Table1[Leaving Date]="","",IF(AND(Table1[Leaving Date]&gt;42460,Table1[Leaving Date]&lt;42826),IF(Table1[Date of Last Assessment]="",Table1[Offending],Table1[Offending2]),""))</f>
        <v/>
      </c>
    </row>
    <row r="289" spans="2:196" ht="20.100000000000001" customHeight="1" x14ac:dyDescent="0.2">
      <c r="B289" s="86">
        <f>+'Service Data'!$C$5:$C$5</f>
        <v>0</v>
      </c>
      <c r="C289" s="86"/>
      <c r="D289" s="86"/>
      <c r="E289" s="86"/>
      <c r="F289" s="86"/>
      <c r="G289" s="86"/>
      <c r="H289" s="6"/>
      <c r="I289" s="99" t="str">
        <f ca="1">IF(Table1[[#This Row],[Date of Birth]]="","",SUM(TODAY()-Table1[[#This Row],[Date of Birth]])/365)</f>
        <v/>
      </c>
      <c r="L289" s="86"/>
      <c r="M289" s="77"/>
      <c r="N289" s="86"/>
      <c r="O289" s="86"/>
      <c r="P289" s="91"/>
      <c r="Q289" s="86"/>
      <c r="R289" s="77"/>
      <c r="S289" s="77"/>
      <c r="T289" s="68"/>
      <c r="U289" s="68"/>
      <c r="V289" s="67"/>
      <c r="W289" s="67"/>
      <c r="X289" s="67"/>
      <c r="Y289" s="67"/>
      <c r="Z289" s="67"/>
      <c r="AA289" s="67"/>
      <c r="AB289" s="67"/>
      <c r="AC289" s="67"/>
      <c r="AD289" s="67"/>
      <c r="AE289" s="67"/>
      <c r="AF289" s="67"/>
      <c r="AG289" s="67"/>
      <c r="AH289" s="67"/>
      <c r="AI289" s="67"/>
      <c r="AJ289" s="67"/>
      <c r="AK289" s="67"/>
      <c r="AL289" s="67"/>
      <c r="AM289" s="67"/>
      <c r="AN289" s="77"/>
      <c r="AO289" s="76"/>
      <c r="AP289" s="77"/>
      <c r="AQ289" s="76"/>
      <c r="AR289" s="76"/>
      <c r="AS289" s="76"/>
      <c r="AT289" s="76"/>
      <c r="AU289" s="76"/>
      <c r="AV289" s="77"/>
      <c r="AW289" s="76"/>
      <c r="AX289" s="77"/>
      <c r="AY289" s="76"/>
      <c r="AZ289" s="76"/>
      <c r="BA289" s="76"/>
      <c r="BB289" s="76"/>
      <c r="BC289" s="76"/>
      <c r="BD289" s="77"/>
      <c r="BE289" s="76"/>
      <c r="BF289" s="77"/>
      <c r="BG289" s="76"/>
      <c r="BH289" s="76"/>
      <c r="BI289" s="76"/>
      <c r="BJ289" s="76"/>
      <c r="BK289" s="76"/>
      <c r="BL289" s="77"/>
      <c r="BM289" s="76"/>
      <c r="BN289" s="77"/>
      <c r="BO289" s="76"/>
      <c r="BP289" s="76"/>
      <c r="BQ289" s="76"/>
      <c r="BR289" s="76"/>
      <c r="BS289" s="76"/>
      <c r="BT289" s="77"/>
      <c r="BU289" s="76"/>
      <c r="BV289" s="77"/>
      <c r="BW289" s="76"/>
      <c r="BX289" s="76"/>
      <c r="BY289" s="76"/>
      <c r="BZ289" s="76"/>
      <c r="CA289" s="76"/>
      <c r="CB289" s="77"/>
      <c r="CC289" s="76"/>
      <c r="CD289" s="77"/>
      <c r="CE289" s="76"/>
      <c r="CF289" s="76"/>
      <c r="CG289" s="76"/>
      <c r="CH289" s="76"/>
      <c r="CI289" s="76"/>
      <c r="CJ289" s="77"/>
      <c r="CK289" s="76"/>
      <c r="CL289" s="77"/>
      <c r="CM289" s="76"/>
      <c r="CN289" s="76"/>
      <c r="CO289" s="76"/>
      <c r="CP289" s="76"/>
      <c r="CQ289" s="76"/>
      <c r="CR289" s="78" t="str">
        <f t="shared" si="79"/>
        <v/>
      </c>
      <c r="CS289" s="79" t="str">
        <f t="shared" si="80"/>
        <v/>
      </c>
      <c r="CT289" s="79" t="str">
        <f t="shared" si="81"/>
        <v/>
      </c>
      <c r="CU289" s="79" t="str">
        <f t="shared" si="82"/>
        <v/>
      </c>
      <c r="CV289" s="79" t="str">
        <f t="shared" si="83"/>
        <v/>
      </c>
      <c r="CW289" s="79" t="str">
        <f t="shared" si="84"/>
        <v/>
      </c>
      <c r="CX289" s="79" t="str">
        <f t="shared" si="85"/>
        <v/>
      </c>
      <c r="CY289" s="79" t="str">
        <f t="shared" si="86"/>
        <v/>
      </c>
      <c r="CZ289" s="79" t="str">
        <f t="shared" si="87"/>
        <v/>
      </c>
      <c r="DA289" s="79" t="str">
        <f t="shared" si="88"/>
        <v/>
      </c>
      <c r="DB289" s="79" t="str">
        <f t="shared" si="89"/>
        <v/>
      </c>
      <c r="DC289" s="79" t="str">
        <f t="shared" si="90"/>
        <v/>
      </c>
      <c r="DD289" s="79" t="str">
        <f t="shared" si="91"/>
        <v/>
      </c>
      <c r="DE289" s="79" t="str">
        <f t="shared" si="92"/>
        <v/>
      </c>
      <c r="DF289" s="79" t="str">
        <f t="shared" si="93"/>
        <v/>
      </c>
      <c r="DG289" s="79" t="str">
        <f t="shared" si="94"/>
        <v/>
      </c>
      <c r="DH289" s="76"/>
      <c r="DI289" s="78"/>
      <c r="DJ289" s="76"/>
      <c r="DK289" s="77"/>
      <c r="DL289" s="77"/>
      <c r="DM289" s="77"/>
      <c r="DN289" s="80"/>
      <c r="DO289" s="80"/>
      <c r="DP289" s="92" t="str">
        <f>IF(Table1[Start Date]="","",IF(Table1[Start Date]&gt;42185,"",IF(AND(Table1[Leaving Date]&gt;1,Table1[Leaving Date]&lt;42095),"",1)))</f>
        <v/>
      </c>
      <c r="DQ289" s="92" t="str">
        <f>IF(Table1[Start Date]="","",IF(Table1[Start Date]&gt;42277,"",IF(AND(Table1[Leaving Date]&gt;1,Table1[Leaving Date]&lt;42186),"",1)))</f>
        <v/>
      </c>
      <c r="DR289" s="92" t="str">
        <f>IF(Table1[Start Date]="","",IF(Table1[Start Date]&gt;42369,"",IF(AND(Table1[Leaving Date]&gt;1,Table1[Leaving Date]&lt;42278),"",1)))</f>
        <v/>
      </c>
      <c r="DS289" s="92" t="str">
        <f>IF(Table1[Start Date]="","",IF(Table1[Start Date]&gt;42460,"",IF(AND(Table1[Leaving Date]&gt;1,Table1[Leaving Date]&lt;42370),"",1)))</f>
        <v/>
      </c>
      <c r="DT289" s="92" t="str">
        <f>IF(Table1[Start Date]="","",IF(Table1[Start Date]&gt;42551,"",IF(AND(Table1[Leaving Date]&gt;1,Table1[Leaving Date]&lt;42461),"",1)))</f>
        <v/>
      </c>
      <c r="DU289" s="92" t="str">
        <f>IF(Table1[Start Date]="","",IF(Table1[Start Date]&gt;42643,"",IF(AND(Table1[Leaving Date]&gt;1,Table1[Leaving Date]&lt;42552),"",1)))</f>
        <v/>
      </c>
      <c r="DV289" s="92" t="str">
        <f>IF(Table1[Start Date]="","",IF(Table1[Start Date]&gt;42735,"",IF(AND(Table1[Leaving Date]&gt;1,Table1[Leaving Date]&lt;42644),"",1)))</f>
        <v/>
      </c>
      <c r="DW289" s="92" t="str">
        <f>IF(Table1[Start Date]="","",IF(Table1[Start Date]&gt;42825,"",IF(AND(Table1[Leaving Date]&gt;1,Table1[Leaving Date]&lt;42736),"",1)))</f>
        <v/>
      </c>
      <c r="DX289"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289" s="44" t="e">
        <f>VLOOKUP(Table1[Referral Source],Lists!$G$2:$H$20,2,FALSE)</f>
        <v>#N/A</v>
      </c>
      <c r="DZ289" s="93" t="e">
        <f>SUM(Table1[Data Referral Quarter]+Table1[Data Referral Source])</f>
        <v>#N/A</v>
      </c>
      <c r="EA289" s="44" t="b">
        <f>IF(Table1[Referral Decision]="Accepted",100,IF(Table1[Referral Decision]="Rejected by Provider",200,IF(Table1[Referral Decision]="Rejected by Applicant",300)))</f>
        <v>0</v>
      </c>
      <c r="EB289" s="44">
        <f>SUM(Table1[Data Referral Quarter]+Table1[Data Referral Decision])</f>
        <v>0</v>
      </c>
      <c r="EC289" s="44" t="b">
        <f>IF(Table1[Start Date]&gt;42735,8000,IF(Table1[Start Date]&gt;42643,7000,IF(Table1[Start Date]&gt;42551,6000,IF(Table1[Start Date]&gt;42460,5000,IF(Table1[Start Date]&gt;42369,4000,IF(Table1[Start Date]&gt;42277,3000,IF(Table1[Start Date]&gt;42185,2000,IF(Table1[Start Date]&gt;42094,1000))))))))</f>
        <v>0</v>
      </c>
      <c r="ED289" s="44" t="str">
        <f>IF(Table1[Start Date]="","",IF(Table1[Current Local Authority]="Swindon",1,"2"))</f>
        <v/>
      </c>
      <c r="EE289" s="44" t="e">
        <f>SUM(Table1[Data Start Date]+Table1[Data Local Authority])</f>
        <v>#VALUE!</v>
      </c>
      <c r="EF289" s="44">
        <f>IF(Table1[Registered with GP]="Yes",1,0)</f>
        <v>0</v>
      </c>
      <c r="EG289" s="44">
        <f>SUM(Table1[Data Start Date]+Table1[Data GP Start])</f>
        <v>0</v>
      </c>
      <c r="EH289" s="44" t="str">
        <f>IF(Table1[EET]="NEET",1,IF(Table1[EET]="Education",2,IF(Table1[EET]="Employment",2,IF(Table1[EET]="Training",2,IF(Table1[EET]="Retired",3,"")))))</f>
        <v/>
      </c>
      <c r="EI289" s="44" t="e">
        <f>Table1[Data Start Date]+Table1[Data EET Start]</f>
        <v>#VALUE!</v>
      </c>
      <c r="EJ289" s="44" t="b">
        <f>IF(Table1[Leaving Date]&gt;42735,8000,IF(Table1[Leaving Date]&gt;42643,7000,IF(Table1[Leaving Date]&gt;42551,6000,IF(Table1[Leaving Date]&gt;42460,5000,IF(Table1[Leaving Date]&gt;42369,4000,IF(Table1[Leaving Date]&gt;42277,3000,IF(Table1[Leaving Date]&gt;42185,2000,IF(Table1[Leaving Date]&gt;42094,1000))))))))</f>
        <v>0</v>
      </c>
      <c r="EK289" s="44" t="e">
        <f>VLOOKUP(Table1[Reason for Leaving],Lists!$T$2:$U$15,2,FALSE)</f>
        <v>#N/A</v>
      </c>
      <c r="EL289" s="44" t="e">
        <f>SUM(Table1[Data Leavers Date]+Table1[Data Move On])</f>
        <v>#N/A</v>
      </c>
      <c r="EM289" s="44" t="b">
        <f>IF(Table1[Registered with GP2]="Yes",1,IF(Table1[Registered with GP2]="No",0,IF(Table1[Registered with GP]="Yes",1,IF(Table1[Registered with GP]="No",0))))</f>
        <v>0</v>
      </c>
      <c r="EN289" s="44">
        <f>SUM(Table1[Data Leavers Date]+Table1[Data GP End])</f>
        <v>0</v>
      </c>
      <c r="EO289" s="44" t="str">
        <f>IF(Table1[EET2]="NEET",1,IF(Table1[EET2]="Employment",2,IF(Table1[EET2]="Education",2,IF(Table1[EET2]="Training",2,IF(Table1[EET2]="Retired",3,IF(Table1[EET]="NEET",1,IF(Table1[EET]="Employment",2,IF(Table1[EET]="Education",2,IF(Table1[EET]="Training",2,IF(Table1[EET]="Retired",3,""))))))))))</f>
        <v/>
      </c>
      <c r="EP289" s="44" t="e">
        <f>+Table1[[#This Row],[Data Leavers Date]]+Table1[[#This Row],[Data EET End]]</f>
        <v>#VALUE!</v>
      </c>
      <c r="EQ289" s="44">
        <f>IF(Table1[Exit Form Received]="Yes",1,0)</f>
        <v>0</v>
      </c>
      <c r="ER289" s="44">
        <f>+Table1[[#This Row],[Data Leavers Date]]+Table1[[#This Row],[Data Exit Forms]]</f>
        <v>0</v>
      </c>
      <c r="ES289" s="44" t="str">
        <f>IF(Table1[Data Leavers Date]=1000,SUM(Table1[Leaving Date]-Table1[Start Date]),"")</f>
        <v/>
      </c>
      <c r="ET289" s="44" t="str">
        <f>IF(Table1[Data Leavers Date]=2000,SUM(Table1[Leaving Date]-Table1[Start Date]),"")</f>
        <v/>
      </c>
      <c r="EU289" s="44" t="str">
        <f>IF(Table1[Data Leavers Date]=3000,SUM(Table1[Leaving Date]-Table1[Start Date]),"")</f>
        <v/>
      </c>
      <c r="EV289" s="44" t="str">
        <f>IF(Table1[Data Leavers Date]=4000,SUM(Table1[Leaving Date]-Table1[Start Date]),"")</f>
        <v/>
      </c>
      <c r="EW289" s="44" t="str">
        <f>IF(Table1[Data Leavers Date]=5000,SUM(Table1[Leaving Date]-Table1[Start Date]),"")</f>
        <v/>
      </c>
      <c r="EX289" s="44" t="str">
        <f>IF(Table1[Data Leavers Date]=6000,SUM(Table1[Leaving Date]-Table1[Start Date]),"")</f>
        <v/>
      </c>
      <c r="EY289" s="44" t="str">
        <f>IF(Table1[Data Leavers Date]=7000,SUM(Table1[Leaving Date]-Table1[Start Date]),"")</f>
        <v/>
      </c>
      <c r="EZ289" s="44" t="str">
        <f>IF(Table1[Data Leavers Date]=8000,SUM(Table1[Leaving Date]-Table1[Start Date]),"")</f>
        <v/>
      </c>
      <c r="FA289" s="44" t="str">
        <f>IF(Table1[Date of Initial Assessment]="","",IF(AND(Table1[Start Date]&gt;42094,Table1[Start Date]&lt;42461),Table1[Motivation and Taking Responsibility],""))</f>
        <v/>
      </c>
      <c r="FB289" s="44" t="str">
        <f>IF(Table1[Date of Initial Assessment]="","",IF(AND(Table1[Start Date]&gt;42094,Table1[Start Date]&lt;42461),Table1[Self-Care and Living Skills],""))</f>
        <v/>
      </c>
      <c r="FC289" s="44" t="str">
        <f>IF(Table1[Date of Initial Assessment]="","",IF(AND(Table1[Start Date]&gt;42094,Table1[Start Date]&lt;42461),Table1[Managing Money and Personal Administration],""))</f>
        <v/>
      </c>
      <c r="FD289" s="44" t="str">
        <f>IF(Table1[Date of Initial Assessment]="","",IF(AND(Table1[Start Date]&gt;42094,Table1[Start Date]&lt;42461),Table1[Social Networks and Relationships],""))</f>
        <v/>
      </c>
      <c r="FE289" s="44" t="str">
        <f>IF(Table1[Date of Initial Assessment]="","",IF(AND(Table1[Start Date]&gt;42094,Table1[Start Date]&lt;42461),Table1[Drug and Alcohol Misuse],""))</f>
        <v/>
      </c>
      <c r="FF289" s="44" t="str">
        <f>IF(Table1[Date of Initial Assessment]="","",IF(AND(Table1[Start Date]&gt;42094,Table1[Start Date]&lt;42461),Table1[Physical Health],""))</f>
        <v/>
      </c>
      <c r="FG289" s="44" t="str">
        <f>IF(Table1[Date of Initial Assessment]="","",IF(AND(Table1[Start Date]&gt;42094,Table1[Start Date]&lt;42461),Table1[Emotional and Mental Health],""))</f>
        <v/>
      </c>
      <c r="FH289" s="44" t="str">
        <f>IF(Table1[Date of Initial Assessment]="","",IF(AND(Table1[Start Date]&gt;42094,Table1[Start Date]&lt;42461),Table1[Meaningful Use of Time],""))</f>
        <v/>
      </c>
      <c r="FI289" s="44" t="str">
        <f>IF(Table1[Date of Initial Assessment]="","",IF(AND(Table1[Start Date]&gt;42094,Table1[Start Date]&lt;42461),Table1[Managing Tenancy and Accommodation],""))</f>
        <v/>
      </c>
      <c r="FJ289" s="44" t="str">
        <f>IF(Table1[Date of Initial Assessment]="","",IF(AND(Table1[Start Date]&gt;42094,Table1[Start Date]&lt;42461),Table1[Offending],""))</f>
        <v/>
      </c>
      <c r="FK289" s="44" t="str">
        <f>IF(Table1[Leaving Date]="","",IF(Table1[Date of Initial Assessment]="","",IF(AND(Table1[Leaving Date]&gt;42094,Table1[Leaving Date]&lt;42461),IF(Table1[Date of Last Assessment]="",Table1[Motivation and Taking Responsibility],Table1[Motivation and Taking Responsibility2]),"")))</f>
        <v/>
      </c>
      <c r="FL289" s="44" t="str">
        <f>IF(Table1[Leaving Date]="","",IF(Table1[Date of Initial Assessment]="","",IF(AND(Table1[Leaving Date]&gt;42094,Table1[Leaving Date]&lt;42461),IF(Table1[Date of Last Assessment]="",Table1[Self-Care and Living Skills],Table1[Self-Care and Living Skills2]),"")))</f>
        <v/>
      </c>
      <c r="FM289" s="44" t="str">
        <f>IF(Table1[Leaving Date]="","",IF(Table1[Date of Initial Assessment]="","",IF(AND(Table1[Leaving Date]&gt;42094,Table1[Leaving Date]&lt;42461),IF(Table1[Date of Last Assessment]="",Table1[Managing Money and Personal Administration],Table1[Managing Money and Personal Administration2]),"")))</f>
        <v/>
      </c>
      <c r="FN289" s="44" t="str">
        <f>IF(Table1[Leaving Date]="","",IF(Table1[Date of Initial Assessment]="","",IF(AND(Table1[Leaving Date]&gt;42094,Table1[Leaving Date]&lt;42461),IF(Table1[Date of Last Assessment]="",Table1[Social Networks and Relationships],Table1[Social Networks and Relationships2]),"")))</f>
        <v/>
      </c>
      <c r="FO289" s="44" t="str">
        <f>IF(Table1[Leaving Date]="","",IF(Table1[Date of Initial Assessment]="","",IF(AND(Table1[Leaving Date]&gt;42094,Table1[Leaving Date]&lt;42461),IF(Table1[Date of Last Assessment]="",Table1[Drug and Alcohol Misuse],Table1[Drug and Alcohol Misuse2]),"")))</f>
        <v/>
      </c>
      <c r="FP289" s="44" t="str">
        <f>IF(Table1[Leaving Date]="","",IF(Table1[Date of Initial Assessment]="","",IF(AND(Table1[Leaving Date]&gt;42094,Table1[Leaving Date]&lt;42461),IF(Table1[Date of Last Assessment]="",Table1[Physical Health],Table1[Physical Health2]),"")))</f>
        <v/>
      </c>
      <c r="FQ289" s="44" t="str">
        <f>IF(Table1[Leaving Date]="","",IF(Table1[Date of Initial Assessment]="","",IF(AND(Table1[Leaving Date]&gt;42094,Table1[Leaving Date]&lt;42461),IF(Table1[Date of Last Assessment]="",Table1[Emotional and Mental Health],Table1[Emotional and Mental Health2]),"")))</f>
        <v/>
      </c>
      <c r="FR289" s="44" t="str">
        <f>IF(Table1[Leaving Date]="","",IF(Table1[Date of Initial Assessment]="","",IF(AND(Table1[Leaving Date]&gt;42094,Table1[Leaving Date]&lt;42461),IF(Table1[Date of Last Assessment]="",Table1[Meaningful Use of Time],Table1[Meaningful Use of Time2]),"")))</f>
        <v/>
      </c>
      <c r="FS289" s="44" t="str">
        <f>IF(Table1[Leaving Date]="","",IF(Table1[Date of Initial Assessment]="","",IF(AND(Table1[Leaving Date]&gt;42094,Table1[Leaving Date]&lt;42461),IF(Table1[Date of Last Assessment]="",Table1[Managing Tenancy and Accommodation],Table1[Managing Tenancy and Accommodation2]),"")))</f>
        <v/>
      </c>
      <c r="FT289" s="44" t="str">
        <f>IF(Table1[Leaving Date]="","",IF(Table1[Date of Initial Assessment]="","",IF(AND(Table1[Leaving Date]&gt;42094,Table1[Leaving Date]&lt;42461),IF(Table1[Date of Last Assessment]="",Table1[Offending],Table1[Offending2]),"")))</f>
        <v/>
      </c>
      <c r="FU289" s="44" t="str">
        <f>IF(Table1[Date of Initial Assessment]="","",IF(AND(Table1[Start Date]&gt;42460,Table1[Start Date]&lt;42826),Table1[Motivation and Taking Responsibility],""))</f>
        <v/>
      </c>
      <c r="FV289" s="44" t="str">
        <f>IF(Table1[Date of Initial Assessment]="","",IF(AND(Table1[Start Date]&gt;42460,Table1[Start Date]&lt;42826),Table1[Self-Care and Living Skills],""))</f>
        <v/>
      </c>
      <c r="FW289" s="44" t="str">
        <f>IF(Table1[Date of Initial Assessment]="","",IF(AND(Table1[Start Date]&gt;42460,Table1[Start Date]&lt;42826),Table1[Managing Money and Personal Administration],""))</f>
        <v/>
      </c>
      <c r="FX289" s="44" t="str">
        <f>IF(Table1[Date of Initial Assessment]="","",IF(AND(Table1[Start Date]&gt;42460,Table1[Start Date]&lt;42826),Table1[Social Networks and Relationships],""))</f>
        <v/>
      </c>
      <c r="FY289" s="44" t="str">
        <f>IF(Table1[Date of Initial Assessment]="","",IF(AND(Table1[Start Date]&gt;42460,Table1[Start Date]&lt;42826),Table1[Drug and Alcohol Misuse],""))</f>
        <v/>
      </c>
      <c r="FZ289" s="44" t="str">
        <f>IF(Table1[Date of Initial Assessment]="","",IF(AND(Table1[Start Date]&gt;42460,Table1[Start Date]&lt;42826),Table1[Physical Health],""))</f>
        <v/>
      </c>
      <c r="GA289" s="44" t="str">
        <f>IF(Table1[Date of Initial Assessment]="","",IF(AND(Table1[Start Date]&gt;42460,Table1[Start Date]&lt;42826),Table1[Emotional and Mental Health],""))</f>
        <v/>
      </c>
      <c r="GB289" s="44" t="str">
        <f>IF(Table1[Date of Initial Assessment]="","",IF(AND(Table1[Start Date]&gt;42460,Table1[Start Date]&lt;42826),Table1[Meaningful Use of Time],""))</f>
        <v/>
      </c>
      <c r="GC289" s="44" t="str">
        <f>IF(Table1[Date of Initial Assessment]="","",IF(AND(Table1[Start Date]&gt;42460,Table1[Start Date]&lt;42826),Table1[Managing Tenancy and Accommodation],""))</f>
        <v/>
      </c>
      <c r="GD289" s="44" t="str">
        <f>IF(Table1[Date of Initial Assessment]="","",IF(AND(Table1[Start Date]&gt;42460,Table1[Start Date]&lt;42826),Table1[Offending],""))</f>
        <v/>
      </c>
      <c r="GE289" s="44" t="str">
        <f>IF(Table1[Leaving Date]="","",IF(AND(Table1[Leaving Date]&gt;42460,Table1[Leaving Date]&lt;42826),IF(Table1[Date of Last Assessment]="",Table1[Motivation and Taking Responsibility],Table1[Motivation and Taking Responsibility2]),""))</f>
        <v/>
      </c>
      <c r="GF289" s="44" t="str">
        <f>IF(Table1[Leaving Date]="","",IF(AND(Table1[Leaving Date]&gt;42460,Table1[Leaving Date]&lt;42826),IF(Table1[Date of Last Assessment]="",Table1[Self-Care and Living Skills],Table1[Self-Care and Living Skills2]),""))</f>
        <v/>
      </c>
      <c r="GG289" s="44" t="str">
        <f>IF(Table1[Leaving Date]="","",IF(AND(Table1[Leaving Date]&gt;42460,Table1[Leaving Date]&lt;42826),IF(Table1[Date of Last Assessment]="",Table1[Managing Money and Personal Administration],Table1[Managing Money and Personal Administration2]),""))</f>
        <v/>
      </c>
      <c r="GH289" s="44" t="str">
        <f>IF(Table1[Leaving Date]="","",IF(AND(Table1[Leaving Date]&gt;42460,Table1[Leaving Date]&lt;42826),IF(Table1[Date of Last Assessment]="",Table1[Social Networks and Relationships],Table1[Social Networks and Relationships2]),""))</f>
        <v/>
      </c>
      <c r="GI289" s="44" t="str">
        <f>IF(Table1[Leaving Date]="","",IF(AND(Table1[Leaving Date]&gt;42460,Table1[Leaving Date]&lt;42826),IF(Table1[Date of Last Assessment]="",Table1[Drug and Alcohol Misuse],Table1[Drug and Alcohol Misuse2]),""))</f>
        <v/>
      </c>
      <c r="GJ289" s="44" t="str">
        <f>IF(Table1[Leaving Date]="","",IF(AND(Table1[Leaving Date]&gt;42460,Table1[Leaving Date]&lt;42826),IF(Table1[Date of Last Assessment]="",Table1[Physical Health],Table1[Physical Health2]),""))</f>
        <v/>
      </c>
      <c r="GK289" s="44" t="str">
        <f>IF(Table1[Leaving Date]="","",IF(AND(Table1[Leaving Date]&gt;42460,Table1[Leaving Date]&lt;42826),IF(Table1[Date of Last Assessment]="",Table1[Emotional and Mental Health],Table1[Emotional and Mental Health2]),""))</f>
        <v/>
      </c>
      <c r="GL289" s="44" t="str">
        <f>IF(Table1[Leaving Date]="","",IF(AND(Table1[Leaving Date]&gt;42460,Table1[Leaving Date]&lt;42826),IF(Table1[Date of Last Assessment]="",Table1[Meaningful Use of Time],Table1[Meaningful Use of Time2]),""))</f>
        <v/>
      </c>
      <c r="GM289" s="44" t="str">
        <f>IF(Table1[Leaving Date]="","",IF(AND(Table1[Leaving Date]&gt;42460,Table1[Leaving Date]&lt;42826),IF(Table1[Date of Last Assessment]="",Table1[Managing Tenancy and Accommodation],Table1[Managing Tenancy and Accommodation2]),""))</f>
        <v/>
      </c>
      <c r="GN289" s="44" t="str">
        <f>IF(Table1[Leaving Date]="","",IF(AND(Table1[Leaving Date]&gt;42460,Table1[Leaving Date]&lt;42826),IF(Table1[Date of Last Assessment]="",Table1[Offending],Table1[Offending2]),""))</f>
        <v/>
      </c>
    </row>
    <row r="290" spans="2:196" ht="20.100000000000001" customHeight="1" x14ac:dyDescent="0.2">
      <c r="B290" s="86">
        <f>+'Service Data'!$C$5:$C$5</f>
        <v>0</v>
      </c>
      <c r="C290" s="86"/>
      <c r="D290" s="86"/>
      <c r="E290" s="86"/>
      <c r="F290" s="86"/>
      <c r="G290" s="86"/>
      <c r="H290" s="6"/>
      <c r="I290" s="99" t="str">
        <f ca="1">IF(Table1[[#This Row],[Date of Birth]]="","",SUM(TODAY()-Table1[[#This Row],[Date of Birth]])/365)</f>
        <v/>
      </c>
      <c r="L290" s="86"/>
      <c r="M290" s="77"/>
      <c r="N290" s="86"/>
      <c r="O290" s="86"/>
      <c r="P290" s="91"/>
      <c r="Q290" s="86"/>
      <c r="R290" s="77"/>
      <c r="S290" s="77"/>
      <c r="T290" s="68"/>
      <c r="U290" s="68"/>
      <c r="V290" s="67"/>
      <c r="W290" s="67"/>
      <c r="X290" s="67"/>
      <c r="Y290" s="67"/>
      <c r="Z290" s="67"/>
      <c r="AA290" s="67"/>
      <c r="AB290" s="67"/>
      <c r="AC290" s="67"/>
      <c r="AD290" s="67"/>
      <c r="AE290" s="67"/>
      <c r="AF290" s="67"/>
      <c r="AG290" s="67"/>
      <c r="AH290" s="67"/>
      <c r="AI290" s="67"/>
      <c r="AJ290" s="67"/>
      <c r="AK290" s="67"/>
      <c r="AL290" s="67"/>
      <c r="AM290" s="67"/>
      <c r="AN290" s="77"/>
      <c r="AO290" s="76"/>
      <c r="AP290" s="77"/>
      <c r="AQ290" s="76"/>
      <c r="AR290" s="76"/>
      <c r="AS290" s="76"/>
      <c r="AT290" s="76"/>
      <c r="AU290" s="76"/>
      <c r="AV290" s="77"/>
      <c r="AW290" s="76"/>
      <c r="AX290" s="77"/>
      <c r="AY290" s="76"/>
      <c r="AZ290" s="76"/>
      <c r="BA290" s="76"/>
      <c r="BB290" s="76"/>
      <c r="BC290" s="76"/>
      <c r="BD290" s="77"/>
      <c r="BE290" s="76"/>
      <c r="BF290" s="77"/>
      <c r="BG290" s="76"/>
      <c r="BH290" s="76"/>
      <c r="BI290" s="76"/>
      <c r="BJ290" s="76"/>
      <c r="BK290" s="76"/>
      <c r="BL290" s="77"/>
      <c r="BM290" s="76"/>
      <c r="BN290" s="77"/>
      <c r="BO290" s="76"/>
      <c r="BP290" s="76"/>
      <c r="BQ290" s="76"/>
      <c r="BR290" s="76"/>
      <c r="BS290" s="76"/>
      <c r="BT290" s="77"/>
      <c r="BU290" s="76"/>
      <c r="BV290" s="77"/>
      <c r="BW290" s="76"/>
      <c r="BX290" s="76"/>
      <c r="BY290" s="76"/>
      <c r="BZ290" s="76"/>
      <c r="CA290" s="76"/>
      <c r="CB290" s="77"/>
      <c r="CC290" s="76"/>
      <c r="CD290" s="77"/>
      <c r="CE290" s="76"/>
      <c r="CF290" s="76"/>
      <c r="CG290" s="76"/>
      <c r="CH290" s="76"/>
      <c r="CI290" s="76"/>
      <c r="CJ290" s="77"/>
      <c r="CK290" s="76"/>
      <c r="CL290" s="77"/>
      <c r="CM290" s="76"/>
      <c r="CN290" s="76"/>
      <c r="CO290" s="76"/>
      <c r="CP290" s="76"/>
      <c r="CQ290" s="76"/>
      <c r="CR290" s="78" t="str">
        <f t="shared" si="79"/>
        <v/>
      </c>
      <c r="CS290" s="79" t="str">
        <f t="shared" si="80"/>
        <v/>
      </c>
      <c r="CT290" s="79" t="str">
        <f t="shared" si="81"/>
        <v/>
      </c>
      <c r="CU290" s="79" t="str">
        <f t="shared" si="82"/>
        <v/>
      </c>
      <c r="CV290" s="79" t="str">
        <f t="shared" si="83"/>
        <v/>
      </c>
      <c r="CW290" s="79" t="str">
        <f t="shared" si="84"/>
        <v/>
      </c>
      <c r="CX290" s="79" t="str">
        <f t="shared" si="85"/>
        <v/>
      </c>
      <c r="CY290" s="79" t="str">
        <f t="shared" si="86"/>
        <v/>
      </c>
      <c r="CZ290" s="79" t="str">
        <f t="shared" si="87"/>
        <v/>
      </c>
      <c r="DA290" s="79" t="str">
        <f t="shared" si="88"/>
        <v/>
      </c>
      <c r="DB290" s="79" t="str">
        <f t="shared" si="89"/>
        <v/>
      </c>
      <c r="DC290" s="79" t="str">
        <f t="shared" si="90"/>
        <v/>
      </c>
      <c r="DD290" s="79" t="str">
        <f t="shared" si="91"/>
        <v/>
      </c>
      <c r="DE290" s="79" t="str">
        <f t="shared" si="92"/>
        <v/>
      </c>
      <c r="DF290" s="79" t="str">
        <f t="shared" si="93"/>
        <v/>
      </c>
      <c r="DG290" s="79" t="str">
        <f t="shared" si="94"/>
        <v/>
      </c>
      <c r="DH290" s="76"/>
      <c r="DI290" s="78"/>
      <c r="DJ290" s="76"/>
      <c r="DK290" s="77"/>
      <c r="DL290" s="77"/>
      <c r="DM290" s="77"/>
      <c r="DN290" s="80"/>
      <c r="DO290" s="80"/>
      <c r="DP290" s="92" t="str">
        <f>IF(Table1[Start Date]="","",IF(Table1[Start Date]&gt;42185,"",IF(AND(Table1[Leaving Date]&gt;1,Table1[Leaving Date]&lt;42095),"",1)))</f>
        <v/>
      </c>
      <c r="DQ290" s="92" t="str">
        <f>IF(Table1[Start Date]="","",IF(Table1[Start Date]&gt;42277,"",IF(AND(Table1[Leaving Date]&gt;1,Table1[Leaving Date]&lt;42186),"",1)))</f>
        <v/>
      </c>
      <c r="DR290" s="92" t="str">
        <f>IF(Table1[Start Date]="","",IF(Table1[Start Date]&gt;42369,"",IF(AND(Table1[Leaving Date]&gt;1,Table1[Leaving Date]&lt;42278),"",1)))</f>
        <v/>
      </c>
      <c r="DS290" s="92" t="str">
        <f>IF(Table1[Start Date]="","",IF(Table1[Start Date]&gt;42460,"",IF(AND(Table1[Leaving Date]&gt;1,Table1[Leaving Date]&lt;42370),"",1)))</f>
        <v/>
      </c>
      <c r="DT290" s="92" t="str">
        <f>IF(Table1[Start Date]="","",IF(Table1[Start Date]&gt;42551,"",IF(AND(Table1[Leaving Date]&gt;1,Table1[Leaving Date]&lt;42461),"",1)))</f>
        <v/>
      </c>
      <c r="DU290" s="92" t="str">
        <f>IF(Table1[Start Date]="","",IF(Table1[Start Date]&gt;42643,"",IF(AND(Table1[Leaving Date]&gt;1,Table1[Leaving Date]&lt;42552),"",1)))</f>
        <v/>
      </c>
      <c r="DV290" s="92" t="str">
        <f>IF(Table1[Start Date]="","",IF(Table1[Start Date]&gt;42735,"",IF(AND(Table1[Leaving Date]&gt;1,Table1[Leaving Date]&lt;42644),"",1)))</f>
        <v/>
      </c>
      <c r="DW290" s="92" t="str">
        <f>IF(Table1[Start Date]="","",IF(Table1[Start Date]&gt;42825,"",IF(AND(Table1[Leaving Date]&gt;1,Table1[Leaving Date]&lt;42736),"",1)))</f>
        <v/>
      </c>
      <c r="DX290"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290" s="44" t="e">
        <f>VLOOKUP(Table1[Referral Source],Lists!$G$2:$H$20,2,FALSE)</f>
        <v>#N/A</v>
      </c>
      <c r="DZ290" s="93" t="e">
        <f>SUM(Table1[Data Referral Quarter]+Table1[Data Referral Source])</f>
        <v>#N/A</v>
      </c>
      <c r="EA290" s="44" t="b">
        <f>IF(Table1[Referral Decision]="Accepted",100,IF(Table1[Referral Decision]="Rejected by Provider",200,IF(Table1[Referral Decision]="Rejected by Applicant",300)))</f>
        <v>0</v>
      </c>
      <c r="EB290" s="44">
        <f>SUM(Table1[Data Referral Quarter]+Table1[Data Referral Decision])</f>
        <v>0</v>
      </c>
      <c r="EC290" s="44" t="b">
        <f>IF(Table1[Start Date]&gt;42735,8000,IF(Table1[Start Date]&gt;42643,7000,IF(Table1[Start Date]&gt;42551,6000,IF(Table1[Start Date]&gt;42460,5000,IF(Table1[Start Date]&gt;42369,4000,IF(Table1[Start Date]&gt;42277,3000,IF(Table1[Start Date]&gt;42185,2000,IF(Table1[Start Date]&gt;42094,1000))))))))</f>
        <v>0</v>
      </c>
      <c r="ED290" s="44" t="str">
        <f>IF(Table1[Start Date]="","",IF(Table1[Current Local Authority]="Swindon",1,"2"))</f>
        <v/>
      </c>
      <c r="EE290" s="44" t="e">
        <f>SUM(Table1[Data Start Date]+Table1[Data Local Authority])</f>
        <v>#VALUE!</v>
      </c>
      <c r="EF290" s="44">
        <f>IF(Table1[Registered with GP]="Yes",1,0)</f>
        <v>0</v>
      </c>
      <c r="EG290" s="44">
        <f>SUM(Table1[Data Start Date]+Table1[Data GP Start])</f>
        <v>0</v>
      </c>
      <c r="EH290" s="44" t="str">
        <f>IF(Table1[EET]="NEET",1,IF(Table1[EET]="Education",2,IF(Table1[EET]="Employment",2,IF(Table1[EET]="Training",2,IF(Table1[EET]="Retired",3,"")))))</f>
        <v/>
      </c>
      <c r="EI290" s="44" t="e">
        <f>Table1[Data Start Date]+Table1[Data EET Start]</f>
        <v>#VALUE!</v>
      </c>
      <c r="EJ290" s="44" t="b">
        <f>IF(Table1[Leaving Date]&gt;42735,8000,IF(Table1[Leaving Date]&gt;42643,7000,IF(Table1[Leaving Date]&gt;42551,6000,IF(Table1[Leaving Date]&gt;42460,5000,IF(Table1[Leaving Date]&gt;42369,4000,IF(Table1[Leaving Date]&gt;42277,3000,IF(Table1[Leaving Date]&gt;42185,2000,IF(Table1[Leaving Date]&gt;42094,1000))))))))</f>
        <v>0</v>
      </c>
      <c r="EK290" s="44" t="e">
        <f>VLOOKUP(Table1[Reason for Leaving],Lists!$T$2:$U$15,2,FALSE)</f>
        <v>#N/A</v>
      </c>
      <c r="EL290" s="44" t="e">
        <f>SUM(Table1[Data Leavers Date]+Table1[Data Move On])</f>
        <v>#N/A</v>
      </c>
      <c r="EM290" s="44" t="b">
        <f>IF(Table1[Registered with GP2]="Yes",1,IF(Table1[Registered with GP2]="No",0,IF(Table1[Registered with GP]="Yes",1,IF(Table1[Registered with GP]="No",0))))</f>
        <v>0</v>
      </c>
      <c r="EN290" s="44">
        <f>SUM(Table1[Data Leavers Date]+Table1[Data GP End])</f>
        <v>0</v>
      </c>
      <c r="EO290" s="44" t="str">
        <f>IF(Table1[EET2]="NEET",1,IF(Table1[EET2]="Employment",2,IF(Table1[EET2]="Education",2,IF(Table1[EET2]="Training",2,IF(Table1[EET2]="Retired",3,IF(Table1[EET]="NEET",1,IF(Table1[EET]="Employment",2,IF(Table1[EET]="Education",2,IF(Table1[EET]="Training",2,IF(Table1[EET]="Retired",3,""))))))))))</f>
        <v/>
      </c>
      <c r="EP290" s="44" t="e">
        <f>+Table1[[#This Row],[Data Leavers Date]]+Table1[[#This Row],[Data EET End]]</f>
        <v>#VALUE!</v>
      </c>
      <c r="EQ290" s="44">
        <f>IF(Table1[Exit Form Received]="Yes",1,0)</f>
        <v>0</v>
      </c>
      <c r="ER290" s="44">
        <f>+Table1[[#This Row],[Data Leavers Date]]+Table1[[#This Row],[Data Exit Forms]]</f>
        <v>0</v>
      </c>
      <c r="ES290" s="44" t="str">
        <f>IF(Table1[Data Leavers Date]=1000,SUM(Table1[Leaving Date]-Table1[Start Date]),"")</f>
        <v/>
      </c>
      <c r="ET290" s="44" t="str">
        <f>IF(Table1[Data Leavers Date]=2000,SUM(Table1[Leaving Date]-Table1[Start Date]),"")</f>
        <v/>
      </c>
      <c r="EU290" s="44" t="str">
        <f>IF(Table1[Data Leavers Date]=3000,SUM(Table1[Leaving Date]-Table1[Start Date]),"")</f>
        <v/>
      </c>
      <c r="EV290" s="44" t="str">
        <f>IF(Table1[Data Leavers Date]=4000,SUM(Table1[Leaving Date]-Table1[Start Date]),"")</f>
        <v/>
      </c>
      <c r="EW290" s="44" t="str">
        <f>IF(Table1[Data Leavers Date]=5000,SUM(Table1[Leaving Date]-Table1[Start Date]),"")</f>
        <v/>
      </c>
      <c r="EX290" s="44" t="str">
        <f>IF(Table1[Data Leavers Date]=6000,SUM(Table1[Leaving Date]-Table1[Start Date]),"")</f>
        <v/>
      </c>
      <c r="EY290" s="44" t="str">
        <f>IF(Table1[Data Leavers Date]=7000,SUM(Table1[Leaving Date]-Table1[Start Date]),"")</f>
        <v/>
      </c>
      <c r="EZ290" s="44" t="str">
        <f>IF(Table1[Data Leavers Date]=8000,SUM(Table1[Leaving Date]-Table1[Start Date]),"")</f>
        <v/>
      </c>
      <c r="FA290" s="44" t="str">
        <f>IF(Table1[Date of Initial Assessment]="","",IF(AND(Table1[Start Date]&gt;42094,Table1[Start Date]&lt;42461),Table1[Motivation and Taking Responsibility],""))</f>
        <v/>
      </c>
      <c r="FB290" s="44" t="str">
        <f>IF(Table1[Date of Initial Assessment]="","",IF(AND(Table1[Start Date]&gt;42094,Table1[Start Date]&lt;42461),Table1[Self-Care and Living Skills],""))</f>
        <v/>
      </c>
      <c r="FC290" s="44" t="str">
        <f>IF(Table1[Date of Initial Assessment]="","",IF(AND(Table1[Start Date]&gt;42094,Table1[Start Date]&lt;42461),Table1[Managing Money and Personal Administration],""))</f>
        <v/>
      </c>
      <c r="FD290" s="44" t="str">
        <f>IF(Table1[Date of Initial Assessment]="","",IF(AND(Table1[Start Date]&gt;42094,Table1[Start Date]&lt;42461),Table1[Social Networks and Relationships],""))</f>
        <v/>
      </c>
      <c r="FE290" s="44" t="str">
        <f>IF(Table1[Date of Initial Assessment]="","",IF(AND(Table1[Start Date]&gt;42094,Table1[Start Date]&lt;42461),Table1[Drug and Alcohol Misuse],""))</f>
        <v/>
      </c>
      <c r="FF290" s="44" t="str">
        <f>IF(Table1[Date of Initial Assessment]="","",IF(AND(Table1[Start Date]&gt;42094,Table1[Start Date]&lt;42461),Table1[Physical Health],""))</f>
        <v/>
      </c>
      <c r="FG290" s="44" t="str">
        <f>IF(Table1[Date of Initial Assessment]="","",IF(AND(Table1[Start Date]&gt;42094,Table1[Start Date]&lt;42461),Table1[Emotional and Mental Health],""))</f>
        <v/>
      </c>
      <c r="FH290" s="44" t="str">
        <f>IF(Table1[Date of Initial Assessment]="","",IF(AND(Table1[Start Date]&gt;42094,Table1[Start Date]&lt;42461),Table1[Meaningful Use of Time],""))</f>
        <v/>
      </c>
      <c r="FI290" s="44" t="str">
        <f>IF(Table1[Date of Initial Assessment]="","",IF(AND(Table1[Start Date]&gt;42094,Table1[Start Date]&lt;42461),Table1[Managing Tenancy and Accommodation],""))</f>
        <v/>
      </c>
      <c r="FJ290" s="44" t="str">
        <f>IF(Table1[Date of Initial Assessment]="","",IF(AND(Table1[Start Date]&gt;42094,Table1[Start Date]&lt;42461),Table1[Offending],""))</f>
        <v/>
      </c>
      <c r="FK290" s="44" t="str">
        <f>IF(Table1[Leaving Date]="","",IF(Table1[Date of Initial Assessment]="","",IF(AND(Table1[Leaving Date]&gt;42094,Table1[Leaving Date]&lt;42461),IF(Table1[Date of Last Assessment]="",Table1[Motivation and Taking Responsibility],Table1[Motivation and Taking Responsibility2]),"")))</f>
        <v/>
      </c>
      <c r="FL290" s="44" t="str">
        <f>IF(Table1[Leaving Date]="","",IF(Table1[Date of Initial Assessment]="","",IF(AND(Table1[Leaving Date]&gt;42094,Table1[Leaving Date]&lt;42461),IF(Table1[Date of Last Assessment]="",Table1[Self-Care and Living Skills],Table1[Self-Care and Living Skills2]),"")))</f>
        <v/>
      </c>
      <c r="FM290" s="44" t="str">
        <f>IF(Table1[Leaving Date]="","",IF(Table1[Date of Initial Assessment]="","",IF(AND(Table1[Leaving Date]&gt;42094,Table1[Leaving Date]&lt;42461),IF(Table1[Date of Last Assessment]="",Table1[Managing Money and Personal Administration],Table1[Managing Money and Personal Administration2]),"")))</f>
        <v/>
      </c>
      <c r="FN290" s="44" t="str">
        <f>IF(Table1[Leaving Date]="","",IF(Table1[Date of Initial Assessment]="","",IF(AND(Table1[Leaving Date]&gt;42094,Table1[Leaving Date]&lt;42461),IF(Table1[Date of Last Assessment]="",Table1[Social Networks and Relationships],Table1[Social Networks and Relationships2]),"")))</f>
        <v/>
      </c>
      <c r="FO290" s="44" t="str">
        <f>IF(Table1[Leaving Date]="","",IF(Table1[Date of Initial Assessment]="","",IF(AND(Table1[Leaving Date]&gt;42094,Table1[Leaving Date]&lt;42461),IF(Table1[Date of Last Assessment]="",Table1[Drug and Alcohol Misuse],Table1[Drug and Alcohol Misuse2]),"")))</f>
        <v/>
      </c>
      <c r="FP290" s="44" t="str">
        <f>IF(Table1[Leaving Date]="","",IF(Table1[Date of Initial Assessment]="","",IF(AND(Table1[Leaving Date]&gt;42094,Table1[Leaving Date]&lt;42461),IF(Table1[Date of Last Assessment]="",Table1[Physical Health],Table1[Physical Health2]),"")))</f>
        <v/>
      </c>
      <c r="FQ290" s="44" t="str">
        <f>IF(Table1[Leaving Date]="","",IF(Table1[Date of Initial Assessment]="","",IF(AND(Table1[Leaving Date]&gt;42094,Table1[Leaving Date]&lt;42461),IF(Table1[Date of Last Assessment]="",Table1[Emotional and Mental Health],Table1[Emotional and Mental Health2]),"")))</f>
        <v/>
      </c>
      <c r="FR290" s="44" t="str">
        <f>IF(Table1[Leaving Date]="","",IF(Table1[Date of Initial Assessment]="","",IF(AND(Table1[Leaving Date]&gt;42094,Table1[Leaving Date]&lt;42461),IF(Table1[Date of Last Assessment]="",Table1[Meaningful Use of Time],Table1[Meaningful Use of Time2]),"")))</f>
        <v/>
      </c>
      <c r="FS290" s="44" t="str">
        <f>IF(Table1[Leaving Date]="","",IF(Table1[Date of Initial Assessment]="","",IF(AND(Table1[Leaving Date]&gt;42094,Table1[Leaving Date]&lt;42461),IF(Table1[Date of Last Assessment]="",Table1[Managing Tenancy and Accommodation],Table1[Managing Tenancy and Accommodation2]),"")))</f>
        <v/>
      </c>
      <c r="FT290" s="44" t="str">
        <f>IF(Table1[Leaving Date]="","",IF(Table1[Date of Initial Assessment]="","",IF(AND(Table1[Leaving Date]&gt;42094,Table1[Leaving Date]&lt;42461),IF(Table1[Date of Last Assessment]="",Table1[Offending],Table1[Offending2]),"")))</f>
        <v/>
      </c>
      <c r="FU290" s="44" t="str">
        <f>IF(Table1[Date of Initial Assessment]="","",IF(AND(Table1[Start Date]&gt;42460,Table1[Start Date]&lt;42826),Table1[Motivation and Taking Responsibility],""))</f>
        <v/>
      </c>
      <c r="FV290" s="44" t="str">
        <f>IF(Table1[Date of Initial Assessment]="","",IF(AND(Table1[Start Date]&gt;42460,Table1[Start Date]&lt;42826),Table1[Self-Care and Living Skills],""))</f>
        <v/>
      </c>
      <c r="FW290" s="44" t="str">
        <f>IF(Table1[Date of Initial Assessment]="","",IF(AND(Table1[Start Date]&gt;42460,Table1[Start Date]&lt;42826),Table1[Managing Money and Personal Administration],""))</f>
        <v/>
      </c>
      <c r="FX290" s="44" t="str">
        <f>IF(Table1[Date of Initial Assessment]="","",IF(AND(Table1[Start Date]&gt;42460,Table1[Start Date]&lt;42826),Table1[Social Networks and Relationships],""))</f>
        <v/>
      </c>
      <c r="FY290" s="44" t="str">
        <f>IF(Table1[Date of Initial Assessment]="","",IF(AND(Table1[Start Date]&gt;42460,Table1[Start Date]&lt;42826),Table1[Drug and Alcohol Misuse],""))</f>
        <v/>
      </c>
      <c r="FZ290" s="44" t="str">
        <f>IF(Table1[Date of Initial Assessment]="","",IF(AND(Table1[Start Date]&gt;42460,Table1[Start Date]&lt;42826),Table1[Physical Health],""))</f>
        <v/>
      </c>
      <c r="GA290" s="44" t="str">
        <f>IF(Table1[Date of Initial Assessment]="","",IF(AND(Table1[Start Date]&gt;42460,Table1[Start Date]&lt;42826),Table1[Emotional and Mental Health],""))</f>
        <v/>
      </c>
      <c r="GB290" s="44" t="str">
        <f>IF(Table1[Date of Initial Assessment]="","",IF(AND(Table1[Start Date]&gt;42460,Table1[Start Date]&lt;42826),Table1[Meaningful Use of Time],""))</f>
        <v/>
      </c>
      <c r="GC290" s="44" t="str">
        <f>IF(Table1[Date of Initial Assessment]="","",IF(AND(Table1[Start Date]&gt;42460,Table1[Start Date]&lt;42826),Table1[Managing Tenancy and Accommodation],""))</f>
        <v/>
      </c>
      <c r="GD290" s="44" t="str">
        <f>IF(Table1[Date of Initial Assessment]="","",IF(AND(Table1[Start Date]&gt;42460,Table1[Start Date]&lt;42826),Table1[Offending],""))</f>
        <v/>
      </c>
      <c r="GE290" s="44" t="str">
        <f>IF(Table1[Leaving Date]="","",IF(AND(Table1[Leaving Date]&gt;42460,Table1[Leaving Date]&lt;42826),IF(Table1[Date of Last Assessment]="",Table1[Motivation and Taking Responsibility],Table1[Motivation and Taking Responsibility2]),""))</f>
        <v/>
      </c>
      <c r="GF290" s="44" t="str">
        <f>IF(Table1[Leaving Date]="","",IF(AND(Table1[Leaving Date]&gt;42460,Table1[Leaving Date]&lt;42826),IF(Table1[Date of Last Assessment]="",Table1[Self-Care and Living Skills],Table1[Self-Care and Living Skills2]),""))</f>
        <v/>
      </c>
      <c r="GG290" s="44" t="str">
        <f>IF(Table1[Leaving Date]="","",IF(AND(Table1[Leaving Date]&gt;42460,Table1[Leaving Date]&lt;42826),IF(Table1[Date of Last Assessment]="",Table1[Managing Money and Personal Administration],Table1[Managing Money and Personal Administration2]),""))</f>
        <v/>
      </c>
      <c r="GH290" s="44" t="str">
        <f>IF(Table1[Leaving Date]="","",IF(AND(Table1[Leaving Date]&gt;42460,Table1[Leaving Date]&lt;42826),IF(Table1[Date of Last Assessment]="",Table1[Social Networks and Relationships],Table1[Social Networks and Relationships2]),""))</f>
        <v/>
      </c>
      <c r="GI290" s="44" t="str">
        <f>IF(Table1[Leaving Date]="","",IF(AND(Table1[Leaving Date]&gt;42460,Table1[Leaving Date]&lt;42826),IF(Table1[Date of Last Assessment]="",Table1[Drug and Alcohol Misuse],Table1[Drug and Alcohol Misuse2]),""))</f>
        <v/>
      </c>
      <c r="GJ290" s="44" t="str">
        <f>IF(Table1[Leaving Date]="","",IF(AND(Table1[Leaving Date]&gt;42460,Table1[Leaving Date]&lt;42826),IF(Table1[Date of Last Assessment]="",Table1[Physical Health],Table1[Physical Health2]),""))</f>
        <v/>
      </c>
      <c r="GK290" s="44" t="str">
        <f>IF(Table1[Leaving Date]="","",IF(AND(Table1[Leaving Date]&gt;42460,Table1[Leaving Date]&lt;42826),IF(Table1[Date of Last Assessment]="",Table1[Emotional and Mental Health],Table1[Emotional and Mental Health2]),""))</f>
        <v/>
      </c>
      <c r="GL290" s="44" t="str">
        <f>IF(Table1[Leaving Date]="","",IF(AND(Table1[Leaving Date]&gt;42460,Table1[Leaving Date]&lt;42826),IF(Table1[Date of Last Assessment]="",Table1[Meaningful Use of Time],Table1[Meaningful Use of Time2]),""))</f>
        <v/>
      </c>
      <c r="GM290" s="44" t="str">
        <f>IF(Table1[Leaving Date]="","",IF(AND(Table1[Leaving Date]&gt;42460,Table1[Leaving Date]&lt;42826),IF(Table1[Date of Last Assessment]="",Table1[Managing Tenancy and Accommodation],Table1[Managing Tenancy and Accommodation2]),""))</f>
        <v/>
      </c>
      <c r="GN290" s="44" t="str">
        <f>IF(Table1[Leaving Date]="","",IF(AND(Table1[Leaving Date]&gt;42460,Table1[Leaving Date]&lt;42826),IF(Table1[Date of Last Assessment]="",Table1[Offending],Table1[Offending2]),""))</f>
        <v/>
      </c>
    </row>
    <row r="291" spans="2:196" ht="20.100000000000001" customHeight="1" x14ac:dyDescent="0.2">
      <c r="B291" s="86">
        <f>+'Service Data'!$C$5:$C$5</f>
        <v>0</v>
      </c>
      <c r="C291" s="86"/>
      <c r="D291" s="86"/>
      <c r="E291" s="86"/>
      <c r="F291" s="86"/>
      <c r="G291" s="86"/>
      <c r="H291" s="6"/>
      <c r="I291" s="99" t="str">
        <f ca="1">IF(Table1[[#This Row],[Date of Birth]]="","",SUM(TODAY()-Table1[[#This Row],[Date of Birth]])/365)</f>
        <v/>
      </c>
      <c r="L291" s="86"/>
      <c r="M291" s="77"/>
      <c r="N291" s="86"/>
      <c r="O291" s="86"/>
      <c r="P291" s="91"/>
      <c r="Q291" s="86"/>
      <c r="R291" s="77"/>
      <c r="S291" s="77"/>
      <c r="T291" s="68"/>
      <c r="U291" s="68"/>
      <c r="V291" s="67"/>
      <c r="W291" s="67"/>
      <c r="X291" s="67"/>
      <c r="Y291" s="67"/>
      <c r="Z291" s="67"/>
      <c r="AA291" s="67"/>
      <c r="AB291" s="67"/>
      <c r="AC291" s="67"/>
      <c r="AD291" s="67"/>
      <c r="AE291" s="67"/>
      <c r="AF291" s="67"/>
      <c r="AG291" s="67"/>
      <c r="AH291" s="67"/>
      <c r="AI291" s="67"/>
      <c r="AJ291" s="67"/>
      <c r="AK291" s="67"/>
      <c r="AL291" s="67"/>
      <c r="AM291" s="67"/>
      <c r="AN291" s="77"/>
      <c r="AO291" s="76"/>
      <c r="AP291" s="77"/>
      <c r="AQ291" s="76"/>
      <c r="AR291" s="76"/>
      <c r="AS291" s="76"/>
      <c r="AT291" s="76"/>
      <c r="AU291" s="76"/>
      <c r="AV291" s="77"/>
      <c r="AW291" s="76"/>
      <c r="AX291" s="77"/>
      <c r="AY291" s="76"/>
      <c r="AZ291" s="76"/>
      <c r="BA291" s="76"/>
      <c r="BB291" s="76"/>
      <c r="BC291" s="76"/>
      <c r="BD291" s="77"/>
      <c r="BE291" s="76"/>
      <c r="BF291" s="77"/>
      <c r="BG291" s="76"/>
      <c r="BH291" s="76"/>
      <c r="BI291" s="76"/>
      <c r="BJ291" s="76"/>
      <c r="BK291" s="76"/>
      <c r="BL291" s="77"/>
      <c r="BM291" s="76"/>
      <c r="BN291" s="77"/>
      <c r="BO291" s="76"/>
      <c r="BP291" s="76"/>
      <c r="BQ291" s="76"/>
      <c r="BR291" s="76"/>
      <c r="BS291" s="76"/>
      <c r="BT291" s="77"/>
      <c r="BU291" s="76"/>
      <c r="BV291" s="77"/>
      <c r="BW291" s="76"/>
      <c r="BX291" s="76"/>
      <c r="BY291" s="76"/>
      <c r="BZ291" s="76"/>
      <c r="CA291" s="76"/>
      <c r="CB291" s="77"/>
      <c r="CC291" s="76"/>
      <c r="CD291" s="77"/>
      <c r="CE291" s="76"/>
      <c r="CF291" s="76"/>
      <c r="CG291" s="76"/>
      <c r="CH291" s="76"/>
      <c r="CI291" s="76"/>
      <c r="CJ291" s="77"/>
      <c r="CK291" s="76"/>
      <c r="CL291" s="77"/>
      <c r="CM291" s="76"/>
      <c r="CN291" s="76"/>
      <c r="CO291" s="76"/>
      <c r="CP291" s="76"/>
      <c r="CQ291" s="76"/>
      <c r="CR291" s="78" t="str">
        <f t="shared" si="79"/>
        <v/>
      </c>
      <c r="CS291" s="79" t="str">
        <f t="shared" si="80"/>
        <v/>
      </c>
      <c r="CT291" s="79" t="str">
        <f t="shared" si="81"/>
        <v/>
      </c>
      <c r="CU291" s="79" t="str">
        <f t="shared" si="82"/>
        <v/>
      </c>
      <c r="CV291" s="79" t="str">
        <f t="shared" si="83"/>
        <v/>
      </c>
      <c r="CW291" s="79" t="str">
        <f t="shared" si="84"/>
        <v/>
      </c>
      <c r="CX291" s="79" t="str">
        <f t="shared" si="85"/>
        <v/>
      </c>
      <c r="CY291" s="79" t="str">
        <f t="shared" si="86"/>
        <v/>
      </c>
      <c r="CZ291" s="79" t="str">
        <f t="shared" si="87"/>
        <v/>
      </c>
      <c r="DA291" s="79" t="str">
        <f t="shared" si="88"/>
        <v/>
      </c>
      <c r="DB291" s="79" t="str">
        <f t="shared" si="89"/>
        <v/>
      </c>
      <c r="DC291" s="79" t="str">
        <f t="shared" si="90"/>
        <v/>
      </c>
      <c r="DD291" s="79" t="str">
        <f t="shared" si="91"/>
        <v/>
      </c>
      <c r="DE291" s="79" t="str">
        <f t="shared" si="92"/>
        <v/>
      </c>
      <c r="DF291" s="79" t="str">
        <f t="shared" si="93"/>
        <v/>
      </c>
      <c r="DG291" s="79" t="str">
        <f t="shared" si="94"/>
        <v/>
      </c>
      <c r="DH291" s="76"/>
      <c r="DI291" s="78"/>
      <c r="DJ291" s="76"/>
      <c r="DK291" s="77"/>
      <c r="DL291" s="77"/>
      <c r="DM291" s="77"/>
      <c r="DN291" s="80"/>
      <c r="DO291" s="80"/>
      <c r="DP291" s="92" t="str">
        <f>IF(Table1[Start Date]="","",IF(Table1[Start Date]&gt;42185,"",IF(AND(Table1[Leaving Date]&gt;1,Table1[Leaving Date]&lt;42095),"",1)))</f>
        <v/>
      </c>
      <c r="DQ291" s="92" t="str">
        <f>IF(Table1[Start Date]="","",IF(Table1[Start Date]&gt;42277,"",IF(AND(Table1[Leaving Date]&gt;1,Table1[Leaving Date]&lt;42186),"",1)))</f>
        <v/>
      </c>
      <c r="DR291" s="92" t="str">
        <f>IF(Table1[Start Date]="","",IF(Table1[Start Date]&gt;42369,"",IF(AND(Table1[Leaving Date]&gt;1,Table1[Leaving Date]&lt;42278),"",1)))</f>
        <v/>
      </c>
      <c r="DS291" s="92" t="str">
        <f>IF(Table1[Start Date]="","",IF(Table1[Start Date]&gt;42460,"",IF(AND(Table1[Leaving Date]&gt;1,Table1[Leaving Date]&lt;42370),"",1)))</f>
        <v/>
      </c>
      <c r="DT291" s="92" t="str">
        <f>IF(Table1[Start Date]="","",IF(Table1[Start Date]&gt;42551,"",IF(AND(Table1[Leaving Date]&gt;1,Table1[Leaving Date]&lt;42461),"",1)))</f>
        <v/>
      </c>
      <c r="DU291" s="92" t="str">
        <f>IF(Table1[Start Date]="","",IF(Table1[Start Date]&gt;42643,"",IF(AND(Table1[Leaving Date]&gt;1,Table1[Leaving Date]&lt;42552),"",1)))</f>
        <v/>
      </c>
      <c r="DV291" s="92" t="str">
        <f>IF(Table1[Start Date]="","",IF(Table1[Start Date]&gt;42735,"",IF(AND(Table1[Leaving Date]&gt;1,Table1[Leaving Date]&lt;42644),"",1)))</f>
        <v/>
      </c>
      <c r="DW291" s="92" t="str">
        <f>IF(Table1[Start Date]="","",IF(Table1[Start Date]&gt;42825,"",IF(AND(Table1[Leaving Date]&gt;1,Table1[Leaving Date]&lt;42736),"",1)))</f>
        <v/>
      </c>
      <c r="DX291"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291" s="44" t="e">
        <f>VLOOKUP(Table1[Referral Source],Lists!$G$2:$H$20,2,FALSE)</f>
        <v>#N/A</v>
      </c>
      <c r="DZ291" s="93" t="e">
        <f>SUM(Table1[Data Referral Quarter]+Table1[Data Referral Source])</f>
        <v>#N/A</v>
      </c>
      <c r="EA291" s="44" t="b">
        <f>IF(Table1[Referral Decision]="Accepted",100,IF(Table1[Referral Decision]="Rejected by Provider",200,IF(Table1[Referral Decision]="Rejected by Applicant",300)))</f>
        <v>0</v>
      </c>
      <c r="EB291" s="44">
        <f>SUM(Table1[Data Referral Quarter]+Table1[Data Referral Decision])</f>
        <v>0</v>
      </c>
      <c r="EC291" s="44" t="b">
        <f>IF(Table1[Start Date]&gt;42735,8000,IF(Table1[Start Date]&gt;42643,7000,IF(Table1[Start Date]&gt;42551,6000,IF(Table1[Start Date]&gt;42460,5000,IF(Table1[Start Date]&gt;42369,4000,IF(Table1[Start Date]&gt;42277,3000,IF(Table1[Start Date]&gt;42185,2000,IF(Table1[Start Date]&gt;42094,1000))))))))</f>
        <v>0</v>
      </c>
      <c r="ED291" s="44" t="str">
        <f>IF(Table1[Start Date]="","",IF(Table1[Current Local Authority]="Swindon",1,"2"))</f>
        <v/>
      </c>
      <c r="EE291" s="44" t="e">
        <f>SUM(Table1[Data Start Date]+Table1[Data Local Authority])</f>
        <v>#VALUE!</v>
      </c>
      <c r="EF291" s="44">
        <f>IF(Table1[Registered with GP]="Yes",1,0)</f>
        <v>0</v>
      </c>
      <c r="EG291" s="44">
        <f>SUM(Table1[Data Start Date]+Table1[Data GP Start])</f>
        <v>0</v>
      </c>
      <c r="EH291" s="44" t="str">
        <f>IF(Table1[EET]="NEET",1,IF(Table1[EET]="Education",2,IF(Table1[EET]="Employment",2,IF(Table1[EET]="Training",2,IF(Table1[EET]="Retired",3,"")))))</f>
        <v/>
      </c>
      <c r="EI291" s="44" t="e">
        <f>Table1[Data Start Date]+Table1[Data EET Start]</f>
        <v>#VALUE!</v>
      </c>
      <c r="EJ291" s="44" t="b">
        <f>IF(Table1[Leaving Date]&gt;42735,8000,IF(Table1[Leaving Date]&gt;42643,7000,IF(Table1[Leaving Date]&gt;42551,6000,IF(Table1[Leaving Date]&gt;42460,5000,IF(Table1[Leaving Date]&gt;42369,4000,IF(Table1[Leaving Date]&gt;42277,3000,IF(Table1[Leaving Date]&gt;42185,2000,IF(Table1[Leaving Date]&gt;42094,1000))))))))</f>
        <v>0</v>
      </c>
      <c r="EK291" s="44" t="e">
        <f>VLOOKUP(Table1[Reason for Leaving],Lists!$T$2:$U$15,2,FALSE)</f>
        <v>#N/A</v>
      </c>
      <c r="EL291" s="44" t="e">
        <f>SUM(Table1[Data Leavers Date]+Table1[Data Move On])</f>
        <v>#N/A</v>
      </c>
      <c r="EM291" s="44" t="b">
        <f>IF(Table1[Registered with GP2]="Yes",1,IF(Table1[Registered with GP2]="No",0,IF(Table1[Registered with GP]="Yes",1,IF(Table1[Registered with GP]="No",0))))</f>
        <v>0</v>
      </c>
      <c r="EN291" s="44">
        <f>SUM(Table1[Data Leavers Date]+Table1[Data GP End])</f>
        <v>0</v>
      </c>
      <c r="EO291" s="44" t="str">
        <f>IF(Table1[EET2]="NEET",1,IF(Table1[EET2]="Employment",2,IF(Table1[EET2]="Education",2,IF(Table1[EET2]="Training",2,IF(Table1[EET2]="Retired",3,IF(Table1[EET]="NEET",1,IF(Table1[EET]="Employment",2,IF(Table1[EET]="Education",2,IF(Table1[EET]="Training",2,IF(Table1[EET]="Retired",3,""))))))))))</f>
        <v/>
      </c>
      <c r="EP291" s="44" t="e">
        <f>+Table1[[#This Row],[Data Leavers Date]]+Table1[[#This Row],[Data EET End]]</f>
        <v>#VALUE!</v>
      </c>
      <c r="EQ291" s="44">
        <f>IF(Table1[Exit Form Received]="Yes",1,0)</f>
        <v>0</v>
      </c>
      <c r="ER291" s="44">
        <f>+Table1[[#This Row],[Data Leavers Date]]+Table1[[#This Row],[Data Exit Forms]]</f>
        <v>0</v>
      </c>
      <c r="ES291" s="44" t="str">
        <f>IF(Table1[Data Leavers Date]=1000,SUM(Table1[Leaving Date]-Table1[Start Date]),"")</f>
        <v/>
      </c>
      <c r="ET291" s="44" t="str">
        <f>IF(Table1[Data Leavers Date]=2000,SUM(Table1[Leaving Date]-Table1[Start Date]),"")</f>
        <v/>
      </c>
      <c r="EU291" s="44" t="str">
        <f>IF(Table1[Data Leavers Date]=3000,SUM(Table1[Leaving Date]-Table1[Start Date]),"")</f>
        <v/>
      </c>
      <c r="EV291" s="44" t="str">
        <f>IF(Table1[Data Leavers Date]=4000,SUM(Table1[Leaving Date]-Table1[Start Date]),"")</f>
        <v/>
      </c>
      <c r="EW291" s="44" t="str">
        <f>IF(Table1[Data Leavers Date]=5000,SUM(Table1[Leaving Date]-Table1[Start Date]),"")</f>
        <v/>
      </c>
      <c r="EX291" s="44" t="str">
        <f>IF(Table1[Data Leavers Date]=6000,SUM(Table1[Leaving Date]-Table1[Start Date]),"")</f>
        <v/>
      </c>
      <c r="EY291" s="44" t="str">
        <f>IF(Table1[Data Leavers Date]=7000,SUM(Table1[Leaving Date]-Table1[Start Date]),"")</f>
        <v/>
      </c>
      <c r="EZ291" s="44" t="str">
        <f>IF(Table1[Data Leavers Date]=8000,SUM(Table1[Leaving Date]-Table1[Start Date]),"")</f>
        <v/>
      </c>
      <c r="FA291" s="44" t="str">
        <f>IF(Table1[Date of Initial Assessment]="","",IF(AND(Table1[Start Date]&gt;42094,Table1[Start Date]&lt;42461),Table1[Motivation and Taking Responsibility],""))</f>
        <v/>
      </c>
      <c r="FB291" s="44" t="str">
        <f>IF(Table1[Date of Initial Assessment]="","",IF(AND(Table1[Start Date]&gt;42094,Table1[Start Date]&lt;42461),Table1[Self-Care and Living Skills],""))</f>
        <v/>
      </c>
      <c r="FC291" s="44" t="str">
        <f>IF(Table1[Date of Initial Assessment]="","",IF(AND(Table1[Start Date]&gt;42094,Table1[Start Date]&lt;42461),Table1[Managing Money and Personal Administration],""))</f>
        <v/>
      </c>
      <c r="FD291" s="44" t="str">
        <f>IF(Table1[Date of Initial Assessment]="","",IF(AND(Table1[Start Date]&gt;42094,Table1[Start Date]&lt;42461),Table1[Social Networks and Relationships],""))</f>
        <v/>
      </c>
      <c r="FE291" s="44" t="str">
        <f>IF(Table1[Date of Initial Assessment]="","",IF(AND(Table1[Start Date]&gt;42094,Table1[Start Date]&lt;42461),Table1[Drug and Alcohol Misuse],""))</f>
        <v/>
      </c>
      <c r="FF291" s="44" t="str">
        <f>IF(Table1[Date of Initial Assessment]="","",IF(AND(Table1[Start Date]&gt;42094,Table1[Start Date]&lt;42461),Table1[Physical Health],""))</f>
        <v/>
      </c>
      <c r="FG291" s="44" t="str">
        <f>IF(Table1[Date of Initial Assessment]="","",IF(AND(Table1[Start Date]&gt;42094,Table1[Start Date]&lt;42461),Table1[Emotional and Mental Health],""))</f>
        <v/>
      </c>
      <c r="FH291" s="44" t="str">
        <f>IF(Table1[Date of Initial Assessment]="","",IF(AND(Table1[Start Date]&gt;42094,Table1[Start Date]&lt;42461),Table1[Meaningful Use of Time],""))</f>
        <v/>
      </c>
      <c r="FI291" s="44" t="str">
        <f>IF(Table1[Date of Initial Assessment]="","",IF(AND(Table1[Start Date]&gt;42094,Table1[Start Date]&lt;42461),Table1[Managing Tenancy and Accommodation],""))</f>
        <v/>
      </c>
      <c r="FJ291" s="44" t="str">
        <f>IF(Table1[Date of Initial Assessment]="","",IF(AND(Table1[Start Date]&gt;42094,Table1[Start Date]&lt;42461),Table1[Offending],""))</f>
        <v/>
      </c>
      <c r="FK291" s="44" t="str">
        <f>IF(Table1[Leaving Date]="","",IF(Table1[Date of Initial Assessment]="","",IF(AND(Table1[Leaving Date]&gt;42094,Table1[Leaving Date]&lt;42461),IF(Table1[Date of Last Assessment]="",Table1[Motivation and Taking Responsibility],Table1[Motivation and Taking Responsibility2]),"")))</f>
        <v/>
      </c>
      <c r="FL291" s="44" t="str">
        <f>IF(Table1[Leaving Date]="","",IF(Table1[Date of Initial Assessment]="","",IF(AND(Table1[Leaving Date]&gt;42094,Table1[Leaving Date]&lt;42461),IF(Table1[Date of Last Assessment]="",Table1[Self-Care and Living Skills],Table1[Self-Care and Living Skills2]),"")))</f>
        <v/>
      </c>
      <c r="FM291" s="44" t="str">
        <f>IF(Table1[Leaving Date]="","",IF(Table1[Date of Initial Assessment]="","",IF(AND(Table1[Leaving Date]&gt;42094,Table1[Leaving Date]&lt;42461),IF(Table1[Date of Last Assessment]="",Table1[Managing Money and Personal Administration],Table1[Managing Money and Personal Administration2]),"")))</f>
        <v/>
      </c>
      <c r="FN291" s="44" t="str">
        <f>IF(Table1[Leaving Date]="","",IF(Table1[Date of Initial Assessment]="","",IF(AND(Table1[Leaving Date]&gt;42094,Table1[Leaving Date]&lt;42461),IF(Table1[Date of Last Assessment]="",Table1[Social Networks and Relationships],Table1[Social Networks and Relationships2]),"")))</f>
        <v/>
      </c>
      <c r="FO291" s="44" t="str">
        <f>IF(Table1[Leaving Date]="","",IF(Table1[Date of Initial Assessment]="","",IF(AND(Table1[Leaving Date]&gt;42094,Table1[Leaving Date]&lt;42461),IF(Table1[Date of Last Assessment]="",Table1[Drug and Alcohol Misuse],Table1[Drug and Alcohol Misuse2]),"")))</f>
        <v/>
      </c>
      <c r="FP291" s="44" t="str">
        <f>IF(Table1[Leaving Date]="","",IF(Table1[Date of Initial Assessment]="","",IF(AND(Table1[Leaving Date]&gt;42094,Table1[Leaving Date]&lt;42461),IF(Table1[Date of Last Assessment]="",Table1[Physical Health],Table1[Physical Health2]),"")))</f>
        <v/>
      </c>
      <c r="FQ291" s="44" t="str">
        <f>IF(Table1[Leaving Date]="","",IF(Table1[Date of Initial Assessment]="","",IF(AND(Table1[Leaving Date]&gt;42094,Table1[Leaving Date]&lt;42461),IF(Table1[Date of Last Assessment]="",Table1[Emotional and Mental Health],Table1[Emotional and Mental Health2]),"")))</f>
        <v/>
      </c>
      <c r="FR291" s="44" t="str">
        <f>IF(Table1[Leaving Date]="","",IF(Table1[Date of Initial Assessment]="","",IF(AND(Table1[Leaving Date]&gt;42094,Table1[Leaving Date]&lt;42461),IF(Table1[Date of Last Assessment]="",Table1[Meaningful Use of Time],Table1[Meaningful Use of Time2]),"")))</f>
        <v/>
      </c>
      <c r="FS291" s="44" t="str">
        <f>IF(Table1[Leaving Date]="","",IF(Table1[Date of Initial Assessment]="","",IF(AND(Table1[Leaving Date]&gt;42094,Table1[Leaving Date]&lt;42461),IF(Table1[Date of Last Assessment]="",Table1[Managing Tenancy and Accommodation],Table1[Managing Tenancy and Accommodation2]),"")))</f>
        <v/>
      </c>
      <c r="FT291" s="44" t="str">
        <f>IF(Table1[Leaving Date]="","",IF(Table1[Date of Initial Assessment]="","",IF(AND(Table1[Leaving Date]&gt;42094,Table1[Leaving Date]&lt;42461),IF(Table1[Date of Last Assessment]="",Table1[Offending],Table1[Offending2]),"")))</f>
        <v/>
      </c>
      <c r="FU291" s="44" t="str">
        <f>IF(Table1[Date of Initial Assessment]="","",IF(AND(Table1[Start Date]&gt;42460,Table1[Start Date]&lt;42826),Table1[Motivation and Taking Responsibility],""))</f>
        <v/>
      </c>
      <c r="FV291" s="44" t="str">
        <f>IF(Table1[Date of Initial Assessment]="","",IF(AND(Table1[Start Date]&gt;42460,Table1[Start Date]&lt;42826),Table1[Self-Care and Living Skills],""))</f>
        <v/>
      </c>
      <c r="FW291" s="44" t="str">
        <f>IF(Table1[Date of Initial Assessment]="","",IF(AND(Table1[Start Date]&gt;42460,Table1[Start Date]&lt;42826),Table1[Managing Money and Personal Administration],""))</f>
        <v/>
      </c>
      <c r="FX291" s="44" t="str">
        <f>IF(Table1[Date of Initial Assessment]="","",IF(AND(Table1[Start Date]&gt;42460,Table1[Start Date]&lt;42826),Table1[Social Networks and Relationships],""))</f>
        <v/>
      </c>
      <c r="FY291" s="44" t="str">
        <f>IF(Table1[Date of Initial Assessment]="","",IF(AND(Table1[Start Date]&gt;42460,Table1[Start Date]&lt;42826),Table1[Drug and Alcohol Misuse],""))</f>
        <v/>
      </c>
      <c r="FZ291" s="44" t="str">
        <f>IF(Table1[Date of Initial Assessment]="","",IF(AND(Table1[Start Date]&gt;42460,Table1[Start Date]&lt;42826),Table1[Physical Health],""))</f>
        <v/>
      </c>
      <c r="GA291" s="44" t="str">
        <f>IF(Table1[Date of Initial Assessment]="","",IF(AND(Table1[Start Date]&gt;42460,Table1[Start Date]&lt;42826),Table1[Emotional and Mental Health],""))</f>
        <v/>
      </c>
      <c r="GB291" s="44" t="str">
        <f>IF(Table1[Date of Initial Assessment]="","",IF(AND(Table1[Start Date]&gt;42460,Table1[Start Date]&lt;42826),Table1[Meaningful Use of Time],""))</f>
        <v/>
      </c>
      <c r="GC291" s="44" t="str">
        <f>IF(Table1[Date of Initial Assessment]="","",IF(AND(Table1[Start Date]&gt;42460,Table1[Start Date]&lt;42826),Table1[Managing Tenancy and Accommodation],""))</f>
        <v/>
      </c>
      <c r="GD291" s="44" t="str">
        <f>IF(Table1[Date of Initial Assessment]="","",IF(AND(Table1[Start Date]&gt;42460,Table1[Start Date]&lt;42826),Table1[Offending],""))</f>
        <v/>
      </c>
      <c r="GE291" s="44" t="str">
        <f>IF(Table1[Leaving Date]="","",IF(AND(Table1[Leaving Date]&gt;42460,Table1[Leaving Date]&lt;42826),IF(Table1[Date of Last Assessment]="",Table1[Motivation and Taking Responsibility],Table1[Motivation and Taking Responsibility2]),""))</f>
        <v/>
      </c>
      <c r="GF291" s="44" t="str">
        <f>IF(Table1[Leaving Date]="","",IF(AND(Table1[Leaving Date]&gt;42460,Table1[Leaving Date]&lt;42826),IF(Table1[Date of Last Assessment]="",Table1[Self-Care and Living Skills],Table1[Self-Care and Living Skills2]),""))</f>
        <v/>
      </c>
      <c r="GG291" s="44" t="str">
        <f>IF(Table1[Leaving Date]="","",IF(AND(Table1[Leaving Date]&gt;42460,Table1[Leaving Date]&lt;42826),IF(Table1[Date of Last Assessment]="",Table1[Managing Money and Personal Administration],Table1[Managing Money and Personal Administration2]),""))</f>
        <v/>
      </c>
      <c r="GH291" s="44" t="str">
        <f>IF(Table1[Leaving Date]="","",IF(AND(Table1[Leaving Date]&gt;42460,Table1[Leaving Date]&lt;42826),IF(Table1[Date of Last Assessment]="",Table1[Social Networks and Relationships],Table1[Social Networks and Relationships2]),""))</f>
        <v/>
      </c>
      <c r="GI291" s="44" t="str">
        <f>IF(Table1[Leaving Date]="","",IF(AND(Table1[Leaving Date]&gt;42460,Table1[Leaving Date]&lt;42826),IF(Table1[Date of Last Assessment]="",Table1[Drug and Alcohol Misuse],Table1[Drug and Alcohol Misuse2]),""))</f>
        <v/>
      </c>
      <c r="GJ291" s="44" t="str">
        <f>IF(Table1[Leaving Date]="","",IF(AND(Table1[Leaving Date]&gt;42460,Table1[Leaving Date]&lt;42826),IF(Table1[Date of Last Assessment]="",Table1[Physical Health],Table1[Physical Health2]),""))</f>
        <v/>
      </c>
      <c r="GK291" s="44" t="str">
        <f>IF(Table1[Leaving Date]="","",IF(AND(Table1[Leaving Date]&gt;42460,Table1[Leaving Date]&lt;42826),IF(Table1[Date of Last Assessment]="",Table1[Emotional and Mental Health],Table1[Emotional and Mental Health2]),""))</f>
        <v/>
      </c>
      <c r="GL291" s="44" t="str">
        <f>IF(Table1[Leaving Date]="","",IF(AND(Table1[Leaving Date]&gt;42460,Table1[Leaving Date]&lt;42826),IF(Table1[Date of Last Assessment]="",Table1[Meaningful Use of Time],Table1[Meaningful Use of Time2]),""))</f>
        <v/>
      </c>
      <c r="GM291" s="44" t="str">
        <f>IF(Table1[Leaving Date]="","",IF(AND(Table1[Leaving Date]&gt;42460,Table1[Leaving Date]&lt;42826),IF(Table1[Date of Last Assessment]="",Table1[Managing Tenancy and Accommodation],Table1[Managing Tenancy and Accommodation2]),""))</f>
        <v/>
      </c>
      <c r="GN291" s="44" t="str">
        <f>IF(Table1[Leaving Date]="","",IF(AND(Table1[Leaving Date]&gt;42460,Table1[Leaving Date]&lt;42826),IF(Table1[Date of Last Assessment]="",Table1[Offending],Table1[Offending2]),""))</f>
        <v/>
      </c>
    </row>
    <row r="292" spans="2:196" ht="20.100000000000001" customHeight="1" x14ac:dyDescent="0.2">
      <c r="B292" s="86">
        <f>+'Service Data'!$C$5:$C$5</f>
        <v>0</v>
      </c>
      <c r="C292" s="86"/>
      <c r="D292" s="86"/>
      <c r="E292" s="86"/>
      <c r="F292" s="86"/>
      <c r="G292" s="86"/>
      <c r="H292" s="6"/>
      <c r="I292" s="99" t="str">
        <f ca="1">IF(Table1[[#This Row],[Date of Birth]]="","",SUM(TODAY()-Table1[[#This Row],[Date of Birth]])/365)</f>
        <v/>
      </c>
      <c r="L292" s="86"/>
      <c r="M292" s="77"/>
      <c r="N292" s="86"/>
      <c r="O292" s="86"/>
      <c r="P292" s="91"/>
      <c r="Q292" s="86"/>
      <c r="R292" s="77"/>
      <c r="S292" s="77"/>
      <c r="T292" s="68"/>
      <c r="U292" s="68"/>
      <c r="V292" s="67"/>
      <c r="W292" s="67"/>
      <c r="X292" s="67"/>
      <c r="Y292" s="67"/>
      <c r="Z292" s="67"/>
      <c r="AA292" s="67"/>
      <c r="AB292" s="67"/>
      <c r="AC292" s="67"/>
      <c r="AD292" s="67"/>
      <c r="AE292" s="67"/>
      <c r="AF292" s="67"/>
      <c r="AG292" s="67"/>
      <c r="AH292" s="67"/>
      <c r="AI292" s="67"/>
      <c r="AJ292" s="67"/>
      <c r="AK292" s="67"/>
      <c r="AL292" s="67"/>
      <c r="AM292" s="67"/>
      <c r="AN292" s="77"/>
      <c r="AO292" s="76"/>
      <c r="AP292" s="77"/>
      <c r="AQ292" s="76"/>
      <c r="AR292" s="76"/>
      <c r="AS292" s="76"/>
      <c r="AT292" s="76"/>
      <c r="AU292" s="76"/>
      <c r="AV292" s="77"/>
      <c r="AW292" s="76"/>
      <c r="AX292" s="77"/>
      <c r="AY292" s="76"/>
      <c r="AZ292" s="76"/>
      <c r="BA292" s="76"/>
      <c r="BB292" s="76"/>
      <c r="BC292" s="76"/>
      <c r="BD292" s="77"/>
      <c r="BE292" s="76"/>
      <c r="BF292" s="77"/>
      <c r="BG292" s="76"/>
      <c r="BH292" s="76"/>
      <c r="BI292" s="76"/>
      <c r="BJ292" s="76"/>
      <c r="BK292" s="76"/>
      <c r="BL292" s="77"/>
      <c r="BM292" s="76"/>
      <c r="BN292" s="77"/>
      <c r="BO292" s="76"/>
      <c r="BP292" s="76"/>
      <c r="BQ292" s="76"/>
      <c r="BR292" s="76"/>
      <c r="BS292" s="76"/>
      <c r="BT292" s="77"/>
      <c r="BU292" s="76"/>
      <c r="BV292" s="77"/>
      <c r="BW292" s="76"/>
      <c r="BX292" s="76"/>
      <c r="BY292" s="76"/>
      <c r="BZ292" s="76"/>
      <c r="CA292" s="76"/>
      <c r="CB292" s="77"/>
      <c r="CC292" s="76"/>
      <c r="CD292" s="77"/>
      <c r="CE292" s="76"/>
      <c r="CF292" s="76"/>
      <c r="CG292" s="76"/>
      <c r="CH292" s="76"/>
      <c r="CI292" s="76"/>
      <c r="CJ292" s="77"/>
      <c r="CK292" s="76"/>
      <c r="CL292" s="77"/>
      <c r="CM292" s="76"/>
      <c r="CN292" s="76"/>
      <c r="CO292" s="76"/>
      <c r="CP292" s="76"/>
      <c r="CQ292" s="76"/>
      <c r="CR292" s="78" t="str">
        <f t="shared" si="79"/>
        <v/>
      </c>
      <c r="CS292" s="79" t="str">
        <f t="shared" si="80"/>
        <v/>
      </c>
      <c r="CT292" s="79" t="str">
        <f t="shared" si="81"/>
        <v/>
      </c>
      <c r="CU292" s="79" t="str">
        <f t="shared" si="82"/>
        <v/>
      </c>
      <c r="CV292" s="79" t="str">
        <f t="shared" si="83"/>
        <v/>
      </c>
      <c r="CW292" s="79" t="str">
        <f t="shared" si="84"/>
        <v/>
      </c>
      <c r="CX292" s="79" t="str">
        <f t="shared" si="85"/>
        <v/>
      </c>
      <c r="CY292" s="79" t="str">
        <f t="shared" si="86"/>
        <v/>
      </c>
      <c r="CZ292" s="79" t="str">
        <f t="shared" si="87"/>
        <v/>
      </c>
      <c r="DA292" s="79" t="str">
        <f t="shared" si="88"/>
        <v/>
      </c>
      <c r="DB292" s="79" t="str">
        <f t="shared" si="89"/>
        <v/>
      </c>
      <c r="DC292" s="79" t="str">
        <f t="shared" si="90"/>
        <v/>
      </c>
      <c r="DD292" s="79" t="str">
        <f t="shared" si="91"/>
        <v/>
      </c>
      <c r="DE292" s="79" t="str">
        <f t="shared" si="92"/>
        <v/>
      </c>
      <c r="DF292" s="79" t="str">
        <f t="shared" si="93"/>
        <v/>
      </c>
      <c r="DG292" s="79" t="str">
        <f t="shared" si="94"/>
        <v/>
      </c>
      <c r="DH292" s="76"/>
      <c r="DI292" s="78"/>
      <c r="DJ292" s="76"/>
      <c r="DK292" s="77"/>
      <c r="DL292" s="77"/>
      <c r="DM292" s="77"/>
      <c r="DN292" s="80"/>
      <c r="DO292" s="80"/>
      <c r="DP292" s="92" t="str">
        <f>IF(Table1[Start Date]="","",IF(Table1[Start Date]&gt;42185,"",IF(AND(Table1[Leaving Date]&gt;1,Table1[Leaving Date]&lt;42095),"",1)))</f>
        <v/>
      </c>
      <c r="DQ292" s="92" t="str">
        <f>IF(Table1[Start Date]="","",IF(Table1[Start Date]&gt;42277,"",IF(AND(Table1[Leaving Date]&gt;1,Table1[Leaving Date]&lt;42186),"",1)))</f>
        <v/>
      </c>
      <c r="DR292" s="92" t="str">
        <f>IF(Table1[Start Date]="","",IF(Table1[Start Date]&gt;42369,"",IF(AND(Table1[Leaving Date]&gt;1,Table1[Leaving Date]&lt;42278),"",1)))</f>
        <v/>
      </c>
      <c r="DS292" s="92" t="str">
        <f>IF(Table1[Start Date]="","",IF(Table1[Start Date]&gt;42460,"",IF(AND(Table1[Leaving Date]&gt;1,Table1[Leaving Date]&lt;42370),"",1)))</f>
        <v/>
      </c>
      <c r="DT292" s="92" t="str">
        <f>IF(Table1[Start Date]="","",IF(Table1[Start Date]&gt;42551,"",IF(AND(Table1[Leaving Date]&gt;1,Table1[Leaving Date]&lt;42461),"",1)))</f>
        <v/>
      </c>
      <c r="DU292" s="92" t="str">
        <f>IF(Table1[Start Date]="","",IF(Table1[Start Date]&gt;42643,"",IF(AND(Table1[Leaving Date]&gt;1,Table1[Leaving Date]&lt;42552),"",1)))</f>
        <v/>
      </c>
      <c r="DV292" s="92" t="str">
        <f>IF(Table1[Start Date]="","",IF(Table1[Start Date]&gt;42735,"",IF(AND(Table1[Leaving Date]&gt;1,Table1[Leaving Date]&lt;42644),"",1)))</f>
        <v/>
      </c>
      <c r="DW292" s="92" t="str">
        <f>IF(Table1[Start Date]="","",IF(Table1[Start Date]&gt;42825,"",IF(AND(Table1[Leaving Date]&gt;1,Table1[Leaving Date]&lt;42736),"",1)))</f>
        <v/>
      </c>
      <c r="DX292"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292" s="44" t="e">
        <f>VLOOKUP(Table1[Referral Source],Lists!$G$2:$H$20,2,FALSE)</f>
        <v>#N/A</v>
      </c>
      <c r="DZ292" s="93" t="e">
        <f>SUM(Table1[Data Referral Quarter]+Table1[Data Referral Source])</f>
        <v>#N/A</v>
      </c>
      <c r="EA292" s="44" t="b">
        <f>IF(Table1[Referral Decision]="Accepted",100,IF(Table1[Referral Decision]="Rejected by Provider",200,IF(Table1[Referral Decision]="Rejected by Applicant",300)))</f>
        <v>0</v>
      </c>
      <c r="EB292" s="44">
        <f>SUM(Table1[Data Referral Quarter]+Table1[Data Referral Decision])</f>
        <v>0</v>
      </c>
      <c r="EC292" s="44" t="b">
        <f>IF(Table1[Start Date]&gt;42735,8000,IF(Table1[Start Date]&gt;42643,7000,IF(Table1[Start Date]&gt;42551,6000,IF(Table1[Start Date]&gt;42460,5000,IF(Table1[Start Date]&gt;42369,4000,IF(Table1[Start Date]&gt;42277,3000,IF(Table1[Start Date]&gt;42185,2000,IF(Table1[Start Date]&gt;42094,1000))))))))</f>
        <v>0</v>
      </c>
      <c r="ED292" s="44" t="str">
        <f>IF(Table1[Start Date]="","",IF(Table1[Current Local Authority]="Swindon",1,"2"))</f>
        <v/>
      </c>
      <c r="EE292" s="44" t="e">
        <f>SUM(Table1[Data Start Date]+Table1[Data Local Authority])</f>
        <v>#VALUE!</v>
      </c>
      <c r="EF292" s="44">
        <f>IF(Table1[Registered with GP]="Yes",1,0)</f>
        <v>0</v>
      </c>
      <c r="EG292" s="44">
        <f>SUM(Table1[Data Start Date]+Table1[Data GP Start])</f>
        <v>0</v>
      </c>
      <c r="EH292" s="44" t="str">
        <f>IF(Table1[EET]="NEET",1,IF(Table1[EET]="Education",2,IF(Table1[EET]="Employment",2,IF(Table1[EET]="Training",2,IF(Table1[EET]="Retired",3,"")))))</f>
        <v/>
      </c>
      <c r="EI292" s="44" t="e">
        <f>Table1[Data Start Date]+Table1[Data EET Start]</f>
        <v>#VALUE!</v>
      </c>
      <c r="EJ292" s="44" t="b">
        <f>IF(Table1[Leaving Date]&gt;42735,8000,IF(Table1[Leaving Date]&gt;42643,7000,IF(Table1[Leaving Date]&gt;42551,6000,IF(Table1[Leaving Date]&gt;42460,5000,IF(Table1[Leaving Date]&gt;42369,4000,IF(Table1[Leaving Date]&gt;42277,3000,IF(Table1[Leaving Date]&gt;42185,2000,IF(Table1[Leaving Date]&gt;42094,1000))))))))</f>
        <v>0</v>
      </c>
      <c r="EK292" s="44" t="e">
        <f>VLOOKUP(Table1[Reason for Leaving],Lists!$T$2:$U$15,2,FALSE)</f>
        <v>#N/A</v>
      </c>
      <c r="EL292" s="44" t="e">
        <f>SUM(Table1[Data Leavers Date]+Table1[Data Move On])</f>
        <v>#N/A</v>
      </c>
      <c r="EM292" s="44" t="b">
        <f>IF(Table1[Registered with GP2]="Yes",1,IF(Table1[Registered with GP2]="No",0,IF(Table1[Registered with GP]="Yes",1,IF(Table1[Registered with GP]="No",0))))</f>
        <v>0</v>
      </c>
      <c r="EN292" s="44">
        <f>SUM(Table1[Data Leavers Date]+Table1[Data GP End])</f>
        <v>0</v>
      </c>
      <c r="EO292" s="44" t="str">
        <f>IF(Table1[EET2]="NEET",1,IF(Table1[EET2]="Employment",2,IF(Table1[EET2]="Education",2,IF(Table1[EET2]="Training",2,IF(Table1[EET2]="Retired",3,IF(Table1[EET]="NEET",1,IF(Table1[EET]="Employment",2,IF(Table1[EET]="Education",2,IF(Table1[EET]="Training",2,IF(Table1[EET]="Retired",3,""))))))))))</f>
        <v/>
      </c>
      <c r="EP292" s="44" t="e">
        <f>+Table1[[#This Row],[Data Leavers Date]]+Table1[[#This Row],[Data EET End]]</f>
        <v>#VALUE!</v>
      </c>
      <c r="EQ292" s="44">
        <f>IF(Table1[Exit Form Received]="Yes",1,0)</f>
        <v>0</v>
      </c>
      <c r="ER292" s="44">
        <f>+Table1[[#This Row],[Data Leavers Date]]+Table1[[#This Row],[Data Exit Forms]]</f>
        <v>0</v>
      </c>
      <c r="ES292" s="44" t="str">
        <f>IF(Table1[Data Leavers Date]=1000,SUM(Table1[Leaving Date]-Table1[Start Date]),"")</f>
        <v/>
      </c>
      <c r="ET292" s="44" t="str">
        <f>IF(Table1[Data Leavers Date]=2000,SUM(Table1[Leaving Date]-Table1[Start Date]),"")</f>
        <v/>
      </c>
      <c r="EU292" s="44" t="str">
        <f>IF(Table1[Data Leavers Date]=3000,SUM(Table1[Leaving Date]-Table1[Start Date]),"")</f>
        <v/>
      </c>
      <c r="EV292" s="44" t="str">
        <f>IF(Table1[Data Leavers Date]=4000,SUM(Table1[Leaving Date]-Table1[Start Date]),"")</f>
        <v/>
      </c>
      <c r="EW292" s="44" t="str">
        <f>IF(Table1[Data Leavers Date]=5000,SUM(Table1[Leaving Date]-Table1[Start Date]),"")</f>
        <v/>
      </c>
      <c r="EX292" s="44" t="str">
        <f>IF(Table1[Data Leavers Date]=6000,SUM(Table1[Leaving Date]-Table1[Start Date]),"")</f>
        <v/>
      </c>
      <c r="EY292" s="44" t="str">
        <f>IF(Table1[Data Leavers Date]=7000,SUM(Table1[Leaving Date]-Table1[Start Date]),"")</f>
        <v/>
      </c>
      <c r="EZ292" s="44" t="str">
        <f>IF(Table1[Data Leavers Date]=8000,SUM(Table1[Leaving Date]-Table1[Start Date]),"")</f>
        <v/>
      </c>
      <c r="FA292" s="44" t="str">
        <f>IF(Table1[Date of Initial Assessment]="","",IF(AND(Table1[Start Date]&gt;42094,Table1[Start Date]&lt;42461),Table1[Motivation and Taking Responsibility],""))</f>
        <v/>
      </c>
      <c r="FB292" s="44" t="str">
        <f>IF(Table1[Date of Initial Assessment]="","",IF(AND(Table1[Start Date]&gt;42094,Table1[Start Date]&lt;42461),Table1[Self-Care and Living Skills],""))</f>
        <v/>
      </c>
      <c r="FC292" s="44" t="str">
        <f>IF(Table1[Date of Initial Assessment]="","",IF(AND(Table1[Start Date]&gt;42094,Table1[Start Date]&lt;42461),Table1[Managing Money and Personal Administration],""))</f>
        <v/>
      </c>
      <c r="FD292" s="44" t="str">
        <f>IF(Table1[Date of Initial Assessment]="","",IF(AND(Table1[Start Date]&gt;42094,Table1[Start Date]&lt;42461),Table1[Social Networks and Relationships],""))</f>
        <v/>
      </c>
      <c r="FE292" s="44" t="str">
        <f>IF(Table1[Date of Initial Assessment]="","",IF(AND(Table1[Start Date]&gt;42094,Table1[Start Date]&lt;42461),Table1[Drug and Alcohol Misuse],""))</f>
        <v/>
      </c>
      <c r="FF292" s="44" t="str">
        <f>IF(Table1[Date of Initial Assessment]="","",IF(AND(Table1[Start Date]&gt;42094,Table1[Start Date]&lt;42461),Table1[Physical Health],""))</f>
        <v/>
      </c>
      <c r="FG292" s="44" t="str">
        <f>IF(Table1[Date of Initial Assessment]="","",IF(AND(Table1[Start Date]&gt;42094,Table1[Start Date]&lt;42461),Table1[Emotional and Mental Health],""))</f>
        <v/>
      </c>
      <c r="FH292" s="44" t="str">
        <f>IF(Table1[Date of Initial Assessment]="","",IF(AND(Table1[Start Date]&gt;42094,Table1[Start Date]&lt;42461),Table1[Meaningful Use of Time],""))</f>
        <v/>
      </c>
      <c r="FI292" s="44" t="str">
        <f>IF(Table1[Date of Initial Assessment]="","",IF(AND(Table1[Start Date]&gt;42094,Table1[Start Date]&lt;42461),Table1[Managing Tenancy and Accommodation],""))</f>
        <v/>
      </c>
      <c r="FJ292" s="44" t="str">
        <f>IF(Table1[Date of Initial Assessment]="","",IF(AND(Table1[Start Date]&gt;42094,Table1[Start Date]&lt;42461),Table1[Offending],""))</f>
        <v/>
      </c>
      <c r="FK292" s="44" t="str">
        <f>IF(Table1[Leaving Date]="","",IF(Table1[Date of Initial Assessment]="","",IF(AND(Table1[Leaving Date]&gt;42094,Table1[Leaving Date]&lt;42461),IF(Table1[Date of Last Assessment]="",Table1[Motivation and Taking Responsibility],Table1[Motivation and Taking Responsibility2]),"")))</f>
        <v/>
      </c>
      <c r="FL292" s="44" t="str">
        <f>IF(Table1[Leaving Date]="","",IF(Table1[Date of Initial Assessment]="","",IF(AND(Table1[Leaving Date]&gt;42094,Table1[Leaving Date]&lt;42461),IF(Table1[Date of Last Assessment]="",Table1[Self-Care and Living Skills],Table1[Self-Care and Living Skills2]),"")))</f>
        <v/>
      </c>
      <c r="FM292" s="44" t="str">
        <f>IF(Table1[Leaving Date]="","",IF(Table1[Date of Initial Assessment]="","",IF(AND(Table1[Leaving Date]&gt;42094,Table1[Leaving Date]&lt;42461),IF(Table1[Date of Last Assessment]="",Table1[Managing Money and Personal Administration],Table1[Managing Money and Personal Administration2]),"")))</f>
        <v/>
      </c>
      <c r="FN292" s="44" t="str">
        <f>IF(Table1[Leaving Date]="","",IF(Table1[Date of Initial Assessment]="","",IF(AND(Table1[Leaving Date]&gt;42094,Table1[Leaving Date]&lt;42461),IF(Table1[Date of Last Assessment]="",Table1[Social Networks and Relationships],Table1[Social Networks and Relationships2]),"")))</f>
        <v/>
      </c>
      <c r="FO292" s="44" t="str">
        <f>IF(Table1[Leaving Date]="","",IF(Table1[Date of Initial Assessment]="","",IF(AND(Table1[Leaving Date]&gt;42094,Table1[Leaving Date]&lt;42461),IF(Table1[Date of Last Assessment]="",Table1[Drug and Alcohol Misuse],Table1[Drug and Alcohol Misuse2]),"")))</f>
        <v/>
      </c>
      <c r="FP292" s="44" t="str">
        <f>IF(Table1[Leaving Date]="","",IF(Table1[Date of Initial Assessment]="","",IF(AND(Table1[Leaving Date]&gt;42094,Table1[Leaving Date]&lt;42461),IF(Table1[Date of Last Assessment]="",Table1[Physical Health],Table1[Physical Health2]),"")))</f>
        <v/>
      </c>
      <c r="FQ292" s="44" t="str">
        <f>IF(Table1[Leaving Date]="","",IF(Table1[Date of Initial Assessment]="","",IF(AND(Table1[Leaving Date]&gt;42094,Table1[Leaving Date]&lt;42461),IF(Table1[Date of Last Assessment]="",Table1[Emotional and Mental Health],Table1[Emotional and Mental Health2]),"")))</f>
        <v/>
      </c>
      <c r="FR292" s="44" t="str">
        <f>IF(Table1[Leaving Date]="","",IF(Table1[Date of Initial Assessment]="","",IF(AND(Table1[Leaving Date]&gt;42094,Table1[Leaving Date]&lt;42461),IF(Table1[Date of Last Assessment]="",Table1[Meaningful Use of Time],Table1[Meaningful Use of Time2]),"")))</f>
        <v/>
      </c>
      <c r="FS292" s="44" t="str">
        <f>IF(Table1[Leaving Date]="","",IF(Table1[Date of Initial Assessment]="","",IF(AND(Table1[Leaving Date]&gt;42094,Table1[Leaving Date]&lt;42461),IF(Table1[Date of Last Assessment]="",Table1[Managing Tenancy and Accommodation],Table1[Managing Tenancy and Accommodation2]),"")))</f>
        <v/>
      </c>
      <c r="FT292" s="44" t="str">
        <f>IF(Table1[Leaving Date]="","",IF(Table1[Date of Initial Assessment]="","",IF(AND(Table1[Leaving Date]&gt;42094,Table1[Leaving Date]&lt;42461),IF(Table1[Date of Last Assessment]="",Table1[Offending],Table1[Offending2]),"")))</f>
        <v/>
      </c>
      <c r="FU292" s="44" t="str">
        <f>IF(Table1[Date of Initial Assessment]="","",IF(AND(Table1[Start Date]&gt;42460,Table1[Start Date]&lt;42826),Table1[Motivation and Taking Responsibility],""))</f>
        <v/>
      </c>
      <c r="FV292" s="44" t="str">
        <f>IF(Table1[Date of Initial Assessment]="","",IF(AND(Table1[Start Date]&gt;42460,Table1[Start Date]&lt;42826),Table1[Self-Care and Living Skills],""))</f>
        <v/>
      </c>
      <c r="FW292" s="44" t="str">
        <f>IF(Table1[Date of Initial Assessment]="","",IF(AND(Table1[Start Date]&gt;42460,Table1[Start Date]&lt;42826),Table1[Managing Money and Personal Administration],""))</f>
        <v/>
      </c>
      <c r="FX292" s="44" t="str">
        <f>IF(Table1[Date of Initial Assessment]="","",IF(AND(Table1[Start Date]&gt;42460,Table1[Start Date]&lt;42826),Table1[Social Networks and Relationships],""))</f>
        <v/>
      </c>
      <c r="FY292" s="44" t="str">
        <f>IF(Table1[Date of Initial Assessment]="","",IF(AND(Table1[Start Date]&gt;42460,Table1[Start Date]&lt;42826),Table1[Drug and Alcohol Misuse],""))</f>
        <v/>
      </c>
      <c r="FZ292" s="44" t="str">
        <f>IF(Table1[Date of Initial Assessment]="","",IF(AND(Table1[Start Date]&gt;42460,Table1[Start Date]&lt;42826),Table1[Physical Health],""))</f>
        <v/>
      </c>
      <c r="GA292" s="44" t="str">
        <f>IF(Table1[Date of Initial Assessment]="","",IF(AND(Table1[Start Date]&gt;42460,Table1[Start Date]&lt;42826),Table1[Emotional and Mental Health],""))</f>
        <v/>
      </c>
      <c r="GB292" s="44" t="str">
        <f>IF(Table1[Date of Initial Assessment]="","",IF(AND(Table1[Start Date]&gt;42460,Table1[Start Date]&lt;42826),Table1[Meaningful Use of Time],""))</f>
        <v/>
      </c>
      <c r="GC292" s="44" t="str">
        <f>IF(Table1[Date of Initial Assessment]="","",IF(AND(Table1[Start Date]&gt;42460,Table1[Start Date]&lt;42826),Table1[Managing Tenancy and Accommodation],""))</f>
        <v/>
      </c>
      <c r="GD292" s="44" t="str">
        <f>IF(Table1[Date of Initial Assessment]="","",IF(AND(Table1[Start Date]&gt;42460,Table1[Start Date]&lt;42826),Table1[Offending],""))</f>
        <v/>
      </c>
      <c r="GE292" s="44" t="str">
        <f>IF(Table1[Leaving Date]="","",IF(AND(Table1[Leaving Date]&gt;42460,Table1[Leaving Date]&lt;42826),IF(Table1[Date of Last Assessment]="",Table1[Motivation and Taking Responsibility],Table1[Motivation and Taking Responsibility2]),""))</f>
        <v/>
      </c>
      <c r="GF292" s="44" t="str">
        <f>IF(Table1[Leaving Date]="","",IF(AND(Table1[Leaving Date]&gt;42460,Table1[Leaving Date]&lt;42826),IF(Table1[Date of Last Assessment]="",Table1[Self-Care and Living Skills],Table1[Self-Care and Living Skills2]),""))</f>
        <v/>
      </c>
      <c r="GG292" s="44" t="str">
        <f>IF(Table1[Leaving Date]="","",IF(AND(Table1[Leaving Date]&gt;42460,Table1[Leaving Date]&lt;42826),IF(Table1[Date of Last Assessment]="",Table1[Managing Money and Personal Administration],Table1[Managing Money and Personal Administration2]),""))</f>
        <v/>
      </c>
      <c r="GH292" s="44" t="str">
        <f>IF(Table1[Leaving Date]="","",IF(AND(Table1[Leaving Date]&gt;42460,Table1[Leaving Date]&lt;42826),IF(Table1[Date of Last Assessment]="",Table1[Social Networks and Relationships],Table1[Social Networks and Relationships2]),""))</f>
        <v/>
      </c>
      <c r="GI292" s="44" t="str">
        <f>IF(Table1[Leaving Date]="","",IF(AND(Table1[Leaving Date]&gt;42460,Table1[Leaving Date]&lt;42826),IF(Table1[Date of Last Assessment]="",Table1[Drug and Alcohol Misuse],Table1[Drug and Alcohol Misuse2]),""))</f>
        <v/>
      </c>
      <c r="GJ292" s="44" t="str">
        <f>IF(Table1[Leaving Date]="","",IF(AND(Table1[Leaving Date]&gt;42460,Table1[Leaving Date]&lt;42826),IF(Table1[Date of Last Assessment]="",Table1[Physical Health],Table1[Physical Health2]),""))</f>
        <v/>
      </c>
      <c r="GK292" s="44" t="str">
        <f>IF(Table1[Leaving Date]="","",IF(AND(Table1[Leaving Date]&gt;42460,Table1[Leaving Date]&lt;42826),IF(Table1[Date of Last Assessment]="",Table1[Emotional and Mental Health],Table1[Emotional and Mental Health2]),""))</f>
        <v/>
      </c>
      <c r="GL292" s="44" t="str">
        <f>IF(Table1[Leaving Date]="","",IF(AND(Table1[Leaving Date]&gt;42460,Table1[Leaving Date]&lt;42826),IF(Table1[Date of Last Assessment]="",Table1[Meaningful Use of Time],Table1[Meaningful Use of Time2]),""))</f>
        <v/>
      </c>
      <c r="GM292" s="44" t="str">
        <f>IF(Table1[Leaving Date]="","",IF(AND(Table1[Leaving Date]&gt;42460,Table1[Leaving Date]&lt;42826),IF(Table1[Date of Last Assessment]="",Table1[Managing Tenancy and Accommodation],Table1[Managing Tenancy and Accommodation2]),""))</f>
        <v/>
      </c>
      <c r="GN292" s="44" t="str">
        <f>IF(Table1[Leaving Date]="","",IF(AND(Table1[Leaving Date]&gt;42460,Table1[Leaving Date]&lt;42826),IF(Table1[Date of Last Assessment]="",Table1[Offending],Table1[Offending2]),""))</f>
        <v/>
      </c>
    </row>
    <row r="293" spans="2:196" ht="20.100000000000001" customHeight="1" x14ac:dyDescent="0.2">
      <c r="B293" s="86">
        <f>+'Service Data'!$C$5:$C$5</f>
        <v>0</v>
      </c>
      <c r="C293" s="86"/>
      <c r="D293" s="86"/>
      <c r="E293" s="86"/>
      <c r="F293" s="86"/>
      <c r="G293" s="86"/>
      <c r="H293" s="6"/>
      <c r="I293" s="99" t="str">
        <f ca="1">IF(Table1[[#This Row],[Date of Birth]]="","",SUM(TODAY()-Table1[[#This Row],[Date of Birth]])/365)</f>
        <v/>
      </c>
      <c r="L293" s="86"/>
      <c r="M293" s="77"/>
      <c r="N293" s="86"/>
      <c r="O293" s="86"/>
      <c r="P293" s="91"/>
      <c r="Q293" s="86"/>
      <c r="R293" s="77"/>
      <c r="S293" s="77"/>
      <c r="T293" s="68"/>
      <c r="U293" s="68"/>
      <c r="V293" s="67"/>
      <c r="W293" s="67"/>
      <c r="X293" s="67"/>
      <c r="Y293" s="67"/>
      <c r="Z293" s="67"/>
      <c r="AA293" s="67"/>
      <c r="AB293" s="67"/>
      <c r="AC293" s="67"/>
      <c r="AD293" s="67"/>
      <c r="AE293" s="67"/>
      <c r="AF293" s="67"/>
      <c r="AG293" s="67"/>
      <c r="AH293" s="67"/>
      <c r="AI293" s="67"/>
      <c r="AJ293" s="67"/>
      <c r="AK293" s="67"/>
      <c r="AL293" s="67"/>
      <c r="AM293" s="67"/>
      <c r="AN293" s="77"/>
      <c r="AO293" s="76"/>
      <c r="AP293" s="77"/>
      <c r="AQ293" s="76"/>
      <c r="AR293" s="76"/>
      <c r="AS293" s="76"/>
      <c r="AT293" s="76"/>
      <c r="AU293" s="76"/>
      <c r="AV293" s="77"/>
      <c r="AW293" s="76"/>
      <c r="AX293" s="77"/>
      <c r="AY293" s="76"/>
      <c r="AZ293" s="76"/>
      <c r="BA293" s="76"/>
      <c r="BB293" s="76"/>
      <c r="BC293" s="76"/>
      <c r="BD293" s="77"/>
      <c r="BE293" s="76"/>
      <c r="BF293" s="77"/>
      <c r="BG293" s="76"/>
      <c r="BH293" s="76"/>
      <c r="BI293" s="76"/>
      <c r="BJ293" s="76"/>
      <c r="BK293" s="76"/>
      <c r="BL293" s="77"/>
      <c r="BM293" s="76"/>
      <c r="BN293" s="77"/>
      <c r="BO293" s="76"/>
      <c r="BP293" s="76"/>
      <c r="BQ293" s="76"/>
      <c r="BR293" s="76"/>
      <c r="BS293" s="76"/>
      <c r="BT293" s="77"/>
      <c r="BU293" s="76"/>
      <c r="BV293" s="77"/>
      <c r="BW293" s="76"/>
      <c r="BX293" s="76"/>
      <c r="BY293" s="76"/>
      <c r="BZ293" s="76"/>
      <c r="CA293" s="76"/>
      <c r="CB293" s="77"/>
      <c r="CC293" s="76"/>
      <c r="CD293" s="77"/>
      <c r="CE293" s="76"/>
      <c r="CF293" s="76"/>
      <c r="CG293" s="76"/>
      <c r="CH293" s="76"/>
      <c r="CI293" s="76"/>
      <c r="CJ293" s="77"/>
      <c r="CK293" s="76"/>
      <c r="CL293" s="77"/>
      <c r="CM293" s="76"/>
      <c r="CN293" s="76"/>
      <c r="CO293" s="76"/>
      <c r="CP293" s="76"/>
      <c r="CQ293" s="76"/>
      <c r="CR293" s="78" t="str">
        <f t="shared" si="79"/>
        <v/>
      </c>
      <c r="CS293" s="79" t="str">
        <f t="shared" si="80"/>
        <v/>
      </c>
      <c r="CT293" s="79" t="str">
        <f t="shared" si="81"/>
        <v/>
      </c>
      <c r="CU293" s="79" t="str">
        <f t="shared" si="82"/>
        <v/>
      </c>
      <c r="CV293" s="79" t="str">
        <f t="shared" si="83"/>
        <v/>
      </c>
      <c r="CW293" s="79" t="str">
        <f t="shared" si="84"/>
        <v/>
      </c>
      <c r="CX293" s="79" t="str">
        <f t="shared" si="85"/>
        <v/>
      </c>
      <c r="CY293" s="79" t="str">
        <f t="shared" si="86"/>
        <v/>
      </c>
      <c r="CZ293" s="79" t="str">
        <f t="shared" si="87"/>
        <v/>
      </c>
      <c r="DA293" s="79" t="str">
        <f t="shared" si="88"/>
        <v/>
      </c>
      <c r="DB293" s="79" t="str">
        <f t="shared" si="89"/>
        <v/>
      </c>
      <c r="DC293" s="79" t="str">
        <f t="shared" si="90"/>
        <v/>
      </c>
      <c r="DD293" s="79" t="str">
        <f t="shared" si="91"/>
        <v/>
      </c>
      <c r="DE293" s="79" t="str">
        <f t="shared" si="92"/>
        <v/>
      </c>
      <c r="DF293" s="79" t="str">
        <f t="shared" si="93"/>
        <v/>
      </c>
      <c r="DG293" s="79" t="str">
        <f t="shared" si="94"/>
        <v/>
      </c>
      <c r="DH293" s="76"/>
      <c r="DI293" s="78"/>
      <c r="DJ293" s="76"/>
      <c r="DK293" s="77"/>
      <c r="DL293" s="77"/>
      <c r="DM293" s="77"/>
      <c r="DN293" s="80"/>
      <c r="DO293" s="80"/>
      <c r="DP293" s="92" t="str">
        <f>IF(Table1[Start Date]="","",IF(Table1[Start Date]&gt;42185,"",IF(AND(Table1[Leaving Date]&gt;1,Table1[Leaving Date]&lt;42095),"",1)))</f>
        <v/>
      </c>
      <c r="DQ293" s="92" t="str">
        <f>IF(Table1[Start Date]="","",IF(Table1[Start Date]&gt;42277,"",IF(AND(Table1[Leaving Date]&gt;1,Table1[Leaving Date]&lt;42186),"",1)))</f>
        <v/>
      </c>
      <c r="DR293" s="92" t="str">
        <f>IF(Table1[Start Date]="","",IF(Table1[Start Date]&gt;42369,"",IF(AND(Table1[Leaving Date]&gt;1,Table1[Leaving Date]&lt;42278),"",1)))</f>
        <v/>
      </c>
      <c r="DS293" s="92" t="str">
        <f>IF(Table1[Start Date]="","",IF(Table1[Start Date]&gt;42460,"",IF(AND(Table1[Leaving Date]&gt;1,Table1[Leaving Date]&lt;42370),"",1)))</f>
        <v/>
      </c>
      <c r="DT293" s="92" t="str">
        <f>IF(Table1[Start Date]="","",IF(Table1[Start Date]&gt;42551,"",IF(AND(Table1[Leaving Date]&gt;1,Table1[Leaving Date]&lt;42461),"",1)))</f>
        <v/>
      </c>
      <c r="DU293" s="92" t="str">
        <f>IF(Table1[Start Date]="","",IF(Table1[Start Date]&gt;42643,"",IF(AND(Table1[Leaving Date]&gt;1,Table1[Leaving Date]&lt;42552),"",1)))</f>
        <v/>
      </c>
      <c r="DV293" s="92" t="str">
        <f>IF(Table1[Start Date]="","",IF(Table1[Start Date]&gt;42735,"",IF(AND(Table1[Leaving Date]&gt;1,Table1[Leaving Date]&lt;42644),"",1)))</f>
        <v/>
      </c>
      <c r="DW293" s="92" t="str">
        <f>IF(Table1[Start Date]="","",IF(Table1[Start Date]&gt;42825,"",IF(AND(Table1[Leaving Date]&gt;1,Table1[Leaving Date]&lt;42736),"",1)))</f>
        <v/>
      </c>
      <c r="DX293"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293" s="44" t="e">
        <f>VLOOKUP(Table1[Referral Source],Lists!$G$2:$H$20,2,FALSE)</f>
        <v>#N/A</v>
      </c>
      <c r="DZ293" s="93" t="e">
        <f>SUM(Table1[Data Referral Quarter]+Table1[Data Referral Source])</f>
        <v>#N/A</v>
      </c>
      <c r="EA293" s="44" t="b">
        <f>IF(Table1[Referral Decision]="Accepted",100,IF(Table1[Referral Decision]="Rejected by Provider",200,IF(Table1[Referral Decision]="Rejected by Applicant",300)))</f>
        <v>0</v>
      </c>
      <c r="EB293" s="44">
        <f>SUM(Table1[Data Referral Quarter]+Table1[Data Referral Decision])</f>
        <v>0</v>
      </c>
      <c r="EC293" s="44" t="b">
        <f>IF(Table1[Start Date]&gt;42735,8000,IF(Table1[Start Date]&gt;42643,7000,IF(Table1[Start Date]&gt;42551,6000,IF(Table1[Start Date]&gt;42460,5000,IF(Table1[Start Date]&gt;42369,4000,IF(Table1[Start Date]&gt;42277,3000,IF(Table1[Start Date]&gt;42185,2000,IF(Table1[Start Date]&gt;42094,1000))))))))</f>
        <v>0</v>
      </c>
      <c r="ED293" s="44" t="str">
        <f>IF(Table1[Start Date]="","",IF(Table1[Current Local Authority]="Swindon",1,"2"))</f>
        <v/>
      </c>
      <c r="EE293" s="44" t="e">
        <f>SUM(Table1[Data Start Date]+Table1[Data Local Authority])</f>
        <v>#VALUE!</v>
      </c>
      <c r="EF293" s="44">
        <f>IF(Table1[Registered with GP]="Yes",1,0)</f>
        <v>0</v>
      </c>
      <c r="EG293" s="44">
        <f>SUM(Table1[Data Start Date]+Table1[Data GP Start])</f>
        <v>0</v>
      </c>
      <c r="EH293" s="44" t="str">
        <f>IF(Table1[EET]="NEET",1,IF(Table1[EET]="Education",2,IF(Table1[EET]="Employment",2,IF(Table1[EET]="Training",2,IF(Table1[EET]="Retired",3,"")))))</f>
        <v/>
      </c>
      <c r="EI293" s="44" t="e">
        <f>Table1[Data Start Date]+Table1[Data EET Start]</f>
        <v>#VALUE!</v>
      </c>
      <c r="EJ293" s="44" t="b">
        <f>IF(Table1[Leaving Date]&gt;42735,8000,IF(Table1[Leaving Date]&gt;42643,7000,IF(Table1[Leaving Date]&gt;42551,6000,IF(Table1[Leaving Date]&gt;42460,5000,IF(Table1[Leaving Date]&gt;42369,4000,IF(Table1[Leaving Date]&gt;42277,3000,IF(Table1[Leaving Date]&gt;42185,2000,IF(Table1[Leaving Date]&gt;42094,1000))))))))</f>
        <v>0</v>
      </c>
      <c r="EK293" s="44" t="e">
        <f>VLOOKUP(Table1[Reason for Leaving],Lists!$T$2:$U$15,2,FALSE)</f>
        <v>#N/A</v>
      </c>
      <c r="EL293" s="44" t="e">
        <f>SUM(Table1[Data Leavers Date]+Table1[Data Move On])</f>
        <v>#N/A</v>
      </c>
      <c r="EM293" s="44" t="b">
        <f>IF(Table1[Registered with GP2]="Yes",1,IF(Table1[Registered with GP2]="No",0,IF(Table1[Registered with GP]="Yes",1,IF(Table1[Registered with GP]="No",0))))</f>
        <v>0</v>
      </c>
      <c r="EN293" s="44">
        <f>SUM(Table1[Data Leavers Date]+Table1[Data GP End])</f>
        <v>0</v>
      </c>
      <c r="EO293" s="44" t="str">
        <f>IF(Table1[EET2]="NEET",1,IF(Table1[EET2]="Employment",2,IF(Table1[EET2]="Education",2,IF(Table1[EET2]="Training",2,IF(Table1[EET2]="Retired",3,IF(Table1[EET]="NEET",1,IF(Table1[EET]="Employment",2,IF(Table1[EET]="Education",2,IF(Table1[EET]="Training",2,IF(Table1[EET]="Retired",3,""))))))))))</f>
        <v/>
      </c>
      <c r="EP293" s="44" t="e">
        <f>+Table1[[#This Row],[Data Leavers Date]]+Table1[[#This Row],[Data EET End]]</f>
        <v>#VALUE!</v>
      </c>
      <c r="EQ293" s="44">
        <f>IF(Table1[Exit Form Received]="Yes",1,0)</f>
        <v>0</v>
      </c>
      <c r="ER293" s="44">
        <f>+Table1[[#This Row],[Data Leavers Date]]+Table1[[#This Row],[Data Exit Forms]]</f>
        <v>0</v>
      </c>
      <c r="ES293" s="44" t="str">
        <f>IF(Table1[Data Leavers Date]=1000,SUM(Table1[Leaving Date]-Table1[Start Date]),"")</f>
        <v/>
      </c>
      <c r="ET293" s="44" t="str">
        <f>IF(Table1[Data Leavers Date]=2000,SUM(Table1[Leaving Date]-Table1[Start Date]),"")</f>
        <v/>
      </c>
      <c r="EU293" s="44" t="str">
        <f>IF(Table1[Data Leavers Date]=3000,SUM(Table1[Leaving Date]-Table1[Start Date]),"")</f>
        <v/>
      </c>
      <c r="EV293" s="44" t="str">
        <f>IF(Table1[Data Leavers Date]=4000,SUM(Table1[Leaving Date]-Table1[Start Date]),"")</f>
        <v/>
      </c>
      <c r="EW293" s="44" t="str">
        <f>IF(Table1[Data Leavers Date]=5000,SUM(Table1[Leaving Date]-Table1[Start Date]),"")</f>
        <v/>
      </c>
      <c r="EX293" s="44" t="str">
        <f>IF(Table1[Data Leavers Date]=6000,SUM(Table1[Leaving Date]-Table1[Start Date]),"")</f>
        <v/>
      </c>
      <c r="EY293" s="44" t="str">
        <f>IF(Table1[Data Leavers Date]=7000,SUM(Table1[Leaving Date]-Table1[Start Date]),"")</f>
        <v/>
      </c>
      <c r="EZ293" s="44" t="str">
        <f>IF(Table1[Data Leavers Date]=8000,SUM(Table1[Leaving Date]-Table1[Start Date]),"")</f>
        <v/>
      </c>
      <c r="FA293" s="44" t="str">
        <f>IF(Table1[Date of Initial Assessment]="","",IF(AND(Table1[Start Date]&gt;42094,Table1[Start Date]&lt;42461),Table1[Motivation and Taking Responsibility],""))</f>
        <v/>
      </c>
      <c r="FB293" s="44" t="str">
        <f>IF(Table1[Date of Initial Assessment]="","",IF(AND(Table1[Start Date]&gt;42094,Table1[Start Date]&lt;42461),Table1[Self-Care and Living Skills],""))</f>
        <v/>
      </c>
      <c r="FC293" s="44" t="str">
        <f>IF(Table1[Date of Initial Assessment]="","",IF(AND(Table1[Start Date]&gt;42094,Table1[Start Date]&lt;42461),Table1[Managing Money and Personal Administration],""))</f>
        <v/>
      </c>
      <c r="FD293" s="44" t="str">
        <f>IF(Table1[Date of Initial Assessment]="","",IF(AND(Table1[Start Date]&gt;42094,Table1[Start Date]&lt;42461),Table1[Social Networks and Relationships],""))</f>
        <v/>
      </c>
      <c r="FE293" s="44" t="str">
        <f>IF(Table1[Date of Initial Assessment]="","",IF(AND(Table1[Start Date]&gt;42094,Table1[Start Date]&lt;42461),Table1[Drug and Alcohol Misuse],""))</f>
        <v/>
      </c>
      <c r="FF293" s="44" t="str">
        <f>IF(Table1[Date of Initial Assessment]="","",IF(AND(Table1[Start Date]&gt;42094,Table1[Start Date]&lt;42461),Table1[Physical Health],""))</f>
        <v/>
      </c>
      <c r="FG293" s="44" t="str">
        <f>IF(Table1[Date of Initial Assessment]="","",IF(AND(Table1[Start Date]&gt;42094,Table1[Start Date]&lt;42461),Table1[Emotional and Mental Health],""))</f>
        <v/>
      </c>
      <c r="FH293" s="44" t="str">
        <f>IF(Table1[Date of Initial Assessment]="","",IF(AND(Table1[Start Date]&gt;42094,Table1[Start Date]&lt;42461),Table1[Meaningful Use of Time],""))</f>
        <v/>
      </c>
      <c r="FI293" s="44" t="str">
        <f>IF(Table1[Date of Initial Assessment]="","",IF(AND(Table1[Start Date]&gt;42094,Table1[Start Date]&lt;42461),Table1[Managing Tenancy and Accommodation],""))</f>
        <v/>
      </c>
      <c r="FJ293" s="44" t="str">
        <f>IF(Table1[Date of Initial Assessment]="","",IF(AND(Table1[Start Date]&gt;42094,Table1[Start Date]&lt;42461),Table1[Offending],""))</f>
        <v/>
      </c>
      <c r="FK293" s="44" t="str">
        <f>IF(Table1[Leaving Date]="","",IF(Table1[Date of Initial Assessment]="","",IF(AND(Table1[Leaving Date]&gt;42094,Table1[Leaving Date]&lt;42461),IF(Table1[Date of Last Assessment]="",Table1[Motivation and Taking Responsibility],Table1[Motivation and Taking Responsibility2]),"")))</f>
        <v/>
      </c>
      <c r="FL293" s="44" t="str">
        <f>IF(Table1[Leaving Date]="","",IF(Table1[Date of Initial Assessment]="","",IF(AND(Table1[Leaving Date]&gt;42094,Table1[Leaving Date]&lt;42461),IF(Table1[Date of Last Assessment]="",Table1[Self-Care and Living Skills],Table1[Self-Care and Living Skills2]),"")))</f>
        <v/>
      </c>
      <c r="FM293" s="44" t="str">
        <f>IF(Table1[Leaving Date]="","",IF(Table1[Date of Initial Assessment]="","",IF(AND(Table1[Leaving Date]&gt;42094,Table1[Leaving Date]&lt;42461),IF(Table1[Date of Last Assessment]="",Table1[Managing Money and Personal Administration],Table1[Managing Money and Personal Administration2]),"")))</f>
        <v/>
      </c>
      <c r="FN293" s="44" t="str">
        <f>IF(Table1[Leaving Date]="","",IF(Table1[Date of Initial Assessment]="","",IF(AND(Table1[Leaving Date]&gt;42094,Table1[Leaving Date]&lt;42461),IF(Table1[Date of Last Assessment]="",Table1[Social Networks and Relationships],Table1[Social Networks and Relationships2]),"")))</f>
        <v/>
      </c>
      <c r="FO293" s="44" t="str">
        <f>IF(Table1[Leaving Date]="","",IF(Table1[Date of Initial Assessment]="","",IF(AND(Table1[Leaving Date]&gt;42094,Table1[Leaving Date]&lt;42461),IF(Table1[Date of Last Assessment]="",Table1[Drug and Alcohol Misuse],Table1[Drug and Alcohol Misuse2]),"")))</f>
        <v/>
      </c>
      <c r="FP293" s="44" t="str">
        <f>IF(Table1[Leaving Date]="","",IF(Table1[Date of Initial Assessment]="","",IF(AND(Table1[Leaving Date]&gt;42094,Table1[Leaving Date]&lt;42461),IF(Table1[Date of Last Assessment]="",Table1[Physical Health],Table1[Physical Health2]),"")))</f>
        <v/>
      </c>
      <c r="FQ293" s="44" t="str">
        <f>IF(Table1[Leaving Date]="","",IF(Table1[Date of Initial Assessment]="","",IF(AND(Table1[Leaving Date]&gt;42094,Table1[Leaving Date]&lt;42461),IF(Table1[Date of Last Assessment]="",Table1[Emotional and Mental Health],Table1[Emotional and Mental Health2]),"")))</f>
        <v/>
      </c>
      <c r="FR293" s="44" t="str">
        <f>IF(Table1[Leaving Date]="","",IF(Table1[Date of Initial Assessment]="","",IF(AND(Table1[Leaving Date]&gt;42094,Table1[Leaving Date]&lt;42461),IF(Table1[Date of Last Assessment]="",Table1[Meaningful Use of Time],Table1[Meaningful Use of Time2]),"")))</f>
        <v/>
      </c>
      <c r="FS293" s="44" t="str">
        <f>IF(Table1[Leaving Date]="","",IF(Table1[Date of Initial Assessment]="","",IF(AND(Table1[Leaving Date]&gt;42094,Table1[Leaving Date]&lt;42461),IF(Table1[Date of Last Assessment]="",Table1[Managing Tenancy and Accommodation],Table1[Managing Tenancy and Accommodation2]),"")))</f>
        <v/>
      </c>
      <c r="FT293" s="44" t="str">
        <f>IF(Table1[Leaving Date]="","",IF(Table1[Date of Initial Assessment]="","",IF(AND(Table1[Leaving Date]&gt;42094,Table1[Leaving Date]&lt;42461),IF(Table1[Date of Last Assessment]="",Table1[Offending],Table1[Offending2]),"")))</f>
        <v/>
      </c>
      <c r="FU293" s="44" t="str">
        <f>IF(Table1[Date of Initial Assessment]="","",IF(AND(Table1[Start Date]&gt;42460,Table1[Start Date]&lt;42826),Table1[Motivation and Taking Responsibility],""))</f>
        <v/>
      </c>
      <c r="FV293" s="44" t="str">
        <f>IF(Table1[Date of Initial Assessment]="","",IF(AND(Table1[Start Date]&gt;42460,Table1[Start Date]&lt;42826),Table1[Self-Care and Living Skills],""))</f>
        <v/>
      </c>
      <c r="FW293" s="44" t="str">
        <f>IF(Table1[Date of Initial Assessment]="","",IF(AND(Table1[Start Date]&gt;42460,Table1[Start Date]&lt;42826),Table1[Managing Money and Personal Administration],""))</f>
        <v/>
      </c>
      <c r="FX293" s="44" t="str">
        <f>IF(Table1[Date of Initial Assessment]="","",IF(AND(Table1[Start Date]&gt;42460,Table1[Start Date]&lt;42826),Table1[Social Networks and Relationships],""))</f>
        <v/>
      </c>
      <c r="FY293" s="44" t="str">
        <f>IF(Table1[Date of Initial Assessment]="","",IF(AND(Table1[Start Date]&gt;42460,Table1[Start Date]&lt;42826),Table1[Drug and Alcohol Misuse],""))</f>
        <v/>
      </c>
      <c r="FZ293" s="44" t="str">
        <f>IF(Table1[Date of Initial Assessment]="","",IF(AND(Table1[Start Date]&gt;42460,Table1[Start Date]&lt;42826),Table1[Physical Health],""))</f>
        <v/>
      </c>
      <c r="GA293" s="44" t="str">
        <f>IF(Table1[Date of Initial Assessment]="","",IF(AND(Table1[Start Date]&gt;42460,Table1[Start Date]&lt;42826),Table1[Emotional and Mental Health],""))</f>
        <v/>
      </c>
      <c r="GB293" s="44" t="str">
        <f>IF(Table1[Date of Initial Assessment]="","",IF(AND(Table1[Start Date]&gt;42460,Table1[Start Date]&lt;42826),Table1[Meaningful Use of Time],""))</f>
        <v/>
      </c>
      <c r="GC293" s="44" t="str">
        <f>IF(Table1[Date of Initial Assessment]="","",IF(AND(Table1[Start Date]&gt;42460,Table1[Start Date]&lt;42826),Table1[Managing Tenancy and Accommodation],""))</f>
        <v/>
      </c>
      <c r="GD293" s="44" t="str">
        <f>IF(Table1[Date of Initial Assessment]="","",IF(AND(Table1[Start Date]&gt;42460,Table1[Start Date]&lt;42826),Table1[Offending],""))</f>
        <v/>
      </c>
      <c r="GE293" s="44" t="str">
        <f>IF(Table1[Leaving Date]="","",IF(AND(Table1[Leaving Date]&gt;42460,Table1[Leaving Date]&lt;42826),IF(Table1[Date of Last Assessment]="",Table1[Motivation and Taking Responsibility],Table1[Motivation and Taking Responsibility2]),""))</f>
        <v/>
      </c>
      <c r="GF293" s="44" t="str">
        <f>IF(Table1[Leaving Date]="","",IF(AND(Table1[Leaving Date]&gt;42460,Table1[Leaving Date]&lt;42826),IF(Table1[Date of Last Assessment]="",Table1[Self-Care and Living Skills],Table1[Self-Care and Living Skills2]),""))</f>
        <v/>
      </c>
      <c r="GG293" s="44" t="str">
        <f>IF(Table1[Leaving Date]="","",IF(AND(Table1[Leaving Date]&gt;42460,Table1[Leaving Date]&lt;42826),IF(Table1[Date of Last Assessment]="",Table1[Managing Money and Personal Administration],Table1[Managing Money and Personal Administration2]),""))</f>
        <v/>
      </c>
      <c r="GH293" s="44" t="str">
        <f>IF(Table1[Leaving Date]="","",IF(AND(Table1[Leaving Date]&gt;42460,Table1[Leaving Date]&lt;42826),IF(Table1[Date of Last Assessment]="",Table1[Social Networks and Relationships],Table1[Social Networks and Relationships2]),""))</f>
        <v/>
      </c>
      <c r="GI293" s="44" t="str">
        <f>IF(Table1[Leaving Date]="","",IF(AND(Table1[Leaving Date]&gt;42460,Table1[Leaving Date]&lt;42826),IF(Table1[Date of Last Assessment]="",Table1[Drug and Alcohol Misuse],Table1[Drug and Alcohol Misuse2]),""))</f>
        <v/>
      </c>
      <c r="GJ293" s="44" t="str">
        <f>IF(Table1[Leaving Date]="","",IF(AND(Table1[Leaving Date]&gt;42460,Table1[Leaving Date]&lt;42826),IF(Table1[Date of Last Assessment]="",Table1[Physical Health],Table1[Physical Health2]),""))</f>
        <v/>
      </c>
      <c r="GK293" s="44" t="str">
        <f>IF(Table1[Leaving Date]="","",IF(AND(Table1[Leaving Date]&gt;42460,Table1[Leaving Date]&lt;42826),IF(Table1[Date of Last Assessment]="",Table1[Emotional and Mental Health],Table1[Emotional and Mental Health2]),""))</f>
        <v/>
      </c>
      <c r="GL293" s="44" t="str">
        <f>IF(Table1[Leaving Date]="","",IF(AND(Table1[Leaving Date]&gt;42460,Table1[Leaving Date]&lt;42826),IF(Table1[Date of Last Assessment]="",Table1[Meaningful Use of Time],Table1[Meaningful Use of Time2]),""))</f>
        <v/>
      </c>
      <c r="GM293" s="44" t="str">
        <f>IF(Table1[Leaving Date]="","",IF(AND(Table1[Leaving Date]&gt;42460,Table1[Leaving Date]&lt;42826),IF(Table1[Date of Last Assessment]="",Table1[Managing Tenancy and Accommodation],Table1[Managing Tenancy and Accommodation2]),""))</f>
        <v/>
      </c>
      <c r="GN293" s="44" t="str">
        <f>IF(Table1[Leaving Date]="","",IF(AND(Table1[Leaving Date]&gt;42460,Table1[Leaving Date]&lt;42826),IF(Table1[Date of Last Assessment]="",Table1[Offending],Table1[Offending2]),""))</f>
        <v/>
      </c>
    </row>
    <row r="294" spans="2:196" ht="20.100000000000001" customHeight="1" x14ac:dyDescent="0.2">
      <c r="B294" s="86">
        <f>+'Service Data'!$C$5:$C$5</f>
        <v>0</v>
      </c>
      <c r="C294" s="86"/>
      <c r="D294" s="86"/>
      <c r="E294" s="86"/>
      <c r="F294" s="86"/>
      <c r="G294" s="86"/>
      <c r="H294" s="6"/>
      <c r="I294" s="99" t="str">
        <f ca="1">IF(Table1[[#This Row],[Date of Birth]]="","",SUM(TODAY()-Table1[[#This Row],[Date of Birth]])/365)</f>
        <v/>
      </c>
      <c r="L294" s="86"/>
      <c r="M294" s="77"/>
      <c r="N294" s="86"/>
      <c r="O294" s="86"/>
      <c r="P294" s="91"/>
      <c r="Q294" s="86"/>
      <c r="R294" s="77"/>
      <c r="S294" s="77"/>
      <c r="T294" s="68"/>
      <c r="U294" s="68"/>
      <c r="V294" s="67"/>
      <c r="W294" s="67"/>
      <c r="X294" s="67"/>
      <c r="Y294" s="67"/>
      <c r="Z294" s="67"/>
      <c r="AA294" s="67"/>
      <c r="AB294" s="67"/>
      <c r="AC294" s="67"/>
      <c r="AD294" s="67"/>
      <c r="AE294" s="67"/>
      <c r="AF294" s="67"/>
      <c r="AG294" s="67"/>
      <c r="AH294" s="67"/>
      <c r="AI294" s="67"/>
      <c r="AJ294" s="67"/>
      <c r="AK294" s="67"/>
      <c r="AL294" s="67"/>
      <c r="AM294" s="67"/>
      <c r="AN294" s="77"/>
      <c r="AO294" s="76"/>
      <c r="AP294" s="77"/>
      <c r="AQ294" s="76"/>
      <c r="AR294" s="76"/>
      <c r="AS294" s="76"/>
      <c r="AT294" s="76"/>
      <c r="AU294" s="76"/>
      <c r="AV294" s="77"/>
      <c r="AW294" s="76"/>
      <c r="AX294" s="77"/>
      <c r="AY294" s="76"/>
      <c r="AZ294" s="76"/>
      <c r="BA294" s="76"/>
      <c r="BB294" s="76"/>
      <c r="BC294" s="76"/>
      <c r="BD294" s="77"/>
      <c r="BE294" s="76"/>
      <c r="BF294" s="77"/>
      <c r="BG294" s="76"/>
      <c r="BH294" s="76"/>
      <c r="BI294" s="76"/>
      <c r="BJ294" s="76"/>
      <c r="BK294" s="76"/>
      <c r="BL294" s="77"/>
      <c r="BM294" s="76"/>
      <c r="BN294" s="77"/>
      <c r="BO294" s="76"/>
      <c r="BP294" s="76"/>
      <c r="BQ294" s="76"/>
      <c r="BR294" s="76"/>
      <c r="BS294" s="76"/>
      <c r="BT294" s="77"/>
      <c r="BU294" s="76"/>
      <c r="BV294" s="77"/>
      <c r="BW294" s="76"/>
      <c r="BX294" s="76"/>
      <c r="BY294" s="76"/>
      <c r="BZ294" s="76"/>
      <c r="CA294" s="76"/>
      <c r="CB294" s="77"/>
      <c r="CC294" s="76"/>
      <c r="CD294" s="77"/>
      <c r="CE294" s="76"/>
      <c r="CF294" s="76"/>
      <c r="CG294" s="76"/>
      <c r="CH294" s="76"/>
      <c r="CI294" s="76"/>
      <c r="CJ294" s="77"/>
      <c r="CK294" s="76"/>
      <c r="CL294" s="77"/>
      <c r="CM294" s="76"/>
      <c r="CN294" s="76"/>
      <c r="CO294" s="76"/>
      <c r="CP294" s="76"/>
      <c r="CQ294" s="76"/>
      <c r="CR294" s="78" t="str">
        <f t="shared" si="79"/>
        <v/>
      </c>
      <c r="CS294" s="79" t="str">
        <f t="shared" si="80"/>
        <v/>
      </c>
      <c r="CT294" s="79" t="str">
        <f t="shared" si="81"/>
        <v/>
      </c>
      <c r="CU294" s="79" t="str">
        <f t="shared" si="82"/>
        <v/>
      </c>
      <c r="CV294" s="79" t="str">
        <f t="shared" si="83"/>
        <v/>
      </c>
      <c r="CW294" s="79" t="str">
        <f t="shared" si="84"/>
        <v/>
      </c>
      <c r="CX294" s="79" t="str">
        <f t="shared" si="85"/>
        <v/>
      </c>
      <c r="CY294" s="79" t="str">
        <f t="shared" si="86"/>
        <v/>
      </c>
      <c r="CZ294" s="79" t="str">
        <f t="shared" si="87"/>
        <v/>
      </c>
      <c r="DA294" s="79" t="str">
        <f t="shared" si="88"/>
        <v/>
      </c>
      <c r="DB294" s="79" t="str">
        <f t="shared" si="89"/>
        <v/>
      </c>
      <c r="DC294" s="79" t="str">
        <f t="shared" si="90"/>
        <v/>
      </c>
      <c r="DD294" s="79" t="str">
        <f t="shared" si="91"/>
        <v/>
      </c>
      <c r="DE294" s="79" t="str">
        <f t="shared" si="92"/>
        <v/>
      </c>
      <c r="DF294" s="79" t="str">
        <f t="shared" si="93"/>
        <v/>
      </c>
      <c r="DG294" s="79" t="str">
        <f t="shared" si="94"/>
        <v/>
      </c>
      <c r="DH294" s="76"/>
      <c r="DI294" s="78"/>
      <c r="DJ294" s="76"/>
      <c r="DK294" s="77"/>
      <c r="DL294" s="77"/>
      <c r="DM294" s="77"/>
      <c r="DN294" s="80"/>
      <c r="DO294" s="80"/>
      <c r="DP294" s="92" t="str">
        <f>IF(Table1[Start Date]="","",IF(Table1[Start Date]&gt;42185,"",IF(AND(Table1[Leaving Date]&gt;1,Table1[Leaving Date]&lt;42095),"",1)))</f>
        <v/>
      </c>
      <c r="DQ294" s="92" t="str">
        <f>IF(Table1[Start Date]="","",IF(Table1[Start Date]&gt;42277,"",IF(AND(Table1[Leaving Date]&gt;1,Table1[Leaving Date]&lt;42186),"",1)))</f>
        <v/>
      </c>
      <c r="DR294" s="92" t="str">
        <f>IF(Table1[Start Date]="","",IF(Table1[Start Date]&gt;42369,"",IF(AND(Table1[Leaving Date]&gt;1,Table1[Leaving Date]&lt;42278),"",1)))</f>
        <v/>
      </c>
      <c r="DS294" s="92" t="str">
        <f>IF(Table1[Start Date]="","",IF(Table1[Start Date]&gt;42460,"",IF(AND(Table1[Leaving Date]&gt;1,Table1[Leaving Date]&lt;42370),"",1)))</f>
        <v/>
      </c>
      <c r="DT294" s="92" t="str">
        <f>IF(Table1[Start Date]="","",IF(Table1[Start Date]&gt;42551,"",IF(AND(Table1[Leaving Date]&gt;1,Table1[Leaving Date]&lt;42461),"",1)))</f>
        <v/>
      </c>
      <c r="DU294" s="92" t="str">
        <f>IF(Table1[Start Date]="","",IF(Table1[Start Date]&gt;42643,"",IF(AND(Table1[Leaving Date]&gt;1,Table1[Leaving Date]&lt;42552),"",1)))</f>
        <v/>
      </c>
      <c r="DV294" s="92" t="str">
        <f>IF(Table1[Start Date]="","",IF(Table1[Start Date]&gt;42735,"",IF(AND(Table1[Leaving Date]&gt;1,Table1[Leaving Date]&lt;42644),"",1)))</f>
        <v/>
      </c>
      <c r="DW294" s="92" t="str">
        <f>IF(Table1[Start Date]="","",IF(Table1[Start Date]&gt;42825,"",IF(AND(Table1[Leaving Date]&gt;1,Table1[Leaving Date]&lt;42736),"",1)))</f>
        <v/>
      </c>
      <c r="DX294"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294" s="44" t="e">
        <f>VLOOKUP(Table1[Referral Source],Lists!$G$2:$H$20,2,FALSE)</f>
        <v>#N/A</v>
      </c>
      <c r="DZ294" s="93" t="e">
        <f>SUM(Table1[Data Referral Quarter]+Table1[Data Referral Source])</f>
        <v>#N/A</v>
      </c>
      <c r="EA294" s="44" t="b">
        <f>IF(Table1[Referral Decision]="Accepted",100,IF(Table1[Referral Decision]="Rejected by Provider",200,IF(Table1[Referral Decision]="Rejected by Applicant",300)))</f>
        <v>0</v>
      </c>
      <c r="EB294" s="44">
        <f>SUM(Table1[Data Referral Quarter]+Table1[Data Referral Decision])</f>
        <v>0</v>
      </c>
      <c r="EC294" s="44" t="b">
        <f>IF(Table1[Start Date]&gt;42735,8000,IF(Table1[Start Date]&gt;42643,7000,IF(Table1[Start Date]&gt;42551,6000,IF(Table1[Start Date]&gt;42460,5000,IF(Table1[Start Date]&gt;42369,4000,IF(Table1[Start Date]&gt;42277,3000,IF(Table1[Start Date]&gt;42185,2000,IF(Table1[Start Date]&gt;42094,1000))))))))</f>
        <v>0</v>
      </c>
      <c r="ED294" s="44" t="str">
        <f>IF(Table1[Start Date]="","",IF(Table1[Current Local Authority]="Swindon",1,"2"))</f>
        <v/>
      </c>
      <c r="EE294" s="44" t="e">
        <f>SUM(Table1[Data Start Date]+Table1[Data Local Authority])</f>
        <v>#VALUE!</v>
      </c>
      <c r="EF294" s="44">
        <f>IF(Table1[Registered with GP]="Yes",1,0)</f>
        <v>0</v>
      </c>
      <c r="EG294" s="44">
        <f>SUM(Table1[Data Start Date]+Table1[Data GP Start])</f>
        <v>0</v>
      </c>
      <c r="EH294" s="44" t="str">
        <f>IF(Table1[EET]="NEET",1,IF(Table1[EET]="Education",2,IF(Table1[EET]="Employment",2,IF(Table1[EET]="Training",2,IF(Table1[EET]="Retired",3,"")))))</f>
        <v/>
      </c>
      <c r="EI294" s="44" t="e">
        <f>Table1[Data Start Date]+Table1[Data EET Start]</f>
        <v>#VALUE!</v>
      </c>
      <c r="EJ294" s="44" t="b">
        <f>IF(Table1[Leaving Date]&gt;42735,8000,IF(Table1[Leaving Date]&gt;42643,7000,IF(Table1[Leaving Date]&gt;42551,6000,IF(Table1[Leaving Date]&gt;42460,5000,IF(Table1[Leaving Date]&gt;42369,4000,IF(Table1[Leaving Date]&gt;42277,3000,IF(Table1[Leaving Date]&gt;42185,2000,IF(Table1[Leaving Date]&gt;42094,1000))))))))</f>
        <v>0</v>
      </c>
      <c r="EK294" s="44" t="e">
        <f>VLOOKUP(Table1[Reason for Leaving],Lists!$T$2:$U$15,2,FALSE)</f>
        <v>#N/A</v>
      </c>
      <c r="EL294" s="44" t="e">
        <f>SUM(Table1[Data Leavers Date]+Table1[Data Move On])</f>
        <v>#N/A</v>
      </c>
      <c r="EM294" s="44" t="b">
        <f>IF(Table1[Registered with GP2]="Yes",1,IF(Table1[Registered with GP2]="No",0,IF(Table1[Registered with GP]="Yes",1,IF(Table1[Registered with GP]="No",0))))</f>
        <v>0</v>
      </c>
      <c r="EN294" s="44">
        <f>SUM(Table1[Data Leavers Date]+Table1[Data GP End])</f>
        <v>0</v>
      </c>
      <c r="EO294" s="44" t="str">
        <f>IF(Table1[EET2]="NEET",1,IF(Table1[EET2]="Employment",2,IF(Table1[EET2]="Education",2,IF(Table1[EET2]="Training",2,IF(Table1[EET2]="Retired",3,IF(Table1[EET]="NEET",1,IF(Table1[EET]="Employment",2,IF(Table1[EET]="Education",2,IF(Table1[EET]="Training",2,IF(Table1[EET]="Retired",3,""))))))))))</f>
        <v/>
      </c>
      <c r="EP294" s="44" t="e">
        <f>+Table1[[#This Row],[Data Leavers Date]]+Table1[[#This Row],[Data EET End]]</f>
        <v>#VALUE!</v>
      </c>
      <c r="EQ294" s="44">
        <f>IF(Table1[Exit Form Received]="Yes",1,0)</f>
        <v>0</v>
      </c>
      <c r="ER294" s="44">
        <f>+Table1[[#This Row],[Data Leavers Date]]+Table1[[#This Row],[Data Exit Forms]]</f>
        <v>0</v>
      </c>
      <c r="ES294" s="44" t="str">
        <f>IF(Table1[Data Leavers Date]=1000,SUM(Table1[Leaving Date]-Table1[Start Date]),"")</f>
        <v/>
      </c>
      <c r="ET294" s="44" t="str">
        <f>IF(Table1[Data Leavers Date]=2000,SUM(Table1[Leaving Date]-Table1[Start Date]),"")</f>
        <v/>
      </c>
      <c r="EU294" s="44" t="str">
        <f>IF(Table1[Data Leavers Date]=3000,SUM(Table1[Leaving Date]-Table1[Start Date]),"")</f>
        <v/>
      </c>
      <c r="EV294" s="44" t="str">
        <f>IF(Table1[Data Leavers Date]=4000,SUM(Table1[Leaving Date]-Table1[Start Date]),"")</f>
        <v/>
      </c>
      <c r="EW294" s="44" t="str">
        <f>IF(Table1[Data Leavers Date]=5000,SUM(Table1[Leaving Date]-Table1[Start Date]),"")</f>
        <v/>
      </c>
      <c r="EX294" s="44" t="str">
        <f>IF(Table1[Data Leavers Date]=6000,SUM(Table1[Leaving Date]-Table1[Start Date]),"")</f>
        <v/>
      </c>
      <c r="EY294" s="44" t="str">
        <f>IF(Table1[Data Leavers Date]=7000,SUM(Table1[Leaving Date]-Table1[Start Date]),"")</f>
        <v/>
      </c>
      <c r="EZ294" s="44" t="str">
        <f>IF(Table1[Data Leavers Date]=8000,SUM(Table1[Leaving Date]-Table1[Start Date]),"")</f>
        <v/>
      </c>
      <c r="FA294" s="44" t="str">
        <f>IF(Table1[Date of Initial Assessment]="","",IF(AND(Table1[Start Date]&gt;42094,Table1[Start Date]&lt;42461),Table1[Motivation and Taking Responsibility],""))</f>
        <v/>
      </c>
      <c r="FB294" s="44" t="str">
        <f>IF(Table1[Date of Initial Assessment]="","",IF(AND(Table1[Start Date]&gt;42094,Table1[Start Date]&lt;42461),Table1[Self-Care and Living Skills],""))</f>
        <v/>
      </c>
      <c r="FC294" s="44" t="str">
        <f>IF(Table1[Date of Initial Assessment]="","",IF(AND(Table1[Start Date]&gt;42094,Table1[Start Date]&lt;42461),Table1[Managing Money and Personal Administration],""))</f>
        <v/>
      </c>
      <c r="FD294" s="44" t="str">
        <f>IF(Table1[Date of Initial Assessment]="","",IF(AND(Table1[Start Date]&gt;42094,Table1[Start Date]&lt;42461),Table1[Social Networks and Relationships],""))</f>
        <v/>
      </c>
      <c r="FE294" s="44" t="str">
        <f>IF(Table1[Date of Initial Assessment]="","",IF(AND(Table1[Start Date]&gt;42094,Table1[Start Date]&lt;42461),Table1[Drug and Alcohol Misuse],""))</f>
        <v/>
      </c>
      <c r="FF294" s="44" t="str">
        <f>IF(Table1[Date of Initial Assessment]="","",IF(AND(Table1[Start Date]&gt;42094,Table1[Start Date]&lt;42461),Table1[Physical Health],""))</f>
        <v/>
      </c>
      <c r="FG294" s="44" t="str">
        <f>IF(Table1[Date of Initial Assessment]="","",IF(AND(Table1[Start Date]&gt;42094,Table1[Start Date]&lt;42461),Table1[Emotional and Mental Health],""))</f>
        <v/>
      </c>
      <c r="FH294" s="44" t="str">
        <f>IF(Table1[Date of Initial Assessment]="","",IF(AND(Table1[Start Date]&gt;42094,Table1[Start Date]&lt;42461),Table1[Meaningful Use of Time],""))</f>
        <v/>
      </c>
      <c r="FI294" s="44" t="str">
        <f>IF(Table1[Date of Initial Assessment]="","",IF(AND(Table1[Start Date]&gt;42094,Table1[Start Date]&lt;42461),Table1[Managing Tenancy and Accommodation],""))</f>
        <v/>
      </c>
      <c r="FJ294" s="44" t="str">
        <f>IF(Table1[Date of Initial Assessment]="","",IF(AND(Table1[Start Date]&gt;42094,Table1[Start Date]&lt;42461),Table1[Offending],""))</f>
        <v/>
      </c>
      <c r="FK294" s="44" t="str">
        <f>IF(Table1[Leaving Date]="","",IF(Table1[Date of Initial Assessment]="","",IF(AND(Table1[Leaving Date]&gt;42094,Table1[Leaving Date]&lt;42461),IF(Table1[Date of Last Assessment]="",Table1[Motivation and Taking Responsibility],Table1[Motivation and Taking Responsibility2]),"")))</f>
        <v/>
      </c>
      <c r="FL294" s="44" t="str">
        <f>IF(Table1[Leaving Date]="","",IF(Table1[Date of Initial Assessment]="","",IF(AND(Table1[Leaving Date]&gt;42094,Table1[Leaving Date]&lt;42461),IF(Table1[Date of Last Assessment]="",Table1[Self-Care and Living Skills],Table1[Self-Care and Living Skills2]),"")))</f>
        <v/>
      </c>
      <c r="FM294" s="44" t="str">
        <f>IF(Table1[Leaving Date]="","",IF(Table1[Date of Initial Assessment]="","",IF(AND(Table1[Leaving Date]&gt;42094,Table1[Leaving Date]&lt;42461),IF(Table1[Date of Last Assessment]="",Table1[Managing Money and Personal Administration],Table1[Managing Money and Personal Administration2]),"")))</f>
        <v/>
      </c>
      <c r="FN294" s="44" t="str">
        <f>IF(Table1[Leaving Date]="","",IF(Table1[Date of Initial Assessment]="","",IF(AND(Table1[Leaving Date]&gt;42094,Table1[Leaving Date]&lt;42461),IF(Table1[Date of Last Assessment]="",Table1[Social Networks and Relationships],Table1[Social Networks and Relationships2]),"")))</f>
        <v/>
      </c>
      <c r="FO294" s="44" t="str">
        <f>IF(Table1[Leaving Date]="","",IF(Table1[Date of Initial Assessment]="","",IF(AND(Table1[Leaving Date]&gt;42094,Table1[Leaving Date]&lt;42461),IF(Table1[Date of Last Assessment]="",Table1[Drug and Alcohol Misuse],Table1[Drug and Alcohol Misuse2]),"")))</f>
        <v/>
      </c>
      <c r="FP294" s="44" t="str">
        <f>IF(Table1[Leaving Date]="","",IF(Table1[Date of Initial Assessment]="","",IF(AND(Table1[Leaving Date]&gt;42094,Table1[Leaving Date]&lt;42461),IF(Table1[Date of Last Assessment]="",Table1[Physical Health],Table1[Physical Health2]),"")))</f>
        <v/>
      </c>
      <c r="FQ294" s="44" t="str">
        <f>IF(Table1[Leaving Date]="","",IF(Table1[Date of Initial Assessment]="","",IF(AND(Table1[Leaving Date]&gt;42094,Table1[Leaving Date]&lt;42461),IF(Table1[Date of Last Assessment]="",Table1[Emotional and Mental Health],Table1[Emotional and Mental Health2]),"")))</f>
        <v/>
      </c>
      <c r="FR294" s="44" t="str">
        <f>IF(Table1[Leaving Date]="","",IF(Table1[Date of Initial Assessment]="","",IF(AND(Table1[Leaving Date]&gt;42094,Table1[Leaving Date]&lt;42461),IF(Table1[Date of Last Assessment]="",Table1[Meaningful Use of Time],Table1[Meaningful Use of Time2]),"")))</f>
        <v/>
      </c>
      <c r="FS294" s="44" t="str">
        <f>IF(Table1[Leaving Date]="","",IF(Table1[Date of Initial Assessment]="","",IF(AND(Table1[Leaving Date]&gt;42094,Table1[Leaving Date]&lt;42461),IF(Table1[Date of Last Assessment]="",Table1[Managing Tenancy and Accommodation],Table1[Managing Tenancy and Accommodation2]),"")))</f>
        <v/>
      </c>
      <c r="FT294" s="44" t="str">
        <f>IF(Table1[Leaving Date]="","",IF(Table1[Date of Initial Assessment]="","",IF(AND(Table1[Leaving Date]&gt;42094,Table1[Leaving Date]&lt;42461),IF(Table1[Date of Last Assessment]="",Table1[Offending],Table1[Offending2]),"")))</f>
        <v/>
      </c>
      <c r="FU294" s="44" t="str">
        <f>IF(Table1[Date of Initial Assessment]="","",IF(AND(Table1[Start Date]&gt;42460,Table1[Start Date]&lt;42826),Table1[Motivation and Taking Responsibility],""))</f>
        <v/>
      </c>
      <c r="FV294" s="44" t="str">
        <f>IF(Table1[Date of Initial Assessment]="","",IF(AND(Table1[Start Date]&gt;42460,Table1[Start Date]&lt;42826),Table1[Self-Care and Living Skills],""))</f>
        <v/>
      </c>
      <c r="FW294" s="44" t="str">
        <f>IF(Table1[Date of Initial Assessment]="","",IF(AND(Table1[Start Date]&gt;42460,Table1[Start Date]&lt;42826),Table1[Managing Money and Personal Administration],""))</f>
        <v/>
      </c>
      <c r="FX294" s="44" t="str">
        <f>IF(Table1[Date of Initial Assessment]="","",IF(AND(Table1[Start Date]&gt;42460,Table1[Start Date]&lt;42826),Table1[Social Networks and Relationships],""))</f>
        <v/>
      </c>
      <c r="FY294" s="44" t="str">
        <f>IF(Table1[Date of Initial Assessment]="","",IF(AND(Table1[Start Date]&gt;42460,Table1[Start Date]&lt;42826),Table1[Drug and Alcohol Misuse],""))</f>
        <v/>
      </c>
      <c r="FZ294" s="44" t="str">
        <f>IF(Table1[Date of Initial Assessment]="","",IF(AND(Table1[Start Date]&gt;42460,Table1[Start Date]&lt;42826),Table1[Physical Health],""))</f>
        <v/>
      </c>
      <c r="GA294" s="44" t="str">
        <f>IF(Table1[Date of Initial Assessment]="","",IF(AND(Table1[Start Date]&gt;42460,Table1[Start Date]&lt;42826),Table1[Emotional and Mental Health],""))</f>
        <v/>
      </c>
      <c r="GB294" s="44" t="str">
        <f>IF(Table1[Date of Initial Assessment]="","",IF(AND(Table1[Start Date]&gt;42460,Table1[Start Date]&lt;42826),Table1[Meaningful Use of Time],""))</f>
        <v/>
      </c>
      <c r="GC294" s="44" t="str">
        <f>IF(Table1[Date of Initial Assessment]="","",IF(AND(Table1[Start Date]&gt;42460,Table1[Start Date]&lt;42826),Table1[Managing Tenancy and Accommodation],""))</f>
        <v/>
      </c>
      <c r="GD294" s="44" t="str">
        <f>IF(Table1[Date of Initial Assessment]="","",IF(AND(Table1[Start Date]&gt;42460,Table1[Start Date]&lt;42826),Table1[Offending],""))</f>
        <v/>
      </c>
      <c r="GE294" s="44" t="str">
        <f>IF(Table1[Leaving Date]="","",IF(AND(Table1[Leaving Date]&gt;42460,Table1[Leaving Date]&lt;42826),IF(Table1[Date of Last Assessment]="",Table1[Motivation and Taking Responsibility],Table1[Motivation and Taking Responsibility2]),""))</f>
        <v/>
      </c>
      <c r="GF294" s="44" t="str">
        <f>IF(Table1[Leaving Date]="","",IF(AND(Table1[Leaving Date]&gt;42460,Table1[Leaving Date]&lt;42826),IF(Table1[Date of Last Assessment]="",Table1[Self-Care and Living Skills],Table1[Self-Care and Living Skills2]),""))</f>
        <v/>
      </c>
      <c r="GG294" s="44" t="str">
        <f>IF(Table1[Leaving Date]="","",IF(AND(Table1[Leaving Date]&gt;42460,Table1[Leaving Date]&lt;42826),IF(Table1[Date of Last Assessment]="",Table1[Managing Money and Personal Administration],Table1[Managing Money and Personal Administration2]),""))</f>
        <v/>
      </c>
      <c r="GH294" s="44" t="str">
        <f>IF(Table1[Leaving Date]="","",IF(AND(Table1[Leaving Date]&gt;42460,Table1[Leaving Date]&lt;42826),IF(Table1[Date of Last Assessment]="",Table1[Social Networks and Relationships],Table1[Social Networks and Relationships2]),""))</f>
        <v/>
      </c>
      <c r="GI294" s="44" t="str">
        <f>IF(Table1[Leaving Date]="","",IF(AND(Table1[Leaving Date]&gt;42460,Table1[Leaving Date]&lt;42826),IF(Table1[Date of Last Assessment]="",Table1[Drug and Alcohol Misuse],Table1[Drug and Alcohol Misuse2]),""))</f>
        <v/>
      </c>
      <c r="GJ294" s="44" t="str">
        <f>IF(Table1[Leaving Date]="","",IF(AND(Table1[Leaving Date]&gt;42460,Table1[Leaving Date]&lt;42826),IF(Table1[Date of Last Assessment]="",Table1[Physical Health],Table1[Physical Health2]),""))</f>
        <v/>
      </c>
      <c r="GK294" s="44" t="str">
        <f>IF(Table1[Leaving Date]="","",IF(AND(Table1[Leaving Date]&gt;42460,Table1[Leaving Date]&lt;42826),IF(Table1[Date of Last Assessment]="",Table1[Emotional and Mental Health],Table1[Emotional and Mental Health2]),""))</f>
        <v/>
      </c>
      <c r="GL294" s="44" t="str">
        <f>IF(Table1[Leaving Date]="","",IF(AND(Table1[Leaving Date]&gt;42460,Table1[Leaving Date]&lt;42826),IF(Table1[Date of Last Assessment]="",Table1[Meaningful Use of Time],Table1[Meaningful Use of Time2]),""))</f>
        <v/>
      </c>
      <c r="GM294" s="44" t="str">
        <f>IF(Table1[Leaving Date]="","",IF(AND(Table1[Leaving Date]&gt;42460,Table1[Leaving Date]&lt;42826),IF(Table1[Date of Last Assessment]="",Table1[Managing Tenancy and Accommodation],Table1[Managing Tenancy and Accommodation2]),""))</f>
        <v/>
      </c>
      <c r="GN294" s="44" t="str">
        <f>IF(Table1[Leaving Date]="","",IF(AND(Table1[Leaving Date]&gt;42460,Table1[Leaving Date]&lt;42826),IF(Table1[Date of Last Assessment]="",Table1[Offending],Table1[Offending2]),""))</f>
        <v/>
      </c>
    </row>
    <row r="295" spans="2:196" ht="20.100000000000001" customHeight="1" x14ac:dyDescent="0.2">
      <c r="B295" s="86">
        <f>+'Service Data'!$C$5:$C$5</f>
        <v>0</v>
      </c>
      <c r="C295" s="86"/>
      <c r="D295" s="86"/>
      <c r="E295" s="86"/>
      <c r="F295" s="86"/>
      <c r="G295" s="86"/>
      <c r="H295" s="6"/>
      <c r="I295" s="99" t="str">
        <f ca="1">IF(Table1[[#This Row],[Date of Birth]]="","",SUM(TODAY()-Table1[[#This Row],[Date of Birth]])/365)</f>
        <v/>
      </c>
      <c r="L295" s="86"/>
      <c r="M295" s="77"/>
      <c r="N295" s="86"/>
      <c r="O295" s="86"/>
      <c r="P295" s="91"/>
      <c r="Q295" s="86"/>
      <c r="R295" s="77"/>
      <c r="S295" s="77"/>
      <c r="T295" s="68"/>
      <c r="U295" s="68"/>
      <c r="V295" s="67"/>
      <c r="W295" s="67"/>
      <c r="X295" s="67"/>
      <c r="Y295" s="67"/>
      <c r="Z295" s="67"/>
      <c r="AA295" s="67"/>
      <c r="AB295" s="67"/>
      <c r="AC295" s="67"/>
      <c r="AD295" s="67"/>
      <c r="AE295" s="67"/>
      <c r="AF295" s="67"/>
      <c r="AG295" s="67"/>
      <c r="AH295" s="67"/>
      <c r="AI295" s="67"/>
      <c r="AJ295" s="67"/>
      <c r="AK295" s="67"/>
      <c r="AL295" s="67"/>
      <c r="AM295" s="67"/>
      <c r="AN295" s="77"/>
      <c r="AO295" s="76"/>
      <c r="AP295" s="77"/>
      <c r="AQ295" s="76"/>
      <c r="AR295" s="76"/>
      <c r="AS295" s="76"/>
      <c r="AT295" s="76"/>
      <c r="AU295" s="76"/>
      <c r="AV295" s="77"/>
      <c r="AW295" s="76"/>
      <c r="AX295" s="77"/>
      <c r="AY295" s="76"/>
      <c r="AZ295" s="76"/>
      <c r="BA295" s="76"/>
      <c r="BB295" s="76"/>
      <c r="BC295" s="76"/>
      <c r="BD295" s="77"/>
      <c r="BE295" s="76"/>
      <c r="BF295" s="77"/>
      <c r="BG295" s="76"/>
      <c r="BH295" s="76"/>
      <c r="BI295" s="76"/>
      <c r="BJ295" s="76"/>
      <c r="BK295" s="76"/>
      <c r="BL295" s="77"/>
      <c r="BM295" s="76"/>
      <c r="BN295" s="77"/>
      <c r="BO295" s="76"/>
      <c r="BP295" s="76"/>
      <c r="BQ295" s="76"/>
      <c r="BR295" s="76"/>
      <c r="BS295" s="76"/>
      <c r="BT295" s="77"/>
      <c r="BU295" s="76"/>
      <c r="BV295" s="77"/>
      <c r="BW295" s="76"/>
      <c r="BX295" s="76"/>
      <c r="BY295" s="76"/>
      <c r="BZ295" s="76"/>
      <c r="CA295" s="76"/>
      <c r="CB295" s="77"/>
      <c r="CC295" s="76"/>
      <c r="CD295" s="77"/>
      <c r="CE295" s="76"/>
      <c r="CF295" s="76"/>
      <c r="CG295" s="76"/>
      <c r="CH295" s="76"/>
      <c r="CI295" s="76"/>
      <c r="CJ295" s="77"/>
      <c r="CK295" s="76"/>
      <c r="CL295" s="77"/>
      <c r="CM295" s="76"/>
      <c r="CN295" s="76"/>
      <c r="CO295" s="76"/>
      <c r="CP295" s="76"/>
      <c r="CQ295" s="76"/>
      <c r="CR295" s="78" t="str">
        <f t="shared" si="79"/>
        <v/>
      </c>
      <c r="CS295" s="79" t="str">
        <f t="shared" si="80"/>
        <v/>
      </c>
      <c r="CT295" s="79" t="str">
        <f t="shared" si="81"/>
        <v/>
      </c>
      <c r="CU295" s="79" t="str">
        <f t="shared" si="82"/>
        <v/>
      </c>
      <c r="CV295" s="79" t="str">
        <f t="shared" si="83"/>
        <v/>
      </c>
      <c r="CW295" s="79" t="str">
        <f t="shared" si="84"/>
        <v/>
      </c>
      <c r="CX295" s="79" t="str">
        <f t="shared" si="85"/>
        <v/>
      </c>
      <c r="CY295" s="79" t="str">
        <f t="shared" si="86"/>
        <v/>
      </c>
      <c r="CZ295" s="79" t="str">
        <f t="shared" si="87"/>
        <v/>
      </c>
      <c r="DA295" s="79" t="str">
        <f t="shared" si="88"/>
        <v/>
      </c>
      <c r="DB295" s="79" t="str">
        <f t="shared" si="89"/>
        <v/>
      </c>
      <c r="DC295" s="79" t="str">
        <f t="shared" si="90"/>
        <v/>
      </c>
      <c r="DD295" s="79" t="str">
        <f t="shared" si="91"/>
        <v/>
      </c>
      <c r="DE295" s="79" t="str">
        <f t="shared" si="92"/>
        <v/>
      </c>
      <c r="DF295" s="79" t="str">
        <f t="shared" si="93"/>
        <v/>
      </c>
      <c r="DG295" s="79" t="str">
        <f t="shared" si="94"/>
        <v/>
      </c>
      <c r="DH295" s="76"/>
      <c r="DI295" s="78"/>
      <c r="DJ295" s="76"/>
      <c r="DK295" s="77"/>
      <c r="DL295" s="77"/>
      <c r="DM295" s="77"/>
      <c r="DN295" s="80"/>
      <c r="DO295" s="80"/>
      <c r="DP295" s="92" t="str">
        <f>IF(Table1[Start Date]="","",IF(Table1[Start Date]&gt;42185,"",IF(AND(Table1[Leaving Date]&gt;1,Table1[Leaving Date]&lt;42095),"",1)))</f>
        <v/>
      </c>
      <c r="DQ295" s="92" t="str">
        <f>IF(Table1[Start Date]="","",IF(Table1[Start Date]&gt;42277,"",IF(AND(Table1[Leaving Date]&gt;1,Table1[Leaving Date]&lt;42186),"",1)))</f>
        <v/>
      </c>
      <c r="DR295" s="92" t="str">
        <f>IF(Table1[Start Date]="","",IF(Table1[Start Date]&gt;42369,"",IF(AND(Table1[Leaving Date]&gt;1,Table1[Leaving Date]&lt;42278),"",1)))</f>
        <v/>
      </c>
      <c r="DS295" s="92" t="str">
        <f>IF(Table1[Start Date]="","",IF(Table1[Start Date]&gt;42460,"",IF(AND(Table1[Leaving Date]&gt;1,Table1[Leaving Date]&lt;42370),"",1)))</f>
        <v/>
      </c>
      <c r="DT295" s="92" t="str">
        <f>IF(Table1[Start Date]="","",IF(Table1[Start Date]&gt;42551,"",IF(AND(Table1[Leaving Date]&gt;1,Table1[Leaving Date]&lt;42461),"",1)))</f>
        <v/>
      </c>
      <c r="DU295" s="92" t="str">
        <f>IF(Table1[Start Date]="","",IF(Table1[Start Date]&gt;42643,"",IF(AND(Table1[Leaving Date]&gt;1,Table1[Leaving Date]&lt;42552),"",1)))</f>
        <v/>
      </c>
      <c r="DV295" s="92" t="str">
        <f>IF(Table1[Start Date]="","",IF(Table1[Start Date]&gt;42735,"",IF(AND(Table1[Leaving Date]&gt;1,Table1[Leaving Date]&lt;42644),"",1)))</f>
        <v/>
      </c>
      <c r="DW295" s="92" t="str">
        <f>IF(Table1[Start Date]="","",IF(Table1[Start Date]&gt;42825,"",IF(AND(Table1[Leaving Date]&gt;1,Table1[Leaving Date]&lt;42736),"",1)))</f>
        <v/>
      </c>
      <c r="DX295"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295" s="44" t="e">
        <f>VLOOKUP(Table1[Referral Source],Lists!$G$2:$H$20,2,FALSE)</f>
        <v>#N/A</v>
      </c>
      <c r="DZ295" s="93" t="e">
        <f>SUM(Table1[Data Referral Quarter]+Table1[Data Referral Source])</f>
        <v>#N/A</v>
      </c>
      <c r="EA295" s="44" t="b">
        <f>IF(Table1[Referral Decision]="Accepted",100,IF(Table1[Referral Decision]="Rejected by Provider",200,IF(Table1[Referral Decision]="Rejected by Applicant",300)))</f>
        <v>0</v>
      </c>
      <c r="EB295" s="44">
        <f>SUM(Table1[Data Referral Quarter]+Table1[Data Referral Decision])</f>
        <v>0</v>
      </c>
      <c r="EC295" s="44" t="b">
        <f>IF(Table1[Start Date]&gt;42735,8000,IF(Table1[Start Date]&gt;42643,7000,IF(Table1[Start Date]&gt;42551,6000,IF(Table1[Start Date]&gt;42460,5000,IF(Table1[Start Date]&gt;42369,4000,IF(Table1[Start Date]&gt;42277,3000,IF(Table1[Start Date]&gt;42185,2000,IF(Table1[Start Date]&gt;42094,1000))))))))</f>
        <v>0</v>
      </c>
      <c r="ED295" s="44" t="str">
        <f>IF(Table1[Start Date]="","",IF(Table1[Current Local Authority]="Swindon",1,"2"))</f>
        <v/>
      </c>
      <c r="EE295" s="44" t="e">
        <f>SUM(Table1[Data Start Date]+Table1[Data Local Authority])</f>
        <v>#VALUE!</v>
      </c>
      <c r="EF295" s="44">
        <f>IF(Table1[Registered with GP]="Yes",1,0)</f>
        <v>0</v>
      </c>
      <c r="EG295" s="44">
        <f>SUM(Table1[Data Start Date]+Table1[Data GP Start])</f>
        <v>0</v>
      </c>
      <c r="EH295" s="44" t="str">
        <f>IF(Table1[EET]="NEET",1,IF(Table1[EET]="Education",2,IF(Table1[EET]="Employment",2,IF(Table1[EET]="Training",2,IF(Table1[EET]="Retired",3,"")))))</f>
        <v/>
      </c>
      <c r="EI295" s="44" t="e">
        <f>Table1[Data Start Date]+Table1[Data EET Start]</f>
        <v>#VALUE!</v>
      </c>
      <c r="EJ295" s="44" t="b">
        <f>IF(Table1[Leaving Date]&gt;42735,8000,IF(Table1[Leaving Date]&gt;42643,7000,IF(Table1[Leaving Date]&gt;42551,6000,IF(Table1[Leaving Date]&gt;42460,5000,IF(Table1[Leaving Date]&gt;42369,4000,IF(Table1[Leaving Date]&gt;42277,3000,IF(Table1[Leaving Date]&gt;42185,2000,IF(Table1[Leaving Date]&gt;42094,1000))))))))</f>
        <v>0</v>
      </c>
      <c r="EK295" s="44" t="e">
        <f>VLOOKUP(Table1[Reason for Leaving],Lists!$T$2:$U$15,2,FALSE)</f>
        <v>#N/A</v>
      </c>
      <c r="EL295" s="44" t="e">
        <f>SUM(Table1[Data Leavers Date]+Table1[Data Move On])</f>
        <v>#N/A</v>
      </c>
      <c r="EM295" s="44" t="b">
        <f>IF(Table1[Registered with GP2]="Yes",1,IF(Table1[Registered with GP2]="No",0,IF(Table1[Registered with GP]="Yes",1,IF(Table1[Registered with GP]="No",0))))</f>
        <v>0</v>
      </c>
      <c r="EN295" s="44">
        <f>SUM(Table1[Data Leavers Date]+Table1[Data GP End])</f>
        <v>0</v>
      </c>
      <c r="EO295" s="44" t="str">
        <f>IF(Table1[EET2]="NEET",1,IF(Table1[EET2]="Employment",2,IF(Table1[EET2]="Education",2,IF(Table1[EET2]="Training",2,IF(Table1[EET2]="Retired",3,IF(Table1[EET]="NEET",1,IF(Table1[EET]="Employment",2,IF(Table1[EET]="Education",2,IF(Table1[EET]="Training",2,IF(Table1[EET]="Retired",3,""))))))))))</f>
        <v/>
      </c>
      <c r="EP295" s="44" t="e">
        <f>+Table1[[#This Row],[Data Leavers Date]]+Table1[[#This Row],[Data EET End]]</f>
        <v>#VALUE!</v>
      </c>
      <c r="EQ295" s="44">
        <f>IF(Table1[Exit Form Received]="Yes",1,0)</f>
        <v>0</v>
      </c>
      <c r="ER295" s="44">
        <f>+Table1[[#This Row],[Data Leavers Date]]+Table1[[#This Row],[Data Exit Forms]]</f>
        <v>0</v>
      </c>
      <c r="ES295" s="44" t="str">
        <f>IF(Table1[Data Leavers Date]=1000,SUM(Table1[Leaving Date]-Table1[Start Date]),"")</f>
        <v/>
      </c>
      <c r="ET295" s="44" t="str">
        <f>IF(Table1[Data Leavers Date]=2000,SUM(Table1[Leaving Date]-Table1[Start Date]),"")</f>
        <v/>
      </c>
      <c r="EU295" s="44" t="str">
        <f>IF(Table1[Data Leavers Date]=3000,SUM(Table1[Leaving Date]-Table1[Start Date]),"")</f>
        <v/>
      </c>
      <c r="EV295" s="44" t="str">
        <f>IF(Table1[Data Leavers Date]=4000,SUM(Table1[Leaving Date]-Table1[Start Date]),"")</f>
        <v/>
      </c>
      <c r="EW295" s="44" t="str">
        <f>IF(Table1[Data Leavers Date]=5000,SUM(Table1[Leaving Date]-Table1[Start Date]),"")</f>
        <v/>
      </c>
      <c r="EX295" s="44" t="str">
        <f>IF(Table1[Data Leavers Date]=6000,SUM(Table1[Leaving Date]-Table1[Start Date]),"")</f>
        <v/>
      </c>
      <c r="EY295" s="44" t="str">
        <f>IF(Table1[Data Leavers Date]=7000,SUM(Table1[Leaving Date]-Table1[Start Date]),"")</f>
        <v/>
      </c>
      <c r="EZ295" s="44" t="str">
        <f>IF(Table1[Data Leavers Date]=8000,SUM(Table1[Leaving Date]-Table1[Start Date]),"")</f>
        <v/>
      </c>
      <c r="FA295" s="44" t="str">
        <f>IF(Table1[Date of Initial Assessment]="","",IF(AND(Table1[Start Date]&gt;42094,Table1[Start Date]&lt;42461),Table1[Motivation and Taking Responsibility],""))</f>
        <v/>
      </c>
      <c r="FB295" s="44" t="str">
        <f>IF(Table1[Date of Initial Assessment]="","",IF(AND(Table1[Start Date]&gt;42094,Table1[Start Date]&lt;42461),Table1[Self-Care and Living Skills],""))</f>
        <v/>
      </c>
      <c r="FC295" s="44" t="str">
        <f>IF(Table1[Date of Initial Assessment]="","",IF(AND(Table1[Start Date]&gt;42094,Table1[Start Date]&lt;42461),Table1[Managing Money and Personal Administration],""))</f>
        <v/>
      </c>
      <c r="FD295" s="44" t="str">
        <f>IF(Table1[Date of Initial Assessment]="","",IF(AND(Table1[Start Date]&gt;42094,Table1[Start Date]&lt;42461),Table1[Social Networks and Relationships],""))</f>
        <v/>
      </c>
      <c r="FE295" s="44" t="str">
        <f>IF(Table1[Date of Initial Assessment]="","",IF(AND(Table1[Start Date]&gt;42094,Table1[Start Date]&lt;42461),Table1[Drug and Alcohol Misuse],""))</f>
        <v/>
      </c>
      <c r="FF295" s="44" t="str">
        <f>IF(Table1[Date of Initial Assessment]="","",IF(AND(Table1[Start Date]&gt;42094,Table1[Start Date]&lt;42461),Table1[Physical Health],""))</f>
        <v/>
      </c>
      <c r="FG295" s="44" t="str">
        <f>IF(Table1[Date of Initial Assessment]="","",IF(AND(Table1[Start Date]&gt;42094,Table1[Start Date]&lt;42461),Table1[Emotional and Mental Health],""))</f>
        <v/>
      </c>
      <c r="FH295" s="44" t="str">
        <f>IF(Table1[Date of Initial Assessment]="","",IF(AND(Table1[Start Date]&gt;42094,Table1[Start Date]&lt;42461),Table1[Meaningful Use of Time],""))</f>
        <v/>
      </c>
      <c r="FI295" s="44" t="str">
        <f>IF(Table1[Date of Initial Assessment]="","",IF(AND(Table1[Start Date]&gt;42094,Table1[Start Date]&lt;42461),Table1[Managing Tenancy and Accommodation],""))</f>
        <v/>
      </c>
      <c r="FJ295" s="44" t="str">
        <f>IF(Table1[Date of Initial Assessment]="","",IF(AND(Table1[Start Date]&gt;42094,Table1[Start Date]&lt;42461),Table1[Offending],""))</f>
        <v/>
      </c>
      <c r="FK295" s="44" t="str">
        <f>IF(Table1[Leaving Date]="","",IF(Table1[Date of Initial Assessment]="","",IF(AND(Table1[Leaving Date]&gt;42094,Table1[Leaving Date]&lt;42461),IF(Table1[Date of Last Assessment]="",Table1[Motivation and Taking Responsibility],Table1[Motivation and Taking Responsibility2]),"")))</f>
        <v/>
      </c>
      <c r="FL295" s="44" t="str">
        <f>IF(Table1[Leaving Date]="","",IF(Table1[Date of Initial Assessment]="","",IF(AND(Table1[Leaving Date]&gt;42094,Table1[Leaving Date]&lt;42461),IF(Table1[Date of Last Assessment]="",Table1[Self-Care and Living Skills],Table1[Self-Care and Living Skills2]),"")))</f>
        <v/>
      </c>
      <c r="FM295" s="44" t="str">
        <f>IF(Table1[Leaving Date]="","",IF(Table1[Date of Initial Assessment]="","",IF(AND(Table1[Leaving Date]&gt;42094,Table1[Leaving Date]&lt;42461),IF(Table1[Date of Last Assessment]="",Table1[Managing Money and Personal Administration],Table1[Managing Money and Personal Administration2]),"")))</f>
        <v/>
      </c>
      <c r="FN295" s="44" t="str">
        <f>IF(Table1[Leaving Date]="","",IF(Table1[Date of Initial Assessment]="","",IF(AND(Table1[Leaving Date]&gt;42094,Table1[Leaving Date]&lt;42461),IF(Table1[Date of Last Assessment]="",Table1[Social Networks and Relationships],Table1[Social Networks and Relationships2]),"")))</f>
        <v/>
      </c>
      <c r="FO295" s="44" t="str">
        <f>IF(Table1[Leaving Date]="","",IF(Table1[Date of Initial Assessment]="","",IF(AND(Table1[Leaving Date]&gt;42094,Table1[Leaving Date]&lt;42461),IF(Table1[Date of Last Assessment]="",Table1[Drug and Alcohol Misuse],Table1[Drug and Alcohol Misuse2]),"")))</f>
        <v/>
      </c>
      <c r="FP295" s="44" t="str">
        <f>IF(Table1[Leaving Date]="","",IF(Table1[Date of Initial Assessment]="","",IF(AND(Table1[Leaving Date]&gt;42094,Table1[Leaving Date]&lt;42461),IF(Table1[Date of Last Assessment]="",Table1[Physical Health],Table1[Physical Health2]),"")))</f>
        <v/>
      </c>
      <c r="FQ295" s="44" t="str">
        <f>IF(Table1[Leaving Date]="","",IF(Table1[Date of Initial Assessment]="","",IF(AND(Table1[Leaving Date]&gt;42094,Table1[Leaving Date]&lt;42461),IF(Table1[Date of Last Assessment]="",Table1[Emotional and Mental Health],Table1[Emotional and Mental Health2]),"")))</f>
        <v/>
      </c>
      <c r="FR295" s="44" t="str">
        <f>IF(Table1[Leaving Date]="","",IF(Table1[Date of Initial Assessment]="","",IF(AND(Table1[Leaving Date]&gt;42094,Table1[Leaving Date]&lt;42461),IF(Table1[Date of Last Assessment]="",Table1[Meaningful Use of Time],Table1[Meaningful Use of Time2]),"")))</f>
        <v/>
      </c>
      <c r="FS295" s="44" t="str">
        <f>IF(Table1[Leaving Date]="","",IF(Table1[Date of Initial Assessment]="","",IF(AND(Table1[Leaving Date]&gt;42094,Table1[Leaving Date]&lt;42461),IF(Table1[Date of Last Assessment]="",Table1[Managing Tenancy and Accommodation],Table1[Managing Tenancy and Accommodation2]),"")))</f>
        <v/>
      </c>
      <c r="FT295" s="44" t="str">
        <f>IF(Table1[Leaving Date]="","",IF(Table1[Date of Initial Assessment]="","",IF(AND(Table1[Leaving Date]&gt;42094,Table1[Leaving Date]&lt;42461),IF(Table1[Date of Last Assessment]="",Table1[Offending],Table1[Offending2]),"")))</f>
        <v/>
      </c>
      <c r="FU295" s="44" t="str">
        <f>IF(Table1[Date of Initial Assessment]="","",IF(AND(Table1[Start Date]&gt;42460,Table1[Start Date]&lt;42826),Table1[Motivation and Taking Responsibility],""))</f>
        <v/>
      </c>
      <c r="FV295" s="44" t="str">
        <f>IF(Table1[Date of Initial Assessment]="","",IF(AND(Table1[Start Date]&gt;42460,Table1[Start Date]&lt;42826),Table1[Self-Care and Living Skills],""))</f>
        <v/>
      </c>
      <c r="FW295" s="44" t="str">
        <f>IF(Table1[Date of Initial Assessment]="","",IF(AND(Table1[Start Date]&gt;42460,Table1[Start Date]&lt;42826),Table1[Managing Money and Personal Administration],""))</f>
        <v/>
      </c>
      <c r="FX295" s="44" t="str">
        <f>IF(Table1[Date of Initial Assessment]="","",IF(AND(Table1[Start Date]&gt;42460,Table1[Start Date]&lt;42826),Table1[Social Networks and Relationships],""))</f>
        <v/>
      </c>
      <c r="FY295" s="44" t="str">
        <f>IF(Table1[Date of Initial Assessment]="","",IF(AND(Table1[Start Date]&gt;42460,Table1[Start Date]&lt;42826),Table1[Drug and Alcohol Misuse],""))</f>
        <v/>
      </c>
      <c r="FZ295" s="44" t="str">
        <f>IF(Table1[Date of Initial Assessment]="","",IF(AND(Table1[Start Date]&gt;42460,Table1[Start Date]&lt;42826),Table1[Physical Health],""))</f>
        <v/>
      </c>
      <c r="GA295" s="44" t="str">
        <f>IF(Table1[Date of Initial Assessment]="","",IF(AND(Table1[Start Date]&gt;42460,Table1[Start Date]&lt;42826),Table1[Emotional and Mental Health],""))</f>
        <v/>
      </c>
      <c r="GB295" s="44" t="str">
        <f>IF(Table1[Date of Initial Assessment]="","",IF(AND(Table1[Start Date]&gt;42460,Table1[Start Date]&lt;42826),Table1[Meaningful Use of Time],""))</f>
        <v/>
      </c>
      <c r="GC295" s="44" t="str">
        <f>IF(Table1[Date of Initial Assessment]="","",IF(AND(Table1[Start Date]&gt;42460,Table1[Start Date]&lt;42826),Table1[Managing Tenancy and Accommodation],""))</f>
        <v/>
      </c>
      <c r="GD295" s="44" t="str">
        <f>IF(Table1[Date of Initial Assessment]="","",IF(AND(Table1[Start Date]&gt;42460,Table1[Start Date]&lt;42826),Table1[Offending],""))</f>
        <v/>
      </c>
      <c r="GE295" s="44" t="str">
        <f>IF(Table1[Leaving Date]="","",IF(AND(Table1[Leaving Date]&gt;42460,Table1[Leaving Date]&lt;42826),IF(Table1[Date of Last Assessment]="",Table1[Motivation and Taking Responsibility],Table1[Motivation and Taking Responsibility2]),""))</f>
        <v/>
      </c>
      <c r="GF295" s="44" t="str">
        <f>IF(Table1[Leaving Date]="","",IF(AND(Table1[Leaving Date]&gt;42460,Table1[Leaving Date]&lt;42826),IF(Table1[Date of Last Assessment]="",Table1[Self-Care and Living Skills],Table1[Self-Care and Living Skills2]),""))</f>
        <v/>
      </c>
      <c r="GG295" s="44" t="str">
        <f>IF(Table1[Leaving Date]="","",IF(AND(Table1[Leaving Date]&gt;42460,Table1[Leaving Date]&lt;42826),IF(Table1[Date of Last Assessment]="",Table1[Managing Money and Personal Administration],Table1[Managing Money and Personal Administration2]),""))</f>
        <v/>
      </c>
      <c r="GH295" s="44" t="str">
        <f>IF(Table1[Leaving Date]="","",IF(AND(Table1[Leaving Date]&gt;42460,Table1[Leaving Date]&lt;42826),IF(Table1[Date of Last Assessment]="",Table1[Social Networks and Relationships],Table1[Social Networks and Relationships2]),""))</f>
        <v/>
      </c>
      <c r="GI295" s="44" t="str">
        <f>IF(Table1[Leaving Date]="","",IF(AND(Table1[Leaving Date]&gt;42460,Table1[Leaving Date]&lt;42826),IF(Table1[Date of Last Assessment]="",Table1[Drug and Alcohol Misuse],Table1[Drug and Alcohol Misuse2]),""))</f>
        <v/>
      </c>
      <c r="GJ295" s="44" t="str">
        <f>IF(Table1[Leaving Date]="","",IF(AND(Table1[Leaving Date]&gt;42460,Table1[Leaving Date]&lt;42826),IF(Table1[Date of Last Assessment]="",Table1[Physical Health],Table1[Physical Health2]),""))</f>
        <v/>
      </c>
      <c r="GK295" s="44" t="str">
        <f>IF(Table1[Leaving Date]="","",IF(AND(Table1[Leaving Date]&gt;42460,Table1[Leaving Date]&lt;42826),IF(Table1[Date of Last Assessment]="",Table1[Emotional and Mental Health],Table1[Emotional and Mental Health2]),""))</f>
        <v/>
      </c>
      <c r="GL295" s="44" t="str">
        <f>IF(Table1[Leaving Date]="","",IF(AND(Table1[Leaving Date]&gt;42460,Table1[Leaving Date]&lt;42826),IF(Table1[Date of Last Assessment]="",Table1[Meaningful Use of Time],Table1[Meaningful Use of Time2]),""))</f>
        <v/>
      </c>
      <c r="GM295" s="44" t="str">
        <f>IF(Table1[Leaving Date]="","",IF(AND(Table1[Leaving Date]&gt;42460,Table1[Leaving Date]&lt;42826),IF(Table1[Date of Last Assessment]="",Table1[Managing Tenancy and Accommodation],Table1[Managing Tenancy and Accommodation2]),""))</f>
        <v/>
      </c>
      <c r="GN295" s="44" t="str">
        <f>IF(Table1[Leaving Date]="","",IF(AND(Table1[Leaving Date]&gt;42460,Table1[Leaving Date]&lt;42826),IF(Table1[Date of Last Assessment]="",Table1[Offending],Table1[Offending2]),""))</f>
        <v/>
      </c>
    </row>
    <row r="296" spans="2:196" ht="20.100000000000001" customHeight="1" x14ac:dyDescent="0.2">
      <c r="B296" s="86">
        <f>+'Service Data'!$C$5:$C$5</f>
        <v>0</v>
      </c>
      <c r="C296" s="86"/>
      <c r="D296" s="86"/>
      <c r="E296" s="86"/>
      <c r="F296" s="86"/>
      <c r="G296" s="86"/>
      <c r="H296" s="6"/>
      <c r="I296" s="99" t="str">
        <f ca="1">IF(Table1[[#This Row],[Date of Birth]]="","",SUM(TODAY()-Table1[[#This Row],[Date of Birth]])/365)</f>
        <v/>
      </c>
      <c r="L296" s="86"/>
      <c r="M296" s="77"/>
      <c r="N296" s="86"/>
      <c r="O296" s="86"/>
      <c r="P296" s="91"/>
      <c r="Q296" s="86"/>
      <c r="R296" s="77"/>
      <c r="S296" s="77"/>
      <c r="T296" s="68"/>
      <c r="U296" s="68"/>
      <c r="V296" s="67"/>
      <c r="W296" s="67"/>
      <c r="X296" s="67"/>
      <c r="Y296" s="67"/>
      <c r="Z296" s="67"/>
      <c r="AA296" s="67"/>
      <c r="AB296" s="67"/>
      <c r="AC296" s="67"/>
      <c r="AD296" s="67"/>
      <c r="AE296" s="67"/>
      <c r="AF296" s="67"/>
      <c r="AG296" s="67"/>
      <c r="AH296" s="67"/>
      <c r="AI296" s="67"/>
      <c r="AJ296" s="67"/>
      <c r="AK296" s="67"/>
      <c r="AL296" s="67"/>
      <c r="AM296" s="67"/>
      <c r="AN296" s="77"/>
      <c r="AO296" s="76"/>
      <c r="AP296" s="77"/>
      <c r="AQ296" s="76"/>
      <c r="AR296" s="76"/>
      <c r="AS296" s="76"/>
      <c r="AT296" s="76"/>
      <c r="AU296" s="76"/>
      <c r="AV296" s="77"/>
      <c r="AW296" s="76"/>
      <c r="AX296" s="77"/>
      <c r="AY296" s="76"/>
      <c r="AZ296" s="76"/>
      <c r="BA296" s="76"/>
      <c r="BB296" s="76"/>
      <c r="BC296" s="76"/>
      <c r="BD296" s="77"/>
      <c r="BE296" s="76"/>
      <c r="BF296" s="77"/>
      <c r="BG296" s="76"/>
      <c r="BH296" s="76"/>
      <c r="BI296" s="76"/>
      <c r="BJ296" s="76"/>
      <c r="BK296" s="76"/>
      <c r="BL296" s="77"/>
      <c r="BM296" s="76"/>
      <c r="BN296" s="77"/>
      <c r="BO296" s="76"/>
      <c r="BP296" s="76"/>
      <c r="BQ296" s="76"/>
      <c r="BR296" s="76"/>
      <c r="BS296" s="76"/>
      <c r="BT296" s="77"/>
      <c r="BU296" s="76"/>
      <c r="BV296" s="77"/>
      <c r="BW296" s="76"/>
      <c r="BX296" s="76"/>
      <c r="BY296" s="76"/>
      <c r="BZ296" s="76"/>
      <c r="CA296" s="76"/>
      <c r="CB296" s="77"/>
      <c r="CC296" s="76"/>
      <c r="CD296" s="77"/>
      <c r="CE296" s="76"/>
      <c r="CF296" s="76"/>
      <c r="CG296" s="76"/>
      <c r="CH296" s="76"/>
      <c r="CI296" s="76"/>
      <c r="CJ296" s="77"/>
      <c r="CK296" s="76"/>
      <c r="CL296" s="77"/>
      <c r="CM296" s="76"/>
      <c r="CN296" s="76"/>
      <c r="CO296" s="76"/>
      <c r="CP296" s="76"/>
      <c r="CQ296" s="76"/>
      <c r="CR296" s="78" t="str">
        <f t="shared" si="79"/>
        <v/>
      </c>
      <c r="CS296" s="79" t="str">
        <f t="shared" si="80"/>
        <v/>
      </c>
      <c r="CT296" s="79" t="str">
        <f t="shared" si="81"/>
        <v/>
      </c>
      <c r="CU296" s="79" t="str">
        <f t="shared" si="82"/>
        <v/>
      </c>
      <c r="CV296" s="79" t="str">
        <f t="shared" si="83"/>
        <v/>
      </c>
      <c r="CW296" s="79" t="str">
        <f t="shared" si="84"/>
        <v/>
      </c>
      <c r="CX296" s="79" t="str">
        <f t="shared" si="85"/>
        <v/>
      </c>
      <c r="CY296" s="79" t="str">
        <f t="shared" si="86"/>
        <v/>
      </c>
      <c r="CZ296" s="79" t="str">
        <f t="shared" si="87"/>
        <v/>
      </c>
      <c r="DA296" s="79" t="str">
        <f t="shared" si="88"/>
        <v/>
      </c>
      <c r="DB296" s="79" t="str">
        <f t="shared" si="89"/>
        <v/>
      </c>
      <c r="DC296" s="79" t="str">
        <f t="shared" si="90"/>
        <v/>
      </c>
      <c r="DD296" s="79" t="str">
        <f t="shared" si="91"/>
        <v/>
      </c>
      <c r="DE296" s="79" t="str">
        <f t="shared" si="92"/>
        <v/>
      </c>
      <c r="DF296" s="79" t="str">
        <f t="shared" si="93"/>
        <v/>
      </c>
      <c r="DG296" s="79" t="str">
        <f t="shared" si="94"/>
        <v/>
      </c>
      <c r="DH296" s="76"/>
      <c r="DI296" s="78"/>
      <c r="DJ296" s="76"/>
      <c r="DK296" s="77"/>
      <c r="DL296" s="77"/>
      <c r="DM296" s="77"/>
      <c r="DN296" s="80"/>
      <c r="DO296" s="80"/>
      <c r="DP296" s="92" t="str">
        <f>IF(Table1[Start Date]="","",IF(Table1[Start Date]&gt;42185,"",IF(AND(Table1[Leaving Date]&gt;1,Table1[Leaving Date]&lt;42095),"",1)))</f>
        <v/>
      </c>
      <c r="DQ296" s="92" t="str">
        <f>IF(Table1[Start Date]="","",IF(Table1[Start Date]&gt;42277,"",IF(AND(Table1[Leaving Date]&gt;1,Table1[Leaving Date]&lt;42186),"",1)))</f>
        <v/>
      </c>
      <c r="DR296" s="92" t="str">
        <f>IF(Table1[Start Date]="","",IF(Table1[Start Date]&gt;42369,"",IF(AND(Table1[Leaving Date]&gt;1,Table1[Leaving Date]&lt;42278),"",1)))</f>
        <v/>
      </c>
      <c r="DS296" s="92" t="str">
        <f>IF(Table1[Start Date]="","",IF(Table1[Start Date]&gt;42460,"",IF(AND(Table1[Leaving Date]&gt;1,Table1[Leaving Date]&lt;42370),"",1)))</f>
        <v/>
      </c>
      <c r="DT296" s="92" t="str">
        <f>IF(Table1[Start Date]="","",IF(Table1[Start Date]&gt;42551,"",IF(AND(Table1[Leaving Date]&gt;1,Table1[Leaving Date]&lt;42461),"",1)))</f>
        <v/>
      </c>
      <c r="DU296" s="92" t="str">
        <f>IF(Table1[Start Date]="","",IF(Table1[Start Date]&gt;42643,"",IF(AND(Table1[Leaving Date]&gt;1,Table1[Leaving Date]&lt;42552),"",1)))</f>
        <v/>
      </c>
      <c r="DV296" s="92" t="str">
        <f>IF(Table1[Start Date]="","",IF(Table1[Start Date]&gt;42735,"",IF(AND(Table1[Leaving Date]&gt;1,Table1[Leaving Date]&lt;42644),"",1)))</f>
        <v/>
      </c>
      <c r="DW296" s="92" t="str">
        <f>IF(Table1[Start Date]="","",IF(Table1[Start Date]&gt;42825,"",IF(AND(Table1[Leaving Date]&gt;1,Table1[Leaving Date]&lt;42736),"",1)))</f>
        <v/>
      </c>
      <c r="DX296"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296" s="44" t="e">
        <f>VLOOKUP(Table1[Referral Source],Lists!$G$2:$H$20,2,FALSE)</f>
        <v>#N/A</v>
      </c>
      <c r="DZ296" s="93" t="e">
        <f>SUM(Table1[Data Referral Quarter]+Table1[Data Referral Source])</f>
        <v>#N/A</v>
      </c>
      <c r="EA296" s="44" t="b">
        <f>IF(Table1[Referral Decision]="Accepted",100,IF(Table1[Referral Decision]="Rejected by Provider",200,IF(Table1[Referral Decision]="Rejected by Applicant",300)))</f>
        <v>0</v>
      </c>
      <c r="EB296" s="44">
        <f>SUM(Table1[Data Referral Quarter]+Table1[Data Referral Decision])</f>
        <v>0</v>
      </c>
      <c r="EC296" s="44" t="b">
        <f>IF(Table1[Start Date]&gt;42735,8000,IF(Table1[Start Date]&gt;42643,7000,IF(Table1[Start Date]&gt;42551,6000,IF(Table1[Start Date]&gt;42460,5000,IF(Table1[Start Date]&gt;42369,4000,IF(Table1[Start Date]&gt;42277,3000,IF(Table1[Start Date]&gt;42185,2000,IF(Table1[Start Date]&gt;42094,1000))))))))</f>
        <v>0</v>
      </c>
      <c r="ED296" s="44" t="str">
        <f>IF(Table1[Start Date]="","",IF(Table1[Current Local Authority]="Swindon",1,"2"))</f>
        <v/>
      </c>
      <c r="EE296" s="44" t="e">
        <f>SUM(Table1[Data Start Date]+Table1[Data Local Authority])</f>
        <v>#VALUE!</v>
      </c>
      <c r="EF296" s="44">
        <f>IF(Table1[Registered with GP]="Yes",1,0)</f>
        <v>0</v>
      </c>
      <c r="EG296" s="44">
        <f>SUM(Table1[Data Start Date]+Table1[Data GP Start])</f>
        <v>0</v>
      </c>
      <c r="EH296" s="44" t="str">
        <f>IF(Table1[EET]="NEET",1,IF(Table1[EET]="Education",2,IF(Table1[EET]="Employment",2,IF(Table1[EET]="Training",2,IF(Table1[EET]="Retired",3,"")))))</f>
        <v/>
      </c>
      <c r="EI296" s="44" t="e">
        <f>Table1[Data Start Date]+Table1[Data EET Start]</f>
        <v>#VALUE!</v>
      </c>
      <c r="EJ296" s="44" t="b">
        <f>IF(Table1[Leaving Date]&gt;42735,8000,IF(Table1[Leaving Date]&gt;42643,7000,IF(Table1[Leaving Date]&gt;42551,6000,IF(Table1[Leaving Date]&gt;42460,5000,IF(Table1[Leaving Date]&gt;42369,4000,IF(Table1[Leaving Date]&gt;42277,3000,IF(Table1[Leaving Date]&gt;42185,2000,IF(Table1[Leaving Date]&gt;42094,1000))))))))</f>
        <v>0</v>
      </c>
      <c r="EK296" s="44" t="e">
        <f>VLOOKUP(Table1[Reason for Leaving],Lists!$T$2:$U$15,2,FALSE)</f>
        <v>#N/A</v>
      </c>
      <c r="EL296" s="44" t="e">
        <f>SUM(Table1[Data Leavers Date]+Table1[Data Move On])</f>
        <v>#N/A</v>
      </c>
      <c r="EM296" s="44" t="b">
        <f>IF(Table1[Registered with GP2]="Yes",1,IF(Table1[Registered with GP2]="No",0,IF(Table1[Registered with GP]="Yes",1,IF(Table1[Registered with GP]="No",0))))</f>
        <v>0</v>
      </c>
      <c r="EN296" s="44">
        <f>SUM(Table1[Data Leavers Date]+Table1[Data GP End])</f>
        <v>0</v>
      </c>
      <c r="EO296" s="44" t="str">
        <f>IF(Table1[EET2]="NEET",1,IF(Table1[EET2]="Employment",2,IF(Table1[EET2]="Education",2,IF(Table1[EET2]="Training",2,IF(Table1[EET2]="Retired",3,IF(Table1[EET]="NEET",1,IF(Table1[EET]="Employment",2,IF(Table1[EET]="Education",2,IF(Table1[EET]="Training",2,IF(Table1[EET]="Retired",3,""))))))))))</f>
        <v/>
      </c>
      <c r="EP296" s="44" t="e">
        <f>+Table1[[#This Row],[Data Leavers Date]]+Table1[[#This Row],[Data EET End]]</f>
        <v>#VALUE!</v>
      </c>
      <c r="EQ296" s="44">
        <f>IF(Table1[Exit Form Received]="Yes",1,0)</f>
        <v>0</v>
      </c>
      <c r="ER296" s="44">
        <f>+Table1[[#This Row],[Data Leavers Date]]+Table1[[#This Row],[Data Exit Forms]]</f>
        <v>0</v>
      </c>
      <c r="ES296" s="44" t="str">
        <f>IF(Table1[Data Leavers Date]=1000,SUM(Table1[Leaving Date]-Table1[Start Date]),"")</f>
        <v/>
      </c>
      <c r="ET296" s="44" t="str">
        <f>IF(Table1[Data Leavers Date]=2000,SUM(Table1[Leaving Date]-Table1[Start Date]),"")</f>
        <v/>
      </c>
      <c r="EU296" s="44" t="str">
        <f>IF(Table1[Data Leavers Date]=3000,SUM(Table1[Leaving Date]-Table1[Start Date]),"")</f>
        <v/>
      </c>
      <c r="EV296" s="44" t="str">
        <f>IF(Table1[Data Leavers Date]=4000,SUM(Table1[Leaving Date]-Table1[Start Date]),"")</f>
        <v/>
      </c>
      <c r="EW296" s="44" t="str">
        <f>IF(Table1[Data Leavers Date]=5000,SUM(Table1[Leaving Date]-Table1[Start Date]),"")</f>
        <v/>
      </c>
      <c r="EX296" s="44" t="str">
        <f>IF(Table1[Data Leavers Date]=6000,SUM(Table1[Leaving Date]-Table1[Start Date]),"")</f>
        <v/>
      </c>
      <c r="EY296" s="44" t="str">
        <f>IF(Table1[Data Leavers Date]=7000,SUM(Table1[Leaving Date]-Table1[Start Date]),"")</f>
        <v/>
      </c>
      <c r="EZ296" s="44" t="str">
        <f>IF(Table1[Data Leavers Date]=8000,SUM(Table1[Leaving Date]-Table1[Start Date]),"")</f>
        <v/>
      </c>
      <c r="FA296" s="44" t="str">
        <f>IF(Table1[Date of Initial Assessment]="","",IF(AND(Table1[Start Date]&gt;42094,Table1[Start Date]&lt;42461),Table1[Motivation and Taking Responsibility],""))</f>
        <v/>
      </c>
      <c r="FB296" s="44" t="str">
        <f>IF(Table1[Date of Initial Assessment]="","",IF(AND(Table1[Start Date]&gt;42094,Table1[Start Date]&lt;42461),Table1[Self-Care and Living Skills],""))</f>
        <v/>
      </c>
      <c r="FC296" s="44" t="str">
        <f>IF(Table1[Date of Initial Assessment]="","",IF(AND(Table1[Start Date]&gt;42094,Table1[Start Date]&lt;42461),Table1[Managing Money and Personal Administration],""))</f>
        <v/>
      </c>
      <c r="FD296" s="44" t="str">
        <f>IF(Table1[Date of Initial Assessment]="","",IF(AND(Table1[Start Date]&gt;42094,Table1[Start Date]&lt;42461),Table1[Social Networks and Relationships],""))</f>
        <v/>
      </c>
      <c r="FE296" s="44" t="str">
        <f>IF(Table1[Date of Initial Assessment]="","",IF(AND(Table1[Start Date]&gt;42094,Table1[Start Date]&lt;42461),Table1[Drug and Alcohol Misuse],""))</f>
        <v/>
      </c>
      <c r="FF296" s="44" t="str">
        <f>IF(Table1[Date of Initial Assessment]="","",IF(AND(Table1[Start Date]&gt;42094,Table1[Start Date]&lt;42461),Table1[Physical Health],""))</f>
        <v/>
      </c>
      <c r="FG296" s="44" t="str">
        <f>IF(Table1[Date of Initial Assessment]="","",IF(AND(Table1[Start Date]&gt;42094,Table1[Start Date]&lt;42461),Table1[Emotional and Mental Health],""))</f>
        <v/>
      </c>
      <c r="FH296" s="44" t="str">
        <f>IF(Table1[Date of Initial Assessment]="","",IF(AND(Table1[Start Date]&gt;42094,Table1[Start Date]&lt;42461),Table1[Meaningful Use of Time],""))</f>
        <v/>
      </c>
      <c r="FI296" s="44" t="str">
        <f>IF(Table1[Date of Initial Assessment]="","",IF(AND(Table1[Start Date]&gt;42094,Table1[Start Date]&lt;42461),Table1[Managing Tenancy and Accommodation],""))</f>
        <v/>
      </c>
      <c r="FJ296" s="44" t="str">
        <f>IF(Table1[Date of Initial Assessment]="","",IF(AND(Table1[Start Date]&gt;42094,Table1[Start Date]&lt;42461),Table1[Offending],""))</f>
        <v/>
      </c>
      <c r="FK296" s="44" t="str">
        <f>IF(Table1[Leaving Date]="","",IF(Table1[Date of Initial Assessment]="","",IF(AND(Table1[Leaving Date]&gt;42094,Table1[Leaving Date]&lt;42461),IF(Table1[Date of Last Assessment]="",Table1[Motivation and Taking Responsibility],Table1[Motivation and Taking Responsibility2]),"")))</f>
        <v/>
      </c>
      <c r="FL296" s="44" t="str">
        <f>IF(Table1[Leaving Date]="","",IF(Table1[Date of Initial Assessment]="","",IF(AND(Table1[Leaving Date]&gt;42094,Table1[Leaving Date]&lt;42461),IF(Table1[Date of Last Assessment]="",Table1[Self-Care and Living Skills],Table1[Self-Care and Living Skills2]),"")))</f>
        <v/>
      </c>
      <c r="FM296" s="44" t="str">
        <f>IF(Table1[Leaving Date]="","",IF(Table1[Date of Initial Assessment]="","",IF(AND(Table1[Leaving Date]&gt;42094,Table1[Leaving Date]&lt;42461),IF(Table1[Date of Last Assessment]="",Table1[Managing Money and Personal Administration],Table1[Managing Money and Personal Administration2]),"")))</f>
        <v/>
      </c>
      <c r="FN296" s="44" t="str">
        <f>IF(Table1[Leaving Date]="","",IF(Table1[Date of Initial Assessment]="","",IF(AND(Table1[Leaving Date]&gt;42094,Table1[Leaving Date]&lt;42461),IF(Table1[Date of Last Assessment]="",Table1[Social Networks and Relationships],Table1[Social Networks and Relationships2]),"")))</f>
        <v/>
      </c>
      <c r="FO296" s="44" t="str">
        <f>IF(Table1[Leaving Date]="","",IF(Table1[Date of Initial Assessment]="","",IF(AND(Table1[Leaving Date]&gt;42094,Table1[Leaving Date]&lt;42461),IF(Table1[Date of Last Assessment]="",Table1[Drug and Alcohol Misuse],Table1[Drug and Alcohol Misuse2]),"")))</f>
        <v/>
      </c>
      <c r="FP296" s="44" t="str">
        <f>IF(Table1[Leaving Date]="","",IF(Table1[Date of Initial Assessment]="","",IF(AND(Table1[Leaving Date]&gt;42094,Table1[Leaving Date]&lt;42461),IF(Table1[Date of Last Assessment]="",Table1[Physical Health],Table1[Physical Health2]),"")))</f>
        <v/>
      </c>
      <c r="FQ296" s="44" t="str">
        <f>IF(Table1[Leaving Date]="","",IF(Table1[Date of Initial Assessment]="","",IF(AND(Table1[Leaving Date]&gt;42094,Table1[Leaving Date]&lt;42461),IF(Table1[Date of Last Assessment]="",Table1[Emotional and Mental Health],Table1[Emotional and Mental Health2]),"")))</f>
        <v/>
      </c>
      <c r="FR296" s="44" t="str">
        <f>IF(Table1[Leaving Date]="","",IF(Table1[Date of Initial Assessment]="","",IF(AND(Table1[Leaving Date]&gt;42094,Table1[Leaving Date]&lt;42461),IF(Table1[Date of Last Assessment]="",Table1[Meaningful Use of Time],Table1[Meaningful Use of Time2]),"")))</f>
        <v/>
      </c>
      <c r="FS296" s="44" t="str">
        <f>IF(Table1[Leaving Date]="","",IF(Table1[Date of Initial Assessment]="","",IF(AND(Table1[Leaving Date]&gt;42094,Table1[Leaving Date]&lt;42461),IF(Table1[Date of Last Assessment]="",Table1[Managing Tenancy and Accommodation],Table1[Managing Tenancy and Accommodation2]),"")))</f>
        <v/>
      </c>
      <c r="FT296" s="44" t="str">
        <f>IF(Table1[Leaving Date]="","",IF(Table1[Date of Initial Assessment]="","",IF(AND(Table1[Leaving Date]&gt;42094,Table1[Leaving Date]&lt;42461),IF(Table1[Date of Last Assessment]="",Table1[Offending],Table1[Offending2]),"")))</f>
        <v/>
      </c>
      <c r="FU296" s="44" t="str">
        <f>IF(Table1[Date of Initial Assessment]="","",IF(AND(Table1[Start Date]&gt;42460,Table1[Start Date]&lt;42826),Table1[Motivation and Taking Responsibility],""))</f>
        <v/>
      </c>
      <c r="FV296" s="44" t="str">
        <f>IF(Table1[Date of Initial Assessment]="","",IF(AND(Table1[Start Date]&gt;42460,Table1[Start Date]&lt;42826),Table1[Self-Care and Living Skills],""))</f>
        <v/>
      </c>
      <c r="FW296" s="44" t="str">
        <f>IF(Table1[Date of Initial Assessment]="","",IF(AND(Table1[Start Date]&gt;42460,Table1[Start Date]&lt;42826),Table1[Managing Money and Personal Administration],""))</f>
        <v/>
      </c>
      <c r="FX296" s="44" t="str">
        <f>IF(Table1[Date of Initial Assessment]="","",IF(AND(Table1[Start Date]&gt;42460,Table1[Start Date]&lt;42826),Table1[Social Networks and Relationships],""))</f>
        <v/>
      </c>
      <c r="FY296" s="44" t="str">
        <f>IF(Table1[Date of Initial Assessment]="","",IF(AND(Table1[Start Date]&gt;42460,Table1[Start Date]&lt;42826),Table1[Drug and Alcohol Misuse],""))</f>
        <v/>
      </c>
      <c r="FZ296" s="44" t="str">
        <f>IF(Table1[Date of Initial Assessment]="","",IF(AND(Table1[Start Date]&gt;42460,Table1[Start Date]&lt;42826),Table1[Physical Health],""))</f>
        <v/>
      </c>
      <c r="GA296" s="44" t="str">
        <f>IF(Table1[Date of Initial Assessment]="","",IF(AND(Table1[Start Date]&gt;42460,Table1[Start Date]&lt;42826),Table1[Emotional and Mental Health],""))</f>
        <v/>
      </c>
      <c r="GB296" s="44" t="str">
        <f>IF(Table1[Date of Initial Assessment]="","",IF(AND(Table1[Start Date]&gt;42460,Table1[Start Date]&lt;42826),Table1[Meaningful Use of Time],""))</f>
        <v/>
      </c>
      <c r="GC296" s="44" t="str">
        <f>IF(Table1[Date of Initial Assessment]="","",IF(AND(Table1[Start Date]&gt;42460,Table1[Start Date]&lt;42826),Table1[Managing Tenancy and Accommodation],""))</f>
        <v/>
      </c>
      <c r="GD296" s="44" t="str">
        <f>IF(Table1[Date of Initial Assessment]="","",IF(AND(Table1[Start Date]&gt;42460,Table1[Start Date]&lt;42826),Table1[Offending],""))</f>
        <v/>
      </c>
      <c r="GE296" s="44" t="str">
        <f>IF(Table1[Leaving Date]="","",IF(AND(Table1[Leaving Date]&gt;42460,Table1[Leaving Date]&lt;42826),IF(Table1[Date of Last Assessment]="",Table1[Motivation and Taking Responsibility],Table1[Motivation and Taking Responsibility2]),""))</f>
        <v/>
      </c>
      <c r="GF296" s="44" t="str">
        <f>IF(Table1[Leaving Date]="","",IF(AND(Table1[Leaving Date]&gt;42460,Table1[Leaving Date]&lt;42826),IF(Table1[Date of Last Assessment]="",Table1[Self-Care and Living Skills],Table1[Self-Care and Living Skills2]),""))</f>
        <v/>
      </c>
      <c r="GG296" s="44" t="str">
        <f>IF(Table1[Leaving Date]="","",IF(AND(Table1[Leaving Date]&gt;42460,Table1[Leaving Date]&lt;42826),IF(Table1[Date of Last Assessment]="",Table1[Managing Money and Personal Administration],Table1[Managing Money and Personal Administration2]),""))</f>
        <v/>
      </c>
      <c r="GH296" s="44" t="str">
        <f>IF(Table1[Leaving Date]="","",IF(AND(Table1[Leaving Date]&gt;42460,Table1[Leaving Date]&lt;42826),IF(Table1[Date of Last Assessment]="",Table1[Social Networks and Relationships],Table1[Social Networks and Relationships2]),""))</f>
        <v/>
      </c>
      <c r="GI296" s="44" t="str">
        <f>IF(Table1[Leaving Date]="","",IF(AND(Table1[Leaving Date]&gt;42460,Table1[Leaving Date]&lt;42826),IF(Table1[Date of Last Assessment]="",Table1[Drug and Alcohol Misuse],Table1[Drug and Alcohol Misuse2]),""))</f>
        <v/>
      </c>
      <c r="GJ296" s="44" t="str">
        <f>IF(Table1[Leaving Date]="","",IF(AND(Table1[Leaving Date]&gt;42460,Table1[Leaving Date]&lt;42826),IF(Table1[Date of Last Assessment]="",Table1[Physical Health],Table1[Physical Health2]),""))</f>
        <v/>
      </c>
      <c r="GK296" s="44" t="str">
        <f>IF(Table1[Leaving Date]="","",IF(AND(Table1[Leaving Date]&gt;42460,Table1[Leaving Date]&lt;42826),IF(Table1[Date of Last Assessment]="",Table1[Emotional and Mental Health],Table1[Emotional and Mental Health2]),""))</f>
        <v/>
      </c>
      <c r="GL296" s="44" t="str">
        <f>IF(Table1[Leaving Date]="","",IF(AND(Table1[Leaving Date]&gt;42460,Table1[Leaving Date]&lt;42826),IF(Table1[Date of Last Assessment]="",Table1[Meaningful Use of Time],Table1[Meaningful Use of Time2]),""))</f>
        <v/>
      </c>
      <c r="GM296" s="44" t="str">
        <f>IF(Table1[Leaving Date]="","",IF(AND(Table1[Leaving Date]&gt;42460,Table1[Leaving Date]&lt;42826),IF(Table1[Date of Last Assessment]="",Table1[Managing Tenancy and Accommodation],Table1[Managing Tenancy and Accommodation2]),""))</f>
        <v/>
      </c>
      <c r="GN296" s="44" t="str">
        <f>IF(Table1[Leaving Date]="","",IF(AND(Table1[Leaving Date]&gt;42460,Table1[Leaving Date]&lt;42826),IF(Table1[Date of Last Assessment]="",Table1[Offending],Table1[Offending2]),""))</f>
        <v/>
      </c>
    </row>
    <row r="297" spans="2:196" ht="20.100000000000001" customHeight="1" x14ac:dyDescent="0.2">
      <c r="B297" s="86">
        <f>+'Service Data'!$C$5:$C$5</f>
        <v>0</v>
      </c>
      <c r="C297" s="86"/>
      <c r="D297" s="86"/>
      <c r="E297" s="86"/>
      <c r="F297" s="86"/>
      <c r="G297" s="86"/>
      <c r="H297" s="6"/>
      <c r="I297" s="99" t="str">
        <f ca="1">IF(Table1[[#This Row],[Date of Birth]]="","",SUM(TODAY()-Table1[[#This Row],[Date of Birth]])/365)</f>
        <v/>
      </c>
      <c r="L297" s="86"/>
      <c r="M297" s="77"/>
      <c r="N297" s="86"/>
      <c r="O297" s="86"/>
      <c r="P297" s="91"/>
      <c r="Q297" s="86"/>
      <c r="R297" s="77"/>
      <c r="S297" s="77"/>
      <c r="T297" s="68"/>
      <c r="U297" s="68"/>
      <c r="V297" s="67"/>
      <c r="W297" s="67"/>
      <c r="X297" s="67"/>
      <c r="Y297" s="67"/>
      <c r="Z297" s="67"/>
      <c r="AA297" s="67"/>
      <c r="AB297" s="67"/>
      <c r="AC297" s="67"/>
      <c r="AD297" s="67"/>
      <c r="AE297" s="67"/>
      <c r="AF297" s="67"/>
      <c r="AG297" s="67"/>
      <c r="AH297" s="67"/>
      <c r="AI297" s="67"/>
      <c r="AJ297" s="67"/>
      <c r="AK297" s="67"/>
      <c r="AL297" s="67"/>
      <c r="AM297" s="67"/>
      <c r="AN297" s="77"/>
      <c r="AO297" s="76"/>
      <c r="AP297" s="77"/>
      <c r="AQ297" s="76"/>
      <c r="AR297" s="76"/>
      <c r="AS297" s="76"/>
      <c r="AT297" s="76"/>
      <c r="AU297" s="76"/>
      <c r="AV297" s="77"/>
      <c r="AW297" s="76"/>
      <c r="AX297" s="77"/>
      <c r="AY297" s="76"/>
      <c r="AZ297" s="76"/>
      <c r="BA297" s="76"/>
      <c r="BB297" s="76"/>
      <c r="BC297" s="76"/>
      <c r="BD297" s="77"/>
      <c r="BE297" s="76"/>
      <c r="BF297" s="77"/>
      <c r="BG297" s="76"/>
      <c r="BH297" s="76"/>
      <c r="BI297" s="76"/>
      <c r="BJ297" s="76"/>
      <c r="BK297" s="76"/>
      <c r="BL297" s="77"/>
      <c r="BM297" s="76"/>
      <c r="BN297" s="77"/>
      <c r="BO297" s="76"/>
      <c r="BP297" s="76"/>
      <c r="BQ297" s="76"/>
      <c r="BR297" s="76"/>
      <c r="BS297" s="76"/>
      <c r="BT297" s="77"/>
      <c r="BU297" s="76"/>
      <c r="BV297" s="77"/>
      <c r="BW297" s="76"/>
      <c r="BX297" s="76"/>
      <c r="BY297" s="76"/>
      <c r="BZ297" s="76"/>
      <c r="CA297" s="76"/>
      <c r="CB297" s="77"/>
      <c r="CC297" s="76"/>
      <c r="CD297" s="77"/>
      <c r="CE297" s="76"/>
      <c r="CF297" s="76"/>
      <c r="CG297" s="76"/>
      <c r="CH297" s="76"/>
      <c r="CI297" s="76"/>
      <c r="CJ297" s="77"/>
      <c r="CK297" s="76"/>
      <c r="CL297" s="77"/>
      <c r="CM297" s="76"/>
      <c r="CN297" s="76"/>
      <c r="CO297" s="76"/>
      <c r="CP297" s="76"/>
      <c r="CQ297" s="76"/>
      <c r="CR297" s="78" t="str">
        <f t="shared" si="79"/>
        <v/>
      </c>
      <c r="CS297" s="79" t="str">
        <f t="shared" si="80"/>
        <v/>
      </c>
      <c r="CT297" s="79" t="str">
        <f t="shared" si="81"/>
        <v/>
      </c>
      <c r="CU297" s="79" t="str">
        <f t="shared" si="82"/>
        <v/>
      </c>
      <c r="CV297" s="79" t="str">
        <f t="shared" si="83"/>
        <v/>
      </c>
      <c r="CW297" s="79" t="str">
        <f t="shared" si="84"/>
        <v/>
      </c>
      <c r="CX297" s="79" t="str">
        <f t="shared" si="85"/>
        <v/>
      </c>
      <c r="CY297" s="79" t="str">
        <f t="shared" si="86"/>
        <v/>
      </c>
      <c r="CZ297" s="79" t="str">
        <f t="shared" si="87"/>
        <v/>
      </c>
      <c r="DA297" s="79" t="str">
        <f t="shared" si="88"/>
        <v/>
      </c>
      <c r="DB297" s="79" t="str">
        <f t="shared" si="89"/>
        <v/>
      </c>
      <c r="DC297" s="79" t="str">
        <f t="shared" si="90"/>
        <v/>
      </c>
      <c r="DD297" s="79" t="str">
        <f t="shared" si="91"/>
        <v/>
      </c>
      <c r="DE297" s="79" t="str">
        <f t="shared" si="92"/>
        <v/>
      </c>
      <c r="DF297" s="79" t="str">
        <f t="shared" si="93"/>
        <v/>
      </c>
      <c r="DG297" s="79" t="str">
        <f t="shared" si="94"/>
        <v/>
      </c>
      <c r="DH297" s="76"/>
      <c r="DI297" s="78"/>
      <c r="DJ297" s="76"/>
      <c r="DK297" s="77"/>
      <c r="DL297" s="77"/>
      <c r="DM297" s="77"/>
      <c r="DN297" s="80"/>
      <c r="DO297" s="80"/>
      <c r="DP297" s="92" t="str">
        <f>IF(Table1[Start Date]="","",IF(Table1[Start Date]&gt;42185,"",IF(AND(Table1[Leaving Date]&gt;1,Table1[Leaving Date]&lt;42095),"",1)))</f>
        <v/>
      </c>
      <c r="DQ297" s="92" t="str">
        <f>IF(Table1[Start Date]="","",IF(Table1[Start Date]&gt;42277,"",IF(AND(Table1[Leaving Date]&gt;1,Table1[Leaving Date]&lt;42186),"",1)))</f>
        <v/>
      </c>
      <c r="DR297" s="92" t="str">
        <f>IF(Table1[Start Date]="","",IF(Table1[Start Date]&gt;42369,"",IF(AND(Table1[Leaving Date]&gt;1,Table1[Leaving Date]&lt;42278),"",1)))</f>
        <v/>
      </c>
      <c r="DS297" s="92" t="str">
        <f>IF(Table1[Start Date]="","",IF(Table1[Start Date]&gt;42460,"",IF(AND(Table1[Leaving Date]&gt;1,Table1[Leaving Date]&lt;42370),"",1)))</f>
        <v/>
      </c>
      <c r="DT297" s="92" t="str">
        <f>IF(Table1[Start Date]="","",IF(Table1[Start Date]&gt;42551,"",IF(AND(Table1[Leaving Date]&gt;1,Table1[Leaving Date]&lt;42461),"",1)))</f>
        <v/>
      </c>
      <c r="DU297" s="92" t="str">
        <f>IF(Table1[Start Date]="","",IF(Table1[Start Date]&gt;42643,"",IF(AND(Table1[Leaving Date]&gt;1,Table1[Leaving Date]&lt;42552),"",1)))</f>
        <v/>
      </c>
      <c r="DV297" s="92" t="str">
        <f>IF(Table1[Start Date]="","",IF(Table1[Start Date]&gt;42735,"",IF(AND(Table1[Leaving Date]&gt;1,Table1[Leaving Date]&lt;42644),"",1)))</f>
        <v/>
      </c>
      <c r="DW297" s="92" t="str">
        <f>IF(Table1[Start Date]="","",IF(Table1[Start Date]&gt;42825,"",IF(AND(Table1[Leaving Date]&gt;1,Table1[Leaving Date]&lt;42736),"",1)))</f>
        <v/>
      </c>
      <c r="DX297"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297" s="44" t="e">
        <f>VLOOKUP(Table1[Referral Source],Lists!$G$2:$H$20,2,FALSE)</f>
        <v>#N/A</v>
      </c>
      <c r="DZ297" s="93" t="e">
        <f>SUM(Table1[Data Referral Quarter]+Table1[Data Referral Source])</f>
        <v>#N/A</v>
      </c>
      <c r="EA297" s="44" t="b">
        <f>IF(Table1[Referral Decision]="Accepted",100,IF(Table1[Referral Decision]="Rejected by Provider",200,IF(Table1[Referral Decision]="Rejected by Applicant",300)))</f>
        <v>0</v>
      </c>
      <c r="EB297" s="44">
        <f>SUM(Table1[Data Referral Quarter]+Table1[Data Referral Decision])</f>
        <v>0</v>
      </c>
      <c r="EC297" s="44" t="b">
        <f>IF(Table1[Start Date]&gt;42735,8000,IF(Table1[Start Date]&gt;42643,7000,IF(Table1[Start Date]&gt;42551,6000,IF(Table1[Start Date]&gt;42460,5000,IF(Table1[Start Date]&gt;42369,4000,IF(Table1[Start Date]&gt;42277,3000,IF(Table1[Start Date]&gt;42185,2000,IF(Table1[Start Date]&gt;42094,1000))))))))</f>
        <v>0</v>
      </c>
      <c r="ED297" s="44" t="str">
        <f>IF(Table1[Start Date]="","",IF(Table1[Current Local Authority]="Swindon",1,"2"))</f>
        <v/>
      </c>
      <c r="EE297" s="44" t="e">
        <f>SUM(Table1[Data Start Date]+Table1[Data Local Authority])</f>
        <v>#VALUE!</v>
      </c>
      <c r="EF297" s="44">
        <f>IF(Table1[Registered with GP]="Yes",1,0)</f>
        <v>0</v>
      </c>
      <c r="EG297" s="44">
        <f>SUM(Table1[Data Start Date]+Table1[Data GP Start])</f>
        <v>0</v>
      </c>
      <c r="EH297" s="44" t="str">
        <f>IF(Table1[EET]="NEET",1,IF(Table1[EET]="Education",2,IF(Table1[EET]="Employment",2,IF(Table1[EET]="Training",2,IF(Table1[EET]="Retired",3,"")))))</f>
        <v/>
      </c>
      <c r="EI297" s="44" t="e">
        <f>Table1[Data Start Date]+Table1[Data EET Start]</f>
        <v>#VALUE!</v>
      </c>
      <c r="EJ297" s="44" t="b">
        <f>IF(Table1[Leaving Date]&gt;42735,8000,IF(Table1[Leaving Date]&gt;42643,7000,IF(Table1[Leaving Date]&gt;42551,6000,IF(Table1[Leaving Date]&gt;42460,5000,IF(Table1[Leaving Date]&gt;42369,4000,IF(Table1[Leaving Date]&gt;42277,3000,IF(Table1[Leaving Date]&gt;42185,2000,IF(Table1[Leaving Date]&gt;42094,1000))))))))</f>
        <v>0</v>
      </c>
      <c r="EK297" s="44" t="e">
        <f>VLOOKUP(Table1[Reason for Leaving],Lists!$T$2:$U$15,2,FALSE)</f>
        <v>#N/A</v>
      </c>
      <c r="EL297" s="44" t="e">
        <f>SUM(Table1[Data Leavers Date]+Table1[Data Move On])</f>
        <v>#N/A</v>
      </c>
      <c r="EM297" s="44" t="b">
        <f>IF(Table1[Registered with GP2]="Yes",1,IF(Table1[Registered with GP2]="No",0,IF(Table1[Registered with GP]="Yes",1,IF(Table1[Registered with GP]="No",0))))</f>
        <v>0</v>
      </c>
      <c r="EN297" s="44">
        <f>SUM(Table1[Data Leavers Date]+Table1[Data GP End])</f>
        <v>0</v>
      </c>
      <c r="EO297" s="44" t="str">
        <f>IF(Table1[EET2]="NEET",1,IF(Table1[EET2]="Employment",2,IF(Table1[EET2]="Education",2,IF(Table1[EET2]="Training",2,IF(Table1[EET2]="Retired",3,IF(Table1[EET]="NEET",1,IF(Table1[EET]="Employment",2,IF(Table1[EET]="Education",2,IF(Table1[EET]="Training",2,IF(Table1[EET]="Retired",3,""))))))))))</f>
        <v/>
      </c>
      <c r="EP297" s="44" t="e">
        <f>+Table1[[#This Row],[Data Leavers Date]]+Table1[[#This Row],[Data EET End]]</f>
        <v>#VALUE!</v>
      </c>
      <c r="EQ297" s="44">
        <f>IF(Table1[Exit Form Received]="Yes",1,0)</f>
        <v>0</v>
      </c>
      <c r="ER297" s="44">
        <f>+Table1[[#This Row],[Data Leavers Date]]+Table1[[#This Row],[Data Exit Forms]]</f>
        <v>0</v>
      </c>
      <c r="ES297" s="44" t="str">
        <f>IF(Table1[Data Leavers Date]=1000,SUM(Table1[Leaving Date]-Table1[Start Date]),"")</f>
        <v/>
      </c>
      <c r="ET297" s="44" t="str">
        <f>IF(Table1[Data Leavers Date]=2000,SUM(Table1[Leaving Date]-Table1[Start Date]),"")</f>
        <v/>
      </c>
      <c r="EU297" s="44" t="str">
        <f>IF(Table1[Data Leavers Date]=3000,SUM(Table1[Leaving Date]-Table1[Start Date]),"")</f>
        <v/>
      </c>
      <c r="EV297" s="44" t="str">
        <f>IF(Table1[Data Leavers Date]=4000,SUM(Table1[Leaving Date]-Table1[Start Date]),"")</f>
        <v/>
      </c>
      <c r="EW297" s="44" t="str">
        <f>IF(Table1[Data Leavers Date]=5000,SUM(Table1[Leaving Date]-Table1[Start Date]),"")</f>
        <v/>
      </c>
      <c r="EX297" s="44" t="str">
        <f>IF(Table1[Data Leavers Date]=6000,SUM(Table1[Leaving Date]-Table1[Start Date]),"")</f>
        <v/>
      </c>
      <c r="EY297" s="44" t="str">
        <f>IF(Table1[Data Leavers Date]=7000,SUM(Table1[Leaving Date]-Table1[Start Date]),"")</f>
        <v/>
      </c>
      <c r="EZ297" s="44" t="str">
        <f>IF(Table1[Data Leavers Date]=8000,SUM(Table1[Leaving Date]-Table1[Start Date]),"")</f>
        <v/>
      </c>
      <c r="FA297" s="44" t="str">
        <f>IF(Table1[Date of Initial Assessment]="","",IF(AND(Table1[Start Date]&gt;42094,Table1[Start Date]&lt;42461),Table1[Motivation and Taking Responsibility],""))</f>
        <v/>
      </c>
      <c r="FB297" s="44" t="str">
        <f>IF(Table1[Date of Initial Assessment]="","",IF(AND(Table1[Start Date]&gt;42094,Table1[Start Date]&lt;42461),Table1[Self-Care and Living Skills],""))</f>
        <v/>
      </c>
      <c r="FC297" s="44" t="str">
        <f>IF(Table1[Date of Initial Assessment]="","",IF(AND(Table1[Start Date]&gt;42094,Table1[Start Date]&lt;42461),Table1[Managing Money and Personal Administration],""))</f>
        <v/>
      </c>
      <c r="FD297" s="44" t="str">
        <f>IF(Table1[Date of Initial Assessment]="","",IF(AND(Table1[Start Date]&gt;42094,Table1[Start Date]&lt;42461),Table1[Social Networks and Relationships],""))</f>
        <v/>
      </c>
      <c r="FE297" s="44" t="str">
        <f>IF(Table1[Date of Initial Assessment]="","",IF(AND(Table1[Start Date]&gt;42094,Table1[Start Date]&lt;42461),Table1[Drug and Alcohol Misuse],""))</f>
        <v/>
      </c>
      <c r="FF297" s="44" t="str">
        <f>IF(Table1[Date of Initial Assessment]="","",IF(AND(Table1[Start Date]&gt;42094,Table1[Start Date]&lt;42461),Table1[Physical Health],""))</f>
        <v/>
      </c>
      <c r="FG297" s="44" t="str">
        <f>IF(Table1[Date of Initial Assessment]="","",IF(AND(Table1[Start Date]&gt;42094,Table1[Start Date]&lt;42461),Table1[Emotional and Mental Health],""))</f>
        <v/>
      </c>
      <c r="FH297" s="44" t="str">
        <f>IF(Table1[Date of Initial Assessment]="","",IF(AND(Table1[Start Date]&gt;42094,Table1[Start Date]&lt;42461),Table1[Meaningful Use of Time],""))</f>
        <v/>
      </c>
      <c r="FI297" s="44" t="str">
        <f>IF(Table1[Date of Initial Assessment]="","",IF(AND(Table1[Start Date]&gt;42094,Table1[Start Date]&lt;42461),Table1[Managing Tenancy and Accommodation],""))</f>
        <v/>
      </c>
      <c r="FJ297" s="44" t="str">
        <f>IF(Table1[Date of Initial Assessment]="","",IF(AND(Table1[Start Date]&gt;42094,Table1[Start Date]&lt;42461),Table1[Offending],""))</f>
        <v/>
      </c>
      <c r="FK297" s="44" t="str">
        <f>IF(Table1[Leaving Date]="","",IF(Table1[Date of Initial Assessment]="","",IF(AND(Table1[Leaving Date]&gt;42094,Table1[Leaving Date]&lt;42461),IF(Table1[Date of Last Assessment]="",Table1[Motivation and Taking Responsibility],Table1[Motivation and Taking Responsibility2]),"")))</f>
        <v/>
      </c>
      <c r="FL297" s="44" t="str">
        <f>IF(Table1[Leaving Date]="","",IF(Table1[Date of Initial Assessment]="","",IF(AND(Table1[Leaving Date]&gt;42094,Table1[Leaving Date]&lt;42461),IF(Table1[Date of Last Assessment]="",Table1[Self-Care and Living Skills],Table1[Self-Care and Living Skills2]),"")))</f>
        <v/>
      </c>
      <c r="FM297" s="44" t="str">
        <f>IF(Table1[Leaving Date]="","",IF(Table1[Date of Initial Assessment]="","",IF(AND(Table1[Leaving Date]&gt;42094,Table1[Leaving Date]&lt;42461),IF(Table1[Date of Last Assessment]="",Table1[Managing Money and Personal Administration],Table1[Managing Money and Personal Administration2]),"")))</f>
        <v/>
      </c>
      <c r="FN297" s="44" t="str">
        <f>IF(Table1[Leaving Date]="","",IF(Table1[Date of Initial Assessment]="","",IF(AND(Table1[Leaving Date]&gt;42094,Table1[Leaving Date]&lt;42461),IF(Table1[Date of Last Assessment]="",Table1[Social Networks and Relationships],Table1[Social Networks and Relationships2]),"")))</f>
        <v/>
      </c>
      <c r="FO297" s="44" t="str">
        <f>IF(Table1[Leaving Date]="","",IF(Table1[Date of Initial Assessment]="","",IF(AND(Table1[Leaving Date]&gt;42094,Table1[Leaving Date]&lt;42461),IF(Table1[Date of Last Assessment]="",Table1[Drug and Alcohol Misuse],Table1[Drug and Alcohol Misuse2]),"")))</f>
        <v/>
      </c>
      <c r="FP297" s="44" t="str">
        <f>IF(Table1[Leaving Date]="","",IF(Table1[Date of Initial Assessment]="","",IF(AND(Table1[Leaving Date]&gt;42094,Table1[Leaving Date]&lt;42461),IF(Table1[Date of Last Assessment]="",Table1[Physical Health],Table1[Physical Health2]),"")))</f>
        <v/>
      </c>
      <c r="FQ297" s="44" t="str">
        <f>IF(Table1[Leaving Date]="","",IF(Table1[Date of Initial Assessment]="","",IF(AND(Table1[Leaving Date]&gt;42094,Table1[Leaving Date]&lt;42461),IF(Table1[Date of Last Assessment]="",Table1[Emotional and Mental Health],Table1[Emotional and Mental Health2]),"")))</f>
        <v/>
      </c>
      <c r="FR297" s="44" t="str">
        <f>IF(Table1[Leaving Date]="","",IF(Table1[Date of Initial Assessment]="","",IF(AND(Table1[Leaving Date]&gt;42094,Table1[Leaving Date]&lt;42461),IF(Table1[Date of Last Assessment]="",Table1[Meaningful Use of Time],Table1[Meaningful Use of Time2]),"")))</f>
        <v/>
      </c>
      <c r="FS297" s="44" t="str">
        <f>IF(Table1[Leaving Date]="","",IF(Table1[Date of Initial Assessment]="","",IF(AND(Table1[Leaving Date]&gt;42094,Table1[Leaving Date]&lt;42461),IF(Table1[Date of Last Assessment]="",Table1[Managing Tenancy and Accommodation],Table1[Managing Tenancy and Accommodation2]),"")))</f>
        <v/>
      </c>
      <c r="FT297" s="44" t="str">
        <f>IF(Table1[Leaving Date]="","",IF(Table1[Date of Initial Assessment]="","",IF(AND(Table1[Leaving Date]&gt;42094,Table1[Leaving Date]&lt;42461),IF(Table1[Date of Last Assessment]="",Table1[Offending],Table1[Offending2]),"")))</f>
        <v/>
      </c>
      <c r="FU297" s="44" t="str">
        <f>IF(Table1[Date of Initial Assessment]="","",IF(AND(Table1[Start Date]&gt;42460,Table1[Start Date]&lt;42826),Table1[Motivation and Taking Responsibility],""))</f>
        <v/>
      </c>
      <c r="FV297" s="44" t="str">
        <f>IF(Table1[Date of Initial Assessment]="","",IF(AND(Table1[Start Date]&gt;42460,Table1[Start Date]&lt;42826),Table1[Self-Care and Living Skills],""))</f>
        <v/>
      </c>
      <c r="FW297" s="44" t="str">
        <f>IF(Table1[Date of Initial Assessment]="","",IF(AND(Table1[Start Date]&gt;42460,Table1[Start Date]&lt;42826),Table1[Managing Money and Personal Administration],""))</f>
        <v/>
      </c>
      <c r="FX297" s="44" t="str">
        <f>IF(Table1[Date of Initial Assessment]="","",IF(AND(Table1[Start Date]&gt;42460,Table1[Start Date]&lt;42826),Table1[Social Networks and Relationships],""))</f>
        <v/>
      </c>
      <c r="FY297" s="44" t="str">
        <f>IF(Table1[Date of Initial Assessment]="","",IF(AND(Table1[Start Date]&gt;42460,Table1[Start Date]&lt;42826),Table1[Drug and Alcohol Misuse],""))</f>
        <v/>
      </c>
      <c r="FZ297" s="44" t="str">
        <f>IF(Table1[Date of Initial Assessment]="","",IF(AND(Table1[Start Date]&gt;42460,Table1[Start Date]&lt;42826),Table1[Physical Health],""))</f>
        <v/>
      </c>
      <c r="GA297" s="44" t="str">
        <f>IF(Table1[Date of Initial Assessment]="","",IF(AND(Table1[Start Date]&gt;42460,Table1[Start Date]&lt;42826),Table1[Emotional and Mental Health],""))</f>
        <v/>
      </c>
      <c r="GB297" s="44" t="str">
        <f>IF(Table1[Date of Initial Assessment]="","",IF(AND(Table1[Start Date]&gt;42460,Table1[Start Date]&lt;42826),Table1[Meaningful Use of Time],""))</f>
        <v/>
      </c>
      <c r="GC297" s="44" t="str">
        <f>IF(Table1[Date of Initial Assessment]="","",IF(AND(Table1[Start Date]&gt;42460,Table1[Start Date]&lt;42826),Table1[Managing Tenancy and Accommodation],""))</f>
        <v/>
      </c>
      <c r="GD297" s="44" t="str">
        <f>IF(Table1[Date of Initial Assessment]="","",IF(AND(Table1[Start Date]&gt;42460,Table1[Start Date]&lt;42826),Table1[Offending],""))</f>
        <v/>
      </c>
      <c r="GE297" s="44" t="str">
        <f>IF(Table1[Leaving Date]="","",IF(AND(Table1[Leaving Date]&gt;42460,Table1[Leaving Date]&lt;42826),IF(Table1[Date of Last Assessment]="",Table1[Motivation and Taking Responsibility],Table1[Motivation and Taking Responsibility2]),""))</f>
        <v/>
      </c>
      <c r="GF297" s="44" t="str">
        <f>IF(Table1[Leaving Date]="","",IF(AND(Table1[Leaving Date]&gt;42460,Table1[Leaving Date]&lt;42826),IF(Table1[Date of Last Assessment]="",Table1[Self-Care and Living Skills],Table1[Self-Care and Living Skills2]),""))</f>
        <v/>
      </c>
      <c r="GG297" s="44" t="str">
        <f>IF(Table1[Leaving Date]="","",IF(AND(Table1[Leaving Date]&gt;42460,Table1[Leaving Date]&lt;42826),IF(Table1[Date of Last Assessment]="",Table1[Managing Money and Personal Administration],Table1[Managing Money and Personal Administration2]),""))</f>
        <v/>
      </c>
      <c r="GH297" s="44" t="str">
        <f>IF(Table1[Leaving Date]="","",IF(AND(Table1[Leaving Date]&gt;42460,Table1[Leaving Date]&lt;42826),IF(Table1[Date of Last Assessment]="",Table1[Social Networks and Relationships],Table1[Social Networks and Relationships2]),""))</f>
        <v/>
      </c>
      <c r="GI297" s="44" t="str">
        <f>IF(Table1[Leaving Date]="","",IF(AND(Table1[Leaving Date]&gt;42460,Table1[Leaving Date]&lt;42826),IF(Table1[Date of Last Assessment]="",Table1[Drug and Alcohol Misuse],Table1[Drug and Alcohol Misuse2]),""))</f>
        <v/>
      </c>
      <c r="GJ297" s="44" t="str">
        <f>IF(Table1[Leaving Date]="","",IF(AND(Table1[Leaving Date]&gt;42460,Table1[Leaving Date]&lt;42826),IF(Table1[Date of Last Assessment]="",Table1[Physical Health],Table1[Physical Health2]),""))</f>
        <v/>
      </c>
      <c r="GK297" s="44" t="str">
        <f>IF(Table1[Leaving Date]="","",IF(AND(Table1[Leaving Date]&gt;42460,Table1[Leaving Date]&lt;42826),IF(Table1[Date of Last Assessment]="",Table1[Emotional and Mental Health],Table1[Emotional and Mental Health2]),""))</f>
        <v/>
      </c>
      <c r="GL297" s="44" t="str">
        <f>IF(Table1[Leaving Date]="","",IF(AND(Table1[Leaving Date]&gt;42460,Table1[Leaving Date]&lt;42826),IF(Table1[Date of Last Assessment]="",Table1[Meaningful Use of Time],Table1[Meaningful Use of Time2]),""))</f>
        <v/>
      </c>
      <c r="GM297" s="44" t="str">
        <f>IF(Table1[Leaving Date]="","",IF(AND(Table1[Leaving Date]&gt;42460,Table1[Leaving Date]&lt;42826),IF(Table1[Date of Last Assessment]="",Table1[Managing Tenancy and Accommodation],Table1[Managing Tenancy and Accommodation2]),""))</f>
        <v/>
      </c>
      <c r="GN297" s="44" t="str">
        <f>IF(Table1[Leaving Date]="","",IF(AND(Table1[Leaving Date]&gt;42460,Table1[Leaving Date]&lt;42826),IF(Table1[Date of Last Assessment]="",Table1[Offending],Table1[Offending2]),""))</f>
        <v/>
      </c>
    </row>
    <row r="298" spans="2:196" ht="20.100000000000001" customHeight="1" x14ac:dyDescent="0.2">
      <c r="B298" s="86">
        <f>+'Service Data'!$C$5:$C$5</f>
        <v>0</v>
      </c>
      <c r="C298" s="86"/>
      <c r="D298" s="86"/>
      <c r="E298" s="86"/>
      <c r="F298" s="86"/>
      <c r="G298" s="86"/>
      <c r="H298" s="6"/>
      <c r="I298" s="99" t="str">
        <f ca="1">IF(Table1[[#This Row],[Date of Birth]]="","",SUM(TODAY()-Table1[[#This Row],[Date of Birth]])/365)</f>
        <v/>
      </c>
      <c r="L298" s="86"/>
      <c r="M298" s="77"/>
      <c r="N298" s="86"/>
      <c r="O298" s="86"/>
      <c r="P298" s="91"/>
      <c r="Q298" s="86"/>
      <c r="R298" s="77"/>
      <c r="S298" s="77"/>
      <c r="T298" s="68"/>
      <c r="U298" s="68"/>
      <c r="V298" s="67"/>
      <c r="W298" s="67"/>
      <c r="X298" s="67"/>
      <c r="Y298" s="67"/>
      <c r="Z298" s="67"/>
      <c r="AA298" s="67"/>
      <c r="AB298" s="67"/>
      <c r="AC298" s="67"/>
      <c r="AD298" s="67"/>
      <c r="AE298" s="67"/>
      <c r="AF298" s="67"/>
      <c r="AG298" s="67"/>
      <c r="AH298" s="67"/>
      <c r="AI298" s="67"/>
      <c r="AJ298" s="67"/>
      <c r="AK298" s="67"/>
      <c r="AL298" s="67"/>
      <c r="AM298" s="67"/>
      <c r="AN298" s="77"/>
      <c r="AO298" s="76"/>
      <c r="AP298" s="77"/>
      <c r="AQ298" s="76"/>
      <c r="AR298" s="76"/>
      <c r="AS298" s="76"/>
      <c r="AT298" s="76"/>
      <c r="AU298" s="76"/>
      <c r="AV298" s="77"/>
      <c r="AW298" s="76"/>
      <c r="AX298" s="77"/>
      <c r="AY298" s="76"/>
      <c r="AZ298" s="76"/>
      <c r="BA298" s="76"/>
      <c r="BB298" s="76"/>
      <c r="BC298" s="76"/>
      <c r="BD298" s="77"/>
      <c r="BE298" s="76"/>
      <c r="BF298" s="77"/>
      <c r="BG298" s="76"/>
      <c r="BH298" s="76"/>
      <c r="BI298" s="76"/>
      <c r="BJ298" s="76"/>
      <c r="BK298" s="76"/>
      <c r="BL298" s="77"/>
      <c r="BM298" s="76"/>
      <c r="BN298" s="77"/>
      <c r="BO298" s="76"/>
      <c r="BP298" s="76"/>
      <c r="BQ298" s="76"/>
      <c r="BR298" s="76"/>
      <c r="BS298" s="76"/>
      <c r="BT298" s="77"/>
      <c r="BU298" s="76"/>
      <c r="BV298" s="77"/>
      <c r="BW298" s="76"/>
      <c r="BX298" s="76"/>
      <c r="BY298" s="76"/>
      <c r="BZ298" s="76"/>
      <c r="CA298" s="76"/>
      <c r="CB298" s="77"/>
      <c r="CC298" s="76"/>
      <c r="CD298" s="77"/>
      <c r="CE298" s="76"/>
      <c r="CF298" s="76"/>
      <c r="CG298" s="76"/>
      <c r="CH298" s="76"/>
      <c r="CI298" s="76"/>
      <c r="CJ298" s="77"/>
      <c r="CK298" s="76"/>
      <c r="CL298" s="77"/>
      <c r="CM298" s="76"/>
      <c r="CN298" s="76"/>
      <c r="CO298" s="76"/>
      <c r="CP298" s="76"/>
      <c r="CQ298" s="76"/>
      <c r="CR298" s="78" t="str">
        <f t="shared" si="79"/>
        <v/>
      </c>
      <c r="CS298" s="79" t="str">
        <f t="shared" si="80"/>
        <v/>
      </c>
      <c r="CT298" s="79" t="str">
        <f t="shared" si="81"/>
        <v/>
      </c>
      <c r="CU298" s="79" t="str">
        <f t="shared" si="82"/>
        <v/>
      </c>
      <c r="CV298" s="79" t="str">
        <f t="shared" si="83"/>
        <v/>
      </c>
      <c r="CW298" s="79" t="str">
        <f t="shared" si="84"/>
        <v/>
      </c>
      <c r="CX298" s="79" t="str">
        <f t="shared" si="85"/>
        <v/>
      </c>
      <c r="CY298" s="79" t="str">
        <f t="shared" si="86"/>
        <v/>
      </c>
      <c r="CZ298" s="79" t="str">
        <f t="shared" si="87"/>
        <v/>
      </c>
      <c r="DA298" s="79" t="str">
        <f t="shared" si="88"/>
        <v/>
      </c>
      <c r="DB298" s="79" t="str">
        <f t="shared" si="89"/>
        <v/>
      </c>
      <c r="DC298" s="79" t="str">
        <f t="shared" si="90"/>
        <v/>
      </c>
      <c r="DD298" s="79" t="str">
        <f t="shared" si="91"/>
        <v/>
      </c>
      <c r="DE298" s="79" t="str">
        <f t="shared" si="92"/>
        <v/>
      </c>
      <c r="DF298" s="79" t="str">
        <f t="shared" si="93"/>
        <v/>
      </c>
      <c r="DG298" s="79" t="str">
        <f t="shared" si="94"/>
        <v/>
      </c>
      <c r="DH298" s="76"/>
      <c r="DI298" s="78"/>
      <c r="DJ298" s="76"/>
      <c r="DK298" s="77"/>
      <c r="DL298" s="77"/>
      <c r="DM298" s="77"/>
      <c r="DN298" s="80"/>
      <c r="DO298" s="80"/>
      <c r="DP298" s="92" t="str">
        <f>IF(Table1[Start Date]="","",IF(Table1[Start Date]&gt;42185,"",IF(AND(Table1[Leaving Date]&gt;1,Table1[Leaving Date]&lt;42095),"",1)))</f>
        <v/>
      </c>
      <c r="DQ298" s="92" t="str">
        <f>IF(Table1[Start Date]="","",IF(Table1[Start Date]&gt;42277,"",IF(AND(Table1[Leaving Date]&gt;1,Table1[Leaving Date]&lt;42186),"",1)))</f>
        <v/>
      </c>
      <c r="DR298" s="92" t="str">
        <f>IF(Table1[Start Date]="","",IF(Table1[Start Date]&gt;42369,"",IF(AND(Table1[Leaving Date]&gt;1,Table1[Leaving Date]&lt;42278),"",1)))</f>
        <v/>
      </c>
      <c r="DS298" s="92" t="str">
        <f>IF(Table1[Start Date]="","",IF(Table1[Start Date]&gt;42460,"",IF(AND(Table1[Leaving Date]&gt;1,Table1[Leaving Date]&lt;42370),"",1)))</f>
        <v/>
      </c>
      <c r="DT298" s="92" t="str">
        <f>IF(Table1[Start Date]="","",IF(Table1[Start Date]&gt;42551,"",IF(AND(Table1[Leaving Date]&gt;1,Table1[Leaving Date]&lt;42461),"",1)))</f>
        <v/>
      </c>
      <c r="DU298" s="92" t="str">
        <f>IF(Table1[Start Date]="","",IF(Table1[Start Date]&gt;42643,"",IF(AND(Table1[Leaving Date]&gt;1,Table1[Leaving Date]&lt;42552),"",1)))</f>
        <v/>
      </c>
      <c r="DV298" s="92" t="str">
        <f>IF(Table1[Start Date]="","",IF(Table1[Start Date]&gt;42735,"",IF(AND(Table1[Leaving Date]&gt;1,Table1[Leaving Date]&lt;42644),"",1)))</f>
        <v/>
      </c>
      <c r="DW298" s="92" t="str">
        <f>IF(Table1[Start Date]="","",IF(Table1[Start Date]&gt;42825,"",IF(AND(Table1[Leaving Date]&gt;1,Table1[Leaving Date]&lt;42736),"",1)))</f>
        <v/>
      </c>
      <c r="DX298"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298" s="44" t="e">
        <f>VLOOKUP(Table1[Referral Source],Lists!$G$2:$H$20,2,FALSE)</f>
        <v>#N/A</v>
      </c>
      <c r="DZ298" s="93" t="e">
        <f>SUM(Table1[Data Referral Quarter]+Table1[Data Referral Source])</f>
        <v>#N/A</v>
      </c>
      <c r="EA298" s="44" t="b">
        <f>IF(Table1[Referral Decision]="Accepted",100,IF(Table1[Referral Decision]="Rejected by Provider",200,IF(Table1[Referral Decision]="Rejected by Applicant",300)))</f>
        <v>0</v>
      </c>
      <c r="EB298" s="44">
        <f>SUM(Table1[Data Referral Quarter]+Table1[Data Referral Decision])</f>
        <v>0</v>
      </c>
      <c r="EC298" s="44" t="b">
        <f>IF(Table1[Start Date]&gt;42735,8000,IF(Table1[Start Date]&gt;42643,7000,IF(Table1[Start Date]&gt;42551,6000,IF(Table1[Start Date]&gt;42460,5000,IF(Table1[Start Date]&gt;42369,4000,IF(Table1[Start Date]&gt;42277,3000,IF(Table1[Start Date]&gt;42185,2000,IF(Table1[Start Date]&gt;42094,1000))))))))</f>
        <v>0</v>
      </c>
      <c r="ED298" s="44" t="str">
        <f>IF(Table1[Start Date]="","",IF(Table1[Current Local Authority]="Swindon",1,"2"))</f>
        <v/>
      </c>
      <c r="EE298" s="44" t="e">
        <f>SUM(Table1[Data Start Date]+Table1[Data Local Authority])</f>
        <v>#VALUE!</v>
      </c>
      <c r="EF298" s="44">
        <f>IF(Table1[Registered with GP]="Yes",1,0)</f>
        <v>0</v>
      </c>
      <c r="EG298" s="44">
        <f>SUM(Table1[Data Start Date]+Table1[Data GP Start])</f>
        <v>0</v>
      </c>
      <c r="EH298" s="44" t="str">
        <f>IF(Table1[EET]="NEET",1,IF(Table1[EET]="Education",2,IF(Table1[EET]="Employment",2,IF(Table1[EET]="Training",2,IF(Table1[EET]="Retired",3,"")))))</f>
        <v/>
      </c>
      <c r="EI298" s="44" t="e">
        <f>Table1[Data Start Date]+Table1[Data EET Start]</f>
        <v>#VALUE!</v>
      </c>
      <c r="EJ298" s="44" t="b">
        <f>IF(Table1[Leaving Date]&gt;42735,8000,IF(Table1[Leaving Date]&gt;42643,7000,IF(Table1[Leaving Date]&gt;42551,6000,IF(Table1[Leaving Date]&gt;42460,5000,IF(Table1[Leaving Date]&gt;42369,4000,IF(Table1[Leaving Date]&gt;42277,3000,IF(Table1[Leaving Date]&gt;42185,2000,IF(Table1[Leaving Date]&gt;42094,1000))))))))</f>
        <v>0</v>
      </c>
      <c r="EK298" s="44" t="e">
        <f>VLOOKUP(Table1[Reason for Leaving],Lists!$T$2:$U$15,2,FALSE)</f>
        <v>#N/A</v>
      </c>
      <c r="EL298" s="44" t="e">
        <f>SUM(Table1[Data Leavers Date]+Table1[Data Move On])</f>
        <v>#N/A</v>
      </c>
      <c r="EM298" s="44" t="b">
        <f>IF(Table1[Registered with GP2]="Yes",1,IF(Table1[Registered with GP2]="No",0,IF(Table1[Registered with GP]="Yes",1,IF(Table1[Registered with GP]="No",0))))</f>
        <v>0</v>
      </c>
      <c r="EN298" s="44">
        <f>SUM(Table1[Data Leavers Date]+Table1[Data GP End])</f>
        <v>0</v>
      </c>
      <c r="EO298" s="44" t="str">
        <f>IF(Table1[EET2]="NEET",1,IF(Table1[EET2]="Employment",2,IF(Table1[EET2]="Education",2,IF(Table1[EET2]="Training",2,IF(Table1[EET2]="Retired",3,IF(Table1[EET]="NEET",1,IF(Table1[EET]="Employment",2,IF(Table1[EET]="Education",2,IF(Table1[EET]="Training",2,IF(Table1[EET]="Retired",3,""))))))))))</f>
        <v/>
      </c>
      <c r="EP298" s="44" t="e">
        <f>+Table1[[#This Row],[Data Leavers Date]]+Table1[[#This Row],[Data EET End]]</f>
        <v>#VALUE!</v>
      </c>
      <c r="EQ298" s="44">
        <f>IF(Table1[Exit Form Received]="Yes",1,0)</f>
        <v>0</v>
      </c>
      <c r="ER298" s="44">
        <f>+Table1[[#This Row],[Data Leavers Date]]+Table1[[#This Row],[Data Exit Forms]]</f>
        <v>0</v>
      </c>
      <c r="ES298" s="44" t="str">
        <f>IF(Table1[Data Leavers Date]=1000,SUM(Table1[Leaving Date]-Table1[Start Date]),"")</f>
        <v/>
      </c>
      <c r="ET298" s="44" t="str">
        <f>IF(Table1[Data Leavers Date]=2000,SUM(Table1[Leaving Date]-Table1[Start Date]),"")</f>
        <v/>
      </c>
      <c r="EU298" s="44" t="str">
        <f>IF(Table1[Data Leavers Date]=3000,SUM(Table1[Leaving Date]-Table1[Start Date]),"")</f>
        <v/>
      </c>
      <c r="EV298" s="44" t="str">
        <f>IF(Table1[Data Leavers Date]=4000,SUM(Table1[Leaving Date]-Table1[Start Date]),"")</f>
        <v/>
      </c>
      <c r="EW298" s="44" t="str">
        <f>IF(Table1[Data Leavers Date]=5000,SUM(Table1[Leaving Date]-Table1[Start Date]),"")</f>
        <v/>
      </c>
      <c r="EX298" s="44" t="str">
        <f>IF(Table1[Data Leavers Date]=6000,SUM(Table1[Leaving Date]-Table1[Start Date]),"")</f>
        <v/>
      </c>
      <c r="EY298" s="44" t="str">
        <f>IF(Table1[Data Leavers Date]=7000,SUM(Table1[Leaving Date]-Table1[Start Date]),"")</f>
        <v/>
      </c>
      <c r="EZ298" s="44" t="str">
        <f>IF(Table1[Data Leavers Date]=8000,SUM(Table1[Leaving Date]-Table1[Start Date]),"")</f>
        <v/>
      </c>
      <c r="FA298" s="44" t="str">
        <f>IF(Table1[Date of Initial Assessment]="","",IF(AND(Table1[Start Date]&gt;42094,Table1[Start Date]&lt;42461),Table1[Motivation and Taking Responsibility],""))</f>
        <v/>
      </c>
      <c r="FB298" s="44" t="str">
        <f>IF(Table1[Date of Initial Assessment]="","",IF(AND(Table1[Start Date]&gt;42094,Table1[Start Date]&lt;42461),Table1[Self-Care and Living Skills],""))</f>
        <v/>
      </c>
      <c r="FC298" s="44" t="str">
        <f>IF(Table1[Date of Initial Assessment]="","",IF(AND(Table1[Start Date]&gt;42094,Table1[Start Date]&lt;42461),Table1[Managing Money and Personal Administration],""))</f>
        <v/>
      </c>
      <c r="FD298" s="44" t="str">
        <f>IF(Table1[Date of Initial Assessment]="","",IF(AND(Table1[Start Date]&gt;42094,Table1[Start Date]&lt;42461),Table1[Social Networks and Relationships],""))</f>
        <v/>
      </c>
      <c r="FE298" s="44" t="str">
        <f>IF(Table1[Date of Initial Assessment]="","",IF(AND(Table1[Start Date]&gt;42094,Table1[Start Date]&lt;42461),Table1[Drug and Alcohol Misuse],""))</f>
        <v/>
      </c>
      <c r="FF298" s="44" t="str">
        <f>IF(Table1[Date of Initial Assessment]="","",IF(AND(Table1[Start Date]&gt;42094,Table1[Start Date]&lt;42461),Table1[Physical Health],""))</f>
        <v/>
      </c>
      <c r="FG298" s="44" t="str">
        <f>IF(Table1[Date of Initial Assessment]="","",IF(AND(Table1[Start Date]&gt;42094,Table1[Start Date]&lt;42461),Table1[Emotional and Mental Health],""))</f>
        <v/>
      </c>
      <c r="FH298" s="44" t="str">
        <f>IF(Table1[Date of Initial Assessment]="","",IF(AND(Table1[Start Date]&gt;42094,Table1[Start Date]&lt;42461),Table1[Meaningful Use of Time],""))</f>
        <v/>
      </c>
      <c r="FI298" s="44" t="str">
        <f>IF(Table1[Date of Initial Assessment]="","",IF(AND(Table1[Start Date]&gt;42094,Table1[Start Date]&lt;42461),Table1[Managing Tenancy and Accommodation],""))</f>
        <v/>
      </c>
      <c r="FJ298" s="44" t="str">
        <f>IF(Table1[Date of Initial Assessment]="","",IF(AND(Table1[Start Date]&gt;42094,Table1[Start Date]&lt;42461),Table1[Offending],""))</f>
        <v/>
      </c>
      <c r="FK298" s="44" t="str">
        <f>IF(Table1[Leaving Date]="","",IF(Table1[Date of Initial Assessment]="","",IF(AND(Table1[Leaving Date]&gt;42094,Table1[Leaving Date]&lt;42461),IF(Table1[Date of Last Assessment]="",Table1[Motivation and Taking Responsibility],Table1[Motivation and Taking Responsibility2]),"")))</f>
        <v/>
      </c>
      <c r="FL298" s="44" t="str">
        <f>IF(Table1[Leaving Date]="","",IF(Table1[Date of Initial Assessment]="","",IF(AND(Table1[Leaving Date]&gt;42094,Table1[Leaving Date]&lt;42461),IF(Table1[Date of Last Assessment]="",Table1[Self-Care and Living Skills],Table1[Self-Care and Living Skills2]),"")))</f>
        <v/>
      </c>
      <c r="FM298" s="44" t="str">
        <f>IF(Table1[Leaving Date]="","",IF(Table1[Date of Initial Assessment]="","",IF(AND(Table1[Leaving Date]&gt;42094,Table1[Leaving Date]&lt;42461),IF(Table1[Date of Last Assessment]="",Table1[Managing Money and Personal Administration],Table1[Managing Money and Personal Administration2]),"")))</f>
        <v/>
      </c>
      <c r="FN298" s="44" t="str">
        <f>IF(Table1[Leaving Date]="","",IF(Table1[Date of Initial Assessment]="","",IF(AND(Table1[Leaving Date]&gt;42094,Table1[Leaving Date]&lt;42461),IF(Table1[Date of Last Assessment]="",Table1[Social Networks and Relationships],Table1[Social Networks and Relationships2]),"")))</f>
        <v/>
      </c>
      <c r="FO298" s="44" t="str">
        <f>IF(Table1[Leaving Date]="","",IF(Table1[Date of Initial Assessment]="","",IF(AND(Table1[Leaving Date]&gt;42094,Table1[Leaving Date]&lt;42461),IF(Table1[Date of Last Assessment]="",Table1[Drug and Alcohol Misuse],Table1[Drug and Alcohol Misuse2]),"")))</f>
        <v/>
      </c>
      <c r="FP298" s="44" t="str">
        <f>IF(Table1[Leaving Date]="","",IF(Table1[Date of Initial Assessment]="","",IF(AND(Table1[Leaving Date]&gt;42094,Table1[Leaving Date]&lt;42461),IF(Table1[Date of Last Assessment]="",Table1[Physical Health],Table1[Physical Health2]),"")))</f>
        <v/>
      </c>
      <c r="FQ298" s="44" t="str">
        <f>IF(Table1[Leaving Date]="","",IF(Table1[Date of Initial Assessment]="","",IF(AND(Table1[Leaving Date]&gt;42094,Table1[Leaving Date]&lt;42461),IF(Table1[Date of Last Assessment]="",Table1[Emotional and Mental Health],Table1[Emotional and Mental Health2]),"")))</f>
        <v/>
      </c>
      <c r="FR298" s="44" t="str">
        <f>IF(Table1[Leaving Date]="","",IF(Table1[Date of Initial Assessment]="","",IF(AND(Table1[Leaving Date]&gt;42094,Table1[Leaving Date]&lt;42461),IF(Table1[Date of Last Assessment]="",Table1[Meaningful Use of Time],Table1[Meaningful Use of Time2]),"")))</f>
        <v/>
      </c>
      <c r="FS298" s="44" t="str">
        <f>IF(Table1[Leaving Date]="","",IF(Table1[Date of Initial Assessment]="","",IF(AND(Table1[Leaving Date]&gt;42094,Table1[Leaving Date]&lt;42461),IF(Table1[Date of Last Assessment]="",Table1[Managing Tenancy and Accommodation],Table1[Managing Tenancy and Accommodation2]),"")))</f>
        <v/>
      </c>
      <c r="FT298" s="44" t="str">
        <f>IF(Table1[Leaving Date]="","",IF(Table1[Date of Initial Assessment]="","",IF(AND(Table1[Leaving Date]&gt;42094,Table1[Leaving Date]&lt;42461),IF(Table1[Date of Last Assessment]="",Table1[Offending],Table1[Offending2]),"")))</f>
        <v/>
      </c>
      <c r="FU298" s="44" t="str">
        <f>IF(Table1[Date of Initial Assessment]="","",IF(AND(Table1[Start Date]&gt;42460,Table1[Start Date]&lt;42826),Table1[Motivation and Taking Responsibility],""))</f>
        <v/>
      </c>
      <c r="FV298" s="44" t="str">
        <f>IF(Table1[Date of Initial Assessment]="","",IF(AND(Table1[Start Date]&gt;42460,Table1[Start Date]&lt;42826),Table1[Self-Care and Living Skills],""))</f>
        <v/>
      </c>
      <c r="FW298" s="44" t="str">
        <f>IF(Table1[Date of Initial Assessment]="","",IF(AND(Table1[Start Date]&gt;42460,Table1[Start Date]&lt;42826),Table1[Managing Money and Personal Administration],""))</f>
        <v/>
      </c>
      <c r="FX298" s="44" t="str">
        <f>IF(Table1[Date of Initial Assessment]="","",IF(AND(Table1[Start Date]&gt;42460,Table1[Start Date]&lt;42826),Table1[Social Networks and Relationships],""))</f>
        <v/>
      </c>
      <c r="FY298" s="44" t="str">
        <f>IF(Table1[Date of Initial Assessment]="","",IF(AND(Table1[Start Date]&gt;42460,Table1[Start Date]&lt;42826),Table1[Drug and Alcohol Misuse],""))</f>
        <v/>
      </c>
      <c r="FZ298" s="44" t="str">
        <f>IF(Table1[Date of Initial Assessment]="","",IF(AND(Table1[Start Date]&gt;42460,Table1[Start Date]&lt;42826),Table1[Physical Health],""))</f>
        <v/>
      </c>
      <c r="GA298" s="44" t="str">
        <f>IF(Table1[Date of Initial Assessment]="","",IF(AND(Table1[Start Date]&gt;42460,Table1[Start Date]&lt;42826),Table1[Emotional and Mental Health],""))</f>
        <v/>
      </c>
      <c r="GB298" s="44" t="str">
        <f>IF(Table1[Date of Initial Assessment]="","",IF(AND(Table1[Start Date]&gt;42460,Table1[Start Date]&lt;42826),Table1[Meaningful Use of Time],""))</f>
        <v/>
      </c>
      <c r="GC298" s="44" t="str">
        <f>IF(Table1[Date of Initial Assessment]="","",IF(AND(Table1[Start Date]&gt;42460,Table1[Start Date]&lt;42826),Table1[Managing Tenancy and Accommodation],""))</f>
        <v/>
      </c>
      <c r="GD298" s="44" t="str">
        <f>IF(Table1[Date of Initial Assessment]="","",IF(AND(Table1[Start Date]&gt;42460,Table1[Start Date]&lt;42826),Table1[Offending],""))</f>
        <v/>
      </c>
      <c r="GE298" s="44" t="str">
        <f>IF(Table1[Leaving Date]="","",IF(AND(Table1[Leaving Date]&gt;42460,Table1[Leaving Date]&lt;42826),IF(Table1[Date of Last Assessment]="",Table1[Motivation and Taking Responsibility],Table1[Motivation and Taking Responsibility2]),""))</f>
        <v/>
      </c>
      <c r="GF298" s="44" t="str">
        <f>IF(Table1[Leaving Date]="","",IF(AND(Table1[Leaving Date]&gt;42460,Table1[Leaving Date]&lt;42826),IF(Table1[Date of Last Assessment]="",Table1[Self-Care and Living Skills],Table1[Self-Care and Living Skills2]),""))</f>
        <v/>
      </c>
      <c r="GG298" s="44" t="str">
        <f>IF(Table1[Leaving Date]="","",IF(AND(Table1[Leaving Date]&gt;42460,Table1[Leaving Date]&lt;42826),IF(Table1[Date of Last Assessment]="",Table1[Managing Money and Personal Administration],Table1[Managing Money and Personal Administration2]),""))</f>
        <v/>
      </c>
      <c r="GH298" s="44" t="str">
        <f>IF(Table1[Leaving Date]="","",IF(AND(Table1[Leaving Date]&gt;42460,Table1[Leaving Date]&lt;42826),IF(Table1[Date of Last Assessment]="",Table1[Social Networks and Relationships],Table1[Social Networks and Relationships2]),""))</f>
        <v/>
      </c>
      <c r="GI298" s="44" t="str">
        <f>IF(Table1[Leaving Date]="","",IF(AND(Table1[Leaving Date]&gt;42460,Table1[Leaving Date]&lt;42826),IF(Table1[Date of Last Assessment]="",Table1[Drug and Alcohol Misuse],Table1[Drug and Alcohol Misuse2]),""))</f>
        <v/>
      </c>
      <c r="GJ298" s="44" t="str">
        <f>IF(Table1[Leaving Date]="","",IF(AND(Table1[Leaving Date]&gt;42460,Table1[Leaving Date]&lt;42826),IF(Table1[Date of Last Assessment]="",Table1[Physical Health],Table1[Physical Health2]),""))</f>
        <v/>
      </c>
      <c r="GK298" s="44" t="str">
        <f>IF(Table1[Leaving Date]="","",IF(AND(Table1[Leaving Date]&gt;42460,Table1[Leaving Date]&lt;42826),IF(Table1[Date of Last Assessment]="",Table1[Emotional and Mental Health],Table1[Emotional and Mental Health2]),""))</f>
        <v/>
      </c>
      <c r="GL298" s="44" t="str">
        <f>IF(Table1[Leaving Date]="","",IF(AND(Table1[Leaving Date]&gt;42460,Table1[Leaving Date]&lt;42826),IF(Table1[Date of Last Assessment]="",Table1[Meaningful Use of Time],Table1[Meaningful Use of Time2]),""))</f>
        <v/>
      </c>
      <c r="GM298" s="44" t="str">
        <f>IF(Table1[Leaving Date]="","",IF(AND(Table1[Leaving Date]&gt;42460,Table1[Leaving Date]&lt;42826),IF(Table1[Date of Last Assessment]="",Table1[Managing Tenancy and Accommodation],Table1[Managing Tenancy and Accommodation2]),""))</f>
        <v/>
      </c>
      <c r="GN298" s="44" t="str">
        <f>IF(Table1[Leaving Date]="","",IF(AND(Table1[Leaving Date]&gt;42460,Table1[Leaving Date]&lt;42826),IF(Table1[Date of Last Assessment]="",Table1[Offending],Table1[Offending2]),""))</f>
        <v/>
      </c>
    </row>
    <row r="299" spans="2:196" ht="20.100000000000001" customHeight="1" x14ac:dyDescent="0.2">
      <c r="B299" s="86">
        <f>+'Service Data'!$C$5:$C$5</f>
        <v>0</v>
      </c>
      <c r="C299" s="86"/>
      <c r="D299" s="86"/>
      <c r="E299" s="86"/>
      <c r="F299" s="86"/>
      <c r="G299" s="86"/>
      <c r="H299" s="6"/>
      <c r="I299" s="99" t="str">
        <f ca="1">IF(Table1[[#This Row],[Date of Birth]]="","",SUM(TODAY()-Table1[[#This Row],[Date of Birth]])/365)</f>
        <v/>
      </c>
      <c r="L299" s="86"/>
      <c r="M299" s="77"/>
      <c r="N299" s="86"/>
      <c r="O299" s="86"/>
      <c r="P299" s="91"/>
      <c r="Q299" s="86"/>
      <c r="R299" s="77"/>
      <c r="S299" s="77"/>
      <c r="T299" s="68"/>
      <c r="U299" s="68"/>
      <c r="V299" s="67"/>
      <c r="W299" s="67"/>
      <c r="X299" s="67"/>
      <c r="Y299" s="67"/>
      <c r="Z299" s="67"/>
      <c r="AA299" s="67"/>
      <c r="AB299" s="67"/>
      <c r="AC299" s="67"/>
      <c r="AD299" s="67"/>
      <c r="AE299" s="67"/>
      <c r="AF299" s="67"/>
      <c r="AG299" s="67"/>
      <c r="AH299" s="67"/>
      <c r="AI299" s="67"/>
      <c r="AJ299" s="67"/>
      <c r="AK299" s="67"/>
      <c r="AL299" s="67"/>
      <c r="AM299" s="67"/>
      <c r="AN299" s="77"/>
      <c r="AO299" s="76"/>
      <c r="AP299" s="77"/>
      <c r="AQ299" s="76"/>
      <c r="AR299" s="76"/>
      <c r="AS299" s="76"/>
      <c r="AT299" s="76"/>
      <c r="AU299" s="76"/>
      <c r="AV299" s="77"/>
      <c r="AW299" s="76"/>
      <c r="AX299" s="77"/>
      <c r="AY299" s="76"/>
      <c r="AZ299" s="76"/>
      <c r="BA299" s="76"/>
      <c r="BB299" s="76"/>
      <c r="BC299" s="76"/>
      <c r="BD299" s="77"/>
      <c r="BE299" s="76"/>
      <c r="BF299" s="77"/>
      <c r="BG299" s="76"/>
      <c r="BH299" s="76"/>
      <c r="BI299" s="76"/>
      <c r="BJ299" s="76"/>
      <c r="BK299" s="76"/>
      <c r="BL299" s="77"/>
      <c r="BM299" s="76"/>
      <c r="BN299" s="77"/>
      <c r="BO299" s="76"/>
      <c r="BP299" s="76"/>
      <c r="BQ299" s="76"/>
      <c r="BR299" s="76"/>
      <c r="BS299" s="76"/>
      <c r="BT299" s="77"/>
      <c r="BU299" s="76"/>
      <c r="BV299" s="77"/>
      <c r="BW299" s="76"/>
      <c r="BX299" s="76"/>
      <c r="BY299" s="76"/>
      <c r="BZ299" s="76"/>
      <c r="CA299" s="76"/>
      <c r="CB299" s="77"/>
      <c r="CC299" s="76"/>
      <c r="CD299" s="77"/>
      <c r="CE299" s="76"/>
      <c r="CF299" s="76"/>
      <c r="CG299" s="76"/>
      <c r="CH299" s="76"/>
      <c r="CI299" s="76"/>
      <c r="CJ299" s="77"/>
      <c r="CK299" s="76"/>
      <c r="CL299" s="77"/>
      <c r="CM299" s="76"/>
      <c r="CN299" s="76"/>
      <c r="CO299" s="76"/>
      <c r="CP299" s="76"/>
      <c r="CQ299" s="76"/>
      <c r="CR299" s="78" t="str">
        <f t="shared" si="79"/>
        <v/>
      </c>
      <c r="CS299" s="79" t="str">
        <f t="shared" si="80"/>
        <v/>
      </c>
      <c r="CT299" s="79" t="str">
        <f t="shared" si="81"/>
        <v/>
      </c>
      <c r="CU299" s="79" t="str">
        <f t="shared" si="82"/>
        <v/>
      </c>
      <c r="CV299" s="79" t="str">
        <f t="shared" si="83"/>
        <v/>
      </c>
      <c r="CW299" s="79" t="str">
        <f t="shared" si="84"/>
        <v/>
      </c>
      <c r="CX299" s="79" t="str">
        <f t="shared" si="85"/>
        <v/>
      </c>
      <c r="CY299" s="79" t="str">
        <f t="shared" si="86"/>
        <v/>
      </c>
      <c r="CZ299" s="79" t="str">
        <f t="shared" si="87"/>
        <v/>
      </c>
      <c r="DA299" s="79" t="str">
        <f t="shared" si="88"/>
        <v/>
      </c>
      <c r="DB299" s="79" t="str">
        <f t="shared" si="89"/>
        <v/>
      </c>
      <c r="DC299" s="79" t="str">
        <f t="shared" si="90"/>
        <v/>
      </c>
      <c r="DD299" s="79" t="str">
        <f t="shared" si="91"/>
        <v/>
      </c>
      <c r="DE299" s="79" t="str">
        <f t="shared" si="92"/>
        <v/>
      </c>
      <c r="DF299" s="79" t="str">
        <f t="shared" si="93"/>
        <v/>
      </c>
      <c r="DG299" s="79" t="str">
        <f t="shared" si="94"/>
        <v/>
      </c>
      <c r="DH299" s="76"/>
      <c r="DI299" s="78"/>
      <c r="DJ299" s="76"/>
      <c r="DK299" s="77"/>
      <c r="DL299" s="77"/>
      <c r="DM299" s="77"/>
      <c r="DN299" s="80"/>
      <c r="DO299" s="80"/>
      <c r="DP299" s="92" t="str">
        <f>IF(Table1[Start Date]="","",IF(Table1[Start Date]&gt;42185,"",IF(AND(Table1[Leaving Date]&gt;1,Table1[Leaving Date]&lt;42095),"",1)))</f>
        <v/>
      </c>
      <c r="DQ299" s="92" t="str">
        <f>IF(Table1[Start Date]="","",IF(Table1[Start Date]&gt;42277,"",IF(AND(Table1[Leaving Date]&gt;1,Table1[Leaving Date]&lt;42186),"",1)))</f>
        <v/>
      </c>
      <c r="DR299" s="92" t="str">
        <f>IF(Table1[Start Date]="","",IF(Table1[Start Date]&gt;42369,"",IF(AND(Table1[Leaving Date]&gt;1,Table1[Leaving Date]&lt;42278),"",1)))</f>
        <v/>
      </c>
      <c r="DS299" s="92" t="str">
        <f>IF(Table1[Start Date]="","",IF(Table1[Start Date]&gt;42460,"",IF(AND(Table1[Leaving Date]&gt;1,Table1[Leaving Date]&lt;42370),"",1)))</f>
        <v/>
      </c>
      <c r="DT299" s="92" t="str">
        <f>IF(Table1[Start Date]="","",IF(Table1[Start Date]&gt;42551,"",IF(AND(Table1[Leaving Date]&gt;1,Table1[Leaving Date]&lt;42461),"",1)))</f>
        <v/>
      </c>
      <c r="DU299" s="92" t="str">
        <f>IF(Table1[Start Date]="","",IF(Table1[Start Date]&gt;42643,"",IF(AND(Table1[Leaving Date]&gt;1,Table1[Leaving Date]&lt;42552),"",1)))</f>
        <v/>
      </c>
      <c r="DV299" s="92" t="str">
        <f>IF(Table1[Start Date]="","",IF(Table1[Start Date]&gt;42735,"",IF(AND(Table1[Leaving Date]&gt;1,Table1[Leaving Date]&lt;42644),"",1)))</f>
        <v/>
      </c>
      <c r="DW299" s="92" t="str">
        <f>IF(Table1[Start Date]="","",IF(Table1[Start Date]&gt;42825,"",IF(AND(Table1[Leaving Date]&gt;1,Table1[Leaving Date]&lt;42736),"",1)))</f>
        <v/>
      </c>
      <c r="DX299"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299" s="44" t="e">
        <f>VLOOKUP(Table1[Referral Source],Lists!$G$2:$H$20,2,FALSE)</f>
        <v>#N/A</v>
      </c>
      <c r="DZ299" s="93" t="e">
        <f>SUM(Table1[Data Referral Quarter]+Table1[Data Referral Source])</f>
        <v>#N/A</v>
      </c>
      <c r="EA299" s="44" t="b">
        <f>IF(Table1[Referral Decision]="Accepted",100,IF(Table1[Referral Decision]="Rejected by Provider",200,IF(Table1[Referral Decision]="Rejected by Applicant",300)))</f>
        <v>0</v>
      </c>
      <c r="EB299" s="44">
        <f>SUM(Table1[Data Referral Quarter]+Table1[Data Referral Decision])</f>
        <v>0</v>
      </c>
      <c r="EC299" s="44" t="b">
        <f>IF(Table1[Start Date]&gt;42735,8000,IF(Table1[Start Date]&gt;42643,7000,IF(Table1[Start Date]&gt;42551,6000,IF(Table1[Start Date]&gt;42460,5000,IF(Table1[Start Date]&gt;42369,4000,IF(Table1[Start Date]&gt;42277,3000,IF(Table1[Start Date]&gt;42185,2000,IF(Table1[Start Date]&gt;42094,1000))))))))</f>
        <v>0</v>
      </c>
      <c r="ED299" s="44" t="str">
        <f>IF(Table1[Start Date]="","",IF(Table1[Current Local Authority]="Swindon",1,"2"))</f>
        <v/>
      </c>
      <c r="EE299" s="44" t="e">
        <f>SUM(Table1[Data Start Date]+Table1[Data Local Authority])</f>
        <v>#VALUE!</v>
      </c>
      <c r="EF299" s="44">
        <f>IF(Table1[Registered with GP]="Yes",1,0)</f>
        <v>0</v>
      </c>
      <c r="EG299" s="44">
        <f>SUM(Table1[Data Start Date]+Table1[Data GP Start])</f>
        <v>0</v>
      </c>
      <c r="EH299" s="44" t="str">
        <f>IF(Table1[EET]="NEET",1,IF(Table1[EET]="Education",2,IF(Table1[EET]="Employment",2,IF(Table1[EET]="Training",2,IF(Table1[EET]="Retired",3,"")))))</f>
        <v/>
      </c>
      <c r="EI299" s="44" t="e">
        <f>Table1[Data Start Date]+Table1[Data EET Start]</f>
        <v>#VALUE!</v>
      </c>
      <c r="EJ299" s="44" t="b">
        <f>IF(Table1[Leaving Date]&gt;42735,8000,IF(Table1[Leaving Date]&gt;42643,7000,IF(Table1[Leaving Date]&gt;42551,6000,IF(Table1[Leaving Date]&gt;42460,5000,IF(Table1[Leaving Date]&gt;42369,4000,IF(Table1[Leaving Date]&gt;42277,3000,IF(Table1[Leaving Date]&gt;42185,2000,IF(Table1[Leaving Date]&gt;42094,1000))))))))</f>
        <v>0</v>
      </c>
      <c r="EK299" s="44" t="e">
        <f>VLOOKUP(Table1[Reason for Leaving],Lists!$T$2:$U$15,2,FALSE)</f>
        <v>#N/A</v>
      </c>
      <c r="EL299" s="44" t="e">
        <f>SUM(Table1[Data Leavers Date]+Table1[Data Move On])</f>
        <v>#N/A</v>
      </c>
      <c r="EM299" s="44" t="b">
        <f>IF(Table1[Registered with GP2]="Yes",1,IF(Table1[Registered with GP2]="No",0,IF(Table1[Registered with GP]="Yes",1,IF(Table1[Registered with GP]="No",0))))</f>
        <v>0</v>
      </c>
      <c r="EN299" s="44">
        <f>SUM(Table1[Data Leavers Date]+Table1[Data GP End])</f>
        <v>0</v>
      </c>
      <c r="EO299" s="44" t="str">
        <f>IF(Table1[EET2]="NEET",1,IF(Table1[EET2]="Employment",2,IF(Table1[EET2]="Education",2,IF(Table1[EET2]="Training",2,IF(Table1[EET2]="Retired",3,IF(Table1[EET]="NEET",1,IF(Table1[EET]="Employment",2,IF(Table1[EET]="Education",2,IF(Table1[EET]="Training",2,IF(Table1[EET]="Retired",3,""))))))))))</f>
        <v/>
      </c>
      <c r="EP299" s="44" t="e">
        <f>+Table1[[#This Row],[Data Leavers Date]]+Table1[[#This Row],[Data EET End]]</f>
        <v>#VALUE!</v>
      </c>
      <c r="EQ299" s="44">
        <f>IF(Table1[Exit Form Received]="Yes",1,0)</f>
        <v>0</v>
      </c>
      <c r="ER299" s="44">
        <f>+Table1[[#This Row],[Data Leavers Date]]+Table1[[#This Row],[Data Exit Forms]]</f>
        <v>0</v>
      </c>
      <c r="ES299" s="44" t="str">
        <f>IF(Table1[Data Leavers Date]=1000,SUM(Table1[Leaving Date]-Table1[Start Date]),"")</f>
        <v/>
      </c>
      <c r="ET299" s="44" t="str">
        <f>IF(Table1[Data Leavers Date]=2000,SUM(Table1[Leaving Date]-Table1[Start Date]),"")</f>
        <v/>
      </c>
      <c r="EU299" s="44" t="str">
        <f>IF(Table1[Data Leavers Date]=3000,SUM(Table1[Leaving Date]-Table1[Start Date]),"")</f>
        <v/>
      </c>
      <c r="EV299" s="44" t="str">
        <f>IF(Table1[Data Leavers Date]=4000,SUM(Table1[Leaving Date]-Table1[Start Date]),"")</f>
        <v/>
      </c>
      <c r="EW299" s="44" t="str">
        <f>IF(Table1[Data Leavers Date]=5000,SUM(Table1[Leaving Date]-Table1[Start Date]),"")</f>
        <v/>
      </c>
      <c r="EX299" s="44" t="str">
        <f>IF(Table1[Data Leavers Date]=6000,SUM(Table1[Leaving Date]-Table1[Start Date]),"")</f>
        <v/>
      </c>
      <c r="EY299" s="44" t="str">
        <f>IF(Table1[Data Leavers Date]=7000,SUM(Table1[Leaving Date]-Table1[Start Date]),"")</f>
        <v/>
      </c>
      <c r="EZ299" s="44" t="str">
        <f>IF(Table1[Data Leavers Date]=8000,SUM(Table1[Leaving Date]-Table1[Start Date]),"")</f>
        <v/>
      </c>
      <c r="FA299" s="44" t="str">
        <f>IF(Table1[Date of Initial Assessment]="","",IF(AND(Table1[Start Date]&gt;42094,Table1[Start Date]&lt;42461),Table1[Motivation and Taking Responsibility],""))</f>
        <v/>
      </c>
      <c r="FB299" s="44" t="str">
        <f>IF(Table1[Date of Initial Assessment]="","",IF(AND(Table1[Start Date]&gt;42094,Table1[Start Date]&lt;42461),Table1[Self-Care and Living Skills],""))</f>
        <v/>
      </c>
      <c r="FC299" s="44" t="str">
        <f>IF(Table1[Date of Initial Assessment]="","",IF(AND(Table1[Start Date]&gt;42094,Table1[Start Date]&lt;42461),Table1[Managing Money and Personal Administration],""))</f>
        <v/>
      </c>
      <c r="FD299" s="44" t="str">
        <f>IF(Table1[Date of Initial Assessment]="","",IF(AND(Table1[Start Date]&gt;42094,Table1[Start Date]&lt;42461),Table1[Social Networks and Relationships],""))</f>
        <v/>
      </c>
      <c r="FE299" s="44" t="str">
        <f>IF(Table1[Date of Initial Assessment]="","",IF(AND(Table1[Start Date]&gt;42094,Table1[Start Date]&lt;42461),Table1[Drug and Alcohol Misuse],""))</f>
        <v/>
      </c>
      <c r="FF299" s="44" t="str">
        <f>IF(Table1[Date of Initial Assessment]="","",IF(AND(Table1[Start Date]&gt;42094,Table1[Start Date]&lt;42461),Table1[Physical Health],""))</f>
        <v/>
      </c>
      <c r="FG299" s="44" t="str">
        <f>IF(Table1[Date of Initial Assessment]="","",IF(AND(Table1[Start Date]&gt;42094,Table1[Start Date]&lt;42461),Table1[Emotional and Mental Health],""))</f>
        <v/>
      </c>
      <c r="FH299" s="44" t="str">
        <f>IF(Table1[Date of Initial Assessment]="","",IF(AND(Table1[Start Date]&gt;42094,Table1[Start Date]&lt;42461),Table1[Meaningful Use of Time],""))</f>
        <v/>
      </c>
      <c r="FI299" s="44" t="str">
        <f>IF(Table1[Date of Initial Assessment]="","",IF(AND(Table1[Start Date]&gt;42094,Table1[Start Date]&lt;42461),Table1[Managing Tenancy and Accommodation],""))</f>
        <v/>
      </c>
      <c r="FJ299" s="44" t="str">
        <f>IF(Table1[Date of Initial Assessment]="","",IF(AND(Table1[Start Date]&gt;42094,Table1[Start Date]&lt;42461),Table1[Offending],""))</f>
        <v/>
      </c>
      <c r="FK299" s="44" t="str">
        <f>IF(Table1[Leaving Date]="","",IF(Table1[Date of Initial Assessment]="","",IF(AND(Table1[Leaving Date]&gt;42094,Table1[Leaving Date]&lt;42461),IF(Table1[Date of Last Assessment]="",Table1[Motivation and Taking Responsibility],Table1[Motivation and Taking Responsibility2]),"")))</f>
        <v/>
      </c>
      <c r="FL299" s="44" t="str">
        <f>IF(Table1[Leaving Date]="","",IF(Table1[Date of Initial Assessment]="","",IF(AND(Table1[Leaving Date]&gt;42094,Table1[Leaving Date]&lt;42461),IF(Table1[Date of Last Assessment]="",Table1[Self-Care and Living Skills],Table1[Self-Care and Living Skills2]),"")))</f>
        <v/>
      </c>
      <c r="FM299" s="44" t="str">
        <f>IF(Table1[Leaving Date]="","",IF(Table1[Date of Initial Assessment]="","",IF(AND(Table1[Leaving Date]&gt;42094,Table1[Leaving Date]&lt;42461),IF(Table1[Date of Last Assessment]="",Table1[Managing Money and Personal Administration],Table1[Managing Money and Personal Administration2]),"")))</f>
        <v/>
      </c>
      <c r="FN299" s="44" t="str">
        <f>IF(Table1[Leaving Date]="","",IF(Table1[Date of Initial Assessment]="","",IF(AND(Table1[Leaving Date]&gt;42094,Table1[Leaving Date]&lt;42461),IF(Table1[Date of Last Assessment]="",Table1[Social Networks and Relationships],Table1[Social Networks and Relationships2]),"")))</f>
        <v/>
      </c>
      <c r="FO299" s="44" t="str">
        <f>IF(Table1[Leaving Date]="","",IF(Table1[Date of Initial Assessment]="","",IF(AND(Table1[Leaving Date]&gt;42094,Table1[Leaving Date]&lt;42461),IF(Table1[Date of Last Assessment]="",Table1[Drug and Alcohol Misuse],Table1[Drug and Alcohol Misuse2]),"")))</f>
        <v/>
      </c>
      <c r="FP299" s="44" t="str">
        <f>IF(Table1[Leaving Date]="","",IF(Table1[Date of Initial Assessment]="","",IF(AND(Table1[Leaving Date]&gt;42094,Table1[Leaving Date]&lt;42461),IF(Table1[Date of Last Assessment]="",Table1[Physical Health],Table1[Physical Health2]),"")))</f>
        <v/>
      </c>
      <c r="FQ299" s="44" t="str">
        <f>IF(Table1[Leaving Date]="","",IF(Table1[Date of Initial Assessment]="","",IF(AND(Table1[Leaving Date]&gt;42094,Table1[Leaving Date]&lt;42461),IF(Table1[Date of Last Assessment]="",Table1[Emotional and Mental Health],Table1[Emotional and Mental Health2]),"")))</f>
        <v/>
      </c>
      <c r="FR299" s="44" t="str">
        <f>IF(Table1[Leaving Date]="","",IF(Table1[Date of Initial Assessment]="","",IF(AND(Table1[Leaving Date]&gt;42094,Table1[Leaving Date]&lt;42461),IF(Table1[Date of Last Assessment]="",Table1[Meaningful Use of Time],Table1[Meaningful Use of Time2]),"")))</f>
        <v/>
      </c>
      <c r="FS299" s="44" t="str">
        <f>IF(Table1[Leaving Date]="","",IF(Table1[Date of Initial Assessment]="","",IF(AND(Table1[Leaving Date]&gt;42094,Table1[Leaving Date]&lt;42461),IF(Table1[Date of Last Assessment]="",Table1[Managing Tenancy and Accommodation],Table1[Managing Tenancy and Accommodation2]),"")))</f>
        <v/>
      </c>
      <c r="FT299" s="44" t="str">
        <f>IF(Table1[Leaving Date]="","",IF(Table1[Date of Initial Assessment]="","",IF(AND(Table1[Leaving Date]&gt;42094,Table1[Leaving Date]&lt;42461),IF(Table1[Date of Last Assessment]="",Table1[Offending],Table1[Offending2]),"")))</f>
        <v/>
      </c>
      <c r="FU299" s="44" t="str">
        <f>IF(Table1[Date of Initial Assessment]="","",IF(AND(Table1[Start Date]&gt;42460,Table1[Start Date]&lt;42826),Table1[Motivation and Taking Responsibility],""))</f>
        <v/>
      </c>
      <c r="FV299" s="44" t="str">
        <f>IF(Table1[Date of Initial Assessment]="","",IF(AND(Table1[Start Date]&gt;42460,Table1[Start Date]&lt;42826),Table1[Self-Care and Living Skills],""))</f>
        <v/>
      </c>
      <c r="FW299" s="44" t="str">
        <f>IF(Table1[Date of Initial Assessment]="","",IF(AND(Table1[Start Date]&gt;42460,Table1[Start Date]&lt;42826),Table1[Managing Money and Personal Administration],""))</f>
        <v/>
      </c>
      <c r="FX299" s="44" t="str">
        <f>IF(Table1[Date of Initial Assessment]="","",IF(AND(Table1[Start Date]&gt;42460,Table1[Start Date]&lt;42826),Table1[Social Networks and Relationships],""))</f>
        <v/>
      </c>
      <c r="FY299" s="44" t="str">
        <f>IF(Table1[Date of Initial Assessment]="","",IF(AND(Table1[Start Date]&gt;42460,Table1[Start Date]&lt;42826),Table1[Drug and Alcohol Misuse],""))</f>
        <v/>
      </c>
      <c r="FZ299" s="44" t="str">
        <f>IF(Table1[Date of Initial Assessment]="","",IF(AND(Table1[Start Date]&gt;42460,Table1[Start Date]&lt;42826),Table1[Physical Health],""))</f>
        <v/>
      </c>
      <c r="GA299" s="44" t="str">
        <f>IF(Table1[Date of Initial Assessment]="","",IF(AND(Table1[Start Date]&gt;42460,Table1[Start Date]&lt;42826),Table1[Emotional and Mental Health],""))</f>
        <v/>
      </c>
      <c r="GB299" s="44" t="str">
        <f>IF(Table1[Date of Initial Assessment]="","",IF(AND(Table1[Start Date]&gt;42460,Table1[Start Date]&lt;42826),Table1[Meaningful Use of Time],""))</f>
        <v/>
      </c>
      <c r="GC299" s="44" t="str">
        <f>IF(Table1[Date of Initial Assessment]="","",IF(AND(Table1[Start Date]&gt;42460,Table1[Start Date]&lt;42826),Table1[Managing Tenancy and Accommodation],""))</f>
        <v/>
      </c>
      <c r="GD299" s="44" t="str">
        <f>IF(Table1[Date of Initial Assessment]="","",IF(AND(Table1[Start Date]&gt;42460,Table1[Start Date]&lt;42826),Table1[Offending],""))</f>
        <v/>
      </c>
      <c r="GE299" s="44" t="str">
        <f>IF(Table1[Leaving Date]="","",IF(AND(Table1[Leaving Date]&gt;42460,Table1[Leaving Date]&lt;42826),IF(Table1[Date of Last Assessment]="",Table1[Motivation and Taking Responsibility],Table1[Motivation and Taking Responsibility2]),""))</f>
        <v/>
      </c>
      <c r="GF299" s="44" t="str">
        <f>IF(Table1[Leaving Date]="","",IF(AND(Table1[Leaving Date]&gt;42460,Table1[Leaving Date]&lt;42826),IF(Table1[Date of Last Assessment]="",Table1[Self-Care and Living Skills],Table1[Self-Care and Living Skills2]),""))</f>
        <v/>
      </c>
      <c r="GG299" s="44" t="str">
        <f>IF(Table1[Leaving Date]="","",IF(AND(Table1[Leaving Date]&gt;42460,Table1[Leaving Date]&lt;42826),IF(Table1[Date of Last Assessment]="",Table1[Managing Money and Personal Administration],Table1[Managing Money and Personal Administration2]),""))</f>
        <v/>
      </c>
      <c r="GH299" s="44" t="str">
        <f>IF(Table1[Leaving Date]="","",IF(AND(Table1[Leaving Date]&gt;42460,Table1[Leaving Date]&lt;42826),IF(Table1[Date of Last Assessment]="",Table1[Social Networks and Relationships],Table1[Social Networks and Relationships2]),""))</f>
        <v/>
      </c>
      <c r="GI299" s="44" t="str">
        <f>IF(Table1[Leaving Date]="","",IF(AND(Table1[Leaving Date]&gt;42460,Table1[Leaving Date]&lt;42826),IF(Table1[Date of Last Assessment]="",Table1[Drug and Alcohol Misuse],Table1[Drug and Alcohol Misuse2]),""))</f>
        <v/>
      </c>
      <c r="GJ299" s="44" t="str">
        <f>IF(Table1[Leaving Date]="","",IF(AND(Table1[Leaving Date]&gt;42460,Table1[Leaving Date]&lt;42826),IF(Table1[Date of Last Assessment]="",Table1[Physical Health],Table1[Physical Health2]),""))</f>
        <v/>
      </c>
      <c r="GK299" s="44" t="str">
        <f>IF(Table1[Leaving Date]="","",IF(AND(Table1[Leaving Date]&gt;42460,Table1[Leaving Date]&lt;42826),IF(Table1[Date of Last Assessment]="",Table1[Emotional and Mental Health],Table1[Emotional and Mental Health2]),""))</f>
        <v/>
      </c>
      <c r="GL299" s="44" t="str">
        <f>IF(Table1[Leaving Date]="","",IF(AND(Table1[Leaving Date]&gt;42460,Table1[Leaving Date]&lt;42826),IF(Table1[Date of Last Assessment]="",Table1[Meaningful Use of Time],Table1[Meaningful Use of Time2]),""))</f>
        <v/>
      </c>
      <c r="GM299" s="44" t="str">
        <f>IF(Table1[Leaving Date]="","",IF(AND(Table1[Leaving Date]&gt;42460,Table1[Leaving Date]&lt;42826),IF(Table1[Date of Last Assessment]="",Table1[Managing Tenancy and Accommodation],Table1[Managing Tenancy and Accommodation2]),""))</f>
        <v/>
      </c>
      <c r="GN299" s="44" t="str">
        <f>IF(Table1[Leaving Date]="","",IF(AND(Table1[Leaving Date]&gt;42460,Table1[Leaving Date]&lt;42826),IF(Table1[Date of Last Assessment]="",Table1[Offending],Table1[Offending2]),""))</f>
        <v/>
      </c>
    </row>
    <row r="300" spans="2:196" ht="20.100000000000001" customHeight="1" x14ac:dyDescent="0.2">
      <c r="B300" s="86">
        <f>+'Service Data'!$C$5:$C$5</f>
        <v>0</v>
      </c>
      <c r="C300" s="86"/>
      <c r="D300" s="86"/>
      <c r="E300" s="86"/>
      <c r="F300" s="86"/>
      <c r="G300" s="86"/>
      <c r="H300" s="6"/>
      <c r="I300" s="99" t="str">
        <f ca="1">IF(Table1[[#This Row],[Date of Birth]]="","",SUM(TODAY()-Table1[[#This Row],[Date of Birth]])/365)</f>
        <v/>
      </c>
      <c r="L300" s="86"/>
      <c r="M300" s="77"/>
      <c r="N300" s="86"/>
      <c r="O300" s="86"/>
      <c r="P300" s="91"/>
      <c r="Q300" s="86"/>
      <c r="R300" s="77"/>
      <c r="S300" s="77"/>
      <c r="T300" s="68"/>
      <c r="U300" s="68"/>
      <c r="V300" s="67"/>
      <c r="W300" s="67"/>
      <c r="X300" s="67"/>
      <c r="Y300" s="67"/>
      <c r="Z300" s="67"/>
      <c r="AA300" s="67"/>
      <c r="AB300" s="67"/>
      <c r="AC300" s="67"/>
      <c r="AD300" s="67"/>
      <c r="AE300" s="67"/>
      <c r="AF300" s="67"/>
      <c r="AG300" s="67"/>
      <c r="AH300" s="67"/>
      <c r="AI300" s="67"/>
      <c r="AJ300" s="67"/>
      <c r="AK300" s="67"/>
      <c r="AL300" s="67"/>
      <c r="AM300" s="67"/>
      <c r="AN300" s="77"/>
      <c r="AO300" s="76"/>
      <c r="AP300" s="77"/>
      <c r="AQ300" s="76"/>
      <c r="AR300" s="76"/>
      <c r="AS300" s="76"/>
      <c r="AT300" s="76"/>
      <c r="AU300" s="76"/>
      <c r="AV300" s="77"/>
      <c r="AW300" s="76"/>
      <c r="AX300" s="77"/>
      <c r="AY300" s="76"/>
      <c r="AZ300" s="76"/>
      <c r="BA300" s="76"/>
      <c r="BB300" s="76"/>
      <c r="BC300" s="76"/>
      <c r="BD300" s="77"/>
      <c r="BE300" s="76"/>
      <c r="BF300" s="77"/>
      <c r="BG300" s="76"/>
      <c r="BH300" s="76"/>
      <c r="BI300" s="76"/>
      <c r="BJ300" s="76"/>
      <c r="BK300" s="76"/>
      <c r="BL300" s="77"/>
      <c r="BM300" s="76"/>
      <c r="BN300" s="77"/>
      <c r="BO300" s="76"/>
      <c r="BP300" s="76"/>
      <c r="BQ300" s="76"/>
      <c r="BR300" s="76"/>
      <c r="BS300" s="76"/>
      <c r="BT300" s="77"/>
      <c r="BU300" s="76"/>
      <c r="BV300" s="77"/>
      <c r="BW300" s="76"/>
      <c r="BX300" s="76"/>
      <c r="BY300" s="76"/>
      <c r="BZ300" s="76"/>
      <c r="CA300" s="76"/>
      <c r="CB300" s="77"/>
      <c r="CC300" s="76"/>
      <c r="CD300" s="77"/>
      <c r="CE300" s="76"/>
      <c r="CF300" s="76"/>
      <c r="CG300" s="76"/>
      <c r="CH300" s="76"/>
      <c r="CI300" s="76"/>
      <c r="CJ300" s="77"/>
      <c r="CK300" s="76"/>
      <c r="CL300" s="77"/>
      <c r="CM300" s="76"/>
      <c r="CN300" s="76"/>
      <c r="CO300" s="76"/>
      <c r="CP300" s="76"/>
      <c r="CQ300" s="76"/>
      <c r="CR300" s="78" t="str">
        <f t="shared" si="79"/>
        <v/>
      </c>
      <c r="CS300" s="79" t="str">
        <f t="shared" si="80"/>
        <v/>
      </c>
      <c r="CT300" s="79" t="str">
        <f t="shared" si="81"/>
        <v/>
      </c>
      <c r="CU300" s="79" t="str">
        <f t="shared" si="82"/>
        <v/>
      </c>
      <c r="CV300" s="79" t="str">
        <f t="shared" si="83"/>
        <v/>
      </c>
      <c r="CW300" s="79" t="str">
        <f t="shared" si="84"/>
        <v/>
      </c>
      <c r="CX300" s="79" t="str">
        <f t="shared" si="85"/>
        <v/>
      </c>
      <c r="CY300" s="79" t="str">
        <f t="shared" si="86"/>
        <v/>
      </c>
      <c r="CZ300" s="79" t="str">
        <f t="shared" si="87"/>
        <v/>
      </c>
      <c r="DA300" s="79" t="str">
        <f t="shared" si="88"/>
        <v/>
      </c>
      <c r="DB300" s="79" t="str">
        <f t="shared" si="89"/>
        <v/>
      </c>
      <c r="DC300" s="79" t="str">
        <f t="shared" si="90"/>
        <v/>
      </c>
      <c r="DD300" s="79" t="str">
        <f t="shared" si="91"/>
        <v/>
      </c>
      <c r="DE300" s="79" t="str">
        <f t="shared" si="92"/>
        <v/>
      </c>
      <c r="DF300" s="79" t="str">
        <f t="shared" si="93"/>
        <v/>
      </c>
      <c r="DG300" s="79" t="str">
        <f t="shared" si="94"/>
        <v/>
      </c>
      <c r="DH300" s="76"/>
      <c r="DI300" s="78"/>
      <c r="DJ300" s="76"/>
      <c r="DK300" s="77"/>
      <c r="DL300" s="77"/>
      <c r="DM300" s="77"/>
      <c r="DN300" s="80"/>
      <c r="DO300" s="80"/>
      <c r="DP300" s="92" t="str">
        <f>IF(Table1[Start Date]="","",IF(Table1[Start Date]&gt;42185,"",IF(AND(Table1[Leaving Date]&gt;1,Table1[Leaving Date]&lt;42095),"",1)))</f>
        <v/>
      </c>
      <c r="DQ300" s="92" t="str">
        <f>IF(Table1[Start Date]="","",IF(Table1[Start Date]&gt;42277,"",IF(AND(Table1[Leaving Date]&gt;1,Table1[Leaving Date]&lt;42186),"",1)))</f>
        <v/>
      </c>
      <c r="DR300" s="92" t="str">
        <f>IF(Table1[Start Date]="","",IF(Table1[Start Date]&gt;42369,"",IF(AND(Table1[Leaving Date]&gt;1,Table1[Leaving Date]&lt;42278),"",1)))</f>
        <v/>
      </c>
      <c r="DS300" s="92" t="str">
        <f>IF(Table1[Start Date]="","",IF(Table1[Start Date]&gt;42460,"",IF(AND(Table1[Leaving Date]&gt;1,Table1[Leaving Date]&lt;42370),"",1)))</f>
        <v/>
      </c>
      <c r="DT300" s="92" t="str">
        <f>IF(Table1[Start Date]="","",IF(Table1[Start Date]&gt;42551,"",IF(AND(Table1[Leaving Date]&gt;1,Table1[Leaving Date]&lt;42461),"",1)))</f>
        <v/>
      </c>
      <c r="DU300" s="92" t="str">
        <f>IF(Table1[Start Date]="","",IF(Table1[Start Date]&gt;42643,"",IF(AND(Table1[Leaving Date]&gt;1,Table1[Leaving Date]&lt;42552),"",1)))</f>
        <v/>
      </c>
      <c r="DV300" s="92" t="str">
        <f>IF(Table1[Start Date]="","",IF(Table1[Start Date]&gt;42735,"",IF(AND(Table1[Leaving Date]&gt;1,Table1[Leaving Date]&lt;42644),"",1)))</f>
        <v/>
      </c>
      <c r="DW300" s="92" t="str">
        <f>IF(Table1[Start Date]="","",IF(Table1[Start Date]&gt;42825,"",IF(AND(Table1[Leaving Date]&gt;1,Table1[Leaving Date]&lt;42736),"",1)))</f>
        <v/>
      </c>
      <c r="DX300"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300" s="44" t="e">
        <f>VLOOKUP(Table1[Referral Source],Lists!$G$2:$H$20,2,FALSE)</f>
        <v>#N/A</v>
      </c>
      <c r="DZ300" s="93" t="e">
        <f>SUM(Table1[Data Referral Quarter]+Table1[Data Referral Source])</f>
        <v>#N/A</v>
      </c>
      <c r="EA300" s="44" t="b">
        <f>IF(Table1[Referral Decision]="Accepted",100,IF(Table1[Referral Decision]="Rejected by Provider",200,IF(Table1[Referral Decision]="Rejected by Applicant",300)))</f>
        <v>0</v>
      </c>
      <c r="EB300" s="44">
        <f>SUM(Table1[Data Referral Quarter]+Table1[Data Referral Decision])</f>
        <v>0</v>
      </c>
      <c r="EC300" s="44" t="b">
        <f>IF(Table1[Start Date]&gt;42735,8000,IF(Table1[Start Date]&gt;42643,7000,IF(Table1[Start Date]&gt;42551,6000,IF(Table1[Start Date]&gt;42460,5000,IF(Table1[Start Date]&gt;42369,4000,IF(Table1[Start Date]&gt;42277,3000,IF(Table1[Start Date]&gt;42185,2000,IF(Table1[Start Date]&gt;42094,1000))))))))</f>
        <v>0</v>
      </c>
      <c r="ED300" s="44" t="str">
        <f>IF(Table1[Start Date]="","",IF(Table1[Current Local Authority]="Swindon",1,"2"))</f>
        <v/>
      </c>
      <c r="EE300" s="44" t="e">
        <f>SUM(Table1[Data Start Date]+Table1[Data Local Authority])</f>
        <v>#VALUE!</v>
      </c>
      <c r="EF300" s="44">
        <f>IF(Table1[Registered with GP]="Yes",1,0)</f>
        <v>0</v>
      </c>
      <c r="EG300" s="44">
        <f>SUM(Table1[Data Start Date]+Table1[Data GP Start])</f>
        <v>0</v>
      </c>
      <c r="EH300" s="44" t="str">
        <f>IF(Table1[EET]="NEET",1,IF(Table1[EET]="Education",2,IF(Table1[EET]="Employment",2,IF(Table1[EET]="Training",2,IF(Table1[EET]="Retired",3,"")))))</f>
        <v/>
      </c>
      <c r="EI300" s="44" t="e">
        <f>Table1[Data Start Date]+Table1[Data EET Start]</f>
        <v>#VALUE!</v>
      </c>
      <c r="EJ300" s="44" t="b">
        <f>IF(Table1[Leaving Date]&gt;42735,8000,IF(Table1[Leaving Date]&gt;42643,7000,IF(Table1[Leaving Date]&gt;42551,6000,IF(Table1[Leaving Date]&gt;42460,5000,IF(Table1[Leaving Date]&gt;42369,4000,IF(Table1[Leaving Date]&gt;42277,3000,IF(Table1[Leaving Date]&gt;42185,2000,IF(Table1[Leaving Date]&gt;42094,1000))))))))</f>
        <v>0</v>
      </c>
      <c r="EK300" s="44" t="e">
        <f>VLOOKUP(Table1[Reason for Leaving],Lists!$T$2:$U$15,2,FALSE)</f>
        <v>#N/A</v>
      </c>
      <c r="EL300" s="44" t="e">
        <f>SUM(Table1[Data Leavers Date]+Table1[Data Move On])</f>
        <v>#N/A</v>
      </c>
      <c r="EM300" s="44" t="b">
        <f>IF(Table1[Registered with GP2]="Yes",1,IF(Table1[Registered with GP2]="No",0,IF(Table1[Registered with GP]="Yes",1,IF(Table1[Registered with GP]="No",0))))</f>
        <v>0</v>
      </c>
      <c r="EN300" s="44">
        <f>SUM(Table1[Data Leavers Date]+Table1[Data GP End])</f>
        <v>0</v>
      </c>
      <c r="EO300" s="44" t="str">
        <f>IF(Table1[EET2]="NEET",1,IF(Table1[EET2]="Employment",2,IF(Table1[EET2]="Education",2,IF(Table1[EET2]="Training",2,IF(Table1[EET2]="Retired",3,IF(Table1[EET]="NEET",1,IF(Table1[EET]="Employment",2,IF(Table1[EET]="Education",2,IF(Table1[EET]="Training",2,IF(Table1[EET]="Retired",3,""))))))))))</f>
        <v/>
      </c>
      <c r="EP300" s="44" t="e">
        <f>+Table1[[#This Row],[Data Leavers Date]]+Table1[[#This Row],[Data EET End]]</f>
        <v>#VALUE!</v>
      </c>
      <c r="EQ300" s="44">
        <f>IF(Table1[Exit Form Received]="Yes",1,0)</f>
        <v>0</v>
      </c>
      <c r="ER300" s="44">
        <f>+Table1[[#This Row],[Data Leavers Date]]+Table1[[#This Row],[Data Exit Forms]]</f>
        <v>0</v>
      </c>
      <c r="ES300" s="44" t="str">
        <f>IF(Table1[Data Leavers Date]=1000,SUM(Table1[Leaving Date]-Table1[Start Date]),"")</f>
        <v/>
      </c>
      <c r="ET300" s="44" t="str">
        <f>IF(Table1[Data Leavers Date]=2000,SUM(Table1[Leaving Date]-Table1[Start Date]),"")</f>
        <v/>
      </c>
      <c r="EU300" s="44" t="str">
        <f>IF(Table1[Data Leavers Date]=3000,SUM(Table1[Leaving Date]-Table1[Start Date]),"")</f>
        <v/>
      </c>
      <c r="EV300" s="44" t="str">
        <f>IF(Table1[Data Leavers Date]=4000,SUM(Table1[Leaving Date]-Table1[Start Date]),"")</f>
        <v/>
      </c>
      <c r="EW300" s="44" t="str">
        <f>IF(Table1[Data Leavers Date]=5000,SUM(Table1[Leaving Date]-Table1[Start Date]),"")</f>
        <v/>
      </c>
      <c r="EX300" s="44" t="str">
        <f>IF(Table1[Data Leavers Date]=6000,SUM(Table1[Leaving Date]-Table1[Start Date]),"")</f>
        <v/>
      </c>
      <c r="EY300" s="44" t="str">
        <f>IF(Table1[Data Leavers Date]=7000,SUM(Table1[Leaving Date]-Table1[Start Date]),"")</f>
        <v/>
      </c>
      <c r="EZ300" s="44" t="str">
        <f>IF(Table1[Data Leavers Date]=8000,SUM(Table1[Leaving Date]-Table1[Start Date]),"")</f>
        <v/>
      </c>
      <c r="FA300" s="44" t="str">
        <f>IF(Table1[Date of Initial Assessment]="","",IF(AND(Table1[Start Date]&gt;42094,Table1[Start Date]&lt;42461),Table1[Motivation and Taking Responsibility],""))</f>
        <v/>
      </c>
      <c r="FB300" s="44" t="str">
        <f>IF(Table1[Date of Initial Assessment]="","",IF(AND(Table1[Start Date]&gt;42094,Table1[Start Date]&lt;42461),Table1[Self-Care and Living Skills],""))</f>
        <v/>
      </c>
      <c r="FC300" s="44" t="str">
        <f>IF(Table1[Date of Initial Assessment]="","",IF(AND(Table1[Start Date]&gt;42094,Table1[Start Date]&lt;42461),Table1[Managing Money and Personal Administration],""))</f>
        <v/>
      </c>
      <c r="FD300" s="44" t="str">
        <f>IF(Table1[Date of Initial Assessment]="","",IF(AND(Table1[Start Date]&gt;42094,Table1[Start Date]&lt;42461),Table1[Social Networks and Relationships],""))</f>
        <v/>
      </c>
      <c r="FE300" s="44" t="str">
        <f>IF(Table1[Date of Initial Assessment]="","",IF(AND(Table1[Start Date]&gt;42094,Table1[Start Date]&lt;42461),Table1[Drug and Alcohol Misuse],""))</f>
        <v/>
      </c>
      <c r="FF300" s="44" t="str">
        <f>IF(Table1[Date of Initial Assessment]="","",IF(AND(Table1[Start Date]&gt;42094,Table1[Start Date]&lt;42461),Table1[Physical Health],""))</f>
        <v/>
      </c>
      <c r="FG300" s="44" t="str">
        <f>IF(Table1[Date of Initial Assessment]="","",IF(AND(Table1[Start Date]&gt;42094,Table1[Start Date]&lt;42461),Table1[Emotional and Mental Health],""))</f>
        <v/>
      </c>
      <c r="FH300" s="44" t="str">
        <f>IF(Table1[Date of Initial Assessment]="","",IF(AND(Table1[Start Date]&gt;42094,Table1[Start Date]&lt;42461),Table1[Meaningful Use of Time],""))</f>
        <v/>
      </c>
      <c r="FI300" s="44" t="str">
        <f>IF(Table1[Date of Initial Assessment]="","",IF(AND(Table1[Start Date]&gt;42094,Table1[Start Date]&lt;42461),Table1[Managing Tenancy and Accommodation],""))</f>
        <v/>
      </c>
      <c r="FJ300" s="44" t="str">
        <f>IF(Table1[Date of Initial Assessment]="","",IF(AND(Table1[Start Date]&gt;42094,Table1[Start Date]&lt;42461),Table1[Offending],""))</f>
        <v/>
      </c>
      <c r="FK300" s="44" t="str">
        <f>IF(Table1[Leaving Date]="","",IF(Table1[Date of Initial Assessment]="","",IF(AND(Table1[Leaving Date]&gt;42094,Table1[Leaving Date]&lt;42461),IF(Table1[Date of Last Assessment]="",Table1[Motivation and Taking Responsibility],Table1[Motivation and Taking Responsibility2]),"")))</f>
        <v/>
      </c>
      <c r="FL300" s="44" t="str">
        <f>IF(Table1[Leaving Date]="","",IF(Table1[Date of Initial Assessment]="","",IF(AND(Table1[Leaving Date]&gt;42094,Table1[Leaving Date]&lt;42461),IF(Table1[Date of Last Assessment]="",Table1[Self-Care and Living Skills],Table1[Self-Care and Living Skills2]),"")))</f>
        <v/>
      </c>
      <c r="FM300" s="44" t="str">
        <f>IF(Table1[Leaving Date]="","",IF(Table1[Date of Initial Assessment]="","",IF(AND(Table1[Leaving Date]&gt;42094,Table1[Leaving Date]&lt;42461),IF(Table1[Date of Last Assessment]="",Table1[Managing Money and Personal Administration],Table1[Managing Money and Personal Administration2]),"")))</f>
        <v/>
      </c>
      <c r="FN300" s="44" t="str">
        <f>IF(Table1[Leaving Date]="","",IF(Table1[Date of Initial Assessment]="","",IF(AND(Table1[Leaving Date]&gt;42094,Table1[Leaving Date]&lt;42461),IF(Table1[Date of Last Assessment]="",Table1[Social Networks and Relationships],Table1[Social Networks and Relationships2]),"")))</f>
        <v/>
      </c>
      <c r="FO300" s="44" t="str">
        <f>IF(Table1[Leaving Date]="","",IF(Table1[Date of Initial Assessment]="","",IF(AND(Table1[Leaving Date]&gt;42094,Table1[Leaving Date]&lt;42461),IF(Table1[Date of Last Assessment]="",Table1[Drug and Alcohol Misuse],Table1[Drug and Alcohol Misuse2]),"")))</f>
        <v/>
      </c>
      <c r="FP300" s="44" t="str">
        <f>IF(Table1[Leaving Date]="","",IF(Table1[Date of Initial Assessment]="","",IF(AND(Table1[Leaving Date]&gt;42094,Table1[Leaving Date]&lt;42461),IF(Table1[Date of Last Assessment]="",Table1[Physical Health],Table1[Physical Health2]),"")))</f>
        <v/>
      </c>
      <c r="FQ300" s="44" t="str">
        <f>IF(Table1[Leaving Date]="","",IF(Table1[Date of Initial Assessment]="","",IF(AND(Table1[Leaving Date]&gt;42094,Table1[Leaving Date]&lt;42461),IF(Table1[Date of Last Assessment]="",Table1[Emotional and Mental Health],Table1[Emotional and Mental Health2]),"")))</f>
        <v/>
      </c>
      <c r="FR300" s="44" t="str">
        <f>IF(Table1[Leaving Date]="","",IF(Table1[Date of Initial Assessment]="","",IF(AND(Table1[Leaving Date]&gt;42094,Table1[Leaving Date]&lt;42461),IF(Table1[Date of Last Assessment]="",Table1[Meaningful Use of Time],Table1[Meaningful Use of Time2]),"")))</f>
        <v/>
      </c>
      <c r="FS300" s="44" t="str">
        <f>IF(Table1[Leaving Date]="","",IF(Table1[Date of Initial Assessment]="","",IF(AND(Table1[Leaving Date]&gt;42094,Table1[Leaving Date]&lt;42461),IF(Table1[Date of Last Assessment]="",Table1[Managing Tenancy and Accommodation],Table1[Managing Tenancy and Accommodation2]),"")))</f>
        <v/>
      </c>
      <c r="FT300" s="44" t="str">
        <f>IF(Table1[Leaving Date]="","",IF(Table1[Date of Initial Assessment]="","",IF(AND(Table1[Leaving Date]&gt;42094,Table1[Leaving Date]&lt;42461),IF(Table1[Date of Last Assessment]="",Table1[Offending],Table1[Offending2]),"")))</f>
        <v/>
      </c>
      <c r="FU300" s="44" t="str">
        <f>IF(Table1[Date of Initial Assessment]="","",IF(AND(Table1[Start Date]&gt;42460,Table1[Start Date]&lt;42826),Table1[Motivation and Taking Responsibility],""))</f>
        <v/>
      </c>
      <c r="FV300" s="44" t="str">
        <f>IF(Table1[Date of Initial Assessment]="","",IF(AND(Table1[Start Date]&gt;42460,Table1[Start Date]&lt;42826),Table1[Self-Care and Living Skills],""))</f>
        <v/>
      </c>
      <c r="FW300" s="44" t="str">
        <f>IF(Table1[Date of Initial Assessment]="","",IF(AND(Table1[Start Date]&gt;42460,Table1[Start Date]&lt;42826),Table1[Managing Money and Personal Administration],""))</f>
        <v/>
      </c>
      <c r="FX300" s="44" t="str">
        <f>IF(Table1[Date of Initial Assessment]="","",IF(AND(Table1[Start Date]&gt;42460,Table1[Start Date]&lt;42826),Table1[Social Networks and Relationships],""))</f>
        <v/>
      </c>
      <c r="FY300" s="44" t="str">
        <f>IF(Table1[Date of Initial Assessment]="","",IF(AND(Table1[Start Date]&gt;42460,Table1[Start Date]&lt;42826),Table1[Drug and Alcohol Misuse],""))</f>
        <v/>
      </c>
      <c r="FZ300" s="44" t="str">
        <f>IF(Table1[Date of Initial Assessment]="","",IF(AND(Table1[Start Date]&gt;42460,Table1[Start Date]&lt;42826),Table1[Physical Health],""))</f>
        <v/>
      </c>
      <c r="GA300" s="44" t="str">
        <f>IF(Table1[Date of Initial Assessment]="","",IF(AND(Table1[Start Date]&gt;42460,Table1[Start Date]&lt;42826),Table1[Emotional and Mental Health],""))</f>
        <v/>
      </c>
      <c r="GB300" s="44" t="str">
        <f>IF(Table1[Date of Initial Assessment]="","",IF(AND(Table1[Start Date]&gt;42460,Table1[Start Date]&lt;42826),Table1[Meaningful Use of Time],""))</f>
        <v/>
      </c>
      <c r="GC300" s="44" t="str">
        <f>IF(Table1[Date of Initial Assessment]="","",IF(AND(Table1[Start Date]&gt;42460,Table1[Start Date]&lt;42826),Table1[Managing Tenancy and Accommodation],""))</f>
        <v/>
      </c>
      <c r="GD300" s="44" t="str">
        <f>IF(Table1[Date of Initial Assessment]="","",IF(AND(Table1[Start Date]&gt;42460,Table1[Start Date]&lt;42826),Table1[Offending],""))</f>
        <v/>
      </c>
      <c r="GE300" s="44" t="str">
        <f>IF(Table1[Leaving Date]="","",IF(AND(Table1[Leaving Date]&gt;42460,Table1[Leaving Date]&lt;42826),IF(Table1[Date of Last Assessment]="",Table1[Motivation and Taking Responsibility],Table1[Motivation and Taking Responsibility2]),""))</f>
        <v/>
      </c>
      <c r="GF300" s="44" t="str">
        <f>IF(Table1[Leaving Date]="","",IF(AND(Table1[Leaving Date]&gt;42460,Table1[Leaving Date]&lt;42826),IF(Table1[Date of Last Assessment]="",Table1[Self-Care and Living Skills],Table1[Self-Care and Living Skills2]),""))</f>
        <v/>
      </c>
      <c r="GG300" s="44" t="str">
        <f>IF(Table1[Leaving Date]="","",IF(AND(Table1[Leaving Date]&gt;42460,Table1[Leaving Date]&lt;42826),IF(Table1[Date of Last Assessment]="",Table1[Managing Money and Personal Administration],Table1[Managing Money and Personal Administration2]),""))</f>
        <v/>
      </c>
      <c r="GH300" s="44" t="str">
        <f>IF(Table1[Leaving Date]="","",IF(AND(Table1[Leaving Date]&gt;42460,Table1[Leaving Date]&lt;42826),IF(Table1[Date of Last Assessment]="",Table1[Social Networks and Relationships],Table1[Social Networks and Relationships2]),""))</f>
        <v/>
      </c>
      <c r="GI300" s="44" t="str">
        <f>IF(Table1[Leaving Date]="","",IF(AND(Table1[Leaving Date]&gt;42460,Table1[Leaving Date]&lt;42826),IF(Table1[Date of Last Assessment]="",Table1[Drug and Alcohol Misuse],Table1[Drug and Alcohol Misuse2]),""))</f>
        <v/>
      </c>
      <c r="GJ300" s="44" t="str">
        <f>IF(Table1[Leaving Date]="","",IF(AND(Table1[Leaving Date]&gt;42460,Table1[Leaving Date]&lt;42826),IF(Table1[Date of Last Assessment]="",Table1[Physical Health],Table1[Physical Health2]),""))</f>
        <v/>
      </c>
      <c r="GK300" s="44" t="str">
        <f>IF(Table1[Leaving Date]="","",IF(AND(Table1[Leaving Date]&gt;42460,Table1[Leaving Date]&lt;42826),IF(Table1[Date of Last Assessment]="",Table1[Emotional and Mental Health],Table1[Emotional and Mental Health2]),""))</f>
        <v/>
      </c>
      <c r="GL300" s="44" t="str">
        <f>IF(Table1[Leaving Date]="","",IF(AND(Table1[Leaving Date]&gt;42460,Table1[Leaving Date]&lt;42826),IF(Table1[Date of Last Assessment]="",Table1[Meaningful Use of Time],Table1[Meaningful Use of Time2]),""))</f>
        <v/>
      </c>
      <c r="GM300" s="44" t="str">
        <f>IF(Table1[Leaving Date]="","",IF(AND(Table1[Leaving Date]&gt;42460,Table1[Leaving Date]&lt;42826),IF(Table1[Date of Last Assessment]="",Table1[Managing Tenancy and Accommodation],Table1[Managing Tenancy and Accommodation2]),""))</f>
        <v/>
      </c>
      <c r="GN300" s="44" t="str">
        <f>IF(Table1[Leaving Date]="","",IF(AND(Table1[Leaving Date]&gt;42460,Table1[Leaving Date]&lt;42826),IF(Table1[Date of Last Assessment]="",Table1[Offending],Table1[Offending2]),""))</f>
        <v/>
      </c>
    </row>
    <row r="301" spans="2:196" ht="20.100000000000001" customHeight="1" x14ac:dyDescent="0.2">
      <c r="B301" s="86">
        <f>+'Service Data'!$C$5:$C$5</f>
        <v>0</v>
      </c>
      <c r="C301" s="86"/>
      <c r="D301" s="86"/>
      <c r="E301" s="86"/>
      <c r="F301" s="86"/>
      <c r="G301" s="86"/>
      <c r="H301" s="6"/>
      <c r="I301" s="99" t="str">
        <f ca="1">IF(Table1[[#This Row],[Date of Birth]]="","",SUM(TODAY()-Table1[[#This Row],[Date of Birth]])/365)</f>
        <v/>
      </c>
      <c r="L301" s="86"/>
      <c r="M301" s="77"/>
      <c r="N301" s="86"/>
      <c r="O301" s="86"/>
      <c r="P301" s="91"/>
      <c r="Q301" s="86"/>
      <c r="R301" s="77"/>
      <c r="S301" s="77"/>
      <c r="T301" s="68"/>
      <c r="U301" s="68"/>
      <c r="V301" s="67"/>
      <c r="W301" s="67"/>
      <c r="X301" s="67"/>
      <c r="Y301" s="67"/>
      <c r="Z301" s="67"/>
      <c r="AA301" s="67"/>
      <c r="AB301" s="67"/>
      <c r="AC301" s="67"/>
      <c r="AD301" s="67"/>
      <c r="AE301" s="67"/>
      <c r="AF301" s="67"/>
      <c r="AG301" s="67"/>
      <c r="AH301" s="67"/>
      <c r="AI301" s="67"/>
      <c r="AJ301" s="67"/>
      <c r="AK301" s="67"/>
      <c r="AL301" s="67"/>
      <c r="AM301" s="67"/>
      <c r="AN301" s="77"/>
      <c r="AO301" s="76"/>
      <c r="AP301" s="77"/>
      <c r="AQ301" s="76"/>
      <c r="AR301" s="76"/>
      <c r="AS301" s="76"/>
      <c r="AT301" s="76"/>
      <c r="AU301" s="76"/>
      <c r="AV301" s="77"/>
      <c r="AW301" s="76"/>
      <c r="AX301" s="77"/>
      <c r="AY301" s="76"/>
      <c r="AZ301" s="76"/>
      <c r="BA301" s="76"/>
      <c r="BB301" s="76"/>
      <c r="BC301" s="76"/>
      <c r="BD301" s="77"/>
      <c r="BE301" s="76"/>
      <c r="BF301" s="77"/>
      <c r="BG301" s="76"/>
      <c r="BH301" s="76"/>
      <c r="BI301" s="76"/>
      <c r="BJ301" s="76"/>
      <c r="BK301" s="76"/>
      <c r="BL301" s="77"/>
      <c r="BM301" s="76"/>
      <c r="BN301" s="77"/>
      <c r="BO301" s="76"/>
      <c r="BP301" s="76"/>
      <c r="BQ301" s="76"/>
      <c r="BR301" s="76"/>
      <c r="BS301" s="76"/>
      <c r="BT301" s="77"/>
      <c r="BU301" s="76"/>
      <c r="BV301" s="77"/>
      <c r="BW301" s="76"/>
      <c r="BX301" s="76"/>
      <c r="BY301" s="76"/>
      <c r="BZ301" s="76"/>
      <c r="CA301" s="76"/>
      <c r="CB301" s="77"/>
      <c r="CC301" s="76"/>
      <c r="CD301" s="77"/>
      <c r="CE301" s="76"/>
      <c r="CF301" s="76"/>
      <c r="CG301" s="76"/>
      <c r="CH301" s="76"/>
      <c r="CI301" s="76"/>
      <c r="CJ301" s="77"/>
      <c r="CK301" s="76"/>
      <c r="CL301" s="77"/>
      <c r="CM301" s="76"/>
      <c r="CN301" s="76"/>
      <c r="CO301" s="76"/>
      <c r="CP301" s="76"/>
      <c r="CQ301" s="76"/>
      <c r="CR301" s="78" t="str">
        <f t="shared" si="79"/>
        <v/>
      </c>
      <c r="CS301" s="79" t="str">
        <f t="shared" si="80"/>
        <v/>
      </c>
      <c r="CT301" s="79" t="str">
        <f t="shared" si="81"/>
        <v/>
      </c>
      <c r="CU301" s="79" t="str">
        <f t="shared" si="82"/>
        <v/>
      </c>
      <c r="CV301" s="79" t="str">
        <f t="shared" si="83"/>
        <v/>
      </c>
      <c r="CW301" s="79" t="str">
        <f t="shared" si="84"/>
        <v/>
      </c>
      <c r="CX301" s="79" t="str">
        <f t="shared" si="85"/>
        <v/>
      </c>
      <c r="CY301" s="79" t="str">
        <f t="shared" si="86"/>
        <v/>
      </c>
      <c r="CZ301" s="79" t="str">
        <f t="shared" si="87"/>
        <v/>
      </c>
      <c r="DA301" s="79" t="str">
        <f t="shared" si="88"/>
        <v/>
      </c>
      <c r="DB301" s="79" t="str">
        <f t="shared" si="89"/>
        <v/>
      </c>
      <c r="DC301" s="79" t="str">
        <f t="shared" si="90"/>
        <v/>
      </c>
      <c r="DD301" s="79" t="str">
        <f t="shared" si="91"/>
        <v/>
      </c>
      <c r="DE301" s="79" t="str">
        <f t="shared" si="92"/>
        <v/>
      </c>
      <c r="DF301" s="79" t="str">
        <f t="shared" si="93"/>
        <v/>
      </c>
      <c r="DG301" s="79" t="str">
        <f t="shared" si="94"/>
        <v/>
      </c>
      <c r="DH301" s="76"/>
      <c r="DI301" s="78"/>
      <c r="DJ301" s="76"/>
      <c r="DK301" s="77"/>
      <c r="DL301" s="77"/>
      <c r="DM301" s="77"/>
      <c r="DN301" s="80"/>
      <c r="DO301" s="80"/>
      <c r="DP301" s="92" t="str">
        <f>IF(Table1[Start Date]="","",IF(Table1[Start Date]&gt;42185,"",IF(AND(Table1[Leaving Date]&gt;1,Table1[Leaving Date]&lt;42095),"",1)))</f>
        <v/>
      </c>
      <c r="DQ301" s="92" t="str">
        <f>IF(Table1[Start Date]="","",IF(Table1[Start Date]&gt;42277,"",IF(AND(Table1[Leaving Date]&gt;1,Table1[Leaving Date]&lt;42186),"",1)))</f>
        <v/>
      </c>
      <c r="DR301" s="92" t="str">
        <f>IF(Table1[Start Date]="","",IF(Table1[Start Date]&gt;42369,"",IF(AND(Table1[Leaving Date]&gt;1,Table1[Leaving Date]&lt;42278),"",1)))</f>
        <v/>
      </c>
      <c r="DS301" s="92" t="str">
        <f>IF(Table1[Start Date]="","",IF(Table1[Start Date]&gt;42460,"",IF(AND(Table1[Leaving Date]&gt;1,Table1[Leaving Date]&lt;42370),"",1)))</f>
        <v/>
      </c>
      <c r="DT301" s="92" t="str">
        <f>IF(Table1[Start Date]="","",IF(Table1[Start Date]&gt;42551,"",IF(AND(Table1[Leaving Date]&gt;1,Table1[Leaving Date]&lt;42461),"",1)))</f>
        <v/>
      </c>
      <c r="DU301" s="92" t="str">
        <f>IF(Table1[Start Date]="","",IF(Table1[Start Date]&gt;42643,"",IF(AND(Table1[Leaving Date]&gt;1,Table1[Leaving Date]&lt;42552),"",1)))</f>
        <v/>
      </c>
      <c r="DV301" s="92" t="str">
        <f>IF(Table1[Start Date]="","",IF(Table1[Start Date]&gt;42735,"",IF(AND(Table1[Leaving Date]&gt;1,Table1[Leaving Date]&lt;42644),"",1)))</f>
        <v/>
      </c>
      <c r="DW301" s="92" t="str">
        <f>IF(Table1[Start Date]="","",IF(Table1[Start Date]&gt;42825,"",IF(AND(Table1[Leaving Date]&gt;1,Table1[Leaving Date]&lt;42736),"",1)))</f>
        <v/>
      </c>
      <c r="DX301"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301" s="44" t="e">
        <f>VLOOKUP(Table1[Referral Source],Lists!$G$2:$H$20,2,FALSE)</f>
        <v>#N/A</v>
      </c>
      <c r="DZ301" s="93" t="e">
        <f>SUM(Table1[Data Referral Quarter]+Table1[Data Referral Source])</f>
        <v>#N/A</v>
      </c>
      <c r="EA301" s="44" t="b">
        <f>IF(Table1[Referral Decision]="Accepted",100,IF(Table1[Referral Decision]="Rejected by Provider",200,IF(Table1[Referral Decision]="Rejected by Applicant",300)))</f>
        <v>0</v>
      </c>
      <c r="EB301" s="44">
        <f>SUM(Table1[Data Referral Quarter]+Table1[Data Referral Decision])</f>
        <v>0</v>
      </c>
      <c r="EC301" s="44" t="b">
        <f>IF(Table1[Start Date]&gt;42735,8000,IF(Table1[Start Date]&gt;42643,7000,IF(Table1[Start Date]&gt;42551,6000,IF(Table1[Start Date]&gt;42460,5000,IF(Table1[Start Date]&gt;42369,4000,IF(Table1[Start Date]&gt;42277,3000,IF(Table1[Start Date]&gt;42185,2000,IF(Table1[Start Date]&gt;42094,1000))))))))</f>
        <v>0</v>
      </c>
      <c r="ED301" s="44" t="str">
        <f>IF(Table1[Start Date]="","",IF(Table1[Current Local Authority]="Swindon",1,"2"))</f>
        <v/>
      </c>
      <c r="EE301" s="44" t="e">
        <f>SUM(Table1[Data Start Date]+Table1[Data Local Authority])</f>
        <v>#VALUE!</v>
      </c>
      <c r="EF301" s="44">
        <f>IF(Table1[Registered with GP]="Yes",1,0)</f>
        <v>0</v>
      </c>
      <c r="EG301" s="44">
        <f>SUM(Table1[Data Start Date]+Table1[Data GP Start])</f>
        <v>0</v>
      </c>
      <c r="EH301" s="44" t="str">
        <f>IF(Table1[EET]="NEET",1,IF(Table1[EET]="Education",2,IF(Table1[EET]="Employment",2,IF(Table1[EET]="Training",2,IF(Table1[EET]="Retired",3,"")))))</f>
        <v/>
      </c>
      <c r="EI301" s="44" t="e">
        <f>Table1[Data Start Date]+Table1[Data EET Start]</f>
        <v>#VALUE!</v>
      </c>
      <c r="EJ301" s="44" t="b">
        <f>IF(Table1[Leaving Date]&gt;42735,8000,IF(Table1[Leaving Date]&gt;42643,7000,IF(Table1[Leaving Date]&gt;42551,6000,IF(Table1[Leaving Date]&gt;42460,5000,IF(Table1[Leaving Date]&gt;42369,4000,IF(Table1[Leaving Date]&gt;42277,3000,IF(Table1[Leaving Date]&gt;42185,2000,IF(Table1[Leaving Date]&gt;42094,1000))))))))</f>
        <v>0</v>
      </c>
      <c r="EK301" s="44" t="e">
        <f>VLOOKUP(Table1[Reason for Leaving],Lists!$T$2:$U$15,2,FALSE)</f>
        <v>#N/A</v>
      </c>
      <c r="EL301" s="44" t="e">
        <f>SUM(Table1[Data Leavers Date]+Table1[Data Move On])</f>
        <v>#N/A</v>
      </c>
      <c r="EM301" s="44" t="b">
        <f>IF(Table1[Registered with GP2]="Yes",1,IF(Table1[Registered with GP2]="No",0,IF(Table1[Registered with GP]="Yes",1,IF(Table1[Registered with GP]="No",0))))</f>
        <v>0</v>
      </c>
      <c r="EN301" s="44">
        <f>SUM(Table1[Data Leavers Date]+Table1[Data GP End])</f>
        <v>0</v>
      </c>
      <c r="EO301" s="44" t="str">
        <f>IF(Table1[EET2]="NEET",1,IF(Table1[EET2]="Employment",2,IF(Table1[EET2]="Education",2,IF(Table1[EET2]="Training",2,IF(Table1[EET2]="Retired",3,IF(Table1[EET]="NEET",1,IF(Table1[EET]="Employment",2,IF(Table1[EET]="Education",2,IF(Table1[EET]="Training",2,IF(Table1[EET]="Retired",3,""))))))))))</f>
        <v/>
      </c>
      <c r="EP301" s="44" t="e">
        <f>+Table1[[#This Row],[Data Leavers Date]]+Table1[[#This Row],[Data EET End]]</f>
        <v>#VALUE!</v>
      </c>
      <c r="EQ301" s="44">
        <f>IF(Table1[Exit Form Received]="Yes",1,0)</f>
        <v>0</v>
      </c>
      <c r="ER301" s="44">
        <f>+Table1[[#This Row],[Data Leavers Date]]+Table1[[#This Row],[Data Exit Forms]]</f>
        <v>0</v>
      </c>
      <c r="ES301" s="44" t="str">
        <f>IF(Table1[Data Leavers Date]=1000,SUM(Table1[Leaving Date]-Table1[Start Date]),"")</f>
        <v/>
      </c>
      <c r="ET301" s="44" t="str">
        <f>IF(Table1[Data Leavers Date]=2000,SUM(Table1[Leaving Date]-Table1[Start Date]),"")</f>
        <v/>
      </c>
      <c r="EU301" s="44" t="str">
        <f>IF(Table1[Data Leavers Date]=3000,SUM(Table1[Leaving Date]-Table1[Start Date]),"")</f>
        <v/>
      </c>
      <c r="EV301" s="44" t="str">
        <f>IF(Table1[Data Leavers Date]=4000,SUM(Table1[Leaving Date]-Table1[Start Date]),"")</f>
        <v/>
      </c>
      <c r="EW301" s="44" t="str">
        <f>IF(Table1[Data Leavers Date]=5000,SUM(Table1[Leaving Date]-Table1[Start Date]),"")</f>
        <v/>
      </c>
      <c r="EX301" s="44" t="str">
        <f>IF(Table1[Data Leavers Date]=6000,SUM(Table1[Leaving Date]-Table1[Start Date]),"")</f>
        <v/>
      </c>
      <c r="EY301" s="44" t="str">
        <f>IF(Table1[Data Leavers Date]=7000,SUM(Table1[Leaving Date]-Table1[Start Date]),"")</f>
        <v/>
      </c>
      <c r="EZ301" s="44" t="str">
        <f>IF(Table1[Data Leavers Date]=8000,SUM(Table1[Leaving Date]-Table1[Start Date]),"")</f>
        <v/>
      </c>
      <c r="FA301" s="44" t="str">
        <f>IF(Table1[Date of Initial Assessment]="","",IF(AND(Table1[Start Date]&gt;42094,Table1[Start Date]&lt;42461),Table1[Motivation and Taking Responsibility],""))</f>
        <v/>
      </c>
      <c r="FB301" s="44" t="str">
        <f>IF(Table1[Date of Initial Assessment]="","",IF(AND(Table1[Start Date]&gt;42094,Table1[Start Date]&lt;42461),Table1[Self-Care and Living Skills],""))</f>
        <v/>
      </c>
      <c r="FC301" s="44" t="str">
        <f>IF(Table1[Date of Initial Assessment]="","",IF(AND(Table1[Start Date]&gt;42094,Table1[Start Date]&lt;42461),Table1[Managing Money and Personal Administration],""))</f>
        <v/>
      </c>
      <c r="FD301" s="44" t="str">
        <f>IF(Table1[Date of Initial Assessment]="","",IF(AND(Table1[Start Date]&gt;42094,Table1[Start Date]&lt;42461),Table1[Social Networks and Relationships],""))</f>
        <v/>
      </c>
      <c r="FE301" s="44" t="str">
        <f>IF(Table1[Date of Initial Assessment]="","",IF(AND(Table1[Start Date]&gt;42094,Table1[Start Date]&lt;42461),Table1[Drug and Alcohol Misuse],""))</f>
        <v/>
      </c>
      <c r="FF301" s="44" t="str">
        <f>IF(Table1[Date of Initial Assessment]="","",IF(AND(Table1[Start Date]&gt;42094,Table1[Start Date]&lt;42461),Table1[Physical Health],""))</f>
        <v/>
      </c>
      <c r="FG301" s="44" t="str">
        <f>IF(Table1[Date of Initial Assessment]="","",IF(AND(Table1[Start Date]&gt;42094,Table1[Start Date]&lt;42461),Table1[Emotional and Mental Health],""))</f>
        <v/>
      </c>
      <c r="FH301" s="44" t="str">
        <f>IF(Table1[Date of Initial Assessment]="","",IF(AND(Table1[Start Date]&gt;42094,Table1[Start Date]&lt;42461),Table1[Meaningful Use of Time],""))</f>
        <v/>
      </c>
      <c r="FI301" s="44" t="str">
        <f>IF(Table1[Date of Initial Assessment]="","",IF(AND(Table1[Start Date]&gt;42094,Table1[Start Date]&lt;42461),Table1[Managing Tenancy and Accommodation],""))</f>
        <v/>
      </c>
      <c r="FJ301" s="44" t="str">
        <f>IF(Table1[Date of Initial Assessment]="","",IF(AND(Table1[Start Date]&gt;42094,Table1[Start Date]&lt;42461),Table1[Offending],""))</f>
        <v/>
      </c>
      <c r="FK301" s="44" t="str">
        <f>IF(Table1[Leaving Date]="","",IF(Table1[Date of Initial Assessment]="","",IF(AND(Table1[Leaving Date]&gt;42094,Table1[Leaving Date]&lt;42461),IF(Table1[Date of Last Assessment]="",Table1[Motivation and Taking Responsibility],Table1[Motivation and Taking Responsibility2]),"")))</f>
        <v/>
      </c>
      <c r="FL301" s="44" t="str">
        <f>IF(Table1[Leaving Date]="","",IF(Table1[Date of Initial Assessment]="","",IF(AND(Table1[Leaving Date]&gt;42094,Table1[Leaving Date]&lt;42461),IF(Table1[Date of Last Assessment]="",Table1[Self-Care and Living Skills],Table1[Self-Care and Living Skills2]),"")))</f>
        <v/>
      </c>
      <c r="FM301" s="44" t="str">
        <f>IF(Table1[Leaving Date]="","",IF(Table1[Date of Initial Assessment]="","",IF(AND(Table1[Leaving Date]&gt;42094,Table1[Leaving Date]&lt;42461),IF(Table1[Date of Last Assessment]="",Table1[Managing Money and Personal Administration],Table1[Managing Money and Personal Administration2]),"")))</f>
        <v/>
      </c>
      <c r="FN301" s="44" t="str">
        <f>IF(Table1[Leaving Date]="","",IF(Table1[Date of Initial Assessment]="","",IF(AND(Table1[Leaving Date]&gt;42094,Table1[Leaving Date]&lt;42461),IF(Table1[Date of Last Assessment]="",Table1[Social Networks and Relationships],Table1[Social Networks and Relationships2]),"")))</f>
        <v/>
      </c>
      <c r="FO301" s="44" t="str">
        <f>IF(Table1[Leaving Date]="","",IF(Table1[Date of Initial Assessment]="","",IF(AND(Table1[Leaving Date]&gt;42094,Table1[Leaving Date]&lt;42461),IF(Table1[Date of Last Assessment]="",Table1[Drug and Alcohol Misuse],Table1[Drug and Alcohol Misuse2]),"")))</f>
        <v/>
      </c>
      <c r="FP301" s="44" t="str">
        <f>IF(Table1[Leaving Date]="","",IF(Table1[Date of Initial Assessment]="","",IF(AND(Table1[Leaving Date]&gt;42094,Table1[Leaving Date]&lt;42461),IF(Table1[Date of Last Assessment]="",Table1[Physical Health],Table1[Physical Health2]),"")))</f>
        <v/>
      </c>
      <c r="FQ301" s="44" t="str">
        <f>IF(Table1[Leaving Date]="","",IF(Table1[Date of Initial Assessment]="","",IF(AND(Table1[Leaving Date]&gt;42094,Table1[Leaving Date]&lt;42461),IF(Table1[Date of Last Assessment]="",Table1[Emotional and Mental Health],Table1[Emotional and Mental Health2]),"")))</f>
        <v/>
      </c>
      <c r="FR301" s="44" t="str">
        <f>IF(Table1[Leaving Date]="","",IF(Table1[Date of Initial Assessment]="","",IF(AND(Table1[Leaving Date]&gt;42094,Table1[Leaving Date]&lt;42461),IF(Table1[Date of Last Assessment]="",Table1[Meaningful Use of Time],Table1[Meaningful Use of Time2]),"")))</f>
        <v/>
      </c>
      <c r="FS301" s="44" t="str">
        <f>IF(Table1[Leaving Date]="","",IF(Table1[Date of Initial Assessment]="","",IF(AND(Table1[Leaving Date]&gt;42094,Table1[Leaving Date]&lt;42461),IF(Table1[Date of Last Assessment]="",Table1[Managing Tenancy and Accommodation],Table1[Managing Tenancy and Accommodation2]),"")))</f>
        <v/>
      </c>
      <c r="FT301" s="44" t="str">
        <f>IF(Table1[Leaving Date]="","",IF(Table1[Date of Initial Assessment]="","",IF(AND(Table1[Leaving Date]&gt;42094,Table1[Leaving Date]&lt;42461),IF(Table1[Date of Last Assessment]="",Table1[Offending],Table1[Offending2]),"")))</f>
        <v/>
      </c>
      <c r="FU301" s="44" t="str">
        <f>IF(Table1[Date of Initial Assessment]="","",IF(AND(Table1[Start Date]&gt;42460,Table1[Start Date]&lt;42826),Table1[Motivation and Taking Responsibility],""))</f>
        <v/>
      </c>
      <c r="FV301" s="44" t="str">
        <f>IF(Table1[Date of Initial Assessment]="","",IF(AND(Table1[Start Date]&gt;42460,Table1[Start Date]&lt;42826),Table1[Self-Care and Living Skills],""))</f>
        <v/>
      </c>
      <c r="FW301" s="44" t="str">
        <f>IF(Table1[Date of Initial Assessment]="","",IF(AND(Table1[Start Date]&gt;42460,Table1[Start Date]&lt;42826),Table1[Managing Money and Personal Administration],""))</f>
        <v/>
      </c>
      <c r="FX301" s="44" t="str">
        <f>IF(Table1[Date of Initial Assessment]="","",IF(AND(Table1[Start Date]&gt;42460,Table1[Start Date]&lt;42826),Table1[Social Networks and Relationships],""))</f>
        <v/>
      </c>
      <c r="FY301" s="44" t="str">
        <f>IF(Table1[Date of Initial Assessment]="","",IF(AND(Table1[Start Date]&gt;42460,Table1[Start Date]&lt;42826),Table1[Drug and Alcohol Misuse],""))</f>
        <v/>
      </c>
      <c r="FZ301" s="44" t="str">
        <f>IF(Table1[Date of Initial Assessment]="","",IF(AND(Table1[Start Date]&gt;42460,Table1[Start Date]&lt;42826),Table1[Physical Health],""))</f>
        <v/>
      </c>
      <c r="GA301" s="44" t="str">
        <f>IF(Table1[Date of Initial Assessment]="","",IF(AND(Table1[Start Date]&gt;42460,Table1[Start Date]&lt;42826),Table1[Emotional and Mental Health],""))</f>
        <v/>
      </c>
      <c r="GB301" s="44" t="str">
        <f>IF(Table1[Date of Initial Assessment]="","",IF(AND(Table1[Start Date]&gt;42460,Table1[Start Date]&lt;42826),Table1[Meaningful Use of Time],""))</f>
        <v/>
      </c>
      <c r="GC301" s="44" t="str">
        <f>IF(Table1[Date of Initial Assessment]="","",IF(AND(Table1[Start Date]&gt;42460,Table1[Start Date]&lt;42826),Table1[Managing Tenancy and Accommodation],""))</f>
        <v/>
      </c>
      <c r="GD301" s="44" t="str">
        <f>IF(Table1[Date of Initial Assessment]="","",IF(AND(Table1[Start Date]&gt;42460,Table1[Start Date]&lt;42826),Table1[Offending],""))</f>
        <v/>
      </c>
      <c r="GE301" s="44" t="str">
        <f>IF(Table1[Leaving Date]="","",IF(AND(Table1[Leaving Date]&gt;42460,Table1[Leaving Date]&lt;42826),IF(Table1[Date of Last Assessment]="",Table1[Motivation and Taking Responsibility],Table1[Motivation and Taking Responsibility2]),""))</f>
        <v/>
      </c>
      <c r="GF301" s="44" t="str">
        <f>IF(Table1[Leaving Date]="","",IF(AND(Table1[Leaving Date]&gt;42460,Table1[Leaving Date]&lt;42826),IF(Table1[Date of Last Assessment]="",Table1[Self-Care and Living Skills],Table1[Self-Care and Living Skills2]),""))</f>
        <v/>
      </c>
      <c r="GG301" s="44" t="str">
        <f>IF(Table1[Leaving Date]="","",IF(AND(Table1[Leaving Date]&gt;42460,Table1[Leaving Date]&lt;42826),IF(Table1[Date of Last Assessment]="",Table1[Managing Money and Personal Administration],Table1[Managing Money and Personal Administration2]),""))</f>
        <v/>
      </c>
      <c r="GH301" s="44" t="str">
        <f>IF(Table1[Leaving Date]="","",IF(AND(Table1[Leaving Date]&gt;42460,Table1[Leaving Date]&lt;42826),IF(Table1[Date of Last Assessment]="",Table1[Social Networks and Relationships],Table1[Social Networks and Relationships2]),""))</f>
        <v/>
      </c>
      <c r="GI301" s="44" t="str">
        <f>IF(Table1[Leaving Date]="","",IF(AND(Table1[Leaving Date]&gt;42460,Table1[Leaving Date]&lt;42826),IF(Table1[Date of Last Assessment]="",Table1[Drug and Alcohol Misuse],Table1[Drug and Alcohol Misuse2]),""))</f>
        <v/>
      </c>
      <c r="GJ301" s="44" t="str">
        <f>IF(Table1[Leaving Date]="","",IF(AND(Table1[Leaving Date]&gt;42460,Table1[Leaving Date]&lt;42826),IF(Table1[Date of Last Assessment]="",Table1[Physical Health],Table1[Physical Health2]),""))</f>
        <v/>
      </c>
      <c r="GK301" s="44" t="str">
        <f>IF(Table1[Leaving Date]="","",IF(AND(Table1[Leaving Date]&gt;42460,Table1[Leaving Date]&lt;42826),IF(Table1[Date of Last Assessment]="",Table1[Emotional and Mental Health],Table1[Emotional and Mental Health2]),""))</f>
        <v/>
      </c>
      <c r="GL301" s="44" t="str">
        <f>IF(Table1[Leaving Date]="","",IF(AND(Table1[Leaving Date]&gt;42460,Table1[Leaving Date]&lt;42826),IF(Table1[Date of Last Assessment]="",Table1[Meaningful Use of Time],Table1[Meaningful Use of Time2]),""))</f>
        <v/>
      </c>
      <c r="GM301" s="44" t="str">
        <f>IF(Table1[Leaving Date]="","",IF(AND(Table1[Leaving Date]&gt;42460,Table1[Leaving Date]&lt;42826),IF(Table1[Date of Last Assessment]="",Table1[Managing Tenancy and Accommodation],Table1[Managing Tenancy and Accommodation2]),""))</f>
        <v/>
      </c>
      <c r="GN301" s="44" t="str">
        <f>IF(Table1[Leaving Date]="","",IF(AND(Table1[Leaving Date]&gt;42460,Table1[Leaving Date]&lt;42826),IF(Table1[Date of Last Assessment]="",Table1[Offending],Table1[Offending2]),""))</f>
        <v/>
      </c>
    </row>
    <row r="302" spans="2:196" ht="20.100000000000001" customHeight="1" x14ac:dyDescent="0.2">
      <c r="B302" s="86">
        <f>+'Service Data'!$C$5:$C$5</f>
        <v>0</v>
      </c>
      <c r="C302" s="86"/>
      <c r="D302" s="86"/>
      <c r="E302" s="86"/>
      <c r="F302" s="86"/>
      <c r="G302" s="86"/>
      <c r="H302" s="6"/>
      <c r="I302" s="99" t="str">
        <f ca="1">IF(Table1[[#This Row],[Date of Birth]]="","",SUM(TODAY()-Table1[[#This Row],[Date of Birth]])/365)</f>
        <v/>
      </c>
      <c r="L302" s="86"/>
      <c r="M302" s="77"/>
      <c r="N302" s="86"/>
      <c r="O302" s="86"/>
      <c r="P302" s="91"/>
      <c r="Q302" s="86"/>
      <c r="R302" s="77"/>
      <c r="S302" s="77"/>
      <c r="T302" s="68"/>
      <c r="U302" s="68"/>
      <c r="V302" s="67"/>
      <c r="W302" s="67"/>
      <c r="X302" s="67"/>
      <c r="Y302" s="67"/>
      <c r="Z302" s="67"/>
      <c r="AA302" s="67"/>
      <c r="AB302" s="67"/>
      <c r="AC302" s="67"/>
      <c r="AD302" s="67"/>
      <c r="AE302" s="67"/>
      <c r="AF302" s="67"/>
      <c r="AG302" s="67"/>
      <c r="AH302" s="67"/>
      <c r="AI302" s="67"/>
      <c r="AJ302" s="67"/>
      <c r="AK302" s="67"/>
      <c r="AL302" s="67"/>
      <c r="AM302" s="67"/>
      <c r="AN302" s="77"/>
      <c r="AO302" s="76"/>
      <c r="AP302" s="77"/>
      <c r="AQ302" s="76"/>
      <c r="AR302" s="76"/>
      <c r="AS302" s="76"/>
      <c r="AT302" s="76"/>
      <c r="AU302" s="76"/>
      <c r="AV302" s="77"/>
      <c r="AW302" s="76"/>
      <c r="AX302" s="77"/>
      <c r="AY302" s="76"/>
      <c r="AZ302" s="76"/>
      <c r="BA302" s="76"/>
      <c r="BB302" s="76"/>
      <c r="BC302" s="76"/>
      <c r="BD302" s="77"/>
      <c r="BE302" s="76"/>
      <c r="BF302" s="77"/>
      <c r="BG302" s="76"/>
      <c r="BH302" s="76"/>
      <c r="BI302" s="76"/>
      <c r="BJ302" s="76"/>
      <c r="BK302" s="76"/>
      <c r="BL302" s="77"/>
      <c r="BM302" s="76"/>
      <c r="BN302" s="77"/>
      <c r="BO302" s="76"/>
      <c r="BP302" s="76"/>
      <c r="BQ302" s="76"/>
      <c r="BR302" s="76"/>
      <c r="BS302" s="76"/>
      <c r="BT302" s="77"/>
      <c r="BU302" s="76"/>
      <c r="BV302" s="77"/>
      <c r="BW302" s="76"/>
      <c r="BX302" s="76"/>
      <c r="BY302" s="76"/>
      <c r="BZ302" s="76"/>
      <c r="CA302" s="76"/>
      <c r="CB302" s="77"/>
      <c r="CC302" s="76"/>
      <c r="CD302" s="77"/>
      <c r="CE302" s="76"/>
      <c r="CF302" s="76"/>
      <c r="CG302" s="76"/>
      <c r="CH302" s="76"/>
      <c r="CI302" s="76"/>
      <c r="CJ302" s="77"/>
      <c r="CK302" s="76"/>
      <c r="CL302" s="77"/>
      <c r="CM302" s="76"/>
      <c r="CN302" s="76"/>
      <c r="CO302" s="76"/>
      <c r="CP302" s="76"/>
      <c r="CQ302" s="76"/>
      <c r="CR302" s="78" t="str">
        <f t="shared" si="79"/>
        <v/>
      </c>
      <c r="CS302" s="79" t="str">
        <f t="shared" si="80"/>
        <v/>
      </c>
      <c r="CT302" s="79" t="str">
        <f t="shared" si="81"/>
        <v/>
      </c>
      <c r="CU302" s="79" t="str">
        <f t="shared" si="82"/>
        <v/>
      </c>
      <c r="CV302" s="79" t="str">
        <f t="shared" si="83"/>
        <v/>
      </c>
      <c r="CW302" s="79" t="str">
        <f t="shared" si="84"/>
        <v/>
      </c>
      <c r="CX302" s="79" t="str">
        <f t="shared" si="85"/>
        <v/>
      </c>
      <c r="CY302" s="79" t="str">
        <f t="shared" si="86"/>
        <v/>
      </c>
      <c r="CZ302" s="79" t="str">
        <f t="shared" si="87"/>
        <v/>
      </c>
      <c r="DA302" s="79" t="str">
        <f t="shared" si="88"/>
        <v/>
      </c>
      <c r="DB302" s="79" t="str">
        <f t="shared" si="89"/>
        <v/>
      </c>
      <c r="DC302" s="79" t="str">
        <f t="shared" si="90"/>
        <v/>
      </c>
      <c r="DD302" s="79" t="str">
        <f t="shared" si="91"/>
        <v/>
      </c>
      <c r="DE302" s="79" t="str">
        <f t="shared" si="92"/>
        <v/>
      </c>
      <c r="DF302" s="79" t="str">
        <f t="shared" si="93"/>
        <v/>
      </c>
      <c r="DG302" s="79" t="str">
        <f t="shared" si="94"/>
        <v/>
      </c>
      <c r="DH302" s="76"/>
      <c r="DI302" s="78"/>
      <c r="DJ302" s="76"/>
      <c r="DK302" s="77"/>
      <c r="DL302" s="77"/>
      <c r="DM302" s="77"/>
      <c r="DN302" s="80"/>
      <c r="DO302" s="80"/>
      <c r="DP302" s="92" t="str">
        <f>IF(Table1[Start Date]="","",IF(Table1[Start Date]&gt;42185,"",IF(AND(Table1[Leaving Date]&gt;1,Table1[Leaving Date]&lt;42095),"",1)))</f>
        <v/>
      </c>
      <c r="DQ302" s="92" t="str">
        <f>IF(Table1[Start Date]="","",IF(Table1[Start Date]&gt;42277,"",IF(AND(Table1[Leaving Date]&gt;1,Table1[Leaving Date]&lt;42186),"",1)))</f>
        <v/>
      </c>
      <c r="DR302" s="92" t="str">
        <f>IF(Table1[Start Date]="","",IF(Table1[Start Date]&gt;42369,"",IF(AND(Table1[Leaving Date]&gt;1,Table1[Leaving Date]&lt;42278),"",1)))</f>
        <v/>
      </c>
      <c r="DS302" s="92" t="str">
        <f>IF(Table1[Start Date]="","",IF(Table1[Start Date]&gt;42460,"",IF(AND(Table1[Leaving Date]&gt;1,Table1[Leaving Date]&lt;42370),"",1)))</f>
        <v/>
      </c>
      <c r="DT302" s="92" t="str">
        <f>IF(Table1[Start Date]="","",IF(Table1[Start Date]&gt;42551,"",IF(AND(Table1[Leaving Date]&gt;1,Table1[Leaving Date]&lt;42461),"",1)))</f>
        <v/>
      </c>
      <c r="DU302" s="92" t="str">
        <f>IF(Table1[Start Date]="","",IF(Table1[Start Date]&gt;42643,"",IF(AND(Table1[Leaving Date]&gt;1,Table1[Leaving Date]&lt;42552),"",1)))</f>
        <v/>
      </c>
      <c r="DV302" s="92" t="str">
        <f>IF(Table1[Start Date]="","",IF(Table1[Start Date]&gt;42735,"",IF(AND(Table1[Leaving Date]&gt;1,Table1[Leaving Date]&lt;42644),"",1)))</f>
        <v/>
      </c>
      <c r="DW302" s="92" t="str">
        <f>IF(Table1[Start Date]="","",IF(Table1[Start Date]&gt;42825,"",IF(AND(Table1[Leaving Date]&gt;1,Table1[Leaving Date]&lt;42736),"",1)))</f>
        <v/>
      </c>
      <c r="DX302"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302" s="44" t="e">
        <f>VLOOKUP(Table1[Referral Source],Lists!$G$2:$H$20,2,FALSE)</f>
        <v>#N/A</v>
      </c>
      <c r="DZ302" s="93" t="e">
        <f>SUM(Table1[Data Referral Quarter]+Table1[Data Referral Source])</f>
        <v>#N/A</v>
      </c>
      <c r="EA302" s="44" t="b">
        <f>IF(Table1[Referral Decision]="Accepted",100,IF(Table1[Referral Decision]="Rejected by Provider",200,IF(Table1[Referral Decision]="Rejected by Applicant",300)))</f>
        <v>0</v>
      </c>
      <c r="EB302" s="44">
        <f>SUM(Table1[Data Referral Quarter]+Table1[Data Referral Decision])</f>
        <v>0</v>
      </c>
      <c r="EC302" s="44" t="b">
        <f>IF(Table1[Start Date]&gt;42735,8000,IF(Table1[Start Date]&gt;42643,7000,IF(Table1[Start Date]&gt;42551,6000,IF(Table1[Start Date]&gt;42460,5000,IF(Table1[Start Date]&gt;42369,4000,IF(Table1[Start Date]&gt;42277,3000,IF(Table1[Start Date]&gt;42185,2000,IF(Table1[Start Date]&gt;42094,1000))))))))</f>
        <v>0</v>
      </c>
      <c r="ED302" s="44" t="str">
        <f>IF(Table1[Start Date]="","",IF(Table1[Current Local Authority]="Swindon",1,"2"))</f>
        <v/>
      </c>
      <c r="EE302" s="44" t="e">
        <f>SUM(Table1[Data Start Date]+Table1[Data Local Authority])</f>
        <v>#VALUE!</v>
      </c>
      <c r="EF302" s="44">
        <f>IF(Table1[Registered with GP]="Yes",1,0)</f>
        <v>0</v>
      </c>
      <c r="EG302" s="44">
        <f>SUM(Table1[Data Start Date]+Table1[Data GP Start])</f>
        <v>0</v>
      </c>
      <c r="EH302" s="44" t="str">
        <f>IF(Table1[EET]="NEET",1,IF(Table1[EET]="Education",2,IF(Table1[EET]="Employment",2,IF(Table1[EET]="Training",2,IF(Table1[EET]="Retired",3,"")))))</f>
        <v/>
      </c>
      <c r="EI302" s="44" t="e">
        <f>Table1[Data Start Date]+Table1[Data EET Start]</f>
        <v>#VALUE!</v>
      </c>
      <c r="EJ302" s="44" t="b">
        <f>IF(Table1[Leaving Date]&gt;42735,8000,IF(Table1[Leaving Date]&gt;42643,7000,IF(Table1[Leaving Date]&gt;42551,6000,IF(Table1[Leaving Date]&gt;42460,5000,IF(Table1[Leaving Date]&gt;42369,4000,IF(Table1[Leaving Date]&gt;42277,3000,IF(Table1[Leaving Date]&gt;42185,2000,IF(Table1[Leaving Date]&gt;42094,1000))))))))</f>
        <v>0</v>
      </c>
      <c r="EK302" s="44" t="e">
        <f>VLOOKUP(Table1[Reason for Leaving],Lists!$T$2:$U$15,2,FALSE)</f>
        <v>#N/A</v>
      </c>
      <c r="EL302" s="44" t="e">
        <f>SUM(Table1[Data Leavers Date]+Table1[Data Move On])</f>
        <v>#N/A</v>
      </c>
      <c r="EM302" s="44" t="b">
        <f>IF(Table1[Registered with GP2]="Yes",1,IF(Table1[Registered with GP2]="No",0,IF(Table1[Registered with GP]="Yes",1,IF(Table1[Registered with GP]="No",0))))</f>
        <v>0</v>
      </c>
      <c r="EN302" s="44">
        <f>SUM(Table1[Data Leavers Date]+Table1[Data GP End])</f>
        <v>0</v>
      </c>
      <c r="EO302" s="44" t="str">
        <f>IF(Table1[EET2]="NEET",1,IF(Table1[EET2]="Employment",2,IF(Table1[EET2]="Education",2,IF(Table1[EET2]="Training",2,IF(Table1[EET2]="Retired",3,IF(Table1[EET]="NEET",1,IF(Table1[EET]="Employment",2,IF(Table1[EET]="Education",2,IF(Table1[EET]="Training",2,IF(Table1[EET]="Retired",3,""))))))))))</f>
        <v/>
      </c>
      <c r="EP302" s="44" t="e">
        <f>+Table1[[#This Row],[Data Leavers Date]]+Table1[[#This Row],[Data EET End]]</f>
        <v>#VALUE!</v>
      </c>
      <c r="EQ302" s="44">
        <f>IF(Table1[Exit Form Received]="Yes",1,0)</f>
        <v>0</v>
      </c>
      <c r="ER302" s="44">
        <f>+Table1[[#This Row],[Data Leavers Date]]+Table1[[#This Row],[Data Exit Forms]]</f>
        <v>0</v>
      </c>
      <c r="ES302" s="44" t="str">
        <f>IF(Table1[Data Leavers Date]=1000,SUM(Table1[Leaving Date]-Table1[Start Date]),"")</f>
        <v/>
      </c>
      <c r="ET302" s="44" t="str">
        <f>IF(Table1[Data Leavers Date]=2000,SUM(Table1[Leaving Date]-Table1[Start Date]),"")</f>
        <v/>
      </c>
      <c r="EU302" s="44" t="str">
        <f>IF(Table1[Data Leavers Date]=3000,SUM(Table1[Leaving Date]-Table1[Start Date]),"")</f>
        <v/>
      </c>
      <c r="EV302" s="44" t="str">
        <f>IF(Table1[Data Leavers Date]=4000,SUM(Table1[Leaving Date]-Table1[Start Date]),"")</f>
        <v/>
      </c>
      <c r="EW302" s="44" t="str">
        <f>IF(Table1[Data Leavers Date]=5000,SUM(Table1[Leaving Date]-Table1[Start Date]),"")</f>
        <v/>
      </c>
      <c r="EX302" s="44" t="str">
        <f>IF(Table1[Data Leavers Date]=6000,SUM(Table1[Leaving Date]-Table1[Start Date]),"")</f>
        <v/>
      </c>
      <c r="EY302" s="44" t="str">
        <f>IF(Table1[Data Leavers Date]=7000,SUM(Table1[Leaving Date]-Table1[Start Date]),"")</f>
        <v/>
      </c>
      <c r="EZ302" s="44" t="str">
        <f>IF(Table1[Data Leavers Date]=8000,SUM(Table1[Leaving Date]-Table1[Start Date]),"")</f>
        <v/>
      </c>
      <c r="FA302" s="44" t="str">
        <f>IF(Table1[Date of Initial Assessment]="","",IF(AND(Table1[Start Date]&gt;42094,Table1[Start Date]&lt;42461),Table1[Motivation and Taking Responsibility],""))</f>
        <v/>
      </c>
      <c r="FB302" s="44" t="str">
        <f>IF(Table1[Date of Initial Assessment]="","",IF(AND(Table1[Start Date]&gt;42094,Table1[Start Date]&lt;42461),Table1[Self-Care and Living Skills],""))</f>
        <v/>
      </c>
      <c r="FC302" s="44" t="str">
        <f>IF(Table1[Date of Initial Assessment]="","",IF(AND(Table1[Start Date]&gt;42094,Table1[Start Date]&lt;42461),Table1[Managing Money and Personal Administration],""))</f>
        <v/>
      </c>
      <c r="FD302" s="44" t="str">
        <f>IF(Table1[Date of Initial Assessment]="","",IF(AND(Table1[Start Date]&gt;42094,Table1[Start Date]&lt;42461),Table1[Social Networks and Relationships],""))</f>
        <v/>
      </c>
      <c r="FE302" s="44" t="str">
        <f>IF(Table1[Date of Initial Assessment]="","",IF(AND(Table1[Start Date]&gt;42094,Table1[Start Date]&lt;42461),Table1[Drug and Alcohol Misuse],""))</f>
        <v/>
      </c>
      <c r="FF302" s="44" t="str">
        <f>IF(Table1[Date of Initial Assessment]="","",IF(AND(Table1[Start Date]&gt;42094,Table1[Start Date]&lt;42461),Table1[Physical Health],""))</f>
        <v/>
      </c>
      <c r="FG302" s="44" t="str">
        <f>IF(Table1[Date of Initial Assessment]="","",IF(AND(Table1[Start Date]&gt;42094,Table1[Start Date]&lt;42461),Table1[Emotional and Mental Health],""))</f>
        <v/>
      </c>
      <c r="FH302" s="44" t="str">
        <f>IF(Table1[Date of Initial Assessment]="","",IF(AND(Table1[Start Date]&gt;42094,Table1[Start Date]&lt;42461),Table1[Meaningful Use of Time],""))</f>
        <v/>
      </c>
      <c r="FI302" s="44" t="str">
        <f>IF(Table1[Date of Initial Assessment]="","",IF(AND(Table1[Start Date]&gt;42094,Table1[Start Date]&lt;42461),Table1[Managing Tenancy and Accommodation],""))</f>
        <v/>
      </c>
      <c r="FJ302" s="44" t="str">
        <f>IF(Table1[Date of Initial Assessment]="","",IF(AND(Table1[Start Date]&gt;42094,Table1[Start Date]&lt;42461),Table1[Offending],""))</f>
        <v/>
      </c>
      <c r="FK302" s="44" t="str">
        <f>IF(Table1[Leaving Date]="","",IF(Table1[Date of Initial Assessment]="","",IF(AND(Table1[Leaving Date]&gt;42094,Table1[Leaving Date]&lt;42461),IF(Table1[Date of Last Assessment]="",Table1[Motivation and Taking Responsibility],Table1[Motivation and Taking Responsibility2]),"")))</f>
        <v/>
      </c>
      <c r="FL302" s="44" t="str">
        <f>IF(Table1[Leaving Date]="","",IF(Table1[Date of Initial Assessment]="","",IF(AND(Table1[Leaving Date]&gt;42094,Table1[Leaving Date]&lt;42461),IF(Table1[Date of Last Assessment]="",Table1[Self-Care and Living Skills],Table1[Self-Care and Living Skills2]),"")))</f>
        <v/>
      </c>
      <c r="FM302" s="44" t="str">
        <f>IF(Table1[Leaving Date]="","",IF(Table1[Date of Initial Assessment]="","",IF(AND(Table1[Leaving Date]&gt;42094,Table1[Leaving Date]&lt;42461),IF(Table1[Date of Last Assessment]="",Table1[Managing Money and Personal Administration],Table1[Managing Money and Personal Administration2]),"")))</f>
        <v/>
      </c>
      <c r="FN302" s="44" t="str">
        <f>IF(Table1[Leaving Date]="","",IF(Table1[Date of Initial Assessment]="","",IF(AND(Table1[Leaving Date]&gt;42094,Table1[Leaving Date]&lt;42461),IF(Table1[Date of Last Assessment]="",Table1[Social Networks and Relationships],Table1[Social Networks and Relationships2]),"")))</f>
        <v/>
      </c>
      <c r="FO302" s="44" t="str">
        <f>IF(Table1[Leaving Date]="","",IF(Table1[Date of Initial Assessment]="","",IF(AND(Table1[Leaving Date]&gt;42094,Table1[Leaving Date]&lt;42461),IF(Table1[Date of Last Assessment]="",Table1[Drug and Alcohol Misuse],Table1[Drug and Alcohol Misuse2]),"")))</f>
        <v/>
      </c>
      <c r="FP302" s="44" t="str">
        <f>IF(Table1[Leaving Date]="","",IF(Table1[Date of Initial Assessment]="","",IF(AND(Table1[Leaving Date]&gt;42094,Table1[Leaving Date]&lt;42461),IF(Table1[Date of Last Assessment]="",Table1[Physical Health],Table1[Physical Health2]),"")))</f>
        <v/>
      </c>
      <c r="FQ302" s="44" t="str">
        <f>IF(Table1[Leaving Date]="","",IF(Table1[Date of Initial Assessment]="","",IF(AND(Table1[Leaving Date]&gt;42094,Table1[Leaving Date]&lt;42461),IF(Table1[Date of Last Assessment]="",Table1[Emotional and Mental Health],Table1[Emotional and Mental Health2]),"")))</f>
        <v/>
      </c>
      <c r="FR302" s="44" t="str">
        <f>IF(Table1[Leaving Date]="","",IF(Table1[Date of Initial Assessment]="","",IF(AND(Table1[Leaving Date]&gt;42094,Table1[Leaving Date]&lt;42461),IF(Table1[Date of Last Assessment]="",Table1[Meaningful Use of Time],Table1[Meaningful Use of Time2]),"")))</f>
        <v/>
      </c>
      <c r="FS302" s="44" t="str">
        <f>IF(Table1[Leaving Date]="","",IF(Table1[Date of Initial Assessment]="","",IF(AND(Table1[Leaving Date]&gt;42094,Table1[Leaving Date]&lt;42461),IF(Table1[Date of Last Assessment]="",Table1[Managing Tenancy and Accommodation],Table1[Managing Tenancy and Accommodation2]),"")))</f>
        <v/>
      </c>
      <c r="FT302" s="44" t="str">
        <f>IF(Table1[Leaving Date]="","",IF(Table1[Date of Initial Assessment]="","",IF(AND(Table1[Leaving Date]&gt;42094,Table1[Leaving Date]&lt;42461),IF(Table1[Date of Last Assessment]="",Table1[Offending],Table1[Offending2]),"")))</f>
        <v/>
      </c>
      <c r="FU302" s="44" t="str">
        <f>IF(Table1[Date of Initial Assessment]="","",IF(AND(Table1[Start Date]&gt;42460,Table1[Start Date]&lt;42826),Table1[Motivation and Taking Responsibility],""))</f>
        <v/>
      </c>
      <c r="FV302" s="44" t="str">
        <f>IF(Table1[Date of Initial Assessment]="","",IF(AND(Table1[Start Date]&gt;42460,Table1[Start Date]&lt;42826),Table1[Self-Care and Living Skills],""))</f>
        <v/>
      </c>
      <c r="FW302" s="44" t="str">
        <f>IF(Table1[Date of Initial Assessment]="","",IF(AND(Table1[Start Date]&gt;42460,Table1[Start Date]&lt;42826),Table1[Managing Money and Personal Administration],""))</f>
        <v/>
      </c>
      <c r="FX302" s="44" t="str">
        <f>IF(Table1[Date of Initial Assessment]="","",IF(AND(Table1[Start Date]&gt;42460,Table1[Start Date]&lt;42826),Table1[Social Networks and Relationships],""))</f>
        <v/>
      </c>
      <c r="FY302" s="44" t="str">
        <f>IF(Table1[Date of Initial Assessment]="","",IF(AND(Table1[Start Date]&gt;42460,Table1[Start Date]&lt;42826),Table1[Drug and Alcohol Misuse],""))</f>
        <v/>
      </c>
      <c r="FZ302" s="44" t="str">
        <f>IF(Table1[Date of Initial Assessment]="","",IF(AND(Table1[Start Date]&gt;42460,Table1[Start Date]&lt;42826),Table1[Physical Health],""))</f>
        <v/>
      </c>
      <c r="GA302" s="44" t="str">
        <f>IF(Table1[Date of Initial Assessment]="","",IF(AND(Table1[Start Date]&gt;42460,Table1[Start Date]&lt;42826),Table1[Emotional and Mental Health],""))</f>
        <v/>
      </c>
      <c r="GB302" s="44" t="str">
        <f>IF(Table1[Date of Initial Assessment]="","",IF(AND(Table1[Start Date]&gt;42460,Table1[Start Date]&lt;42826),Table1[Meaningful Use of Time],""))</f>
        <v/>
      </c>
      <c r="GC302" s="44" t="str">
        <f>IF(Table1[Date of Initial Assessment]="","",IF(AND(Table1[Start Date]&gt;42460,Table1[Start Date]&lt;42826),Table1[Managing Tenancy and Accommodation],""))</f>
        <v/>
      </c>
      <c r="GD302" s="44" t="str">
        <f>IF(Table1[Date of Initial Assessment]="","",IF(AND(Table1[Start Date]&gt;42460,Table1[Start Date]&lt;42826),Table1[Offending],""))</f>
        <v/>
      </c>
      <c r="GE302" s="44" t="str">
        <f>IF(Table1[Leaving Date]="","",IF(AND(Table1[Leaving Date]&gt;42460,Table1[Leaving Date]&lt;42826),IF(Table1[Date of Last Assessment]="",Table1[Motivation and Taking Responsibility],Table1[Motivation and Taking Responsibility2]),""))</f>
        <v/>
      </c>
      <c r="GF302" s="44" t="str">
        <f>IF(Table1[Leaving Date]="","",IF(AND(Table1[Leaving Date]&gt;42460,Table1[Leaving Date]&lt;42826),IF(Table1[Date of Last Assessment]="",Table1[Self-Care and Living Skills],Table1[Self-Care and Living Skills2]),""))</f>
        <v/>
      </c>
      <c r="GG302" s="44" t="str">
        <f>IF(Table1[Leaving Date]="","",IF(AND(Table1[Leaving Date]&gt;42460,Table1[Leaving Date]&lt;42826),IF(Table1[Date of Last Assessment]="",Table1[Managing Money and Personal Administration],Table1[Managing Money and Personal Administration2]),""))</f>
        <v/>
      </c>
      <c r="GH302" s="44" t="str">
        <f>IF(Table1[Leaving Date]="","",IF(AND(Table1[Leaving Date]&gt;42460,Table1[Leaving Date]&lt;42826),IF(Table1[Date of Last Assessment]="",Table1[Social Networks and Relationships],Table1[Social Networks and Relationships2]),""))</f>
        <v/>
      </c>
      <c r="GI302" s="44" t="str">
        <f>IF(Table1[Leaving Date]="","",IF(AND(Table1[Leaving Date]&gt;42460,Table1[Leaving Date]&lt;42826),IF(Table1[Date of Last Assessment]="",Table1[Drug and Alcohol Misuse],Table1[Drug and Alcohol Misuse2]),""))</f>
        <v/>
      </c>
      <c r="GJ302" s="44" t="str">
        <f>IF(Table1[Leaving Date]="","",IF(AND(Table1[Leaving Date]&gt;42460,Table1[Leaving Date]&lt;42826),IF(Table1[Date of Last Assessment]="",Table1[Physical Health],Table1[Physical Health2]),""))</f>
        <v/>
      </c>
      <c r="GK302" s="44" t="str">
        <f>IF(Table1[Leaving Date]="","",IF(AND(Table1[Leaving Date]&gt;42460,Table1[Leaving Date]&lt;42826),IF(Table1[Date of Last Assessment]="",Table1[Emotional and Mental Health],Table1[Emotional and Mental Health2]),""))</f>
        <v/>
      </c>
      <c r="GL302" s="44" t="str">
        <f>IF(Table1[Leaving Date]="","",IF(AND(Table1[Leaving Date]&gt;42460,Table1[Leaving Date]&lt;42826),IF(Table1[Date of Last Assessment]="",Table1[Meaningful Use of Time],Table1[Meaningful Use of Time2]),""))</f>
        <v/>
      </c>
      <c r="GM302" s="44" t="str">
        <f>IF(Table1[Leaving Date]="","",IF(AND(Table1[Leaving Date]&gt;42460,Table1[Leaving Date]&lt;42826),IF(Table1[Date of Last Assessment]="",Table1[Managing Tenancy and Accommodation],Table1[Managing Tenancy and Accommodation2]),""))</f>
        <v/>
      </c>
      <c r="GN302" s="44" t="str">
        <f>IF(Table1[Leaving Date]="","",IF(AND(Table1[Leaving Date]&gt;42460,Table1[Leaving Date]&lt;42826),IF(Table1[Date of Last Assessment]="",Table1[Offending],Table1[Offending2]),""))</f>
        <v/>
      </c>
    </row>
    <row r="303" spans="2:196" ht="20.100000000000001" customHeight="1" x14ac:dyDescent="0.2">
      <c r="B303" s="86">
        <f>+'Service Data'!$C$5:$C$5</f>
        <v>0</v>
      </c>
      <c r="C303" s="86"/>
      <c r="D303" s="86"/>
      <c r="E303" s="86"/>
      <c r="F303" s="86"/>
      <c r="G303" s="86"/>
      <c r="H303" s="6"/>
      <c r="I303" s="99" t="str">
        <f ca="1">IF(Table1[[#This Row],[Date of Birth]]="","",SUM(TODAY()-Table1[[#This Row],[Date of Birth]])/365)</f>
        <v/>
      </c>
      <c r="L303" s="86"/>
      <c r="M303" s="77"/>
      <c r="N303" s="86"/>
      <c r="O303" s="86"/>
      <c r="P303" s="91"/>
      <c r="Q303" s="86"/>
      <c r="R303" s="77"/>
      <c r="S303" s="77"/>
      <c r="T303" s="68"/>
      <c r="U303" s="68"/>
      <c r="V303" s="67"/>
      <c r="W303" s="67"/>
      <c r="X303" s="67"/>
      <c r="Y303" s="67"/>
      <c r="Z303" s="67"/>
      <c r="AA303" s="67"/>
      <c r="AB303" s="67"/>
      <c r="AC303" s="67"/>
      <c r="AD303" s="67"/>
      <c r="AE303" s="67"/>
      <c r="AF303" s="67"/>
      <c r="AG303" s="67"/>
      <c r="AH303" s="67"/>
      <c r="AI303" s="67"/>
      <c r="AJ303" s="67"/>
      <c r="AK303" s="67"/>
      <c r="AL303" s="67"/>
      <c r="AM303" s="67"/>
      <c r="AN303" s="77"/>
      <c r="AO303" s="76"/>
      <c r="AP303" s="77"/>
      <c r="AQ303" s="76"/>
      <c r="AR303" s="76"/>
      <c r="AS303" s="76"/>
      <c r="AT303" s="76"/>
      <c r="AU303" s="76"/>
      <c r="AV303" s="77"/>
      <c r="AW303" s="76"/>
      <c r="AX303" s="77"/>
      <c r="AY303" s="76"/>
      <c r="AZ303" s="76"/>
      <c r="BA303" s="76"/>
      <c r="BB303" s="76"/>
      <c r="BC303" s="76"/>
      <c r="BD303" s="77"/>
      <c r="BE303" s="76"/>
      <c r="BF303" s="77"/>
      <c r="BG303" s="76"/>
      <c r="BH303" s="76"/>
      <c r="BI303" s="76"/>
      <c r="BJ303" s="76"/>
      <c r="BK303" s="76"/>
      <c r="BL303" s="77"/>
      <c r="BM303" s="76"/>
      <c r="BN303" s="77"/>
      <c r="BO303" s="76"/>
      <c r="BP303" s="76"/>
      <c r="BQ303" s="76"/>
      <c r="BR303" s="76"/>
      <c r="BS303" s="76"/>
      <c r="BT303" s="77"/>
      <c r="BU303" s="76"/>
      <c r="BV303" s="77"/>
      <c r="BW303" s="76"/>
      <c r="BX303" s="76"/>
      <c r="BY303" s="76"/>
      <c r="BZ303" s="76"/>
      <c r="CA303" s="76"/>
      <c r="CB303" s="77"/>
      <c r="CC303" s="76"/>
      <c r="CD303" s="77"/>
      <c r="CE303" s="76"/>
      <c r="CF303" s="76"/>
      <c r="CG303" s="76"/>
      <c r="CH303" s="76"/>
      <c r="CI303" s="76"/>
      <c r="CJ303" s="77"/>
      <c r="CK303" s="76"/>
      <c r="CL303" s="77"/>
      <c r="CM303" s="76"/>
      <c r="CN303" s="76"/>
      <c r="CO303" s="76"/>
      <c r="CP303" s="76"/>
      <c r="CQ303" s="76"/>
      <c r="CR303" s="78" t="str">
        <f t="shared" si="79"/>
        <v/>
      </c>
      <c r="CS303" s="79" t="str">
        <f t="shared" si="80"/>
        <v/>
      </c>
      <c r="CT303" s="79" t="str">
        <f t="shared" si="81"/>
        <v/>
      </c>
      <c r="CU303" s="79" t="str">
        <f t="shared" si="82"/>
        <v/>
      </c>
      <c r="CV303" s="79" t="str">
        <f t="shared" si="83"/>
        <v/>
      </c>
      <c r="CW303" s="79" t="str">
        <f t="shared" si="84"/>
        <v/>
      </c>
      <c r="CX303" s="79" t="str">
        <f t="shared" si="85"/>
        <v/>
      </c>
      <c r="CY303" s="79" t="str">
        <f t="shared" si="86"/>
        <v/>
      </c>
      <c r="CZ303" s="79" t="str">
        <f t="shared" si="87"/>
        <v/>
      </c>
      <c r="DA303" s="79" t="str">
        <f t="shared" si="88"/>
        <v/>
      </c>
      <c r="DB303" s="79" t="str">
        <f t="shared" si="89"/>
        <v/>
      </c>
      <c r="DC303" s="79" t="str">
        <f t="shared" si="90"/>
        <v/>
      </c>
      <c r="DD303" s="79" t="str">
        <f t="shared" si="91"/>
        <v/>
      </c>
      <c r="DE303" s="79" t="str">
        <f t="shared" si="92"/>
        <v/>
      </c>
      <c r="DF303" s="79" t="str">
        <f t="shared" si="93"/>
        <v/>
      </c>
      <c r="DG303" s="79" t="str">
        <f t="shared" si="94"/>
        <v/>
      </c>
      <c r="DH303" s="76"/>
      <c r="DI303" s="78"/>
      <c r="DJ303" s="76"/>
      <c r="DK303" s="77"/>
      <c r="DL303" s="77"/>
      <c r="DM303" s="77"/>
      <c r="DN303" s="80"/>
      <c r="DO303" s="80"/>
      <c r="DP303" s="92" t="str">
        <f>IF(Table1[Start Date]="","",IF(Table1[Start Date]&gt;42185,"",IF(AND(Table1[Leaving Date]&gt;1,Table1[Leaving Date]&lt;42095),"",1)))</f>
        <v/>
      </c>
      <c r="DQ303" s="92" t="str">
        <f>IF(Table1[Start Date]="","",IF(Table1[Start Date]&gt;42277,"",IF(AND(Table1[Leaving Date]&gt;1,Table1[Leaving Date]&lt;42186),"",1)))</f>
        <v/>
      </c>
      <c r="DR303" s="92" t="str">
        <f>IF(Table1[Start Date]="","",IF(Table1[Start Date]&gt;42369,"",IF(AND(Table1[Leaving Date]&gt;1,Table1[Leaving Date]&lt;42278),"",1)))</f>
        <v/>
      </c>
      <c r="DS303" s="92" t="str">
        <f>IF(Table1[Start Date]="","",IF(Table1[Start Date]&gt;42460,"",IF(AND(Table1[Leaving Date]&gt;1,Table1[Leaving Date]&lt;42370),"",1)))</f>
        <v/>
      </c>
      <c r="DT303" s="92" t="str">
        <f>IF(Table1[Start Date]="","",IF(Table1[Start Date]&gt;42551,"",IF(AND(Table1[Leaving Date]&gt;1,Table1[Leaving Date]&lt;42461),"",1)))</f>
        <v/>
      </c>
      <c r="DU303" s="92" t="str">
        <f>IF(Table1[Start Date]="","",IF(Table1[Start Date]&gt;42643,"",IF(AND(Table1[Leaving Date]&gt;1,Table1[Leaving Date]&lt;42552),"",1)))</f>
        <v/>
      </c>
      <c r="DV303" s="92" t="str">
        <f>IF(Table1[Start Date]="","",IF(Table1[Start Date]&gt;42735,"",IF(AND(Table1[Leaving Date]&gt;1,Table1[Leaving Date]&lt;42644),"",1)))</f>
        <v/>
      </c>
      <c r="DW303" s="92" t="str">
        <f>IF(Table1[Start Date]="","",IF(Table1[Start Date]&gt;42825,"",IF(AND(Table1[Leaving Date]&gt;1,Table1[Leaving Date]&lt;42736),"",1)))</f>
        <v/>
      </c>
      <c r="DX303"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303" s="44" t="e">
        <f>VLOOKUP(Table1[Referral Source],Lists!$G$2:$H$20,2,FALSE)</f>
        <v>#N/A</v>
      </c>
      <c r="DZ303" s="93" t="e">
        <f>SUM(Table1[Data Referral Quarter]+Table1[Data Referral Source])</f>
        <v>#N/A</v>
      </c>
      <c r="EA303" s="44" t="b">
        <f>IF(Table1[Referral Decision]="Accepted",100,IF(Table1[Referral Decision]="Rejected by Provider",200,IF(Table1[Referral Decision]="Rejected by Applicant",300)))</f>
        <v>0</v>
      </c>
      <c r="EB303" s="44">
        <f>SUM(Table1[Data Referral Quarter]+Table1[Data Referral Decision])</f>
        <v>0</v>
      </c>
      <c r="EC303" s="44" t="b">
        <f>IF(Table1[Start Date]&gt;42735,8000,IF(Table1[Start Date]&gt;42643,7000,IF(Table1[Start Date]&gt;42551,6000,IF(Table1[Start Date]&gt;42460,5000,IF(Table1[Start Date]&gt;42369,4000,IF(Table1[Start Date]&gt;42277,3000,IF(Table1[Start Date]&gt;42185,2000,IF(Table1[Start Date]&gt;42094,1000))))))))</f>
        <v>0</v>
      </c>
      <c r="ED303" s="44" t="str">
        <f>IF(Table1[Start Date]="","",IF(Table1[Current Local Authority]="Swindon",1,"2"))</f>
        <v/>
      </c>
      <c r="EE303" s="44" t="e">
        <f>SUM(Table1[Data Start Date]+Table1[Data Local Authority])</f>
        <v>#VALUE!</v>
      </c>
      <c r="EF303" s="44">
        <f>IF(Table1[Registered with GP]="Yes",1,0)</f>
        <v>0</v>
      </c>
      <c r="EG303" s="44">
        <f>SUM(Table1[Data Start Date]+Table1[Data GP Start])</f>
        <v>0</v>
      </c>
      <c r="EH303" s="44" t="str">
        <f>IF(Table1[EET]="NEET",1,IF(Table1[EET]="Education",2,IF(Table1[EET]="Employment",2,IF(Table1[EET]="Training",2,IF(Table1[EET]="Retired",3,"")))))</f>
        <v/>
      </c>
      <c r="EI303" s="44" t="e">
        <f>Table1[Data Start Date]+Table1[Data EET Start]</f>
        <v>#VALUE!</v>
      </c>
      <c r="EJ303" s="44" t="b">
        <f>IF(Table1[Leaving Date]&gt;42735,8000,IF(Table1[Leaving Date]&gt;42643,7000,IF(Table1[Leaving Date]&gt;42551,6000,IF(Table1[Leaving Date]&gt;42460,5000,IF(Table1[Leaving Date]&gt;42369,4000,IF(Table1[Leaving Date]&gt;42277,3000,IF(Table1[Leaving Date]&gt;42185,2000,IF(Table1[Leaving Date]&gt;42094,1000))))))))</f>
        <v>0</v>
      </c>
      <c r="EK303" s="44" t="e">
        <f>VLOOKUP(Table1[Reason for Leaving],Lists!$T$2:$U$15,2,FALSE)</f>
        <v>#N/A</v>
      </c>
      <c r="EL303" s="44" t="e">
        <f>SUM(Table1[Data Leavers Date]+Table1[Data Move On])</f>
        <v>#N/A</v>
      </c>
      <c r="EM303" s="44" t="b">
        <f>IF(Table1[Registered with GP2]="Yes",1,IF(Table1[Registered with GP2]="No",0,IF(Table1[Registered with GP]="Yes",1,IF(Table1[Registered with GP]="No",0))))</f>
        <v>0</v>
      </c>
      <c r="EN303" s="44">
        <f>SUM(Table1[Data Leavers Date]+Table1[Data GP End])</f>
        <v>0</v>
      </c>
      <c r="EO303" s="44" t="str">
        <f>IF(Table1[EET2]="NEET",1,IF(Table1[EET2]="Employment",2,IF(Table1[EET2]="Education",2,IF(Table1[EET2]="Training",2,IF(Table1[EET2]="Retired",3,IF(Table1[EET]="NEET",1,IF(Table1[EET]="Employment",2,IF(Table1[EET]="Education",2,IF(Table1[EET]="Training",2,IF(Table1[EET]="Retired",3,""))))))))))</f>
        <v/>
      </c>
      <c r="EP303" s="44" t="e">
        <f>+Table1[[#This Row],[Data Leavers Date]]+Table1[[#This Row],[Data EET End]]</f>
        <v>#VALUE!</v>
      </c>
      <c r="EQ303" s="44">
        <f>IF(Table1[Exit Form Received]="Yes",1,0)</f>
        <v>0</v>
      </c>
      <c r="ER303" s="44">
        <f>+Table1[[#This Row],[Data Leavers Date]]+Table1[[#This Row],[Data Exit Forms]]</f>
        <v>0</v>
      </c>
      <c r="ES303" s="44" t="str">
        <f>IF(Table1[Data Leavers Date]=1000,SUM(Table1[Leaving Date]-Table1[Start Date]),"")</f>
        <v/>
      </c>
      <c r="ET303" s="44" t="str">
        <f>IF(Table1[Data Leavers Date]=2000,SUM(Table1[Leaving Date]-Table1[Start Date]),"")</f>
        <v/>
      </c>
      <c r="EU303" s="44" t="str">
        <f>IF(Table1[Data Leavers Date]=3000,SUM(Table1[Leaving Date]-Table1[Start Date]),"")</f>
        <v/>
      </c>
      <c r="EV303" s="44" t="str">
        <f>IF(Table1[Data Leavers Date]=4000,SUM(Table1[Leaving Date]-Table1[Start Date]),"")</f>
        <v/>
      </c>
      <c r="EW303" s="44" t="str">
        <f>IF(Table1[Data Leavers Date]=5000,SUM(Table1[Leaving Date]-Table1[Start Date]),"")</f>
        <v/>
      </c>
      <c r="EX303" s="44" t="str">
        <f>IF(Table1[Data Leavers Date]=6000,SUM(Table1[Leaving Date]-Table1[Start Date]),"")</f>
        <v/>
      </c>
      <c r="EY303" s="44" t="str">
        <f>IF(Table1[Data Leavers Date]=7000,SUM(Table1[Leaving Date]-Table1[Start Date]),"")</f>
        <v/>
      </c>
      <c r="EZ303" s="44" t="str">
        <f>IF(Table1[Data Leavers Date]=8000,SUM(Table1[Leaving Date]-Table1[Start Date]),"")</f>
        <v/>
      </c>
      <c r="FA303" s="44" t="str">
        <f>IF(Table1[Date of Initial Assessment]="","",IF(AND(Table1[Start Date]&gt;42094,Table1[Start Date]&lt;42461),Table1[Motivation and Taking Responsibility],""))</f>
        <v/>
      </c>
      <c r="FB303" s="44" t="str">
        <f>IF(Table1[Date of Initial Assessment]="","",IF(AND(Table1[Start Date]&gt;42094,Table1[Start Date]&lt;42461),Table1[Self-Care and Living Skills],""))</f>
        <v/>
      </c>
      <c r="FC303" s="44" t="str">
        <f>IF(Table1[Date of Initial Assessment]="","",IF(AND(Table1[Start Date]&gt;42094,Table1[Start Date]&lt;42461),Table1[Managing Money and Personal Administration],""))</f>
        <v/>
      </c>
      <c r="FD303" s="44" t="str">
        <f>IF(Table1[Date of Initial Assessment]="","",IF(AND(Table1[Start Date]&gt;42094,Table1[Start Date]&lt;42461),Table1[Social Networks and Relationships],""))</f>
        <v/>
      </c>
      <c r="FE303" s="44" t="str">
        <f>IF(Table1[Date of Initial Assessment]="","",IF(AND(Table1[Start Date]&gt;42094,Table1[Start Date]&lt;42461),Table1[Drug and Alcohol Misuse],""))</f>
        <v/>
      </c>
      <c r="FF303" s="44" t="str">
        <f>IF(Table1[Date of Initial Assessment]="","",IF(AND(Table1[Start Date]&gt;42094,Table1[Start Date]&lt;42461),Table1[Physical Health],""))</f>
        <v/>
      </c>
      <c r="FG303" s="44" t="str">
        <f>IF(Table1[Date of Initial Assessment]="","",IF(AND(Table1[Start Date]&gt;42094,Table1[Start Date]&lt;42461),Table1[Emotional and Mental Health],""))</f>
        <v/>
      </c>
      <c r="FH303" s="44" t="str">
        <f>IF(Table1[Date of Initial Assessment]="","",IF(AND(Table1[Start Date]&gt;42094,Table1[Start Date]&lt;42461),Table1[Meaningful Use of Time],""))</f>
        <v/>
      </c>
      <c r="FI303" s="44" t="str">
        <f>IF(Table1[Date of Initial Assessment]="","",IF(AND(Table1[Start Date]&gt;42094,Table1[Start Date]&lt;42461),Table1[Managing Tenancy and Accommodation],""))</f>
        <v/>
      </c>
      <c r="FJ303" s="44" t="str">
        <f>IF(Table1[Date of Initial Assessment]="","",IF(AND(Table1[Start Date]&gt;42094,Table1[Start Date]&lt;42461),Table1[Offending],""))</f>
        <v/>
      </c>
      <c r="FK303" s="44" t="str">
        <f>IF(Table1[Leaving Date]="","",IF(Table1[Date of Initial Assessment]="","",IF(AND(Table1[Leaving Date]&gt;42094,Table1[Leaving Date]&lt;42461),IF(Table1[Date of Last Assessment]="",Table1[Motivation and Taking Responsibility],Table1[Motivation and Taking Responsibility2]),"")))</f>
        <v/>
      </c>
      <c r="FL303" s="44" t="str">
        <f>IF(Table1[Leaving Date]="","",IF(Table1[Date of Initial Assessment]="","",IF(AND(Table1[Leaving Date]&gt;42094,Table1[Leaving Date]&lt;42461),IF(Table1[Date of Last Assessment]="",Table1[Self-Care and Living Skills],Table1[Self-Care and Living Skills2]),"")))</f>
        <v/>
      </c>
      <c r="FM303" s="44" t="str">
        <f>IF(Table1[Leaving Date]="","",IF(Table1[Date of Initial Assessment]="","",IF(AND(Table1[Leaving Date]&gt;42094,Table1[Leaving Date]&lt;42461),IF(Table1[Date of Last Assessment]="",Table1[Managing Money and Personal Administration],Table1[Managing Money and Personal Administration2]),"")))</f>
        <v/>
      </c>
      <c r="FN303" s="44" t="str">
        <f>IF(Table1[Leaving Date]="","",IF(Table1[Date of Initial Assessment]="","",IF(AND(Table1[Leaving Date]&gt;42094,Table1[Leaving Date]&lt;42461),IF(Table1[Date of Last Assessment]="",Table1[Social Networks and Relationships],Table1[Social Networks and Relationships2]),"")))</f>
        <v/>
      </c>
      <c r="FO303" s="44" t="str">
        <f>IF(Table1[Leaving Date]="","",IF(Table1[Date of Initial Assessment]="","",IF(AND(Table1[Leaving Date]&gt;42094,Table1[Leaving Date]&lt;42461),IF(Table1[Date of Last Assessment]="",Table1[Drug and Alcohol Misuse],Table1[Drug and Alcohol Misuse2]),"")))</f>
        <v/>
      </c>
      <c r="FP303" s="44" t="str">
        <f>IF(Table1[Leaving Date]="","",IF(Table1[Date of Initial Assessment]="","",IF(AND(Table1[Leaving Date]&gt;42094,Table1[Leaving Date]&lt;42461),IF(Table1[Date of Last Assessment]="",Table1[Physical Health],Table1[Physical Health2]),"")))</f>
        <v/>
      </c>
      <c r="FQ303" s="44" t="str">
        <f>IF(Table1[Leaving Date]="","",IF(Table1[Date of Initial Assessment]="","",IF(AND(Table1[Leaving Date]&gt;42094,Table1[Leaving Date]&lt;42461),IF(Table1[Date of Last Assessment]="",Table1[Emotional and Mental Health],Table1[Emotional and Mental Health2]),"")))</f>
        <v/>
      </c>
      <c r="FR303" s="44" t="str">
        <f>IF(Table1[Leaving Date]="","",IF(Table1[Date of Initial Assessment]="","",IF(AND(Table1[Leaving Date]&gt;42094,Table1[Leaving Date]&lt;42461),IF(Table1[Date of Last Assessment]="",Table1[Meaningful Use of Time],Table1[Meaningful Use of Time2]),"")))</f>
        <v/>
      </c>
      <c r="FS303" s="44" t="str">
        <f>IF(Table1[Leaving Date]="","",IF(Table1[Date of Initial Assessment]="","",IF(AND(Table1[Leaving Date]&gt;42094,Table1[Leaving Date]&lt;42461),IF(Table1[Date of Last Assessment]="",Table1[Managing Tenancy and Accommodation],Table1[Managing Tenancy and Accommodation2]),"")))</f>
        <v/>
      </c>
      <c r="FT303" s="44" t="str">
        <f>IF(Table1[Leaving Date]="","",IF(Table1[Date of Initial Assessment]="","",IF(AND(Table1[Leaving Date]&gt;42094,Table1[Leaving Date]&lt;42461),IF(Table1[Date of Last Assessment]="",Table1[Offending],Table1[Offending2]),"")))</f>
        <v/>
      </c>
      <c r="FU303" s="44" t="str">
        <f>IF(Table1[Date of Initial Assessment]="","",IF(AND(Table1[Start Date]&gt;42460,Table1[Start Date]&lt;42826),Table1[Motivation and Taking Responsibility],""))</f>
        <v/>
      </c>
      <c r="FV303" s="44" t="str">
        <f>IF(Table1[Date of Initial Assessment]="","",IF(AND(Table1[Start Date]&gt;42460,Table1[Start Date]&lt;42826),Table1[Self-Care and Living Skills],""))</f>
        <v/>
      </c>
      <c r="FW303" s="44" t="str">
        <f>IF(Table1[Date of Initial Assessment]="","",IF(AND(Table1[Start Date]&gt;42460,Table1[Start Date]&lt;42826),Table1[Managing Money and Personal Administration],""))</f>
        <v/>
      </c>
      <c r="FX303" s="44" t="str">
        <f>IF(Table1[Date of Initial Assessment]="","",IF(AND(Table1[Start Date]&gt;42460,Table1[Start Date]&lt;42826),Table1[Social Networks and Relationships],""))</f>
        <v/>
      </c>
      <c r="FY303" s="44" t="str">
        <f>IF(Table1[Date of Initial Assessment]="","",IF(AND(Table1[Start Date]&gt;42460,Table1[Start Date]&lt;42826),Table1[Drug and Alcohol Misuse],""))</f>
        <v/>
      </c>
      <c r="FZ303" s="44" t="str">
        <f>IF(Table1[Date of Initial Assessment]="","",IF(AND(Table1[Start Date]&gt;42460,Table1[Start Date]&lt;42826),Table1[Physical Health],""))</f>
        <v/>
      </c>
      <c r="GA303" s="44" t="str">
        <f>IF(Table1[Date of Initial Assessment]="","",IF(AND(Table1[Start Date]&gt;42460,Table1[Start Date]&lt;42826),Table1[Emotional and Mental Health],""))</f>
        <v/>
      </c>
      <c r="GB303" s="44" t="str">
        <f>IF(Table1[Date of Initial Assessment]="","",IF(AND(Table1[Start Date]&gt;42460,Table1[Start Date]&lt;42826),Table1[Meaningful Use of Time],""))</f>
        <v/>
      </c>
      <c r="GC303" s="44" t="str">
        <f>IF(Table1[Date of Initial Assessment]="","",IF(AND(Table1[Start Date]&gt;42460,Table1[Start Date]&lt;42826),Table1[Managing Tenancy and Accommodation],""))</f>
        <v/>
      </c>
      <c r="GD303" s="44" t="str">
        <f>IF(Table1[Date of Initial Assessment]="","",IF(AND(Table1[Start Date]&gt;42460,Table1[Start Date]&lt;42826),Table1[Offending],""))</f>
        <v/>
      </c>
      <c r="GE303" s="44" t="str">
        <f>IF(Table1[Leaving Date]="","",IF(AND(Table1[Leaving Date]&gt;42460,Table1[Leaving Date]&lt;42826),IF(Table1[Date of Last Assessment]="",Table1[Motivation and Taking Responsibility],Table1[Motivation and Taking Responsibility2]),""))</f>
        <v/>
      </c>
      <c r="GF303" s="44" t="str">
        <f>IF(Table1[Leaving Date]="","",IF(AND(Table1[Leaving Date]&gt;42460,Table1[Leaving Date]&lt;42826),IF(Table1[Date of Last Assessment]="",Table1[Self-Care and Living Skills],Table1[Self-Care and Living Skills2]),""))</f>
        <v/>
      </c>
      <c r="GG303" s="44" t="str">
        <f>IF(Table1[Leaving Date]="","",IF(AND(Table1[Leaving Date]&gt;42460,Table1[Leaving Date]&lt;42826),IF(Table1[Date of Last Assessment]="",Table1[Managing Money and Personal Administration],Table1[Managing Money and Personal Administration2]),""))</f>
        <v/>
      </c>
      <c r="GH303" s="44" t="str">
        <f>IF(Table1[Leaving Date]="","",IF(AND(Table1[Leaving Date]&gt;42460,Table1[Leaving Date]&lt;42826),IF(Table1[Date of Last Assessment]="",Table1[Social Networks and Relationships],Table1[Social Networks and Relationships2]),""))</f>
        <v/>
      </c>
      <c r="GI303" s="44" t="str">
        <f>IF(Table1[Leaving Date]="","",IF(AND(Table1[Leaving Date]&gt;42460,Table1[Leaving Date]&lt;42826),IF(Table1[Date of Last Assessment]="",Table1[Drug and Alcohol Misuse],Table1[Drug and Alcohol Misuse2]),""))</f>
        <v/>
      </c>
      <c r="GJ303" s="44" t="str">
        <f>IF(Table1[Leaving Date]="","",IF(AND(Table1[Leaving Date]&gt;42460,Table1[Leaving Date]&lt;42826),IF(Table1[Date of Last Assessment]="",Table1[Physical Health],Table1[Physical Health2]),""))</f>
        <v/>
      </c>
      <c r="GK303" s="44" t="str">
        <f>IF(Table1[Leaving Date]="","",IF(AND(Table1[Leaving Date]&gt;42460,Table1[Leaving Date]&lt;42826),IF(Table1[Date of Last Assessment]="",Table1[Emotional and Mental Health],Table1[Emotional and Mental Health2]),""))</f>
        <v/>
      </c>
      <c r="GL303" s="44" t="str">
        <f>IF(Table1[Leaving Date]="","",IF(AND(Table1[Leaving Date]&gt;42460,Table1[Leaving Date]&lt;42826),IF(Table1[Date of Last Assessment]="",Table1[Meaningful Use of Time],Table1[Meaningful Use of Time2]),""))</f>
        <v/>
      </c>
      <c r="GM303" s="44" t="str">
        <f>IF(Table1[Leaving Date]="","",IF(AND(Table1[Leaving Date]&gt;42460,Table1[Leaving Date]&lt;42826),IF(Table1[Date of Last Assessment]="",Table1[Managing Tenancy and Accommodation],Table1[Managing Tenancy and Accommodation2]),""))</f>
        <v/>
      </c>
      <c r="GN303" s="44" t="str">
        <f>IF(Table1[Leaving Date]="","",IF(AND(Table1[Leaving Date]&gt;42460,Table1[Leaving Date]&lt;42826),IF(Table1[Date of Last Assessment]="",Table1[Offending],Table1[Offending2]),""))</f>
        <v/>
      </c>
    </row>
    <row r="304" spans="2:196" ht="20.100000000000001" customHeight="1" x14ac:dyDescent="0.2">
      <c r="B304" s="86">
        <f>+'Service Data'!$C$5:$C$5</f>
        <v>0</v>
      </c>
      <c r="C304" s="86"/>
      <c r="D304" s="86"/>
      <c r="E304" s="86"/>
      <c r="F304" s="86"/>
      <c r="G304" s="86"/>
      <c r="H304" s="6"/>
      <c r="I304" s="99" t="str">
        <f ca="1">IF(Table1[[#This Row],[Date of Birth]]="","",SUM(TODAY()-Table1[[#This Row],[Date of Birth]])/365)</f>
        <v/>
      </c>
      <c r="L304" s="86"/>
      <c r="M304" s="77"/>
      <c r="N304" s="86"/>
      <c r="O304" s="86"/>
      <c r="P304" s="91"/>
      <c r="Q304" s="86"/>
      <c r="R304" s="77"/>
      <c r="S304" s="77"/>
      <c r="T304" s="68"/>
      <c r="U304" s="68"/>
      <c r="V304" s="67"/>
      <c r="W304" s="67"/>
      <c r="X304" s="67"/>
      <c r="Y304" s="67"/>
      <c r="Z304" s="67"/>
      <c r="AA304" s="67"/>
      <c r="AB304" s="67"/>
      <c r="AC304" s="67"/>
      <c r="AD304" s="67"/>
      <c r="AE304" s="67"/>
      <c r="AF304" s="67"/>
      <c r="AG304" s="67"/>
      <c r="AH304" s="67"/>
      <c r="AI304" s="67"/>
      <c r="AJ304" s="67"/>
      <c r="AK304" s="67"/>
      <c r="AL304" s="67"/>
      <c r="AM304" s="67"/>
      <c r="AN304" s="77"/>
      <c r="AO304" s="76"/>
      <c r="AP304" s="77"/>
      <c r="AQ304" s="76"/>
      <c r="AR304" s="76"/>
      <c r="AS304" s="76"/>
      <c r="AT304" s="76"/>
      <c r="AU304" s="76"/>
      <c r="AV304" s="77"/>
      <c r="AW304" s="76"/>
      <c r="AX304" s="77"/>
      <c r="AY304" s="76"/>
      <c r="AZ304" s="76"/>
      <c r="BA304" s="76"/>
      <c r="BB304" s="76"/>
      <c r="BC304" s="76"/>
      <c r="BD304" s="77"/>
      <c r="BE304" s="76"/>
      <c r="BF304" s="77"/>
      <c r="BG304" s="76"/>
      <c r="BH304" s="76"/>
      <c r="BI304" s="76"/>
      <c r="BJ304" s="76"/>
      <c r="BK304" s="76"/>
      <c r="BL304" s="77"/>
      <c r="BM304" s="76"/>
      <c r="BN304" s="77"/>
      <c r="BO304" s="76"/>
      <c r="BP304" s="76"/>
      <c r="BQ304" s="76"/>
      <c r="BR304" s="76"/>
      <c r="BS304" s="76"/>
      <c r="BT304" s="77"/>
      <c r="BU304" s="76"/>
      <c r="BV304" s="77"/>
      <c r="BW304" s="76"/>
      <c r="BX304" s="76"/>
      <c r="BY304" s="76"/>
      <c r="BZ304" s="76"/>
      <c r="CA304" s="76"/>
      <c r="CB304" s="77"/>
      <c r="CC304" s="76"/>
      <c r="CD304" s="77"/>
      <c r="CE304" s="76"/>
      <c r="CF304" s="76"/>
      <c r="CG304" s="76"/>
      <c r="CH304" s="76"/>
      <c r="CI304" s="76"/>
      <c r="CJ304" s="77"/>
      <c r="CK304" s="76"/>
      <c r="CL304" s="77"/>
      <c r="CM304" s="76"/>
      <c r="CN304" s="76"/>
      <c r="CO304" s="76"/>
      <c r="CP304" s="76"/>
      <c r="CQ304" s="76"/>
      <c r="CR304" s="78" t="str">
        <f t="shared" si="79"/>
        <v/>
      </c>
      <c r="CS304" s="79" t="str">
        <f t="shared" si="80"/>
        <v/>
      </c>
      <c r="CT304" s="79" t="str">
        <f t="shared" si="81"/>
        <v/>
      </c>
      <c r="CU304" s="79" t="str">
        <f t="shared" si="82"/>
        <v/>
      </c>
      <c r="CV304" s="79" t="str">
        <f t="shared" si="83"/>
        <v/>
      </c>
      <c r="CW304" s="79" t="str">
        <f t="shared" si="84"/>
        <v/>
      </c>
      <c r="CX304" s="79" t="str">
        <f t="shared" si="85"/>
        <v/>
      </c>
      <c r="CY304" s="79" t="str">
        <f t="shared" si="86"/>
        <v/>
      </c>
      <c r="CZ304" s="79" t="str">
        <f t="shared" si="87"/>
        <v/>
      </c>
      <c r="DA304" s="79" t="str">
        <f t="shared" si="88"/>
        <v/>
      </c>
      <c r="DB304" s="79" t="str">
        <f t="shared" si="89"/>
        <v/>
      </c>
      <c r="DC304" s="79" t="str">
        <f t="shared" si="90"/>
        <v/>
      </c>
      <c r="DD304" s="79" t="str">
        <f t="shared" si="91"/>
        <v/>
      </c>
      <c r="DE304" s="79" t="str">
        <f t="shared" si="92"/>
        <v/>
      </c>
      <c r="DF304" s="79" t="str">
        <f t="shared" si="93"/>
        <v/>
      </c>
      <c r="DG304" s="79" t="str">
        <f t="shared" si="94"/>
        <v/>
      </c>
      <c r="DH304" s="76"/>
      <c r="DI304" s="78"/>
      <c r="DJ304" s="76"/>
      <c r="DK304" s="77"/>
      <c r="DL304" s="77"/>
      <c r="DM304" s="77"/>
      <c r="DN304" s="80"/>
      <c r="DO304" s="80"/>
      <c r="DP304" s="92" t="str">
        <f>IF(Table1[Start Date]="","",IF(Table1[Start Date]&gt;42185,"",IF(AND(Table1[Leaving Date]&gt;1,Table1[Leaving Date]&lt;42095),"",1)))</f>
        <v/>
      </c>
      <c r="DQ304" s="92" t="str">
        <f>IF(Table1[Start Date]="","",IF(Table1[Start Date]&gt;42277,"",IF(AND(Table1[Leaving Date]&gt;1,Table1[Leaving Date]&lt;42186),"",1)))</f>
        <v/>
      </c>
      <c r="DR304" s="92" t="str">
        <f>IF(Table1[Start Date]="","",IF(Table1[Start Date]&gt;42369,"",IF(AND(Table1[Leaving Date]&gt;1,Table1[Leaving Date]&lt;42278),"",1)))</f>
        <v/>
      </c>
      <c r="DS304" s="92" t="str">
        <f>IF(Table1[Start Date]="","",IF(Table1[Start Date]&gt;42460,"",IF(AND(Table1[Leaving Date]&gt;1,Table1[Leaving Date]&lt;42370),"",1)))</f>
        <v/>
      </c>
      <c r="DT304" s="92" t="str">
        <f>IF(Table1[Start Date]="","",IF(Table1[Start Date]&gt;42551,"",IF(AND(Table1[Leaving Date]&gt;1,Table1[Leaving Date]&lt;42461),"",1)))</f>
        <v/>
      </c>
      <c r="DU304" s="92" t="str">
        <f>IF(Table1[Start Date]="","",IF(Table1[Start Date]&gt;42643,"",IF(AND(Table1[Leaving Date]&gt;1,Table1[Leaving Date]&lt;42552),"",1)))</f>
        <v/>
      </c>
      <c r="DV304" s="92" t="str">
        <f>IF(Table1[Start Date]="","",IF(Table1[Start Date]&gt;42735,"",IF(AND(Table1[Leaving Date]&gt;1,Table1[Leaving Date]&lt;42644),"",1)))</f>
        <v/>
      </c>
      <c r="DW304" s="92" t="str">
        <f>IF(Table1[Start Date]="","",IF(Table1[Start Date]&gt;42825,"",IF(AND(Table1[Leaving Date]&gt;1,Table1[Leaving Date]&lt;42736),"",1)))</f>
        <v/>
      </c>
      <c r="DX304"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304" s="44" t="e">
        <f>VLOOKUP(Table1[Referral Source],Lists!$G$2:$H$20,2,FALSE)</f>
        <v>#N/A</v>
      </c>
      <c r="DZ304" s="93" t="e">
        <f>SUM(Table1[Data Referral Quarter]+Table1[Data Referral Source])</f>
        <v>#N/A</v>
      </c>
      <c r="EA304" s="44" t="b">
        <f>IF(Table1[Referral Decision]="Accepted",100,IF(Table1[Referral Decision]="Rejected by Provider",200,IF(Table1[Referral Decision]="Rejected by Applicant",300)))</f>
        <v>0</v>
      </c>
      <c r="EB304" s="44">
        <f>SUM(Table1[Data Referral Quarter]+Table1[Data Referral Decision])</f>
        <v>0</v>
      </c>
      <c r="EC304" s="44" t="b">
        <f>IF(Table1[Start Date]&gt;42735,8000,IF(Table1[Start Date]&gt;42643,7000,IF(Table1[Start Date]&gt;42551,6000,IF(Table1[Start Date]&gt;42460,5000,IF(Table1[Start Date]&gt;42369,4000,IF(Table1[Start Date]&gt;42277,3000,IF(Table1[Start Date]&gt;42185,2000,IF(Table1[Start Date]&gt;42094,1000))))))))</f>
        <v>0</v>
      </c>
      <c r="ED304" s="44" t="str">
        <f>IF(Table1[Start Date]="","",IF(Table1[Current Local Authority]="Swindon",1,"2"))</f>
        <v/>
      </c>
      <c r="EE304" s="44" t="e">
        <f>SUM(Table1[Data Start Date]+Table1[Data Local Authority])</f>
        <v>#VALUE!</v>
      </c>
      <c r="EF304" s="44">
        <f>IF(Table1[Registered with GP]="Yes",1,0)</f>
        <v>0</v>
      </c>
      <c r="EG304" s="44">
        <f>SUM(Table1[Data Start Date]+Table1[Data GP Start])</f>
        <v>0</v>
      </c>
      <c r="EH304" s="44" t="str">
        <f>IF(Table1[EET]="NEET",1,IF(Table1[EET]="Education",2,IF(Table1[EET]="Employment",2,IF(Table1[EET]="Training",2,IF(Table1[EET]="Retired",3,"")))))</f>
        <v/>
      </c>
      <c r="EI304" s="44" t="e">
        <f>Table1[Data Start Date]+Table1[Data EET Start]</f>
        <v>#VALUE!</v>
      </c>
      <c r="EJ304" s="44" t="b">
        <f>IF(Table1[Leaving Date]&gt;42735,8000,IF(Table1[Leaving Date]&gt;42643,7000,IF(Table1[Leaving Date]&gt;42551,6000,IF(Table1[Leaving Date]&gt;42460,5000,IF(Table1[Leaving Date]&gt;42369,4000,IF(Table1[Leaving Date]&gt;42277,3000,IF(Table1[Leaving Date]&gt;42185,2000,IF(Table1[Leaving Date]&gt;42094,1000))))))))</f>
        <v>0</v>
      </c>
      <c r="EK304" s="44" t="e">
        <f>VLOOKUP(Table1[Reason for Leaving],Lists!$T$2:$U$15,2,FALSE)</f>
        <v>#N/A</v>
      </c>
      <c r="EL304" s="44" t="e">
        <f>SUM(Table1[Data Leavers Date]+Table1[Data Move On])</f>
        <v>#N/A</v>
      </c>
      <c r="EM304" s="44" t="b">
        <f>IF(Table1[Registered with GP2]="Yes",1,IF(Table1[Registered with GP2]="No",0,IF(Table1[Registered with GP]="Yes",1,IF(Table1[Registered with GP]="No",0))))</f>
        <v>0</v>
      </c>
      <c r="EN304" s="44">
        <f>SUM(Table1[Data Leavers Date]+Table1[Data GP End])</f>
        <v>0</v>
      </c>
      <c r="EO304" s="44" t="str">
        <f>IF(Table1[EET2]="NEET",1,IF(Table1[EET2]="Employment",2,IF(Table1[EET2]="Education",2,IF(Table1[EET2]="Training",2,IF(Table1[EET2]="Retired",3,IF(Table1[EET]="NEET",1,IF(Table1[EET]="Employment",2,IF(Table1[EET]="Education",2,IF(Table1[EET]="Training",2,IF(Table1[EET]="Retired",3,""))))))))))</f>
        <v/>
      </c>
      <c r="EP304" s="44" t="e">
        <f>+Table1[[#This Row],[Data Leavers Date]]+Table1[[#This Row],[Data EET End]]</f>
        <v>#VALUE!</v>
      </c>
      <c r="EQ304" s="44">
        <f>IF(Table1[Exit Form Received]="Yes",1,0)</f>
        <v>0</v>
      </c>
      <c r="ER304" s="44">
        <f>+Table1[[#This Row],[Data Leavers Date]]+Table1[[#This Row],[Data Exit Forms]]</f>
        <v>0</v>
      </c>
      <c r="ES304" s="44" t="str">
        <f>IF(Table1[Data Leavers Date]=1000,SUM(Table1[Leaving Date]-Table1[Start Date]),"")</f>
        <v/>
      </c>
      <c r="ET304" s="44" t="str">
        <f>IF(Table1[Data Leavers Date]=2000,SUM(Table1[Leaving Date]-Table1[Start Date]),"")</f>
        <v/>
      </c>
      <c r="EU304" s="44" t="str">
        <f>IF(Table1[Data Leavers Date]=3000,SUM(Table1[Leaving Date]-Table1[Start Date]),"")</f>
        <v/>
      </c>
      <c r="EV304" s="44" t="str">
        <f>IF(Table1[Data Leavers Date]=4000,SUM(Table1[Leaving Date]-Table1[Start Date]),"")</f>
        <v/>
      </c>
      <c r="EW304" s="44" t="str">
        <f>IF(Table1[Data Leavers Date]=5000,SUM(Table1[Leaving Date]-Table1[Start Date]),"")</f>
        <v/>
      </c>
      <c r="EX304" s="44" t="str">
        <f>IF(Table1[Data Leavers Date]=6000,SUM(Table1[Leaving Date]-Table1[Start Date]),"")</f>
        <v/>
      </c>
      <c r="EY304" s="44" t="str">
        <f>IF(Table1[Data Leavers Date]=7000,SUM(Table1[Leaving Date]-Table1[Start Date]),"")</f>
        <v/>
      </c>
      <c r="EZ304" s="44" t="str">
        <f>IF(Table1[Data Leavers Date]=8000,SUM(Table1[Leaving Date]-Table1[Start Date]),"")</f>
        <v/>
      </c>
      <c r="FA304" s="44" t="str">
        <f>IF(Table1[Date of Initial Assessment]="","",IF(AND(Table1[Start Date]&gt;42094,Table1[Start Date]&lt;42461),Table1[Motivation and Taking Responsibility],""))</f>
        <v/>
      </c>
      <c r="FB304" s="44" t="str">
        <f>IF(Table1[Date of Initial Assessment]="","",IF(AND(Table1[Start Date]&gt;42094,Table1[Start Date]&lt;42461),Table1[Self-Care and Living Skills],""))</f>
        <v/>
      </c>
      <c r="FC304" s="44" t="str">
        <f>IF(Table1[Date of Initial Assessment]="","",IF(AND(Table1[Start Date]&gt;42094,Table1[Start Date]&lt;42461),Table1[Managing Money and Personal Administration],""))</f>
        <v/>
      </c>
      <c r="FD304" s="44" t="str">
        <f>IF(Table1[Date of Initial Assessment]="","",IF(AND(Table1[Start Date]&gt;42094,Table1[Start Date]&lt;42461),Table1[Social Networks and Relationships],""))</f>
        <v/>
      </c>
      <c r="FE304" s="44" t="str">
        <f>IF(Table1[Date of Initial Assessment]="","",IF(AND(Table1[Start Date]&gt;42094,Table1[Start Date]&lt;42461),Table1[Drug and Alcohol Misuse],""))</f>
        <v/>
      </c>
      <c r="FF304" s="44" t="str">
        <f>IF(Table1[Date of Initial Assessment]="","",IF(AND(Table1[Start Date]&gt;42094,Table1[Start Date]&lt;42461),Table1[Physical Health],""))</f>
        <v/>
      </c>
      <c r="FG304" s="44" t="str">
        <f>IF(Table1[Date of Initial Assessment]="","",IF(AND(Table1[Start Date]&gt;42094,Table1[Start Date]&lt;42461),Table1[Emotional and Mental Health],""))</f>
        <v/>
      </c>
      <c r="FH304" s="44" t="str">
        <f>IF(Table1[Date of Initial Assessment]="","",IF(AND(Table1[Start Date]&gt;42094,Table1[Start Date]&lt;42461),Table1[Meaningful Use of Time],""))</f>
        <v/>
      </c>
      <c r="FI304" s="44" t="str">
        <f>IF(Table1[Date of Initial Assessment]="","",IF(AND(Table1[Start Date]&gt;42094,Table1[Start Date]&lt;42461),Table1[Managing Tenancy and Accommodation],""))</f>
        <v/>
      </c>
      <c r="FJ304" s="44" t="str">
        <f>IF(Table1[Date of Initial Assessment]="","",IF(AND(Table1[Start Date]&gt;42094,Table1[Start Date]&lt;42461),Table1[Offending],""))</f>
        <v/>
      </c>
      <c r="FK304" s="44" t="str">
        <f>IF(Table1[Leaving Date]="","",IF(Table1[Date of Initial Assessment]="","",IF(AND(Table1[Leaving Date]&gt;42094,Table1[Leaving Date]&lt;42461),IF(Table1[Date of Last Assessment]="",Table1[Motivation and Taking Responsibility],Table1[Motivation and Taking Responsibility2]),"")))</f>
        <v/>
      </c>
      <c r="FL304" s="44" t="str">
        <f>IF(Table1[Leaving Date]="","",IF(Table1[Date of Initial Assessment]="","",IF(AND(Table1[Leaving Date]&gt;42094,Table1[Leaving Date]&lt;42461),IF(Table1[Date of Last Assessment]="",Table1[Self-Care and Living Skills],Table1[Self-Care and Living Skills2]),"")))</f>
        <v/>
      </c>
      <c r="FM304" s="44" t="str">
        <f>IF(Table1[Leaving Date]="","",IF(Table1[Date of Initial Assessment]="","",IF(AND(Table1[Leaving Date]&gt;42094,Table1[Leaving Date]&lt;42461),IF(Table1[Date of Last Assessment]="",Table1[Managing Money and Personal Administration],Table1[Managing Money and Personal Administration2]),"")))</f>
        <v/>
      </c>
      <c r="FN304" s="44" t="str">
        <f>IF(Table1[Leaving Date]="","",IF(Table1[Date of Initial Assessment]="","",IF(AND(Table1[Leaving Date]&gt;42094,Table1[Leaving Date]&lt;42461),IF(Table1[Date of Last Assessment]="",Table1[Social Networks and Relationships],Table1[Social Networks and Relationships2]),"")))</f>
        <v/>
      </c>
      <c r="FO304" s="44" t="str">
        <f>IF(Table1[Leaving Date]="","",IF(Table1[Date of Initial Assessment]="","",IF(AND(Table1[Leaving Date]&gt;42094,Table1[Leaving Date]&lt;42461),IF(Table1[Date of Last Assessment]="",Table1[Drug and Alcohol Misuse],Table1[Drug and Alcohol Misuse2]),"")))</f>
        <v/>
      </c>
      <c r="FP304" s="44" t="str">
        <f>IF(Table1[Leaving Date]="","",IF(Table1[Date of Initial Assessment]="","",IF(AND(Table1[Leaving Date]&gt;42094,Table1[Leaving Date]&lt;42461),IF(Table1[Date of Last Assessment]="",Table1[Physical Health],Table1[Physical Health2]),"")))</f>
        <v/>
      </c>
      <c r="FQ304" s="44" t="str">
        <f>IF(Table1[Leaving Date]="","",IF(Table1[Date of Initial Assessment]="","",IF(AND(Table1[Leaving Date]&gt;42094,Table1[Leaving Date]&lt;42461),IF(Table1[Date of Last Assessment]="",Table1[Emotional and Mental Health],Table1[Emotional and Mental Health2]),"")))</f>
        <v/>
      </c>
      <c r="FR304" s="44" t="str">
        <f>IF(Table1[Leaving Date]="","",IF(Table1[Date of Initial Assessment]="","",IF(AND(Table1[Leaving Date]&gt;42094,Table1[Leaving Date]&lt;42461),IF(Table1[Date of Last Assessment]="",Table1[Meaningful Use of Time],Table1[Meaningful Use of Time2]),"")))</f>
        <v/>
      </c>
      <c r="FS304" s="44" t="str">
        <f>IF(Table1[Leaving Date]="","",IF(Table1[Date of Initial Assessment]="","",IF(AND(Table1[Leaving Date]&gt;42094,Table1[Leaving Date]&lt;42461),IF(Table1[Date of Last Assessment]="",Table1[Managing Tenancy and Accommodation],Table1[Managing Tenancy and Accommodation2]),"")))</f>
        <v/>
      </c>
      <c r="FT304" s="44" t="str">
        <f>IF(Table1[Leaving Date]="","",IF(Table1[Date of Initial Assessment]="","",IF(AND(Table1[Leaving Date]&gt;42094,Table1[Leaving Date]&lt;42461),IF(Table1[Date of Last Assessment]="",Table1[Offending],Table1[Offending2]),"")))</f>
        <v/>
      </c>
      <c r="FU304" s="44" t="str">
        <f>IF(Table1[Date of Initial Assessment]="","",IF(AND(Table1[Start Date]&gt;42460,Table1[Start Date]&lt;42826),Table1[Motivation and Taking Responsibility],""))</f>
        <v/>
      </c>
      <c r="FV304" s="44" t="str">
        <f>IF(Table1[Date of Initial Assessment]="","",IF(AND(Table1[Start Date]&gt;42460,Table1[Start Date]&lt;42826),Table1[Self-Care and Living Skills],""))</f>
        <v/>
      </c>
      <c r="FW304" s="44" t="str">
        <f>IF(Table1[Date of Initial Assessment]="","",IF(AND(Table1[Start Date]&gt;42460,Table1[Start Date]&lt;42826),Table1[Managing Money and Personal Administration],""))</f>
        <v/>
      </c>
      <c r="FX304" s="44" t="str">
        <f>IF(Table1[Date of Initial Assessment]="","",IF(AND(Table1[Start Date]&gt;42460,Table1[Start Date]&lt;42826),Table1[Social Networks and Relationships],""))</f>
        <v/>
      </c>
      <c r="FY304" s="44" t="str">
        <f>IF(Table1[Date of Initial Assessment]="","",IF(AND(Table1[Start Date]&gt;42460,Table1[Start Date]&lt;42826),Table1[Drug and Alcohol Misuse],""))</f>
        <v/>
      </c>
      <c r="FZ304" s="44" t="str">
        <f>IF(Table1[Date of Initial Assessment]="","",IF(AND(Table1[Start Date]&gt;42460,Table1[Start Date]&lt;42826),Table1[Physical Health],""))</f>
        <v/>
      </c>
      <c r="GA304" s="44" t="str">
        <f>IF(Table1[Date of Initial Assessment]="","",IF(AND(Table1[Start Date]&gt;42460,Table1[Start Date]&lt;42826),Table1[Emotional and Mental Health],""))</f>
        <v/>
      </c>
      <c r="GB304" s="44" t="str">
        <f>IF(Table1[Date of Initial Assessment]="","",IF(AND(Table1[Start Date]&gt;42460,Table1[Start Date]&lt;42826),Table1[Meaningful Use of Time],""))</f>
        <v/>
      </c>
      <c r="GC304" s="44" t="str">
        <f>IF(Table1[Date of Initial Assessment]="","",IF(AND(Table1[Start Date]&gt;42460,Table1[Start Date]&lt;42826),Table1[Managing Tenancy and Accommodation],""))</f>
        <v/>
      </c>
      <c r="GD304" s="44" t="str">
        <f>IF(Table1[Date of Initial Assessment]="","",IF(AND(Table1[Start Date]&gt;42460,Table1[Start Date]&lt;42826),Table1[Offending],""))</f>
        <v/>
      </c>
      <c r="GE304" s="44" t="str">
        <f>IF(Table1[Leaving Date]="","",IF(AND(Table1[Leaving Date]&gt;42460,Table1[Leaving Date]&lt;42826),IF(Table1[Date of Last Assessment]="",Table1[Motivation and Taking Responsibility],Table1[Motivation and Taking Responsibility2]),""))</f>
        <v/>
      </c>
      <c r="GF304" s="44" t="str">
        <f>IF(Table1[Leaving Date]="","",IF(AND(Table1[Leaving Date]&gt;42460,Table1[Leaving Date]&lt;42826),IF(Table1[Date of Last Assessment]="",Table1[Self-Care and Living Skills],Table1[Self-Care and Living Skills2]),""))</f>
        <v/>
      </c>
      <c r="GG304" s="44" t="str">
        <f>IF(Table1[Leaving Date]="","",IF(AND(Table1[Leaving Date]&gt;42460,Table1[Leaving Date]&lt;42826),IF(Table1[Date of Last Assessment]="",Table1[Managing Money and Personal Administration],Table1[Managing Money and Personal Administration2]),""))</f>
        <v/>
      </c>
      <c r="GH304" s="44" t="str">
        <f>IF(Table1[Leaving Date]="","",IF(AND(Table1[Leaving Date]&gt;42460,Table1[Leaving Date]&lt;42826),IF(Table1[Date of Last Assessment]="",Table1[Social Networks and Relationships],Table1[Social Networks and Relationships2]),""))</f>
        <v/>
      </c>
      <c r="GI304" s="44" t="str">
        <f>IF(Table1[Leaving Date]="","",IF(AND(Table1[Leaving Date]&gt;42460,Table1[Leaving Date]&lt;42826),IF(Table1[Date of Last Assessment]="",Table1[Drug and Alcohol Misuse],Table1[Drug and Alcohol Misuse2]),""))</f>
        <v/>
      </c>
      <c r="GJ304" s="44" t="str">
        <f>IF(Table1[Leaving Date]="","",IF(AND(Table1[Leaving Date]&gt;42460,Table1[Leaving Date]&lt;42826),IF(Table1[Date of Last Assessment]="",Table1[Physical Health],Table1[Physical Health2]),""))</f>
        <v/>
      </c>
      <c r="GK304" s="44" t="str">
        <f>IF(Table1[Leaving Date]="","",IF(AND(Table1[Leaving Date]&gt;42460,Table1[Leaving Date]&lt;42826),IF(Table1[Date of Last Assessment]="",Table1[Emotional and Mental Health],Table1[Emotional and Mental Health2]),""))</f>
        <v/>
      </c>
      <c r="GL304" s="44" t="str">
        <f>IF(Table1[Leaving Date]="","",IF(AND(Table1[Leaving Date]&gt;42460,Table1[Leaving Date]&lt;42826),IF(Table1[Date of Last Assessment]="",Table1[Meaningful Use of Time],Table1[Meaningful Use of Time2]),""))</f>
        <v/>
      </c>
      <c r="GM304" s="44" t="str">
        <f>IF(Table1[Leaving Date]="","",IF(AND(Table1[Leaving Date]&gt;42460,Table1[Leaving Date]&lt;42826),IF(Table1[Date of Last Assessment]="",Table1[Managing Tenancy and Accommodation],Table1[Managing Tenancy and Accommodation2]),""))</f>
        <v/>
      </c>
      <c r="GN304" s="44" t="str">
        <f>IF(Table1[Leaving Date]="","",IF(AND(Table1[Leaving Date]&gt;42460,Table1[Leaving Date]&lt;42826),IF(Table1[Date of Last Assessment]="",Table1[Offending],Table1[Offending2]),""))</f>
        <v/>
      </c>
    </row>
    <row r="305" spans="2:196" ht="20.100000000000001" customHeight="1" x14ac:dyDescent="0.2">
      <c r="B305" s="86">
        <f>+'Service Data'!$C$5:$C$5</f>
        <v>0</v>
      </c>
      <c r="C305" s="86"/>
      <c r="D305" s="86"/>
      <c r="E305" s="86"/>
      <c r="F305" s="86"/>
      <c r="G305" s="86"/>
      <c r="H305" s="6"/>
      <c r="I305" s="99" t="str">
        <f ca="1">IF(Table1[[#This Row],[Date of Birth]]="","",SUM(TODAY()-Table1[[#This Row],[Date of Birth]])/365)</f>
        <v/>
      </c>
      <c r="L305" s="86"/>
      <c r="M305" s="77"/>
      <c r="N305" s="86"/>
      <c r="O305" s="86"/>
      <c r="P305" s="91"/>
      <c r="Q305" s="86"/>
      <c r="R305" s="77"/>
      <c r="S305" s="77"/>
      <c r="T305" s="68"/>
      <c r="U305" s="68"/>
      <c r="V305" s="67"/>
      <c r="W305" s="67"/>
      <c r="X305" s="67"/>
      <c r="Y305" s="67"/>
      <c r="Z305" s="67"/>
      <c r="AA305" s="67"/>
      <c r="AB305" s="67"/>
      <c r="AC305" s="67"/>
      <c r="AD305" s="67"/>
      <c r="AE305" s="67"/>
      <c r="AF305" s="67"/>
      <c r="AG305" s="67"/>
      <c r="AH305" s="67"/>
      <c r="AI305" s="67"/>
      <c r="AJ305" s="67"/>
      <c r="AK305" s="67"/>
      <c r="AL305" s="67"/>
      <c r="AM305" s="67"/>
      <c r="AN305" s="77"/>
      <c r="AO305" s="76"/>
      <c r="AP305" s="77"/>
      <c r="AQ305" s="76"/>
      <c r="AR305" s="76"/>
      <c r="AS305" s="76"/>
      <c r="AT305" s="76"/>
      <c r="AU305" s="76"/>
      <c r="AV305" s="77"/>
      <c r="AW305" s="76"/>
      <c r="AX305" s="77"/>
      <c r="AY305" s="76"/>
      <c r="AZ305" s="76"/>
      <c r="BA305" s="76"/>
      <c r="BB305" s="76"/>
      <c r="BC305" s="76"/>
      <c r="BD305" s="77"/>
      <c r="BE305" s="76"/>
      <c r="BF305" s="77"/>
      <c r="BG305" s="76"/>
      <c r="BH305" s="76"/>
      <c r="BI305" s="76"/>
      <c r="BJ305" s="76"/>
      <c r="BK305" s="76"/>
      <c r="BL305" s="77"/>
      <c r="BM305" s="76"/>
      <c r="BN305" s="77"/>
      <c r="BO305" s="76"/>
      <c r="BP305" s="76"/>
      <c r="BQ305" s="76"/>
      <c r="BR305" s="76"/>
      <c r="BS305" s="76"/>
      <c r="BT305" s="77"/>
      <c r="BU305" s="76"/>
      <c r="BV305" s="77"/>
      <c r="BW305" s="76"/>
      <c r="BX305" s="76"/>
      <c r="BY305" s="76"/>
      <c r="BZ305" s="76"/>
      <c r="CA305" s="76"/>
      <c r="CB305" s="77"/>
      <c r="CC305" s="76"/>
      <c r="CD305" s="77"/>
      <c r="CE305" s="76"/>
      <c r="CF305" s="76"/>
      <c r="CG305" s="76"/>
      <c r="CH305" s="76"/>
      <c r="CI305" s="76"/>
      <c r="CJ305" s="77"/>
      <c r="CK305" s="76"/>
      <c r="CL305" s="77"/>
      <c r="CM305" s="76"/>
      <c r="CN305" s="76"/>
      <c r="CO305" s="76"/>
      <c r="CP305" s="76"/>
      <c r="CQ305" s="76"/>
      <c r="CR305" s="78" t="str">
        <f t="shared" si="79"/>
        <v/>
      </c>
      <c r="CS305" s="79" t="str">
        <f t="shared" si="80"/>
        <v/>
      </c>
      <c r="CT305" s="79" t="str">
        <f t="shared" si="81"/>
        <v/>
      </c>
      <c r="CU305" s="79" t="str">
        <f t="shared" si="82"/>
        <v/>
      </c>
      <c r="CV305" s="79" t="str">
        <f t="shared" si="83"/>
        <v/>
      </c>
      <c r="CW305" s="79" t="str">
        <f t="shared" si="84"/>
        <v/>
      </c>
      <c r="CX305" s="79" t="str">
        <f t="shared" si="85"/>
        <v/>
      </c>
      <c r="CY305" s="79" t="str">
        <f t="shared" si="86"/>
        <v/>
      </c>
      <c r="CZ305" s="79" t="str">
        <f t="shared" si="87"/>
        <v/>
      </c>
      <c r="DA305" s="79" t="str">
        <f t="shared" si="88"/>
        <v/>
      </c>
      <c r="DB305" s="79" t="str">
        <f t="shared" si="89"/>
        <v/>
      </c>
      <c r="DC305" s="79" t="str">
        <f t="shared" si="90"/>
        <v/>
      </c>
      <c r="DD305" s="79" t="str">
        <f t="shared" si="91"/>
        <v/>
      </c>
      <c r="DE305" s="79" t="str">
        <f t="shared" si="92"/>
        <v/>
      </c>
      <c r="DF305" s="79" t="str">
        <f t="shared" si="93"/>
        <v/>
      </c>
      <c r="DG305" s="79" t="str">
        <f t="shared" si="94"/>
        <v/>
      </c>
      <c r="DH305" s="76"/>
      <c r="DI305" s="78"/>
      <c r="DJ305" s="76"/>
      <c r="DK305" s="77"/>
      <c r="DL305" s="77"/>
      <c r="DM305" s="77"/>
      <c r="DN305" s="80"/>
      <c r="DO305" s="80"/>
      <c r="DP305" s="92" t="str">
        <f>IF(Table1[Start Date]="","",IF(Table1[Start Date]&gt;42185,"",IF(AND(Table1[Leaving Date]&gt;1,Table1[Leaving Date]&lt;42095),"",1)))</f>
        <v/>
      </c>
      <c r="DQ305" s="92" t="str">
        <f>IF(Table1[Start Date]="","",IF(Table1[Start Date]&gt;42277,"",IF(AND(Table1[Leaving Date]&gt;1,Table1[Leaving Date]&lt;42186),"",1)))</f>
        <v/>
      </c>
      <c r="DR305" s="92" t="str">
        <f>IF(Table1[Start Date]="","",IF(Table1[Start Date]&gt;42369,"",IF(AND(Table1[Leaving Date]&gt;1,Table1[Leaving Date]&lt;42278),"",1)))</f>
        <v/>
      </c>
      <c r="DS305" s="92" t="str">
        <f>IF(Table1[Start Date]="","",IF(Table1[Start Date]&gt;42460,"",IF(AND(Table1[Leaving Date]&gt;1,Table1[Leaving Date]&lt;42370),"",1)))</f>
        <v/>
      </c>
      <c r="DT305" s="92" t="str">
        <f>IF(Table1[Start Date]="","",IF(Table1[Start Date]&gt;42551,"",IF(AND(Table1[Leaving Date]&gt;1,Table1[Leaving Date]&lt;42461),"",1)))</f>
        <v/>
      </c>
      <c r="DU305" s="92" t="str">
        <f>IF(Table1[Start Date]="","",IF(Table1[Start Date]&gt;42643,"",IF(AND(Table1[Leaving Date]&gt;1,Table1[Leaving Date]&lt;42552),"",1)))</f>
        <v/>
      </c>
      <c r="DV305" s="92" t="str">
        <f>IF(Table1[Start Date]="","",IF(Table1[Start Date]&gt;42735,"",IF(AND(Table1[Leaving Date]&gt;1,Table1[Leaving Date]&lt;42644),"",1)))</f>
        <v/>
      </c>
      <c r="DW305" s="92" t="str">
        <f>IF(Table1[Start Date]="","",IF(Table1[Start Date]&gt;42825,"",IF(AND(Table1[Leaving Date]&gt;1,Table1[Leaving Date]&lt;42736),"",1)))</f>
        <v/>
      </c>
      <c r="DX305"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305" s="44" t="e">
        <f>VLOOKUP(Table1[Referral Source],Lists!$G$2:$H$20,2,FALSE)</f>
        <v>#N/A</v>
      </c>
      <c r="DZ305" s="93" t="e">
        <f>SUM(Table1[Data Referral Quarter]+Table1[Data Referral Source])</f>
        <v>#N/A</v>
      </c>
      <c r="EA305" s="44" t="b">
        <f>IF(Table1[Referral Decision]="Accepted",100,IF(Table1[Referral Decision]="Rejected by Provider",200,IF(Table1[Referral Decision]="Rejected by Applicant",300)))</f>
        <v>0</v>
      </c>
      <c r="EB305" s="44">
        <f>SUM(Table1[Data Referral Quarter]+Table1[Data Referral Decision])</f>
        <v>0</v>
      </c>
      <c r="EC305" s="44" t="b">
        <f>IF(Table1[Start Date]&gt;42735,8000,IF(Table1[Start Date]&gt;42643,7000,IF(Table1[Start Date]&gt;42551,6000,IF(Table1[Start Date]&gt;42460,5000,IF(Table1[Start Date]&gt;42369,4000,IF(Table1[Start Date]&gt;42277,3000,IF(Table1[Start Date]&gt;42185,2000,IF(Table1[Start Date]&gt;42094,1000))))))))</f>
        <v>0</v>
      </c>
      <c r="ED305" s="44" t="str">
        <f>IF(Table1[Start Date]="","",IF(Table1[Current Local Authority]="Swindon",1,"2"))</f>
        <v/>
      </c>
      <c r="EE305" s="44" t="e">
        <f>SUM(Table1[Data Start Date]+Table1[Data Local Authority])</f>
        <v>#VALUE!</v>
      </c>
      <c r="EF305" s="44">
        <f>IF(Table1[Registered with GP]="Yes",1,0)</f>
        <v>0</v>
      </c>
      <c r="EG305" s="44">
        <f>SUM(Table1[Data Start Date]+Table1[Data GP Start])</f>
        <v>0</v>
      </c>
      <c r="EH305" s="44" t="str">
        <f>IF(Table1[EET]="NEET",1,IF(Table1[EET]="Education",2,IF(Table1[EET]="Employment",2,IF(Table1[EET]="Training",2,IF(Table1[EET]="Retired",3,"")))))</f>
        <v/>
      </c>
      <c r="EI305" s="44" t="e">
        <f>Table1[Data Start Date]+Table1[Data EET Start]</f>
        <v>#VALUE!</v>
      </c>
      <c r="EJ305" s="44" t="b">
        <f>IF(Table1[Leaving Date]&gt;42735,8000,IF(Table1[Leaving Date]&gt;42643,7000,IF(Table1[Leaving Date]&gt;42551,6000,IF(Table1[Leaving Date]&gt;42460,5000,IF(Table1[Leaving Date]&gt;42369,4000,IF(Table1[Leaving Date]&gt;42277,3000,IF(Table1[Leaving Date]&gt;42185,2000,IF(Table1[Leaving Date]&gt;42094,1000))))))))</f>
        <v>0</v>
      </c>
      <c r="EK305" s="44" t="e">
        <f>VLOOKUP(Table1[Reason for Leaving],Lists!$T$2:$U$15,2,FALSE)</f>
        <v>#N/A</v>
      </c>
      <c r="EL305" s="44" t="e">
        <f>SUM(Table1[Data Leavers Date]+Table1[Data Move On])</f>
        <v>#N/A</v>
      </c>
      <c r="EM305" s="44" t="b">
        <f>IF(Table1[Registered with GP2]="Yes",1,IF(Table1[Registered with GP2]="No",0,IF(Table1[Registered with GP]="Yes",1,IF(Table1[Registered with GP]="No",0))))</f>
        <v>0</v>
      </c>
      <c r="EN305" s="44">
        <f>SUM(Table1[Data Leavers Date]+Table1[Data GP End])</f>
        <v>0</v>
      </c>
      <c r="EO305" s="44" t="str">
        <f>IF(Table1[EET2]="NEET",1,IF(Table1[EET2]="Employment",2,IF(Table1[EET2]="Education",2,IF(Table1[EET2]="Training",2,IF(Table1[EET2]="Retired",3,IF(Table1[EET]="NEET",1,IF(Table1[EET]="Employment",2,IF(Table1[EET]="Education",2,IF(Table1[EET]="Training",2,IF(Table1[EET]="Retired",3,""))))))))))</f>
        <v/>
      </c>
      <c r="EP305" s="44" t="e">
        <f>+Table1[[#This Row],[Data Leavers Date]]+Table1[[#This Row],[Data EET End]]</f>
        <v>#VALUE!</v>
      </c>
      <c r="EQ305" s="44">
        <f>IF(Table1[Exit Form Received]="Yes",1,0)</f>
        <v>0</v>
      </c>
      <c r="ER305" s="44">
        <f>+Table1[[#This Row],[Data Leavers Date]]+Table1[[#This Row],[Data Exit Forms]]</f>
        <v>0</v>
      </c>
      <c r="ES305" s="44" t="str">
        <f>IF(Table1[Data Leavers Date]=1000,SUM(Table1[Leaving Date]-Table1[Start Date]),"")</f>
        <v/>
      </c>
      <c r="ET305" s="44" t="str">
        <f>IF(Table1[Data Leavers Date]=2000,SUM(Table1[Leaving Date]-Table1[Start Date]),"")</f>
        <v/>
      </c>
      <c r="EU305" s="44" t="str">
        <f>IF(Table1[Data Leavers Date]=3000,SUM(Table1[Leaving Date]-Table1[Start Date]),"")</f>
        <v/>
      </c>
      <c r="EV305" s="44" t="str">
        <f>IF(Table1[Data Leavers Date]=4000,SUM(Table1[Leaving Date]-Table1[Start Date]),"")</f>
        <v/>
      </c>
      <c r="EW305" s="44" t="str">
        <f>IF(Table1[Data Leavers Date]=5000,SUM(Table1[Leaving Date]-Table1[Start Date]),"")</f>
        <v/>
      </c>
      <c r="EX305" s="44" t="str">
        <f>IF(Table1[Data Leavers Date]=6000,SUM(Table1[Leaving Date]-Table1[Start Date]),"")</f>
        <v/>
      </c>
      <c r="EY305" s="44" t="str">
        <f>IF(Table1[Data Leavers Date]=7000,SUM(Table1[Leaving Date]-Table1[Start Date]),"")</f>
        <v/>
      </c>
      <c r="EZ305" s="44" t="str">
        <f>IF(Table1[Data Leavers Date]=8000,SUM(Table1[Leaving Date]-Table1[Start Date]),"")</f>
        <v/>
      </c>
      <c r="FA305" s="44" t="str">
        <f>IF(Table1[Date of Initial Assessment]="","",IF(AND(Table1[Start Date]&gt;42094,Table1[Start Date]&lt;42461),Table1[Motivation and Taking Responsibility],""))</f>
        <v/>
      </c>
      <c r="FB305" s="44" t="str">
        <f>IF(Table1[Date of Initial Assessment]="","",IF(AND(Table1[Start Date]&gt;42094,Table1[Start Date]&lt;42461),Table1[Self-Care and Living Skills],""))</f>
        <v/>
      </c>
      <c r="FC305" s="44" t="str">
        <f>IF(Table1[Date of Initial Assessment]="","",IF(AND(Table1[Start Date]&gt;42094,Table1[Start Date]&lt;42461),Table1[Managing Money and Personal Administration],""))</f>
        <v/>
      </c>
      <c r="FD305" s="44" t="str">
        <f>IF(Table1[Date of Initial Assessment]="","",IF(AND(Table1[Start Date]&gt;42094,Table1[Start Date]&lt;42461),Table1[Social Networks and Relationships],""))</f>
        <v/>
      </c>
      <c r="FE305" s="44" t="str">
        <f>IF(Table1[Date of Initial Assessment]="","",IF(AND(Table1[Start Date]&gt;42094,Table1[Start Date]&lt;42461),Table1[Drug and Alcohol Misuse],""))</f>
        <v/>
      </c>
      <c r="FF305" s="44" t="str">
        <f>IF(Table1[Date of Initial Assessment]="","",IF(AND(Table1[Start Date]&gt;42094,Table1[Start Date]&lt;42461),Table1[Physical Health],""))</f>
        <v/>
      </c>
      <c r="FG305" s="44" t="str">
        <f>IF(Table1[Date of Initial Assessment]="","",IF(AND(Table1[Start Date]&gt;42094,Table1[Start Date]&lt;42461),Table1[Emotional and Mental Health],""))</f>
        <v/>
      </c>
      <c r="FH305" s="44" t="str">
        <f>IF(Table1[Date of Initial Assessment]="","",IF(AND(Table1[Start Date]&gt;42094,Table1[Start Date]&lt;42461),Table1[Meaningful Use of Time],""))</f>
        <v/>
      </c>
      <c r="FI305" s="44" t="str">
        <f>IF(Table1[Date of Initial Assessment]="","",IF(AND(Table1[Start Date]&gt;42094,Table1[Start Date]&lt;42461),Table1[Managing Tenancy and Accommodation],""))</f>
        <v/>
      </c>
      <c r="FJ305" s="44" t="str">
        <f>IF(Table1[Date of Initial Assessment]="","",IF(AND(Table1[Start Date]&gt;42094,Table1[Start Date]&lt;42461),Table1[Offending],""))</f>
        <v/>
      </c>
      <c r="FK305" s="44" t="str">
        <f>IF(Table1[Leaving Date]="","",IF(Table1[Date of Initial Assessment]="","",IF(AND(Table1[Leaving Date]&gt;42094,Table1[Leaving Date]&lt;42461),IF(Table1[Date of Last Assessment]="",Table1[Motivation and Taking Responsibility],Table1[Motivation and Taking Responsibility2]),"")))</f>
        <v/>
      </c>
      <c r="FL305" s="44" t="str">
        <f>IF(Table1[Leaving Date]="","",IF(Table1[Date of Initial Assessment]="","",IF(AND(Table1[Leaving Date]&gt;42094,Table1[Leaving Date]&lt;42461),IF(Table1[Date of Last Assessment]="",Table1[Self-Care and Living Skills],Table1[Self-Care and Living Skills2]),"")))</f>
        <v/>
      </c>
      <c r="FM305" s="44" t="str">
        <f>IF(Table1[Leaving Date]="","",IF(Table1[Date of Initial Assessment]="","",IF(AND(Table1[Leaving Date]&gt;42094,Table1[Leaving Date]&lt;42461),IF(Table1[Date of Last Assessment]="",Table1[Managing Money and Personal Administration],Table1[Managing Money and Personal Administration2]),"")))</f>
        <v/>
      </c>
      <c r="FN305" s="44" t="str">
        <f>IF(Table1[Leaving Date]="","",IF(Table1[Date of Initial Assessment]="","",IF(AND(Table1[Leaving Date]&gt;42094,Table1[Leaving Date]&lt;42461),IF(Table1[Date of Last Assessment]="",Table1[Social Networks and Relationships],Table1[Social Networks and Relationships2]),"")))</f>
        <v/>
      </c>
      <c r="FO305" s="44" t="str">
        <f>IF(Table1[Leaving Date]="","",IF(Table1[Date of Initial Assessment]="","",IF(AND(Table1[Leaving Date]&gt;42094,Table1[Leaving Date]&lt;42461),IF(Table1[Date of Last Assessment]="",Table1[Drug and Alcohol Misuse],Table1[Drug and Alcohol Misuse2]),"")))</f>
        <v/>
      </c>
      <c r="FP305" s="44" t="str">
        <f>IF(Table1[Leaving Date]="","",IF(Table1[Date of Initial Assessment]="","",IF(AND(Table1[Leaving Date]&gt;42094,Table1[Leaving Date]&lt;42461),IF(Table1[Date of Last Assessment]="",Table1[Physical Health],Table1[Physical Health2]),"")))</f>
        <v/>
      </c>
      <c r="FQ305" s="44" t="str">
        <f>IF(Table1[Leaving Date]="","",IF(Table1[Date of Initial Assessment]="","",IF(AND(Table1[Leaving Date]&gt;42094,Table1[Leaving Date]&lt;42461),IF(Table1[Date of Last Assessment]="",Table1[Emotional and Mental Health],Table1[Emotional and Mental Health2]),"")))</f>
        <v/>
      </c>
      <c r="FR305" s="44" t="str">
        <f>IF(Table1[Leaving Date]="","",IF(Table1[Date of Initial Assessment]="","",IF(AND(Table1[Leaving Date]&gt;42094,Table1[Leaving Date]&lt;42461),IF(Table1[Date of Last Assessment]="",Table1[Meaningful Use of Time],Table1[Meaningful Use of Time2]),"")))</f>
        <v/>
      </c>
      <c r="FS305" s="44" t="str">
        <f>IF(Table1[Leaving Date]="","",IF(Table1[Date of Initial Assessment]="","",IF(AND(Table1[Leaving Date]&gt;42094,Table1[Leaving Date]&lt;42461),IF(Table1[Date of Last Assessment]="",Table1[Managing Tenancy and Accommodation],Table1[Managing Tenancy and Accommodation2]),"")))</f>
        <v/>
      </c>
      <c r="FT305" s="44" t="str">
        <f>IF(Table1[Leaving Date]="","",IF(Table1[Date of Initial Assessment]="","",IF(AND(Table1[Leaving Date]&gt;42094,Table1[Leaving Date]&lt;42461),IF(Table1[Date of Last Assessment]="",Table1[Offending],Table1[Offending2]),"")))</f>
        <v/>
      </c>
      <c r="FU305" s="44" t="str">
        <f>IF(Table1[Date of Initial Assessment]="","",IF(AND(Table1[Start Date]&gt;42460,Table1[Start Date]&lt;42826),Table1[Motivation and Taking Responsibility],""))</f>
        <v/>
      </c>
      <c r="FV305" s="44" t="str">
        <f>IF(Table1[Date of Initial Assessment]="","",IF(AND(Table1[Start Date]&gt;42460,Table1[Start Date]&lt;42826),Table1[Self-Care and Living Skills],""))</f>
        <v/>
      </c>
      <c r="FW305" s="44" t="str">
        <f>IF(Table1[Date of Initial Assessment]="","",IF(AND(Table1[Start Date]&gt;42460,Table1[Start Date]&lt;42826),Table1[Managing Money and Personal Administration],""))</f>
        <v/>
      </c>
      <c r="FX305" s="44" t="str">
        <f>IF(Table1[Date of Initial Assessment]="","",IF(AND(Table1[Start Date]&gt;42460,Table1[Start Date]&lt;42826),Table1[Social Networks and Relationships],""))</f>
        <v/>
      </c>
      <c r="FY305" s="44" t="str">
        <f>IF(Table1[Date of Initial Assessment]="","",IF(AND(Table1[Start Date]&gt;42460,Table1[Start Date]&lt;42826),Table1[Drug and Alcohol Misuse],""))</f>
        <v/>
      </c>
      <c r="FZ305" s="44" t="str">
        <f>IF(Table1[Date of Initial Assessment]="","",IF(AND(Table1[Start Date]&gt;42460,Table1[Start Date]&lt;42826),Table1[Physical Health],""))</f>
        <v/>
      </c>
      <c r="GA305" s="44" t="str">
        <f>IF(Table1[Date of Initial Assessment]="","",IF(AND(Table1[Start Date]&gt;42460,Table1[Start Date]&lt;42826),Table1[Emotional and Mental Health],""))</f>
        <v/>
      </c>
      <c r="GB305" s="44" t="str">
        <f>IF(Table1[Date of Initial Assessment]="","",IF(AND(Table1[Start Date]&gt;42460,Table1[Start Date]&lt;42826),Table1[Meaningful Use of Time],""))</f>
        <v/>
      </c>
      <c r="GC305" s="44" t="str">
        <f>IF(Table1[Date of Initial Assessment]="","",IF(AND(Table1[Start Date]&gt;42460,Table1[Start Date]&lt;42826),Table1[Managing Tenancy and Accommodation],""))</f>
        <v/>
      </c>
      <c r="GD305" s="44" t="str">
        <f>IF(Table1[Date of Initial Assessment]="","",IF(AND(Table1[Start Date]&gt;42460,Table1[Start Date]&lt;42826),Table1[Offending],""))</f>
        <v/>
      </c>
      <c r="GE305" s="44" t="str">
        <f>IF(Table1[Leaving Date]="","",IF(AND(Table1[Leaving Date]&gt;42460,Table1[Leaving Date]&lt;42826),IF(Table1[Date of Last Assessment]="",Table1[Motivation and Taking Responsibility],Table1[Motivation and Taking Responsibility2]),""))</f>
        <v/>
      </c>
      <c r="GF305" s="44" t="str">
        <f>IF(Table1[Leaving Date]="","",IF(AND(Table1[Leaving Date]&gt;42460,Table1[Leaving Date]&lt;42826),IF(Table1[Date of Last Assessment]="",Table1[Self-Care and Living Skills],Table1[Self-Care and Living Skills2]),""))</f>
        <v/>
      </c>
      <c r="GG305" s="44" t="str">
        <f>IF(Table1[Leaving Date]="","",IF(AND(Table1[Leaving Date]&gt;42460,Table1[Leaving Date]&lt;42826),IF(Table1[Date of Last Assessment]="",Table1[Managing Money and Personal Administration],Table1[Managing Money and Personal Administration2]),""))</f>
        <v/>
      </c>
      <c r="GH305" s="44" t="str">
        <f>IF(Table1[Leaving Date]="","",IF(AND(Table1[Leaving Date]&gt;42460,Table1[Leaving Date]&lt;42826),IF(Table1[Date of Last Assessment]="",Table1[Social Networks and Relationships],Table1[Social Networks and Relationships2]),""))</f>
        <v/>
      </c>
      <c r="GI305" s="44" t="str">
        <f>IF(Table1[Leaving Date]="","",IF(AND(Table1[Leaving Date]&gt;42460,Table1[Leaving Date]&lt;42826),IF(Table1[Date of Last Assessment]="",Table1[Drug and Alcohol Misuse],Table1[Drug and Alcohol Misuse2]),""))</f>
        <v/>
      </c>
      <c r="GJ305" s="44" t="str">
        <f>IF(Table1[Leaving Date]="","",IF(AND(Table1[Leaving Date]&gt;42460,Table1[Leaving Date]&lt;42826),IF(Table1[Date of Last Assessment]="",Table1[Physical Health],Table1[Physical Health2]),""))</f>
        <v/>
      </c>
      <c r="GK305" s="44" t="str">
        <f>IF(Table1[Leaving Date]="","",IF(AND(Table1[Leaving Date]&gt;42460,Table1[Leaving Date]&lt;42826),IF(Table1[Date of Last Assessment]="",Table1[Emotional and Mental Health],Table1[Emotional and Mental Health2]),""))</f>
        <v/>
      </c>
      <c r="GL305" s="44" t="str">
        <f>IF(Table1[Leaving Date]="","",IF(AND(Table1[Leaving Date]&gt;42460,Table1[Leaving Date]&lt;42826),IF(Table1[Date of Last Assessment]="",Table1[Meaningful Use of Time],Table1[Meaningful Use of Time2]),""))</f>
        <v/>
      </c>
      <c r="GM305" s="44" t="str">
        <f>IF(Table1[Leaving Date]="","",IF(AND(Table1[Leaving Date]&gt;42460,Table1[Leaving Date]&lt;42826),IF(Table1[Date of Last Assessment]="",Table1[Managing Tenancy and Accommodation],Table1[Managing Tenancy and Accommodation2]),""))</f>
        <v/>
      </c>
      <c r="GN305" s="44" t="str">
        <f>IF(Table1[Leaving Date]="","",IF(AND(Table1[Leaving Date]&gt;42460,Table1[Leaving Date]&lt;42826),IF(Table1[Date of Last Assessment]="",Table1[Offending],Table1[Offending2]),""))</f>
        <v/>
      </c>
    </row>
    <row r="306" spans="2:196" ht="20.100000000000001" customHeight="1" x14ac:dyDescent="0.2">
      <c r="B306" s="86">
        <f>+'Service Data'!$C$5:$C$5</f>
        <v>0</v>
      </c>
      <c r="C306" s="86"/>
      <c r="D306" s="86"/>
      <c r="E306" s="86"/>
      <c r="F306" s="86"/>
      <c r="G306" s="86"/>
      <c r="H306" s="6"/>
      <c r="I306" s="99" t="str">
        <f ca="1">IF(Table1[[#This Row],[Date of Birth]]="","",SUM(TODAY()-Table1[[#This Row],[Date of Birth]])/365)</f>
        <v/>
      </c>
      <c r="L306" s="86"/>
      <c r="M306" s="77"/>
      <c r="N306" s="86"/>
      <c r="O306" s="86"/>
      <c r="P306" s="91"/>
      <c r="Q306" s="86"/>
      <c r="R306" s="77"/>
      <c r="S306" s="77"/>
      <c r="T306" s="68"/>
      <c r="U306" s="68"/>
      <c r="V306" s="67"/>
      <c r="W306" s="67"/>
      <c r="X306" s="67"/>
      <c r="Y306" s="67"/>
      <c r="Z306" s="67"/>
      <c r="AA306" s="67"/>
      <c r="AB306" s="67"/>
      <c r="AC306" s="67"/>
      <c r="AD306" s="67"/>
      <c r="AE306" s="67"/>
      <c r="AF306" s="67"/>
      <c r="AG306" s="67"/>
      <c r="AH306" s="67"/>
      <c r="AI306" s="67"/>
      <c r="AJ306" s="67"/>
      <c r="AK306" s="67"/>
      <c r="AL306" s="67"/>
      <c r="AM306" s="67"/>
      <c r="AN306" s="77"/>
      <c r="AO306" s="76"/>
      <c r="AP306" s="77"/>
      <c r="AQ306" s="76"/>
      <c r="AR306" s="76"/>
      <c r="AS306" s="76"/>
      <c r="AT306" s="76"/>
      <c r="AU306" s="76"/>
      <c r="AV306" s="77"/>
      <c r="AW306" s="76"/>
      <c r="AX306" s="77"/>
      <c r="AY306" s="76"/>
      <c r="AZ306" s="76"/>
      <c r="BA306" s="76"/>
      <c r="BB306" s="76"/>
      <c r="BC306" s="76"/>
      <c r="BD306" s="77"/>
      <c r="BE306" s="76"/>
      <c r="BF306" s="77"/>
      <c r="BG306" s="76"/>
      <c r="BH306" s="76"/>
      <c r="BI306" s="76"/>
      <c r="BJ306" s="76"/>
      <c r="BK306" s="76"/>
      <c r="BL306" s="77"/>
      <c r="BM306" s="76"/>
      <c r="BN306" s="77"/>
      <c r="BO306" s="76"/>
      <c r="BP306" s="76"/>
      <c r="BQ306" s="76"/>
      <c r="BR306" s="76"/>
      <c r="BS306" s="76"/>
      <c r="BT306" s="77"/>
      <c r="BU306" s="76"/>
      <c r="BV306" s="77"/>
      <c r="BW306" s="76"/>
      <c r="BX306" s="76"/>
      <c r="BY306" s="76"/>
      <c r="BZ306" s="76"/>
      <c r="CA306" s="76"/>
      <c r="CB306" s="77"/>
      <c r="CC306" s="76"/>
      <c r="CD306" s="77"/>
      <c r="CE306" s="76"/>
      <c r="CF306" s="76"/>
      <c r="CG306" s="76"/>
      <c r="CH306" s="76"/>
      <c r="CI306" s="76"/>
      <c r="CJ306" s="77"/>
      <c r="CK306" s="76"/>
      <c r="CL306" s="77"/>
      <c r="CM306" s="76"/>
      <c r="CN306" s="76"/>
      <c r="CO306" s="76"/>
      <c r="CP306" s="76"/>
      <c r="CQ306" s="76"/>
      <c r="CR306" s="78" t="str">
        <f t="shared" si="79"/>
        <v/>
      </c>
      <c r="CS306" s="79" t="str">
        <f t="shared" si="80"/>
        <v/>
      </c>
      <c r="CT306" s="79" t="str">
        <f t="shared" si="81"/>
        <v/>
      </c>
      <c r="CU306" s="79" t="str">
        <f t="shared" si="82"/>
        <v/>
      </c>
      <c r="CV306" s="79" t="str">
        <f t="shared" si="83"/>
        <v/>
      </c>
      <c r="CW306" s="79" t="str">
        <f t="shared" si="84"/>
        <v/>
      </c>
      <c r="CX306" s="79" t="str">
        <f t="shared" si="85"/>
        <v/>
      </c>
      <c r="CY306" s="79" t="str">
        <f t="shared" si="86"/>
        <v/>
      </c>
      <c r="CZ306" s="79" t="str">
        <f t="shared" si="87"/>
        <v/>
      </c>
      <c r="DA306" s="79" t="str">
        <f t="shared" si="88"/>
        <v/>
      </c>
      <c r="DB306" s="79" t="str">
        <f t="shared" si="89"/>
        <v/>
      </c>
      <c r="DC306" s="79" t="str">
        <f t="shared" si="90"/>
        <v/>
      </c>
      <c r="DD306" s="79" t="str">
        <f t="shared" si="91"/>
        <v/>
      </c>
      <c r="DE306" s="79" t="str">
        <f t="shared" si="92"/>
        <v/>
      </c>
      <c r="DF306" s="79" t="str">
        <f t="shared" si="93"/>
        <v/>
      </c>
      <c r="DG306" s="79" t="str">
        <f t="shared" si="94"/>
        <v/>
      </c>
      <c r="DH306" s="76"/>
      <c r="DI306" s="78"/>
      <c r="DJ306" s="76"/>
      <c r="DK306" s="77"/>
      <c r="DL306" s="77"/>
      <c r="DM306" s="77"/>
      <c r="DN306" s="80"/>
      <c r="DO306" s="80"/>
      <c r="DP306" s="92" t="str">
        <f>IF(Table1[Start Date]="","",IF(Table1[Start Date]&gt;42185,"",IF(AND(Table1[Leaving Date]&gt;1,Table1[Leaving Date]&lt;42095),"",1)))</f>
        <v/>
      </c>
      <c r="DQ306" s="92" t="str">
        <f>IF(Table1[Start Date]="","",IF(Table1[Start Date]&gt;42277,"",IF(AND(Table1[Leaving Date]&gt;1,Table1[Leaving Date]&lt;42186),"",1)))</f>
        <v/>
      </c>
      <c r="DR306" s="92" t="str">
        <f>IF(Table1[Start Date]="","",IF(Table1[Start Date]&gt;42369,"",IF(AND(Table1[Leaving Date]&gt;1,Table1[Leaving Date]&lt;42278),"",1)))</f>
        <v/>
      </c>
      <c r="DS306" s="92" t="str">
        <f>IF(Table1[Start Date]="","",IF(Table1[Start Date]&gt;42460,"",IF(AND(Table1[Leaving Date]&gt;1,Table1[Leaving Date]&lt;42370),"",1)))</f>
        <v/>
      </c>
      <c r="DT306" s="92" t="str">
        <f>IF(Table1[Start Date]="","",IF(Table1[Start Date]&gt;42551,"",IF(AND(Table1[Leaving Date]&gt;1,Table1[Leaving Date]&lt;42461),"",1)))</f>
        <v/>
      </c>
      <c r="DU306" s="92" t="str">
        <f>IF(Table1[Start Date]="","",IF(Table1[Start Date]&gt;42643,"",IF(AND(Table1[Leaving Date]&gt;1,Table1[Leaving Date]&lt;42552),"",1)))</f>
        <v/>
      </c>
      <c r="DV306" s="92" t="str">
        <f>IF(Table1[Start Date]="","",IF(Table1[Start Date]&gt;42735,"",IF(AND(Table1[Leaving Date]&gt;1,Table1[Leaving Date]&lt;42644),"",1)))</f>
        <v/>
      </c>
      <c r="DW306" s="92" t="str">
        <f>IF(Table1[Start Date]="","",IF(Table1[Start Date]&gt;42825,"",IF(AND(Table1[Leaving Date]&gt;1,Table1[Leaving Date]&lt;42736),"",1)))</f>
        <v/>
      </c>
      <c r="DX306"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306" s="44" t="e">
        <f>VLOOKUP(Table1[Referral Source],Lists!$G$2:$H$20,2,FALSE)</f>
        <v>#N/A</v>
      </c>
      <c r="DZ306" s="93" t="e">
        <f>SUM(Table1[Data Referral Quarter]+Table1[Data Referral Source])</f>
        <v>#N/A</v>
      </c>
      <c r="EA306" s="44" t="b">
        <f>IF(Table1[Referral Decision]="Accepted",100,IF(Table1[Referral Decision]="Rejected by Provider",200,IF(Table1[Referral Decision]="Rejected by Applicant",300)))</f>
        <v>0</v>
      </c>
      <c r="EB306" s="44">
        <f>SUM(Table1[Data Referral Quarter]+Table1[Data Referral Decision])</f>
        <v>0</v>
      </c>
      <c r="EC306" s="44" t="b">
        <f>IF(Table1[Start Date]&gt;42735,8000,IF(Table1[Start Date]&gt;42643,7000,IF(Table1[Start Date]&gt;42551,6000,IF(Table1[Start Date]&gt;42460,5000,IF(Table1[Start Date]&gt;42369,4000,IF(Table1[Start Date]&gt;42277,3000,IF(Table1[Start Date]&gt;42185,2000,IF(Table1[Start Date]&gt;42094,1000))))))))</f>
        <v>0</v>
      </c>
      <c r="ED306" s="44" t="str">
        <f>IF(Table1[Start Date]="","",IF(Table1[Current Local Authority]="Swindon",1,"2"))</f>
        <v/>
      </c>
      <c r="EE306" s="44" t="e">
        <f>SUM(Table1[Data Start Date]+Table1[Data Local Authority])</f>
        <v>#VALUE!</v>
      </c>
      <c r="EF306" s="44">
        <f>IF(Table1[Registered with GP]="Yes",1,0)</f>
        <v>0</v>
      </c>
      <c r="EG306" s="44">
        <f>SUM(Table1[Data Start Date]+Table1[Data GP Start])</f>
        <v>0</v>
      </c>
      <c r="EH306" s="44" t="str">
        <f>IF(Table1[EET]="NEET",1,IF(Table1[EET]="Education",2,IF(Table1[EET]="Employment",2,IF(Table1[EET]="Training",2,IF(Table1[EET]="Retired",3,"")))))</f>
        <v/>
      </c>
      <c r="EI306" s="44" t="e">
        <f>Table1[Data Start Date]+Table1[Data EET Start]</f>
        <v>#VALUE!</v>
      </c>
      <c r="EJ306" s="44" t="b">
        <f>IF(Table1[Leaving Date]&gt;42735,8000,IF(Table1[Leaving Date]&gt;42643,7000,IF(Table1[Leaving Date]&gt;42551,6000,IF(Table1[Leaving Date]&gt;42460,5000,IF(Table1[Leaving Date]&gt;42369,4000,IF(Table1[Leaving Date]&gt;42277,3000,IF(Table1[Leaving Date]&gt;42185,2000,IF(Table1[Leaving Date]&gt;42094,1000))))))))</f>
        <v>0</v>
      </c>
      <c r="EK306" s="44" t="e">
        <f>VLOOKUP(Table1[Reason for Leaving],Lists!$T$2:$U$15,2,FALSE)</f>
        <v>#N/A</v>
      </c>
      <c r="EL306" s="44" t="e">
        <f>SUM(Table1[Data Leavers Date]+Table1[Data Move On])</f>
        <v>#N/A</v>
      </c>
      <c r="EM306" s="44" t="b">
        <f>IF(Table1[Registered with GP2]="Yes",1,IF(Table1[Registered with GP2]="No",0,IF(Table1[Registered with GP]="Yes",1,IF(Table1[Registered with GP]="No",0))))</f>
        <v>0</v>
      </c>
      <c r="EN306" s="44">
        <f>SUM(Table1[Data Leavers Date]+Table1[Data GP End])</f>
        <v>0</v>
      </c>
      <c r="EO306" s="44" t="str">
        <f>IF(Table1[EET2]="NEET",1,IF(Table1[EET2]="Employment",2,IF(Table1[EET2]="Education",2,IF(Table1[EET2]="Training",2,IF(Table1[EET2]="Retired",3,IF(Table1[EET]="NEET",1,IF(Table1[EET]="Employment",2,IF(Table1[EET]="Education",2,IF(Table1[EET]="Training",2,IF(Table1[EET]="Retired",3,""))))))))))</f>
        <v/>
      </c>
      <c r="EP306" s="44" t="e">
        <f>+Table1[[#This Row],[Data Leavers Date]]+Table1[[#This Row],[Data EET End]]</f>
        <v>#VALUE!</v>
      </c>
      <c r="EQ306" s="44">
        <f>IF(Table1[Exit Form Received]="Yes",1,0)</f>
        <v>0</v>
      </c>
      <c r="ER306" s="44">
        <f>+Table1[[#This Row],[Data Leavers Date]]+Table1[[#This Row],[Data Exit Forms]]</f>
        <v>0</v>
      </c>
      <c r="ES306" s="44" t="str">
        <f>IF(Table1[Data Leavers Date]=1000,SUM(Table1[Leaving Date]-Table1[Start Date]),"")</f>
        <v/>
      </c>
      <c r="ET306" s="44" t="str">
        <f>IF(Table1[Data Leavers Date]=2000,SUM(Table1[Leaving Date]-Table1[Start Date]),"")</f>
        <v/>
      </c>
      <c r="EU306" s="44" t="str">
        <f>IF(Table1[Data Leavers Date]=3000,SUM(Table1[Leaving Date]-Table1[Start Date]),"")</f>
        <v/>
      </c>
      <c r="EV306" s="44" t="str">
        <f>IF(Table1[Data Leavers Date]=4000,SUM(Table1[Leaving Date]-Table1[Start Date]),"")</f>
        <v/>
      </c>
      <c r="EW306" s="44" t="str">
        <f>IF(Table1[Data Leavers Date]=5000,SUM(Table1[Leaving Date]-Table1[Start Date]),"")</f>
        <v/>
      </c>
      <c r="EX306" s="44" t="str">
        <f>IF(Table1[Data Leavers Date]=6000,SUM(Table1[Leaving Date]-Table1[Start Date]),"")</f>
        <v/>
      </c>
      <c r="EY306" s="44" t="str">
        <f>IF(Table1[Data Leavers Date]=7000,SUM(Table1[Leaving Date]-Table1[Start Date]),"")</f>
        <v/>
      </c>
      <c r="EZ306" s="44" t="str">
        <f>IF(Table1[Data Leavers Date]=8000,SUM(Table1[Leaving Date]-Table1[Start Date]),"")</f>
        <v/>
      </c>
      <c r="FA306" s="44" t="str">
        <f>IF(Table1[Date of Initial Assessment]="","",IF(AND(Table1[Start Date]&gt;42094,Table1[Start Date]&lt;42461),Table1[Motivation and Taking Responsibility],""))</f>
        <v/>
      </c>
      <c r="FB306" s="44" t="str">
        <f>IF(Table1[Date of Initial Assessment]="","",IF(AND(Table1[Start Date]&gt;42094,Table1[Start Date]&lt;42461),Table1[Self-Care and Living Skills],""))</f>
        <v/>
      </c>
      <c r="FC306" s="44" t="str">
        <f>IF(Table1[Date of Initial Assessment]="","",IF(AND(Table1[Start Date]&gt;42094,Table1[Start Date]&lt;42461),Table1[Managing Money and Personal Administration],""))</f>
        <v/>
      </c>
      <c r="FD306" s="44" t="str">
        <f>IF(Table1[Date of Initial Assessment]="","",IF(AND(Table1[Start Date]&gt;42094,Table1[Start Date]&lt;42461),Table1[Social Networks and Relationships],""))</f>
        <v/>
      </c>
      <c r="FE306" s="44" t="str">
        <f>IF(Table1[Date of Initial Assessment]="","",IF(AND(Table1[Start Date]&gt;42094,Table1[Start Date]&lt;42461),Table1[Drug and Alcohol Misuse],""))</f>
        <v/>
      </c>
      <c r="FF306" s="44" t="str">
        <f>IF(Table1[Date of Initial Assessment]="","",IF(AND(Table1[Start Date]&gt;42094,Table1[Start Date]&lt;42461),Table1[Physical Health],""))</f>
        <v/>
      </c>
      <c r="FG306" s="44" t="str">
        <f>IF(Table1[Date of Initial Assessment]="","",IF(AND(Table1[Start Date]&gt;42094,Table1[Start Date]&lt;42461),Table1[Emotional and Mental Health],""))</f>
        <v/>
      </c>
      <c r="FH306" s="44" t="str">
        <f>IF(Table1[Date of Initial Assessment]="","",IF(AND(Table1[Start Date]&gt;42094,Table1[Start Date]&lt;42461),Table1[Meaningful Use of Time],""))</f>
        <v/>
      </c>
      <c r="FI306" s="44" t="str">
        <f>IF(Table1[Date of Initial Assessment]="","",IF(AND(Table1[Start Date]&gt;42094,Table1[Start Date]&lt;42461),Table1[Managing Tenancy and Accommodation],""))</f>
        <v/>
      </c>
      <c r="FJ306" s="44" t="str">
        <f>IF(Table1[Date of Initial Assessment]="","",IF(AND(Table1[Start Date]&gt;42094,Table1[Start Date]&lt;42461),Table1[Offending],""))</f>
        <v/>
      </c>
      <c r="FK306" s="44" t="str">
        <f>IF(Table1[Leaving Date]="","",IF(Table1[Date of Initial Assessment]="","",IF(AND(Table1[Leaving Date]&gt;42094,Table1[Leaving Date]&lt;42461),IF(Table1[Date of Last Assessment]="",Table1[Motivation and Taking Responsibility],Table1[Motivation and Taking Responsibility2]),"")))</f>
        <v/>
      </c>
      <c r="FL306" s="44" t="str">
        <f>IF(Table1[Leaving Date]="","",IF(Table1[Date of Initial Assessment]="","",IF(AND(Table1[Leaving Date]&gt;42094,Table1[Leaving Date]&lt;42461),IF(Table1[Date of Last Assessment]="",Table1[Self-Care and Living Skills],Table1[Self-Care and Living Skills2]),"")))</f>
        <v/>
      </c>
      <c r="FM306" s="44" t="str">
        <f>IF(Table1[Leaving Date]="","",IF(Table1[Date of Initial Assessment]="","",IF(AND(Table1[Leaving Date]&gt;42094,Table1[Leaving Date]&lt;42461),IF(Table1[Date of Last Assessment]="",Table1[Managing Money and Personal Administration],Table1[Managing Money and Personal Administration2]),"")))</f>
        <v/>
      </c>
      <c r="FN306" s="44" t="str">
        <f>IF(Table1[Leaving Date]="","",IF(Table1[Date of Initial Assessment]="","",IF(AND(Table1[Leaving Date]&gt;42094,Table1[Leaving Date]&lt;42461),IF(Table1[Date of Last Assessment]="",Table1[Social Networks and Relationships],Table1[Social Networks and Relationships2]),"")))</f>
        <v/>
      </c>
      <c r="FO306" s="44" t="str">
        <f>IF(Table1[Leaving Date]="","",IF(Table1[Date of Initial Assessment]="","",IF(AND(Table1[Leaving Date]&gt;42094,Table1[Leaving Date]&lt;42461),IF(Table1[Date of Last Assessment]="",Table1[Drug and Alcohol Misuse],Table1[Drug and Alcohol Misuse2]),"")))</f>
        <v/>
      </c>
      <c r="FP306" s="44" t="str">
        <f>IF(Table1[Leaving Date]="","",IF(Table1[Date of Initial Assessment]="","",IF(AND(Table1[Leaving Date]&gt;42094,Table1[Leaving Date]&lt;42461),IF(Table1[Date of Last Assessment]="",Table1[Physical Health],Table1[Physical Health2]),"")))</f>
        <v/>
      </c>
      <c r="FQ306" s="44" t="str">
        <f>IF(Table1[Leaving Date]="","",IF(Table1[Date of Initial Assessment]="","",IF(AND(Table1[Leaving Date]&gt;42094,Table1[Leaving Date]&lt;42461),IF(Table1[Date of Last Assessment]="",Table1[Emotional and Mental Health],Table1[Emotional and Mental Health2]),"")))</f>
        <v/>
      </c>
      <c r="FR306" s="44" t="str">
        <f>IF(Table1[Leaving Date]="","",IF(Table1[Date of Initial Assessment]="","",IF(AND(Table1[Leaving Date]&gt;42094,Table1[Leaving Date]&lt;42461),IF(Table1[Date of Last Assessment]="",Table1[Meaningful Use of Time],Table1[Meaningful Use of Time2]),"")))</f>
        <v/>
      </c>
      <c r="FS306" s="44" t="str">
        <f>IF(Table1[Leaving Date]="","",IF(Table1[Date of Initial Assessment]="","",IF(AND(Table1[Leaving Date]&gt;42094,Table1[Leaving Date]&lt;42461),IF(Table1[Date of Last Assessment]="",Table1[Managing Tenancy and Accommodation],Table1[Managing Tenancy and Accommodation2]),"")))</f>
        <v/>
      </c>
      <c r="FT306" s="44" t="str">
        <f>IF(Table1[Leaving Date]="","",IF(Table1[Date of Initial Assessment]="","",IF(AND(Table1[Leaving Date]&gt;42094,Table1[Leaving Date]&lt;42461),IF(Table1[Date of Last Assessment]="",Table1[Offending],Table1[Offending2]),"")))</f>
        <v/>
      </c>
      <c r="FU306" s="44" t="str">
        <f>IF(Table1[Date of Initial Assessment]="","",IF(AND(Table1[Start Date]&gt;42460,Table1[Start Date]&lt;42826),Table1[Motivation and Taking Responsibility],""))</f>
        <v/>
      </c>
      <c r="FV306" s="44" t="str">
        <f>IF(Table1[Date of Initial Assessment]="","",IF(AND(Table1[Start Date]&gt;42460,Table1[Start Date]&lt;42826),Table1[Self-Care and Living Skills],""))</f>
        <v/>
      </c>
      <c r="FW306" s="44" t="str">
        <f>IF(Table1[Date of Initial Assessment]="","",IF(AND(Table1[Start Date]&gt;42460,Table1[Start Date]&lt;42826),Table1[Managing Money and Personal Administration],""))</f>
        <v/>
      </c>
      <c r="FX306" s="44" t="str">
        <f>IF(Table1[Date of Initial Assessment]="","",IF(AND(Table1[Start Date]&gt;42460,Table1[Start Date]&lt;42826),Table1[Social Networks and Relationships],""))</f>
        <v/>
      </c>
      <c r="FY306" s="44" t="str">
        <f>IF(Table1[Date of Initial Assessment]="","",IF(AND(Table1[Start Date]&gt;42460,Table1[Start Date]&lt;42826),Table1[Drug and Alcohol Misuse],""))</f>
        <v/>
      </c>
      <c r="FZ306" s="44" t="str">
        <f>IF(Table1[Date of Initial Assessment]="","",IF(AND(Table1[Start Date]&gt;42460,Table1[Start Date]&lt;42826),Table1[Physical Health],""))</f>
        <v/>
      </c>
      <c r="GA306" s="44" t="str">
        <f>IF(Table1[Date of Initial Assessment]="","",IF(AND(Table1[Start Date]&gt;42460,Table1[Start Date]&lt;42826),Table1[Emotional and Mental Health],""))</f>
        <v/>
      </c>
      <c r="GB306" s="44" t="str">
        <f>IF(Table1[Date of Initial Assessment]="","",IF(AND(Table1[Start Date]&gt;42460,Table1[Start Date]&lt;42826),Table1[Meaningful Use of Time],""))</f>
        <v/>
      </c>
      <c r="GC306" s="44" t="str">
        <f>IF(Table1[Date of Initial Assessment]="","",IF(AND(Table1[Start Date]&gt;42460,Table1[Start Date]&lt;42826),Table1[Managing Tenancy and Accommodation],""))</f>
        <v/>
      </c>
      <c r="GD306" s="44" t="str">
        <f>IF(Table1[Date of Initial Assessment]="","",IF(AND(Table1[Start Date]&gt;42460,Table1[Start Date]&lt;42826),Table1[Offending],""))</f>
        <v/>
      </c>
      <c r="GE306" s="44" t="str">
        <f>IF(Table1[Leaving Date]="","",IF(AND(Table1[Leaving Date]&gt;42460,Table1[Leaving Date]&lt;42826),IF(Table1[Date of Last Assessment]="",Table1[Motivation and Taking Responsibility],Table1[Motivation and Taking Responsibility2]),""))</f>
        <v/>
      </c>
      <c r="GF306" s="44" t="str">
        <f>IF(Table1[Leaving Date]="","",IF(AND(Table1[Leaving Date]&gt;42460,Table1[Leaving Date]&lt;42826),IF(Table1[Date of Last Assessment]="",Table1[Self-Care and Living Skills],Table1[Self-Care and Living Skills2]),""))</f>
        <v/>
      </c>
      <c r="GG306" s="44" t="str">
        <f>IF(Table1[Leaving Date]="","",IF(AND(Table1[Leaving Date]&gt;42460,Table1[Leaving Date]&lt;42826),IF(Table1[Date of Last Assessment]="",Table1[Managing Money and Personal Administration],Table1[Managing Money and Personal Administration2]),""))</f>
        <v/>
      </c>
      <c r="GH306" s="44" t="str">
        <f>IF(Table1[Leaving Date]="","",IF(AND(Table1[Leaving Date]&gt;42460,Table1[Leaving Date]&lt;42826),IF(Table1[Date of Last Assessment]="",Table1[Social Networks and Relationships],Table1[Social Networks and Relationships2]),""))</f>
        <v/>
      </c>
      <c r="GI306" s="44" t="str">
        <f>IF(Table1[Leaving Date]="","",IF(AND(Table1[Leaving Date]&gt;42460,Table1[Leaving Date]&lt;42826),IF(Table1[Date of Last Assessment]="",Table1[Drug and Alcohol Misuse],Table1[Drug and Alcohol Misuse2]),""))</f>
        <v/>
      </c>
      <c r="GJ306" s="44" t="str">
        <f>IF(Table1[Leaving Date]="","",IF(AND(Table1[Leaving Date]&gt;42460,Table1[Leaving Date]&lt;42826),IF(Table1[Date of Last Assessment]="",Table1[Physical Health],Table1[Physical Health2]),""))</f>
        <v/>
      </c>
      <c r="GK306" s="44" t="str">
        <f>IF(Table1[Leaving Date]="","",IF(AND(Table1[Leaving Date]&gt;42460,Table1[Leaving Date]&lt;42826),IF(Table1[Date of Last Assessment]="",Table1[Emotional and Mental Health],Table1[Emotional and Mental Health2]),""))</f>
        <v/>
      </c>
      <c r="GL306" s="44" t="str">
        <f>IF(Table1[Leaving Date]="","",IF(AND(Table1[Leaving Date]&gt;42460,Table1[Leaving Date]&lt;42826),IF(Table1[Date of Last Assessment]="",Table1[Meaningful Use of Time],Table1[Meaningful Use of Time2]),""))</f>
        <v/>
      </c>
      <c r="GM306" s="44" t="str">
        <f>IF(Table1[Leaving Date]="","",IF(AND(Table1[Leaving Date]&gt;42460,Table1[Leaving Date]&lt;42826),IF(Table1[Date of Last Assessment]="",Table1[Managing Tenancy and Accommodation],Table1[Managing Tenancy and Accommodation2]),""))</f>
        <v/>
      </c>
      <c r="GN306" s="44" t="str">
        <f>IF(Table1[Leaving Date]="","",IF(AND(Table1[Leaving Date]&gt;42460,Table1[Leaving Date]&lt;42826),IF(Table1[Date of Last Assessment]="",Table1[Offending],Table1[Offending2]),""))</f>
        <v/>
      </c>
    </row>
    <row r="307" spans="2:196" ht="20.100000000000001" customHeight="1" x14ac:dyDescent="0.2">
      <c r="B307" s="86">
        <f>+'Service Data'!$C$5:$C$5</f>
        <v>0</v>
      </c>
      <c r="C307" s="86"/>
      <c r="D307" s="86"/>
      <c r="E307" s="86"/>
      <c r="F307" s="86"/>
      <c r="G307" s="86"/>
      <c r="H307" s="6"/>
      <c r="I307" s="99" t="str">
        <f ca="1">IF(Table1[[#This Row],[Date of Birth]]="","",SUM(TODAY()-Table1[[#This Row],[Date of Birth]])/365)</f>
        <v/>
      </c>
      <c r="L307" s="86"/>
      <c r="M307" s="77"/>
      <c r="N307" s="86"/>
      <c r="O307" s="86"/>
      <c r="P307" s="91"/>
      <c r="Q307" s="86"/>
      <c r="R307" s="77"/>
      <c r="S307" s="77"/>
      <c r="T307" s="68"/>
      <c r="U307" s="68"/>
      <c r="V307" s="67"/>
      <c r="W307" s="67"/>
      <c r="X307" s="67"/>
      <c r="Y307" s="67"/>
      <c r="Z307" s="67"/>
      <c r="AA307" s="67"/>
      <c r="AB307" s="67"/>
      <c r="AC307" s="67"/>
      <c r="AD307" s="67"/>
      <c r="AE307" s="67"/>
      <c r="AF307" s="67"/>
      <c r="AG307" s="67"/>
      <c r="AH307" s="67"/>
      <c r="AI307" s="67"/>
      <c r="AJ307" s="67"/>
      <c r="AK307" s="67"/>
      <c r="AL307" s="67"/>
      <c r="AM307" s="67"/>
      <c r="AN307" s="77"/>
      <c r="AO307" s="76"/>
      <c r="AP307" s="77"/>
      <c r="AQ307" s="76"/>
      <c r="AR307" s="76"/>
      <c r="AS307" s="76"/>
      <c r="AT307" s="76"/>
      <c r="AU307" s="76"/>
      <c r="AV307" s="77"/>
      <c r="AW307" s="76"/>
      <c r="AX307" s="77"/>
      <c r="AY307" s="76"/>
      <c r="AZ307" s="76"/>
      <c r="BA307" s="76"/>
      <c r="BB307" s="76"/>
      <c r="BC307" s="76"/>
      <c r="BD307" s="77"/>
      <c r="BE307" s="76"/>
      <c r="BF307" s="77"/>
      <c r="BG307" s="76"/>
      <c r="BH307" s="76"/>
      <c r="BI307" s="76"/>
      <c r="BJ307" s="76"/>
      <c r="BK307" s="76"/>
      <c r="BL307" s="77"/>
      <c r="BM307" s="76"/>
      <c r="BN307" s="77"/>
      <c r="BO307" s="76"/>
      <c r="BP307" s="76"/>
      <c r="BQ307" s="76"/>
      <c r="BR307" s="76"/>
      <c r="BS307" s="76"/>
      <c r="BT307" s="77"/>
      <c r="BU307" s="76"/>
      <c r="BV307" s="77"/>
      <c r="BW307" s="76"/>
      <c r="BX307" s="76"/>
      <c r="BY307" s="76"/>
      <c r="BZ307" s="76"/>
      <c r="CA307" s="76"/>
      <c r="CB307" s="77"/>
      <c r="CC307" s="76"/>
      <c r="CD307" s="77"/>
      <c r="CE307" s="76"/>
      <c r="CF307" s="76"/>
      <c r="CG307" s="76"/>
      <c r="CH307" s="76"/>
      <c r="CI307" s="76"/>
      <c r="CJ307" s="77"/>
      <c r="CK307" s="76"/>
      <c r="CL307" s="77"/>
      <c r="CM307" s="76"/>
      <c r="CN307" s="76"/>
      <c r="CO307" s="76"/>
      <c r="CP307" s="76"/>
      <c r="CQ307" s="76"/>
      <c r="CR307" s="78" t="str">
        <f t="shared" si="79"/>
        <v/>
      </c>
      <c r="CS307" s="79" t="str">
        <f t="shared" si="80"/>
        <v/>
      </c>
      <c r="CT307" s="79" t="str">
        <f t="shared" si="81"/>
        <v/>
      </c>
      <c r="CU307" s="79" t="str">
        <f t="shared" si="82"/>
        <v/>
      </c>
      <c r="CV307" s="79" t="str">
        <f t="shared" si="83"/>
        <v/>
      </c>
      <c r="CW307" s="79" t="str">
        <f t="shared" si="84"/>
        <v/>
      </c>
      <c r="CX307" s="79" t="str">
        <f t="shared" si="85"/>
        <v/>
      </c>
      <c r="CY307" s="79" t="str">
        <f t="shared" si="86"/>
        <v/>
      </c>
      <c r="CZ307" s="79" t="str">
        <f t="shared" si="87"/>
        <v/>
      </c>
      <c r="DA307" s="79" t="str">
        <f t="shared" si="88"/>
        <v/>
      </c>
      <c r="DB307" s="79" t="str">
        <f t="shared" si="89"/>
        <v/>
      </c>
      <c r="DC307" s="79" t="str">
        <f t="shared" si="90"/>
        <v/>
      </c>
      <c r="DD307" s="79" t="str">
        <f t="shared" si="91"/>
        <v/>
      </c>
      <c r="DE307" s="79" t="str">
        <f t="shared" si="92"/>
        <v/>
      </c>
      <c r="DF307" s="79" t="str">
        <f t="shared" si="93"/>
        <v/>
      </c>
      <c r="DG307" s="79" t="str">
        <f t="shared" si="94"/>
        <v/>
      </c>
      <c r="DH307" s="76"/>
      <c r="DI307" s="78"/>
      <c r="DJ307" s="76"/>
      <c r="DK307" s="77"/>
      <c r="DL307" s="77"/>
      <c r="DM307" s="77"/>
      <c r="DN307" s="80"/>
      <c r="DO307" s="80"/>
      <c r="DP307" s="92" t="str">
        <f>IF(Table1[Start Date]="","",IF(Table1[Start Date]&gt;42185,"",IF(AND(Table1[Leaving Date]&gt;1,Table1[Leaving Date]&lt;42095),"",1)))</f>
        <v/>
      </c>
      <c r="DQ307" s="92" t="str">
        <f>IF(Table1[Start Date]="","",IF(Table1[Start Date]&gt;42277,"",IF(AND(Table1[Leaving Date]&gt;1,Table1[Leaving Date]&lt;42186),"",1)))</f>
        <v/>
      </c>
      <c r="DR307" s="92" t="str">
        <f>IF(Table1[Start Date]="","",IF(Table1[Start Date]&gt;42369,"",IF(AND(Table1[Leaving Date]&gt;1,Table1[Leaving Date]&lt;42278),"",1)))</f>
        <v/>
      </c>
      <c r="DS307" s="92" t="str">
        <f>IF(Table1[Start Date]="","",IF(Table1[Start Date]&gt;42460,"",IF(AND(Table1[Leaving Date]&gt;1,Table1[Leaving Date]&lt;42370),"",1)))</f>
        <v/>
      </c>
      <c r="DT307" s="92" t="str">
        <f>IF(Table1[Start Date]="","",IF(Table1[Start Date]&gt;42551,"",IF(AND(Table1[Leaving Date]&gt;1,Table1[Leaving Date]&lt;42461),"",1)))</f>
        <v/>
      </c>
      <c r="DU307" s="92" t="str">
        <f>IF(Table1[Start Date]="","",IF(Table1[Start Date]&gt;42643,"",IF(AND(Table1[Leaving Date]&gt;1,Table1[Leaving Date]&lt;42552),"",1)))</f>
        <v/>
      </c>
      <c r="DV307" s="92" t="str">
        <f>IF(Table1[Start Date]="","",IF(Table1[Start Date]&gt;42735,"",IF(AND(Table1[Leaving Date]&gt;1,Table1[Leaving Date]&lt;42644),"",1)))</f>
        <v/>
      </c>
      <c r="DW307" s="92" t="str">
        <f>IF(Table1[Start Date]="","",IF(Table1[Start Date]&gt;42825,"",IF(AND(Table1[Leaving Date]&gt;1,Table1[Leaving Date]&lt;42736),"",1)))</f>
        <v/>
      </c>
      <c r="DX307"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307" s="44" t="e">
        <f>VLOOKUP(Table1[Referral Source],Lists!$G$2:$H$20,2,FALSE)</f>
        <v>#N/A</v>
      </c>
      <c r="DZ307" s="93" t="e">
        <f>SUM(Table1[Data Referral Quarter]+Table1[Data Referral Source])</f>
        <v>#N/A</v>
      </c>
      <c r="EA307" s="44" t="b">
        <f>IF(Table1[Referral Decision]="Accepted",100,IF(Table1[Referral Decision]="Rejected by Provider",200,IF(Table1[Referral Decision]="Rejected by Applicant",300)))</f>
        <v>0</v>
      </c>
      <c r="EB307" s="44">
        <f>SUM(Table1[Data Referral Quarter]+Table1[Data Referral Decision])</f>
        <v>0</v>
      </c>
      <c r="EC307" s="44" t="b">
        <f>IF(Table1[Start Date]&gt;42735,8000,IF(Table1[Start Date]&gt;42643,7000,IF(Table1[Start Date]&gt;42551,6000,IF(Table1[Start Date]&gt;42460,5000,IF(Table1[Start Date]&gt;42369,4000,IF(Table1[Start Date]&gt;42277,3000,IF(Table1[Start Date]&gt;42185,2000,IF(Table1[Start Date]&gt;42094,1000))))))))</f>
        <v>0</v>
      </c>
      <c r="ED307" s="44" t="str">
        <f>IF(Table1[Start Date]="","",IF(Table1[Current Local Authority]="Swindon",1,"2"))</f>
        <v/>
      </c>
      <c r="EE307" s="44" t="e">
        <f>SUM(Table1[Data Start Date]+Table1[Data Local Authority])</f>
        <v>#VALUE!</v>
      </c>
      <c r="EF307" s="44">
        <f>IF(Table1[Registered with GP]="Yes",1,0)</f>
        <v>0</v>
      </c>
      <c r="EG307" s="44">
        <f>SUM(Table1[Data Start Date]+Table1[Data GP Start])</f>
        <v>0</v>
      </c>
      <c r="EH307" s="44" t="str">
        <f>IF(Table1[EET]="NEET",1,IF(Table1[EET]="Education",2,IF(Table1[EET]="Employment",2,IF(Table1[EET]="Training",2,IF(Table1[EET]="Retired",3,"")))))</f>
        <v/>
      </c>
      <c r="EI307" s="44" t="e">
        <f>Table1[Data Start Date]+Table1[Data EET Start]</f>
        <v>#VALUE!</v>
      </c>
      <c r="EJ307" s="44" t="b">
        <f>IF(Table1[Leaving Date]&gt;42735,8000,IF(Table1[Leaving Date]&gt;42643,7000,IF(Table1[Leaving Date]&gt;42551,6000,IF(Table1[Leaving Date]&gt;42460,5000,IF(Table1[Leaving Date]&gt;42369,4000,IF(Table1[Leaving Date]&gt;42277,3000,IF(Table1[Leaving Date]&gt;42185,2000,IF(Table1[Leaving Date]&gt;42094,1000))))))))</f>
        <v>0</v>
      </c>
      <c r="EK307" s="44" t="e">
        <f>VLOOKUP(Table1[Reason for Leaving],Lists!$T$2:$U$15,2,FALSE)</f>
        <v>#N/A</v>
      </c>
      <c r="EL307" s="44" t="e">
        <f>SUM(Table1[Data Leavers Date]+Table1[Data Move On])</f>
        <v>#N/A</v>
      </c>
      <c r="EM307" s="44" t="b">
        <f>IF(Table1[Registered with GP2]="Yes",1,IF(Table1[Registered with GP2]="No",0,IF(Table1[Registered with GP]="Yes",1,IF(Table1[Registered with GP]="No",0))))</f>
        <v>0</v>
      </c>
      <c r="EN307" s="44">
        <f>SUM(Table1[Data Leavers Date]+Table1[Data GP End])</f>
        <v>0</v>
      </c>
      <c r="EO307" s="44" t="str">
        <f>IF(Table1[EET2]="NEET",1,IF(Table1[EET2]="Employment",2,IF(Table1[EET2]="Education",2,IF(Table1[EET2]="Training",2,IF(Table1[EET2]="Retired",3,IF(Table1[EET]="NEET",1,IF(Table1[EET]="Employment",2,IF(Table1[EET]="Education",2,IF(Table1[EET]="Training",2,IF(Table1[EET]="Retired",3,""))))))))))</f>
        <v/>
      </c>
      <c r="EP307" s="44" t="e">
        <f>+Table1[[#This Row],[Data Leavers Date]]+Table1[[#This Row],[Data EET End]]</f>
        <v>#VALUE!</v>
      </c>
      <c r="EQ307" s="44">
        <f>IF(Table1[Exit Form Received]="Yes",1,0)</f>
        <v>0</v>
      </c>
      <c r="ER307" s="44">
        <f>+Table1[[#This Row],[Data Leavers Date]]+Table1[[#This Row],[Data Exit Forms]]</f>
        <v>0</v>
      </c>
      <c r="ES307" s="44" t="str">
        <f>IF(Table1[Data Leavers Date]=1000,SUM(Table1[Leaving Date]-Table1[Start Date]),"")</f>
        <v/>
      </c>
      <c r="ET307" s="44" t="str">
        <f>IF(Table1[Data Leavers Date]=2000,SUM(Table1[Leaving Date]-Table1[Start Date]),"")</f>
        <v/>
      </c>
      <c r="EU307" s="44" t="str">
        <f>IF(Table1[Data Leavers Date]=3000,SUM(Table1[Leaving Date]-Table1[Start Date]),"")</f>
        <v/>
      </c>
      <c r="EV307" s="44" t="str">
        <f>IF(Table1[Data Leavers Date]=4000,SUM(Table1[Leaving Date]-Table1[Start Date]),"")</f>
        <v/>
      </c>
      <c r="EW307" s="44" t="str">
        <f>IF(Table1[Data Leavers Date]=5000,SUM(Table1[Leaving Date]-Table1[Start Date]),"")</f>
        <v/>
      </c>
      <c r="EX307" s="44" t="str">
        <f>IF(Table1[Data Leavers Date]=6000,SUM(Table1[Leaving Date]-Table1[Start Date]),"")</f>
        <v/>
      </c>
      <c r="EY307" s="44" t="str">
        <f>IF(Table1[Data Leavers Date]=7000,SUM(Table1[Leaving Date]-Table1[Start Date]),"")</f>
        <v/>
      </c>
      <c r="EZ307" s="44" t="str">
        <f>IF(Table1[Data Leavers Date]=8000,SUM(Table1[Leaving Date]-Table1[Start Date]),"")</f>
        <v/>
      </c>
      <c r="FA307" s="44" t="str">
        <f>IF(Table1[Date of Initial Assessment]="","",IF(AND(Table1[Start Date]&gt;42094,Table1[Start Date]&lt;42461),Table1[Motivation and Taking Responsibility],""))</f>
        <v/>
      </c>
      <c r="FB307" s="44" t="str">
        <f>IF(Table1[Date of Initial Assessment]="","",IF(AND(Table1[Start Date]&gt;42094,Table1[Start Date]&lt;42461),Table1[Self-Care and Living Skills],""))</f>
        <v/>
      </c>
      <c r="FC307" s="44" t="str">
        <f>IF(Table1[Date of Initial Assessment]="","",IF(AND(Table1[Start Date]&gt;42094,Table1[Start Date]&lt;42461),Table1[Managing Money and Personal Administration],""))</f>
        <v/>
      </c>
      <c r="FD307" s="44" t="str">
        <f>IF(Table1[Date of Initial Assessment]="","",IF(AND(Table1[Start Date]&gt;42094,Table1[Start Date]&lt;42461),Table1[Social Networks and Relationships],""))</f>
        <v/>
      </c>
      <c r="FE307" s="44" t="str">
        <f>IF(Table1[Date of Initial Assessment]="","",IF(AND(Table1[Start Date]&gt;42094,Table1[Start Date]&lt;42461),Table1[Drug and Alcohol Misuse],""))</f>
        <v/>
      </c>
      <c r="FF307" s="44" t="str">
        <f>IF(Table1[Date of Initial Assessment]="","",IF(AND(Table1[Start Date]&gt;42094,Table1[Start Date]&lt;42461),Table1[Physical Health],""))</f>
        <v/>
      </c>
      <c r="FG307" s="44" t="str">
        <f>IF(Table1[Date of Initial Assessment]="","",IF(AND(Table1[Start Date]&gt;42094,Table1[Start Date]&lt;42461),Table1[Emotional and Mental Health],""))</f>
        <v/>
      </c>
      <c r="FH307" s="44" t="str">
        <f>IF(Table1[Date of Initial Assessment]="","",IF(AND(Table1[Start Date]&gt;42094,Table1[Start Date]&lt;42461),Table1[Meaningful Use of Time],""))</f>
        <v/>
      </c>
      <c r="FI307" s="44" t="str">
        <f>IF(Table1[Date of Initial Assessment]="","",IF(AND(Table1[Start Date]&gt;42094,Table1[Start Date]&lt;42461),Table1[Managing Tenancy and Accommodation],""))</f>
        <v/>
      </c>
      <c r="FJ307" s="44" t="str">
        <f>IF(Table1[Date of Initial Assessment]="","",IF(AND(Table1[Start Date]&gt;42094,Table1[Start Date]&lt;42461),Table1[Offending],""))</f>
        <v/>
      </c>
      <c r="FK307" s="44" t="str">
        <f>IF(Table1[Leaving Date]="","",IF(Table1[Date of Initial Assessment]="","",IF(AND(Table1[Leaving Date]&gt;42094,Table1[Leaving Date]&lt;42461),IF(Table1[Date of Last Assessment]="",Table1[Motivation and Taking Responsibility],Table1[Motivation and Taking Responsibility2]),"")))</f>
        <v/>
      </c>
      <c r="FL307" s="44" t="str">
        <f>IF(Table1[Leaving Date]="","",IF(Table1[Date of Initial Assessment]="","",IF(AND(Table1[Leaving Date]&gt;42094,Table1[Leaving Date]&lt;42461),IF(Table1[Date of Last Assessment]="",Table1[Self-Care and Living Skills],Table1[Self-Care and Living Skills2]),"")))</f>
        <v/>
      </c>
      <c r="FM307" s="44" t="str">
        <f>IF(Table1[Leaving Date]="","",IF(Table1[Date of Initial Assessment]="","",IF(AND(Table1[Leaving Date]&gt;42094,Table1[Leaving Date]&lt;42461),IF(Table1[Date of Last Assessment]="",Table1[Managing Money and Personal Administration],Table1[Managing Money and Personal Administration2]),"")))</f>
        <v/>
      </c>
      <c r="FN307" s="44" t="str">
        <f>IF(Table1[Leaving Date]="","",IF(Table1[Date of Initial Assessment]="","",IF(AND(Table1[Leaving Date]&gt;42094,Table1[Leaving Date]&lt;42461),IF(Table1[Date of Last Assessment]="",Table1[Social Networks and Relationships],Table1[Social Networks and Relationships2]),"")))</f>
        <v/>
      </c>
      <c r="FO307" s="44" t="str">
        <f>IF(Table1[Leaving Date]="","",IF(Table1[Date of Initial Assessment]="","",IF(AND(Table1[Leaving Date]&gt;42094,Table1[Leaving Date]&lt;42461),IF(Table1[Date of Last Assessment]="",Table1[Drug and Alcohol Misuse],Table1[Drug and Alcohol Misuse2]),"")))</f>
        <v/>
      </c>
      <c r="FP307" s="44" t="str">
        <f>IF(Table1[Leaving Date]="","",IF(Table1[Date of Initial Assessment]="","",IF(AND(Table1[Leaving Date]&gt;42094,Table1[Leaving Date]&lt;42461),IF(Table1[Date of Last Assessment]="",Table1[Physical Health],Table1[Physical Health2]),"")))</f>
        <v/>
      </c>
      <c r="FQ307" s="44" t="str">
        <f>IF(Table1[Leaving Date]="","",IF(Table1[Date of Initial Assessment]="","",IF(AND(Table1[Leaving Date]&gt;42094,Table1[Leaving Date]&lt;42461),IF(Table1[Date of Last Assessment]="",Table1[Emotional and Mental Health],Table1[Emotional and Mental Health2]),"")))</f>
        <v/>
      </c>
      <c r="FR307" s="44" t="str">
        <f>IF(Table1[Leaving Date]="","",IF(Table1[Date of Initial Assessment]="","",IF(AND(Table1[Leaving Date]&gt;42094,Table1[Leaving Date]&lt;42461),IF(Table1[Date of Last Assessment]="",Table1[Meaningful Use of Time],Table1[Meaningful Use of Time2]),"")))</f>
        <v/>
      </c>
      <c r="FS307" s="44" t="str">
        <f>IF(Table1[Leaving Date]="","",IF(Table1[Date of Initial Assessment]="","",IF(AND(Table1[Leaving Date]&gt;42094,Table1[Leaving Date]&lt;42461),IF(Table1[Date of Last Assessment]="",Table1[Managing Tenancy and Accommodation],Table1[Managing Tenancy and Accommodation2]),"")))</f>
        <v/>
      </c>
      <c r="FT307" s="44" t="str">
        <f>IF(Table1[Leaving Date]="","",IF(Table1[Date of Initial Assessment]="","",IF(AND(Table1[Leaving Date]&gt;42094,Table1[Leaving Date]&lt;42461),IF(Table1[Date of Last Assessment]="",Table1[Offending],Table1[Offending2]),"")))</f>
        <v/>
      </c>
      <c r="FU307" s="44" t="str">
        <f>IF(Table1[Date of Initial Assessment]="","",IF(AND(Table1[Start Date]&gt;42460,Table1[Start Date]&lt;42826),Table1[Motivation and Taking Responsibility],""))</f>
        <v/>
      </c>
      <c r="FV307" s="44" t="str">
        <f>IF(Table1[Date of Initial Assessment]="","",IF(AND(Table1[Start Date]&gt;42460,Table1[Start Date]&lt;42826),Table1[Self-Care and Living Skills],""))</f>
        <v/>
      </c>
      <c r="FW307" s="44" t="str">
        <f>IF(Table1[Date of Initial Assessment]="","",IF(AND(Table1[Start Date]&gt;42460,Table1[Start Date]&lt;42826),Table1[Managing Money and Personal Administration],""))</f>
        <v/>
      </c>
      <c r="FX307" s="44" t="str">
        <f>IF(Table1[Date of Initial Assessment]="","",IF(AND(Table1[Start Date]&gt;42460,Table1[Start Date]&lt;42826),Table1[Social Networks and Relationships],""))</f>
        <v/>
      </c>
      <c r="FY307" s="44" t="str">
        <f>IF(Table1[Date of Initial Assessment]="","",IF(AND(Table1[Start Date]&gt;42460,Table1[Start Date]&lt;42826),Table1[Drug and Alcohol Misuse],""))</f>
        <v/>
      </c>
      <c r="FZ307" s="44" t="str">
        <f>IF(Table1[Date of Initial Assessment]="","",IF(AND(Table1[Start Date]&gt;42460,Table1[Start Date]&lt;42826),Table1[Physical Health],""))</f>
        <v/>
      </c>
      <c r="GA307" s="44" t="str">
        <f>IF(Table1[Date of Initial Assessment]="","",IF(AND(Table1[Start Date]&gt;42460,Table1[Start Date]&lt;42826),Table1[Emotional and Mental Health],""))</f>
        <v/>
      </c>
      <c r="GB307" s="44" t="str">
        <f>IF(Table1[Date of Initial Assessment]="","",IF(AND(Table1[Start Date]&gt;42460,Table1[Start Date]&lt;42826),Table1[Meaningful Use of Time],""))</f>
        <v/>
      </c>
      <c r="GC307" s="44" t="str">
        <f>IF(Table1[Date of Initial Assessment]="","",IF(AND(Table1[Start Date]&gt;42460,Table1[Start Date]&lt;42826),Table1[Managing Tenancy and Accommodation],""))</f>
        <v/>
      </c>
      <c r="GD307" s="44" t="str">
        <f>IF(Table1[Date of Initial Assessment]="","",IF(AND(Table1[Start Date]&gt;42460,Table1[Start Date]&lt;42826),Table1[Offending],""))</f>
        <v/>
      </c>
      <c r="GE307" s="44" t="str">
        <f>IF(Table1[Leaving Date]="","",IF(AND(Table1[Leaving Date]&gt;42460,Table1[Leaving Date]&lt;42826),IF(Table1[Date of Last Assessment]="",Table1[Motivation and Taking Responsibility],Table1[Motivation and Taking Responsibility2]),""))</f>
        <v/>
      </c>
      <c r="GF307" s="44" t="str">
        <f>IF(Table1[Leaving Date]="","",IF(AND(Table1[Leaving Date]&gt;42460,Table1[Leaving Date]&lt;42826),IF(Table1[Date of Last Assessment]="",Table1[Self-Care and Living Skills],Table1[Self-Care and Living Skills2]),""))</f>
        <v/>
      </c>
      <c r="GG307" s="44" t="str">
        <f>IF(Table1[Leaving Date]="","",IF(AND(Table1[Leaving Date]&gt;42460,Table1[Leaving Date]&lt;42826),IF(Table1[Date of Last Assessment]="",Table1[Managing Money and Personal Administration],Table1[Managing Money and Personal Administration2]),""))</f>
        <v/>
      </c>
      <c r="GH307" s="44" t="str">
        <f>IF(Table1[Leaving Date]="","",IF(AND(Table1[Leaving Date]&gt;42460,Table1[Leaving Date]&lt;42826),IF(Table1[Date of Last Assessment]="",Table1[Social Networks and Relationships],Table1[Social Networks and Relationships2]),""))</f>
        <v/>
      </c>
      <c r="GI307" s="44" t="str">
        <f>IF(Table1[Leaving Date]="","",IF(AND(Table1[Leaving Date]&gt;42460,Table1[Leaving Date]&lt;42826),IF(Table1[Date of Last Assessment]="",Table1[Drug and Alcohol Misuse],Table1[Drug and Alcohol Misuse2]),""))</f>
        <v/>
      </c>
      <c r="GJ307" s="44" t="str">
        <f>IF(Table1[Leaving Date]="","",IF(AND(Table1[Leaving Date]&gt;42460,Table1[Leaving Date]&lt;42826),IF(Table1[Date of Last Assessment]="",Table1[Physical Health],Table1[Physical Health2]),""))</f>
        <v/>
      </c>
      <c r="GK307" s="44" t="str">
        <f>IF(Table1[Leaving Date]="","",IF(AND(Table1[Leaving Date]&gt;42460,Table1[Leaving Date]&lt;42826),IF(Table1[Date of Last Assessment]="",Table1[Emotional and Mental Health],Table1[Emotional and Mental Health2]),""))</f>
        <v/>
      </c>
      <c r="GL307" s="44" t="str">
        <f>IF(Table1[Leaving Date]="","",IF(AND(Table1[Leaving Date]&gt;42460,Table1[Leaving Date]&lt;42826),IF(Table1[Date of Last Assessment]="",Table1[Meaningful Use of Time],Table1[Meaningful Use of Time2]),""))</f>
        <v/>
      </c>
      <c r="GM307" s="44" t="str">
        <f>IF(Table1[Leaving Date]="","",IF(AND(Table1[Leaving Date]&gt;42460,Table1[Leaving Date]&lt;42826),IF(Table1[Date of Last Assessment]="",Table1[Managing Tenancy and Accommodation],Table1[Managing Tenancy and Accommodation2]),""))</f>
        <v/>
      </c>
      <c r="GN307" s="44" t="str">
        <f>IF(Table1[Leaving Date]="","",IF(AND(Table1[Leaving Date]&gt;42460,Table1[Leaving Date]&lt;42826),IF(Table1[Date of Last Assessment]="",Table1[Offending],Table1[Offending2]),""))</f>
        <v/>
      </c>
    </row>
    <row r="308" spans="2:196" ht="20.100000000000001" customHeight="1" x14ac:dyDescent="0.2">
      <c r="B308" s="86">
        <f>+'Service Data'!$C$5:$C$5</f>
        <v>0</v>
      </c>
      <c r="C308" s="86"/>
      <c r="D308" s="86"/>
      <c r="E308" s="86"/>
      <c r="F308" s="86"/>
      <c r="G308" s="86"/>
      <c r="H308" s="6"/>
      <c r="I308" s="99" t="str">
        <f ca="1">IF(Table1[[#This Row],[Date of Birth]]="","",SUM(TODAY()-Table1[[#This Row],[Date of Birth]])/365)</f>
        <v/>
      </c>
      <c r="L308" s="86"/>
      <c r="M308" s="77"/>
      <c r="N308" s="86"/>
      <c r="O308" s="86"/>
      <c r="P308" s="91"/>
      <c r="Q308" s="86"/>
      <c r="R308" s="77"/>
      <c r="S308" s="77"/>
      <c r="T308" s="68"/>
      <c r="U308" s="68"/>
      <c r="V308" s="67"/>
      <c r="W308" s="67"/>
      <c r="X308" s="67"/>
      <c r="Y308" s="67"/>
      <c r="Z308" s="67"/>
      <c r="AA308" s="67"/>
      <c r="AB308" s="67"/>
      <c r="AC308" s="67"/>
      <c r="AD308" s="67"/>
      <c r="AE308" s="67"/>
      <c r="AF308" s="67"/>
      <c r="AG308" s="67"/>
      <c r="AH308" s="67"/>
      <c r="AI308" s="67"/>
      <c r="AJ308" s="67"/>
      <c r="AK308" s="67"/>
      <c r="AL308" s="67"/>
      <c r="AM308" s="67"/>
      <c r="AN308" s="77"/>
      <c r="AO308" s="76"/>
      <c r="AP308" s="77"/>
      <c r="AQ308" s="76"/>
      <c r="AR308" s="76"/>
      <c r="AS308" s="76"/>
      <c r="AT308" s="76"/>
      <c r="AU308" s="76"/>
      <c r="AV308" s="77"/>
      <c r="AW308" s="76"/>
      <c r="AX308" s="77"/>
      <c r="AY308" s="76"/>
      <c r="AZ308" s="76"/>
      <c r="BA308" s="76"/>
      <c r="BB308" s="76"/>
      <c r="BC308" s="76"/>
      <c r="BD308" s="77"/>
      <c r="BE308" s="76"/>
      <c r="BF308" s="77"/>
      <c r="BG308" s="76"/>
      <c r="BH308" s="76"/>
      <c r="BI308" s="76"/>
      <c r="BJ308" s="76"/>
      <c r="BK308" s="76"/>
      <c r="BL308" s="77"/>
      <c r="BM308" s="76"/>
      <c r="BN308" s="77"/>
      <c r="BO308" s="76"/>
      <c r="BP308" s="76"/>
      <c r="BQ308" s="76"/>
      <c r="BR308" s="76"/>
      <c r="BS308" s="76"/>
      <c r="BT308" s="77"/>
      <c r="BU308" s="76"/>
      <c r="BV308" s="77"/>
      <c r="BW308" s="76"/>
      <c r="BX308" s="76"/>
      <c r="BY308" s="76"/>
      <c r="BZ308" s="76"/>
      <c r="CA308" s="76"/>
      <c r="CB308" s="77"/>
      <c r="CC308" s="76"/>
      <c r="CD308" s="77"/>
      <c r="CE308" s="76"/>
      <c r="CF308" s="76"/>
      <c r="CG308" s="76"/>
      <c r="CH308" s="76"/>
      <c r="CI308" s="76"/>
      <c r="CJ308" s="77"/>
      <c r="CK308" s="76"/>
      <c r="CL308" s="77"/>
      <c r="CM308" s="76"/>
      <c r="CN308" s="76"/>
      <c r="CO308" s="76"/>
      <c r="CP308" s="76"/>
      <c r="CQ308" s="76"/>
      <c r="CR308" s="78" t="str">
        <f t="shared" si="79"/>
        <v/>
      </c>
      <c r="CS308" s="79" t="str">
        <f t="shared" si="80"/>
        <v/>
      </c>
      <c r="CT308" s="79" t="str">
        <f t="shared" si="81"/>
        <v/>
      </c>
      <c r="CU308" s="79" t="str">
        <f t="shared" si="82"/>
        <v/>
      </c>
      <c r="CV308" s="79" t="str">
        <f t="shared" si="83"/>
        <v/>
      </c>
      <c r="CW308" s="79" t="str">
        <f t="shared" si="84"/>
        <v/>
      </c>
      <c r="CX308" s="79" t="str">
        <f t="shared" si="85"/>
        <v/>
      </c>
      <c r="CY308" s="79" t="str">
        <f t="shared" si="86"/>
        <v/>
      </c>
      <c r="CZ308" s="79" t="str">
        <f t="shared" si="87"/>
        <v/>
      </c>
      <c r="DA308" s="79" t="str">
        <f t="shared" si="88"/>
        <v/>
      </c>
      <c r="DB308" s="79" t="str">
        <f t="shared" si="89"/>
        <v/>
      </c>
      <c r="DC308" s="79" t="str">
        <f t="shared" si="90"/>
        <v/>
      </c>
      <c r="DD308" s="79" t="str">
        <f t="shared" si="91"/>
        <v/>
      </c>
      <c r="DE308" s="79" t="str">
        <f t="shared" si="92"/>
        <v/>
      </c>
      <c r="DF308" s="79" t="str">
        <f t="shared" si="93"/>
        <v/>
      </c>
      <c r="DG308" s="79" t="str">
        <f t="shared" si="94"/>
        <v/>
      </c>
      <c r="DH308" s="76"/>
      <c r="DI308" s="78"/>
      <c r="DJ308" s="76"/>
      <c r="DK308" s="77"/>
      <c r="DL308" s="77"/>
      <c r="DM308" s="77"/>
      <c r="DN308" s="80"/>
      <c r="DO308" s="80"/>
      <c r="DP308" s="92" t="str">
        <f>IF(Table1[Start Date]="","",IF(Table1[Start Date]&gt;42185,"",IF(AND(Table1[Leaving Date]&gt;1,Table1[Leaving Date]&lt;42095),"",1)))</f>
        <v/>
      </c>
      <c r="DQ308" s="92" t="str">
        <f>IF(Table1[Start Date]="","",IF(Table1[Start Date]&gt;42277,"",IF(AND(Table1[Leaving Date]&gt;1,Table1[Leaving Date]&lt;42186),"",1)))</f>
        <v/>
      </c>
      <c r="DR308" s="92" t="str">
        <f>IF(Table1[Start Date]="","",IF(Table1[Start Date]&gt;42369,"",IF(AND(Table1[Leaving Date]&gt;1,Table1[Leaving Date]&lt;42278),"",1)))</f>
        <v/>
      </c>
      <c r="DS308" s="92" t="str">
        <f>IF(Table1[Start Date]="","",IF(Table1[Start Date]&gt;42460,"",IF(AND(Table1[Leaving Date]&gt;1,Table1[Leaving Date]&lt;42370),"",1)))</f>
        <v/>
      </c>
      <c r="DT308" s="92" t="str">
        <f>IF(Table1[Start Date]="","",IF(Table1[Start Date]&gt;42551,"",IF(AND(Table1[Leaving Date]&gt;1,Table1[Leaving Date]&lt;42461),"",1)))</f>
        <v/>
      </c>
      <c r="DU308" s="92" t="str">
        <f>IF(Table1[Start Date]="","",IF(Table1[Start Date]&gt;42643,"",IF(AND(Table1[Leaving Date]&gt;1,Table1[Leaving Date]&lt;42552),"",1)))</f>
        <v/>
      </c>
      <c r="DV308" s="92" t="str">
        <f>IF(Table1[Start Date]="","",IF(Table1[Start Date]&gt;42735,"",IF(AND(Table1[Leaving Date]&gt;1,Table1[Leaving Date]&lt;42644),"",1)))</f>
        <v/>
      </c>
      <c r="DW308" s="92" t="str">
        <f>IF(Table1[Start Date]="","",IF(Table1[Start Date]&gt;42825,"",IF(AND(Table1[Leaving Date]&gt;1,Table1[Leaving Date]&lt;42736),"",1)))</f>
        <v/>
      </c>
      <c r="DX308"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308" s="44" t="e">
        <f>VLOOKUP(Table1[Referral Source],Lists!$G$2:$H$20,2,FALSE)</f>
        <v>#N/A</v>
      </c>
      <c r="DZ308" s="93" t="e">
        <f>SUM(Table1[Data Referral Quarter]+Table1[Data Referral Source])</f>
        <v>#N/A</v>
      </c>
      <c r="EA308" s="44" t="b">
        <f>IF(Table1[Referral Decision]="Accepted",100,IF(Table1[Referral Decision]="Rejected by Provider",200,IF(Table1[Referral Decision]="Rejected by Applicant",300)))</f>
        <v>0</v>
      </c>
      <c r="EB308" s="44">
        <f>SUM(Table1[Data Referral Quarter]+Table1[Data Referral Decision])</f>
        <v>0</v>
      </c>
      <c r="EC308" s="44" t="b">
        <f>IF(Table1[Start Date]&gt;42735,8000,IF(Table1[Start Date]&gt;42643,7000,IF(Table1[Start Date]&gt;42551,6000,IF(Table1[Start Date]&gt;42460,5000,IF(Table1[Start Date]&gt;42369,4000,IF(Table1[Start Date]&gt;42277,3000,IF(Table1[Start Date]&gt;42185,2000,IF(Table1[Start Date]&gt;42094,1000))))))))</f>
        <v>0</v>
      </c>
      <c r="ED308" s="44" t="str">
        <f>IF(Table1[Start Date]="","",IF(Table1[Current Local Authority]="Swindon",1,"2"))</f>
        <v/>
      </c>
      <c r="EE308" s="44" t="e">
        <f>SUM(Table1[Data Start Date]+Table1[Data Local Authority])</f>
        <v>#VALUE!</v>
      </c>
      <c r="EF308" s="44">
        <f>IF(Table1[Registered with GP]="Yes",1,0)</f>
        <v>0</v>
      </c>
      <c r="EG308" s="44">
        <f>SUM(Table1[Data Start Date]+Table1[Data GP Start])</f>
        <v>0</v>
      </c>
      <c r="EH308" s="44" t="str">
        <f>IF(Table1[EET]="NEET",1,IF(Table1[EET]="Education",2,IF(Table1[EET]="Employment",2,IF(Table1[EET]="Training",2,IF(Table1[EET]="Retired",3,"")))))</f>
        <v/>
      </c>
      <c r="EI308" s="44" t="e">
        <f>Table1[Data Start Date]+Table1[Data EET Start]</f>
        <v>#VALUE!</v>
      </c>
      <c r="EJ308" s="44" t="b">
        <f>IF(Table1[Leaving Date]&gt;42735,8000,IF(Table1[Leaving Date]&gt;42643,7000,IF(Table1[Leaving Date]&gt;42551,6000,IF(Table1[Leaving Date]&gt;42460,5000,IF(Table1[Leaving Date]&gt;42369,4000,IF(Table1[Leaving Date]&gt;42277,3000,IF(Table1[Leaving Date]&gt;42185,2000,IF(Table1[Leaving Date]&gt;42094,1000))))))))</f>
        <v>0</v>
      </c>
      <c r="EK308" s="44" t="e">
        <f>VLOOKUP(Table1[Reason for Leaving],Lists!$T$2:$U$15,2,FALSE)</f>
        <v>#N/A</v>
      </c>
      <c r="EL308" s="44" t="e">
        <f>SUM(Table1[Data Leavers Date]+Table1[Data Move On])</f>
        <v>#N/A</v>
      </c>
      <c r="EM308" s="44" t="b">
        <f>IF(Table1[Registered with GP2]="Yes",1,IF(Table1[Registered with GP2]="No",0,IF(Table1[Registered with GP]="Yes",1,IF(Table1[Registered with GP]="No",0))))</f>
        <v>0</v>
      </c>
      <c r="EN308" s="44">
        <f>SUM(Table1[Data Leavers Date]+Table1[Data GP End])</f>
        <v>0</v>
      </c>
      <c r="EO308" s="44" t="str">
        <f>IF(Table1[EET2]="NEET",1,IF(Table1[EET2]="Employment",2,IF(Table1[EET2]="Education",2,IF(Table1[EET2]="Training",2,IF(Table1[EET2]="Retired",3,IF(Table1[EET]="NEET",1,IF(Table1[EET]="Employment",2,IF(Table1[EET]="Education",2,IF(Table1[EET]="Training",2,IF(Table1[EET]="Retired",3,""))))))))))</f>
        <v/>
      </c>
      <c r="EP308" s="44" t="e">
        <f>+Table1[[#This Row],[Data Leavers Date]]+Table1[[#This Row],[Data EET End]]</f>
        <v>#VALUE!</v>
      </c>
      <c r="EQ308" s="44">
        <f>IF(Table1[Exit Form Received]="Yes",1,0)</f>
        <v>0</v>
      </c>
      <c r="ER308" s="44">
        <f>+Table1[[#This Row],[Data Leavers Date]]+Table1[[#This Row],[Data Exit Forms]]</f>
        <v>0</v>
      </c>
      <c r="ES308" s="44" t="str">
        <f>IF(Table1[Data Leavers Date]=1000,SUM(Table1[Leaving Date]-Table1[Start Date]),"")</f>
        <v/>
      </c>
      <c r="ET308" s="44" t="str">
        <f>IF(Table1[Data Leavers Date]=2000,SUM(Table1[Leaving Date]-Table1[Start Date]),"")</f>
        <v/>
      </c>
      <c r="EU308" s="44" t="str">
        <f>IF(Table1[Data Leavers Date]=3000,SUM(Table1[Leaving Date]-Table1[Start Date]),"")</f>
        <v/>
      </c>
      <c r="EV308" s="44" t="str">
        <f>IF(Table1[Data Leavers Date]=4000,SUM(Table1[Leaving Date]-Table1[Start Date]),"")</f>
        <v/>
      </c>
      <c r="EW308" s="44" t="str">
        <f>IF(Table1[Data Leavers Date]=5000,SUM(Table1[Leaving Date]-Table1[Start Date]),"")</f>
        <v/>
      </c>
      <c r="EX308" s="44" t="str">
        <f>IF(Table1[Data Leavers Date]=6000,SUM(Table1[Leaving Date]-Table1[Start Date]),"")</f>
        <v/>
      </c>
      <c r="EY308" s="44" t="str">
        <f>IF(Table1[Data Leavers Date]=7000,SUM(Table1[Leaving Date]-Table1[Start Date]),"")</f>
        <v/>
      </c>
      <c r="EZ308" s="44" t="str">
        <f>IF(Table1[Data Leavers Date]=8000,SUM(Table1[Leaving Date]-Table1[Start Date]),"")</f>
        <v/>
      </c>
      <c r="FA308" s="44" t="str">
        <f>IF(Table1[Date of Initial Assessment]="","",IF(AND(Table1[Start Date]&gt;42094,Table1[Start Date]&lt;42461),Table1[Motivation and Taking Responsibility],""))</f>
        <v/>
      </c>
      <c r="FB308" s="44" t="str">
        <f>IF(Table1[Date of Initial Assessment]="","",IF(AND(Table1[Start Date]&gt;42094,Table1[Start Date]&lt;42461),Table1[Self-Care and Living Skills],""))</f>
        <v/>
      </c>
      <c r="FC308" s="44" t="str">
        <f>IF(Table1[Date of Initial Assessment]="","",IF(AND(Table1[Start Date]&gt;42094,Table1[Start Date]&lt;42461),Table1[Managing Money and Personal Administration],""))</f>
        <v/>
      </c>
      <c r="FD308" s="44" t="str">
        <f>IF(Table1[Date of Initial Assessment]="","",IF(AND(Table1[Start Date]&gt;42094,Table1[Start Date]&lt;42461),Table1[Social Networks and Relationships],""))</f>
        <v/>
      </c>
      <c r="FE308" s="44" t="str">
        <f>IF(Table1[Date of Initial Assessment]="","",IF(AND(Table1[Start Date]&gt;42094,Table1[Start Date]&lt;42461),Table1[Drug and Alcohol Misuse],""))</f>
        <v/>
      </c>
      <c r="FF308" s="44" t="str">
        <f>IF(Table1[Date of Initial Assessment]="","",IF(AND(Table1[Start Date]&gt;42094,Table1[Start Date]&lt;42461),Table1[Physical Health],""))</f>
        <v/>
      </c>
      <c r="FG308" s="44" t="str">
        <f>IF(Table1[Date of Initial Assessment]="","",IF(AND(Table1[Start Date]&gt;42094,Table1[Start Date]&lt;42461),Table1[Emotional and Mental Health],""))</f>
        <v/>
      </c>
      <c r="FH308" s="44" t="str">
        <f>IF(Table1[Date of Initial Assessment]="","",IF(AND(Table1[Start Date]&gt;42094,Table1[Start Date]&lt;42461),Table1[Meaningful Use of Time],""))</f>
        <v/>
      </c>
      <c r="FI308" s="44" t="str">
        <f>IF(Table1[Date of Initial Assessment]="","",IF(AND(Table1[Start Date]&gt;42094,Table1[Start Date]&lt;42461),Table1[Managing Tenancy and Accommodation],""))</f>
        <v/>
      </c>
      <c r="FJ308" s="44" t="str">
        <f>IF(Table1[Date of Initial Assessment]="","",IF(AND(Table1[Start Date]&gt;42094,Table1[Start Date]&lt;42461),Table1[Offending],""))</f>
        <v/>
      </c>
      <c r="FK308" s="44" t="str">
        <f>IF(Table1[Leaving Date]="","",IF(Table1[Date of Initial Assessment]="","",IF(AND(Table1[Leaving Date]&gt;42094,Table1[Leaving Date]&lt;42461),IF(Table1[Date of Last Assessment]="",Table1[Motivation and Taking Responsibility],Table1[Motivation and Taking Responsibility2]),"")))</f>
        <v/>
      </c>
      <c r="FL308" s="44" t="str">
        <f>IF(Table1[Leaving Date]="","",IF(Table1[Date of Initial Assessment]="","",IF(AND(Table1[Leaving Date]&gt;42094,Table1[Leaving Date]&lt;42461),IF(Table1[Date of Last Assessment]="",Table1[Self-Care and Living Skills],Table1[Self-Care and Living Skills2]),"")))</f>
        <v/>
      </c>
      <c r="FM308" s="44" t="str">
        <f>IF(Table1[Leaving Date]="","",IF(Table1[Date of Initial Assessment]="","",IF(AND(Table1[Leaving Date]&gt;42094,Table1[Leaving Date]&lt;42461),IF(Table1[Date of Last Assessment]="",Table1[Managing Money and Personal Administration],Table1[Managing Money and Personal Administration2]),"")))</f>
        <v/>
      </c>
      <c r="FN308" s="44" t="str">
        <f>IF(Table1[Leaving Date]="","",IF(Table1[Date of Initial Assessment]="","",IF(AND(Table1[Leaving Date]&gt;42094,Table1[Leaving Date]&lt;42461),IF(Table1[Date of Last Assessment]="",Table1[Social Networks and Relationships],Table1[Social Networks and Relationships2]),"")))</f>
        <v/>
      </c>
      <c r="FO308" s="44" t="str">
        <f>IF(Table1[Leaving Date]="","",IF(Table1[Date of Initial Assessment]="","",IF(AND(Table1[Leaving Date]&gt;42094,Table1[Leaving Date]&lt;42461),IF(Table1[Date of Last Assessment]="",Table1[Drug and Alcohol Misuse],Table1[Drug and Alcohol Misuse2]),"")))</f>
        <v/>
      </c>
      <c r="FP308" s="44" t="str">
        <f>IF(Table1[Leaving Date]="","",IF(Table1[Date of Initial Assessment]="","",IF(AND(Table1[Leaving Date]&gt;42094,Table1[Leaving Date]&lt;42461),IF(Table1[Date of Last Assessment]="",Table1[Physical Health],Table1[Physical Health2]),"")))</f>
        <v/>
      </c>
      <c r="FQ308" s="44" t="str">
        <f>IF(Table1[Leaving Date]="","",IF(Table1[Date of Initial Assessment]="","",IF(AND(Table1[Leaving Date]&gt;42094,Table1[Leaving Date]&lt;42461),IF(Table1[Date of Last Assessment]="",Table1[Emotional and Mental Health],Table1[Emotional and Mental Health2]),"")))</f>
        <v/>
      </c>
      <c r="FR308" s="44" t="str">
        <f>IF(Table1[Leaving Date]="","",IF(Table1[Date of Initial Assessment]="","",IF(AND(Table1[Leaving Date]&gt;42094,Table1[Leaving Date]&lt;42461),IF(Table1[Date of Last Assessment]="",Table1[Meaningful Use of Time],Table1[Meaningful Use of Time2]),"")))</f>
        <v/>
      </c>
      <c r="FS308" s="44" t="str">
        <f>IF(Table1[Leaving Date]="","",IF(Table1[Date of Initial Assessment]="","",IF(AND(Table1[Leaving Date]&gt;42094,Table1[Leaving Date]&lt;42461),IF(Table1[Date of Last Assessment]="",Table1[Managing Tenancy and Accommodation],Table1[Managing Tenancy and Accommodation2]),"")))</f>
        <v/>
      </c>
      <c r="FT308" s="44" t="str">
        <f>IF(Table1[Leaving Date]="","",IF(Table1[Date of Initial Assessment]="","",IF(AND(Table1[Leaving Date]&gt;42094,Table1[Leaving Date]&lt;42461),IF(Table1[Date of Last Assessment]="",Table1[Offending],Table1[Offending2]),"")))</f>
        <v/>
      </c>
      <c r="FU308" s="44" t="str">
        <f>IF(Table1[Date of Initial Assessment]="","",IF(AND(Table1[Start Date]&gt;42460,Table1[Start Date]&lt;42826),Table1[Motivation and Taking Responsibility],""))</f>
        <v/>
      </c>
      <c r="FV308" s="44" t="str">
        <f>IF(Table1[Date of Initial Assessment]="","",IF(AND(Table1[Start Date]&gt;42460,Table1[Start Date]&lt;42826),Table1[Self-Care and Living Skills],""))</f>
        <v/>
      </c>
      <c r="FW308" s="44" t="str">
        <f>IF(Table1[Date of Initial Assessment]="","",IF(AND(Table1[Start Date]&gt;42460,Table1[Start Date]&lt;42826),Table1[Managing Money and Personal Administration],""))</f>
        <v/>
      </c>
      <c r="FX308" s="44" t="str">
        <f>IF(Table1[Date of Initial Assessment]="","",IF(AND(Table1[Start Date]&gt;42460,Table1[Start Date]&lt;42826),Table1[Social Networks and Relationships],""))</f>
        <v/>
      </c>
      <c r="FY308" s="44" t="str">
        <f>IF(Table1[Date of Initial Assessment]="","",IF(AND(Table1[Start Date]&gt;42460,Table1[Start Date]&lt;42826),Table1[Drug and Alcohol Misuse],""))</f>
        <v/>
      </c>
      <c r="FZ308" s="44" t="str">
        <f>IF(Table1[Date of Initial Assessment]="","",IF(AND(Table1[Start Date]&gt;42460,Table1[Start Date]&lt;42826),Table1[Physical Health],""))</f>
        <v/>
      </c>
      <c r="GA308" s="44" t="str">
        <f>IF(Table1[Date of Initial Assessment]="","",IF(AND(Table1[Start Date]&gt;42460,Table1[Start Date]&lt;42826),Table1[Emotional and Mental Health],""))</f>
        <v/>
      </c>
      <c r="GB308" s="44" t="str">
        <f>IF(Table1[Date of Initial Assessment]="","",IF(AND(Table1[Start Date]&gt;42460,Table1[Start Date]&lt;42826),Table1[Meaningful Use of Time],""))</f>
        <v/>
      </c>
      <c r="GC308" s="44" t="str">
        <f>IF(Table1[Date of Initial Assessment]="","",IF(AND(Table1[Start Date]&gt;42460,Table1[Start Date]&lt;42826),Table1[Managing Tenancy and Accommodation],""))</f>
        <v/>
      </c>
      <c r="GD308" s="44" t="str">
        <f>IF(Table1[Date of Initial Assessment]="","",IF(AND(Table1[Start Date]&gt;42460,Table1[Start Date]&lt;42826),Table1[Offending],""))</f>
        <v/>
      </c>
      <c r="GE308" s="44" t="str">
        <f>IF(Table1[Leaving Date]="","",IF(AND(Table1[Leaving Date]&gt;42460,Table1[Leaving Date]&lt;42826),IF(Table1[Date of Last Assessment]="",Table1[Motivation and Taking Responsibility],Table1[Motivation and Taking Responsibility2]),""))</f>
        <v/>
      </c>
      <c r="GF308" s="44" t="str">
        <f>IF(Table1[Leaving Date]="","",IF(AND(Table1[Leaving Date]&gt;42460,Table1[Leaving Date]&lt;42826),IF(Table1[Date of Last Assessment]="",Table1[Self-Care and Living Skills],Table1[Self-Care and Living Skills2]),""))</f>
        <v/>
      </c>
      <c r="GG308" s="44" t="str">
        <f>IF(Table1[Leaving Date]="","",IF(AND(Table1[Leaving Date]&gt;42460,Table1[Leaving Date]&lt;42826),IF(Table1[Date of Last Assessment]="",Table1[Managing Money and Personal Administration],Table1[Managing Money and Personal Administration2]),""))</f>
        <v/>
      </c>
      <c r="GH308" s="44" t="str">
        <f>IF(Table1[Leaving Date]="","",IF(AND(Table1[Leaving Date]&gt;42460,Table1[Leaving Date]&lt;42826),IF(Table1[Date of Last Assessment]="",Table1[Social Networks and Relationships],Table1[Social Networks and Relationships2]),""))</f>
        <v/>
      </c>
      <c r="GI308" s="44" t="str">
        <f>IF(Table1[Leaving Date]="","",IF(AND(Table1[Leaving Date]&gt;42460,Table1[Leaving Date]&lt;42826),IF(Table1[Date of Last Assessment]="",Table1[Drug and Alcohol Misuse],Table1[Drug and Alcohol Misuse2]),""))</f>
        <v/>
      </c>
      <c r="GJ308" s="44" t="str">
        <f>IF(Table1[Leaving Date]="","",IF(AND(Table1[Leaving Date]&gt;42460,Table1[Leaving Date]&lt;42826),IF(Table1[Date of Last Assessment]="",Table1[Physical Health],Table1[Physical Health2]),""))</f>
        <v/>
      </c>
      <c r="GK308" s="44" t="str">
        <f>IF(Table1[Leaving Date]="","",IF(AND(Table1[Leaving Date]&gt;42460,Table1[Leaving Date]&lt;42826),IF(Table1[Date of Last Assessment]="",Table1[Emotional and Mental Health],Table1[Emotional and Mental Health2]),""))</f>
        <v/>
      </c>
      <c r="GL308" s="44" t="str">
        <f>IF(Table1[Leaving Date]="","",IF(AND(Table1[Leaving Date]&gt;42460,Table1[Leaving Date]&lt;42826),IF(Table1[Date of Last Assessment]="",Table1[Meaningful Use of Time],Table1[Meaningful Use of Time2]),""))</f>
        <v/>
      </c>
      <c r="GM308" s="44" t="str">
        <f>IF(Table1[Leaving Date]="","",IF(AND(Table1[Leaving Date]&gt;42460,Table1[Leaving Date]&lt;42826),IF(Table1[Date of Last Assessment]="",Table1[Managing Tenancy and Accommodation],Table1[Managing Tenancy and Accommodation2]),""))</f>
        <v/>
      </c>
      <c r="GN308" s="44" t="str">
        <f>IF(Table1[Leaving Date]="","",IF(AND(Table1[Leaving Date]&gt;42460,Table1[Leaving Date]&lt;42826),IF(Table1[Date of Last Assessment]="",Table1[Offending],Table1[Offending2]),""))</f>
        <v/>
      </c>
    </row>
    <row r="309" spans="2:196" ht="20.100000000000001" customHeight="1" x14ac:dyDescent="0.2">
      <c r="B309" s="86">
        <f>+'Service Data'!$C$5:$C$5</f>
        <v>0</v>
      </c>
      <c r="C309" s="86"/>
      <c r="D309" s="86"/>
      <c r="E309" s="86"/>
      <c r="F309" s="86"/>
      <c r="G309" s="86"/>
      <c r="H309" s="6"/>
      <c r="I309" s="99" t="str">
        <f ca="1">IF(Table1[[#This Row],[Date of Birth]]="","",SUM(TODAY()-Table1[[#This Row],[Date of Birth]])/365)</f>
        <v/>
      </c>
      <c r="L309" s="86"/>
      <c r="M309" s="77"/>
      <c r="N309" s="86"/>
      <c r="O309" s="86"/>
      <c r="P309" s="91"/>
      <c r="Q309" s="86"/>
      <c r="R309" s="77"/>
      <c r="S309" s="77"/>
      <c r="T309" s="68"/>
      <c r="U309" s="68"/>
      <c r="V309" s="67"/>
      <c r="W309" s="67"/>
      <c r="X309" s="67"/>
      <c r="Y309" s="67"/>
      <c r="Z309" s="67"/>
      <c r="AA309" s="67"/>
      <c r="AB309" s="67"/>
      <c r="AC309" s="67"/>
      <c r="AD309" s="67"/>
      <c r="AE309" s="67"/>
      <c r="AF309" s="67"/>
      <c r="AG309" s="67"/>
      <c r="AH309" s="67"/>
      <c r="AI309" s="67"/>
      <c r="AJ309" s="67"/>
      <c r="AK309" s="67"/>
      <c r="AL309" s="67"/>
      <c r="AM309" s="67"/>
      <c r="AN309" s="77"/>
      <c r="AO309" s="76"/>
      <c r="AP309" s="77"/>
      <c r="AQ309" s="76"/>
      <c r="AR309" s="76"/>
      <c r="AS309" s="76"/>
      <c r="AT309" s="76"/>
      <c r="AU309" s="76"/>
      <c r="AV309" s="77"/>
      <c r="AW309" s="76"/>
      <c r="AX309" s="77"/>
      <c r="AY309" s="76"/>
      <c r="AZ309" s="76"/>
      <c r="BA309" s="76"/>
      <c r="BB309" s="76"/>
      <c r="BC309" s="76"/>
      <c r="BD309" s="77"/>
      <c r="BE309" s="76"/>
      <c r="BF309" s="77"/>
      <c r="BG309" s="76"/>
      <c r="BH309" s="76"/>
      <c r="BI309" s="76"/>
      <c r="BJ309" s="76"/>
      <c r="BK309" s="76"/>
      <c r="BL309" s="77"/>
      <c r="BM309" s="76"/>
      <c r="BN309" s="77"/>
      <c r="BO309" s="76"/>
      <c r="BP309" s="76"/>
      <c r="BQ309" s="76"/>
      <c r="BR309" s="76"/>
      <c r="BS309" s="76"/>
      <c r="BT309" s="77"/>
      <c r="BU309" s="76"/>
      <c r="BV309" s="77"/>
      <c r="BW309" s="76"/>
      <c r="BX309" s="76"/>
      <c r="BY309" s="76"/>
      <c r="BZ309" s="76"/>
      <c r="CA309" s="76"/>
      <c r="CB309" s="77"/>
      <c r="CC309" s="76"/>
      <c r="CD309" s="77"/>
      <c r="CE309" s="76"/>
      <c r="CF309" s="76"/>
      <c r="CG309" s="76"/>
      <c r="CH309" s="76"/>
      <c r="CI309" s="76"/>
      <c r="CJ309" s="77"/>
      <c r="CK309" s="76"/>
      <c r="CL309" s="77"/>
      <c r="CM309" s="76"/>
      <c r="CN309" s="76"/>
      <c r="CO309" s="76"/>
      <c r="CP309" s="76"/>
      <c r="CQ309" s="76"/>
      <c r="CR309" s="78" t="str">
        <f t="shared" si="79"/>
        <v/>
      </c>
      <c r="CS309" s="79" t="str">
        <f t="shared" si="80"/>
        <v/>
      </c>
      <c r="CT309" s="79" t="str">
        <f t="shared" si="81"/>
        <v/>
      </c>
      <c r="CU309" s="79" t="str">
        <f t="shared" si="82"/>
        <v/>
      </c>
      <c r="CV309" s="79" t="str">
        <f t="shared" si="83"/>
        <v/>
      </c>
      <c r="CW309" s="79" t="str">
        <f t="shared" si="84"/>
        <v/>
      </c>
      <c r="CX309" s="79" t="str">
        <f t="shared" si="85"/>
        <v/>
      </c>
      <c r="CY309" s="79" t="str">
        <f t="shared" si="86"/>
        <v/>
      </c>
      <c r="CZ309" s="79" t="str">
        <f t="shared" si="87"/>
        <v/>
      </c>
      <c r="DA309" s="79" t="str">
        <f t="shared" si="88"/>
        <v/>
      </c>
      <c r="DB309" s="79" t="str">
        <f t="shared" si="89"/>
        <v/>
      </c>
      <c r="DC309" s="79" t="str">
        <f t="shared" si="90"/>
        <v/>
      </c>
      <c r="DD309" s="79" t="str">
        <f t="shared" si="91"/>
        <v/>
      </c>
      <c r="DE309" s="79" t="str">
        <f t="shared" si="92"/>
        <v/>
      </c>
      <c r="DF309" s="79" t="str">
        <f t="shared" si="93"/>
        <v/>
      </c>
      <c r="DG309" s="79" t="str">
        <f t="shared" si="94"/>
        <v/>
      </c>
      <c r="DH309" s="76"/>
      <c r="DI309" s="78"/>
      <c r="DJ309" s="76"/>
      <c r="DK309" s="77"/>
      <c r="DL309" s="77"/>
      <c r="DM309" s="77"/>
      <c r="DN309" s="80"/>
      <c r="DO309" s="80"/>
      <c r="DP309" s="92" t="str">
        <f>IF(Table1[Start Date]="","",IF(Table1[Start Date]&gt;42185,"",IF(AND(Table1[Leaving Date]&gt;1,Table1[Leaving Date]&lt;42095),"",1)))</f>
        <v/>
      </c>
      <c r="DQ309" s="92" t="str">
        <f>IF(Table1[Start Date]="","",IF(Table1[Start Date]&gt;42277,"",IF(AND(Table1[Leaving Date]&gt;1,Table1[Leaving Date]&lt;42186),"",1)))</f>
        <v/>
      </c>
      <c r="DR309" s="92" t="str">
        <f>IF(Table1[Start Date]="","",IF(Table1[Start Date]&gt;42369,"",IF(AND(Table1[Leaving Date]&gt;1,Table1[Leaving Date]&lt;42278),"",1)))</f>
        <v/>
      </c>
      <c r="DS309" s="92" t="str">
        <f>IF(Table1[Start Date]="","",IF(Table1[Start Date]&gt;42460,"",IF(AND(Table1[Leaving Date]&gt;1,Table1[Leaving Date]&lt;42370),"",1)))</f>
        <v/>
      </c>
      <c r="DT309" s="92" t="str">
        <f>IF(Table1[Start Date]="","",IF(Table1[Start Date]&gt;42551,"",IF(AND(Table1[Leaving Date]&gt;1,Table1[Leaving Date]&lt;42461),"",1)))</f>
        <v/>
      </c>
      <c r="DU309" s="92" t="str">
        <f>IF(Table1[Start Date]="","",IF(Table1[Start Date]&gt;42643,"",IF(AND(Table1[Leaving Date]&gt;1,Table1[Leaving Date]&lt;42552),"",1)))</f>
        <v/>
      </c>
      <c r="DV309" s="92" t="str">
        <f>IF(Table1[Start Date]="","",IF(Table1[Start Date]&gt;42735,"",IF(AND(Table1[Leaving Date]&gt;1,Table1[Leaving Date]&lt;42644),"",1)))</f>
        <v/>
      </c>
      <c r="DW309" s="92" t="str">
        <f>IF(Table1[Start Date]="","",IF(Table1[Start Date]&gt;42825,"",IF(AND(Table1[Leaving Date]&gt;1,Table1[Leaving Date]&lt;42736),"",1)))</f>
        <v/>
      </c>
      <c r="DX309"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309" s="44" t="e">
        <f>VLOOKUP(Table1[Referral Source],Lists!$G$2:$H$20,2,FALSE)</f>
        <v>#N/A</v>
      </c>
      <c r="DZ309" s="93" t="e">
        <f>SUM(Table1[Data Referral Quarter]+Table1[Data Referral Source])</f>
        <v>#N/A</v>
      </c>
      <c r="EA309" s="44" t="b">
        <f>IF(Table1[Referral Decision]="Accepted",100,IF(Table1[Referral Decision]="Rejected by Provider",200,IF(Table1[Referral Decision]="Rejected by Applicant",300)))</f>
        <v>0</v>
      </c>
      <c r="EB309" s="44">
        <f>SUM(Table1[Data Referral Quarter]+Table1[Data Referral Decision])</f>
        <v>0</v>
      </c>
      <c r="EC309" s="44" t="b">
        <f>IF(Table1[Start Date]&gt;42735,8000,IF(Table1[Start Date]&gt;42643,7000,IF(Table1[Start Date]&gt;42551,6000,IF(Table1[Start Date]&gt;42460,5000,IF(Table1[Start Date]&gt;42369,4000,IF(Table1[Start Date]&gt;42277,3000,IF(Table1[Start Date]&gt;42185,2000,IF(Table1[Start Date]&gt;42094,1000))))))))</f>
        <v>0</v>
      </c>
      <c r="ED309" s="44" t="str">
        <f>IF(Table1[Start Date]="","",IF(Table1[Current Local Authority]="Swindon",1,"2"))</f>
        <v/>
      </c>
      <c r="EE309" s="44" t="e">
        <f>SUM(Table1[Data Start Date]+Table1[Data Local Authority])</f>
        <v>#VALUE!</v>
      </c>
      <c r="EF309" s="44">
        <f>IF(Table1[Registered with GP]="Yes",1,0)</f>
        <v>0</v>
      </c>
      <c r="EG309" s="44">
        <f>SUM(Table1[Data Start Date]+Table1[Data GP Start])</f>
        <v>0</v>
      </c>
      <c r="EH309" s="44" t="str">
        <f>IF(Table1[EET]="NEET",1,IF(Table1[EET]="Education",2,IF(Table1[EET]="Employment",2,IF(Table1[EET]="Training",2,IF(Table1[EET]="Retired",3,"")))))</f>
        <v/>
      </c>
      <c r="EI309" s="44" t="e">
        <f>Table1[Data Start Date]+Table1[Data EET Start]</f>
        <v>#VALUE!</v>
      </c>
      <c r="EJ309" s="44" t="b">
        <f>IF(Table1[Leaving Date]&gt;42735,8000,IF(Table1[Leaving Date]&gt;42643,7000,IF(Table1[Leaving Date]&gt;42551,6000,IF(Table1[Leaving Date]&gt;42460,5000,IF(Table1[Leaving Date]&gt;42369,4000,IF(Table1[Leaving Date]&gt;42277,3000,IF(Table1[Leaving Date]&gt;42185,2000,IF(Table1[Leaving Date]&gt;42094,1000))))))))</f>
        <v>0</v>
      </c>
      <c r="EK309" s="44" t="e">
        <f>VLOOKUP(Table1[Reason for Leaving],Lists!$T$2:$U$15,2,FALSE)</f>
        <v>#N/A</v>
      </c>
      <c r="EL309" s="44" t="e">
        <f>SUM(Table1[Data Leavers Date]+Table1[Data Move On])</f>
        <v>#N/A</v>
      </c>
      <c r="EM309" s="44" t="b">
        <f>IF(Table1[Registered with GP2]="Yes",1,IF(Table1[Registered with GP2]="No",0,IF(Table1[Registered with GP]="Yes",1,IF(Table1[Registered with GP]="No",0))))</f>
        <v>0</v>
      </c>
      <c r="EN309" s="44">
        <f>SUM(Table1[Data Leavers Date]+Table1[Data GP End])</f>
        <v>0</v>
      </c>
      <c r="EO309" s="44" t="str">
        <f>IF(Table1[EET2]="NEET",1,IF(Table1[EET2]="Employment",2,IF(Table1[EET2]="Education",2,IF(Table1[EET2]="Training",2,IF(Table1[EET2]="Retired",3,IF(Table1[EET]="NEET",1,IF(Table1[EET]="Employment",2,IF(Table1[EET]="Education",2,IF(Table1[EET]="Training",2,IF(Table1[EET]="Retired",3,""))))))))))</f>
        <v/>
      </c>
      <c r="EP309" s="44" t="e">
        <f>+Table1[[#This Row],[Data Leavers Date]]+Table1[[#This Row],[Data EET End]]</f>
        <v>#VALUE!</v>
      </c>
      <c r="EQ309" s="44">
        <f>IF(Table1[Exit Form Received]="Yes",1,0)</f>
        <v>0</v>
      </c>
      <c r="ER309" s="44">
        <f>+Table1[[#This Row],[Data Leavers Date]]+Table1[[#This Row],[Data Exit Forms]]</f>
        <v>0</v>
      </c>
      <c r="ES309" s="44" t="str">
        <f>IF(Table1[Data Leavers Date]=1000,SUM(Table1[Leaving Date]-Table1[Start Date]),"")</f>
        <v/>
      </c>
      <c r="ET309" s="44" t="str">
        <f>IF(Table1[Data Leavers Date]=2000,SUM(Table1[Leaving Date]-Table1[Start Date]),"")</f>
        <v/>
      </c>
      <c r="EU309" s="44" t="str">
        <f>IF(Table1[Data Leavers Date]=3000,SUM(Table1[Leaving Date]-Table1[Start Date]),"")</f>
        <v/>
      </c>
      <c r="EV309" s="44" t="str">
        <f>IF(Table1[Data Leavers Date]=4000,SUM(Table1[Leaving Date]-Table1[Start Date]),"")</f>
        <v/>
      </c>
      <c r="EW309" s="44" t="str">
        <f>IF(Table1[Data Leavers Date]=5000,SUM(Table1[Leaving Date]-Table1[Start Date]),"")</f>
        <v/>
      </c>
      <c r="EX309" s="44" t="str">
        <f>IF(Table1[Data Leavers Date]=6000,SUM(Table1[Leaving Date]-Table1[Start Date]),"")</f>
        <v/>
      </c>
      <c r="EY309" s="44" t="str">
        <f>IF(Table1[Data Leavers Date]=7000,SUM(Table1[Leaving Date]-Table1[Start Date]),"")</f>
        <v/>
      </c>
      <c r="EZ309" s="44" t="str">
        <f>IF(Table1[Data Leavers Date]=8000,SUM(Table1[Leaving Date]-Table1[Start Date]),"")</f>
        <v/>
      </c>
      <c r="FA309" s="44" t="str">
        <f>IF(Table1[Date of Initial Assessment]="","",IF(AND(Table1[Start Date]&gt;42094,Table1[Start Date]&lt;42461),Table1[Motivation and Taking Responsibility],""))</f>
        <v/>
      </c>
      <c r="FB309" s="44" t="str">
        <f>IF(Table1[Date of Initial Assessment]="","",IF(AND(Table1[Start Date]&gt;42094,Table1[Start Date]&lt;42461),Table1[Self-Care and Living Skills],""))</f>
        <v/>
      </c>
      <c r="FC309" s="44" t="str">
        <f>IF(Table1[Date of Initial Assessment]="","",IF(AND(Table1[Start Date]&gt;42094,Table1[Start Date]&lt;42461),Table1[Managing Money and Personal Administration],""))</f>
        <v/>
      </c>
      <c r="FD309" s="44" t="str">
        <f>IF(Table1[Date of Initial Assessment]="","",IF(AND(Table1[Start Date]&gt;42094,Table1[Start Date]&lt;42461),Table1[Social Networks and Relationships],""))</f>
        <v/>
      </c>
      <c r="FE309" s="44" t="str">
        <f>IF(Table1[Date of Initial Assessment]="","",IF(AND(Table1[Start Date]&gt;42094,Table1[Start Date]&lt;42461),Table1[Drug and Alcohol Misuse],""))</f>
        <v/>
      </c>
      <c r="FF309" s="44" t="str">
        <f>IF(Table1[Date of Initial Assessment]="","",IF(AND(Table1[Start Date]&gt;42094,Table1[Start Date]&lt;42461),Table1[Physical Health],""))</f>
        <v/>
      </c>
      <c r="FG309" s="44" t="str">
        <f>IF(Table1[Date of Initial Assessment]="","",IF(AND(Table1[Start Date]&gt;42094,Table1[Start Date]&lt;42461),Table1[Emotional and Mental Health],""))</f>
        <v/>
      </c>
      <c r="FH309" s="44" t="str">
        <f>IF(Table1[Date of Initial Assessment]="","",IF(AND(Table1[Start Date]&gt;42094,Table1[Start Date]&lt;42461),Table1[Meaningful Use of Time],""))</f>
        <v/>
      </c>
      <c r="FI309" s="44" t="str">
        <f>IF(Table1[Date of Initial Assessment]="","",IF(AND(Table1[Start Date]&gt;42094,Table1[Start Date]&lt;42461),Table1[Managing Tenancy and Accommodation],""))</f>
        <v/>
      </c>
      <c r="FJ309" s="44" t="str">
        <f>IF(Table1[Date of Initial Assessment]="","",IF(AND(Table1[Start Date]&gt;42094,Table1[Start Date]&lt;42461),Table1[Offending],""))</f>
        <v/>
      </c>
      <c r="FK309" s="44" t="str">
        <f>IF(Table1[Leaving Date]="","",IF(Table1[Date of Initial Assessment]="","",IF(AND(Table1[Leaving Date]&gt;42094,Table1[Leaving Date]&lt;42461),IF(Table1[Date of Last Assessment]="",Table1[Motivation and Taking Responsibility],Table1[Motivation and Taking Responsibility2]),"")))</f>
        <v/>
      </c>
      <c r="FL309" s="44" t="str">
        <f>IF(Table1[Leaving Date]="","",IF(Table1[Date of Initial Assessment]="","",IF(AND(Table1[Leaving Date]&gt;42094,Table1[Leaving Date]&lt;42461),IF(Table1[Date of Last Assessment]="",Table1[Self-Care and Living Skills],Table1[Self-Care and Living Skills2]),"")))</f>
        <v/>
      </c>
      <c r="FM309" s="44" t="str">
        <f>IF(Table1[Leaving Date]="","",IF(Table1[Date of Initial Assessment]="","",IF(AND(Table1[Leaving Date]&gt;42094,Table1[Leaving Date]&lt;42461),IF(Table1[Date of Last Assessment]="",Table1[Managing Money and Personal Administration],Table1[Managing Money and Personal Administration2]),"")))</f>
        <v/>
      </c>
      <c r="FN309" s="44" t="str">
        <f>IF(Table1[Leaving Date]="","",IF(Table1[Date of Initial Assessment]="","",IF(AND(Table1[Leaving Date]&gt;42094,Table1[Leaving Date]&lt;42461),IF(Table1[Date of Last Assessment]="",Table1[Social Networks and Relationships],Table1[Social Networks and Relationships2]),"")))</f>
        <v/>
      </c>
      <c r="FO309" s="44" t="str">
        <f>IF(Table1[Leaving Date]="","",IF(Table1[Date of Initial Assessment]="","",IF(AND(Table1[Leaving Date]&gt;42094,Table1[Leaving Date]&lt;42461),IF(Table1[Date of Last Assessment]="",Table1[Drug and Alcohol Misuse],Table1[Drug and Alcohol Misuse2]),"")))</f>
        <v/>
      </c>
      <c r="FP309" s="44" t="str">
        <f>IF(Table1[Leaving Date]="","",IF(Table1[Date of Initial Assessment]="","",IF(AND(Table1[Leaving Date]&gt;42094,Table1[Leaving Date]&lt;42461),IF(Table1[Date of Last Assessment]="",Table1[Physical Health],Table1[Physical Health2]),"")))</f>
        <v/>
      </c>
      <c r="FQ309" s="44" t="str">
        <f>IF(Table1[Leaving Date]="","",IF(Table1[Date of Initial Assessment]="","",IF(AND(Table1[Leaving Date]&gt;42094,Table1[Leaving Date]&lt;42461),IF(Table1[Date of Last Assessment]="",Table1[Emotional and Mental Health],Table1[Emotional and Mental Health2]),"")))</f>
        <v/>
      </c>
      <c r="FR309" s="44" t="str">
        <f>IF(Table1[Leaving Date]="","",IF(Table1[Date of Initial Assessment]="","",IF(AND(Table1[Leaving Date]&gt;42094,Table1[Leaving Date]&lt;42461),IF(Table1[Date of Last Assessment]="",Table1[Meaningful Use of Time],Table1[Meaningful Use of Time2]),"")))</f>
        <v/>
      </c>
      <c r="FS309" s="44" t="str">
        <f>IF(Table1[Leaving Date]="","",IF(Table1[Date of Initial Assessment]="","",IF(AND(Table1[Leaving Date]&gt;42094,Table1[Leaving Date]&lt;42461),IF(Table1[Date of Last Assessment]="",Table1[Managing Tenancy and Accommodation],Table1[Managing Tenancy and Accommodation2]),"")))</f>
        <v/>
      </c>
      <c r="FT309" s="44" t="str">
        <f>IF(Table1[Leaving Date]="","",IF(Table1[Date of Initial Assessment]="","",IF(AND(Table1[Leaving Date]&gt;42094,Table1[Leaving Date]&lt;42461),IF(Table1[Date of Last Assessment]="",Table1[Offending],Table1[Offending2]),"")))</f>
        <v/>
      </c>
      <c r="FU309" s="44" t="str">
        <f>IF(Table1[Date of Initial Assessment]="","",IF(AND(Table1[Start Date]&gt;42460,Table1[Start Date]&lt;42826),Table1[Motivation and Taking Responsibility],""))</f>
        <v/>
      </c>
      <c r="FV309" s="44" t="str">
        <f>IF(Table1[Date of Initial Assessment]="","",IF(AND(Table1[Start Date]&gt;42460,Table1[Start Date]&lt;42826),Table1[Self-Care and Living Skills],""))</f>
        <v/>
      </c>
      <c r="FW309" s="44" t="str">
        <f>IF(Table1[Date of Initial Assessment]="","",IF(AND(Table1[Start Date]&gt;42460,Table1[Start Date]&lt;42826),Table1[Managing Money and Personal Administration],""))</f>
        <v/>
      </c>
      <c r="FX309" s="44" t="str">
        <f>IF(Table1[Date of Initial Assessment]="","",IF(AND(Table1[Start Date]&gt;42460,Table1[Start Date]&lt;42826),Table1[Social Networks and Relationships],""))</f>
        <v/>
      </c>
      <c r="FY309" s="44" t="str">
        <f>IF(Table1[Date of Initial Assessment]="","",IF(AND(Table1[Start Date]&gt;42460,Table1[Start Date]&lt;42826),Table1[Drug and Alcohol Misuse],""))</f>
        <v/>
      </c>
      <c r="FZ309" s="44" t="str">
        <f>IF(Table1[Date of Initial Assessment]="","",IF(AND(Table1[Start Date]&gt;42460,Table1[Start Date]&lt;42826),Table1[Physical Health],""))</f>
        <v/>
      </c>
      <c r="GA309" s="44" t="str">
        <f>IF(Table1[Date of Initial Assessment]="","",IF(AND(Table1[Start Date]&gt;42460,Table1[Start Date]&lt;42826),Table1[Emotional and Mental Health],""))</f>
        <v/>
      </c>
      <c r="GB309" s="44" t="str">
        <f>IF(Table1[Date of Initial Assessment]="","",IF(AND(Table1[Start Date]&gt;42460,Table1[Start Date]&lt;42826),Table1[Meaningful Use of Time],""))</f>
        <v/>
      </c>
      <c r="GC309" s="44" t="str">
        <f>IF(Table1[Date of Initial Assessment]="","",IF(AND(Table1[Start Date]&gt;42460,Table1[Start Date]&lt;42826),Table1[Managing Tenancy and Accommodation],""))</f>
        <v/>
      </c>
      <c r="GD309" s="44" t="str">
        <f>IF(Table1[Date of Initial Assessment]="","",IF(AND(Table1[Start Date]&gt;42460,Table1[Start Date]&lt;42826),Table1[Offending],""))</f>
        <v/>
      </c>
      <c r="GE309" s="44" t="str">
        <f>IF(Table1[Leaving Date]="","",IF(AND(Table1[Leaving Date]&gt;42460,Table1[Leaving Date]&lt;42826),IF(Table1[Date of Last Assessment]="",Table1[Motivation and Taking Responsibility],Table1[Motivation and Taking Responsibility2]),""))</f>
        <v/>
      </c>
      <c r="GF309" s="44" t="str">
        <f>IF(Table1[Leaving Date]="","",IF(AND(Table1[Leaving Date]&gt;42460,Table1[Leaving Date]&lt;42826),IF(Table1[Date of Last Assessment]="",Table1[Self-Care and Living Skills],Table1[Self-Care and Living Skills2]),""))</f>
        <v/>
      </c>
      <c r="GG309" s="44" t="str">
        <f>IF(Table1[Leaving Date]="","",IF(AND(Table1[Leaving Date]&gt;42460,Table1[Leaving Date]&lt;42826),IF(Table1[Date of Last Assessment]="",Table1[Managing Money and Personal Administration],Table1[Managing Money and Personal Administration2]),""))</f>
        <v/>
      </c>
      <c r="GH309" s="44" t="str">
        <f>IF(Table1[Leaving Date]="","",IF(AND(Table1[Leaving Date]&gt;42460,Table1[Leaving Date]&lt;42826),IF(Table1[Date of Last Assessment]="",Table1[Social Networks and Relationships],Table1[Social Networks and Relationships2]),""))</f>
        <v/>
      </c>
      <c r="GI309" s="44" t="str">
        <f>IF(Table1[Leaving Date]="","",IF(AND(Table1[Leaving Date]&gt;42460,Table1[Leaving Date]&lt;42826),IF(Table1[Date of Last Assessment]="",Table1[Drug and Alcohol Misuse],Table1[Drug and Alcohol Misuse2]),""))</f>
        <v/>
      </c>
      <c r="GJ309" s="44" t="str">
        <f>IF(Table1[Leaving Date]="","",IF(AND(Table1[Leaving Date]&gt;42460,Table1[Leaving Date]&lt;42826),IF(Table1[Date of Last Assessment]="",Table1[Physical Health],Table1[Physical Health2]),""))</f>
        <v/>
      </c>
      <c r="GK309" s="44" t="str">
        <f>IF(Table1[Leaving Date]="","",IF(AND(Table1[Leaving Date]&gt;42460,Table1[Leaving Date]&lt;42826),IF(Table1[Date of Last Assessment]="",Table1[Emotional and Mental Health],Table1[Emotional and Mental Health2]),""))</f>
        <v/>
      </c>
      <c r="GL309" s="44" t="str">
        <f>IF(Table1[Leaving Date]="","",IF(AND(Table1[Leaving Date]&gt;42460,Table1[Leaving Date]&lt;42826),IF(Table1[Date of Last Assessment]="",Table1[Meaningful Use of Time],Table1[Meaningful Use of Time2]),""))</f>
        <v/>
      </c>
      <c r="GM309" s="44" t="str">
        <f>IF(Table1[Leaving Date]="","",IF(AND(Table1[Leaving Date]&gt;42460,Table1[Leaving Date]&lt;42826),IF(Table1[Date of Last Assessment]="",Table1[Managing Tenancy and Accommodation],Table1[Managing Tenancy and Accommodation2]),""))</f>
        <v/>
      </c>
      <c r="GN309" s="44" t="str">
        <f>IF(Table1[Leaving Date]="","",IF(AND(Table1[Leaving Date]&gt;42460,Table1[Leaving Date]&lt;42826),IF(Table1[Date of Last Assessment]="",Table1[Offending],Table1[Offending2]),""))</f>
        <v/>
      </c>
    </row>
    <row r="310" spans="2:196" ht="20.100000000000001" customHeight="1" x14ac:dyDescent="0.2">
      <c r="B310" s="86">
        <f>+'Service Data'!$C$5:$C$5</f>
        <v>0</v>
      </c>
      <c r="C310" s="86"/>
      <c r="D310" s="86"/>
      <c r="E310" s="86"/>
      <c r="F310" s="86"/>
      <c r="G310" s="86"/>
      <c r="H310" s="6"/>
      <c r="I310" s="99" t="str">
        <f ca="1">IF(Table1[[#This Row],[Date of Birth]]="","",SUM(TODAY()-Table1[[#This Row],[Date of Birth]])/365)</f>
        <v/>
      </c>
      <c r="L310" s="86"/>
      <c r="M310" s="77"/>
      <c r="N310" s="86"/>
      <c r="O310" s="86"/>
      <c r="P310" s="91"/>
      <c r="Q310" s="86"/>
      <c r="R310" s="77"/>
      <c r="S310" s="77"/>
      <c r="T310" s="68"/>
      <c r="U310" s="68"/>
      <c r="V310" s="67"/>
      <c r="W310" s="67"/>
      <c r="X310" s="67"/>
      <c r="Y310" s="67"/>
      <c r="Z310" s="67"/>
      <c r="AA310" s="67"/>
      <c r="AB310" s="67"/>
      <c r="AC310" s="67"/>
      <c r="AD310" s="67"/>
      <c r="AE310" s="67"/>
      <c r="AF310" s="67"/>
      <c r="AG310" s="67"/>
      <c r="AH310" s="67"/>
      <c r="AI310" s="67"/>
      <c r="AJ310" s="67"/>
      <c r="AK310" s="67"/>
      <c r="AL310" s="67"/>
      <c r="AM310" s="67"/>
      <c r="AN310" s="77"/>
      <c r="AO310" s="76"/>
      <c r="AP310" s="77"/>
      <c r="AQ310" s="76"/>
      <c r="AR310" s="76"/>
      <c r="AS310" s="76"/>
      <c r="AT310" s="76"/>
      <c r="AU310" s="76"/>
      <c r="AV310" s="77"/>
      <c r="AW310" s="76"/>
      <c r="AX310" s="77"/>
      <c r="AY310" s="76"/>
      <c r="AZ310" s="76"/>
      <c r="BA310" s="76"/>
      <c r="BB310" s="76"/>
      <c r="BC310" s="76"/>
      <c r="BD310" s="77"/>
      <c r="BE310" s="76"/>
      <c r="BF310" s="77"/>
      <c r="BG310" s="76"/>
      <c r="BH310" s="76"/>
      <c r="BI310" s="76"/>
      <c r="BJ310" s="76"/>
      <c r="BK310" s="76"/>
      <c r="BL310" s="77"/>
      <c r="BM310" s="76"/>
      <c r="BN310" s="77"/>
      <c r="BO310" s="76"/>
      <c r="BP310" s="76"/>
      <c r="BQ310" s="76"/>
      <c r="BR310" s="76"/>
      <c r="BS310" s="76"/>
      <c r="BT310" s="77"/>
      <c r="BU310" s="76"/>
      <c r="BV310" s="77"/>
      <c r="BW310" s="76"/>
      <c r="BX310" s="76"/>
      <c r="BY310" s="76"/>
      <c r="BZ310" s="76"/>
      <c r="CA310" s="76"/>
      <c r="CB310" s="77"/>
      <c r="CC310" s="76"/>
      <c r="CD310" s="77"/>
      <c r="CE310" s="76"/>
      <c r="CF310" s="76"/>
      <c r="CG310" s="76"/>
      <c r="CH310" s="76"/>
      <c r="CI310" s="76"/>
      <c r="CJ310" s="77"/>
      <c r="CK310" s="76"/>
      <c r="CL310" s="77"/>
      <c r="CM310" s="76"/>
      <c r="CN310" s="76"/>
      <c r="CO310" s="76"/>
      <c r="CP310" s="76"/>
      <c r="CQ310" s="76"/>
      <c r="CR310" s="78" t="str">
        <f t="shared" si="79"/>
        <v/>
      </c>
      <c r="CS310" s="79" t="str">
        <f t="shared" si="80"/>
        <v/>
      </c>
      <c r="CT310" s="79" t="str">
        <f t="shared" si="81"/>
        <v/>
      </c>
      <c r="CU310" s="79" t="str">
        <f t="shared" si="82"/>
        <v/>
      </c>
      <c r="CV310" s="79" t="str">
        <f t="shared" si="83"/>
        <v/>
      </c>
      <c r="CW310" s="79" t="str">
        <f t="shared" si="84"/>
        <v/>
      </c>
      <c r="CX310" s="79" t="str">
        <f t="shared" si="85"/>
        <v/>
      </c>
      <c r="CY310" s="79" t="str">
        <f t="shared" si="86"/>
        <v/>
      </c>
      <c r="CZ310" s="79" t="str">
        <f t="shared" si="87"/>
        <v/>
      </c>
      <c r="DA310" s="79" t="str">
        <f t="shared" si="88"/>
        <v/>
      </c>
      <c r="DB310" s="79" t="str">
        <f t="shared" si="89"/>
        <v/>
      </c>
      <c r="DC310" s="79" t="str">
        <f t="shared" si="90"/>
        <v/>
      </c>
      <c r="DD310" s="79" t="str">
        <f t="shared" si="91"/>
        <v/>
      </c>
      <c r="DE310" s="79" t="str">
        <f t="shared" si="92"/>
        <v/>
      </c>
      <c r="DF310" s="79" t="str">
        <f t="shared" si="93"/>
        <v/>
      </c>
      <c r="DG310" s="79" t="str">
        <f t="shared" si="94"/>
        <v/>
      </c>
      <c r="DH310" s="76"/>
      <c r="DI310" s="78"/>
      <c r="DJ310" s="76"/>
      <c r="DK310" s="77"/>
      <c r="DL310" s="77"/>
      <c r="DM310" s="77"/>
      <c r="DN310" s="80"/>
      <c r="DO310" s="80"/>
      <c r="DP310" s="92" t="str">
        <f>IF(Table1[Start Date]="","",IF(Table1[Start Date]&gt;42185,"",IF(AND(Table1[Leaving Date]&gt;1,Table1[Leaving Date]&lt;42095),"",1)))</f>
        <v/>
      </c>
      <c r="DQ310" s="92" t="str">
        <f>IF(Table1[Start Date]="","",IF(Table1[Start Date]&gt;42277,"",IF(AND(Table1[Leaving Date]&gt;1,Table1[Leaving Date]&lt;42186),"",1)))</f>
        <v/>
      </c>
      <c r="DR310" s="92" t="str">
        <f>IF(Table1[Start Date]="","",IF(Table1[Start Date]&gt;42369,"",IF(AND(Table1[Leaving Date]&gt;1,Table1[Leaving Date]&lt;42278),"",1)))</f>
        <v/>
      </c>
      <c r="DS310" s="92" t="str">
        <f>IF(Table1[Start Date]="","",IF(Table1[Start Date]&gt;42460,"",IF(AND(Table1[Leaving Date]&gt;1,Table1[Leaving Date]&lt;42370),"",1)))</f>
        <v/>
      </c>
      <c r="DT310" s="92" t="str">
        <f>IF(Table1[Start Date]="","",IF(Table1[Start Date]&gt;42551,"",IF(AND(Table1[Leaving Date]&gt;1,Table1[Leaving Date]&lt;42461),"",1)))</f>
        <v/>
      </c>
      <c r="DU310" s="92" t="str">
        <f>IF(Table1[Start Date]="","",IF(Table1[Start Date]&gt;42643,"",IF(AND(Table1[Leaving Date]&gt;1,Table1[Leaving Date]&lt;42552),"",1)))</f>
        <v/>
      </c>
      <c r="DV310" s="92" t="str">
        <f>IF(Table1[Start Date]="","",IF(Table1[Start Date]&gt;42735,"",IF(AND(Table1[Leaving Date]&gt;1,Table1[Leaving Date]&lt;42644),"",1)))</f>
        <v/>
      </c>
      <c r="DW310" s="92" t="str">
        <f>IF(Table1[Start Date]="","",IF(Table1[Start Date]&gt;42825,"",IF(AND(Table1[Leaving Date]&gt;1,Table1[Leaving Date]&lt;42736),"",1)))</f>
        <v/>
      </c>
      <c r="DX310"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310" s="44" t="e">
        <f>VLOOKUP(Table1[Referral Source],Lists!$G$2:$H$20,2,FALSE)</f>
        <v>#N/A</v>
      </c>
      <c r="DZ310" s="93" t="e">
        <f>SUM(Table1[Data Referral Quarter]+Table1[Data Referral Source])</f>
        <v>#N/A</v>
      </c>
      <c r="EA310" s="44" t="b">
        <f>IF(Table1[Referral Decision]="Accepted",100,IF(Table1[Referral Decision]="Rejected by Provider",200,IF(Table1[Referral Decision]="Rejected by Applicant",300)))</f>
        <v>0</v>
      </c>
      <c r="EB310" s="44">
        <f>SUM(Table1[Data Referral Quarter]+Table1[Data Referral Decision])</f>
        <v>0</v>
      </c>
      <c r="EC310" s="44" t="b">
        <f>IF(Table1[Start Date]&gt;42735,8000,IF(Table1[Start Date]&gt;42643,7000,IF(Table1[Start Date]&gt;42551,6000,IF(Table1[Start Date]&gt;42460,5000,IF(Table1[Start Date]&gt;42369,4000,IF(Table1[Start Date]&gt;42277,3000,IF(Table1[Start Date]&gt;42185,2000,IF(Table1[Start Date]&gt;42094,1000))))))))</f>
        <v>0</v>
      </c>
      <c r="ED310" s="44" t="str">
        <f>IF(Table1[Start Date]="","",IF(Table1[Current Local Authority]="Swindon",1,"2"))</f>
        <v/>
      </c>
      <c r="EE310" s="44" t="e">
        <f>SUM(Table1[Data Start Date]+Table1[Data Local Authority])</f>
        <v>#VALUE!</v>
      </c>
      <c r="EF310" s="44">
        <f>IF(Table1[Registered with GP]="Yes",1,0)</f>
        <v>0</v>
      </c>
      <c r="EG310" s="44">
        <f>SUM(Table1[Data Start Date]+Table1[Data GP Start])</f>
        <v>0</v>
      </c>
      <c r="EH310" s="44" t="str">
        <f>IF(Table1[EET]="NEET",1,IF(Table1[EET]="Education",2,IF(Table1[EET]="Employment",2,IF(Table1[EET]="Training",2,IF(Table1[EET]="Retired",3,"")))))</f>
        <v/>
      </c>
      <c r="EI310" s="44" t="e">
        <f>Table1[Data Start Date]+Table1[Data EET Start]</f>
        <v>#VALUE!</v>
      </c>
      <c r="EJ310" s="44" t="b">
        <f>IF(Table1[Leaving Date]&gt;42735,8000,IF(Table1[Leaving Date]&gt;42643,7000,IF(Table1[Leaving Date]&gt;42551,6000,IF(Table1[Leaving Date]&gt;42460,5000,IF(Table1[Leaving Date]&gt;42369,4000,IF(Table1[Leaving Date]&gt;42277,3000,IF(Table1[Leaving Date]&gt;42185,2000,IF(Table1[Leaving Date]&gt;42094,1000))))))))</f>
        <v>0</v>
      </c>
      <c r="EK310" s="44" t="e">
        <f>VLOOKUP(Table1[Reason for Leaving],Lists!$T$2:$U$15,2,FALSE)</f>
        <v>#N/A</v>
      </c>
      <c r="EL310" s="44" t="e">
        <f>SUM(Table1[Data Leavers Date]+Table1[Data Move On])</f>
        <v>#N/A</v>
      </c>
      <c r="EM310" s="44" t="b">
        <f>IF(Table1[Registered with GP2]="Yes",1,IF(Table1[Registered with GP2]="No",0,IF(Table1[Registered with GP]="Yes",1,IF(Table1[Registered with GP]="No",0))))</f>
        <v>0</v>
      </c>
      <c r="EN310" s="44">
        <f>SUM(Table1[Data Leavers Date]+Table1[Data GP End])</f>
        <v>0</v>
      </c>
      <c r="EO310" s="44" t="str">
        <f>IF(Table1[EET2]="NEET",1,IF(Table1[EET2]="Employment",2,IF(Table1[EET2]="Education",2,IF(Table1[EET2]="Training",2,IF(Table1[EET2]="Retired",3,IF(Table1[EET]="NEET",1,IF(Table1[EET]="Employment",2,IF(Table1[EET]="Education",2,IF(Table1[EET]="Training",2,IF(Table1[EET]="Retired",3,""))))))))))</f>
        <v/>
      </c>
      <c r="EP310" s="44" t="e">
        <f>+Table1[[#This Row],[Data Leavers Date]]+Table1[[#This Row],[Data EET End]]</f>
        <v>#VALUE!</v>
      </c>
      <c r="EQ310" s="44">
        <f>IF(Table1[Exit Form Received]="Yes",1,0)</f>
        <v>0</v>
      </c>
      <c r="ER310" s="44">
        <f>+Table1[[#This Row],[Data Leavers Date]]+Table1[[#This Row],[Data Exit Forms]]</f>
        <v>0</v>
      </c>
      <c r="ES310" s="44" t="str">
        <f>IF(Table1[Data Leavers Date]=1000,SUM(Table1[Leaving Date]-Table1[Start Date]),"")</f>
        <v/>
      </c>
      <c r="ET310" s="44" t="str">
        <f>IF(Table1[Data Leavers Date]=2000,SUM(Table1[Leaving Date]-Table1[Start Date]),"")</f>
        <v/>
      </c>
      <c r="EU310" s="44" t="str">
        <f>IF(Table1[Data Leavers Date]=3000,SUM(Table1[Leaving Date]-Table1[Start Date]),"")</f>
        <v/>
      </c>
      <c r="EV310" s="44" t="str">
        <f>IF(Table1[Data Leavers Date]=4000,SUM(Table1[Leaving Date]-Table1[Start Date]),"")</f>
        <v/>
      </c>
      <c r="EW310" s="44" t="str">
        <f>IF(Table1[Data Leavers Date]=5000,SUM(Table1[Leaving Date]-Table1[Start Date]),"")</f>
        <v/>
      </c>
      <c r="EX310" s="44" t="str">
        <f>IF(Table1[Data Leavers Date]=6000,SUM(Table1[Leaving Date]-Table1[Start Date]),"")</f>
        <v/>
      </c>
      <c r="EY310" s="44" t="str">
        <f>IF(Table1[Data Leavers Date]=7000,SUM(Table1[Leaving Date]-Table1[Start Date]),"")</f>
        <v/>
      </c>
      <c r="EZ310" s="44" t="str">
        <f>IF(Table1[Data Leavers Date]=8000,SUM(Table1[Leaving Date]-Table1[Start Date]),"")</f>
        <v/>
      </c>
      <c r="FA310" s="44" t="str">
        <f>IF(Table1[Date of Initial Assessment]="","",IF(AND(Table1[Start Date]&gt;42094,Table1[Start Date]&lt;42461),Table1[Motivation and Taking Responsibility],""))</f>
        <v/>
      </c>
      <c r="FB310" s="44" t="str">
        <f>IF(Table1[Date of Initial Assessment]="","",IF(AND(Table1[Start Date]&gt;42094,Table1[Start Date]&lt;42461),Table1[Self-Care and Living Skills],""))</f>
        <v/>
      </c>
      <c r="FC310" s="44" t="str">
        <f>IF(Table1[Date of Initial Assessment]="","",IF(AND(Table1[Start Date]&gt;42094,Table1[Start Date]&lt;42461),Table1[Managing Money and Personal Administration],""))</f>
        <v/>
      </c>
      <c r="FD310" s="44" t="str">
        <f>IF(Table1[Date of Initial Assessment]="","",IF(AND(Table1[Start Date]&gt;42094,Table1[Start Date]&lt;42461),Table1[Social Networks and Relationships],""))</f>
        <v/>
      </c>
      <c r="FE310" s="44" t="str">
        <f>IF(Table1[Date of Initial Assessment]="","",IF(AND(Table1[Start Date]&gt;42094,Table1[Start Date]&lt;42461),Table1[Drug and Alcohol Misuse],""))</f>
        <v/>
      </c>
      <c r="FF310" s="44" t="str">
        <f>IF(Table1[Date of Initial Assessment]="","",IF(AND(Table1[Start Date]&gt;42094,Table1[Start Date]&lt;42461),Table1[Physical Health],""))</f>
        <v/>
      </c>
      <c r="FG310" s="44" t="str">
        <f>IF(Table1[Date of Initial Assessment]="","",IF(AND(Table1[Start Date]&gt;42094,Table1[Start Date]&lt;42461),Table1[Emotional and Mental Health],""))</f>
        <v/>
      </c>
      <c r="FH310" s="44" t="str">
        <f>IF(Table1[Date of Initial Assessment]="","",IF(AND(Table1[Start Date]&gt;42094,Table1[Start Date]&lt;42461),Table1[Meaningful Use of Time],""))</f>
        <v/>
      </c>
      <c r="FI310" s="44" t="str">
        <f>IF(Table1[Date of Initial Assessment]="","",IF(AND(Table1[Start Date]&gt;42094,Table1[Start Date]&lt;42461),Table1[Managing Tenancy and Accommodation],""))</f>
        <v/>
      </c>
      <c r="FJ310" s="44" t="str">
        <f>IF(Table1[Date of Initial Assessment]="","",IF(AND(Table1[Start Date]&gt;42094,Table1[Start Date]&lt;42461),Table1[Offending],""))</f>
        <v/>
      </c>
      <c r="FK310" s="44" t="str">
        <f>IF(Table1[Leaving Date]="","",IF(Table1[Date of Initial Assessment]="","",IF(AND(Table1[Leaving Date]&gt;42094,Table1[Leaving Date]&lt;42461),IF(Table1[Date of Last Assessment]="",Table1[Motivation and Taking Responsibility],Table1[Motivation and Taking Responsibility2]),"")))</f>
        <v/>
      </c>
      <c r="FL310" s="44" t="str">
        <f>IF(Table1[Leaving Date]="","",IF(Table1[Date of Initial Assessment]="","",IF(AND(Table1[Leaving Date]&gt;42094,Table1[Leaving Date]&lt;42461),IF(Table1[Date of Last Assessment]="",Table1[Self-Care and Living Skills],Table1[Self-Care and Living Skills2]),"")))</f>
        <v/>
      </c>
      <c r="FM310" s="44" t="str">
        <f>IF(Table1[Leaving Date]="","",IF(Table1[Date of Initial Assessment]="","",IF(AND(Table1[Leaving Date]&gt;42094,Table1[Leaving Date]&lt;42461),IF(Table1[Date of Last Assessment]="",Table1[Managing Money and Personal Administration],Table1[Managing Money and Personal Administration2]),"")))</f>
        <v/>
      </c>
      <c r="FN310" s="44" t="str">
        <f>IF(Table1[Leaving Date]="","",IF(Table1[Date of Initial Assessment]="","",IF(AND(Table1[Leaving Date]&gt;42094,Table1[Leaving Date]&lt;42461),IF(Table1[Date of Last Assessment]="",Table1[Social Networks and Relationships],Table1[Social Networks and Relationships2]),"")))</f>
        <v/>
      </c>
      <c r="FO310" s="44" t="str">
        <f>IF(Table1[Leaving Date]="","",IF(Table1[Date of Initial Assessment]="","",IF(AND(Table1[Leaving Date]&gt;42094,Table1[Leaving Date]&lt;42461),IF(Table1[Date of Last Assessment]="",Table1[Drug and Alcohol Misuse],Table1[Drug and Alcohol Misuse2]),"")))</f>
        <v/>
      </c>
      <c r="FP310" s="44" t="str">
        <f>IF(Table1[Leaving Date]="","",IF(Table1[Date of Initial Assessment]="","",IF(AND(Table1[Leaving Date]&gt;42094,Table1[Leaving Date]&lt;42461),IF(Table1[Date of Last Assessment]="",Table1[Physical Health],Table1[Physical Health2]),"")))</f>
        <v/>
      </c>
      <c r="FQ310" s="44" t="str">
        <f>IF(Table1[Leaving Date]="","",IF(Table1[Date of Initial Assessment]="","",IF(AND(Table1[Leaving Date]&gt;42094,Table1[Leaving Date]&lt;42461),IF(Table1[Date of Last Assessment]="",Table1[Emotional and Mental Health],Table1[Emotional and Mental Health2]),"")))</f>
        <v/>
      </c>
      <c r="FR310" s="44" t="str">
        <f>IF(Table1[Leaving Date]="","",IF(Table1[Date of Initial Assessment]="","",IF(AND(Table1[Leaving Date]&gt;42094,Table1[Leaving Date]&lt;42461),IF(Table1[Date of Last Assessment]="",Table1[Meaningful Use of Time],Table1[Meaningful Use of Time2]),"")))</f>
        <v/>
      </c>
      <c r="FS310" s="44" t="str">
        <f>IF(Table1[Leaving Date]="","",IF(Table1[Date of Initial Assessment]="","",IF(AND(Table1[Leaving Date]&gt;42094,Table1[Leaving Date]&lt;42461),IF(Table1[Date of Last Assessment]="",Table1[Managing Tenancy and Accommodation],Table1[Managing Tenancy and Accommodation2]),"")))</f>
        <v/>
      </c>
      <c r="FT310" s="44" t="str">
        <f>IF(Table1[Leaving Date]="","",IF(Table1[Date of Initial Assessment]="","",IF(AND(Table1[Leaving Date]&gt;42094,Table1[Leaving Date]&lt;42461),IF(Table1[Date of Last Assessment]="",Table1[Offending],Table1[Offending2]),"")))</f>
        <v/>
      </c>
      <c r="FU310" s="44" t="str">
        <f>IF(Table1[Date of Initial Assessment]="","",IF(AND(Table1[Start Date]&gt;42460,Table1[Start Date]&lt;42826),Table1[Motivation and Taking Responsibility],""))</f>
        <v/>
      </c>
      <c r="FV310" s="44" t="str">
        <f>IF(Table1[Date of Initial Assessment]="","",IF(AND(Table1[Start Date]&gt;42460,Table1[Start Date]&lt;42826),Table1[Self-Care and Living Skills],""))</f>
        <v/>
      </c>
      <c r="FW310" s="44" t="str">
        <f>IF(Table1[Date of Initial Assessment]="","",IF(AND(Table1[Start Date]&gt;42460,Table1[Start Date]&lt;42826),Table1[Managing Money and Personal Administration],""))</f>
        <v/>
      </c>
      <c r="FX310" s="44" t="str">
        <f>IF(Table1[Date of Initial Assessment]="","",IF(AND(Table1[Start Date]&gt;42460,Table1[Start Date]&lt;42826),Table1[Social Networks and Relationships],""))</f>
        <v/>
      </c>
      <c r="FY310" s="44" t="str">
        <f>IF(Table1[Date of Initial Assessment]="","",IF(AND(Table1[Start Date]&gt;42460,Table1[Start Date]&lt;42826),Table1[Drug and Alcohol Misuse],""))</f>
        <v/>
      </c>
      <c r="FZ310" s="44" t="str">
        <f>IF(Table1[Date of Initial Assessment]="","",IF(AND(Table1[Start Date]&gt;42460,Table1[Start Date]&lt;42826),Table1[Physical Health],""))</f>
        <v/>
      </c>
      <c r="GA310" s="44" t="str">
        <f>IF(Table1[Date of Initial Assessment]="","",IF(AND(Table1[Start Date]&gt;42460,Table1[Start Date]&lt;42826),Table1[Emotional and Mental Health],""))</f>
        <v/>
      </c>
      <c r="GB310" s="44" t="str">
        <f>IF(Table1[Date of Initial Assessment]="","",IF(AND(Table1[Start Date]&gt;42460,Table1[Start Date]&lt;42826),Table1[Meaningful Use of Time],""))</f>
        <v/>
      </c>
      <c r="GC310" s="44" t="str">
        <f>IF(Table1[Date of Initial Assessment]="","",IF(AND(Table1[Start Date]&gt;42460,Table1[Start Date]&lt;42826),Table1[Managing Tenancy and Accommodation],""))</f>
        <v/>
      </c>
      <c r="GD310" s="44" t="str">
        <f>IF(Table1[Date of Initial Assessment]="","",IF(AND(Table1[Start Date]&gt;42460,Table1[Start Date]&lt;42826),Table1[Offending],""))</f>
        <v/>
      </c>
      <c r="GE310" s="44" t="str">
        <f>IF(Table1[Leaving Date]="","",IF(AND(Table1[Leaving Date]&gt;42460,Table1[Leaving Date]&lt;42826),IF(Table1[Date of Last Assessment]="",Table1[Motivation and Taking Responsibility],Table1[Motivation and Taking Responsibility2]),""))</f>
        <v/>
      </c>
      <c r="GF310" s="44" t="str">
        <f>IF(Table1[Leaving Date]="","",IF(AND(Table1[Leaving Date]&gt;42460,Table1[Leaving Date]&lt;42826),IF(Table1[Date of Last Assessment]="",Table1[Self-Care and Living Skills],Table1[Self-Care and Living Skills2]),""))</f>
        <v/>
      </c>
      <c r="GG310" s="44" t="str">
        <f>IF(Table1[Leaving Date]="","",IF(AND(Table1[Leaving Date]&gt;42460,Table1[Leaving Date]&lt;42826),IF(Table1[Date of Last Assessment]="",Table1[Managing Money and Personal Administration],Table1[Managing Money and Personal Administration2]),""))</f>
        <v/>
      </c>
      <c r="GH310" s="44" t="str">
        <f>IF(Table1[Leaving Date]="","",IF(AND(Table1[Leaving Date]&gt;42460,Table1[Leaving Date]&lt;42826),IF(Table1[Date of Last Assessment]="",Table1[Social Networks and Relationships],Table1[Social Networks and Relationships2]),""))</f>
        <v/>
      </c>
      <c r="GI310" s="44" t="str">
        <f>IF(Table1[Leaving Date]="","",IF(AND(Table1[Leaving Date]&gt;42460,Table1[Leaving Date]&lt;42826),IF(Table1[Date of Last Assessment]="",Table1[Drug and Alcohol Misuse],Table1[Drug and Alcohol Misuse2]),""))</f>
        <v/>
      </c>
      <c r="GJ310" s="44" t="str">
        <f>IF(Table1[Leaving Date]="","",IF(AND(Table1[Leaving Date]&gt;42460,Table1[Leaving Date]&lt;42826),IF(Table1[Date of Last Assessment]="",Table1[Physical Health],Table1[Physical Health2]),""))</f>
        <v/>
      </c>
      <c r="GK310" s="44" t="str">
        <f>IF(Table1[Leaving Date]="","",IF(AND(Table1[Leaving Date]&gt;42460,Table1[Leaving Date]&lt;42826),IF(Table1[Date of Last Assessment]="",Table1[Emotional and Mental Health],Table1[Emotional and Mental Health2]),""))</f>
        <v/>
      </c>
      <c r="GL310" s="44" t="str">
        <f>IF(Table1[Leaving Date]="","",IF(AND(Table1[Leaving Date]&gt;42460,Table1[Leaving Date]&lt;42826),IF(Table1[Date of Last Assessment]="",Table1[Meaningful Use of Time],Table1[Meaningful Use of Time2]),""))</f>
        <v/>
      </c>
      <c r="GM310" s="44" t="str">
        <f>IF(Table1[Leaving Date]="","",IF(AND(Table1[Leaving Date]&gt;42460,Table1[Leaving Date]&lt;42826),IF(Table1[Date of Last Assessment]="",Table1[Managing Tenancy and Accommodation],Table1[Managing Tenancy and Accommodation2]),""))</f>
        <v/>
      </c>
      <c r="GN310" s="44" t="str">
        <f>IF(Table1[Leaving Date]="","",IF(AND(Table1[Leaving Date]&gt;42460,Table1[Leaving Date]&lt;42826),IF(Table1[Date of Last Assessment]="",Table1[Offending],Table1[Offending2]),""))</f>
        <v/>
      </c>
    </row>
    <row r="311" spans="2:196" ht="20.100000000000001" customHeight="1" x14ac:dyDescent="0.2">
      <c r="B311" s="86">
        <f>+'Service Data'!$C$5:$C$5</f>
        <v>0</v>
      </c>
      <c r="C311" s="86"/>
      <c r="D311" s="86"/>
      <c r="E311" s="86"/>
      <c r="F311" s="86"/>
      <c r="G311" s="86"/>
      <c r="H311" s="6"/>
      <c r="I311" s="99" t="str">
        <f ca="1">IF(Table1[[#This Row],[Date of Birth]]="","",SUM(TODAY()-Table1[[#This Row],[Date of Birth]])/365)</f>
        <v/>
      </c>
      <c r="L311" s="86"/>
      <c r="M311" s="77"/>
      <c r="N311" s="86"/>
      <c r="O311" s="86"/>
      <c r="P311" s="91"/>
      <c r="Q311" s="86"/>
      <c r="R311" s="77"/>
      <c r="S311" s="77"/>
      <c r="T311" s="68"/>
      <c r="U311" s="68"/>
      <c r="V311" s="67"/>
      <c r="W311" s="67"/>
      <c r="X311" s="67"/>
      <c r="Y311" s="67"/>
      <c r="Z311" s="67"/>
      <c r="AA311" s="67"/>
      <c r="AB311" s="67"/>
      <c r="AC311" s="67"/>
      <c r="AD311" s="67"/>
      <c r="AE311" s="67"/>
      <c r="AF311" s="67"/>
      <c r="AG311" s="67"/>
      <c r="AH311" s="67"/>
      <c r="AI311" s="67"/>
      <c r="AJ311" s="67"/>
      <c r="AK311" s="67"/>
      <c r="AL311" s="67"/>
      <c r="AM311" s="67"/>
      <c r="AN311" s="77"/>
      <c r="AO311" s="76"/>
      <c r="AP311" s="77"/>
      <c r="AQ311" s="76"/>
      <c r="AR311" s="76"/>
      <c r="AS311" s="76"/>
      <c r="AT311" s="76"/>
      <c r="AU311" s="76"/>
      <c r="AV311" s="77"/>
      <c r="AW311" s="76"/>
      <c r="AX311" s="77"/>
      <c r="AY311" s="76"/>
      <c r="AZ311" s="76"/>
      <c r="BA311" s="76"/>
      <c r="BB311" s="76"/>
      <c r="BC311" s="76"/>
      <c r="BD311" s="77"/>
      <c r="BE311" s="76"/>
      <c r="BF311" s="77"/>
      <c r="BG311" s="76"/>
      <c r="BH311" s="76"/>
      <c r="BI311" s="76"/>
      <c r="BJ311" s="76"/>
      <c r="BK311" s="76"/>
      <c r="BL311" s="77"/>
      <c r="BM311" s="76"/>
      <c r="BN311" s="77"/>
      <c r="BO311" s="76"/>
      <c r="BP311" s="76"/>
      <c r="BQ311" s="76"/>
      <c r="BR311" s="76"/>
      <c r="BS311" s="76"/>
      <c r="BT311" s="77"/>
      <c r="BU311" s="76"/>
      <c r="BV311" s="77"/>
      <c r="BW311" s="76"/>
      <c r="BX311" s="76"/>
      <c r="BY311" s="76"/>
      <c r="BZ311" s="76"/>
      <c r="CA311" s="76"/>
      <c r="CB311" s="77"/>
      <c r="CC311" s="76"/>
      <c r="CD311" s="77"/>
      <c r="CE311" s="76"/>
      <c r="CF311" s="76"/>
      <c r="CG311" s="76"/>
      <c r="CH311" s="76"/>
      <c r="CI311" s="76"/>
      <c r="CJ311" s="77"/>
      <c r="CK311" s="76"/>
      <c r="CL311" s="77"/>
      <c r="CM311" s="76"/>
      <c r="CN311" s="76"/>
      <c r="CO311" s="76"/>
      <c r="CP311" s="76"/>
      <c r="CQ311" s="76"/>
      <c r="CR311" s="78" t="str">
        <f t="shared" si="79"/>
        <v/>
      </c>
      <c r="CS311" s="79" t="str">
        <f t="shared" si="80"/>
        <v/>
      </c>
      <c r="CT311" s="79" t="str">
        <f t="shared" si="81"/>
        <v/>
      </c>
      <c r="CU311" s="79" t="str">
        <f t="shared" si="82"/>
        <v/>
      </c>
      <c r="CV311" s="79" t="str">
        <f t="shared" si="83"/>
        <v/>
      </c>
      <c r="CW311" s="79" t="str">
        <f t="shared" si="84"/>
        <v/>
      </c>
      <c r="CX311" s="79" t="str">
        <f t="shared" si="85"/>
        <v/>
      </c>
      <c r="CY311" s="79" t="str">
        <f t="shared" si="86"/>
        <v/>
      </c>
      <c r="CZ311" s="79" t="str">
        <f t="shared" si="87"/>
        <v/>
      </c>
      <c r="DA311" s="79" t="str">
        <f t="shared" si="88"/>
        <v/>
      </c>
      <c r="DB311" s="79" t="str">
        <f t="shared" si="89"/>
        <v/>
      </c>
      <c r="DC311" s="79" t="str">
        <f t="shared" si="90"/>
        <v/>
      </c>
      <c r="DD311" s="79" t="str">
        <f t="shared" si="91"/>
        <v/>
      </c>
      <c r="DE311" s="79" t="str">
        <f t="shared" si="92"/>
        <v/>
      </c>
      <c r="DF311" s="79" t="str">
        <f t="shared" si="93"/>
        <v/>
      </c>
      <c r="DG311" s="79" t="str">
        <f t="shared" si="94"/>
        <v/>
      </c>
      <c r="DH311" s="76"/>
      <c r="DI311" s="78"/>
      <c r="DJ311" s="76"/>
      <c r="DK311" s="77"/>
      <c r="DL311" s="77"/>
      <c r="DM311" s="77"/>
      <c r="DN311" s="80"/>
      <c r="DO311" s="80"/>
      <c r="DP311" s="92" t="str">
        <f>IF(Table1[Start Date]="","",IF(Table1[Start Date]&gt;42185,"",IF(AND(Table1[Leaving Date]&gt;1,Table1[Leaving Date]&lt;42095),"",1)))</f>
        <v/>
      </c>
      <c r="DQ311" s="92" t="str">
        <f>IF(Table1[Start Date]="","",IF(Table1[Start Date]&gt;42277,"",IF(AND(Table1[Leaving Date]&gt;1,Table1[Leaving Date]&lt;42186),"",1)))</f>
        <v/>
      </c>
      <c r="DR311" s="92" t="str">
        <f>IF(Table1[Start Date]="","",IF(Table1[Start Date]&gt;42369,"",IF(AND(Table1[Leaving Date]&gt;1,Table1[Leaving Date]&lt;42278),"",1)))</f>
        <v/>
      </c>
      <c r="DS311" s="92" t="str">
        <f>IF(Table1[Start Date]="","",IF(Table1[Start Date]&gt;42460,"",IF(AND(Table1[Leaving Date]&gt;1,Table1[Leaving Date]&lt;42370),"",1)))</f>
        <v/>
      </c>
      <c r="DT311" s="92" t="str">
        <f>IF(Table1[Start Date]="","",IF(Table1[Start Date]&gt;42551,"",IF(AND(Table1[Leaving Date]&gt;1,Table1[Leaving Date]&lt;42461),"",1)))</f>
        <v/>
      </c>
      <c r="DU311" s="92" t="str">
        <f>IF(Table1[Start Date]="","",IF(Table1[Start Date]&gt;42643,"",IF(AND(Table1[Leaving Date]&gt;1,Table1[Leaving Date]&lt;42552),"",1)))</f>
        <v/>
      </c>
      <c r="DV311" s="92" t="str">
        <f>IF(Table1[Start Date]="","",IF(Table1[Start Date]&gt;42735,"",IF(AND(Table1[Leaving Date]&gt;1,Table1[Leaving Date]&lt;42644),"",1)))</f>
        <v/>
      </c>
      <c r="DW311" s="92" t="str">
        <f>IF(Table1[Start Date]="","",IF(Table1[Start Date]&gt;42825,"",IF(AND(Table1[Leaving Date]&gt;1,Table1[Leaving Date]&lt;42736),"",1)))</f>
        <v/>
      </c>
      <c r="DX311"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311" s="44" t="e">
        <f>VLOOKUP(Table1[Referral Source],Lists!$G$2:$H$20,2,FALSE)</f>
        <v>#N/A</v>
      </c>
      <c r="DZ311" s="93" t="e">
        <f>SUM(Table1[Data Referral Quarter]+Table1[Data Referral Source])</f>
        <v>#N/A</v>
      </c>
      <c r="EA311" s="44" t="b">
        <f>IF(Table1[Referral Decision]="Accepted",100,IF(Table1[Referral Decision]="Rejected by Provider",200,IF(Table1[Referral Decision]="Rejected by Applicant",300)))</f>
        <v>0</v>
      </c>
      <c r="EB311" s="44">
        <f>SUM(Table1[Data Referral Quarter]+Table1[Data Referral Decision])</f>
        <v>0</v>
      </c>
      <c r="EC311" s="44" t="b">
        <f>IF(Table1[Start Date]&gt;42735,8000,IF(Table1[Start Date]&gt;42643,7000,IF(Table1[Start Date]&gt;42551,6000,IF(Table1[Start Date]&gt;42460,5000,IF(Table1[Start Date]&gt;42369,4000,IF(Table1[Start Date]&gt;42277,3000,IF(Table1[Start Date]&gt;42185,2000,IF(Table1[Start Date]&gt;42094,1000))))))))</f>
        <v>0</v>
      </c>
      <c r="ED311" s="44" t="str">
        <f>IF(Table1[Start Date]="","",IF(Table1[Current Local Authority]="Swindon",1,"2"))</f>
        <v/>
      </c>
      <c r="EE311" s="44" t="e">
        <f>SUM(Table1[Data Start Date]+Table1[Data Local Authority])</f>
        <v>#VALUE!</v>
      </c>
      <c r="EF311" s="44">
        <f>IF(Table1[Registered with GP]="Yes",1,0)</f>
        <v>0</v>
      </c>
      <c r="EG311" s="44">
        <f>SUM(Table1[Data Start Date]+Table1[Data GP Start])</f>
        <v>0</v>
      </c>
      <c r="EH311" s="44" t="str">
        <f>IF(Table1[EET]="NEET",1,IF(Table1[EET]="Education",2,IF(Table1[EET]="Employment",2,IF(Table1[EET]="Training",2,IF(Table1[EET]="Retired",3,"")))))</f>
        <v/>
      </c>
      <c r="EI311" s="44" t="e">
        <f>Table1[Data Start Date]+Table1[Data EET Start]</f>
        <v>#VALUE!</v>
      </c>
      <c r="EJ311" s="44" t="b">
        <f>IF(Table1[Leaving Date]&gt;42735,8000,IF(Table1[Leaving Date]&gt;42643,7000,IF(Table1[Leaving Date]&gt;42551,6000,IF(Table1[Leaving Date]&gt;42460,5000,IF(Table1[Leaving Date]&gt;42369,4000,IF(Table1[Leaving Date]&gt;42277,3000,IF(Table1[Leaving Date]&gt;42185,2000,IF(Table1[Leaving Date]&gt;42094,1000))))))))</f>
        <v>0</v>
      </c>
      <c r="EK311" s="44" t="e">
        <f>VLOOKUP(Table1[Reason for Leaving],Lists!$T$2:$U$15,2,FALSE)</f>
        <v>#N/A</v>
      </c>
      <c r="EL311" s="44" t="e">
        <f>SUM(Table1[Data Leavers Date]+Table1[Data Move On])</f>
        <v>#N/A</v>
      </c>
      <c r="EM311" s="44" t="b">
        <f>IF(Table1[Registered with GP2]="Yes",1,IF(Table1[Registered with GP2]="No",0,IF(Table1[Registered with GP]="Yes",1,IF(Table1[Registered with GP]="No",0))))</f>
        <v>0</v>
      </c>
      <c r="EN311" s="44">
        <f>SUM(Table1[Data Leavers Date]+Table1[Data GP End])</f>
        <v>0</v>
      </c>
      <c r="EO311" s="44" t="str">
        <f>IF(Table1[EET2]="NEET",1,IF(Table1[EET2]="Employment",2,IF(Table1[EET2]="Education",2,IF(Table1[EET2]="Training",2,IF(Table1[EET2]="Retired",3,IF(Table1[EET]="NEET",1,IF(Table1[EET]="Employment",2,IF(Table1[EET]="Education",2,IF(Table1[EET]="Training",2,IF(Table1[EET]="Retired",3,""))))))))))</f>
        <v/>
      </c>
      <c r="EP311" s="44" t="e">
        <f>+Table1[[#This Row],[Data Leavers Date]]+Table1[[#This Row],[Data EET End]]</f>
        <v>#VALUE!</v>
      </c>
      <c r="EQ311" s="44">
        <f>IF(Table1[Exit Form Received]="Yes",1,0)</f>
        <v>0</v>
      </c>
      <c r="ER311" s="44">
        <f>+Table1[[#This Row],[Data Leavers Date]]+Table1[[#This Row],[Data Exit Forms]]</f>
        <v>0</v>
      </c>
      <c r="ES311" s="44" t="str">
        <f>IF(Table1[Data Leavers Date]=1000,SUM(Table1[Leaving Date]-Table1[Start Date]),"")</f>
        <v/>
      </c>
      <c r="ET311" s="44" t="str">
        <f>IF(Table1[Data Leavers Date]=2000,SUM(Table1[Leaving Date]-Table1[Start Date]),"")</f>
        <v/>
      </c>
      <c r="EU311" s="44" t="str">
        <f>IF(Table1[Data Leavers Date]=3000,SUM(Table1[Leaving Date]-Table1[Start Date]),"")</f>
        <v/>
      </c>
      <c r="EV311" s="44" t="str">
        <f>IF(Table1[Data Leavers Date]=4000,SUM(Table1[Leaving Date]-Table1[Start Date]),"")</f>
        <v/>
      </c>
      <c r="EW311" s="44" t="str">
        <f>IF(Table1[Data Leavers Date]=5000,SUM(Table1[Leaving Date]-Table1[Start Date]),"")</f>
        <v/>
      </c>
      <c r="EX311" s="44" t="str">
        <f>IF(Table1[Data Leavers Date]=6000,SUM(Table1[Leaving Date]-Table1[Start Date]),"")</f>
        <v/>
      </c>
      <c r="EY311" s="44" t="str">
        <f>IF(Table1[Data Leavers Date]=7000,SUM(Table1[Leaving Date]-Table1[Start Date]),"")</f>
        <v/>
      </c>
      <c r="EZ311" s="44" t="str">
        <f>IF(Table1[Data Leavers Date]=8000,SUM(Table1[Leaving Date]-Table1[Start Date]),"")</f>
        <v/>
      </c>
      <c r="FA311" s="44" t="str">
        <f>IF(Table1[Date of Initial Assessment]="","",IF(AND(Table1[Start Date]&gt;42094,Table1[Start Date]&lt;42461),Table1[Motivation and Taking Responsibility],""))</f>
        <v/>
      </c>
      <c r="FB311" s="44" t="str">
        <f>IF(Table1[Date of Initial Assessment]="","",IF(AND(Table1[Start Date]&gt;42094,Table1[Start Date]&lt;42461),Table1[Self-Care and Living Skills],""))</f>
        <v/>
      </c>
      <c r="FC311" s="44" t="str">
        <f>IF(Table1[Date of Initial Assessment]="","",IF(AND(Table1[Start Date]&gt;42094,Table1[Start Date]&lt;42461),Table1[Managing Money and Personal Administration],""))</f>
        <v/>
      </c>
      <c r="FD311" s="44" t="str">
        <f>IF(Table1[Date of Initial Assessment]="","",IF(AND(Table1[Start Date]&gt;42094,Table1[Start Date]&lt;42461),Table1[Social Networks and Relationships],""))</f>
        <v/>
      </c>
      <c r="FE311" s="44" t="str">
        <f>IF(Table1[Date of Initial Assessment]="","",IF(AND(Table1[Start Date]&gt;42094,Table1[Start Date]&lt;42461),Table1[Drug and Alcohol Misuse],""))</f>
        <v/>
      </c>
      <c r="FF311" s="44" t="str">
        <f>IF(Table1[Date of Initial Assessment]="","",IF(AND(Table1[Start Date]&gt;42094,Table1[Start Date]&lt;42461),Table1[Physical Health],""))</f>
        <v/>
      </c>
      <c r="FG311" s="44" t="str">
        <f>IF(Table1[Date of Initial Assessment]="","",IF(AND(Table1[Start Date]&gt;42094,Table1[Start Date]&lt;42461),Table1[Emotional and Mental Health],""))</f>
        <v/>
      </c>
      <c r="FH311" s="44" t="str">
        <f>IF(Table1[Date of Initial Assessment]="","",IF(AND(Table1[Start Date]&gt;42094,Table1[Start Date]&lt;42461),Table1[Meaningful Use of Time],""))</f>
        <v/>
      </c>
      <c r="FI311" s="44" t="str">
        <f>IF(Table1[Date of Initial Assessment]="","",IF(AND(Table1[Start Date]&gt;42094,Table1[Start Date]&lt;42461),Table1[Managing Tenancy and Accommodation],""))</f>
        <v/>
      </c>
      <c r="FJ311" s="44" t="str">
        <f>IF(Table1[Date of Initial Assessment]="","",IF(AND(Table1[Start Date]&gt;42094,Table1[Start Date]&lt;42461),Table1[Offending],""))</f>
        <v/>
      </c>
      <c r="FK311" s="44" t="str">
        <f>IF(Table1[Leaving Date]="","",IF(Table1[Date of Initial Assessment]="","",IF(AND(Table1[Leaving Date]&gt;42094,Table1[Leaving Date]&lt;42461),IF(Table1[Date of Last Assessment]="",Table1[Motivation and Taking Responsibility],Table1[Motivation and Taking Responsibility2]),"")))</f>
        <v/>
      </c>
      <c r="FL311" s="44" t="str">
        <f>IF(Table1[Leaving Date]="","",IF(Table1[Date of Initial Assessment]="","",IF(AND(Table1[Leaving Date]&gt;42094,Table1[Leaving Date]&lt;42461),IF(Table1[Date of Last Assessment]="",Table1[Self-Care and Living Skills],Table1[Self-Care and Living Skills2]),"")))</f>
        <v/>
      </c>
      <c r="FM311" s="44" t="str">
        <f>IF(Table1[Leaving Date]="","",IF(Table1[Date of Initial Assessment]="","",IF(AND(Table1[Leaving Date]&gt;42094,Table1[Leaving Date]&lt;42461),IF(Table1[Date of Last Assessment]="",Table1[Managing Money and Personal Administration],Table1[Managing Money and Personal Administration2]),"")))</f>
        <v/>
      </c>
      <c r="FN311" s="44" t="str">
        <f>IF(Table1[Leaving Date]="","",IF(Table1[Date of Initial Assessment]="","",IF(AND(Table1[Leaving Date]&gt;42094,Table1[Leaving Date]&lt;42461),IF(Table1[Date of Last Assessment]="",Table1[Social Networks and Relationships],Table1[Social Networks and Relationships2]),"")))</f>
        <v/>
      </c>
      <c r="FO311" s="44" t="str">
        <f>IF(Table1[Leaving Date]="","",IF(Table1[Date of Initial Assessment]="","",IF(AND(Table1[Leaving Date]&gt;42094,Table1[Leaving Date]&lt;42461),IF(Table1[Date of Last Assessment]="",Table1[Drug and Alcohol Misuse],Table1[Drug and Alcohol Misuse2]),"")))</f>
        <v/>
      </c>
      <c r="FP311" s="44" t="str">
        <f>IF(Table1[Leaving Date]="","",IF(Table1[Date of Initial Assessment]="","",IF(AND(Table1[Leaving Date]&gt;42094,Table1[Leaving Date]&lt;42461),IF(Table1[Date of Last Assessment]="",Table1[Physical Health],Table1[Physical Health2]),"")))</f>
        <v/>
      </c>
      <c r="FQ311" s="44" t="str">
        <f>IF(Table1[Leaving Date]="","",IF(Table1[Date of Initial Assessment]="","",IF(AND(Table1[Leaving Date]&gt;42094,Table1[Leaving Date]&lt;42461),IF(Table1[Date of Last Assessment]="",Table1[Emotional and Mental Health],Table1[Emotional and Mental Health2]),"")))</f>
        <v/>
      </c>
      <c r="FR311" s="44" t="str">
        <f>IF(Table1[Leaving Date]="","",IF(Table1[Date of Initial Assessment]="","",IF(AND(Table1[Leaving Date]&gt;42094,Table1[Leaving Date]&lt;42461),IF(Table1[Date of Last Assessment]="",Table1[Meaningful Use of Time],Table1[Meaningful Use of Time2]),"")))</f>
        <v/>
      </c>
      <c r="FS311" s="44" t="str">
        <f>IF(Table1[Leaving Date]="","",IF(Table1[Date of Initial Assessment]="","",IF(AND(Table1[Leaving Date]&gt;42094,Table1[Leaving Date]&lt;42461),IF(Table1[Date of Last Assessment]="",Table1[Managing Tenancy and Accommodation],Table1[Managing Tenancy and Accommodation2]),"")))</f>
        <v/>
      </c>
      <c r="FT311" s="44" t="str">
        <f>IF(Table1[Leaving Date]="","",IF(Table1[Date of Initial Assessment]="","",IF(AND(Table1[Leaving Date]&gt;42094,Table1[Leaving Date]&lt;42461),IF(Table1[Date of Last Assessment]="",Table1[Offending],Table1[Offending2]),"")))</f>
        <v/>
      </c>
      <c r="FU311" s="44" t="str">
        <f>IF(Table1[Date of Initial Assessment]="","",IF(AND(Table1[Start Date]&gt;42460,Table1[Start Date]&lt;42826),Table1[Motivation and Taking Responsibility],""))</f>
        <v/>
      </c>
      <c r="FV311" s="44" t="str">
        <f>IF(Table1[Date of Initial Assessment]="","",IF(AND(Table1[Start Date]&gt;42460,Table1[Start Date]&lt;42826),Table1[Self-Care and Living Skills],""))</f>
        <v/>
      </c>
      <c r="FW311" s="44" t="str">
        <f>IF(Table1[Date of Initial Assessment]="","",IF(AND(Table1[Start Date]&gt;42460,Table1[Start Date]&lt;42826),Table1[Managing Money and Personal Administration],""))</f>
        <v/>
      </c>
      <c r="FX311" s="44" t="str">
        <f>IF(Table1[Date of Initial Assessment]="","",IF(AND(Table1[Start Date]&gt;42460,Table1[Start Date]&lt;42826),Table1[Social Networks and Relationships],""))</f>
        <v/>
      </c>
      <c r="FY311" s="44" t="str">
        <f>IF(Table1[Date of Initial Assessment]="","",IF(AND(Table1[Start Date]&gt;42460,Table1[Start Date]&lt;42826),Table1[Drug and Alcohol Misuse],""))</f>
        <v/>
      </c>
      <c r="FZ311" s="44" t="str">
        <f>IF(Table1[Date of Initial Assessment]="","",IF(AND(Table1[Start Date]&gt;42460,Table1[Start Date]&lt;42826),Table1[Physical Health],""))</f>
        <v/>
      </c>
      <c r="GA311" s="44" t="str">
        <f>IF(Table1[Date of Initial Assessment]="","",IF(AND(Table1[Start Date]&gt;42460,Table1[Start Date]&lt;42826),Table1[Emotional and Mental Health],""))</f>
        <v/>
      </c>
      <c r="GB311" s="44" t="str">
        <f>IF(Table1[Date of Initial Assessment]="","",IF(AND(Table1[Start Date]&gt;42460,Table1[Start Date]&lt;42826),Table1[Meaningful Use of Time],""))</f>
        <v/>
      </c>
      <c r="GC311" s="44" t="str">
        <f>IF(Table1[Date of Initial Assessment]="","",IF(AND(Table1[Start Date]&gt;42460,Table1[Start Date]&lt;42826),Table1[Managing Tenancy and Accommodation],""))</f>
        <v/>
      </c>
      <c r="GD311" s="44" t="str">
        <f>IF(Table1[Date of Initial Assessment]="","",IF(AND(Table1[Start Date]&gt;42460,Table1[Start Date]&lt;42826),Table1[Offending],""))</f>
        <v/>
      </c>
      <c r="GE311" s="44" t="str">
        <f>IF(Table1[Leaving Date]="","",IF(AND(Table1[Leaving Date]&gt;42460,Table1[Leaving Date]&lt;42826),IF(Table1[Date of Last Assessment]="",Table1[Motivation and Taking Responsibility],Table1[Motivation and Taking Responsibility2]),""))</f>
        <v/>
      </c>
      <c r="GF311" s="44" t="str">
        <f>IF(Table1[Leaving Date]="","",IF(AND(Table1[Leaving Date]&gt;42460,Table1[Leaving Date]&lt;42826),IF(Table1[Date of Last Assessment]="",Table1[Self-Care and Living Skills],Table1[Self-Care and Living Skills2]),""))</f>
        <v/>
      </c>
      <c r="GG311" s="44" t="str">
        <f>IF(Table1[Leaving Date]="","",IF(AND(Table1[Leaving Date]&gt;42460,Table1[Leaving Date]&lt;42826),IF(Table1[Date of Last Assessment]="",Table1[Managing Money and Personal Administration],Table1[Managing Money and Personal Administration2]),""))</f>
        <v/>
      </c>
      <c r="GH311" s="44" t="str">
        <f>IF(Table1[Leaving Date]="","",IF(AND(Table1[Leaving Date]&gt;42460,Table1[Leaving Date]&lt;42826),IF(Table1[Date of Last Assessment]="",Table1[Social Networks and Relationships],Table1[Social Networks and Relationships2]),""))</f>
        <v/>
      </c>
      <c r="GI311" s="44" t="str">
        <f>IF(Table1[Leaving Date]="","",IF(AND(Table1[Leaving Date]&gt;42460,Table1[Leaving Date]&lt;42826),IF(Table1[Date of Last Assessment]="",Table1[Drug and Alcohol Misuse],Table1[Drug and Alcohol Misuse2]),""))</f>
        <v/>
      </c>
      <c r="GJ311" s="44" t="str">
        <f>IF(Table1[Leaving Date]="","",IF(AND(Table1[Leaving Date]&gt;42460,Table1[Leaving Date]&lt;42826),IF(Table1[Date of Last Assessment]="",Table1[Physical Health],Table1[Physical Health2]),""))</f>
        <v/>
      </c>
      <c r="GK311" s="44" t="str">
        <f>IF(Table1[Leaving Date]="","",IF(AND(Table1[Leaving Date]&gt;42460,Table1[Leaving Date]&lt;42826),IF(Table1[Date of Last Assessment]="",Table1[Emotional and Mental Health],Table1[Emotional and Mental Health2]),""))</f>
        <v/>
      </c>
      <c r="GL311" s="44" t="str">
        <f>IF(Table1[Leaving Date]="","",IF(AND(Table1[Leaving Date]&gt;42460,Table1[Leaving Date]&lt;42826),IF(Table1[Date of Last Assessment]="",Table1[Meaningful Use of Time],Table1[Meaningful Use of Time2]),""))</f>
        <v/>
      </c>
      <c r="GM311" s="44" t="str">
        <f>IF(Table1[Leaving Date]="","",IF(AND(Table1[Leaving Date]&gt;42460,Table1[Leaving Date]&lt;42826),IF(Table1[Date of Last Assessment]="",Table1[Managing Tenancy and Accommodation],Table1[Managing Tenancy and Accommodation2]),""))</f>
        <v/>
      </c>
      <c r="GN311" s="44" t="str">
        <f>IF(Table1[Leaving Date]="","",IF(AND(Table1[Leaving Date]&gt;42460,Table1[Leaving Date]&lt;42826),IF(Table1[Date of Last Assessment]="",Table1[Offending],Table1[Offending2]),""))</f>
        <v/>
      </c>
    </row>
    <row r="312" spans="2:196" ht="20.100000000000001" customHeight="1" x14ac:dyDescent="0.2">
      <c r="B312" s="86">
        <f>+'Service Data'!$C$5:$C$5</f>
        <v>0</v>
      </c>
      <c r="C312" s="86"/>
      <c r="D312" s="86"/>
      <c r="E312" s="86"/>
      <c r="F312" s="86"/>
      <c r="G312" s="86"/>
      <c r="H312" s="6"/>
      <c r="I312" s="99" t="str">
        <f ca="1">IF(Table1[[#This Row],[Date of Birth]]="","",SUM(TODAY()-Table1[[#This Row],[Date of Birth]])/365)</f>
        <v/>
      </c>
      <c r="L312" s="86"/>
      <c r="M312" s="77"/>
      <c r="N312" s="86"/>
      <c r="O312" s="86"/>
      <c r="P312" s="91"/>
      <c r="Q312" s="86"/>
      <c r="R312" s="77"/>
      <c r="S312" s="77"/>
      <c r="T312" s="68"/>
      <c r="U312" s="68"/>
      <c r="V312" s="67"/>
      <c r="W312" s="67"/>
      <c r="X312" s="67"/>
      <c r="Y312" s="67"/>
      <c r="Z312" s="67"/>
      <c r="AA312" s="67"/>
      <c r="AB312" s="67"/>
      <c r="AC312" s="67"/>
      <c r="AD312" s="67"/>
      <c r="AE312" s="67"/>
      <c r="AF312" s="67"/>
      <c r="AG312" s="67"/>
      <c r="AH312" s="67"/>
      <c r="AI312" s="67"/>
      <c r="AJ312" s="67"/>
      <c r="AK312" s="67"/>
      <c r="AL312" s="67"/>
      <c r="AM312" s="67"/>
      <c r="AN312" s="77"/>
      <c r="AO312" s="76"/>
      <c r="AP312" s="77"/>
      <c r="AQ312" s="76"/>
      <c r="AR312" s="76"/>
      <c r="AS312" s="76"/>
      <c r="AT312" s="76"/>
      <c r="AU312" s="76"/>
      <c r="AV312" s="77"/>
      <c r="AW312" s="76"/>
      <c r="AX312" s="77"/>
      <c r="AY312" s="76"/>
      <c r="AZ312" s="76"/>
      <c r="BA312" s="76"/>
      <c r="BB312" s="76"/>
      <c r="BC312" s="76"/>
      <c r="BD312" s="77"/>
      <c r="BE312" s="76"/>
      <c r="BF312" s="77"/>
      <c r="BG312" s="76"/>
      <c r="BH312" s="76"/>
      <c r="BI312" s="76"/>
      <c r="BJ312" s="76"/>
      <c r="BK312" s="76"/>
      <c r="BL312" s="77"/>
      <c r="BM312" s="76"/>
      <c r="BN312" s="77"/>
      <c r="BO312" s="76"/>
      <c r="BP312" s="76"/>
      <c r="BQ312" s="76"/>
      <c r="BR312" s="76"/>
      <c r="BS312" s="76"/>
      <c r="BT312" s="77"/>
      <c r="BU312" s="76"/>
      <c r="BV312" s="77"/>
      <c r="BW312" s="76"/>
      <c r="BX312" s="76"/>
      <c r="BY312" s="76"/>
      <c r="BZ312" s="76"/>
      <c r="CA312" s="76"/>
      <c r="CB312" s="77"/>
      <c r="CC312" s="76"/>
      <c r="CD312" s="77"/>
      <c r="CE312" s="76"/>
      <c r="CF312" s="76"/>
      <c r="CG312" s="76"/>
      <c r="CH312" s="76"/>
      <c r="CI312" s="76"/>
      <c r="CJ312" s="77"/>
      <c r="CK312" s="76"/>
      <c r="CL312" s="77"/>
      <c r="CM312" s="76"/>
      <c r="CN312" s="76"/>
      <c r="CO312" s="76"/>
      <c r="CP312" s="76"/>
      <c r="CQ312" s="76"/>
      <c r="CR312" s="78" t="str">
        <f t="shared" si="79"/>
        <v/>
      </c>
      <c r="CS312" s="79" t="str">
        <f t="shared" si="80"/>
        <v/>
      </c>
      <c r="CT312" s="79" t="str">
        <f t="shared" si="81"/>
        <v/>
      </c>
      <c r="CU312" s="79" t="str">
        <f t="shared" si="82"/>
        <v/>
      </c>
      <c r="CV312" s="79" t="str">
        <f t="shared" si="83"/>
        <v/>
      </c>
      <c r="CW312" s="79" t="str">
        <f t="shared" si="84"/>
        <v/>
      </c>
      <c r="CX312" s="79" t="str">
        <f t="shared" si="85"/>
        <v/>
      </c>
      <c r="CY312" s="79" t="str">
        <f t="shared" si="86"/>
        <v/>
      </c>
      <c r="CZ312" s="79" t="str">
        <f t="shared" si="87"/>
        <v/>
      </c>
      <c r="DA312" s="79" t="str">
        <f t="shared" si="88"/>
        <v/>
      </c>
      <c r="DB312" s="79" t="str">
        <f t="shared" si="89"/>
        <v/>
      </c>
      <c r="DC312" s="79" t="str">
        <f t="shared" si="90"/>
        <v/>
      </c>
      <c r="DD312" s="79" t="str">
        <f t="shared" si="91"/>
        <v/>
      </c>
      <c r="DE312" s="79" t="str">
        <f t="shared" si="92"/>
        <v/>
      </c>
      <c r="DF312" s="79" t="str">
        <f t="shared" si="93"/>
        <v/>
      </c>
      <c r="DG312" s="79" t="str">
        <f t="shared" si="94"/>
        <v/>
      </c>
      <c r="DH312" s="76"/>
      <c r="DI312" s="78"/>
      <c r="DJ312" s="76"/>
      <c r="DK312" s="77"/>
      <c r="DL312" s="77"/>
      <c r="DM312" s="77"/>
      <c r="DN312" s="80"/>
      <c r="DO312" s="80"/>
      <c r="DP312" s="92" t="str">
        <f>IF(Table1[Start Date]="","",IF(Table1[Start Date]&gt;42185,"",IF(AND(Table1[Leaving Date]&gt;1,Table1[Leaving Date]&lt;42095),"",1)))</f>
        <v/>
      </c>
      <c r="DQ312" s="92" t="str">
        <f>IF(Table1[Start Date]="","",IF(Table1[Start Date]&gt;42277,"",IF(AND(Table1[Leaving Date]&gt;1,Table1[Leaving Date]&lt;42186),"",1)))</f>
        <v/>
      </c>
      <c r="DR312" s="92" t="str">
        <f>IF(Table1[Start Date]="","",IF(Table1[Start Date]&gt;42369,"",IF(AND(Table1[Leaving Date]&gt;1,Table1[Leaving Date]&lt;42278),"",1)))</f>
        <v/>
      </c>
      <c r="DS312" s="92" t="str">
        <f>IF(Table1[Start Date]="","",IF(Table1[Start Date]&gt;42460,"",IF(AND(Table1[Leaving Date]&gt;1,Table1[Leaving Date]&lt;42370),"",1)))</f>
        <v/>
      </c>
      <c r="DT312" s="92" t="str">
        <f>IF(Table1[Start Date]="","",IF(Table1[Start Date]&gt;42551,"",IF(AND(Table1[Leaving Date]&gt;1,Table1[Leaving Date]&lt;42461),"",1)))</f>
        <v/>
      </c>
      <c r="DU312" s="92" t="str">
        <f>IF(Table1[Start Date]="","",IF(Table1[Start Date]&gt;42643,"",IF(AND(Table1[Leaving Date]&gt;1,Table1[Leaving Date]&lt;42552),"",1)))</f>
        <v/>
      </c>
      <c r="DV312" s="92" t="str">
        <f>IF(Table1[Start Date]="","",IF(Table1[Start Date]&gt;42735,"",IF(AND(Table1[Leaving Date]&gt;1,Table1[Leaving Date]&lt;42644),"",1)))</f>
        <v/>
      </c>
      <c r="DW312" s="92" t="str">
        <f>IF(Table1[Start Date]="","",IF(Table1[Start Date]&gt;42825,"",IF(AND(Table1[Leaving Date]&gt;1,Table1[Leaving Date]&lt;42736),"",1)))</f>
        <v/>
      </c>
      <c r="DX312"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312" s="44" t="e">
        <f>VLOOKUP(Table1[Referral Source],Lists!$G$2:$H$20,2,FALSE)</f>
        <v>#N/A</v>
      </c>
      <c r="DZ312" s="93" t="e">
        <f>SUM(Table1[Data Referral Quarter]+Table1[Data Referral Source])</f>
        <v>#N/A</v>
      </c>
      <c r="EA312" s="44" t="b">
        <f>IF(Table1[Referral Decision]="Accepted",100,IF(Table1[Referral Decision]="Rejected by Provider",200,IF(Table1[Referral Decision]="Rejected by Applicant",300)))</f>
        <v>0</v>
      </c>
      <c r="EB312" s="44">
        <f>SUM(Table1[Data Referral Quarter]+Table1[Data Referral Decision])</f>
        <v>0</v>
      </c>
      <c r="EC312" s="44" t="b">
        <f>IF(Table1[Start Date]&gt;42735,8000,IF(Table1[Start Date]&gt;42643,7000,IF(Table1[Start Date]&gt;42551,6000,IF(Table1[Start Date]&gt;42460,5000,IF(Table1[Start Date]&gt;42369,4000,IF(Table1[Start Date]&gt;42277,3000,IF(Table1[Start Date]&gt;42185,2000,IF(Table1[Start Date]&gt;42094,1000))))))))</f>
        <v>0</v>
      </c>
      <c r="ED312" s="44" t="str">
        <f>IF(Table1[Start Date]="","",IF(Table1[Current Local Authority]="Swindon",1,"2"))</f>
        <v/>
      </c>
      <c r="EE312" s="44" t="e">
        <f>SUM(Table1[Data Start Date]+Table1[Data Local Authority])</f>
        <v>#VALUE!</v>
      </c>
      <c r="EF312" s="44">
        <f>IF(Table1[Registered with GP]="Yes",1,0)</f>
        <v>0</v>
      </c>
      <c r="EG312" s="44">
        <f>SUM(Table1[Data Start Date]+Table1[Data GP Start])</f>
        <v>0</v>
      </c>
      <c r="EH312" s="44" t="str">
        <f>IF(Table1[EET]="NEET",1,IF(Table1[EET]="Education",2,IF(Table1[EET]="Employment",2,IF(Table1[EET]="Training",2,IF(Table1[EET]="Retired",3,"")))))</f>
        <v/>
      </c>
      <c r="EI312" s="44" t="e">
        <f>Table1[Data Start Date]+Table1[Data EET Start]</f>
        <v>#VALUE!</v>
      </c>
      <c r="EJ312" s="44" t="b">
        <f>IF(Table1[Leaving Date]&gt;42735,8000,IF(Table1[Leaving Date]&gt;42643,7000,IF(Table1[Leaving Date]&gt;42551,6000,IF(Table1[Leaving Date]&gt;42460,5000,IF(Table1[Leaving Date]&gt;42369,4000,IF(Table1[Leaving Date]&gt;42277,3000,IF(Table1[Leaving Date]&gt;42185,2000,IF(Table1[Leaving Date]&gt;42094,1000))))))))</f>
        <v>0</v>
      </c>
      <c r="EK312" s="44" t="e">
        <f>VLOOKUP(Table1[Reason for Leaving],Lists!$T$2:$U$15,2,FALSE)</f>
        <v>#N/A</v>
      </c>
      <c r="EL312" s="44" t="e">
        <f>SUM(Table1[Data Leavers Date]+Table1[Data Move On])</f>
        <v>#N/A</v>
      </c>
      <c r="EM312" s="44" t="b">
        <f>IF(Table1[Registered with GP2]="Yes",1,IF(Table1[Registered with GP2]="No",0,IF(Table1[Registered with GP]="Yes",1,IF(Table1[Registered with GP]="No",0))))</f>
        <v>0</v>
      </c>
      <c r="EN312" s="44">
        <f>SUM(Table1[Data Leavers Date]+Table1[Data GP End])</f>
        <v>0</v>
      </c>
      <c r="EO312" s="44" t="str">
        <f>IF(Table1[EET2]="NEET",1,IF(Table1[EET2]="Employment",2,IF(Table1[EET2]="Education",2,IF(Table1[EET2]="Training",2,IF(Table1[EET2]="Retired",3,IF(Table1[EET]="NEET",1,IF(Table1[EET]="Employment",2,IF(Table1[EET]="Education",2,IF(Table1[EET]="Training",2,IF(Table1[EET]="Retired",3,""))))))))))</f>
        <v/>
      </c>
      <c r="EP312" s="44" t="e">
        <f>+Table1[[#This Row],[Data Leavers Date]]+Table1[[#This Row],[Data EET End]]</f>
        <v>#VALUE!</v>
      </c>
      <c r="EQ312" s="44">
        <f>IF(Table1[Exit Form Received]="Yes",1,0)</f>
        <v>0</v>
      </c>
      <c r="ER312" s="44">
        <f>+Table1[[#This Row],[Data Leavers Date]]+Table1[[#This Row],[Data Exit Forms]]</f>
        <v>0</v>
      </c>
      <c r="ES312" s="44" t="str">
        <f>IF(Table1[Data Leavers Date]=1000,SUM(Table1[Leaving Date]-Table1[Start Date]),"")</f>
        <v/>
      </c>
      <c r="ET312" s="44" t="str">
        <f>IF(Table1[Data Leavers Date]=2000,SUM(Table1[Leaving Date]-Table1[Start Date]),"")</f>
        <v/>
      </c>
      <c r="EU312" s="44" t="str">
        <f>IF(Table1[Data Leavers Date]=3000,SUM(Table1[Leaving Date]-Table1[Start Date]),"")</f>
        <v/>
      </c>
      <c r="EV312" s="44" t="str">
        <f>IF(Table1[Data Leavers Date]=4000,SUM(Table1[Leaving Date]-Table1[Start Date]),"")</f>
        <v/>
      </c>
      <c r="EW312" s="44" t="str">
        <f>IF(Table1[Data Leavers Date]=5000,SUM(Table1[Leaving Date]-Table1[Start Date]),"")</f>
        <v/>
      </c>
      <c r="EX312" s="44" t="str">
        <f>IF(Table1[Data Leavers Date]=6000,SUM(Table1[Leaving Date]-Table1[Start Date]),"")</f>
        <v/>
      </c>
      <c r="EY312" s="44" t="str">
        <f>IF(Table1[Data Leavers Date]=7000,SUM(Table1[Leaving Date]-Table1[Start Date]),"")</f>
        <v/>
      </c>
      <c r="EZ312" s="44" t="str">
        <f>IF(Table1[Data Leavers Date]=8000,SUM(Table1[Leaving Date]-Table1[Start Date]),"")</f>
        <v/>
      </c>
      <c r="FA312" s="44" t="str">
        <f>IF(Table1[Date of Initial Assessment]="","",IF(AND(Table1[Start Date]&gt;42094,Table1[Start Date]&lt;42461),Table1[Motivation and Taking Responsibility],""))</f>
        <v/>
      </c>
      <c r="FB312" s="44" t="str">
        <f>IF(Table1[Date of Initial Assessment]="","",IF(AND(Table1[Start Date]&gt;42094,Table1[Start Date]&lt;42461),Table1[Self-Care and Living Skills],""))</f>
        <v/>
      </c>
      <c r="FC312" s="44" t="str">
        <f>IF(Table1[Date of Initial Assessment]="","",IF(AND(Table1[Start Date]&gt;42094,Table1[Start Date]&lt;42461),Table1[Managing Money and Personal Administration],""))</f>
        <v/>
      </c>
      <c r="FD312" s="44" t="str">
        <f>IF(Table1[Date of Initial Assessment]="","",IF(AND(Table1[Start Date]&gt;42094,Table1[Start Date]&lt;42461),Table1[Social Networks and Relationships],""))</f>
        <v/>
      </c>
      <c r="FE312" s="44" t="str">
        <f>IF(Table1[Date of Initial Assessment]="","",IF(AND(Table1[Start Date]&gt;42094,Table1[Start Date]&lt;42461),Table1[Drug and Alcohol Misuse],""))</f>
        <v/>
      </c>
      <c r="FF312" s="44" t="str">
        <f>IF(Table1[Date of Initial Assessment]="","",IF(AND(Table1[Start Date]&gt;42094,Table1[Start Date]&lt;42461),Table1[Physical Health],""))</f>
        <v/>
      </c>
      <c r="FG312" s="44" t="str">
        <f>IF(Table1[Date of Initial Assessment]="","",IF(AND(Table1[Start Date]&gt;42094,Table1[Start Date]&lt;42461),Table1[Emotional and Mental Health],""))</f>
        <v/>
      </c>
      <c r="FH312" s="44" t="str">
        <f>IF(Table1[Date of Initial Assessment]="","",IF(AND(Table1[Start Date]&gt;42094,Table1[Start Date]&lt;42461),Table1[Meaningful Use of Time],""))</f>
        <v/>
      </c>
      <c r="FI312" s="44" t="str">
        <f>IF(Table1[Date of Initial Assessment]="","",IF(AND(Table1[Start Date]&gt;42094,Table1[Start Date]&lt;42461),Table1[Managing Tenancy and Accommodation],""))</f>
        <v/>
      </c>
      <c r="FJ312" s="44" t="str">
        <f>IF(Table1[Date of Initial Assessment]="","",IF(AND(Table1[Start Date]&gt;42094,Table1[Start Date]&lt;42461),Table1[Offending],""))</f>
        <v/>
      </c>
      <c r="FK312" s="44" t="str">
        <f>IF(Table1[Leaving Date]="","",IF(Table1[Date of Initial Assessment]="","",IF(AND(Table1[Leaving Date]&gt;42094,Table1[Leaving Date]&lt;42461),IF(Table1[Date of Last Assessment]="",Table1[Motivation and Taking Responsibility],Table1[Motivation and Taking Responsibility2]),"")))</f>
        <v/>
      </c>
      <c r="FL312" s="44" t="str">
        <f>IF(Table1[Leaving Date]="","",IF(Table1[Date of Initial Assessment]="","",IF(AND(Table1[Leaving Date]&gt;42094,Table1[Leaving Date]&lt;42461),IF(Table1[Date of Last Assessment]="",Table1[Self-Care and Living Skills],Table1[Self-Care and Living Skills2]),"")))</f>
        <v/>
      </c>
      <c r="FM312" s="44" t="str">
        <f>IF(Table1[Leaving Date]="","",IF(Table1[Date of Initial Assessment]="","",IF(AND(Table1[Leaving Date]&gt;42094,Table1[Leaving Date]&lt;42461),IF(Table1[Date of Last Assessment]="",Table1[Managing Money and Personal Administration],Table1[Managing Money and Personal Administration2]),"")))</f>
        <v/>
      </c>
      <c r="FN312" s="44" t="str">
        <f>IF(Table1[Leaving Date]="","",IF(Table1[Date of Initial Assessment]="","",IF(AND(Table1[Leaving Date]&gt;42094,Table1[Leaving Date]&lt;42461),IF(Table1[Date of Last Assessment]="",Table1[Social Networks and Relationships],Table1[Social Networks and Relationships2]),"")))</f>
        <v/>
      </c>
      <c r="FO312" s="44" t="str">
        <f>IF(Table1[Leaving Date]="","",IF(Table1[Date of Initial Assessment]="","",IF(AND(Table1[Leaving Date]&gt;42094,Table1[Leaving Date]&lt;42461),IF(Table1[Date of Last Assessment]="",Table1[Drug and Alcohol Misuse],Table1[Drug and Alcohol Misuse2]),"")))</f>
        <v/>
      </c>
      <c r="FP312" s="44" t="str">
        <f>IF(Table1[Leaving Date]="","",IF(Table1[Date of Initial Assessment]="","",IF(AND(Table1[Leaving Date]&gt;42094,Table1[Leaving Date]&lt;42461),IF(Table1[Date of Last Assessment]="",Table1[Physical Health],Table1[Physical Health2]),"")))</f>
        <v/>
      </c>
      <c r="FQ312" s="44" t="str">
        <f>IF(Table1[Leaving Date]="","",IF(Table1[Date of Initial Assessment]="","",IF(AND(Table1[Leaving Date]&gt;42094,Table1[Leaving Date]&lt;42461),IF(Table1[Date of Last Assessment]="",Table1[Emotional and Mental Health],Table1[Emotional and Mental Health2]),"")))</f>
        <v/>
      </c>
      <c r="FR312" s="44" t="str">
        <f>IF(Table1[Leaving Date]="","",IF(Table1[Date of Initial Assessment]="","",IF(AND(Table1[Leaving Date]&gt;42094,Table1[Leaving Date]&lt;42461),IF(Table1[Date of Last Assessment]="",Table1[Meaningful Use of Time],Table1[Meaningful Use of Time2]),"")))</f>
        <v/>
      </c>
      <c r="FS312" s="44" t="str">
        <f>IF(Table1[Leaving Date]="","",IF(Table1[Date of Initial Assessment]="","",IF(AND(Table1[Leaving Date]&gt;42094,Table1[Leaving Date]&lt;42461),IF(Table1[Date of Last Assessment]="",Table1[Managing Tenancy and Accommodation],Table1[Managing Tenancy and Accommodation2]),"")))</f>
        <v/>
      </c>
      <c r="FT312" s="44" t="str">
        <f>IF(Table1[Leaving Date]="","",IF(Table1[Date of Initial Assessment]="","",IF(AND(Table1[Leaving Date]&gt;42094,Table1[Leaving Date]&lt;42461),IF(Table1[Date of Last Assessment]="",Table1[Offending],Table1[Offending2]),"")))</f>
        <v/>
      </c>
      <c r="FU312" s="44" t="str">
        <f>IF(Table1[Date of Initial Assessment]="","",IF(AND(Table1[Start Date]&gt;42460,Table1[Start Date]&lt;42826),Table1[Motivation and Taking Responsibility],""))</f>
        <v/>
      </c>
      <c r="FV312" s="44" t="str">
        <f>IF(Table1[Date of Initial Assessment]="","",IF(AND(Table1[Start Date]&gt;42460,Table1[Start Date]&lt;42826),Table1[Self-Care and Living Skills],""))</f>
        <v/>
      </c>
      <c r="FW312" s="44" t="str">
        <f>IF(Table1[Date of Initial Assessment]="","",IF(AND(Table1[Start Date]&gt;42460,Table1[Start Date]&lt;42826),Table1[Managing Money and Personal Administration],""))</f>
        <v/>
      </c>
      <c r="FX312" s="44" t="str">
        <f>IF(Table1[Date of Initial Assessment]="","",IF(AND(Table1[Start Date]&gt;42460,Table1[Start Date]&lt;42826),Table1[Social Networks and Relationships],""))</f>
        <v/>
      </c>
      <c r="FY312" s="44" t="str">
        <f>IF(Table1[Date of Initial Assessment]="","",IF(AND(Table1[Start Date]&gt;42460,Table1[Start Date]&lt;42826),Table1[Drug and Alcohol Misuse],""))</f>
        <v/>
      </c>
      <c r="FZ312" s="44" t="str">
        <f>IF(Table1[Date of Initial Assessment]="","",IF(AND(Table1[Start Date]&gt;42460,Table1[Start Date]&lt;42826),Table1[Physical Health],""))</f>
        <v/>
      </c>
      <c r="GA312" s="44" t="str">
        <f>IF(Table1[Date of Initial Assessment]="","",IF(AND(Table1[Start Date]&gt;42460,Table1[Start Date]&lt;42826),Table1[Emotional and Mental Health],""))</f>
        <v/>
      </c>
      <c r="GB312" s="44" t="str">
        <f>IF(Table1[Date of Initial Assessment]="","",IF(AND(Table1[Start Date]&gt;42460,Table1[Start Date]&lt;42826),Table1[Meaningful Use of Time],""))</f>
        <v/>
      </c>
      <c r="GC312" s="44" t="str">
        <f>IF(Table1[Date of Initial Assessment]="","",IF(AND(Table1[Start Date]&gt;42460,Table1[Start Date]&lt;42826),Table1[Managing Tenancy and Accommodation],""))</f>
        <v/>
      </c>
      <c r="GD312" s="44" t="str">
        <f>IF(Table1[Date of Initial Assessment]="","",IF(AND(Table1[Start Date]&gt;42460,Table1[Start Date]&lt;42826),Table1[Offending],""))</f>
        <v/>
      </c>
      <c r="GE312" s="44" t="str">
        <f>IF(Table1[Leaving Date]="","",IF(AND(Table1[Leaving Date]&gt;42460,Table1[Leaving Date]&lt;42826),IF(Table1[Date of Last Assessment]="",Table1[Motivation and Taking Responsibility],Table1[Motivation and Taking Responsibility2]),""))</f>
        <v/>
      </c>
      <c r="GF312" s="44" t="str">
        <f>IF(Table1[Leaving Date]="","",IF(AND(Table1[Leaving Date]&gt;42460,Table1[Leaving Date]&lt;42826),IF(Table1[Date of Last Assessment]="",Table1[Self-Care and Living Skills],Table1[Self-Care and Living Skills2]),""))</f>
        <v/>
      </c>
      <c r="GG312" s="44" t="str">
        <f>IF(Table1[Leaving Date]="","",IF(AND(Table1[Leaving Date]&gt;42460,Table1[Leaving Date]&lt;42826),IF(Table1[Date of Last Assessment]="",Table1[Managing Money and Personal Administration],Table1[Managing Money and Personal Administration2]),""))</f>
        <v/>
      </c>
      <c r="GH312" s="44" t="str">
        <f>IF(Table1[Leaving Date]="","",IF(AND(Table1[Leaving Date]&gt;42460,Table1[Leaving Date]&lt;42826),IF(Table1[Date of Last Assessment]="",Table1[Social Networks and Relationships],Table1[Social Networks and Relationships2]),""))</f>
        <v/>
      </c>
      <c r="GI312" s="44" t="str">
        <f>IF(Table1[Leaving Date]="","",IF(AND(Table1[Leaving Date]&gt;42460,Table1[Leaving Date]&lt;42826),IF(Table1[Date of Last Assessment]="",Table1[Drug and Alcohol Misuse],Table1[Drug and Alcohol Misuse2]),""))</f>
        <v/>
      </c>
      <c r="GJ312" s="44" t="str">
        <f>IF(Table1[Leaving Date]="","",IF(AND(Table1[Leaving Date]&gt;42460,Table1[Leaving Date]&lt;42826),IF(Table1[Date of Last Assessment]="",Table1[Physical Health],Table1[Physical Health2]),""))</f>
        <v/>
      </c>
      <c r="GK312" s="44" t="str">
        <f>IF(Table1[Leaving Date]="","",IF(AND(Table1[Leaving Date]&gt;42460,Table1[Leaving Date]&lt;42826),IF(Table1[Date of Last Assessment]="",Table1[Emotional and Mental Health],Table1[Emotional and Mental Health2]),""))</f>
        <v/>
      </c>
      <c r="GL312" s="44" t="str">
        <f>IF(Table1[Leaving Date]="","",IF(AND(Table1[Leaving Date]&gt;42460,Table1[Leaving Date]&lt;42826),IF(Table1[Date of Last Assessment]="",Table1[Meaningful Use of Time],Table1[Meaningful Use of Time2]),""))</f>
        <v/>
      </c>
      <c r="GM312" s="44" t="str">
        <f>IF(Table1[Leaving Date]="","",IF(AND(Table1[Leaving Date]&gt;42460,Table1[Leaving Date]&lt;42826),IF(Table1[Date of Last Assessment]="",Table1[Managing Tenancy and Accommodation],Table1[Managing Tenancy and Accommodation2]),""))</f>
        <v/>
      </c>
      <c r="GN312" s="44" t="str">
        <f>IF(Table1[Leaving Date]="","",IF(AND(Table1[Leaving Date]&gt;42460,Table1[Leaving Date]&lt;42826),IF(Table1[Date of Last Assessment]="",Table1[Offending],Table1[Offending2]),""))</f>
        <v/>
      </c>
    </row>
    <row r="313" spans="2:196" ht="20.100000000000001" customHeight="1" x14ac:dyDescent="0.2">
      <c r="B313" s="86">
        <f>+'Service Data'!$C$5:$C$5</f>
        <v>0</v>
      </c>
      <c r="C313" s="86"/>
      <c r="D313" s="86"/>
      <c r="E313" s="86"/>
      <c r="F313" s="86"/>
      <c r="G313" s="86"/>
      <c r="H313" s="6"/>
      <c r="I313" s="99" t="str">
        <f ca="1">IF(Table1[[#This Row],[Date of Birth]]="","",SUM(TODAY()-Table1[[#This Row],[Date of Birth]])/365)</f>
        <v/>
      </c>
      <c r="L313" s="86"/>
      <c r="M313" s="77"/>
      <c r="N313" s="86"/>
      <c r="O313" s="86"/>
      <c r="P313" s="91"/>
      <c r="Q313" s="86"/>
      <c r="R313" s="77"/>
      <c r="S313" s="77"/>
      <c r="T313" s="68"/>
      <c r="U313" s="68"/>
      <c r="V313" s="67"/>
      <c r="W313" s="67"/>
      <c r="X313" s="67"/>
      <c r="Y313" s="67"/>
      <c r="Z313" s="67"/>
      <c r="AA313" s="67"/>
      <c r="AB313" s="67"/>
      <c r="AC313" s="67"/>
      <c r="AD313" s="67"/>
      <c r="AE313" s="67"/>
      <c r="AF313" s="67"/>
      <c r="AG313" s="67"/>
      <c r="AH313" s="67"/>
      <c r="AI313" s="67"/>
      <c r="AJ313" s="67"/>
      <c r="AK313" s="67"/>
      <c r="AL313" s="67"/>
      <c r="AM313" s="67"/>
      <c r="AN313" s="77"/>
      <c r="AO313" s="76"/>
      <c r="AP313" s="77"/>
      <c r="AQ313" s="76"/>
      <c r="AR313" s="76"/>
      <c r="AS313" s="76"/>
      <c r="AT313" s="76"/>
      <c r="AU313" s="76"/>
      <c r="AV313" s="77"/>
      <c r="AW313" s="76"/>
      <c r="AX313" s="77"/>
      <c r="AY313" s="76"/>
      <c r="AZ313" s="76"/>
      <c r="BA313" s="76"/>
      <c r="BB313" s="76"/>
      <c r="BC313" s="76"/>
      <c r="BD313" s="77"/>
      <c r="BE313" s="76"/>
      <c r="BF313" s="77"/>
      <c r="BG313" s="76"/>
      <c r="BH313" s="76"/>
      <c r="BI313" s="76"/>
      <c r="BJ313" s="76"/>
      <c r="BK313" s="76"/>
      <c r="BL313" s="77"/>
      <c r="BM313" s="76"/>
      <c r="BN313" s="77"/>
      <c r="BO313" s="76"/>
      <c r="BP313" s="76"/>
      <c r="BQ313" s="76"/>
      <c r="BR313" s="76"/>
      <c r="BS313" s="76"/>
      <c r="BT313" s="77"/>
      <c r="BU313" s="76"/>
      <c r="BV313" s="77"/>
      <c r="BW313" s="76"/>
      <c r="BX313" s="76"/>
      <c r="BY313" s="76"/>
      <c r="BZ313" s="76"/>
      <c r="CA313" s="76"/>
      <c r="CB313" s="77"/>
      <c r="CC313" s="76"/>
      <c r="CD313" s="77"/>
      <c r="CE313" s="76"/>
      <c r="CF313" s="76"/>
      <c r="CG313" s="76"/>
      <c r="CH313" s="76"/>
      <c r="CI313" s="76"/>
      <c r="CJ313" s="77"/>
      <c r="CK313" s="76"/>
      <c r="CL313" s="77"/>
      <c r="CM313" s="76"/>
      <c r="CN313" s="76"/>
      <c r="CO313" s="76"/>
      <c r="CP313" s="76"/>
      <c r="CQ313" s="76"/>
      <c r="CR313" s="78" t="str">
        <f t="shared" si="79"/>
        <v/>
      </c>
      <c r="CS313" s="79" t="str">
        <f t="shared" si="80"/>
        <v/>
      </c>
      <c r="CT313" s="79" t="str">
        <f t="shared" si="81"/>
        <v/>
      </c>
      <c r="CU313" s="79" t="str">
        <f t="shared" si="82"/>
        <v/>
      </c>
      <c r="CV313" s="79" t="str">
        <f t="shared" si="83"/>
        <v/>
      </c>
      <c r="CW313" s="79" t="str">
        <f t="shared" si="84"/>
        <v/>
      </c>
      <c r="CX313" s="79" t="str">
        <f t="shared" si="85"/>
        <v/>
      </c>
      <c r="CY313" s="79" t="str">
        <f t="shared" si="86"/>
        <v/>
      </c>
      <c r="CZ313" s="79" t="str">
        <f t="shared" si="87"/>
        <v/>
      </c>
      <c r="DA313" s="79" t="str">
        <f t="shared" si="88"/>
        <v/>
      </c>
      <c r="DB313" s="79" t="str">
        <f t="shared" si="89"/>
        <v/>
      </c>
      <c r="DC313" s="79" t="str">
        <f t="shared" si="90"/>
        <v/>
      </c>
      <c r="DD313" s="79" t="str">
        <f t="shared" si="91"/>
        <v/>
      </c>
      <c r="DE313" s="79" t="str">
        <f t="shared" si="92"/>
        <v/>
      </c>
      <c r="DF313" s="79" t="str">
        <f t="shared" si="93"/>
        <v/>
      </c>
      <c r="DG313" s="79" t="str">
        <f t="shared" si="94"/>
        <v/>
      </c>
      <c r="DH313" s="76"/>
      <c r="DI313" s="78"/>
      <c r="DJ313" s="76"/>
      <c r="DK313" s="77"/>
      <c r="DL313" s="77"/>
      <c r="DM313" s="77"/>
      <c r="DN313" s="80"/>
      <c r="DO313" s="80"/>
      <c r="DP313" s="92" t="str">
        <f>IF(Table1[Start Date]="","",IF(Table1[Start Date]&gt;42185,"",IF(AND(Table1[Leaving Date]&gt;1,Table1[Leaving Date]&lt;42095),"",1)))</f>
        <v/>
      </c>
      <c r="DQ313" s="92" t="str">
        <f>IF(Table1[Start Date]="","",IF(Table1[Start Date]&gt;42277,"",IF(AND(Table1[Leaving Date]&gt;1,Table1[Leaving Date]&lt;42186),"",1)))</f>
        <v/>
      </c>
      <c r="DR313" s="92" t="str">
        <f>IF(Table1[Start Date]="","",IF(Table1[Start Date]&gt;42369,"",IF(AND(Table1[Leaving Date]&gt;1,Table1[Leaving Date]&lt;42278),"",1)))</f>
        <v/>
      </c>
      <c r="DS313" s="92" t="str">
        <f>IF(Table1[Start Date]="","",IF(Table1[Start Date]&gt;42460,"",IF(AND(Table1[Leaving Date]&gt;1,Table1[Leaving Date]&lt;42370),"",1)))</f>
        <v/>
      </c>
      <c r="DT313" s="92" t="str">
        <f>IF(Table1[Start Date]="","",IF(Table1[Start Date]&gt;42551,"",IF(AND(Table1[Leaving Date]&gt;1,Table1[Leaving Date]&lt;42461),"",1)))</f>
        <v/>
      </c>
      <c r="DU313" s="92" t="str">
        <f>IF(Table1[Start Date]="","",IF(Table1[Start Date]&gt;42643,"",IF(AND(Table1[Leaving Date]&gt;1,Table1[Leaving Date]&lt;42552),"",1)))</f>
        <v/>
      </c>
      <c r="DV313" s="92" t="str">
        <f>IF(Table1[Start Date]="","",IF(Table1[Start Date]&gt;42735,"",IF(AND(Table1[Leaving Date]&gt;1,Table1[Leaving Date]&lt;42644),"",1)))</f>
        <v/>
      </c>
      <c r="DW313" s="92" t="str">
        <f>IF(Table1[Start Date]="","",IF(Table1[Start Date]&gt;42825,"",IF(AND(Table1[Leaving Date]&gt;1,Table1[Leaving Date]&lt;42736),"",1)))</f>
        <v/>
      </c>
      <c r="DX313"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313" s="44" t="e">
        <f>VLOOKUP(Table1[Referral Source],Lists!$G$2:$H$20,2,FALSE)</f>
        <v>#N/A</v>
      </c>
      <c r="DZ313" s="93" t="e">
        <f>SUM(Table1[Data Referral Quarter]+Table1[Data Referral Source])</f>
        <v>#N/A</v>
      </c>
      <c r="EA313" s="44" t="b">
        <f>IF(Table1[Referral Decision]="Accepted",100,IF(Table1[Referral Decision]="Rejected by Provider",200,IF(Table1[Referral Decision]="Rejected by Applicant",300)))</f>
        <v>0</v>
      </c>
      <c r="EB313" s="44">
        <f>SUM(Table1[Data Referral Quarter]+Table1[Data Referral Decision])</f>
        <v>0</v>
      </c>
      <c r="EC313" s="44" t="b">
        <f>IF(Table1[Start Date]&gt;42735,8000,IF(Table1[Start Date]&gt;42643,7000,IF(Table1[Start Date]&gt;42551,6000,IF(Table1[Start Date]&gt;42460,5000,IF(Table1[Start Date]&gt;42369,4000,IF(Table1[Start Date]&gt;42277,3000,IF(Table1[Start Date]&gt;42185,2000,IF(Table1[Start Date]&gt;42094,1000))))))))</f>
        <v>0</v>
      </c>
      <c r="ED313" s="44" t="str">
        <f>IF(Table1[Start Date]="","",IF(Table1[Current Local Authority]="Swindon",1,"2"))</f>
        <v/>
      </c>
      <c r="EE313" s="44" t="e">
        <f>SUM(Table1[Data Start Date]+Table1[Data Local Authority])</f>
        <v>#VALUE!</v>
      </c>
      <c r="EF313" s="44">
        <f>IF(Table1[Registered with GP]="Yes",1,0)</f>
        <v>0</v>
      </c>
      <c r="EG313" s="44">
        <f>SUM(Table1[Data Start Date]+Table1[Data GP Start])</f>
        <v>0</v>
      </c>
      <c r="EH313" s="44" t="str">
        <f>IF(Table1[EET]="NEET",1,IF(Table1[EET]="Education",2,IF(Table1[EET]="Employment",2,IF(Table1[EET]="Training",2,IF(Table1[EET]="Retired",3,"")))))</f>
        <v/>
      </c>
      <c r="EI313" s="44" t="e">
        <f>Table1[Data Start Date]+Table1[Data EET Start]</f>
        <v>#VALUE!</v>
      </c>
      <c r="EJ313" s="44" t="b">
        <f>IF(Table1[Leaving Date]&gt;42735,8000,IF(Table1[Leaving Date]&gt;42643,7000,IF(Table1[Leaving Date]&gt;42551,6000,IF(Table1[Leaving Date]&gt;42460,5000,IF(Table1[Leaving Date]&gt;42369,4000,IF(Table1[Leaving Date]&gt;42277,3000,IF(Table1[Leaving Date]&gt;42185,2000,IF(Table1[Leaving Date]&gt;42094,1000))))))))</f>
        <v>0</v>
      </c>
      <c r="EK313" s="44" t="e">
        <f>VLOOKUP(Table1[Reason for Leaving],Lists!$T$2:$U$15,2,FALSE)</f>
        <v>#N/A</v>
      </c>
      <c r="EL313" s="44" t="e">
        <f>SUM(Table1[Data Leavers Date]+Table1[Data Move On])</f>
        <v>#N/A</v>
      </c>
      <c r="EM313" s="44" t="b">
        <f>IF(Table1[Registered with GP2]="Yes",1,IF(Table1[Registered with GP2]="No",0,IF(Table1[Registered with GP]="Yes",1,IF(Table1[Registered with GP]="No",0))))</f>
        <v>0</v>
      </c>
      <c r="EN313" s="44">
        <f>SUM(Table1[Data Leavers Date]+Table1[Data GP End])</f>
        <v>0</v>
      </c>
      <c r="EO313" s="44" t="str">
        <f>IF(Table1[EET2]="NEET",1,IF(Table1[EET2]="Employment",2,IF(Table1[EET2]="Education",2,IF(Table1[EET2]="Training",2,IF(Table1[EET2]="Retired",3,IF(Table1[EET]="NEET",1,IF(Table1[EET]="Employment",2,IF(Table1[EET]="Education",2,IF(Table1[EET]="Training",2,IF(Table1[EET]="Retired",3,""))))))))))</f>
        <v/>
      </c>
      <c r="EP313" s="44" t="e">
        <f>+Table1[[#This Row],[Data Leavers Date]]+Table1[[#This Row],[Data EET End]]</f>
        <v>#VALUE!</v>
      </c>
      <c r="EQ313" s="44">
        <f>IF(Table1[Exit Form Received]="Yes",1,0)</f>
        <v>0</v>
      </c>
      <c r="ER313" s="44">
        <f>+Table1[[#This Row],[Data Leavers Date]]+Table1[[#This Row],[Data Exit Forms]]</f>
        <v>0</v>
      </c>
      <c r="ES313" s="44" t="str">
        <f>IF(Table1[Data Leavers Date]=1000,SUM(Table1[Leaving Date]-Table1[Start Date]),"")</f>
        <v/>
      </c>
      <c r="ET313" s="44" t="str">
        <f>IF(Table1[Data Leavers Date]=2000,SUM(Table1[Leaving Date]-Table1[Start Date]),"")</f>
        <v/>
      </c>
      <c r="EU313" s="44" t="str">
        <f>IF(Table1[Data Leavers Date]=3000,SUM(Table1[Leaving Date]-Table1[Start Date]),"")</f>
        <v/>
      </c>
      <c r="EV313" s="44" t="str">
        <f>IF(Table1[Data Leavers Date]=4000,SUM(Table1[Leaving Date]-Table1[Start Date]),"")</f>
        <v/>
      </c>
      <c r="EW313" s="44" t="str">
        <f>IF(Table1[Data Leavers Date]=5000,SUM(Table1[Leaving Date]-Table1[Start Date]),"")</f>
        <v/>
      </c>
      <c r="EX313" s="44" t="str">
        <f>IF(Table1[Data Leavers Date]=6000,SUM(Table1[Leaving Date]-Table1[Start Date]),"")</f>
        <v/>
      </c>
      <c r="EY313" s="44" t="str">
        <f>IF(Table1[Data Leavers Date]=7000,SUM(Table1[Leaving Date]-Table1[Start Date]),"")</f>
        <v/>
      </c>
      <c r="EZ313" s="44" t="str">
        <f>IF(Table1[Data Leavers Date]=8000,SUM(Table1[Leaving Date]-Table1[Start Date]),"")</f>
        <v/>
      </c>
      <c r="FA313" s="44" t="str">
        <f>IF(Table1[Date of Initial Assessment]="","",IF(AND(Table1[Start Date]&gt;42094,Table1[Start Date]&lt;42461),Table1[Motivation and Taking Responsibility],""))</f>
        <v/>
      </c>
      <c r="FB313" s="44" t="str">
        <f>IF(Table1[Date of Initial Assessment]="","",IF(AND(Table1[Start Date]&gt;42094,Table1[Start Date]&lt;42461),Table1[Self-Care and Living Skills],""))</f>
        <v/>
      </c>
      <c r="FC313" s="44" t="str">
        <f>IF(Table1[Date of Initial Assessment]="","",IF(AND(Table1[Start Date]&gt;42094,Table1[Start Date]&lt;42461),Table1[Managing Money and Personal Administration],""))</f>
        <v/>
      </c>
      <c r="FD313" s="44" t="str">
        <f>IF(Table1[Date of Initial Assessment]="","",IF(AND(Table1[Start Date]&gt;42094,Table1[Start Date]&lt;42461),Table1[Social Networks and Relationships],""))</f>
        <v/>
      </c>
      <c r="FE313" s="44" t="str">
        <f>IF(Table1[Date of Initial Assessment]="","",IF(AND(Table1[Start Date]&gt;42094,Table1[Start Date]&lt;42461),Table1[Drug and Alcohol Misuse],""))</f>
        <v/>
      </c>
      <c r="FF313" s="44" t="str">
        <f>IF(Table1[Date of Initial Assessment]="","",IF(AND(Table1[Start Date]&gt;42094,Table1[Start Date]&lt;42461),Table1[Physical Health],""))</f>
        <v/>
      </c>
      <c r="FG313" s="44" t="str">
        <f>IF(Table1[Date of Initial Assessment]="","",IF(AND(Table1[Start Date]&gt;42094,Table1[Start Date]&lt;42461),Table1[Emotional and Mental Health],""))</f>
        <v/>
      </c>
      <c r="FH313" s="44" t="str">
        <f>IF(Table1[Date of Initial Assessment]="","",IF(AND(Table1[Start Date]&gt;42094,Table1[Start Date]&lt;42461),Table1[Meaningful Use of Time],""))</f>
        <v/>
      </c>
      <c r="FI313" s="44" t="str">
        <f>IF(Table1[Date of Initial Assessment]="","",IF(AND(Table1[Start Date]&gt;42094,Table1[Start Date]&lt;42461),Table1[Managing Tenancy and Accommodation],""))</f>
        <v/>
      </c>
      <c r="FJ313" s="44" t="str">
        <f>IF(Table1[Date of Initial Assessment]="","",IF(AND(Table1[Start Date]&gt;42094,Table1[Start Date]&lt;42461),Table1[Offending],""))</f>
        <v/>
      </c>
      <c r="FK313" s="44" t="str">
        <f>IF(Table1[Leaving Date]="","",IF(Table1[Date of Initial Assessment]="","",IF(AND(Table1[Leaving Date]&gt;42094,Table1[Leaving Date]&lt;42461),IF(Table1[Date of Last Assessment]="",Table1[Motivation and Taking Responsibility],Table1[Motivation and Taking Responsibility2]),"")))</f>
        <v/>
      </c>
      <c r="FL313" s="44" t="str">
        <f>IF(Table1[Leaving Date]="","",IF(Table1[Date of Initial Assessment]="","",IF(AND(Table1[Leaving Date]&gt;42094,Table1[Leaving Date]&lt;42461),IF(Table1[Date of Last Assessment]="",Table1[Self-Care and Living Skills],Table1[Self-Care and Living Skills2]),"")))</f>
        <v/>
      </c>
      <c r="FM313" s="44" t="str">
        <f>IF(Table1[Leaving Date]="","",IF(Table1[Date of Initial Assessment]="","",IF(AND(Table1[Leaving Date]&gt;42094,Table1[Leaving Date]&lt;42461),IF(Table1[Date of Last Assessment]="",Table1[Managing Money and Personal Administration],Table1[Managing Money and Personal Administration2]),"")))</f>
        <v/>
      </c>
      <c r="FN313" s="44" t="str">
        <f>IF(Table1[Leaving Date]="","",IF(Table1[Date of Initial Assessment]="","",IF(AND(Table1[Leaving Date]&gt;42094,Table1[Leaving Date]&lt;42461),IF(Table1[Date of Last Assessment]="",Table1[Social Networks and Relationships],Table1[Social Networks and Relationships2]),"")))</f>
        <v/>
      </c>
      <c r="FO313" s="44" t="str">
        <f>IF(Table1[Leaving Date]="","",IF(Table1[Date of Initial Assessment]="","",IF(AND(Table1[Leaving Date]&gt;42094,Table1[Leaving Date]&lt;42461),IF(Table1[Date of Last Assessment]="",Table1[Drug and Alcohol Misuse],Table1[Drug and Alcohol Misuse2]),"")))</f>
        <v/>
      </c>
      <c r="FP313" s="44" t="str">
        <f>IF(Table1[Leaving Date]="","",IF(Table1[Date of Initial Assessment]="","",IF(AND(Table1[Leaving Date]&gt;42094,Table1[Leaving Date]&lt;42461),IF(Table1[Date of Last Assessment]="",Table1[Physical Health],Table1[Physical Health2]),"")))</f>
        <v/>
      </c>
      <c r="FQ313" s="44" t="str">
        <f>IF(Table1[Leaving Date]="","",IF(Table1[Date of Initial Assessment]="","",IF(AND(Table1[Leaving Date]&gt;42094,Table1[Leaving Date]&lt;42461),IF(Table1[Date of Last Assessment]="",Table1[Emotional and Mental Health],Table1[Emotional and Mental Health2]),"")))</f>
        <v/>
      </c>
      <c r="FR313" s="44" t="str">
        <f>IF(Table1[Leaving Date]="","",IF(Table1[Date of Initial Assessment]="","",IF(AND(Table1[Leaving Date]&gt;42094,Table1[Leaving Date]&lt;42461),IF(Table1[Date of Last Assessment]="",Table1[Meaningful Use of Time],Table1[Meaningful Use of Time2]),"")))</f>
        <v/>
      </c>
      <c r="FS313" s="44" t="str">
        <f>IF(Table1[Leaving Date]="","",IF(Table1[Date of Initial Assessment]="","",IF(AND(Table1[Leaving Date]&gt;42094,Table1[Leaving Date]&lt;42461),IF(Table1[Date of Last Assessment]="",Table1[Managing Tenancy and Accommodation],Table1[Managing Tenancy and Accommodation2]),"")))</f>
        <v/>
      </c>
      <c r="FT313" s="44" t="str">
        <f>IF(Table1[Leaving Date]="","",IF(Table1[Date of Initial Assessment]="","",IF(AND(Table1[Leaving Date]&gt;42094,Table1[Leaving Date]&lt;42461),IF(Table1[Date of Last Assessment]="",Table1[Offending],Table1[Offending2]),"")))</f>
        <v/>
      </c>
      <c r="FU313" s="44" t="str">
        <f>IF(Table1[Date of Initial Assessment]="","",IF(AND(Table1[Start Date]&gt;42460,Table1[Start Date]&lt;42826),Table1[Motivation and Taking Responsibility],""))</f>
        <v/>
      </c>
      <c r="FV313" s="44" t="str">
        <f>IF(Table1[Date of Initial Assessment]="","",IF(AND(Table1[Start Date]&gt;42460,Table1[Start Date]&lt;42826),Table1[Self-Care and Living Skills],""))</f>
        <v/>
      </c>
      <c r="FW313" s="44" t="str">
        <f>IF(Table1[Date of Initial Assessment]="","",IF(AND(Table1[Start Date]&gt;42460,Table1[Start Date]&lt;42826),Table1[Managing Money and Personal Administration],""))</f>
        <v/>
      </c>
      <c r="FX313" s="44" t="str">
        <f>IF(Table1[Date of Initial Assessment]="","",IF(AND(Table1[Start Date]&gt;42460,Table1[Start Date]&lt;42826),Table1[Social Networks and Relationships],""))</f>
        <v/>
      </c>
      <c r="FY313" s="44" t="str">
        <f>IF(Table1[Date of Initial Assessment]="","",IF(AND(Table1[Start Date]&gt;42460,Table1[Start Date]&lt;42826),Table1[Drug and Alcohol Misuse],""))</f>
        <v/>
      </c>
      <c r="FZ313" s="44" t="str">
        <f>IF(Table1[Date of Initial Assessment]="","",IF(AND(Table1[Start Date]&gt;42460,Table1[Start Date]&lt;42826),Table1[Physical Health],""))</f>
        <v/>
      </c>
      <c r="GA313" s="44" t="str">
        <f>IF(Table1[Date of Initial Assessment]="","",IF(AND(Table1[Start Date]&gt;42460,Table1[Start Date]&lt;42826),Table1[Emotional and Mental Health],""))</f>
        <v/>
      </c>
      <c r="GB313" s="44" t="str">
        <f>IF(Table1[Date of Initial Assessment]="","",IF(AND(Table1[Start Date]&gt;42460,Table1[Start Date]&lt;42826),Table1[Meaningful Use of Time],""))</f>
        <v/>
      </c>
      <c r="GC313" s="44" t="str">
        <f>IF(Table1[Date of Initial Assessment]="","",IF(AND(Table1[Start Date]&gt;42460,Table1[Start Date]&lt;42826),Table1[Managing Tenancy and Accommodation],""))</f>
        <v/>
      </c>
      <c r="GD313" s="44" t="str">
        <f>IF(Table1[Date of Initial Assessment]="","",IF(AND(Table1[Start Date]&gt;42460,Table1[Start Date]&lt;42826),Table1[Offending],""))</f>
        <v/>
      </c>
      <c r="GE313" s="44" t="str">
        <f>IF(Table1[Leaving Date]="","",IF(AND(Table1[Leaving Date]&gt;42460,Table1[Leaving Date]&lt;42826),IF(Table1[Date of Last Assessment]="",Table1[Motivation and Taking Responsibility],Table1[Motivation and Taking Responsibility2]),""))</f>
        <v/>
      </c>
      <c r="GF313" s="44" t="str">
        <f>IF(Table1[Leaving Date]="","",IF(AND(Table1[Leaving Date]&gt;42460,Table1[Leaving Date]&lt;42826),IF(Table1[Date of Last Assessment]="",Table1[Self-Care and Living Skills],Table1[Self-Care and Living Skills2]),""))</f>
        <v/>
      </c>
      <c r="GG313" s="44" t="str">
        <f>IF(Table1[Leaving Date]="","",IF(AND(Table1[Leaving Date]&gt;42460,Table1[Leaving Date]&lt;42826),IF(Table1[Date of Last Assessment]="",Table1[Managing Money and Personal Administration],Table1[Managing Money and Personal Administration2]),""))</f>
        <v/>
      </c>
      <c r="GH313" s="44" t="str">
        <f>IF(Table1[Leaving Date]="","",IF(AND(Table1[Leaving Date]&gt;42460,Table1[Leaving Date]&lt;42826),IF(Table1[Date of Last Assessment]="",Table1[Social Networks and Relationships],Table1[Social Networks and Relationships2]),""))</f>
        <v/>
      </c>
      <c r="GI313" s="44" t="str">
        <f>IF(Table1[Leaving Date]="","",IF(AND(Table1[Leaving Date]&gt;42460,Table1[Leaving Date]&lt;42826),IF(Table1[Date of Last Assessment]="",Table1[Drug and Alcohol Misuse],Table1[Drug and Alcohol Misuse2]),""))</f>
        <v/>
      </c>
      <c r="GJ313" s="44" t="str">
        <f>IF(Table1[Leaving Date]="","",IF(AND(Table1[Leaving Date]&gt;42460,Table1[Leaving Date]&lt;42826),IF(Table1[Date of Last Assessment]="",Table1[Physical Health],Table1[Physical Health2]),""))</f>
        <v/>
      </c>
      <c r="GK313" s="44" t="str">
        <f>IF(Table1[Leaving Date]="","",IF(AND(Table1[Leaving Date]&gt;42460,Table1[Leaving Date]&lt;42826),IF(Table1[Date of Last Assessment]="",Table1[Emotional and Mental Health],Table1[Emotional and Mental Health2]),""))</f>
        <v/>
      </c>
      <c r="GL313" s="44" t="str">
        <f>IF(Table1[Leaving Date]="","",IF(AND(Table1[Leaving Date]&gt;42460,Table1[Leaving Date]&lt;42826),IF(Table1[Date of Last Assessment]="",Table1[Meaningful Use of Time],Table1[Meaningful Use of Time2]),""))</f>
        <v/>
      </c>
      <c r="GM313" s="44" t="str">
        <f>IF(Table1[Leaving Date]="","",IF(AND(Table1[Leaving Date]&gt;42460,Table1[Leaving Date]&lt;42826),IF(Table1[Date of Last Assessment]="",Table1[Managing Tenancy and Accommodation],Table1[Managing Tenancy and Accommodation2]),""))</f>
        <v/>
      </c>
      <c r="GN313" s="44" t="str">
        <f>IF(Table1[Leaving Date]="","",IF(AND(Table1[Leaving Date]&gt;42460,Table1[Leaving Date]&lt;42826),IF(Table1[Date of Last Assessment]="",Table1[Offending],Table1[Offending2]),""))</f>
        <v/>
      </c>
    </row>
    <row r="314" spans="2:196" ht="20.100000000000001" customHeight="1" x14ac:dyDescent="0.2">
      <c r="B314" s="86">
        <f>+'Service Data'!$C$5:$C$5</f>
        <v>0</v>
      </c>
      <c r="C314" s="86"/>
      <c r="D314" s="86"/>
      <c r="E314" s="86"/>
      <c r="F314" s="86"/>
      <c r="G314" s="86"/>
      <c r="H314" s="6"/>
      <c r="I314" s="99" t="str">
        <f ca="1">IF(Table1[[#This Row],[Date of Birth]]="","",SUM(TODAY()-Table1[[#This Row],[Date of Birth]])/365)</f>
        <v/>
      </c>
      <c r="L314" s="86"/>
      <c r="M314" s="77"/>
      <c r="N314" s="86"/>
      <c r="O314" s="86"/>
      <c r="P314" s="91"/>
      <c r="Q314" s="86"/>
      <c r="R314" s="77"/>
      <c r="S314" s="77"/>
      <c r="T314" s="68"/>
      <c r="U314" s="68"/>
      <c r="V314" s="67"/>
      <c r="W314" s="67"/>
      <c r="X314" s="67"/>
      <c r="Y314" s="67"/>
      <c r="Z314" s="67"/>
      <c r="AA314" s="67"/>
      <c r="AB314" s="67"/>
      <c r="AC314" s="67"/>
      <c r="AD314" s="67"/>
      <c r="AE314" s="67"/>
      <c r="AF314" s="67"/>
      <c r="AG314" s="67"/>
      <c r="AH314" s="67"/>
      <c r="AI314" s="67"/>
      <c r="AJ314" s="67"/>
      <c r="AK314" s="67"/>
      <c r="AL314" s="67"/>
      <c r="AM314" s="67"/>
      <c r="AN314" s="77"/>
      <c r="AO314" s="76"/>
      <c r="AP314" s="77"/>
      <c r="AQ314" s="76"/>
      <c r="AR314" s="76"/>
      <c r="AS314" s="76"/>
      <c r="AT314" s="76"/>
      <c r="AU314" s="76"/>
      <c r="AV314" s="77"/>
      <c r="AW314" s="76"/>
      <c r="AX314" s="77"/>
      <c r="AY314" s="76"/>
      <c r="AZ314" s="76"/>
      <c r="BA314" s="76"/>
      <c r="BB314" s="76"/>
      <c r="BC314" s="76"/>
      <c r="BD314" s="77"/>
      <c r="BE314" s="76"/>
      <c r="BF314" s="77"/>
      <c r="BG314" s="76"/>
      <c r="BH314" s="76"/>
      <c r="BI314" s="76"/>
      <c r="BJ314" s="76"/>
      <c r="BK314" s="76"/>
      <c r="BL314" s="77"/>
      <c r="BM314" s="76"/>
      <c r="BN314" s="77"/>
      <c r="BO314" s="76"/>
      <c r="BP314" s="76"/>
      <c r="BQ314" s="76"/>
      <c r="BR314" s="76"/>
      <c r="BS314" s="76"/>
      <c r="BT314" s="77"/>
      <c r="BU314" s="76"/>
      <c r="BV314" s="77"/>
      <c r="BW314" s="76"/>
      <c r="BX314" s="76"/>
      <c r="BY314" s="76"/>
      <c r="BZ314" s="76"/>
      <c r="CA314" s="76"/>
      <c r="CB314" s="77"/>
      <c r="CC314" s="76"/>
      <c r="CD314" s="77"/>
      <c r="CE314" s="76"/>
      <c r="CF314" s="76"/>
      <c r="CG314" s="76"/>
      <c r="CH314" s="76"/>
      <c r="CI314" s="76"/>
      <c r="CJ314" s="77"/>
      <c r="CK314" s="76"/>
      <c r="CL314" s="77"/>
      <c r="CM314" s="76"/>
      <c r="CN314" s="76"/>
      <c r="CO314" s="76"/>
      <c r="CP314" s="76"/>
      <c r="CQ314" s="76"/>
      <c r="CR314" s="78" t="str">
        <f t="shared" si="79"/>
        <v/>
      </c>
      <c r="CS314" s="79" t="str">
        <f t="shared" si="80"/>
        <v/>
      </c>
      <c r="CT314" s="79" t="str">
        <f t="shared" si="81"/>
        <v/>
      </c>
      <c r="CU314" s="79" t="str">
        <f t="shared" si="82"/>
        <v/>
      </c>
      <c r="CV314" s="79" t="str">
        <f t="shared" si="83"/>
        <v/>
      </c>
      <c r="CW314" s="79" t="str">
        <f t="shared" si="84"/>
        <v/>
      </c>
      <c r="CX314" s="79" t="str">
        <f t="shared" si="85"/>
        <v/>
      </c>
      <c r="CY314" s="79" t="str">
        <f t="shared" si="86"/>
        <v/>
      </c>
      <c r="CZ314" s="79" t="str">
        <f t="shared" si="87"/>
        <v/>
      </c>
      <c r="DA314" s="79" t="str">
        <f t="shared" si="88"/>
        <v/>
      </c>
      <c r="DB314" s="79" t="str">
        <f t="shared" si="89"/>
        <v/>
      </c>
      <c r="DC314" s="79" t="str">
        <f t="shared" si="90"/>
        <v/>
      </c>
      <c r="DD314" s="79" t="str">
        <f t="shared" si="91"/>
        <v/>
      </c>
      <c r="DE314" s="79" t="str">
        <f t="shared" si="92"/>
        <v/>
      </c>
      <c r="DF314" s="79" t="str">
        <f t="shared" si="93"/>
        <v/>
      </c>
      <c r="DG314" s="79" t="str">
        <f t="shared" si="94"/>
        <v/>
      </c>
      <c r="DH314" s="76"/>
      <c r="DI314" s="78"/>
      <c r="DJ314" s="76"/>
      <c r="DK314" s="77"/>
      <c r="DL314" s="77"/>
      <c r="DM314" s="77"/>
      <c r="DN314" s="80"/>
      <c r="DO314" s="80"/>
      <c r="DP314" s="92" t="str">
        <f>IF(Table1[Start Date]="","",IF(Table1[Start Date]&gt;42185,"",IF(AND(Table1[Leaving Date]&gt;1,Table1[Leaving Date]&lt;42095),"",1)))</f>
        <v/>
      </c>
      <c r="DQ314" s="92" t="str">
        <f>IF(Table1[Start Date]="","",IF(Table1[Start Date]&gt;42277,"",IF(AND(Table1[Leaving Date]&gt;1,Table1[Leaving Date]&lt;42186),"",1)))</f>
        <v/>
      </c>
      <c r="DR314" s="92" t="str">
        <f>IF(Table1[Start Date]="","",IF(Table1[Start Date]&gt;42369,"",IF(AND(Table1[Leaving Date]&gt;1,Table1[Leaving Date]&lt;42278),"",1)))</f>
        <v/>
      </c>
      <c r="DS314" s="92" t="str">
        <f>IF(Table1[Start Date]="","",IF(Table1[Start Date]&gt;42460,"",IF(AND(Table1[Leaving Date]&gt;1,Table1[Leaving Date]&lt;42370),"",1)))</f>
        <v/>
      </c>
      <c r="DT314" s="92" t="str">
        <f>IF(Table1[Start Date]="","",IF(Table1[Start Date]&gt;42551,"",IF(AND(Table1[Leaving Date]&gt;1,Table1[Leaving Date]&lt;42461),"",1)))</f>
        <v/>
      </c>
      <c r="DU314" s="92" t="str">
        <f>IF(Table1[Start Date]="","",IF(Table1[Start Date]&gt;42643,"",IF(AND(Table1[Leaving Date]&gt;1,Table1[Leaving Date]&lt;42552),"",1)))</f>
        <v/>
      </c>
      <c r="DV314" s="92" t="str">
        <f>IF(Table1[Start Date]="","",IF(Table1[Start Date]&gt;42735,"",IF(AND(Table1[Leaving Date]&gt;1,Table1[Leaving Date]&lt;42644),"",1)))</f>
        <v/>
      </c>
      <c r="DW314" s="92" t="str">
        <f>IF(Table1[Start Date]="","",IF(Table1[Start Date]&gt;42825,"",IF(AND(Table1[Leaving Date]&gt;1,Table1[Leaving Date]&lt;42736),"",1)))</f>
        <v/>
      </c>
      <c r="DX314"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314" s="44" t="e">
        <f>VLOOKUP(Table1[Referral Source],Lists!$G$2:$H$20,2,FALSE)</f>
        <v>#N/A</v>
      </c>
      <c r="DZ314" s="93" t="e">
        <f>SUM(Table1[Data Referral Quarter]+Table1[Data Referral Source])</f>
        <v>#N/A</v>
      </c>
      <c r="EA314" s="44" t="b">
        <f>IF(Table1[Referral Decision]="Accepted",100,IF(Table1[Referral Decision]="Rejected by Provider",200,IF(Table1[Referral Decision]="Rejected by Applicant",300)))</f>
        <v>0</v>
      </c>
      <c r="EB314" s="44">
        <f>SUM(Table1[Data Referral Quarter]+Table1[Data Referral Decision])</f>
        <v>0</v>
      </c>
      <c r="EC314" s="44" t="b">
        <f>IF(Table1[Start Date]&gt;42735,8000,IF(Table1[Start Date]&gt;42643,7000,IF(Table1[Start Date]&gt;42551,6000,IF(Table1[Start Date]&gt;42460,5000,IF(Table1[Start Date]&gt;42369,4000,IF(Table1[Start Date]&gt;42277,3000,IF(Table1[Start Date]&gt;42185,2000,IF(Table1[Start Date]&gt;42094,1000))))))))</f>
        <v>0</v>
      </c>
      <c r="ED314" s="44" t="str">
        <f>IF(Table1[Start Date]="","",IF(Table1[Current Local Authority]="Swindon",1,"2"))</f>
        <v/>
      </c>
      <c r="EE314" s="44" t="e">
        <f>SUM(Table1[Data Start Date]+Table1[Data Local Authority])</f>
        <v>#VALUE!</v>
      </c>
      <c r="EF314" s="44">
        <f>IF(Table1[Registered with GP]="Yes",1,0)</f>
        <v>0</v>
      </c>
      <c r="EG314" s="44">
        <f>SUM(Table1[Data Start Date]+Table1[Data GP Start])</f>
        <v>0</v>
      </c>
      <c r="EH314" s="44" t="str">
        <f>IF(Table1[EET]="NEET",1,IF(Table1[EET]="Education",2,IF(Table1[EET]="Employment",2,IF(Table1[EET]="Training",2,IF(Table1[EET]="Retired",3,"")))))</f>
        <v/>
      </c>
      <c r="EI314" s="44" t="e">
        <f>Table1[Data Start Date]+Table1[Data EET Start]</f>
        <v>#VALUE!</v>
      </c>
      <c r="EJ314" s="44" t="b">
        <f>IF(Table1[Leaving Date]&gt;42735,8000,IF(Table1[Leaving Date]&gt;42643,7000,IF(Table1[Leaving Date]&gt;42551,6000,IF(Table1[Leaving Date]&gt;42460,5000,IF(Table1[Leaving Date]&gt;42369,4000,IF(Table1[Leaving Date]&gt;42277,3000,IF(Table1[Leaving Date]&gt;42185,2000,IF(Table1[Leaving Date]&gt;42094,1000))))))))</f>
        <v>0</v>
      </c>
      <c r="EK314" s="44" t="e">
        <f>VLOOKUP(Table1[Reason for Leaving],Lists!$T$2:$U$15,2,FALSE)</f>
        <v>#N/A</v>
      </c>
      <c r="EL314" s="44" t="e">
        <f>SUM(Table1[Data Leavers Date]+Table1[Data Move On])</f>
        <v>#N/A</v>
      </c>
      <c r="EM314" s="44" t="b">
        <f>IF(Table1[Registered with GP2]="Yes",1,IF(Table1[Registered with GP2]="No",0,IF(Table1[Registered with GP]="Yes",1,IF(Table1[Registered with GP]="No",0))))</f>
        <v>0</v>
      </c>
      <c r="EN314" s="44">
        <f>SUM(Table1[Data Leavers Date]+Table1[Data GP End])</f>
        <v>0</v>
      </c>
      <c r="EO314" s="44" t="str">
        <f>IF(Table1[EET2]="NEET",1,IF(Table1[EET2]="Employment",2,IF(Table1[EET2]="Education",2,IF(Table1[EET2]="Training",2,IF(Table1[EET2]="Retired",3,IF(Table1[EET]="NEET",1,IF(Table1[EET]="Employment",2,IF(Table1[EET]="Education",2,IF(Table1[EET]="Training",2,IF(Table1[EET]="Retired",3,""))))))))))</f>
        <v/>
      </c>
      <c r="EP314" s="44" t="e">
        <f>+Table1[[#This Row],[Data Leavers Date]]+Table1[[#This Row],[Data EET End]]</f>
        <v>#VALUE!</v>
      </c>
      <c r="EQ314" s="44">
        <f>IF(Table1[Exit Form Received]="Yes",1,0)</f>
        <v>0</v>
      </c>
      <c r="ER314" s="44">
        <f>+Table1[[#This Row],[Data Leavers Date]]+Table1[[#This Row],[Data Exit Forms]]</f>
        <v>0</v>
      </c>
      <c r="ES314" s="44" t="str">
        <f>IF(Table1[Data Leavers Date]=1000,SUM(Table1[Leaving Date]-Table1[Start Date]),"")</f>
        <v/>
      </c>
      <c r="ET314" s="44" t="str">
        <f>IF(Table1[Data Leavers Date]=2000,SUM(Table1[Leaving Date]-Table1[Start Date]),"")</f>
        <v/>
      </c>
      <c r="EU314" s="44" t="str">
        <f>IF(Table1[Data Leavers Date]=3000,SUM(Table1[Leaving Date]-Table1[Start Date]),"")</f>
        <v/>
      </c>
      <c r="EV314" s="44" t="str">
        <f>IF(Table1[Data Leavers Date]=4000,SUM(Table1[Leaving Date]-Table1[Start Date]),"")</f>
        <v/>
      </c>
      <c r="EW314" s="44" t="str">
        <f>IF(Table1[Data Leavers Date]=5000,SUM(Table1[Leaving Date]-Table1[Start Date]),"")</f>
        <v/>
      </c>
      <c r="EX314" s="44" t="str">
        <f>IF(Table1[Data Leavers Date]=6000,SUM(Table1[Leaving Date]-Table1[Start Date]),"")</f>
        <v/>
      </c>
      <c r="EY314" s="44" t="str">
        <f>IF(Table1[Data Leavers Date]=7000,SUM(Table1[Leaving Date]-Table1[Start Date]),"")</f>
        <v/>
      </c>
      <c r="EZ314" s="44" t="str">
        <f>IF(Table1[Data Leavers Date]=8000,SUM(Table1[Leaving Date]-Table1[Start Date]),"")</f>
        <v/>
      </c>
      <c r="FA314" s="44" t="str">
        <f>IF(Table1[Date of Initial Assessment]="","",IF(AND(Table1[Start Date]&gt;42094,Table1[Start Date]&lt;42461),Table1[Motivation and Taking Responsibility],""))</f>
        <v/>
      </c>
      <c r="FB314" s="44" t="str">
        <f>IF(Table1[Date of Initial Assessment]="","",IF(AND(Table1[Start Date]&gt;42094,Table1[Start Date]&lt;42461),Table1[Self-Care and Living Skills],""))</f>
        <v/>
      </c>
      <c r="FC314" s="44" t="str">
        <f>IF(Table1[Date of Initial Assessment]="","",IF(AND(Table1[Start Date]&gt;42094,Table1[Start Date]&lt;42461),Table1[Managing Money and Personal Administration],""))</f>
        <v/>
      </c>
      <c r="FD314" s="44" t="str">
        <f>IF(Table1[Date of Initial Assessment]="","",IF(AND(Table1[Start Date]&gt;42094,Table1[Start Date]&lt;42461),Table1[Social Networks and Relationships],""))</f>
        <v/>
      </c>
      <c r="FE314" s="44" t="str">
        <f>IF(Table1[Date of Initial Assessment]="","",IF(AND(Table1[Start Date]&gt;42094,Table1[Start Date]&lt;42461),Table1[Drug and Alcohol Misuse],""))</f>
        <v/>
      </c>
      <c r="FF314" s="44" t="str">
        <f>IF(Table1[Date of Initial Assessment]="","",IF(AND(Table1[Start Date]&gt;42094,Table1[Start Date]&lt;42461),Table1[Physical Health],""))</f>
        <v/>
      </c>
      <c r="FG314" s="44" t="str">
        <f>IF(Table1[Date of Initial Assessment]="","",IF(AND(Table1[Start Date]&gt;42094,Table1[Start Date]&lt;42461),Table1[Emotional and Mental Health],""))</f>
        <v/>
      </c>
      <c r="FH314" s="44" t="str">
        <f>IF(Table1[Date of Initial Assessment]="","",IF(AND(Table1[Start Date]&gt;42094,Table1[Start Date]&lt;42461),Table1[Meaningful Use of Time],""))</f>
        <v/>
      </c>
      <c r="FI314" s="44" t="str">
        <f>IF(Table1[Date of Initial Assessment]="","",IF(AND(Table1[Start Date]&gt;42094,Table1[Start Date]&lt;42461),Table1[Managing Tenancy and Accommodation],""))</f>
        <v/>
      </c>
      <c r="FJ314" s="44" t="str">
        <f>IF(Table1[Date of Initial Assessment]="","",IF(AND(Table1[Start Date]&gt;42094,Table1[Start Date]&lt;42461),Table1[Offending],""))</f>
        <v/>
      </c>
      <c r="FK314" s="44" t="str">
        <f>IF(Table1[Leaving Date]="","",IF(Table1[Date of Initial Assessment]="","",IF(AND(Table1[Leaving Date]&gt;42094,Table1[Leaving Date]&lt;42461),IF(Table1[Date of Last Assessment]="",Table1[Motivation and Taking Responsibility],Table1[Motivation and Taking Responsibility2]),"")))</f>
        <v/>
      </c>
      <c r="FL314" s="44" t="str">
        <f>IF(Table1[Leaving Date]="","",IF(Table1[Date of Initial Assessment]="","",IF(AND(Table1[Leaving Date]&gt;42094,Table1[Leaving Date]&lt;42461),IF(Table1[Date of Last Assessment]="",Table1[Self-Care and Living Skills],Table1[Self-Care and Living Skills2]),"")))</f>
        <v/>
      </c>
      <c r="FM314" s="44" t="str">
        <f>IF(Table1[Leaving Date]="","",IF(Table1[Date of Initial Assessment]="","",IF(AND(Table1[Leaving Date]&gt;42094,Table1[Leaving Date]&lt;42461),IF(Table1[Date of Last Assessment]="",Table1[Managing Money and Personal Administration],Table1[Managing Money and Personal Administration2]),"")))</f>
        <v/>
      </c>
      <c r="FN314" s="44" t="str">
        <f>IF(Table1[Leaving Date]="","",IF(Table1[Date of Initial Assessment]="","",IF(AND(Table1[Leaving Date]&gt;42094,Table1[Leaving Date]&lt;42461),IF(Table1[Date of Last Assessment]="",Table1[Social Networks and Relationships],Table1[Social Networks and Relationships2]),"")))</f>
        <v/>
      </c>
      <c r="FO314" s="44" t="str">
        <f>IF(Table1[Leaving Date]="","",IF(Table1[Date of Initial Assessment]="","",IF(AND(Table1[Leaving Date]&gt;42094,Table1[Leaving Date]&lt;42461),IF(Table1[Date of Last Assessment]="",Table1[Drug and Alcohol Misuse],Table1[Drug and Alcohol Misuse2]),"")))</f>
        <v/>
      </c>
      <c r="FP314" s="44" t="str">
        <f>IF(Table1[Leaving Date]="","",IF(Table1[Date of Initial Assessment]="","",IF(AND(Table1[Leaving Date]&gt;42094,Table1[Leaving Date]&lt;42461),IF(Table1[Date of Last Assessment]="",Table1[Physical Health],Table1[Physical Health2]),"")))</f>
        <v/>
      </c>
      <c r="FQ314" s="44" t="str">
        <f>IF(Table1[Leaving Date]="","",IF(Table1[Date of Initial Assessment]="","",IF(AND(Table1[Leaving Date]&gt;42094,Table1[Leaving Date]&lt;42461),IF(Table1[Date of Last Assessment]="",Table1[Emotional and Mental Health],Table1[Emotional and Mental Health2]),"")))</f>
        <v/>
      </c>
      <c r="FR314" s="44" t="str">
        <f>IF(Table1[Leaving Date]="","",IF(Table1[Date of Initial Assessment]="","",IF(AND(Table1[Leaving Date]&gt;42094,Table1[Leaving Date]&lt;42461),IF(Table1[Date of Last Assessment]="",Table1[Meaningful Use of Time],Table1[Meaningful Use of Time2]),"")))</f>
        <v/>
      </c>
      <c r="FS314" s="44" t="str">
        <f>IF(Table1[Leaving Date]="","",IF(Table1[Date of Initial Assessment]="","",IF(AND(Table1[Leaving Date]&gt;42094,Table1[Leaving Date]&lt;42461),IF(Table1[Date of Last Assessment]="",Table1[Managing Tenancy and Accommodation],Table1[Managing Tenancy and Accommodation2]),"")))</f>
        <v/>
      </c>
      <c r="FT314" s="44" t="str">
        <f>IF(Table1[Leaving Date]="","",IF(Table1[Date of Initial Assessment]="","",IF(AND(Table1[Leaving Date]&gt;42094,Table1[Leaving Date]&lt;42461),IF(Table1[Date of Last Assessment]="",Table1[Offending],Table1[Offending2]),"")))</f>
        <v/>
      </c>
      <c r="FU314" s="44" t="str">
        <f>IF(Table1[Date of Initial Assessment]="","",IF(AND(Table1[Start Date]&gt;42460,Table1[Start Date]&lt;42826),Table1[Motivation and Taking Responsibility],""))</f>
        <v/>
      </c>
      <c r="FV314" s="44" t="str">
        <f>IF(Table1[Date of Initial Assessment]="","",IF(AND(Table1[Start Date]&gt;42460,Table1[Start Date]&lt;42826),Table1[Self-Care and Living Skills],""))</f>
        <v/>
      </c>
      <c r="FW314" s="44" t="str">
        <f>IF(Table1[Date of Initial Assessment]="","",IF(AND(Table1[Start Date]&gt;42460,Table1[Start Date]&lt;42826),Table1[Managing Money and Personal Administration],""))</f>
        <v/>
      </c>
      <c r="FX314" s="44" t="str">
        <f>IF(Table1[Date of Initial Assessment]="","",IF(AND(Table1[Start Date]&gt;42460,Table1[Start Date]&lt;42826),Table1[Social Networks and Relationships],""))</f>
        <v/>
      </c>
      <c r="FY314" s="44" t="str">
        <f>IF(Table1[Date of Initial Assessment]="","",IF(AND(Table1[Start Date]&gt;42460,Table1[Start Date]&lt;42826),Table1[Drug and Alcohol Misuse],""))</f>
        <v/>
      </c>
      <c r="FZ314" s="44" t="str">
        <f>IF(Table1[Date of Initial Assessment]="","",IF(AND(Table1[Start Date]&gt;42460,Table1[Start Date]&lt;42826),Table1[Physical Health],""))</f>
        <v/>
      </c>
      <c r="GA314" s="44" t="str">
        <f>IF(Table1[Date of Initial Assessment]="","",IF(AND(Table1[Start Date]&gt;42460,Table1[Start Date]&lt;42826),Table1[Emotional and Mental Health],""))</f>
        <v/>
      </c>
      <c r="GB314" s="44" t="str">
        <f>IF(Table1[Date of Initial Assessment]="","",IF(AND(Table1[Start Date]&gt;42460,Table1[Start Date]&lt;42826),Table1[Meaningful Use of Time],""))</f>
        <v/>
      </c>
      <c r="GC314" s="44" t="str">
        <f>IF(Table1[Date of Initial Assessment]="","",IF(AND(Table1[Start Date]&gt;42460,Table1[Start Date]&lt;42826),Table1[Managing Tenancy and Accommodation],""))</f>
        <v/>
      </c>
      <c r="GD314" s="44" t="str">
        <f>IF(Table1[Date of Initial Assessment]="","",IF(AND(Table1[Start Date]&gt;42460,Table1[Start Date]&lt;42826),Table1[Offending],""))</f>
        <v/>
      </c>
      <c r="GE314" s="44" t="str">
        <f>IF(Table1[Leaving Date]="","",IF(AND(Table1[Leaving Date]&gt;42460,Table1[Leaving Date]&lt;42826),IF(Table1[Date of Last Assessment]="",Table1[Motivation and Taking Responsibility],Table1[Motivation and Taking Responsibility2]),""))</f>
        <v/>
      </c>
      <c r="GF314" s="44" t="str">
        <f>IF(Table1[Leaving Date]="","",IF(AND(Table1[Leaving Date]&gt;42460,Table1[Leaving Date]&lt;42826),IF(Table1[Date of Last Assessment]="",Table1[Self-Care and Living Skills],Table1[Self-Care and Living Skills2]),""))</f>
        <v/>
      </c>
      <c r="GG314" s="44" t="str">
        <f>IF(Table1[Leaving Date]="","",IF(AND(Table1[Leaving Date]&gt;42460,Table1[Leaving Date]&lt;42826),IF(Table1[Date of Last Assessment]="",Table1[Managing Money and Personal Administration],Table1[Managing Money and Personal Administration2]),""))</f>
        <v/>
      </c>
      <c r="GH314" s="44" t="str">
        <f>IF(Table1[Leaving Date]="","",IF(AND(Table1[Leaving Date]&gt;42460,Table1[Leaving Date]&lt;42826),IF(Table1[Date of Last Assessment]="",Table1[Social Networks and Relationships],Table1[Social Networks and Relationships2]),""))</f>
        <v/>
      </c>
      <c r="GI314" s="44" t="str">
        <f>IF(Table1[Leaving Date]="","",IF(AND(Table1[Leaving Date]&gt;42460,Table1[Leaving Date]&lt;42826),IF(Table1[Date of Last Assessment]="",Table1[Drug and Alcohol Misuse],Table1[Drug and Alcohol Misuse2]),""))</f>
        <v/>
      </c>
      <c r="GJ314" s="44" t="str">
        <f>IF(Table1[Leaving Date]="","",IF(AND(Table1[Leaving Date]&gt;42460,Table1[Leaving Date]&lt;42826),IF(Table1[Date of Last Assessment]="",Table1[Physical Health],Table1[Physical Health2]),""))</f>
        <v/>
      </c>
      <c r="GK314" s="44" t="str">
        <f>IF(Table1[Leaving Date]="","",IF(AND(Table1[Leaving Date]&gt;42460,Table1[Leaving Date]&lt;42826),IF(Table1[Date of Last Assessment]="",Table1[Emotional and Mental Health],Table1[Emotional and Mental Health2]),""))</f>
        <v/>
      </c>
      <c r="GL314" s="44" t="str">
        <f>IF(Table1[Leaving Date]="","",IF(AND(Table1[Leaving Date]&gt;42460,Table1[Leaving Date]&lt;42826),IF(Table1[Date of Last Assessment]="",Table1[Meaningful Use of Time],Table1[Meaningful Use of Time2]),""))</f>
        <v/>
      </c>
      <c r="GM314" s="44" t="str">
        <f>IF(Table1[Leaving Date]="","",IF(AND(Table1[Leaving Date]&gt;42460,Table1[Leaving Date]&lt;42826),IF(Table1[Date of Last Assessment]="",Table1[Managing Tenancy and Accommodation],Table1[Managing Tenancy and Accommodation2]),""))</f>
        <v/>
      </c>
      <c r="GN314" s="44" t="str">
        <f>IF(Table1[Leaving Date]="","",IF(AND(Table1[Leaving Date]&gt;42460,Table1[Leaving Date]&lt;42826),IF(Table1[Date of Last Assessment]="",Table1[Offending],Table1[Offending2]),""))</f>
        <v/>
      </c>
    </row>
    <row r="315" spans="2:196" ht="20.100000000000001" customHeight="1" x14ac:dyDescent="0.2">
      <c r="B315" s="86">
        <f>+'Service Data'!$C$5:$C$5</f>
        <v>0</v>
      </c>
      <c r="C315" s="86"/>
      <c r="D315" s="86"/>
      <c r="E315" s="86"/>
      <c r="F315" s="86"/>
      <c r="G315" s="86"/>
      <c r="H315" s="6"/>
      <c r="I315" s="99" t="str">
        <f ca="1">IF(Table1[[#This Row],[Date of Birth]]="","",SUM(TODAY()-Table1[[#This Row],[Date of Birth]])/365)</f>
        <v/>
      </c>
      <c r="L315" s="86"/>
      <c r="M315" s="77"/>
      <c r="N315" s="86"/>
      <c r="O315" s="86"/>
      <c r="P315" s="91"/>
      <c r="Q315" s="86"/>
      <c r="R315" s="77"/>
      <c r="S315" s="77"/>
      <c r="T315" s="68"/>
      <c r="U315" s="68"/>
      <c r="V315" s="67"/>
      <c r="W315" s="67"/>
      <c r="X315" s="67"/>
      <c r="Y315" s="67"/>
      <c r="Z315" s="67"/>
      <c r="AA315" s="67"/>
      <c r="AB315" s="67"/>
      <c r="AC315" s="67"/>
      <c r="AD315" s="67"/>
      <c r="AE315" s="67"/>
      <c r="AF315" s="67"/>
      <c r="AG315" s="67"/>
      <c r="AH315" s="67"/>
      <c r="AI315" s="67"/>
      <c r="AJ315" s="67"/>
      <c r="AK315" s="67"/>
      <c r="AL315" s="67"/>
      <c r="AM315" s="67"/>
      <c r="AN315" s="77"/>
      <c r="AO315" s="76"/>
      <c r="AP315" s="77"/>
      <c r="AQ315" s="76"/>
      <c r="AR315" s="76"/>
      <c r="AS315" s="76"/>
      <c r="AT315" s="76"/>
      <c r="AU315" s="76"/>
      <c r="AV315" s="77"/>
      <c r="AW315" s="76"/>
      <c r="AX315" s="77"/>
      <c r="AY315" s="76"/>
      <c r="AZ315" s="76"/>
      <c r="BA315" s="76"/>
      <c r="BB315" s="76"/>
      <c r="BC315" s="76"/>
      <c r="BD315" s="77"/>
      <c r="BE315" s="76"/>
      <c r="BF315" s="77"/>
      <c r="BG315" s="76"/>
      <c r="BH315" s="76"/>
      <c r="BI315" s="76"/>
      <c r="BJ315" s="76"/>
      <c r="BK315" s="76"/>
      <c r="BL315" s="77"/>
      <c r="BM315" s="76"/>
      <c r="BN315" s="77"/>
      <c r="BO315" s="76"/>
      <c r="BP315" s="76"/>
      <c r="BQ315" s="76"/>
      <c r="BR315" s="76"/>
      <c r="BS315" s="76"/>
      <c r="BT315" s="77"/>
      <c r="BU315" s="76"/>
      <c r="BV315" s="77"/>
      <c r="BW315" s="76"/>
      <c r="BX315" s="76"/>
      <c r="BY315" s="76"/>
      <c r="BZ315" s="76"/>
      <c r="CA315" s="76"/>
      <c r="CB315" s="77"/>
      <c r="CC315" s="76"/>
      <c r="CD315" s="77"/>
      <c r="CE315" s="76"/>
      <c r="CF315" s="76"/>
      <c r="CG315" s="76"/>
      <c r="CH315" s="76"/>
      <c r="CI315" s="76"/>
      <c r="CJ315" s="77"/>
      <c r="CK315" s="76"/>
      <c r="CL315" s="77"/>
      <c r="CM315" s="76"/>
      <c r="CN315" s="76"/>
      <c r="CO315" s="76"/>
      <c r="CP315" s="76"/>
      <c r="CQ315" s="76"/>
      <c r="CR315" s="78" t="str">
        <f t="shared" si="79"/>
        <v/>
      </c>
      <c r="CS315" s="79" t="str">
        <f t="shared" si="80"/>
        <v/>
      </c>
      <c r="CT315" s="79" t="str">
        <f t="shared" si="81"/>
        <v/>
      </c>
      <c r="CU315" s="79" t="str">
        <f t="shared" si="82"/>
        <v/>
      </c>
      <c r="CV315" s="79" t="str">
        <f t="shared" si="83"/>
        <v/>
      </c>
      <c r="CW315" s="79" t="str">
        <f t="shared" si="84"/>
        <v/>
      </c>
      <c r="CX315" s="79" t="str">
        <f t="shared" si="85"/>
        <v/>
      </c>
      <c r="CY315" s="79" t="str">
        <f t="shared" si="86"/>
        <v/>
      </c>
      <c r="CZ315" s="79" t="str">
        <f t="shared" si="87"/>
        <v/>
      </c>
      <c r="DA315" s="79" t="str">
        <f t="shared" si="88"/>
        <v/>
      </c>
      <c r="DB315" s="79" t="str">
        <f t="shared" si="89"/>
        <v/>
      </c>
      <c r="DC315" s="79" t="str">
        <f t="shared" si="90"/>
        <v/>
      </c>
      <c r="DD315" s="79" t="str">
        <f t="shared" si="91"/>
        <v/>
      </c>
      <c r="DE315" s="79" t="str">
        <f t="shared" si="92"/>
        <v/>
      </c>
      <c r="DF315" s="79" t="str">
        <f t="shared" si="93"/>
        <v/>
      </c>
      <c r="DG315" s="79" t="str">
        <f t="shared" si="94"/>
        <v/>
      </c>
      <c r="DH315" s="76"/>
      <c r="DI315" s="78"/>
      <c r="DJ315" s="76"/>
      <c r="DK315" s="77"/>
      <c r="DL315" s="77"/>
      <c r="DM315" s="77"/>
      <c r="DN315" s="80"/>
      <c r="DO315" s="80"/>
      <c r="DP315" s="92" t="str">
        <f>IF(Table1[Start Date]="","",IF(Table1[Start Date]&gt;42185,"",IF(AND(Table1[Leaving Date]&gt;1,Table1[Leaving Date]&lt;42095),"",1)))</f>
        <v/>
      </c>
      <c r="DQ315" s="92" t="str">
        <f>IF(Table1[Start Date]="","",IF(Table1[Start Date]&gt;42277,"",IF(AND(Table1[Leaving Date]&gt;1,Table1[Leaving Date]&lt;42186),"",1)))</f>
        <v/>
      </c>
      <c r="DR315" s="92" t="str">
        <f>IF(Table1[Start Date]="","",IF(Table1[Start Date]&gt;42369,"",IF(AND(Table1[Leaving Date]&gt;1,Table1[Leaving Date]&lt;42278),"",1)))</f>
        <v/>
      </c>
      <c r="DS315" s="92" t="str">
        <f>IF(Table1[Start Date]="","",IF(Table1[Start Date]&gt;42460,"",IF(AND(Table1[Leaving Date]&gt;1,Table1[Leaving Date]&lt;42370),"",1)))</f>
        <v/>
      </c>
      <c r="DT315" s="92" t="str">
        <f>IF(Table1[Start Date]="","",IF(Table1[Start Date]&gt;42551,"",IF(AND(Table1[Leaving Date]&gt;1,Table1[Leaving Date]&lt;42461),"",1)))</f>
        <v/>
      </c>
      <c r="DU315" s="92" t="str">
        <f>IF(Table1[Start Date]="","",IF(Table1[Start Date]&gt;42643,"",IF(AND(Table1[Leaving Date]&gt;1,Table1[Leaving Date]&lt;42552),"",1)))</f>
        <v/>
      </c>
      <c r="DV315" s="92" t="str">
        <f>IF(Table1[Start Date]="","",IF(Table1[Start Date]&gt;42735,"",IF(AND(Table1[Leaving Date]&gt;1,Table1[Leaving Date]&lt;42644),"",1)))</f>
        <v/>
      </c>
      <c r="DW315" s="92" t="str">
        <f>IF(Table1[Start Date]="","",IF(Table1[Start Date]&gt;42825,"",IF(AND(Table1[Leaving Date]&gt;1,Table1[Leaving Date]&lt;42736),"",1)))</f>
        <v/>
      </c>
      <c r="DX315"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315" s="44" t="e">
        <f>VLOOKUP(Table1[Referral Source],Lists!$G$2:$H$20,2,FALSE)</f>
        <v>#N/A</v>
      </c>
      <c r="DZ315" s="93" t="e">
        <f>SUM(Table1[Data Referral Quarter]+Table1[Data Referral Source])</f>
        <v>#N/A</v>
      </c>
      <c r="EA315" s="44" t="b">
        <f>IF(Table1[Referral Decision]="Accepted",100,IF(Table1[Referral Decision]="Rejected by Provider",200,IF(Table1[Referral Decision]="Rejected by Applicant",300)))</f>
        <v>0</v>
      </c>
      <c r="EB315" s="44">
        <f>SUM(Table1[Data Referral Quarter]+Table1[Data Referral Decision])</f>
        <v>0</v>
      </c>
      <c r="EC315" s="44" t="b">
        <f>IF(Table1[Start Date]&gt;42735,8000,IF(Table1[Start Date]&gt;42643,7000,IF(Table1[Start Date]&gt;42551,6000,IF(Table1[Start Date]&gt;42460,5000,IF(Table1[Start Date]&gt;42369,4000,IF(Table1[Start Date]&gt;42277,3000,IF(Table1[Start Date]&gt;42185,2000,IF(Table1[Start Date]&gt;42094,1000))))))))</f>
        <v>0</v>
      </c>
      <c r="ED315" s="44" t="str">
        <f>IF(Table1[Start Date]="","",IF(Table1[Current Local Authority]="Swindon",1,"2"))</f>
        <v/>
      </c>
      <c r="EE315" s="44" t="e">
        <f>SUM(Table1[Data Start Date]+Table1[Data Local Authority])</f>
        <v>#VALUE!</v>
      </c>
      <c r="EF315" s="44">
        <f>IF(Table1[Registered with GP]="Yes",1,0)</f>
        <v>0</v>
      </c>
      <c r="EG315" s="44">
        <f>SUM(Table1[Data Start Date]+Table1[Data GP Start])</f>
        <v>0</v>
      </c>
      <c r="EH315" s="44" t="str">
        <f>IF(Table1[EET]="NEET",1,IF(Table1[EET]="Education",2,IF(Table1[EET]="Employment",2,IF(Table1[EET]="Training",2,IF(Table1[EET]="Retired",3,"")))))</f>
        <v/>
      </c>
      <c r="EI315" s="44" t="e">
        <f>Table1[Data Start Date]+Table1[Data EET Start]</f>
        <v>#VALUE!</v>
      </c>
      <c r="EJ315" s="44" t="b">
        <f>IF(Table1[Leaving Date]&gt;42735,8000,IF(Table1[Leaving Date]&gt;42643,7000,IF(Table1[Leaving Date]&gt;42551,6000,IF(Table1[Leaving Date]&gt;42460,5000,IF(Table1[Leaving Date]&gt;42369,4000,IF(Table1[Leaving Date]&gt;42277,3000,IF(Table1[Leaving Date]&gt;42185,2000,IF(Table1[Leaving Date]&gt;42094,1000))))))))</f>
        <v>0</v>
      </c>
      <c r="EK315" s="44" t="e">
        <f>VLOOKUP(Table1[Reason for Leaving],Lists!$T$2:$U$15,2,FALSE)</f>
        <v>#N/A</v>
      </c>
      <c r="EL315" s="44" t="e">
        <f>SUM(Table1[Data Leavers Date]+Table1[Data Move On])</f>
        <v>#N/A</v>
      </c>
      <c r="EM315" s="44" t="b">
        <f>IF(Table1[Registered with GP2]="Yes",1,IF(Table1[Registered with GP2]="No",0,IF(Table1[Registered with GP]="Yes",1,IF(Table1[Registered with GP]="No",0))))</f>
        <v>0</v>
      </c>
      <c r="EN315" s="44">
        <f>SUM(Table1[Data Leavers Date]+Table1[Data GP End])</f>
        <v>0</v>
      </c>
      <c r="EO315" s="44" t="str">
        <f>IF(Table1[EET2]="NEET",1,IF(Table1[EET2]="Employment",2,IF(Table1[EET2]="Education",2,IF(Table1[EET2]="Training",2,IF(Table1[EET2]="Retired",3,IF(Table1[EET]="NEET",1,IF(Table1[EET]="Employment",2,IF(Table1[EET]="Education",2,IF(Table1[EET]="Training",2,IF(Table1[EET]="Retired",3,""))))))))))</f>
        <v/>
      </c>
      <c r="EP315" s="44" t="e">
        <f>+Table1[[#This Row],[Data Leavers Date]]+Table1[[#This Row],[Data EET End]]</f>
        <v>#VALUE!</v>
      </c>
      <c r="EQ315" s="44">
        <f>IF(Table1[Exit Form Received]="Yes",1,0)</f>
        <v>0</v>
      </c>
      <c r="ER315" s="44">
        <f>+Table1[[#This Row],[Data Leavers Date]]+Table1[[#This Row],[Data Exit Forms]]</f>
        <v>0</v>
      </c>
      <c r="ES315" s="44" t="str">
        <f>IF(Table1[Data Leavers Date]=1000,SUM(Table1[Leaving Date]-Table1[Start Date]),"")</f>
        <v/>
      </c>
      <c r="ET315" s="44" t="str">
        <f>IF(Table1[Data Leavers Date]=2000,SUM(Table1[Leaving Date]-Table1[Start Date]),"")</f>
        <v/>
      </c>
      <c r="EU315" s="44" t="str">
        <f>IF(Table1[Data Leavers Date]=3000,SUM(Table1[Leaving Date]-Table1[Start Date]),"")</f>
        <v/>
      </c>
      <c r="EV315" s="44" t="str">
        <f>IF(Table1[Data Leavers Date]=4000,SUM(Table1[Leaving Date]-Table1[Start Date]),"")</f>
        <v/>
      </c>
      <c r="EW315" s="44" t="str">
        <f>IF(Table1[Data Leavers Date]=5000,SUM(Table1[Leaving Date]-Table1[Start Date]),"")</f>
        <v/>
      </c>
      <c r="EX315" s="44" t="str">
        <f>IF(Table1[Data Leavers Date]=6000,SUM(Table1[Leaving Date]-Table1[Start Date]),"")</f>
        <v/>
      </c>
      <c r="EY315" s="44" t="str">
        <f>IF(Table1[Data Leavers Date]=7000,SUM(Table1[Leaving Date]-Table1[Start Date]),"")</f>
        <v/>
      </c>
      <c r="EZ315" s="44" t="str">
        <f>IF(Table1[Data Leavers Date]=8000,SUM(Table1[Leaving Date]-Table1[Start Date]),"")</f>
        <v/>
      </c>
      <c r="FA315" s="44" t="str">
        <f>IF(Table1[Date of Initial Assessment]="","",IF(AND(Table1[Start Date]&gt;42094,Table1[Start Date]&lt;42461),Table1[Motivation and Taking Responsibility],""))</f>
        <v/>
      </c>
      <c r="FB315" s="44" t="str">
        <f>IF(Table1[Date of Initial Assessment]="","",IF(AND(Table1[Start Date]&gt;42094,Table1[Start Date]&lt;42461),Table1[Self-Care and Living Skills],""))</f>
        <v/>
      </c>
      <c r="FC315" s="44" t="str">
        <f>IF(Table1[Date of Initial Assessment]="","",IF(AND(Table1[Start Date]&gt;42094,Table1[Start Date]&lt;42461),Table1[Managing Money and Personal Administration],""))</f>
        <v/>
      </c>
      <c r="FD315" s="44" t="str">
        <f>IF(Table1[Date of Initial Assessment]="","",IF(AND(Table1[Start Date]&gt;42094,Table1[Start Date]&lt;42461),Table1[Social Networks and Relationships],""))</f>
        <v/>
      </c>
      <c r="FE315" s="44" t="str">
        <f>IF(Table1[Date of Initial Assessment]="","",IF(AND(Table1[Start Date]&gt;42094,Table1[Start Date]&lt;42461),Table1[Drug and Alcohol Misuse],""))</f>
        <v/>
      </c>
      <c r="FF315" s="44" t="str">
        <f>IF(Table1[Date of Initial Assessment]="","",IF(AND(Table1[Start Date]&gt;42094,Table1[Start Date]&lt;42461),Table1[Physical Health],""))</f>
        <v/>
      </c>
      <c r="FG315" s="44" t="str">
        <f>IF(Table1[Date of Initial Assessment]="","",IF(AND(Table1[Start Date]&gt;42094,Table1[Start Date]&lt;42461),Table1[Emotional and Mental Health],""))</f>
        <v/>
      </c>
      <c r="FH315" s="44" t="str">
        <f>IF(Table1[Date of Initial Assessment]="","",IF(AND(Table1[Start Date]&gt;42094,Table1[Start Date]&lt;42461),Table1[Meaningful Use of Time],""))</f>
        <v/>
      </c>
      <c r="FI315" s="44" t="str">
        <f>IF(Table1[Date of Initial Assessment]="","",IF(AND(Table1[Start Date]&gt;42094,Table1[Start Date]&lt;42461),Table1[Managing Tenancy and Accommodation],""))</f>
        <v/>
      </c>
      <c r="FJ315" s="44" t="str">
        <f>IF(Table1[Date of Initial Assessment]="","",IF(AND(Table1[Start Date]&gt;42094,Table1[Start Date]&lt;42461),Table1[Offending],""))</f>
        <v/>
      </c>
      <c r="FK315" s="44" t="str">
        <f>IF(Table1[Leaving Date]="","",IF(Table1[Date of Initial Assessment]="","",IF(AND(Table1[Leaving Date]&gt;42094,Table1[Leaving Date]&lt;42461),IF(Table1[Date of Last Assessment]="",Table1[Motivation and Taking Responsibility],Table1[Motivation and Taking Responsibility2]),"")))</f>
        <v/>
      </c>
      <c r="FL315" s="44" t="str">
        <f>IF(Table1[Leaving Date]="","",IF(Table1[Date of Initial Assessment]="","",IF(AND(Table1[Leaving Date]&gt;42094,Table1[Leaving Date]&lt;42461),IF(Table1[Date of Last Assessment]="",Table1[Self-Care and Living Skills],Table1[Self-Care and Living Skills2]),"")))</f>
        <v/>
      </c>
      <c r="FM315" s="44" t="str">
        <f>IF(Table1[Leaving Date]="","",IF(Table1[Date of Initial Assessment]="","",IF(AND(Table1[Leaving Date]&gt;42094,Table1[Leaving Date]&lt;42461),IF(Table1[Date of Last Assessment]="",Table1[Managing Money and Personal Administration],Table1[Managing Money and Personal Administration2]),"")))</f>
        <v/>
      </c>
      <c r="FN315" s="44" t="str">
        <f>IF(Table1[Leaving Date]="","",IF(Table1[Date of Initial Assessment]="","",IF(AND(Table1[Leaving Date]&gt;42094,Table1[Leaving Date]&lt;42461),IF(Table1[Date of Last Assessment]="",Table1[Social Networks and Relationships],Table1[Social Networks and Relationships2]),"")))</f>
        <v/>
      </c>
      <c r="FO315" s="44" t="str">
        <f>IF(Table1[Leaving Date]="","",IF(Table1[Date of Initial Assessment]="","",IF(AND(Table1[Leaving Date]&gt;42094,Table1[Leaving Date]&lt;42461),IF(Table1[Date of Last Assessment]="",Table1[Drug and Alcohol Misuse],Table1[Drug and Alcohol Misuse2]),"")))</f>
        <v/>
      </c>
      <c r="FP315" s="44" t="str">
        <f>IF(Table1[Leaving Date]="","",IF(Table1[Date of Initial Assessment]="","",IF(AND(Table1[Leaving Date]&gt;42094,Table1[Leaving Date]&lt;42461),IF(Table1[Date of Last Assessment]="",Table1[Physical Health],Table1[Physical Health2]),"")))</f>
        <v/>
      </c>
      <c r="FQ315" s="44" t="str">
        <f>IF(Table1[Leaving Date]="","",IF(Table1[Date of Initial Assessment]="","",IF(AND(Table1[Leaving Date]&gt;42094,Table1[Leaving Date]&lt;42461),IF(Table1[Date of Last Assessment]="",Table1[Emotional and Mental Health],Table1[Emotional and Mental Health2]),"")))</f>
        <v/>
      </c>
      <c r="FR315" s="44" t="str">
        <f>IF(Table1[Leaving Date]="","",IF(Table1[Date of Initial Assessment]="","",IF(AND(Table1[Leaving Date]&gt;42094,Table1[Leaving Date]&lt;42461),IF(Table1[Date of Last Assessment]="",Table1[Meaningful Use of Time],Table1[Meaningful Use of Time2]),"")))</f>
        <v/>
      </c>
      <c r="FS315" s="44" t="str">
        <f>IF(Table1[Leaving Date]="","",IF(Table1[Date of Initial Assessment]="","",IF(AND(Table1[Leaving Date]&gt;42094,Table1[Leaving Date]&lt;42461),IF(Table1[Date of Last Assessment]="",Table1[Managing Tenancy and Accommodation],Table1[Managing Tenancy and Accommodation2]),"")))</f>
        <v/>
      </c>
      <c r="FT315" s="44" t="str">
        <f>IF(Table1[Leaving Date]="","",IF(Table1[Date of Initial Assessment]="","",IF(AND(Table1[Leaving Date]&gt;42094,Table1[Leaving Date]&lt;42461),IF(Table1[Date of Last Assessment]="",Table1[Offending],Table1[Offending2]),"")))</f>
        <v/>
      </c>
      <c r="FU315" s="44" t="str">
        <f>IF(Table1[Date of Initial Assessment]="","",IF(AND(Table1[Start Date]&gt;42460,Table1[Start Date]&lt;42826),Table1[Motivation and Taking Responsibility],""))</f>
        <v/>
      </c>
      <c r="FV315" s="44" t="str">
        <f>IF(Table1[Date of Initial Assessment]="","",IF(AND(Table1[Start Date]&gt;42460,Table1[Start Date]&lt;42826),Table1[Self-Care and Living Skills],""))</f>
        <v/>
      </c>
      <c r="FW315" s="44" t="str">
        <f>IF(Table1[Date of Initial Assessment]="","",IF(AND(Table1[Start Date]&gt;42460,Table1[Start Date]&lt;42826),Table1[Managing Money and Personal Administration],""))</f>
        <v/>
      </c>
      <c r="FX315" s="44" t="str">
        <f>IF(Table1[Date of Initial Assessment]="","",IF(AND(Table1[Start Date]&gt;42460,Table1[Start Date]&lt;42826),Table1[Social Networks and Relationships],""))</f>
        <v/>
      </c>
      <c r="FY315" s="44" t="str">
        <f>IF(Table1[Date of Initial Assessment]="","",IF(AND(Table1[Start Date]&gt;42460,Table1[Start Date]&lt;42826),Table1[Drug and Alcohol Misuse],""))</f>
        <v/>
      </c>
      <c r="FZ315" s="44" t="str">
        <f>IF(Table1[Date of Initial Assessment]="","",IF(AND(Table1[Start Date]&gt;42460,Table1[Start Date]&lt;42826),Table1[Physical Health],""))</f>
        <v/>
      </c>
      <c r="GA315" s="44" t="str">
        <f>IF(Table1[Date of Initial Assessment]="","",IF(AND(Table1[Start Date]&gt;42460,Table1[Start Date]&lt;42826),Table1[Emotional and Mental Health],""))</f>
        <v/>
      </c>
      <c r="GB315" s="44" t="str">
        <f>IF(Table1[Date of Initial Assessment]="","",IF(AND(Table1[Start Date]&gt;42460,Table1[Start Date]&lt;42826),Table1[Meaningful Use of Time],""))</f>
        <v/>
      </c>
      <c r="GC315" s="44" t="str">
        <f>IF(Table1[Date of Initial Assessment]="","",IF(AND(Table1[Start Date]&gt;42460,Table1[Start Date]&lt;42826),Table1[Managing Tenancy and Accommodation],""))</f>
        <v/>
      </c>
      <c r="GD315" s="44" t="str">
        <f>IF(Table1[Date of Initial Assessment]="","",IF(AND(Table1[Start Date]&gt;42460,Table1[Start Date]&lt;42826),Table1[Offending],""))</f>
        <v/>
      </c>
      <c r="GE315" s="44" t="str">
        <f>IF(Table1[Leaving Date]="","",IF(AND(Table1[Leaving Date]&gt;42460,Table1[Leaving Date]&lt;42826),IF(Table1[Date of Last Assessment]="",Table1[Motivation and Taking Responsibility],Table1[Motivation and Taking Responsibility2]),""))</f>
        <v/>
      </c>
      <c r="GF315" s="44" t="str">
        <f>IF(Table1[Leaving Date]="","",IF(AND(Table1[Leaving Date]&gt;42460,Table1[Leaving Date]&lt;42826),IF(Table1[Date of Last Assessment]="",Table1[Self-Care and Living Skills],Table1[Self-Care and Living Skills2]),""))</f>
        <v/>
      </c>
      <c r="GG315" s="44" t="str">
        <f>IF(Table1[Leaving Date]="","",IF(AND(Table1[Leaving Date]&gt;42460,Table1[Leaving Date]&lt;42826),IF(Table1[Date of Last Assessment]="",Table1[Managing Money and Personal Administration],Table1[Managing Money and Personal Administration2]),""))</f>
        <v/>
      </c>
      <c r="GH315" s="44" t="str">
        <f>IF(Table1[Leaving Date]="","",IF(AND(Table1[Leaving Date]&gt;42460,Table1[Leaving Date]&lt;42826),IF(Table1[Date of Last Assessment]="",Table1[Social Networks and Relationships],Table1[Social Networks and Relationships2]),""))</f>
        <v/>
      </c>
      <c r="GI315" s="44" t="str">
        <f>IF(Table1[Leaving Date]="","",IF(AND(Table1[Leaving Date]&gt;42460,Table1[Leaving Date]&lt;42826),IF(Table1[Date of Last Assessment]="",Table1[Drug and Alcohol Misuse],Table1[Drug and Alcohol Misuse2]),""))</f>
        <v/>
      </c>
      <c r="GJ315" s="44" t="str">
        <f>IF(Table1[Leaving Date]="","",IF(AND(Table1[Leaving Date]&gt;42460,Table1[Leaving Date]&lt;42826),IF(Table1[Date of Last Assessment]="",Table1[Physical Health],Table1[Physical Health2]),""))</f>
        <v/>
      </c>
      <c r="GK315" s="44" t="str">
        <f>IF(Table1[Leaving Date]="","",IF(AND(Table1[Leaving Date]&gt;42460,Table1[Leaving Date]&lt;42826),IF(Table1[Date of Last Assessment]="",Table1[Emotional and Mental Health],Table1[Emotional and Mental Health2]),""))</f>
        <v/>
      </c>
      <c r="GL315" s="44" t="str">
        <f>IF(Table1[Leaving Date]="","",IF(AND(Table1[Leaving Date]&gt;42460,Table1[Leaving Date]&lt;42826),IF(Table1[Date of Last Assessment]="",Table1[Meaningful Use of Time],Table1[Meaningful Use of Time2]),""))</f>
        <v/>
      </c>
      <c r="GM315" s="44" t="str">
        <f>IF(Table1[Leaving Date]="","",IF(AND(Table1[Leaving Date]&gt;42460,Table1[Leaving Date]&lt;42826),IF(Table1[Date of Last Assessment]="",Table1[Managing Tenancy and Accommodation],Table1[Managing Tenancy and Accommodation2]),""))</f>
        <v/>
      </c>
      <c r="GN315" s="44" t="str">
        <f>IF(Table1[Leaving Date]="","",IF(AND(Table1[Leaving Date]&gt;42460,Table1[Leaving Date]&lt;42826),IF(Table1[Date of Last Assessment]="",Table1[Offending],Table1[Offending2]),""))</f>
        <v/>
      </c>
    </row>
    <row r="316" spans="2:196" ht="20.100000000000001" customHeight="1" x14ac:dyDescent="0.2">
      <c r="B316" s="86">
        <f>+'Service Data'!$C$5:$C$5</f>
        <v>0</v>
      </c>
      <c r="C316" s="86"/>
      <c r="D316" s="86"/>
      <c r="E316" s="86"/>
      <c r="F316" s="86"/>
      <c r="G316" s="86"/>
      <c r="H316" s="6"/>
      <c r="I316" s="99" t="str">
        <f ca="1">IF(Table1[[#This Row],[Date of Birth]]="","",SUM(TODAY()-Table1[[#This Row],[Date of Birth]])/365)</f>
        <v/>
      </c>
      <c r="L316" s="86"/>
      <c r="M316" s="77"/>
      <c r="N316" s="86"/>
      <c r="O316" s="86"/>
      <c r="P316" s="91"/>
      <c r="Q316" s="86"/>
      <c r="R316" s="77"/>
      <c r="S316" s="77"/>
      <c r="T316" s="68"/>
      <c r="U316" s="68"/>
      <c r="V316" s="67"/>
      <c r="W316" s="67"/>
      <c r="X316" s="67"/>
      <c r="Y316" s="67"/>
      <c r="Z316" s="67"/>
      <c r="AA316" s="67"/>
      <c r="AB316" s="67"/>
      <c r="AC316" s="67"/>
      <c r="AD316" s="67"/>
      <c r="AE316" s="67"/>
      <c r="AF316" s="67"/>
      <c r="AG316" s="67"/>
      <c r="AH316" s="67"/>
      <c r="AI316" s="67"/>
      <c r="AJ316" s="67"/>
      <c r="AK316" s="67"/>
      <c r="AL316" s="67"/>
      <c r="AM316" s="67"/>
      <c r="AN316" s="77"/>
      <c r="AO316" s="76"/>
      <c r="AP316" s="77"/>
      <c r="AQ316" s="76"/>
      <c r="AR316" s="76"/>
      <c r="AS316" s="76"/>
      <c r="AT316" s="76"/>
      <c r="AU316" s="76"/>
      <c r="AV316" s="77"/>
      <c r="AW316" s="76"/>
      <c r="AX316" s="77"/>
      <c r="AY316" s="76"/>
      <c r="AZ316" s="76"/>
      <c r="BA316" s="76"/>
      <c r="BB316" s="76"/>
      <c r="BC316" s="76"/>
      <c r="BD316" s="77"/>
      <c r="BE316" s="76"/>
      <c r="BF316" s="77"/>
      <c r="BG316" s="76"/>
      <c r="BH316" s="76"/>
      <c r="BI316" s="76"/>
      <c r="BJ316" s="76"/>
      <c r="BK316" s="76"/>
      <c r="BL316" s="77"/>
      <c r="BM316" s="76"/>
      <c r="BN316" s="77"/>
      <c r="BO316" s="76"/>
      <c r="BP316" s="76"/>
      <c r="BQ316" s="76"/>
      <c r="BR316" s="76"/>
      <c r="BS316" s="76"/>
      <c r="BT316" s="77"/>
      <c r="BU316" s="76"/>
      <c r="BV316" s="77"/>
      <c r="BW316" s="76"/>
      <c r="BX316" s="76"/>
      <c r="BY316" s="76"/>
      <c r="BZ316" s="76"/>
      <c r="CA316" s="76"/>
      <c r="CB316" s="77"/>
      <c r="CC316" s="76"/>
      <c r="CD316" s="77"/>
      <c r="CE316" s="76"/>
      <c r="CF316" s="76"/>
      <c r="CG316" s="76"/>
      <c r="CH316" s="76"/>
      <c r="CI316" s="76"/>
      <c r="CJ316" s="77"/>
      <c r="CK316" s="76"/>
      <c r="CL316" s="77"/>
      <c r="CM316" s="76"/>
      <c r="CN316" s="76"/>
      <c r="CO316" s="76"/>
      <c r="CP316" s="76"/>
      <c r="CQ316" s="76"/>
      <c r="CR316" s="78" t="str">
        <f t="shared" si="79"/>
        <v/>
      </c>
      <c r="CS316" s="79" t="str">
        <f t="shared" si="80"/>
        <v/>
      </c>
      <c r="CT316" s="79" t="str">
        <f t="shared" si="81"/>
        <v/>
      </c>
      <c r="CU316" s="79" t="str">
        <f t="shared" si="82"/>
        <v/>
      </c>
      <c r="CV316" s="79" t="str">
        <f t="shared" si="83"/>
        <v/>
      </c>
      <c r="CW316" s="79" t="str">
        <f t="shared" si="84"/>
        <v/>
      </c>
      <c r="CX316" s="79" t="str">
        <f t="shared" si="85"/>
        <v/>
      </c>
      <c r="CY316" s="79" t="str">
        <f t="shared" si="86"/>
        <v/>
      </c>
      <c r="CZ316" s="79" t="str">
        <f t="shared" si="87"/>
        <v/>
      </c>
      <c r="DA316" s="79" t="str">
        <f t="shared" si="88"/>
        <v/>
      </c>
      <c r="DB316" s="79" t="str">
        <f t="shared" si="89"/>
        <v/>
      </c>
      <c r="DC316" s="79" t="str">
        <f t="shared" si="90"/>
        <v/>
      </c>
      <c r="DD316" s="79" t="str">
        <f t="shared" si="91"/>
        <v/>
      </c>
      <c r="DE316" s="79" t="str">
        <f t="shared" si="92"/>
        <v/>
      </c>
      <c r="DF316" s="79" t="str">
        <f t="shared" si="93"/>
        <v/>
      </c>
      <c r="DG316" s="79" t="str">
        <f t="shared" si="94"/>
        <v/>
      </c>
      <c r="DH316" s="76"/>
      <c r="DI316" s="78"/>
      <c r="DJ316" s="76"/>
      <c r="DK316" s="77"/>
      <c r="DL316" s="77"/>
      <c r="DM316" s="77"/>
      <c r="DN316" s="80"/>
      <c r="DO316" s="80"/>
      <c r="DP316" s="92" t="str">
        <f>IF(Table1[Start Date]="","",IF(Table1[Start Date]&gt;42185,"",IF(AND(Table1[Leaving Date]&gt;1,Table1[Leaving Date]&lt;42095),"",1)))</f>
        <v/>
      </c>
      <c r="DQ316" s="92" t="str">
        <f>IF(Table1[Start Date]="","",IF(Table1[Start Date]&gt;42277,"",IF(AND(Table1[Leaving Date]&gt;1,Table1[Leaving Date]&lt;42186),"",1)))</f>
        <v/>
      </c>
      <c r="DR316" s="92" t="str">
        <f>IF(Table1[Start Date]="","",IF(Table1[Start Date]&gt;42369,"",IF(AND(Table1[Leaving Date]&gt;1,Table1[Leaving Date]&lt;42278),"",1)))</f>
        <v/>
      </c>
      <c r="DS316" s="92" t="str">
        <f>IF(Table1[Start Date]="","",IF(Table1[Start Date]&gt;42460,"",IF(AND(Table1[Leaving Date]&gt;1,Table1[Leaving Date]&lt;42370),"",1)))</f>
        <v/>
      </c>
      <c r="DT316" s="92" t="str">
        <f>IF(Table1[Start Date]="","",IF(Table1[Start Date]&gt;42551,"",IF(AND(Table1[Leaving Date]&gt;1,Table1[Leaving Date]&lt;42461),"",1)))</f>
        <v/>
      </c>
      <c r="DU316" s="92" t="str">
        <f>IF(Table1[Start Date]="","",IF(Table1[Start Date]&gt;42643,"",IF(AND(Table1[Leaving Date]&gt;1,Table1[Leaving Date]&lt;42552),"",1)))</f>
        <v/>
      </c>
      <c r="DV316" s="92" t="str">
        <f>IF(Table1[Start Date]="","",IF(Table1[Start Date]&gt;42735,"",IF(AND(Table1[Leaving Date]&gt;1,Table1[Leaving Date]&lt;42644),"",1)))</f>
        <v/>
      </c>
      <c r="DW316" s="92" t="str">
        <f>IF(Table1[Start Date]="","",IF(Table1[Start Date]&gt;42825,"",IF(AND(Table1[Leaving Date]&gt;1,Table1[Leaving Date]&lt;42736),"",1)))</f>
        <v/>
      </c>
      <c r="DX316"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316" s="44" t="e">
        <f>VLOOKUP(Table1[Referral Source],Lists!$G$2:$H$20,2,FALSE)</f>
        <v>#N/A</v>
      </c>
      <c r="DZ316" s="93" t="e">
        <f>SUM(Table1[Data Referral Quarter]+Table1[Data Referral Source])</f>
        <v>#N/A</v>
      </c>
      <c r="EA316" s="44" t="b">
        <f>IF(Table1[Referral Decision]="Accepted",100,IF(Table1[Referral Decision]="Rejected by Provider",200,IF(Table1[Referral Decision]="Rejected by Applicant",300)))</f>
        <v>0</v>
      </c>
      <c r="EB316" s="44">
        <f>SUM(Table1[Data Referral Quarter]+Table1[Data Referral Decision])</f>
        <v>0</v>
      </c>
      <c r="EC316" s="44" t="b">
        <f>IF(Table1[Start Date]&gt;42735,8000,IF(Table1[Start Date]&gt;42643,7000,IF(Table1[Start Date]&gt;42551,6000,IF(Table1[Start Date]&gt;42460,5000,IF(Table1[Start Date]&gt;42369,4000,IF(Table1[Start Date]&gt;42277,3000,IF(Table1[Start Date]&gt;42185,2000,IF(Table1[Start Date]&gt;42094,1000))))))))</f>
        <v>0</v>
      </c>
      <c r="ED316" s="44" t="str">
        <f>IF(Table1[Start Date]="","",IF(Table1[Current Local Authority]="Swindon",1,"2"))</f>
        <v/>
      </c>
      <c r="EE316" s="44" t="e">
        <f>SUM(Table1[Data Start Date]+Table1[Data Local Authority])</f>
        <v>#VALUE!</v>
      </c>
      <c r="EF316" s="44">
        <f>IF(Table1[Registered with GP]="Yes",1,0)</f>
        <v>0</v>
      </c>
      <c r="EG316" s="44">
        <f>SUM(Table1[Data Start Date]+Table1[Data GP Start])</f>
        <v>0</v>
      </c>
      <c r="EH316" s="44" t="str">
        <f>IF(Table1[EET]="NEET",1,IF(Table1[EET]="Education",2,IF(Table1[EET]="Employment",2,IF(Table1[EET]="Training",2,IF(Table1[EET]="Retired",3,"")))))</f>
        <v/>
      </c>
      <c r="EI316" s="44" t="e">
        <f>Table1[Data Start Date]+Table1[Data EET Start]</f>
        <v>#VALUE!</v>
      </c>
      <c r="EJ316" s="44" t="b">
        <f>IF(Table1[Leaving Date]&gt;42735,8000,IF(Table1[Leaving Date]&gt;42643,7000,IF(Table1[Leaving Date]&gt;42551,6000,IF(Table1[Leaving Date]&gt;42460,5000,IF(Table1[Leaving Date]&gt;42369,4000,IF(Table1[Leaving Date]&gt;42277,3000,IF(Table1[Leaving Date]&gt;42185,2000,IF(Table1[Leaving Date]&gt;42094,1000))))))))</f>
        <v>0</v>
      </c>
      <c r="EK316" s="44" t="e">
        <f>VLOOKUP(Table1[Reason for Leaving],Lists!$T$2:$U$15,2,FALSE)</f>
        <v>#N/A</v>
      </c>
      <c r="EL316" s="44" t="e">
        <f>SUM(Table1[Data Leavers Date]+Table1[Data Move On])</f>
        <v>#N/A</v>
      </c>
      <c r="EM316" s="44" t="b">
        <f>IF(Table1[Registered with GP2]="Yes",1,IF(Table1[Registered with GP2]="No",0,IF(Table1[Registered with GP]="Yes",1,IF(Table1[Registered with GP]="No",0))))</f>
        <v>0</v>
      </c>
      <c r="EN316" s="44">
        <f>SUM(Table1[Data Leavers Date]+Table1[Data GP End])</f>
        <v>0</v>
      </c>
      <c r="EO316" s="44" t="str">
        <f>IF(Table1[EET2]="NEET",1,IF(Table1[EET2]="Employment",2,IF(Table1[EET2]="Education",2,IF(Table1[EET2]="Training",2,IF(Table1[EET2]="Retired",3,IF(Table1[EET]="NEET",1,IF(Table1[EET]="Employment",2,IF(Table1[EET]="Education",2,IF(Table1[EET]="Training",2,IF(Table1[EET]="Retired",3,""))))))))))</f>
        <v/>
      </c>
      <c r="EP316" s="44" t="e">
        <f>+Table1[[#This Row],[Data Leavers Date]]+Table1[[#This Row],[Data EET End]]</f>
        <v>#VALUE!</v>
      </c>
      <c r="EQ316" s="44">
        <f>IF(Table1[Exit Form Received]="Yes",1,0)</f>
        <v>0</v>
      </c>
      <c r="ER316" s="44">
        <f>+Table1[[#This Row],[Data Leavers Date]]+Table1[[#This Row],[Data Exit Forms]]</f>
        <v>0</v>
      </c>
      <c r="ES316" s="44" t="str">
        <f>IF(Table1[Data Leavers Date]=1000,SUM(Table1[Leaving Date]-Table1[Start Date]),"")</f>
        <v/>
      </c>
      <c r="ET316" s="44" t="str">
        <f>IF(Table1[Data Leavers Date]=2000,SUM(Table1[Leaving Date]-Table1[Start Date]),"")</f>
        <v/>
      </c>
      <c r="EU316" s="44" t="str">
        <f>IF(Table1[Data Leavers Date]=3000,SUM(Table1[Leaving Date]-Table1[Start Date]),"")</f>
        <v/>
      </c>
      <c r="EV316" s="44" t="str">
        <f>IF(Table1[Data Leavers Date]=4000,SUM(Table1[Leaving Date]-Table1[Start Date]),"")</f>
        <v/>
      </c>
      <c r="EW316" s="44" t="str">
        <f>IF(Table1[Data Leavers Date]=5000,SUM(Table1[Leaving Date]-Table1[Start Date]),"")</f>
        <v/>
      </c>
      <c r="EX316" s="44" t="str">
        <f>IF(Table1[Data Leavers Date]=6000,SUM(Table1[Leaving Date]-Table1[Start Date]),"")</f>
        <v/>
      </c>
      <c r="EY316" s="44" t="str">
        <f>IF(Table1[Data Leavers Date]=7000,SUM(Table1[Leaving Date]-Table1[Start Date]),"")</f>
        <v/>
      </c>
      <c r="EZ316" s="44" t="str">
        <f>IF(Table1[Data Leavers Date]=8000,SUM(Table1[Leaving Date]-Table1[Start Date]),"")</f>
        <v/>
      </c>
      <c r="FA316" s="44" t="str">
        <f>IF(Table1[Date of Initial Assessment]="","",IF(AND(Table1[Start Date]&gt;42094,Table1[Start Date]&lt;42461),Table1[Motivation and Taking Responsibility],""))</f>
        <v/>
      </c>
      <c r="FB316" s="44" t="str">
        <f>IF(Table1[Date of Initial Assessment]="","",IF(AND(Table1[Start Date]&gt;42094,Table1[Start Date]&lt;42461),Table1[Self-Care and Living Skills],""))</f>
        <v/>
      </c>
      <c r="FC316" s="44" t="str">
        <f>IF(Table1[Date of Initial Assessment]="","",IF(AND(Table1[Start Date]&gt;42094,Table1[Start Date]&lt;42461),Table1[Managing Money and Personal Administration],""))</f>
        <v/>
      </c>
      <c r="FD316" s="44" t="str">
        <f>IF(Table1[Date of Initial Assessment]="","",IF(AND(Table1[Start Date]&gt;42094,Table1[Start Date]&lt;42461),Table1[Social Networks and Relationships],""))</f>
        <v/>
      </c>
      <c r="FE316" s="44" t="str">
        <f>IF(Table1[Date of Initial Assessment]="","",IF(AND(Table1[Start Date]&gt;42094,Table1[Start Date]&lt;42461),Table1[Drug and Alcohol Misuse],""))</f>
        <v/>
      </c>
      <c r="FF316" s="44" t="str">
        <f>IF(Table1[Date of Initial Assessment]="","",IF(AND(Table1[Start Date]&gt;42094,Table1[Start Date]&lt;42461),Table1[Physical Health],""))</f>
        <v/>
      </c>
      <c r="FG316" s="44" t="str">
        <f>IF(Table1[Date of Initial Assessment]="","",IF(AND(Table1[Start Date]&gt;42094,Table1[Start Date]&lt;42461),Table1[Emotional and Mental Health],""))</f>
        <v/>
      </c>
      <c r="FH316" s="44" t="str">
        <f>IF(Table1[Date of Initial Assessment]="","",IF(AND(Table1[Start Date]&gt;42094,Table1[Start Date]&lt;42461),Table1[Meaningful Use of Time],""))</f>
        <v/>
      </c>
      <c r="FI316" s="44" t="str">
        <f>IF(Table1[Date of Initial Assessment]="","",IF(AND(Table1[Start Date]&gt;42094,Table1[Start Date]&lt;42461),Table1[Managing Tenancy and Accommodation],""))</f>
        <v/>
      </c>
      <c r="FJ316" s="44" t="str">
        <f>IF(Table1[Date of Initial Assessment]="","",IF(AND(Table1[Start Date]&gt;42094,Table1[Start Date]&lt;42461),Table1[Offending],""))</f>
        <v/>
      </c>
      <c r="FK316" s="44" t="str">
        <f>IF(Table1[Leaving Date]="","",IF(Table1[Date of Initial Assessment]="","",IF(AND(Table1[Leaving Date]&gt;42094,Table1[Leaving Date]&lt;42461),IF(Table1[Date of Last Assessment]="",Table1[Motivation and Taking Responsibility],Table1[Motivation and Taking Responsibility2]),"")))</f>
        <v/>
      </c>
      <c r="FL316" s="44" t="str">
        <f>IF(Table1[Leaving Date]="","",IF(Table1[Date of Initial Assessment]="","",IF(AND(Table1[Leaving Date]&gt;42094,Table1[Leaving Date]&lt;42461),IF(Table1[Date of Last Assessment]="",Table1[Self-Care and Living Skills],Table1[Self-Care and Living Skills2]),"")))</f>
        <v/>
      </c>
      <c r="FM316" s="44" t="str">
        <f>IF(Table1[Leaving Date]="","",IF(Table1[Date of Initial Assessment]="","",IF(AND(Table1[Leaving Date]&gt;42094,Table1[Leaving Date]&lt;42461),IF(Table1[Date of Last Assessment]="",Table1[Managing Money and Personal Administration],Table1[Managing Money and Personal Administration2]),"")))</f>
        <v/>
      </c>
      <c r="FN316" s="44" t="str">
        <f>IF(Table1[Leaving Date]="","",IF(Table1[Date of Initial Assessment]="","",IF(AND(Table1[Leaving Date]&gt;42094,Table1[Leaving Date]&lt;42461),IF(Table1[Date of Last Assessment]="",Table1[Social Networks and Relationships],Table1[Social Networks and Relationships2]),"")))</f>
        <v/>
      </c>
      <c r="FO316" s="44" t="str">
        <f>IF(Table1[Leaving Date]="","",IF(Table1[Date of Initial Assessment]="","",IF(AND(Table1[Leaving Date]&gt;42094,Table1[Leaving Date]&lt;42461),IF(Table1[Date of Last Assessment]="",Table1[Drug and Alcohol Misuse],Table1[Drug and Alcohol Misuse2]),"")))</f>
        <v/>
      </c>
      <c r="FP316" s="44" t="str">
        <f>IF(Table1[Leaving Date]="","",IF(Table1[Date of Initial Assessment]="","",IF(AND(Table1[Leaving Date]&gt;42094,Table1[Leaving Date]&lt;42461),IF(Table1[Date of Last Assessment]="",Table1[Physical Health],Table1[Physical Health2]),"")))</f>
        <v/>
      </c>
      <c r="FQ316" s="44" t="str">
        <f>IF(Table1[Leaving Date]="","",IF(Table1[Date of Initial Assessment]="","",IF(AND(Table1[Leaving Date]&gt;42094,Table1[Leaving Date]&lt;42461),IF(Table1[Date of Last Assessment]="",Table1[Emotional and Mental Health],Table1[Emotional and Mental Health2]),"")))</f>
        <v/>
      </c>
      <c r="FR316" s="44" t="str">
        <f>IF(Table1[Leaving Date]="","",IF(Table1[Date of Initial Assessment]="","",IF(AND(Table1[Leaving Date]&gt;42094,Table1[Leaving Date]&lt;42461),IF(Table1[Date of Last Assessment]="",Table1[Meaningful Use of Time],Table1[Meaningful Use of Time2]),"")))</f>
        <v/>
      </c>
      <c r="FS316" s="44" t="str">
        <f>IF(Table1[Leaving Date]="","",IF(Table1[Date of Initial Assessment]="","",IF(AND(Table1[Leaving Date]&gt;42094,Table1[Leaving Date]&lt;42461),IF(Table1[Date of Last Assessment]="",Table1[Managing Tenancy and Accommodation],Table1[Managing Tenancy and Accommodation2]),"")))</f>
        <v/>
      </c>
      <c r="FT316" s="44" t="str">
        <f>IF(Table1[Leaving Date]="","",IF(Table1[Date of Initial Assessment]="","",IF(AND(Table1[Leaving Date]&gt;42094,Table1[Leaving Date]&lt;42461),IF(Table1[Date of Last Assessment]="",Table1[Offending],Table1[Offending2]),"")))</f>
        <v/>
      </c>
      <c r="FU316" s="44" t="str">
        <f>IF(Table1[Date of Initial Assessment]="","",IF(AND(Table1[Start Date]&gt;42460,Table1[Start Date]&lt;42826),Table1[Motivation and Taking Responsibility],""))</f>
        <v/>
      </c>
      <c r="FV316" s="44" t="str">
        <f>IF(Table1[Date of Initial Assessment]="","",IF(AND(Table1[Start Date]&gt;42460,Table1[Start Date]&lt;42826),Table1[Self-Care and Living Skills],""))</f>
        <v/>
      </c>
      <c r="FW316" s="44" t="str">
        <f>IF(Table1[Date of Initial Assessment]="","",IF(AND(Table1[Start Date]&gt;42460,Table1[Start Date]&lt;42826),Table1[Managing Money and Personal Administration],""))</f>
        <v/>
      </c>
      <c r="FX316" s="44" t="str">
        <f>IF(Table1[Date of Initial Assessment]="","",IF(AND(Table1[Start Date]&gt;42460,Table1[Start Date]&lt;42826),Table1[Social Networks and Relationships],""))</f>
        <v/>
      </c>
      <c r="FY316" s="44" t="str">
        <f>IF(Table1[Date of Initial Assessment]="","",IF(AND(Table1[Start Date]&gt;42460,Table1[Start Date]&lt;42826),Table1[Drug and Alcohol Misuse],""))</f>
        <v/>
      </c>
      <c r="FZ316" s="44" t="str">
        <f>IF(Table1[Date of Initial Assessment]="","",IF(AND(Table1[Start Date]&gt;42460,Table1[Start Date]&lt;42826),Table1[Physical Health],""))</f>
        <v/>
      </c>
      <c r="GA316" s="44" t="str">
        <f>IF(Table1[Date of Initial Assessment]="","",IF(AND(Table1[Start Date]&gt;42460,Table1[Start Date]&lt;42826),Table1[Emotional and Mental Health],""))</f>
        <v/>
      </c>
      <c r="GB316" s="44" t="str">
        <f>IF(Table1[Date of Initial Assessment]="","",IF(AND(Table1[Start Date]&gt;42460,Table1[Start Date]&lt;42826),Table1[Meaningful Use of Time],""))</f>
        <v/>
      </c>
      <c r="GC316" s="44" t="str">
        <f>IF(Table1[Date of Initial Assessment]="","",IF(AND(Table1[Start Date]&gt;42460,Table1[Start Date]&lt;42826),Table1[Managing Tenancy and Accommodation],""))</f>
        <v/>
      </c>
      <c r="GD316" s="44" t="str">
        <f>IF(Table1[Date of Initial Assessment]="","",IF(AND(Table1[Start Date]&gt;42460,Table1[Start Date]&lt;42826),Table1[Offending],""))</f>
        <v/>
      </c>
      <c r="GE316" s="44" t="str">
        <f>IF(Table1[Leaving Date]="","",IF(AND(Table1[Leaving Date]&gt;42460,Table1[Leaving Date]&lt;42826),IF(Table1[Date of Last Assessment]="",Table1[Motivation and Taking Responsibility],Table1[Motivation and Taking Responsibility2]),""))</f>
        <v/>
      </c>
      <c r="GF316" s="44" t="str">
        <f>IF(Table1[Leaving Date]="","",IF(AND(Table1[Leaving Date]&gt;42460,Table1[Leaving Date]&lt;42826),IF(Table1[Date of Last Assessment]="",Table1[Self-Care and Living Skills],Table1[Self-Care and Living Skills2]),""))</f>
        <v/>
      </c>
      <c r="GG316" s="44" t="str">
        <f>IF(Table1[Leaving Date]="","",IF(AND(Table1[Leaving Date]&gt;42460,Table1[Leaving Date]&lt;42826),IF(Table1[Date of Last Assessment]="",Table1[Managing Money and Personal Administration],Table1[Managing Money and Personal Administration2]),""))</f>
        <v/>
      </c>
      <c r="GH316" s="44" t="str">
        <f>IF(Table1[Leaving Date]="","",IF(AND(Table1[Leaving Date]&gt;42460,Table1[Leaving Date]&lt;42826),IF(Table1[Date of Last Assessment]="",Table1[Social Networks and Relationships],Table1[Social Networks and Relationships2]),""))</f>
        <v/>
      </c>
      <c r="GI316" s="44" t="str">
        <f>IF(Table1[Leaving Date]="","",IF(AND(Table1[Leaving Date]&gt;42460,Table1[Leaving Date]&lt;42826),IF(Table1[Date of Last Assessment]="",Table1[Drug and Alcohol Misuse],Table1[Drug and Alcohol Misuse2]),""))</f>
        <v/>
      </c>
      <c r="GJ316" s="44" t="str">
        <f>IF(Table1[Leaving Date]="","",IF(AND(Table1[Leaving Date]&gt;42460,Table1[Leaving Date]&lt;42826),IF(Table1[Date of Last Assessment]="",Table1[Physical Health],Table1[Physical Health2]),""))</f>
        <v/>
      </c>
      <c r="GK316" s="44" t="str">
        <f>IF(Table1[Leaving Date]="","",IF(AND(Table1[Leaving Date]&gt;42460,Table1[Leaving Date]&lt;42826),IF(Table1[Date of Last Assessment]="",Table1[Emotional and Mental Health],Table1[Emotional and Mental Health2]),""))</f>
        <v/>
      </c>
      <c r="GL316" s="44" t="str">
        <f>IF(Table1[Leaving Date]="","",IF(AND(Table1[Leaving Date]&gt;42460,Table1[Leaving Date]&lt;42826),IF(Table1[Date of Last Assessment]="",Table1[Meaningful Use of Time],Table1[Meaningful Use of Time2]),""))</f>
        <v/>
      </c>
      <c r="GM316" s="44" t="str">
        <f>IF(Table1[Leaving Date]="","",IF(AND(Table1[Leaving Date]&gt;42460,Table1[Leaving Date]&lt;42826),IF(Table1[Date of Last Assessment]="",Table1[Managing Tenancy and Accommodation],Table1[Managing Tenancy and Accommodation2]),""))</f>
        <v/>
      </c>
      <c r="GN316" s="44" t="str">
        <f>IF(Table1[Leaving Date]="","",IF(AND(Table1[Leaving Date]&gt;42460,Table1[Leaving Date]&lt;42826),IF(Table1[Date of Last Assessment]="",Table1[Offending],Table1[Offending2]),""))</f>
        <v/>
      </c>
    </row>
    <row r="317" spans="2:196" ht="20.100000000000001" customHeight="1" x14ac:dyDescent="0.2">
      <c r="B317" s="86">
        <f>+'Service Data'!$C$5:$C$5</f>
        <v>0</v>
      </c>
      <c r="C317" s="86"/>
      <c r="D317" s="86"/>
      <c r="E317" s="86"/>
      <c r="F317" s="86"/>
      <c r="G317" s="86"/>
      <c r="H317" s="6"/>
      <c r="I317" s="99" t="str">
        <f ca="1">IF(Table1[[#This Row],[Date of Birth]]="","",SUM(TODAY()-Table1[[#This Row],[Date of Birth]])/365)</f>
        <v/>
      </c>
      <c r="L317" s="86"/>
      <c r="M317" s="77"/>
      <c r="N317" s="86"/>
      <c r="O317" s="86"/>
      <c r="P317" s="91"/>
      <c r="Q317" s="86"/>
      <c r="R317" s="77"/>
      <c r="S317" s="77"/>
      <c r="T317" s="68"/>
      <c r="U317" s="68"/>
      <c r="V317" s="67"/>
      <c r="W317" s="67"/>
      <c r="X317" s="67"/>
      <c r="Y317" s="67"/>
      <c r="Z317" s="67"/>
      <c r="AA317" s="67"/>
      <c r="AB317" s="67"/>
      <c r="AC317" s="67"/>
      <c r="AD317" s="67"/>
      <c r="AE317" s="67"/>
      <c r="AF317" s="67"/>
      <c r="AG317" s="67"/>
      <c r="AH317" s="67"/>
      <c r="AI317" s="67"/>
      <c r="AJ317" s="67"/>
      <c r="AK317" s="67"/>
      <c r="AL317" s="67"/>
      <c r="AM317" s="67"/>
      <c r="AN317" s="77"/>
      <c r="AO317" s="76"/>
      <c r="AP317" s="77"/>
      <c r="AQ317" s="76"/>
      <c r="AR317" s="76"/>
      <c r="AS317" s="76"/>
      <c r="AT317" s="76"/>
      <c r="AU317" s="76"/>
      <c r="AV317" s="77"/>
      <c r="AW317" s="76"/>
      <c r="AX317" s="77"/>
      <c r="AY317" s="76"/>
      <c r="AZ317" s="76"/>
      <c r="BA317" s="76"/>
      <c r="BB317" s="76"/>
      <c r="BC317" s="76"/>
      <c r="BD317" s="77"/>
      <c r="BE317" s="76"/>
      <c r="BF317" s="77"/>
      <c r="BG317" s="76"/>
      <c r="BH317" s="76"/>
      <c r="BI317" s="76"/>
      <c r="BJ317" s="76"/>
      <c r="BK317" s="76"/>
      <c r="BL317" s="77"/>
      <c r="BM317" s="76"/>
      <c r="BN317" s="77"/>
      <c r="BO317" s="76"/>
      <c r="BP317" s="76"/>
      <c r="BQ317" s="76"/>
      <c r="BR317" s="76"/>
      <c r="BS317" s="76"/>
      <c r="BT317" s="77"/>
      <c r="BU317" s="76"/>
      <c r="BV317" s="77"/>
      <c r="BW317" s="76"/>
      <c r="BX317" s="76"/>
      <c r="BY317" s="76"/>
      <c r="BZ317" s="76"/>
      <c r="CA317" s="76"/>
      <c r="CB317" s="77"/>
      <c r="CC317" s="76"/>
      <c r="CD317" s="77"/>
      <c r="CE317" s="76"/>
      <c r="CF317" s="76"/>
      <c r="CG317" s="76"/>
      <c r="CH317" s="76"/>
      <c r="CI317" s="76"/>
      <c r="CJ317" s="77"/>
      <c r="CK317" s="76"/>
      <c r="CL317" s="77"/>
      <c r="CM317" s="76"/>
      <c r="CN317" s="76"/>
      <c r="CO317" s="76"/>
      <c r="CP317" s="76"/>
      <c r="CQ317" s="76"/>
      <c r="CR317" s="78" t="str">
        <f t="shared" si="79"/>
        <v/>
      </c>
      <c r="CS317" s="79" t="str">
        <f t="shared" si="80"/>
        <v/>
      </c>
      <c r="CT317" s="79" t="str">
        <f t="shared" si="81"/>
        <v/>
      </c>
      <c r="CU317" s="79" t="str">
        <f t="shared" si="82"/>
        <v/>
      </c>
      <c r="CV317" s="79" t="str">
        <f t="shared" si="83"/>
        <v/>
      </c>
      <c r="CW317" s="79" t="str">
        <f t="shared" si="84"/>
        <v/>
      </c>
      <c r="CX317" s="79" t="str">
        <f t="shared" si="85"/>
        <v/>
      </c>
      <c r="CY317" s="79" t="str">
        <f t="shared" si="86"/>
        <v/>
      </c>
      <c r="CZ317" s="79" t="str">
        <f t="shared" si="87"/>
        <v/>
      </c>
      <c r="DA317" s="79" t="str">
        <f t="shared" si="88"/>
        <v/>
      </c>
      <c r="DB317" s="79" t="str">
        <f t="shared" si="89"/>
        <v/>
      </c>
      <c r="DC317" s="79" t="str">
        <f t="shared" si="90"/>
        <v/>
      </c>
      <c r="DD317" s="79" t="str">
        <f t="shared" si="91"/>
        <v/>
      </c>
      <c r="DE317" s="79" t="str">
        <f t="shared" si="92"/>
        <v/>
      </c>
      <c r="DF317" s="79" t="str">
        <f t="shared" si="93"/>
        <v/>
      </c>
      <c r="DG317" s="79" t="str">
        <f t="shared" si="94"/>
        <v/>
      </c>
      <c r="DH317" s="76"/>
      <c r="DI317" s="78"/>
      <c r="DJ317" s="76"/>
      <c r="DK317" s="77"/>
      <c r="DL317" s="77"/>
      <c r="DM317" s="77"/>
      <c r="DN317" s="80"/>
      <c r="DO317" s="80"/>
      <c r="DP317" s="92" t="str">
        <f>IF(Table1[Start Date]="","",IF(Table1[Start Date]&gt;42185,"",IF(AND(Table1[Leaving Date]&gt;1,Table1[Leaving Date]&lt;42095),"",1)))</f>
        <v/>
      </c>
      <c r="DQ317" s="92" t="str">
        <f>IF(Table1[Start Date]="","",IF(Table1[Start Date]&gt;42277,"",IF(AND(Table1[Leaving Date]&gt;1,Table1[Leaving Date]&lt;42186),"",1)))</f>
        <v/>
      </c>
      <c r="DR317" s="92" t="str">
        <f>IF(Table1[Start Date]="","",IF(Table1[Start Date]&gt;42369,"",IF(AND(Table1[Leaving Date]&gt;1,Table1[Leaving Date]&lt;42278),"",1)))</f>
        <v/>
      </c>
      <c r="DS317" s="92" t="str">
        <f>IF(Table1[Start Date]="","",IF(Table1[Start Date]&gt;42460,"",IF(AND(Table1[Leaving Date]&gt;1,Table1[Leaving Date]&lt;42370),"",1)))</f>
        <v/>
      </c>
      <c r="DT317" s="92" t="str">
        <f>IF(Table1[Start Date]="","",IF(Table1[Start Date]&gt;42551,"",IF(AND(Table1[Leaving Date]&gt;1,Table1[Leaving Date]&lt;42461),"",1)))</f>
        <v/>
      </c>
      <c r="DU317" s="92" t="str">
        <f>IF(Table1[Start Date]="","",IF(Table1[Start Date]&gt;42643,"",IF(AND(Table1[Leaving Date]&gt;1,Table1[Leaving Date]&lt;42552),"",1)))</f>
        <v/>
      </c>
      <c r="DV317" s="92" t="str">
        <f>IF(Table1[Start Date]="","",IF(Table1[Start Date]&gt;42735,"",IF(AND(Table1[Leaving Date]&gt;1,Table1[Leaving Date]&lt;42644),"",1)))</f>
        <v/>
      </c>
      <c r="DW317" s="92" t="str">
        <f>IF(Table1[Start Date]="","",IF(Table1[Start Date]&gt;42825,"",IF(AND(Table1[Leaving Date]&gt;1,Table1[Leaving Date]&lt;42736),"",1)))</f>
        <v/>
      </c>
      <c r="DX317"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317" s="44" t="e">
        <f>VLOOKUP(Table1[Referral Source],Lists!$G$2:$H$20,2,FALSE)</f>
        <v>#N/A</v>
      </c>
      <c r="DZ317" s="93" t="e">
        <f>SUM(Table1[Data Referral Quarter]+Table1[Data Referral Source])</f>
        <v>#N/A</v>
      </c>
      <c r="EA317" s="44" t="b">
        <f>IF(Table1[Referral Decision]="Accepted",100,IF(Table1[Referral Decision]="Rejected by Provider",200,IF(Table1[Referral Decision]="Rejected by Applicant",300)))</f>
        <v>0</v>
      </c>
      <c r="EB317" s="44">
        <f>SUM(Table1[Data Referral Quarter]+Table1[Data Referral Decision])</f>
        <v>0</v>
      </c>
      <c r="EC317" s="44" t="b">
        <f>IF(Table1[Start Date]&gt;42735,8000,IF(Table1[Start Date]&gt;42643,7000,IF(Table1[Start Date]&gt;42551,6000,IF(Table1[Start Date]&gt;42460,5000,IF(Table1[Start Date]&gt;42369,4000,IF(Table1[Start Date]&gt;42277,3000,IF(Table1[Start Date]&gt;42185,2000,IF(Table1[Start Date]&gt;42094,1000))))))))</f>
        <v>0</v>
      </c>
      <c r="ED317" s="44" t="str">
        <f>IF(Table1[Start Date]="","",IF(Table1[Current Local Authority]="Swindon",1,"2"))</f>
        <v/>
      </c>
      <c r="EE317" s="44" t="e">
        <f>SUM(Table1[Data Start Date]+Table1[Data Local Authority])</f>
        <v>#VALUE!</v>
      </c>
      <c r="EF317" s="44">
        <f>IF(Table1[Registered with GP]="Yes",1,0)</f>
        <v>0</v>
      </c>
      <c r="EG317" s="44">
        <f>SUM(Table1[Data Start Date]+Table1[Data GP Start])</f>
        <v>0</v>
      </c>
      <c r="EH317" s="44" t="str">
        <f>IF(Table1[EET]="NEET",1,IF(Table1[EET]="Education",2,IF(Table1[EET]="Employment",2,IF(Table1[EET]="Training",2,IF(Table1[EET]="Retired",3,"")))))</f>
        <v/>
      </c>
      <c r="EI317" s="44" t="e">
        <f>Table1[Data Start Date]+Table1[Data EET Start]</f>
        <v>#VALUE!</v>
      </c>
      <c r="EJ317" s="44" t="b">
        <f>IF(Table1[Leaving Date]&gt;42735,8000,IF(Table1[Leaving Date]&gt;42643,7000,IF(Table1[Leaving Date]&gt;42551,6000,IF(Table1[Leaving Date]&gt;42460,5000,IF(Table1[Leaving Date]&gt;42369,4000,IF(Table1[Leaving Date]&gt;42277,3000,IF(Table1[Leaving Date]&gt;42185,2000,IF(Table1[Leaving Date]&gt;42094,1000))))))))</f>
        <v>0</v>
      </c>
      <c r="EK317" s="44" t="e">
        <f>VLOOKUP(Table1[Reason for Leaving],Lists!$T$2:$U$15,2,FALSE)</f>
        <v>#N/A</v>
      </c>
      <c r="EL317" s="44" t="e">
        <f>SUM(Table1[Data Leavers Date]+Table1[Data Move On])</f>
        <v>#N/A</v>
      </c>
      <c r="EM317" s="44" t="b">
        <f>IF(Table1[Registered with GP2]="Yes",1,IF(Table1[Registered with GP2]="No",0,IF(Table1[Registered with GP]="Yes",1,IF(Table1[Registered with GP]="No",0))))</f>
        <v>0</v>
      </c>
      <c r="EN317" s="44">
        <f>SUM(Table1[Data Leavers Date]+Table1[Data GP End])</f>
        <v>0</v>
      </c>
      <c r="EO317" s="44" t="str">
        <f>IF(Table1[EET2]="NEET",1,IF(Table1[EET2]="Employment",2,IF(Table1[EET2]="Education",2,IF(Table1[EET2]="Training",2,IF(Table1[EET2]="Retired",3,IF(Table1[EET]="NEET",1,IF(Table1[EET]="Employment",2,IF(Table1[EET]="Education",2,IF(Table1[EET]="Training",2,IF(Table1[EET]="Retired",3,""))))))))))</f>
        <v/>
      </c>
      <c r="EP317" s="44" t="e">
        <f>+Table1[[#This Row],[Data Leavers Date]]+Table1[[#This Row],[Data EET End]]</f>
        <v>#VALUE!</v>
      </c>
      <c r="EQ317" s="44">
        <f>IF(Table1[Exit Form Received]="Yes",1,0)</f>
        <v>0</v>
      </c>
      <c r="ER317" s="44">
        <f>+Table1[[#This Row],[Data Leavers Date]]+Table1[[#This Row],[Data Exit Forms]]</f>
        <v>0</v>
      </c>
      <c r="ES317" s="44" t="str">
        <f>IF(Table1[Data Leavers Date]=1000,SUM(Table1[Leaving Date]-Table1[Start Date]),"")</f>
        <v/>
      </c>
      <c r="ET317" s="44" t="str">
        <f>IF(Table1[Data Leavers Date]=2000,SUM(Table1[Leaving Date]-Table1[Start Date]),"")</f>
        <v/>
      </c>
      <c r="EU317" s="44" t="str">
        <f>IF(Table1[Data Leavers Date]=3000,SUM(Table1[Leaving Date]-Table1[Start Date]),"")</f>
        <v/>
      </c>
      <c r="EV317" s="44" t="str">
        <f>IF(Table1[Data Leavers Date]=4000,SUM(Table1[Leaving Date]-Table1[Start Date]),"")</f>
        <v/>
      </c>
      <c r="EW317" s="44" t="str">
        <f>IF(Table1[Data Leavers Date]=5000,SUM(Table1[Leaving Date]-Table1[Start Date]),"")</f>
        <v/>
      </c>
      <c r="EX317" s="44" t="str">
        <f>IF(Table1[Data Leavers Date]=6000,SUM(Table1[Leaving Date]-Table1[Start Date]),"")</f>
        <v/>
      </c>
      <c r="EY317" s="44" t="str">
        <f>IF(Table1[Data Leavers Date]=7000,SUM(Table1[Leaving Date]-Table1[Start Date]),"")</f>
        <v/>
      </c>
      <c r="EZ317" s="44" t="str">
        <f>IF(Table1[Data Leavers Date]=8000,SUM(Table1[Leaving Date]-Table1[Start Date]),"")</f>
        <v/>
      </c>
      <c r="FA317" s="44" t="str">
        <f>IF(Table1[Date of Initial Assessment]="","",IF(AND(Table1[Start Date]&gt;42094,Table1[Start Date]&lt;42461),Table1[Motivation and Taking Responsibility],""))</f>
        <v/>
      </c>
      <c r="FB317" s="44" t="str">
        <f>IF(Table1[Date of Initial Assessment]="","",IF(AND(Table1[Start Date]&gt;42094,Table1[Start Date]&lt;42461),Table1[Self-Care and Living Skills],""))</f>
        <v/>
      </c>
      <c r="FC317" s="44" t="str">
        <f>IF(Table1[Date of Initial Assessment]="","",IF(AND(Table1[Start Date]&gt;42094,Table1[Start Date]&lt;42461),Table1[Managing Money and Personal Administration],""))</f>
        <v/>
      </c>
      <c r="FD317" s="44" t="str">
        <f>IF(Table1[Date of Initial Assessment]="","",IF(AND(Table1[Start Date]&gt;42094,Table1[Start Date]&lt;42461),Table1[Social Networks and Relationships],""))</f>
        <v/>
      </c>
      <c r="FE317" s="44" t="str">
        <f>IF(Table1[Date of Initial Assessment]="","",IF(AND(Table1[Start Date]&gt;42094,Table1[Start Date]&lt;42461),Table1[Drug and Alcohol Misuse],""))</f>
        <v/>
      </c>
      <c r="FF317" s="44" t="str">
        <f>IF(Table1[Date of Initial Assessment]="","",IF(AND(Table1[Start Date]&gt;42094,Table1[Start Date]&lt;42461),Table1[Physical Health],""))</f>
        <v/>
      </c>
      <c r="FG317" s="44" t="str">
        <f>IF(Table1[Date of Initial Assessment]="","",IF(AND(Table1[Start Date]&gt;42094,Table1[Start Date]&lt;42461),Table1[Emotional and Mental Health],""))</f>
        <v/>
      </c>
      <c r="FH317" s="44" t="str">
        <f>IF(Table1[Date of Initial Assessment]="","",IF(AND(Table1[Start Date]&gt;42094,Table1[Start Date]&lt;42461),Table1[Meaningful Use of Time],""))</f>
        <v/>
      </c>
      <c r="FI317" s="44" t="str">
        <f>IF(Table1[Date of Initial Assessment]="","",IF(AND(Table1[Start Date]&gt;42094,Table1[Start Date]&lt;42461),Table1[Managing Tenancy and Accommodation],""))</f>
        <v/>
      </c>
      <c r="FJ317" s="44" t="str">
        <f>IF(Table1[Date of Initial Assessment]="","",IF(AND(Table1[Start Date]&gt;42094,Table1[Start Date]&lt;42461),Table1[Offending],""))</f>
        <v/>
      </c>
      <c r="FK317" s="44" t="str">
        <f>IF(Table1[Leaving Date]="","",IF(Table1[Date of Initial Assessment]="","",IF(AND(Table1[Leaving Date]&gt;42094,Table1[Leaving Date]&lt;42461),IF(Table1[Date of Last Assessment]="",Table1[Motivation and Taking Responsibility],Table1[Motivation and Taking Responsibility2]),"")))</f>
        <v/>
      </c>
      <c r="FL317" s="44" t="str">
        <f>IF(Table1[Leaving Date]="","",IF(Table1[Date of Initial Assessment]="","",IF(AND(Table1[Leaving Date]&gt;42094,Table1[Leaving Date]&lt;42461),IF(Table1[Date of Last Assessment]="",Table1[Self-Care and Living Skills],Table1[Self-Care and Living Skills2]),"")))</f>
        <v/>
      </c>
      <c r="FM317" s="44" t="str">
        <f>IF(Table1[Leaving Date]="","",IF(Table1[Date of Initial Assessment]="","",IF(AND(Table1[Leaving Date]&gt;42094,Table1[Leaving Date]&lt;42461),IF(Table1[Date of Last Assessment]="",Table1[Managing Money and Personal Administration],Table1[Managing Money and Personal Administration2]),"")))</f>
        <v/>
      </c>
      <c r="FN317" s="44" t="str">
        <f>IF(Table1[Leaving Date]="","",IF(Table1[Date of Initial Assessment]="","",IF(AND(Table1[Leaving Date]&gt;42094,Table1[Leaving Date]&lt;42461),IF(Table1[Date of Last Assessment]="",Table1[Social Networks and Relationships],Table1[Social Networks and Relationships2]),"")))</f>
        <v/>
      </c>
      <c r="FO317" s="44" t="str">
        <f>IF(Table1[Leaving Date]="","",IF(Table1[Date of Initial Assessment]="","",IF(AND(Table1[Leaving Date]&gt;42094,Table1[Leaving Date]&lt;42461),IF(Table1[Date of Last Assessment]="",Table1[Drug and Alcohol Misuse],Table1[Drug and Alcohol Misuse2]),"")))</f>
        <v/>
      </c>
      <c r="FP317" s="44" t="str">
        <f>IF(Table1[Leaving Date]="","",IF(Table1[Date of Initial Assessment]="","",IF(AND(Table1[Leaving Date]&gt;42094,Table1[Leaving Date]&lt;42461),IF(Table1[Date of Last Assessment]="",Table1[Physical Health],Table1[Physical Health2]),"")))</f>
        <v/>
      </c>
      <c r="FQ317" s="44" t="str">
        <f>IF(Table1[Leaving Date]="","",IF(Table1[Date of Initial Assessment]="","",IF(AND(Table1[Leaving Date]&gt;42094,Table1[Leaving Date]&lt;42461),IF(Table1[Date of Last Assessment]="",Table1[Emotional and Mental Health],Table1[Emotional and Mental Health2]),"")))</f>
        <v/>
      </c>
      <c r="FR317" s="44" t="str">
        <f>IF(Table1[Leaving Date]="","",IF(Table1[Date of Initial Assessment]="","",IF(AND(Table1[Leaving Date]&gt;42094,Table1[Leaving Date]&lt;42461),IF(Table1[Date of Last Assessment]="",Table1[Meaningful Use of Time],Table1[Meaningful Use of Time2]),"")))</f>
        <v/>
      </c>
      <c r="FS317" s="44" t="str">
        <f>IF(Table1[Leaving Date]="","",IF(Table1[Date of Initial Assessment]="","",IF(AND(Table1[Leaving Date]&gt;42094,Table1[Leaving Date]&lt;42461),IF(Table1[Date of Last Assessment]="",Table1[Managing Tenancy and Accommodation],Table1[Managing Tenancy and Accommodation2]),"")))</f>
        <v/>
      </c>
      <c r="FT317" s="44" t="str">
        <f>IF(Table1[Leaving Date]="","",IF(Table1[Date of Initial Assessment]="","",IF(AND(Table1[Leaving Date]&gt;42094,Table1[Leaving Date]&lt;42461),IF(Table1[Date of Last Assessment]="",Table1[Offending],Table1[Offending2]),"")))</f>
        <v/>
      </c>
      <c r="FU317" s="44" t="str">
        <f>IF(Table1[Date of Initial Assessment]="","",IF(AND(Table1[Start Date]&gt;42460,Table1[Start Date]&lt;42826),Table1[Motivation and Taking Responsibility],""))</f>
        <v/>
      </c>
      <c r="FV317" s="44" t="str">
        <f>IF(Table1[Date of Initial Assessment]="","",IF(AND(Table1[Start Date]&gt;42460,Table1[Start Date]&lt;42826),Table1[Self-Care and Living Skills],""))</f>
        <v/>
      </c>
      <c r="FW317" s="44" t="str">
        <f>IF(Table1[Date of Initial Assessment]="","",IF(AND(Table1[Start Date]&gt;42460,Table1[Start Date]&lt;42826),Table1[Managing Money and Personal Administration],""))</f>
        <v/>
      </c>
      <c r="FX317" s="44" t="str">
        <f>IF(Table1[Date of Initial Assessment]="","",IF(AND(Table1[Start Date]&gt;42460,Table1[Start Date]&lt;42826),Table1[Social Networks and Relationships],""))</f>
        <v/>
      </c>
      <c r="FY317" s="44" t="str">
        <f>IF(Table1[Date of Initial Assessment]="","",IF(AND(Table1[Start Date]&gt;42460,Table1[Start Date]&lt;42826),Table1[Drug and Alcohol Misuse],""))</f>
        <v/>
      </c>
      <c r="FZ317" s="44" t="str">
        <f>IF(Table1[Date of Initial Assessment]="","",IF(AND(Table1[Start Date]&gt;42460,Table1[Start Date]&lt;42826),Table1[Physical Health],""))</f>
        <v/>
      </c>
      <c r="GA317" s="44" t="str">
        <f>IF(Table1[Date of Initial Assessment]="","",IF(AND(Table1[Start Date]&gt;42460,Table1[Start Date]&lt;42826),Table1[Emotional and Mental Health],""))</f>
        <v/>
      </c>
      <c r="GB317" s="44" t="str">
        <f>IF(Table1[Date of Initial Assessment]="","",IF(AND(Table1[Start Date]&gt;42460,Table1[Start Date]&lt;42826),Table1[Meaningful Use of Time],""))</f>
        <v/>
      </c>
      <c r="GC317" s="44" t="str">
        <f>IF(Table1[Date of Initial Assessment]="","",IF(AND(Table1[Start Date]&gt;42460,Table1[Start Date]&lt;42826),Table1[Managing Tenancy and Accommodation],""))</f>
        <v/>
      </c>
      <c r="GD317" s="44" t="str">
        <f>IF(Table1[Date of Initial Assessment]="","",IF(AND(Table1[Start Date]&gt;42460,Table1[Start Date]&lt;42826),Table1[Offending],""))</f>
        <v/>
      </c>
      <c r="GE317" s="44" t="str">
        <f>IF(Table1[Leaving Date]="","",IF(AND(Table1[Leaving Date]&gt;42460,Table1[Leaving Date]&lt;42826),IF(Table1[Date of Last Assessment]="",Table1[Motivation and Taking Responsibility],Table1[Motivation and Taking Responsibility2]),""))</f>
        <v/>
      </c>
      <c r="GF317" s="44" t="str">
        <f>IF(Table1[Leaving Date]="","",IF(AND(Table1[Leaving Date]&gt;42460,Table1[Leaving Date]&lt;42826),IF(Table1[Date of Last Assessment]="",Table1[Self-Care and Living Skills],Table1[Self-Care and Living Skills2]),""))</f>
        <v/>
      </c>
      <c r="GG317" s="44" t="str">
        <f>IF(Table1[Leaving Date]="","",IF(AND(Table1[Leaving Date]&gt;42460,Table1[Leaving Date]&lt;42826),IF(Table1[Date of Last Assessment]="",Table1[Managing Money and Personal Administration],Table1[Managing Money and Personal Administration2]),""))</f>
        <v/>
      </c>
      <c r="GH317" s="44" t="str">
        <f>IF(Table1[Leaving Date]="","",IF(AND(Table1[Leaving Date]&gt;42460,Table1[Leaving Date]&lt;42826),IF(Table1[Date of Last Assessment]="",Table1[Social Networks and Relationships],Table1[Social Networks and Relationships2]),""))</f>
        <v/>
      </c>
      <c r="GI317" s="44" t="str">
        <f>IF(Table1[Leaving Date]="","",IF(AND(Table1[Leaving Date]&gt;42460,Table1[Leaving Date]&lt;42826),IF(Table1[Date of Last Assessment]="",Table1[Drug and Alcohol Misuse],Table1[Drug and Alcohol Misuse2]),""))</f>
        <v/>
      </c>
      <c r="GJ317" s="44" t="str">
        <f>IF(Table1[Leaving Date]="","",IF(AND(Table1[Leaving Date]&gt;42460,Table1[Leaving Date]&lt;42826),IF(Table1[Date of Last Assessment]="",Table1[Physical Health],Table1[Physical Health2]),""))</f>
        <v/>
      </c>
      <c r="GK317" s="44" t="str">
        <f>IF(Table1[Leaving Date]="","",IF(AND(Table1[Leaving Date]&gt;42460,Table1[Leaving Date]&lt;42826),IF(Table1[Date of Last Assessment]="",Table1[Emotional and Mental Health],Table1[Emotional and Mental Health2]),""))</f>
        <v/>
      </c>
      <c r="GL317" s="44" t="str">
        <f>IF(Table1[Leaving Date]="","",IF(AND(Table1[Leaving Date]&gt;42460,Table1[Leaving Date]&lt;42826),IF(Table1[Date of Last Assessment]="",Table1[Meaningful Use of Time],Table1[Meaningful Use of Time2]),""))</f>
        <v/>
      </c>
      <c r="GM317" s="44" t="str">
        <f>IF(Table1[Leaving Date]="","",IF(AND(Table1[Leaving Date]&gt;42460,Table1[Leaving Date]&lt;42826),IF(Table1[Date of Last Assessment]="",Table1[Managing Tenancy and Accommodation],Table1[Managing Tenancy and Accommodation2]),""))</f>
        <v/>
      </c>
      <c r="GN317" s="44" t="str">
        <f>IF(Table1[Leaving Date]="","",IF(AND(Table1[Leaving Date]&gt;42460,Table1[Leaving Date]&lt;42826),IF(Table1[Date of Last Assessment]="",Table1[Offending],Table1[Offending2]),""))</f>
        <v/>
      </c>
    </row>
    <row r="318" spans="2:196" ht="20.100000000000001" customHeight="1" x14ac:dyDescent="0.2">
      <c r="B318" s="86">
        <f>+'Service Data'!$C$5:$C$5</f>
        <v>0</v>
      </c>
      <c r="C318" s="86"/>
      <c r="D318" s="86"/>
      <c r="E318" s="86"/>
      <c r="F318" s="86"/>
      <c r="G318" s="86"/>
      <c r="H318" s="6"/>
      <c r="I318" s="99" t="str">
        <f ca="1">IF(Table1[[#This Row],[Date of Birth]]="","",SUM(TODAY()-Table1[[#This Row],[Date of Birth]])/365)</f>
        <v/>
      </c>
      <c r="L318" s="86"/>
      <c r="M318" s="77"/>
      <c r="N318" s="86"/>
      <c r="O318" s="86"/>
      <c r="P318" s="91"/>
      <c r="Q318" s="86"/>
      <c r="R318" s="77"/>
      <c r="S318" s="77"/>
      <c r="T318" s="68"/>
      <c r="U318" s="68"/>
      <c r="V318" s="67"/>
      <c r="W318" s="67"/>
      <c r="X318" s="67"/>
      <c r="Y318" s="67"/>
      <c r="Z318" s="67"/>
      <c r="AA318" s="67"/>
      <c r="AB318" s="67"/>
      <c r="AC318" s="67"/>
      <c r="AD318" s="67"/>
      <c r="AE318" s="67"/>
      <c r="AF318" s="67"/>
      <c r="AG318" s="67"/>
      <c r="AH318" s="67"/>
      <c r="AI318" s="67"/>
      <c r="AJ318" s="67"/>
      <c r="AK318" s="67"/>
      <c r="AL318" s="67"/>
      <c r="AM318" s="67"/>
      <c r="AN318" s="77"/>
      <c r="AO318" s="76"/>
      <c r="AP318" s="77"/>
      <c r="AQ318" s="76"/>
      <c r="AR318" s="76"/>
      <c r="AS318" s="76"/>
      <c r="AT318" s="76"/>
      <c r="AU318" s="76"/>
      <c r="AV318" s="77"/>
      <c r="AW318" s="76"/>
      <c r="AX318" s="77"/>
      <c r="AY318" s="76"/>
      <c r="AZ318" s="76"/>
      <c r="BA318" s="76"/>
      <c r="BB318" s="76"/>
      <c r="BC318" s="76"/>
      <c r="BD318" s="77"/>
      <c r="BE318" s="76"/>
      <c r="BF318" s="77"/>
      <c r="BG318" s="76"/>
      <c r="BH318" s="76"/>
      <c r="BI318" s="76"/>
      <c r="BJ318" s="76"/>
      <c r="BK318" s="76"/>
      <c r="BL318" s="77"/>
      <c r="BM318" s="76"/>
      <c r="BN318" s="77"/>
      <c r="BO318" s="76"/>
      <c r="BP318" s="76"/>
      <c r="BQ318" s="76"/>
      <c r="BR318" s="76"/>
      <c r="BS318" s="76"/>
      <c r="BT318" s="77"/>
      <c r="BU318" s="76"/>
      <c r="BV318" s="77"/>
      <c r="BW318" s="76"/>
      <c r="BX318" s="76"/>
      <c r="BY318" s="76"/>
      <c r="BZ318" s="76"/>
      <c r="CA318" s="76"/>
      <c r="CB318" s="77"/>
      <c r="CC318" s="76"/>
      <c r="CD318" s="77"/>
      <c r="CE318" s="76"/>
      <c r="CF318" s="76"/>
      <c r="CG318" s="76"/>
      <c r="CH318" s="76"/>
      <c r="CI318" s="76"/>
      <c r="CJ318" s="77"/>
      <c r="CK318" s="76"/>
      <c r="CL318" s="77"/>
      <c r="CM318" s="76"/>
      <c r="CN318" s="76"/>
      <c r="CO318" s="76"/>
      <c r="CP318" s="76"/>
      <c r="CQ318" s="76"/>
      <c r="CR318" s="78" t="str">
        <f t="shared" si="79"/>
        <v/>
      </c>
      <c r="CS318" s="79" t="str">
        <f t="shared" si="80"/>
        <v/>
      </c>
      <c r="CT318" s="79" t="str">
        <f t="shared" si="81"/>
        <v/>
      </c>
      <c r="CU318" s="79" t="str">
        <f t="shared" si="82"/>
        <v/>
      </c>
      <c r="CV318" s="79" t="str">
        <f t="shared" si="83"/>
        <v/>
      </c>
      <c r="CW318" s="79" t="str">
        <f t="shared" si="84"/>
        <v/>
      </c>
      <c r="CX318" s="79" t="str">
        <f t="shared" si="85"/>
        <v/>
      </c>
      <c r="CY318" s="79" t="str">
        <f t="shared" si="86"/>
        <v/>
      </c>
      <c r="CZ318" s="79" t="str">
        <f t="shared" si="87"/>
        <v/>
      </c>
      <c r="DA318" s="79" t="str">
        <f t="shared" si="88"/>
        <v/>
      </c>
      <c r="DB318" s="79" t="str">
        <f t="shared" si="89"/>
        <v/>
      </c>
      <c r="DC318" s="79" t="str">
        <f t="shared" si="90"/>
        <v/>
      </c>
      <c r="DD318" s="79" t="str">
        <f t="shared" si="91"/>
        <v/>
      </c>
      <c r="DE318" s="79" t="str">
        <f t="shared" si="92"/>
        <v/>
      </c>
      <c r="DF318" s="79" t="str">
        <f t="shared" si="93"/>
        <v/>
      </c>
      <c r="DG318" s="79" t="str">
        <f t="shared" si="94"/>
        <v/>
      </c>
      <c r="DH318" s="76"/>
      <c r="DI318" s="78"/>
      <c r="DJ318" s="76"/>
      <c r="DK318" s="77"/>
      <c r="DL318" s="77"/>
      <c r="DM318" s="77"/>
      <c r="DN318" s="80"/>
      <c r="DO318" s="80"/>
      <c r="DP318" s="92" t="str">
        <f>IF(Table1[Start Date]="","",IF(Table1[Start Date]&gt;42185,"",IF(AND(Table1[Leaving Date]&gt;1,Table1[Leaving Date]&lt;42095),"",1)))</f>
        <v/>
      </c>
      <c r="DQ318" s="92" t="str">
        <f>IF(Table1[Start Date]="","",IF(Table1[Start Date]&gt;42277,"",IF(AND(Table1[Leaving Date]&gt;1,Table1[Leaving Date]&lt;42186),"",1)))</f>
        <v/>
      </c>
      <c r="DR318" s="92" t="str">
        <f>IF(Table1[Start Date]="","",IF(Table1[Start Date]&gt;42369,"",IF(AND(Table1[Leaving Date]&gt;1,Table1[Leaving Date]&lt;42278),"",1)))</f>
        <v/>
      </c>
      <c r="DS318" s="92" t="str">
        <f>IF(Table1[Start Date]="","",IF(Table1[Start Date]&gt;42460,"",IF(AND(Table1[Leaving Date]&gt;1,Table1[Leaving Date]&lt;42370),"",1)))</f>
        <v/>
      </c>
      <c r="DT318" s="92" t="str">
        <f>IF(Table1[Start Date]="","",IF(Table1[Start Date]&gt;42551,"",IF(AND(Table1[Leaving Date]&gt;1,Table1[Leaving Date]&lt;42461),"",1)))</f>
        <v/>
      </c>
      <c r="DU318" s="92" t="str">
        <f>IF(Table1[Start Date]="","",IF(Table1[Start Date]&gt;42643,"",IF(AND(Table1[Leaving Date]&gt;1,Table1[Leaving Date]&lt;42552),"",1)))</f>
        <v/>
      </c>
      <c r="DV318" s="92" t="str">
        <f>IF(Table1[Start Date]="","",IF(Table1[Start Date]&gt;42735,"",IF(AND(Table1[Leaving Date]&gt;1,Table1[Leaving Date]&lt;42644),"",1)))</f>
        <v/>
      </c>
      <c r="DW318" s="92" t="str">
        <f>IF(Table1[Start Date]="","",IF(Table1[Start Date]&gt;42825,"",IF(AND(Table1[Leaving Date]&gt;1,Table1[Leaving Date]&lt;42736),"",1)))</f>
        <v/>
      </c>
      <c r="DX318"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318" s="44" t="e">
        <f>VLOOKUP(Table1[Referral Source],Lists!$G$2:$H$20,2,FALSE)</f>
        <v>#N/A</v>
      </c>
      <c r="DZ318" s="93" t="e">
        <f>SUM(Table1[Data Referral Quarter]+Table1[Data Referral Source])</f>
        <v>#N/A</v>
      </c>
      <c r="EA318" s="44" t="b">
        <f>IF(Table1[Referral Decision]="Accepted",100,IF(Table1[Referral Decision]="Rejected by Provider",200,IF(Table1[Referral Decision]="Rejected by Applicant",300)))</f>
        <v>0</v>
      </c>
      <c r="EB318" s="44">
        <f>SUM(Table1[Data Referral Quarter]+Table1[Data Referral Decision])</f>
        <v>0</v>
      </c>
      <c r="EC318" s="44" t="b">
        <f>IF(Table1[Start Date]&gt;42735,8000,IF(Table1[Start Date]&gt;42643,7000,IF(Table1[Start Date]&gt;42551,6000,IF(Table1[Start Date]&gt;42460,5000,IF(Table1[Start Date]&gt;42369,4000,IF(Table1[Start Date]&gt;42277,3000,IF(Table1[Start Date]&gt;42185,2000,IF(Table1[Start Date]&gt;42094,1000))))))))</f>
        <v>0</v>
      </c>
      <c r="ED318" s="44" t="str">
        <f>IF(Table1[Start Date]="","",IF(Table1[Current Local Authority]="Swindon",1,"2"))</f>
        <v/>
      </c>
      <c r="EE318" s="44" t="e">
        <f>SUM(Table1[Data Start Date]+Table1[Data Local Authority])</f>
        <v>#VALUE!</v>
      </c>
      <c r="EF318" s="44">
        <f>IF(Table1[Registered with GP]="Yes",1,0)</f>
        <v>0</v>
      </c>
      <c r="EG318" s="44">
        <f>SUM(Table1[Data Start Date]+Table1[Data GP Start])</f>
        <v>0</v>
      </c>
      <c r="EH318" s="44" t="str">
        <f>IF(Table1[EET]="NEET",1,IF(Table1[EET]="Education",2,IF(Table1[EET]="Employment",2,IF(Table1[EET]="Training",2,IF(Table1[EET]="Retired",3,"")))))</f>
        <v/>
      </c>
      <c r="EI318" s="44" t="e">
        <f>Table1[Data Start Date]+Table1[Data EET Start]</f>
        <v>#VALUE!</v>
      </c>
      <c r="EJ318" s="44" t="b">
        <f>IF(Table1[Leaving Date]&gt;42735,8000,IF(Table1[Leaving Date]&gt;42643,7000,IF(Table1[Leaving Date]&gt;42551,6000,IF(Table1[Leaving Date]&gt;42460,5000,IF(Table1[Leaving Date]&gt;42369,4000,IF(Table1[Leaving Date]&gt;42277,3000,IF(Table1[Leaving Date]&gt;42185,2000,IF(Table1[Leaving Date]&gt;42094,1000))))))))</f>
        <v>0</v>
      </c>
      <c r="EK318" s="44" t="e">
        <f>VLOOKUP(Table1[Reason for Leaving],Lists!$T$2:$U$15,2,FALSE)</f>
        <v>#N/A</v>
      </c>
      <c r="EL318" s="44" t="e">
        <f>SUM(Table1[Data Leavers Date]+Table1[Data Move On])</f>
        <v>#N/A</v>
      </c>
      <c r="EM318" s="44" t="b">
        <f>IF(Table1[Registered with GP2]="Yes",1,IF(Table1[Registered with GP2]="No",0,IF(Table1[Registered with GP]="Yes",1,IF(Table1[Registered with GP]="No",0))))</f>
        <v>0</v>
      </c>
      <c r="EN318" s="44">
        <f>SUM(Table1[Data Leavers Date]+Table1[Data GP End])</f>
        <v>0</v>
      </c>
      <c r="EO318" s="44" t="str">
        <f>IF(Table1[EET2]="NEET",1,IF(Table1[EET2]="Employment",2,IF(Table1[EET2]="Education",2,IF(Table1[EET2]="Training",2,IF(Table1[EET2]="Retired",3,IF(Table1[EET]="NEET",1,IF(Table1[EET]="Employment",2,IF(Table1[EET]="Education",2,IF(Table1[EET]="Training",2,IF(Table1[EET]="Retired",3,""))))))))))</f>
        <v/>
      </c>
      <c r="EP318" s="44" t="e">
        <f>+Table1[[#This Row],[Data Leavers Date]]+Table1[[#This Row],[Data EET End]]</f>
        <v>#VALUE!</v>
      </c>
      <c r="EQ318" s="44">
        <f>IF(Table1[Exit Form Received]="Yes",1,0)</f>
        <v>0</v>
      </c>
      <c r="ER318" s="44">
        <f>+Table1[[#This Row],[Data Leavers Date]]+Table1[[#This Row],[Data Exit Forms]]</f>
        <v>0</v>
      </c>
      <c r="ES318" s="44" t="str">
        <f>IF(Table1[Data Leavers Date]=1000,SUM(Table1[Leaving Date]-Table1[Start Date]),"")</f>
        <v/>
      </c>
      <c r="ET318" s="44" t="str">
        <f>IF(Table1[Data Leavers Date]=2000,SUM(Table1[Leaving Date]-Table1[Start Date]),"")</f>
        <v/>
      </c>
      <c r="EU318" s="44" t="str">
        <f>IF(Table1[Data Leavers Date]=3000,SUM(Table1[Leaving Date]-Table1[Start Date]),"")</f>
        <v/>
      </c>
      <c r="EV318" s="44" t="str">
        <f>IF(Table1[Data Leavers Date]=4000,SUM(Table1[Leaving Date]-Table1[Start Date]),"")</f>
        <v/>
      </c>
      <c r="EW318" s="44" t="str">
        <f>IF(Table1[Data Leavers Date]=5000,SUM(Table1[Leaving Date]-Table1[Start Date]),"")</f>
        <v/>
      </c>
      <c r="EX318" s="44" t="str">
        <f>IF(Table1[Data Leavers Date]=6000,SUM(Table1[Leaving Date]-Table1[Start Date]),"")</f>
        <v/>
      </c>
      <c r="EY318" s="44" t="str">
        <f>IF(Table1[Data Leavers Date]=7000,SUM(Table1[Leaving Date]-Table1[Start Date]),"")</f>
        <v/>
      </c>
      <c r="EZ318" s="44" t="str">
        <f>IF(Table1[Data Leavers Date]=8000,SUM(Table1[Leaving Date]-Table1[Start Date]),"")</f>
        <v/>
      </c>
      <c r="FA318" s="44" t="str">
        <f>IF(Table1[Date of Initial Assessment]="","",IF(AND(Table1[Start Date]&gt;42094,Table1[Start Date]&lt;42461),Table1[Motivation and Taking Responsibility],""))</f>
        <v/>
      </c>
      <c r="FB318" s="44" t="str">
        <f>IF(Table1[Date of Initial Assessment]="","",IF(AND(Table1[Start Date]&gt;42094,Table1[Start Date]&lt;42461),Table1[Self-Care and Living Skills],""))</f>
        <v/>
      </c>
      <c r="FC318" s="44" t="str">
        <f>IF(Table1[Date of Initial Assessment]="","",IF(AND(Table1[Start Date]&gt;42094,Table1[Start Date]&lt;42461),Table1[Managing Money and Personal Administration],""))</f>
        <v/>
      </c>
      <c r="FD318" s="44" t="str">
        <f>IF(Table1[Date of Initial Assessment]="","",IF(AND(Table1[Start Date]&gt;42094,Table1[Start Date]&lt;42461),Table1[Social Networks and Relationships],""))</f>
        <v/>
      </c>
      <c r="FE318" s="44" t="str">
        <f>IF(Table1[Date of Initial Assessment]="","",IF(AND(Table1[Start Date]&gt;42094,Table1[Start Date]&lt;42461),Table1[Drug and Alcohol Misuse],""))</f>
        <v/>
      </c>
      <c r="FF318" s="44" t="str">
        <f>IF(Table1[Date of Initial Assessment]="","",IF(AND(Table1[Start Date]&gt;42094,Table1[Start Date]&lt;42461),Table1[Physical Health],""))</f>
        <v/>
      </c>
      <c r="FG318" s="44" t="str">
        <f>IF(Table1[Date of Initial Assessment]="","",IF(AND(Table1[Start Date]&gt;42094,Table1[Start Date]&lt;42461),Table1[Emotional and Mental Health],""))</f>
        <v/>
      </c>
      <c r="FH318" s="44" t="str">
        <f>IF(Table1[Date of Initial Assessment]="","",IF(AND(Table1[Start Date]&gt;42094,Table1[Start Date]&lt;42461),Table1[Meaningful Use of Time],""))</f>
        <v/>
      </c>
      <c r="FI318" s="44" t="str">
        <f>IF(Table1[Date of Initial Assessment]="","",IF(AND(Table1[Start Date]&gt;42094,Table1[Start Date]&lt;42461),Table1[Managing Tenancy and Accommodation],""))</f>
        <v/>
      </c>
      <c r="FJ318" s="44" t="str">
        <f>IF(Table1[Date of Initial Assessment]="","",IF(AND(Table1[Start Date]&gt;42094,Table1[Start Date]&lt;42461),Table1[Offending],""))</f>
        <v/>
      </c>
      <c r="FK318" s="44" t="str">
        <f>IF(Table1[Leaving Date]="","",IF(Table1[Date of Initial Assessment]="","",IF(AND(Table1[Leaving Date]&gt;42094,Table1[Leaving Date]&lt;42461),IF(Table1[Date of Last Assessment]="",Table1[Motivation and Taking Responsibility],Table1[Motivation and Taking Responsibility2]),"")))</f>
        <v/>
      </c>
      <c r="FL318" s="44" t="str">
        <f>IF(Table1[Leaving Date]="","",IF(Table1[Date of Initial Assessment]="","",IF(AND(Table1[Leaving Date]&gt;42094,Table1[Leaving Date]&lt;42461),IF(Table1[Date of Last Assessment]="",Table1[Self-Care and Living Skills],Table1[Self-Care and Living Skills2]),"")))</f>
        <v/>
      </c>
      <c r="FM318" s="44" t="str">
        <f>IF(Table1[Leaving Date]="","",IF(Table1[Date of Initial Assessment]="","",IF(AND(Table1[Leaving Date]&gt;42094,Table1[Leaving Date]&lt;42461),IF(Table1[Date of Last Assessment]="",Table1[Managing Money and Personal Administration],Table1[Managing Money and Personal Administration2]),"")))</f>
        <v/>
      </c>
      <c r="FN318" s="44" t="str">
        <f>IF(Table1[Leaving Date]="","",IF(Table1[Date of Initial Assessment]="","",IF(AND(Table1[Leaving Date]&gt;42094,Table1[Leaving Date]&lt;42461),IF(Table1[Date of Last Assessment]="",Table1[Social Networks and Relationships],Table1[Social Networks and Relationships2]),"")))</f>
        <v/>
      </c>
      <c r="FO318" s="44" t="str">
        <f>IF(Table1[Leaving Date]="","",IF(Table1[Date of Initial Assessment]="","",IF(AND(Table1[Leaving Date]&gt;42094,Table1[Leaving Date]&lt;42461),IF(Table1[Date of Last Assessment]="",Table1[Drug and Alcohol Misuse],Table1[Drug and Alcohol Misuse2]),"")))</f>
        <v/>
      </c>
      <c r="FP318" s="44" t="str">
        <f>IF(Table1[Leaving Date]="","",IF(Table1[Date of Initial Assessment]="","",IF(AND(Table1[Leaving Date]&gt;42094,Table1[Leaving Date]&lt;42461),IF(Table1[Date of Last Assessment]="",Table1[Physical Health],Table1[Physical Health2]),"")))</f>
        <v/>
      </c>
      <c r="FQ318" s="44" t="str">
        <f>IF(Table1[Leaving Date]="","",IF(Table1[Date of Initial Assessment]="","",IF(AND(Table1[Leaving Date]&gt;42094,Table1[Leaving Date]&lt;42461),IF(Table1[Date of Last Assessment]="",Table1[Emotional and Mental Health],Table1[Emotional and Mental Health2]),"")))</f>
        <v/>
      </c>
      <c r="FR318" s="44" t="str">
        <f>IF(Table1[Leaving Date]="","",IF(Table1[Date of Initial Assessment]="","",IF(AND(Table1[Leaving Date]&gt;42094,Table1[Leaving Date]&lt;42461),IF(Table1[Date of Last Assessment]="",Table1[Meaningful Use of Time],Table1[Meaningful Use of Time2]),"")))</f>
        <v/>
      </c>
      <c r="FS318" s="44" t="str">
        <f>IF(Table1[Leaving Date]="","",IF(Table1[Date of Initial Assessment]="","",IF(AND(Table1[Leaving Date]&gt;42094,Table1[Leaving Date]&lt;42461),IF(Table1[Date of Last Assessment]="",Table1[Managing Tenancy and Accommodation],Table1[Managing Tenancy and Accommodation2]),"")))</f>
        <v/>
      </c>
      <c r="FT318" s="44" t="str">
        <f>IF(Table1[Leaving Date]="","",IF(Table1[Date of Initial Assessment]="","",IF(AND(Table1[Leaving Date]&gt;42094,Table1[Leaving Date]&lt;42461),IF(Table1[Date of Last Assessment]="",Table1[Offending],Table1[Offending2]),"")))</f>
        <v/>
      </c>
      <c r="FU318" s="44" t="str">
        <f>IF(Table1[Date of Initial Assessment]="","",IF(AND(Table1[Start Date]&gt;42460,Table1[Start Date]&lt;42826),Table1[Motivation and Taking Responsibility],""))</f>
        <v/>
      </c>
      <c r="FV318" s="44" t="str">
        <f>IF(Table1[Date of Initial Assessment]="","",IF(AND(Table1[Start Date]&gt;42460,Table1[Start Date]&lt;42826),Table1[Self-Care and Living Skills],""))</f>
        <v/>
      </c>
      <c r="FW318" s="44" t="str">
        <f>IF(Table1[Date of Initial Assessment]="","",IF(AND(Table1[Start Date]&gt;42460,Table1[Start Date]&lt;42826),Table1[Managing Money and Personal Administration],""))</f>
        <v/>
      </c>
      <c r="FX318" s="44" t="str">
        <f>IF(Table1[Date of Initial Assessment]="","",IF(AND(Table1[Start Date]&gt;42460,Table1[Start Date]&lt;42826),Table1[Social Networks and Relationships],""))</f>
        <v/>
      </c>
      <c r="FY318" s="44" t="str">
        <f>IF(Table1[Date of Initial Assessment]="","",IF(AND(Table1[Start Date]&gt;42460,Table1[Start Date]&lt;42826),Table1[Drug and Alcohol Misuse],""))</f>
        <v/>
      </c>
      <c r="FZ318" s="44" t="str">
        <f>IF(Table1[Date of Initial Assessment]="","",IF(AND(Table1[Start Date]&gt;42460,Table1[Start Date]&lt;42826),Table1[Physical Health],""))</f>
        <v/>
      </c>
      <c r="GA318" s="44" t="str">
        <f>IF(Table1[Date of Initial Assessment]="","",IF(AND(Table1[Start Date]&gt;42460,Table1[Start Date]&lt;42826),Table1[Emotional and Mental Health],""))</f>
        <v/>
      </c>
      <c r="GB318" s="44" t="str">
        <f>IF(Table1[Date of Initial Assessment]="","",IF(AND(Table1[Start Date]&gt;42460,Table1[Start Date]&lt;42826),Table1[Meaningful Use of Time],""))</f>
        <v/>
      </c>
      <c r="GC318" s="44" t="str">
        <f>IF(Table1[Date of Initial Assessment]="","",IF(AND(Table1[Start Date]&gt;42460,Table1[Start Date]&lt;42826),Table1[Managing Tenancy and Accommodation],""))</f>
        <v/>
      </c>
      <c r="GD318" s="44" t="str">
        <f>IF(Table1[Date of Initial Assessment]="","",IF(AND(Table1[Start Date]&gt;42460,Table1[Start Date]&lt;42826),Table1[Offending],""))</f>
        <v/>
      </c>
      <c r="GE318" s="44" t="str">
        <f>IF(Table1[Leaving Date]="","",IF(AND(Table1[Leaving Date]&gt;42460,Table1[Leaving Date]&lt;42826),IF(Table1[Date of Last Assessment]="",Table1[Motivation and Taking Responsibility],Table1[Motivation and Taking Responsibility2]),""))</f>
        <v/>
      </c>
      <c r="GF318" s="44" t="str">
        <f>IF(Table1[Leaving Date]="","",IF(AND(Table1[Leaving Date]&gt;42460,Table1[Leaving Date]&lt;42826),IF(Table1[Date of Last Assessment]="",Table1[Self-Care and Living Skills],Table1[Self-Care and Living Skills2]),""))</f>
        <v/>
      </c>
      <c r="GG318" s="44" t="str">
        <f>IF(Table1[Leaving Date]="","",IF(AND(Table1[Leaving Date]&gt;42460,Table1[Leaving Date]&lt;42826),IF(Table1[Date of Last Assessment]="",Table1[Managing Money and Personal Administration],Table1[Managing Money and Personal Administration2]),""))</f>
        <v/>
      </c>
      <c r="GH318" s="44" t="str">
        <f>IF(Table1[Leaving Date]="","",IF(AND(Table1[Leaving Date]&gt;42460,Table1[Leaving Date]&lt;42826),IF(Table1[Date of Last Assessment]="",Table1[Social Networks and Relationships],Table1[Social Networks and Relationships2]),""))</f>
        <v/>
      </c>
      <c r="GI318" s="44" t="str">
        <f>IF(Table1[Leaving Date]="","",IF(AND(Table1[Leaving Date]&gt;42460,Table1[Leaving Date]&lt;42826),IF(Table1[Date of Last Assessment]="",Table1[Drug and Alcohol Misuse],Table1[Drug and Alcohol Misuse2]),""))</f>
        <v/>
      </c>
      <c r="GJ318" s="44" t="str">
        <f>IF(Table1[Leaving Date]="","",IF(AND(Table1[Leaving Date]&gt;42460,Table1[Leaving Date]&lt;42826),IF(Table1[Date of Last Assessment]="",Table1[Physical Health],Table1[Physical Health2]),""))</f>
        <v/>
      </c>
      <c r="GK318" s="44" t="str">
        <f>IF(Table1[Leaving Date]="","",IF(AND(Table1[Leaving Date]&gt;42460,Table1[Leaving Date]&lt;42826),IF(Table1[Date of Last Assessment]="",Table1[Emotional and Mental Health],Table1[Emotional and Mental Health2]),""))</f>
        <v/>
      </c>
      <c r="GL318" s="44" t="str">
        <f>IF(Table1[Leaving Date]="","",IF(AND(Table1[Leaving Date]&gt;42460,Table1[Leaving Date]&lt;42826),IF(Table1[Date of Last Assessment]="",Table1[Meaningful Use of Time],Table1[Meaningful Use of Time2]),""))</f>
        <v/>
      </c>
      <c r="GM318" s="44" t="str">
        <f>IF(Table1[Leaving Date]="","",IF(AND(Table1[Leaving Date]&gt;42460,Table1[Leaving Date]&lt;42826),IF(Table1[Date of Last Assessment]="",Table1[Managing Tenancy and Accommodation],Table1[Managing Tenancy and Accommodation2]),""))</f>
        <v/>
      </c>
      <c r="GN318" s="44" t="str">
        <f>IF(Table1[Leaving Date]="","",IF(AND(Table1[Leaving Date]&gt;42460,Table1[Leaving Date]&lt;42826),IF(Table1[Date of Last Assessment]="",Table1[Offending],Table1[Offending2]),""))</f>
        <v/>
      </c>
    </row>
    <row r="319" spans="2:196" ht="20.100000000000001" customHeight="1" x14ac:dyDescent="0.2">
      <c r="B319" s="86">
        <f>+'Service Data'!$C$5:$C$5</f>
        <v>0</v>
      </c>
      <c r="C319" s="86"/>
      <c r="D319" s="86"/>
      <c r="E319" s="86"/>
      <c r="F319" s="86"/>
      <c r="G319" s="86"/>
      <c r="H319" s="6"/>
      <c r="I319" s="99" t="str">
        <f ca="1">IF(Table1[[#This Row],[Date of Birth]]="","",SUM(TODAY()-Table1[[#This Row],[Date of Birth]])/365)</f>
        <v/>
      </c>
      <c r="L319" s="86"/>
      <c r="M319" s="77"/>
      <c r="N319" s="86"/>
      <c r="O319" s="86"/>
      <c r="P319" s="91"/>
      <c r="Q319" s="86"/>
      <c r="R319" s="77"/>
      <c r="S319" s="77"/>
      <c r="T319" s="68"/>
      <c r="U319" s="68"/>
      <c r="V319" s="67"/>
      <c r="W319" s="67"/>
      <c r="X319" s="67"/>
      <c r="Y319" s="67"/>
      <c r="Z319" s="67"/>
      <c r="AA319" s="67"/>
      <c r="AB319" s="67"/>
      <c r="AC319" s="67"/>
      <c r="AD319" s="67"/>
      <c r="AE319" s="67"/>
      <c r="AF319" s="67"/>
      <c r="AG319" s="67"/>
      <c r="AH319" s="67"/>
      <c r="AI319" s="67"/>
      <c r="AJ319" s="67"/>
      <c r="AK319" s="67"/>
      <c r="AL319" s="67"/>
      <c r="AM319" s="67"/>
      <c r="AN319" s="77"/>
      <c r="AO319" s="76"/>
      <c r="AP319" s="77"/>
      <c r="AQ319" s="76"/>
      <c r="AR319" s="76"/>
      <c r="AS319" s="76"/>
      <c r="AT319" s="76"/>
      <c r="AU319" s="76"/>
      <c r="AV319" s="77"/>
      <c r="AW319" s="76"/>
      <c r="AX319" s="77"/>
      <c r="AY319" s="76"/>
      <c r="AZ319" s="76"/>
      <c r="BA319" s="76"/>
      <c r="BB319" s="76"/>
      <c r="BC319" s="76"/>
      <c r="BD319" s="77"/>
      <c r="BE319" s="76"/>
      <c r="BF319" s="77"/>
      <c r="BG319" s="76"/>
      <c r="BH319" s="76"/>
      <c r="BI319" s="76"/>
      <c r="BJ319" s="76"/>
      <c r="BK319" s="76"/>
      <c r="BL319" s="77"/>
      <c r="BM319" s="76"/>
      <c r="BN319" s="77"/>
      <c r="BO319" s="76"/>
      <c r="BP319" s="76"/>
      <c r="BQ319" s="76"/>
      <c r="BR319" s="76"/>
      <c r="BS319" s="76"/>
      <c r="BT319" s="77"/>
      <c r="BU319" s="76"/>
      <c r="BV319" s="77"/>
      <c r="BW319" s="76"/>
      <c r="BX319" s="76"/>
      <c r="BY319" s="76"/>
      <c r="BZ319" s="76"/>
      <c r="CA319" s="76"/>
      <c r="CB319" s="77"/>
      <c r="CC319" s="76"/>
      <c r="CD319" s="77"/>
      <c r="CE319" s="76"/>
      <c r="CF319" s="76"/>
      <c r="CG319" s="76"/>
      <c r="CH319" s="76"/>
      <c r="CI319" s="76"/>
      <c r="CJ319" s="77"/>
      <c r="CK319" s="76"/>
      <c r="CL319" s="77"/>
      <c r="CM319" s="76"/>
      <c r="CN319" s="76"/>
      <c r="CO319" s="76"/>
      <c r="CP319" s="76"/>
      <c r="CQ319" s="76"/>
      <c r="CR319" s="78" t="str">
        <f t="shared" si="79"/>
        <v/>
      </c>
      <c r="CS319" s="79" t="str">
        <f t="shared" si="80"/>
        <v/>
      </c>
      <c r="CT319" s="79" t="str">
        <f t="shared" si="81"/>
        <v/>
      </c>
      <c r="CU319" s="79" t="str">
        <f t="shared" si="82"/>
        <v/>
      </c>
      <c r="CV319" s="79" t="str">
        <f t="shared" si="83"/>
        <v/>
      </c>
      <c r="CW319" s="79" t="str">
        <f t="shared" si="84"/>
        <v/>
      </c>
      <c r="CX319" s="79" t="str">
        <f t="shared" si="85"/>
        <v/>
      </c>
      <c r="CY319" s="79" t="str">
        <f t="shared" si="86"/>
        <v/>
      </c>
      <c r="CZ319" s="79" t="str">
        <f t="shared" si="87"/>
        <v/>
      </c>
      <c r="DA319" s="79" t="str">
        <f t="shared" si="88"/>
        <v/>
      </c>
      <c r="DB319" s="79" t="str">
        <f t="shared" si="89"/>
        <v/>
      </c>
      <c r="DC319" s="79" t="str">
        <f t="shared" si="90"/>
        <v/>
      </c>
      <c r="DD319" s="79" t="str">
        <f t="shared" si="91"/>
        <v/>
      </c>
      <c r="DE319" s="79" t="str">
        <f t="shared" si="92"/>
        <v/>
      </c>
      <c r="DF319" s="79" t="str">
        <f t="shared" si="93"/>
        <v/>
      </c>
      <c r="DG319" s="79" t="str">
        <f t="shared" si="94"/>
        <v/>
      </c>
      <c r="DH319" s="76"/>
      <c r="DI319" s="78"/>
      <c r="DJ319" s="76"/>
      <c r="DK319" s="77"/>
      <c r="DL319" s="77"/>
      <c r="DM319" s="77"/>
      <c r="DN319" s="80"/>
      <c r="DO319" s="80"/>
      <c r="DP319" s="92" t="str">
        <f>IF(Table1[Start Date]="","",IF(Table1[Start Date]&gt;42185,"",IF(AND(Table1[Leaving Date]&gt;1,Table1[Leaving Date]&lt;42095),"",1)))</f>
        <v/>
      </c>
      <c r="DQ319" s="92" t="str">
        <f>IF(Table1[Start Date]="","",IF(Table1[Start Date]&gt;42277,"",IF(AND(Table1[Leaving Date]&gt;1,Table1[Leaving Date]&lt;42186),"",1)))</f>
        <v/>
      </c>
      <c r="DR319" s="92" t="str">
        <f>IF(Table1[Start Date]="","",IF(Table1[Start Date]&gt;42369,"",IF(AND(Table1[Leaving Date]&gt;1,Table1[Leaving Date]&lt;42278),"",1)))</f>
        <v/>
      </c>
      <c r="DS319" s="92" t="str">
        <f>IF(Table1[Start Date]="","",IF(Table1[Start Date]&gt;42460,"",IF(AND(Table1[Leaving Date]&gt;1,Table1[Leaving Date]&lt;42370),"",1)))</f>
        <v/>
      </c>
      <c r="DT319" s="92" t="str">
        <f>IF(Table1[Start Date]="","",IF(Table1[Start Date]&gt;42551,"",IF(AND(Table1[Leaving Date]&gt;1,Table1[Leaving Date]&lt;42461),"",1)))</f>
        <v/>
      </c>
      <c r="DU319" s="92" t="str">
        <f>IF(Table1[Start Date]="","",IF(Table1[Start Date]&gt;42643,"",IF(AND(Table1[Leaving Date]&gt;1,Table1[Leaving Date]&lt;42552),"",1)))</f>
        <v/>
      </c>
      <c r="DV319" s="92" t="str">
        <f>IF(Table1[Start Date]="","",IF(Table1[Start Date]&gt;42735,"",IF(AND(Table1[Leaving Date]&gt;1,Table1[Leaving Date]&lt;42644),"",1)))</f>
        <v/>
      </c>
      <c r="DW319" s="92" t="str">
        <f>IF(Table1[Start Date]="","",IF(Table1[Start Date]&gt;42825,"",IF(AND(Table1[Leaving Date]&gt;1,Table1[Leaving Date]&lt;42736),"",1)))</f>
        <v/>
      </c>
      <c r="DX319"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319" s="44" t="e">
        <f>VLOOKUP(Table1[Referral Source],Lists!$G$2:$H$20,2,FALSE)</f>
        <v>#N/A</v>
      </c>
      <c r="DZ319" s="93" t="e">
        <f>SUM(Table1[Data Referral Quarter]+Table1[Data Referral Source])</f>
        <v>#N/A</v>
      </c>
      <c r="EA319" s="44" t="b">
        <f>IF(Table1[Referral Decision]="Accepted",100,IF(Table1[Referral Decision]="Rejected by Provider",200,IF(Table1[Referral Decision]="Rejected by Applicant",300)))</f>
        <v>0</v>
      </c>
      <c r="EB319" s="44">
        <f>SUM(Table1[Data Referral Quarter]+Table1[Data Referral Decision])</f>
        <v>0</v>
      </c>
      <c r="EC319" s="44" t="b">
        <f>IF(Table1[Start Date]&gt;42735,8000,IF(Table1[Start Date]&gt;42643,7000,IF(Table1[Start Date]&gt;42551,6000,IF(Table1[Start Date]&gt;42460,5000,IF(Table1[Start Date]&gt;42369,4000,IF(Table1[Start Date]&gt;42277,3000,IF(Table1[Start Date]&gt;42185,2000,IF(Table1[Start Date]&gt;42094,1000))))))))</f>
        <v>0</v>
      </c>
      <c r="ED319" s="44" t="str">
        <f>IF(Table1[Start Date]="","",IF(Table1[Current Local Authority]="Swindon",1,"2"))</f>
        <v/>
      </c>
      <c r="EE319" s="44" t="e">
        <f>SUM(Table1[Data Start Date]+Table1[Data Local Authority])</f>
        <v>#VALUE!</v>
      </c>
      <c r="EF319" s="44">
        <f>IF(Table1[Registered with GP]="Yes",1,0)</f>
        <v>0</v>
      </c>
      <c r="EG319" s="44">
        <f>SUM(Table1[Data Start Date]+Table1[Data GP Start])</f>
        <v>0</v>
      </c>
      <c r="EH319" s="44" t="str">
        <f>IF(Table1[EET]="NEET",1,IF(Table1[EET]="Education",2,IF(Table1[EET]="Employment",2,IF(Table1[EET]="Training",2,IF(Table1[EET]="Retired",3,"")))))</f>
        <v/>
      </c>
      <c r="EI319" s="44" t="e">
        <f>Table1[Data Start Date]+Table1[Data EET Start]</f>
        <v>#VALUE!</v>
      </c>
      <c r="EJ319" s="44" t="b">
        <f>IF(Table1[Leaving Date]&gt;42735,8000,IF(Table1[Leaving Date]&gt;42643,7000,IF(Table1[Leaving Date]&gt;42551,6000,IF(Table1[Leaving Date]&gt;42460,5000,IF(Table1[Leaving Date]&gt;42369,4000,IF(Table1[Leaving Date]&gt;42277,3000,IF(Table1[Leaving Date]&gt;42185,2000,IF(Table1[Leaving Date]&gt;42094,1000))))))))</f>
        <v>0</v>
      </c>
      <c r="EK319" s="44" t="e">
        <f>VLOOKUP(Table1[Reason for Leaving],Lists!$T$2:$U$15,2,FALSE)</f>
        <v>#N/A</v>
      </c>
      <c r="EL319" s="44" t="e">
        <f>SUM(Table1[Data Leavers Date]+Table1[Data Move On])</f>
        <v>#N/A</v>
      </c>
      <c r="EM319" s="44" t="b">
        <f>IF(Table1[Registered with GP2]="Yes",1,IF(Table1[Registered with GP2]="No",0,IF(Table1[Registered with GP]="Yes",1,IF(Table1[Registered with GP]="No",0))))</f>
        <v>0</v>
      </c>
      <c r="EN319" s="44">
        <f>SUM(Table1[Data Leavers Date]+Table1[Data GP End])</f>
        <v>0</v>
      </c>
      <c r="EO319" s="44" t="str">
        <f>IF(Table1[EET2]="NEET",1,IF(Table1[EET2]="Employment",2,IF(Table1[EET2]="Education",2,IF(Table1[EET2]="Training",2,IF(Table1[EET2]="Retired",3,IF(Table1[EET]="NEET",1,IF(Table1[EET]="Employment",2,IF(Table1[EET]="Education",2,IF(Table1[EET]="Training",2,IF(Table1[EET]="Retired",3,""))))))))))</f>
        <v/>
      </c>
      <c r="EP319" s="44" t="e">
        <f>+Table1[[#This Row],[Data Leavers Date]]+Table1[[#This Row],[Data EET End]]</f>
        <v>#VALUE!</v>
      </c>
      <c r="EQ319" s="44">
        <f>IF(Table1[Exit Form Received]="Yes",1,0)</f>
        <v>0</v>
      </c>
      <c r="ER319" s="44">
        <f>+Table1[[#This Row],[Data Leavers Date]]+Table1[[#This Row],[Data Exit Forms]]</f>
        <v>0</v>
      </c>
      <c r="ES319" s="44" t="str">
        <f>IF(Table1[Data Leavers Date]=1000,SUM(Table1[Leaving Date]-Table1[Start Date]),"")</f>
        <v/>
      </c>
      <c r="ET319" s="44" t="str">
        <f>IF(Table1[Data Leavers Date]=2000,SUM(Table1[Leaving Date]-Table1[Start Date]),"")</f>
        <v/>
      </c>
      <c r="EU319" s="44" t="str">
        <f>IF(Table1[Data Leavers Date]=3000,SUM(Table1[Leaving Date]-Table1[Start Date]),"")</f>
        <v/>
      </c>
      <c r="EV319" s="44" t="str">
        <f>IF(Table1[Data Leavers Date]=4000,SUM(Table1[Leaving Date]-Table1[Start Date]),"")</f>
        <v/>
      </c>
      <c r="EW319" s="44" t="str">
        <f>IF(Table1[Data Leavers Date]=5000,SUM(Table1[Leaving Date]-Table1[Start Date]),"")</f>
        <v/>
      </c>
      <c r="EX319" s="44" t="str">
        <f>IF(Table1[Data Leavers Date]=6000,SUM(Table1[Leaving Date]-Table1[Start Date]),"")</f>
        <v/>
      </c>
      <c r="EY319" s="44" t="str">
        <f>IF(Table1[Data Leavers Date]=7000,SUM(Table1[Leaving Date]-Table1[Start Date]),"")</f>
        <v/>
      </c>
      <c r="EZ319" s="44" t="str">
        <f>IF(Table1[Data Leavers Date]=8000,SUM(Table1[Leaving Date]-Table1[Start Date]),"")</f>
        <v/>
      </c>
      <c r="FA319" s="44" t="str">
        <f>IF(Table1[Date of Initial Assessment]="","",IF(AND(Table1[Start Date]&gt;42094,Table1[Start Date]&lt;42461),Table1[Motivation and Taking Responsibility],""))</f>
        <v/>
      </c>
      <c r="FB319" s="44" t="str">
        <f>IF(Table1[Date of Initial Assessment]="","",IF(AND(Table1[Start Date]&gt;42094,Table1[Start Date]&lt;42461),Table1[Self-Care and Living Skills],""))</f>
        <v/>
      </c>
      <c r="FC319" s="44" t="str">
        <f>IF(Table1[Date of Initial Assessment]="","",IF(AND(Table1[Start Date]&gt;42094,Table1[Start Date]&lt;42461),Table1[Managing Money and Personal Administration],""))</f>
        <v/>
      </c>
      <c r="FD319" s="44" t="str">
        <f>IF(Table1[Date of Initial Assessment]="","",IF(AND(Table1[Start Date]&gt;42094,Table1[Start Date]&lt;42461),Table1[Social Networks and Relationships],""))</f>
        <v/>
      </c>
      <c r="FE319" s="44" t="str">
        <f>IF(Table1[Date of Initial Assessment]="","",IF(AND(Table1[Start Date]&gt;42094,Table1[Start Date]&lt;42461),Table1[Drug and Alcohol Misuse],""))</f>
        <v/>
      </c>
      <c r="FF319" s="44" t="str">
        <f>IF(Table1[Date of Initial Assessment]="","",IF(AND(Table1[Start Date]&gt;42094,Table1[Start Date]&lt;42461),Table1[Physical Health],""))</f>
        <v/>
      </c>
      <c r="FG319" s="44" t="str">
        <f>IF(Table1[Date of Initial Assessment]="","",IF(AND(Table1[Start Date]&gt;42094,Table1[Start Date]&lt;42461),Table1[Emotional and Mental Health],""))</f>
        <v/>
      </c>
      <c r="FH319" s="44" t="str">
        <f>IF(Table1[Date of Initial Assessment]="","",IF(AND(Table1[Start Date]&gt;42094,Table1[Start Date]&lt;42461),Table1[Meaningful Use of Time],""))</f>
        <v/>
      </c>
      <c r="FI319" s="44" t="str">
        <f>IF(Table1[Date of Initial Assessment]="","",IF(AND(Table1[Start Date]&gt;42094,Table1[Start Date]&lt;42461),Table1[Managing Tenancy and Accommodation],""))</f>
        <v/>
      </c>
      <c r="FJ319" s="44" t="str">
        <f>IF(Table1[Date of Initial Assessment]="","",IF(AND(Table1[Start Date]&gt;42094,Table1[Start Date]&lt;42461),Table1[Offending],""))</f>
        <v/>
      </c>
      <c r="FK319" s="44" t="str">
        <f>IF(Table1[Leaving Date]="","",IF(Table1[Date of Initial Assessment]="","",IF(AND(Table1[Leaving Date]&gt;42094,Table1[Leaving Date]&lt;42461),IF(Table1[Date of Last Assessment]="",Table1[Motivation and Taking Responsibility],Table1[Motivation and Taking Responsibility2]),"")))</f>
        <v/>
      </c>
      <c r="FL319" s="44" t="str">
        <f>IF(Table1[Leaving Date]="","",IF(Table1[Date of Initial Assessment]="","",IF(AND(Table1[Leaving Date]&gt;42094,Table1[Leaving Date]&lt;42461),IF(Table1[Date of Last Assessment]="",Table1[Self-Care and Living Skills],Table1[Self-Care and Living Skills2]),"")))</f>
        <v/>
      </c>
      <c r="FM319" s="44" t="str">
        <f>IF(Table1[Leaving Date]="","",IF(Table1[Date of Initial Assessment]="","",IF(AND(Table1[Leaving Date]&gt;42094,Table1[Leaving Date]&lt;42461),IF(Table1[Date of Last Assessment]="",Table1[Managing Money and Personal Administration],Table1[Managing Money and Personal Administration2]),"")))</f>
        <v/>
      </c>
      <c r="FN319" s="44" t="str">
        <f>IF(Table1[Leaving Date]="","",IF(Table1[Date of Initial Assessment]="","",IF(AND(Table1[Leaving Date]&gt;42094,Table1[Leaving Date]&lt;42461),IF(Table1[Date of Last Assessment]="",Table1[Social Networks and Relationships],Table1[Social Networks and Relationships2]),"")))</f>
        <v/>
      </c>
      <c r="FO319" s="44" t="str">
        <f>IF(Table1[Leaving Date]="","",IF(Table1[Date of Initial Assessment]="","",IF(AND(Table1[Leaving Date]&gt;42094,Table1[Leaving Date]&lt;42461),IF(Table1[Date of Last Assessment]="",Table1[Drug and Alcohol Misuse],Table1[Drug and Alcohol Misuse2]),"")))</f>
        <v/>
      </c>
      <c r="FP319" s="44" t="str">
        <f>IF(Table1[Leaving Date]="","",IF(Table1[Date of Initial Assessment]="","",IF(AND(Table1[Leaving Date]&gt;42094,Table1[Leaving Date]&lt;42461),IF(Table1[Date of Last Assessment]="",Table1[Physical Health],Table1[Physical Health2]),"")))</f>
        <v/>
      </c>
      <c r="FQ319" s="44" t="str">
        <f>IF(Table1[Leaving Date]="","",IF(Table1[Date of Initial Assessment]="","",IF(AND(Table1[Leaving Date]&gt;42094,Table1[Leaving Date]&lt;42461),IF(Table1[Date of Last Assessment]="",Table1[Emotional and Mental Health],Table1[Emotional and Mental Health2]),"")))</f>
        <v/>
      </c>
      <c r="FR319" s="44" t="str">
        <f>IF(Table1[Leaving Date]="","",IF(Table1[Date of Initial Assessment]="","",IF(AND(Table1[Leaving Date]&gt;42094,Table1[Leaving Date]&lt;42461),IF(Table1[Date of Last Assessment]="",Table1[Meaningful Use of Time],Table1[Meaningful Use of Time2]),"")))</f>
        <v/>
      </c>
      <c r="FS319" s="44" t="str">
        <f>IF(Table1[Leaving Date]="","",IF(Table1[Date of Initial Assessment]="","",IF(AND(Table1[Leaving Date]&gt;42094,Table1[Leaving Date]&lt;42461),IF(Table1[Date of Last Assessment]="",Table1[Managing Tenancy and Accommodation],Table1[Managing Tenancy and Accommodation2]),"")))</f>
        <v/>
      </c>
      <c r="FT319" s="44" t="str">
        <f>IF(Table1[Leaving Date]="","",IF(Table1[Date of Initial Assessment]="","",IF(AND(Table1[Leaving Date]&gt;42094,Table1[Leaving Date]&lt;42461),IF(Table1[Date of Last Assessment]="",Table1[Offending],Table1[Offending2]),"")))</f>
        <v/>
      </c>
      <c r="FU319" s="44" t="str">
        <f>IF(Table1[Date of Initial Assessment]="","",IF(AND(Table1[Start Date]&gt;42460,Table1[Start Date]&lt;42826),Table1[Motivation and Taking Responsibility],""))</f>
        <v/>
      </c>
      <c r="FV319" s="44" t="str">
        <f>IF(Table1[Date of Initial Assessment]="","",IF(AND(Table1[Start Date]&gt;42460,Table1[Start Date]&lt;42826),Table1[Self-Care and Living Skills],""))</f>
        <v/>
      </c>
      <c r="FW319" s="44" t="str">
        <f>IF(Table1[Date of Initial Assessment]="","",IF(AND(Table1[Start Date]&gt;42460,Table1[Start Date]&lt;42826),Table1[Managing Money and Personal Administration],""))</f>
        <v/>
      </c>
      <c r="FX319" s="44" t="str">
        <f>IF(Table1[Date of Initial Assessment]="","",IF(AND(Table1[Start Date]&gt;42460,Table1[Start Date]&lt;42826),Table1[Social Networks and Relationships],""))</f>
        <v/>
      </c>
      <c r="FY319" s="44" t="str">
        <f>IF(Table1[Date of Initial Assessment]="","",IF(AND(Table1[Start Date]&gt;42460,Table1[Start Date]&lt;42826),Table1[Drug and Alcohol Misuse],""))</f>
        <v/>
      </c>
      <c r="FZ319" s="44" t="str">
        <f>IF(Table1[Date of Initial Assessment]="","",IF(AND(Table1[Start Date]&gt;42460,Table1[Start Date]&lt;42826),Table1[Physical Health],""))</f>
        <v/>
      </c>
      <c r="GA319" s="44" t="str">
        <f>IF(Table1[Date of Initial Assessment]="","",IF(AND(Table1[Start Date]&gt;42460,Table1[Start Date]&lt;42826),Table1[Emotional and Mental Health],""))</f>
        <v/>
      </c>
      <c r="GB319" s="44" t="str">
        <f>IF(Table1[Date of Initial Assessment]="","",IF(AND(Table1[Start Date]&gt;42460,Table1[Start Date]&lt;42826),Table1[Meaningful Use of Time],""))</f>
        <v/>
      </c>
      <c r="GC319" s="44" t="str">
        <f>IF(Table1[Date of Initial Assessment]="","",IF(AND(Table1[Start Date]&gt;42460,Table1[Start Date]&lt;42826),Table1[Managing Tenancy and Accommodation],""))</f>
        <v/>
      </c>
      <c r="GD319" s="44" t="str">
        <f>IF(Table1[Date of Initial Assessment]="","",IF(AND(Table1[Start Date]&gt;42460,Table1[Start Date]&lt;42826),Table1[Offending],""))</f>
        <v/>
      </c>
      <c r="GE319" s="44" t="str">
        <f>IF(Table1[Leaving Date]="","",IF(AND(Table1[Leaving Date]&gt;42460,Table1[Leaving Date]&lt;42826),IF(Table1[Date of Last Assessment]="",Table1[Motivation and Taking Responsibility],Table1[Motivation and Taking Responsibility2]),""))</f>
        <v/>
      </c>
      <c r="GF319" s="44" t="str">
        <f>IF(Table1[Leaving Date]="","",IF(AND(Table1[Leaving Date]&gt;42460,Table1[Leaving Date]&lt;42826),IF(Table1[Date of Last Assessment]="",Table1[Self-Care and Living Skills],Table1[Self-Care and Living Skills2]),""))</f>
        <v/>
      </c>
      <c r="GG319" s="44" t="str">
        <f>IF(Table1[Leaving Date]="","",IF(AND(Table1[Leaving Date]&gt;42460,Table1[Leaving Date]&lt;42826),IF(Table1[Date of Last Assessment]="",Table1[Managing Money and Personal Administration],Table1[Managing Money and Personal Administration2]),""))</f>
        <v/>
      </c>
      <c r="GH319" s="44" t="str">
        <f>IF(Table1[Leaving Date]="","",IF(AND(Table1[Leaving Date]&gt;42460,Table1[Leaving Date]&lt;42826),IF(Table1[Date of Last Assessment]="",Table1[Social Networks and Relationships],Table1[Social Networks and Relationships2]),""))</f>
        <v/>
      </c>
      <c r="GI319" s="44" t="str">
        <f>IF(Table1[Leaving Date]="","",IF(AND(Table1[Leaving Date]&gt;42460,Table1[Leaving Date]&lt;42826),IF(Table1[Date of Last Assessment]="",Table1[Drug and Alcohol Misuse],Table1[Drug and Alcohol Misuse2]),""))</f>
        <v/>
      </c>
      <c r="GJ319" s="44" t="str">
        <f>IF(Table1[Leaving Date]="","",IF(AND(Table1[Leaving Date]&gt;42460,Table1[Leaving Date]&lt;42826),IF(Table1[Date of Last Assessment]="",Table1[Physical Health],Table1[Physical Health2]),""))</f>
        <v/>
      </c>
      <c r="GK319" s="44" t="str">
        <f>IF(Table1[Leaving Date]="","",IF(AND(Table1[Leaving Date]&gt;42460,Table1[Leaving Date]&lt;42826),IF(Table1[Date of Last Assessment]="",Table1[Emotional and Mental Health],Table1[Emotional and Mental Health2]),""))</f>
        <v/>
      </c>
      <c r="GL319" s="44" t="str">
        <f>IF(Table1[Leaving Date]="","",IF(AND(Table1[Leaving Date]&gt;42460,Table1[Leaving Date]&lt;42826),IF(Table1[Date of Last Assessment]="",Table1[Meaningful Use of Time],Table1[Meaningful Use of Time2]),""))</f>
        <v/>
      </c>
      <c r="GM319" s="44" t="str">
        <f>IF(Table1[Leaving Date]="","",IF(AND(Table1[Leaving Date]&gt;42460,Table1[Leaving Date]&lt;42826),IF(Table1[Date of Last Assessment]="",Table1[Managing Tenancy and Accommodation],Table1[Managing Tenancy and Accommodation2]),""))</f>
        <v/>
      </c>
      <c r="GN319" s="44" t="str">
        <f>IF(Table1[Leaving Date]="","",IF(AND(Table1[Leaving Date]&gt;42460,Table1[Leaving Date]&lt;42826),IF(Table1[Date of Last Assessment]="",Table1[Offending],Table1[Offending2]),""))</f>
        <v/>
      </c>
    </row>
    <row r="320" spans="2:196" ht="20.100000000000001" customHeight="1" x14ac:dyDescent="0.2">
      <c r="B320" s="86">
        <f>+'Service Data'!$C$5:$C$5</f>
        <v>0</v>
      </c>
      <c r="C320" s="86"/>
      <c r="D320" s="86"/>
      <c r="E320" s="86"/>
      <c r="F320" s="86"/>
      <c r="G320" s="86"/>
      <c r="H320" s="6"/>
      <c r="I320" s="99" t="str">
        <f ca="1">IF(Table1[[#This Row],[Date of Birth]]="","",SUM(TODAY()-Table1[[#This Row],[Date of Birth]])/365)</f>
        <v/>
      </c>
      <c r="L320" s="86"/>
      <c r="M320" s="77"/>
      <c r="N320" s="86"/>
      <c r="O320" s="86"/>
      <c r="P320" s="91"/>
      <c r="Q320" s="86"/>
      <c r="R320" s="77"/>
      <c r="S320" s="77"/>
      <c r="T320" s="68"/>
      <c r="U320" s="68"/>
      <c r="V320" s="67"/>
      <c r="W320" s="67"/>
      <c r="X320" s="67"/>
      <c r="Y320" s="67"/>
      <c r="Z320" s="67"/>
      <c r="AA320" s="67"/>
      <c r="AB320" s="67"/>
      <c r="AC320" s="67"/>
      <c r="AD320" s="67"/>
      <c r="AE320" s="67"/>
      <c r="AF320" s="67"/>
      <c r="AG320" s="67"/>
      <c r="AH320" s="67"/>
      <c r="AI320" s="67"/>
      <c r="AJ320" s="67"/>
      <c r="AK320" s="67"/>
      <c r="AL320" s="67"/>
      <c r="AM320" s="67"/>
      <c r="AN320" s="77"/>
      <c r="AO320" s="76"/>
      <c r="AP320" s="77"/>
      <c r="AQ320" s="76"/>
      <c r="AR320" s="76"/>
      <c r="AS320" s="76"/>
      <c r="AT320" s="76"/>
      <c r="AU320" s="76"/>
      <c r="AV320" s="77"/>
      <c r="AW320" s="76"/>
      <c r="AX320" s="77"/>
      <c r="AY320" s="76"/>
      <c r="AZ320" s="76"/>
      <c r="BA320" s="76"/>
      <c r="BB320" s="76"/>
      <c r="BC320" s="76"/>
      <c r="BD320" s="77"/>
      <c r="BE320" s="76"/>
      <c r="BF320" s="77"/>
      <c r="BG320" s="76"/>
      <c r="BH320" s="76"/>
      <c r="BI320" s="76"/>
      <c r="BJ320" s="76"/>
      <c r="BK320" s="76"/>
      <c r="BL320" s="77"/>
      <c r="BM320" s="76"/>
      <c r="BN320" s="77"/>
      <c r="BO320" s="76"/>
      <c r="BP320" s="76"/>
      <c r="BQ320" s="76"/>
      <c r="BR320" s="76"/>
      <c r="BS320" s="76"/>
      <c r="BT320" s="77"/>
      <c r="BU320" s="76"/>
      <c r="BV320" s="77"/>
      <c r="BW320" s="76"/>
      <c r="BX320" s="76"/>
      <c r="BY320" s="76"/>
      <c r="BZ320" s="76"/>
      <c r="CA320" s="76"/>
      <c r="CB320" s="77"/>
      <c r="CC320" s="76"/>
      <c r="CD320" s="77"/>
      <c r="CE320" s="76"/>
      <c r="CF320" s="76"/>
      <c r="CG320" s="76"/>
      <c r="CH320" s="76"/>
      <c r="CI320" s="76"/>
      <c r="CJ320" s="77"/>
      <c r="CK320" s="76"/>
      <c r="CL320" s="77"/>
      <c r="CM320" s="76"/>
      <c r="CN320" s="76"/>
      <c r="CO320" s="76"/>
      <c r="CP320" s="76"/>
      <c r="CQ320" s="76"/>
      <c r="CR320" s="78" t="str">
        <f t="shared" si="79"/>
        <v/>
      </c>
      <c r="CS320" s="79" t="str">
        <f t="shared" si="80"/>
        <v/>
      </c>
      <c r="CT320" s="79" t="str">
        <f t="shared" si="81"/>
        <v/>
      </c>
      <c r="CU320" s="79" t="str">
        <f t="shared" si="82"/>
        <v/>
      </c>
      <c r="CV320" s="79" t="str">
        <f t="shared" si="83"/>
        <v/>
      </c>
      <c r="CW320" s="79" t="str">
        <f t="shared" si="84"/>
        <v/>
      </c>
      <c r="CX320" s="79" t="str">
        <f t="shared" si="85"/>
        <v/>
      </c>
      <c r="CY320" s="79" t="str">
        <f t="shared" si="86"/>
        <v/>
      </c>
      <c r="CZ320" s="79" t="str">
        <f t="shared" si="87"/>
        <v/>
      </c>
      <c r="DA320" s="79" t="str">
        <f t="shared" si="88"/>
        <v/>
      </c>
      <c r="DB320" s="79" t="str">
        <f t="shared" si="89"/>
        <v/>
      </c>
      <c r="DC320" s="79" t="str">
        <f t="shared" si="90"/>
        <v/>
      </c>
      <c r="DD320" s="79" t="str">
        <f t="shared" si="91"/>
        <v/>
      </c>
      <c r="DE320" s="79" t="str">
        <f t="shared" si="92"/>
        <v/>
      </c>
      <c r="DF320" s="79" t="str">
        <f t="shared" si="93"/>
        <v/>
      </c>
      <c r="DG320" s="79" t="str">
        <f t="shared" si="94"/>
        <v/>
      </c>
      <c r="DH320" s="76"/>
      <c r="DI320" s="78"/>
      <c r="DJ320" s="76"/>
      <c r="DK320" s="77"/>
      <c r="DL320" s="77"/>
      <c r="DM320" s="77"/>
      <c r="DN320" s="80"/>
      <c r="DO320" s="80"/>
      <c r="DP320" s="92" t="str">
        <f>IF(Table1[Start Date]="","",IF(Table1[Start Date]&gt;42185,"",IF(AND(Table1[Leaving Date]&gt;1,Table1[Leaving Date]&lt;42095),"",1)))</f>
        <v/>
      </c>
      <c r="DQ320" s="92" t="str">
        <f>IF(Table1[Start Date]="","",IF(Table1[Start Date]&gt;42277,"",IF(AND(Table1[Leaving Date]&gt;1,Table1[Leaving Date]&lt;42186),"",1)))</f>
        <v/>
      </c>
      <c r="DR320" s="92" t="str">
        <f>IF(Table1[Start Date]="","",IF(Table1[Start Date]&gt;42369,"",IF(AND(Table1[Leaving Date]&gt;1,Table1[Leaving Date]&lt;42278),"",1)))</f>
        <v/>
      </c>
      <c r="DS320" s="92" t="str">
        <f>IF(Table1[Start Date]="","",IF(Table1[Start Date]&gt;42460,"",IF(AND(Table1[Leaving Date]&gt;1,Table1[Leaving Date]&lt;42370),"",1)))</f>
        <v/>
      </c>
      <c r="DT320" s="92" t="str">
        <f>IF(Table1[Start Date]="","",IF(Table1[Start Date]&gt;42551,"",IF(AND(Table1[Leaving Date]&gt;1,Table1[Leaving Date]&lt;42461),"",1)))</f>
        <v/>
      </c>
      <c r="DU320" s="92" t="str">
        <f>IF(Table1[Start Date]="","",IF(Table1[Start Date]&gt;42643,"",IF(AND(Table1[Leaving Date]&gt;1,Table1[Leaving Date]&lt;42552),"",1)))</f>
        <v/>
      </c>
      <c r="DV320" s="92" t="str">
        <f>IF(Table1[Start Date]="","",IF(Table1[Start Date]&gt;42735,"",IF(AND(Table1[Leaving Date]&gt;1,Table1[Leaving Date]&lt;42644),"",1)))</f>
        <v/>
      </c>
      <c r="DW320" s="92" t="str">
        <f>IF(Table1[Start Date]="","",IF(Table1[Start Date]&gt;42825,"",IF(AND(Table1[Leaving Date]&gt;1,Table1[Leaving Date]&lt;42736),"",1)))</f>
        <v/>
      </c>
      <c r="DX320"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320" s="44" t="e">
        <f>VLOOKUP(Table1[Referral Source],Lists!$G$2:$H$20,2,FALSE)</f>
        <v>#N/A</v>
      </c>
      <c r="DZ320" s="93" t="e">
        <f>SUM(Table1[Data Referral Quarter]+Table1[Data Referral Source])</f>
        <v>#N/A</v>
      </c>
      <c r="EA320" s="44" t="b">
        <f>IF(Table1[Referral Decision]="Accepted",100,IF(Table1[Referral Decision]="Rejected by Provider",200,IF(Table1[Referral Decision]="Rejected by Applicant",300)))</f>
        <v>0</v>
      </c>
      <c r="EB320" s="44">
        <f>SUM(Table1[Data Referral Quarter]+Table1[Data Referral Decision])</f>
        <v>0</v>
      </c>
      <c r="EC320" s="44" t="b">
        <f>IF(Table1[Start Date]&gt;42735,8000,IF(Table1[Start Date]&gt;42643,7000,IF(Table1[Start Date]&gt;42551,6000,IF(Table1[Start Date]&gt;42460,5000,IF(Table1[Start Date]&gt;42369,4000,IF(Table1[Start Date]&gt;42277,3000,IF(Table1[Start Date]&gt;42185,2000,IF(Table1[Start Date]&gt;42094,1000))))))))</f>
        <v>0</v>
      </c>
      <c r="ED320" s="44" t="str">
        <f>IF(Table1[Start Date]="","",IF(Table1[Current Local Authority]="Swindon",1,"2"))</f>
        <v/>
      </c>
      <c r="EE320" s="44" t="e">
        <f>SUM(Table1[Data Start Date]+Table1[Data Local Authority])</f>
        <v>#VALUE!</v>
      </c>
      <c r="EF320" s="44">
        <f>IF(Table1[Registered with GP]="Yes",1,0)</f>
        <v>0</v>
      </c>
      <c r="EG320" s="44">
        <f>SUM(Table1[Data Start Date]+Table1[Data GP Start])</f>
        <v>0</v>
      </c>
      <c r="EH320" s="44" t="str">
        <f>IF(Table1[EET]="NEET",1,IF(Table1[EET]="Education",2,IF(Table1[EET]="Employment",2,IF(Table1[EET]="Training",2,IF(Table1[EET]="Retired",3,"")))))</f>
        <v/>
      </c>
      <c r="EI320" s="44" t="e">
        <f>Table1[Data Start Date]+Table1[Data EET Start]</f>
        <v>#VALUE!</v>
      </c>
      <c r="EJ320" s="44" t="b">
        <f>IF(Table1[Leaving Date]&gt;42735,8000,IF(Table1[Leaving Date]&gt;42643,7000,IF(Table1[Leaving Date]&gt;42551,6000,IF(Table1[Leaving Date]&gt;42460,5000,IF(Table1[Leaving Date]&gt;42369,4000,IF(Table1[Leaving Date]&gt;42277,3000,IF(Table1[Leaving Date]&gt;42185,2000,IF(Table1[Leaving Date]&gt;42094,1000))))))))</f>
        <v>0</v>
      </c>
      <c r="EK320" s="44" t="e">
        <f>VLOOKUP(Table1[Reason for Leaving],Lists!$T$2:$U$15,2,FALSE)</f>
        <v>#N/A</v>
      </c>
      <c r="EL320" s="44" t="e">
        <f>SUM(Table1[Data Leavers Date]+Table1[Data Move On])</f>
        <v>#N/A</v>
      </c>
      <c r="EM320" s="44" t="b">
        <f>IF(Table1[Registered with GP2]="Yes",1,IF(Table1[Registered with GP2]="No",0,IF(Table1[Registered with GP]="Yes",1,IF(Table1[Registered with GP]="No",0))))</f>
        <v>0</v>
      </c>
      <c r="EN320" s="44">
        <f>SUM(Table1[Data Leavers Date]+Table1[Data GP End])</f>
        <v>0</v>
      </c>
      <c r="EO320" s="44" t="str">
        <f>IF(Table1[EET2]="NEET",1,IF(Table1[EET2]="Employment",2,IF(Table1[EET2]="Education",2,IF(Table1[EET2]="Training",2,IF(Table1[EET2]="Retired",3,IF(Table1[EET]="NEET",1,IF(Table1[EET]="Employment",2,IF(Table1[EET]="Education",2,IF(Table1[EET]="Training",2,IF(Table1[EET]="Retired",3,""))))))))))</f>
        <v/>
      </c>
      <c r="EP320" s="44" t="e">
        <f>+Table1[[#This Row],[Data Leavers Date]]+Table1[[#This Row],[Data EET End]]</f>
        <v>#VALUE!</v>
      </c>
      <c r="EQ320" s="44">
        <f>IF(Table1[Exit Form Received]="Yes",1,0)</f>
        <v>0</v>
      </c>
      <c r="ER320" s="44">
        <f>+Table1[[#This Row],[Data Leavers Date]]+Table1[[#This Row],[Data Exit Forms]]</f>
        <v>0</v>
      </c>
      <c r="ES320" s="44" t="str">
        <f>IF(Table1[Data Leavers Date]=1000,SUM(Table1[Leaving Date]-Table1[Start Date]),"")</f>
        <v/>
      </c>
      <c r="ET320" s="44" t="str">
        <f>IF(Table1[Data Leavers Date]=2000,SUM(Table1[Leaving Date]-Table1[Start Date]),"")</f>
        <v/>
      </c>
      <c r="EU320" s="44" t="str">
        <f>IF(Table1[Data Leavers Date]=3000,SUM(Table1[Leaving Date]-Table1[Start Date]),"")</f>
        <v/>
      </c>
      <c r="EV320" s="44" t="str">
        <f>IF(Table1[Data Leavers Date]=4000,SUM(Table1[Leaving Date]-Table1[Start Date]),"")</f>
        <v/>
      </c>
      <c r="EW320" s="44" t="str">
        <f>IF(Table1[Data Leavers Date]=5000,SUM(Table1[Leaving Date]-Table1[Start Date]),"")</f>
        <v/>
      </c>
      <c r="EX320" s="44" t="str">
        <f>IF(Table1[Data Leavers Date]=6000,SUM(Table1[Leaving Date]-Table1[Start Date]),"")</f>
        <v/>
      </c>
      <c r="EY320" s="44" t="str">
        <f>IF(Table1[Data Leavers Date]=7000,SUM(Table1[Leaving Date]-Table1[Start Date]),"")</f>
        <v/>
      </c>
      <c r="EZ320" s="44" t="str">
        <f>IF(Table1[Data Leavers Date]=8000,SUM(Table1[Leaving Date]-Table1[Start Date]),"")</f>
        <v/>
      </c>
      <c r="FA320" s="44" t="str">
        <f>IF(Table1[Date of Initial Assessment]="","",IF(AND(Table1[Start Date]&gt;42094,Table1[Start Date]&lt;42461),Table1[Motivation and Taking Responsibility],""))</f>
        <v/>
      </c>
      <c r="FB320" s="44" t="str">
        <f>IF(Table1[Date of Initial Assessment]="","",IF(AND(Table1[Start Date]&gt;42094,Table1[Start Date]&lt;42461),Table1[Self-Care and Living Skills],""))</f>
        <v/>
      </c>
      <c r="FC320" s="44" t="str">
        <f>IF(Table1[Date of Initial Assessment]="","",IF(AND(Table1[Start Date]&gt;42094,Table1[Start Date]&lt;42461),Table1[Managing Money and Personal Administration],""))</f>
        <v/>
      </c>
      <c r="FD320" s="44" t="str">
        <f>IF(Table1[Date of Initial Assessment]="","",IF(AND(Table1[Start Date]&gt;42094,Table1[Start Date]&lt;42461),Table1[Social Networks and Relationships],""))</f>
        <v/>
      </c>
      <c r="FE320" s="44" t="str">
        <f>IF(Table1[Date of Initial Assessment]="","",IF(AND(Table1[Start Date]&gt;42094,Table1[Start Date]&lt;42461),Table1[Drug and Alcohol Misuse],""))</f>
        <v/>
      </c>
      <c r="FF320" s="44" t="str">
        <f>IF(Table1[Date of Initial Assessment]="","",IF(AND(Table1[Start Date]&gt;42094,Table1[Start Date]&lt;42461),Table1[Physical Health],""))</f>
        <v/>
      </c>
      <c r="FG320" s="44" t="str">
        <f>IF(Table1[Date of Initial Assessment]="","",IF(AND(Table1[Start Date]&gt;42094,Table1[Start Date]&lt;42461),Table1[Emotional and Mental Health],""))</f>
        <v/>
      </c>
      <c r="FH320" s="44" t="str">
        <f>IF(Table1[Date of Initial Assessment]="","",IF(AND(Table1[Start Date]&gt;42094,Table1[Start Date]&lt;42461),Table1[Meaningful Use of Time],""))</f>
        <v/>
      </c>
      <c r="FI320" s="44" t="str">
        <f>IF(Table1[Date of Initial Assessment]="","",IF(AND(Table1[Start Date]&gt;42094,Table1[Start Date]&lt;42461),Table1[Managing Tenancy and Accommodation],""))</f>
        <v/>
      </c>
      <c r="FJ320" s="44" t="str">
        <f>IF(Table1[Date of Initial Assessment]="","",IF(AND(Table1[Start Date]&gt;42094,Table1[Start Date]&lt;42461),Table1[Offending],""))</f>
        <v/>
      </c>
      <c r="FK320" s="44" t="str">
        <f>IF(Table1[Leaving Date]="","",IF(Table1[Date of Initial Assessment]="","",IF(AND(Table1[Leaving Date]&gt;42094,Table1[Leaving Date]&lt;42461),IF(Table1[Date of Last Assessment]="",Table1[Motivation and Taking Responsibility],Table1[Motivation and Taking Responsibility2]),"")))</f>
        <v/>
      </c>
      <c r="FL320" s="44" t="str">
        <f>IF(Table1[Leaving Date]="","",IF(Table1[Date of Initial Assessment]="","",IF(AND(Table1[Leaving Date]&gt;42094,Table1[Leaving Date]&lt;42461),IF(Table1[Date of Last Assessment]="",Table1[Self-Care and Living Skills],Table1[Self-Care and Living Skills2]),"")))</f>
        <v/>
      </c>
      <c r="FM320" s="44" t="str">
        <f>IF(Table1[Leaving Date]="","",IF(Table1[Date of Initial Assessment]="","",IF(AND(Table1[Leaving Date]&gt;42094,Table1[Leaving Date]&lt;42461),IF(Table1[Date of Last Assessment]="",Table1[Managing Money and Personal Administration],Table1[Managing Money and Personal Administration2]),"")))</f>
        <v/>
      </c>
      <c r="FN320" s="44" t="str">
        <f>IF(Table1[Leaving Date]="","",IF(Table1[Date of Initial Assessment]="","",IF(AND(Table1[Leaving Date]&gt;42094,Table1[Leaving Date]&lt;42461),IF(Table1[Date of Last Assessment]="",Table1[Social Networks and Relationships],Table1[Social Networks and Relationships2]),"")))</f>
        <v/>
      </c>
      <c r="FO320" s="44" t="str">
        <f>IF(Table1[Leaving Date]="","",IF(Table1[Date of Initial Assessment]="","",IF(AND(Table1[Leaving Date]&gt;42094,Table1[Leaving Date]&lt;42461),IF(Table1[Date of Last Assessment]="",Table1[Drug and Alcohol Misuse],Table1[Drug and Alcohol Misuse2]),"")))</f>
        <v/>
      </c>
      <c r="FP320" s="44" t="str">
        <f>IF(Table1[Leaving Date]="","",IF(Table1[Date of Initial Assessment]="","",IF(AND(Table1[Leaving Date]&gt;42094,Table1[Leaving Date]&lt;42461),IF(Table1[Date of Last Assessment]="",Table1[Physical Health],Table1[Physical Health2]),"")))</f>
        <v/>
      </c>
      <c r="FQ320" s="44" t="str">
        <f>IF(Table1[Leaving Date]="","",IF(Table1[Date of Initial Assessment]="","",IF(AND(Table1[Leaving Date]&gt;42094,Table1[Leaving Date]&lt;42461),IF(Table1[Date of Last Assessment]="",Table1[Emotional and Mental Health],Table1[Emotional and Mental Health2]),"")))</f>
        <v/>
      </c>
      <c r="FR320" s="44" t="str">
        <f>IF(Table1[Leaving Date]="","",IF(Table1[Date of Initial Assessment]="","",IF(AND(Table1[Leaving Date]&gt;42094,Table1[Leaving Date]&lt;42461),IF(Table1[Date of Last Assessment]="",Table1[Meaningful Use of Time],Table1[Meaningful Use of Time2]),"")))</f>
        <v/>
      </c>
      <c r="FS320" s="44" t="str">
        <f>IF(Table1[Leaving Date]="","",IF(Table1[Date of Initial Assessment]="","",IF(AND(Table1[Leaving Date]&gt;42094,Table1[Leaving Date]&lt;42461),IF(Table1[Date of Last Assessment]="",Table1[Managing Tenancy and Accommodation],Table1[Managing Tenancy and Accommodation2]),"")))</f>
        <v/>
      </c>
      <c r="FT320" s="44" t="str">
        <f>IF(Table1[Leaving Date]="","",IF(Table1[Date of Initial Assessment]="","",IF(AND(Table1[Leaving Date]&gt;42094,Table1[Leaving Date]&lt;42461),IF(Table1[Date of Last Assessment]="",Table1[Offending],Table1[Offending2]),"")))</f>
        <v/>
      </c>
      <c r="FU320" s="44" t="str">
        <f>IF(Table1[Date of Initial Assessment]="","",IF(AND(Table1[Start Date]&gt;42460,Table1[Start Date]&lt;42826),Table1[Motivation and Taking Responsibility],""))</f>
        <v/>
      </c>
      <c r="FV320" s="44" t="str">
        <f>IF(Table1[Date of Initial Assessment]="","",IF(AND(Table1[Start Date]&gt;42460,Table1[Start Date]&lt;42826),Table1[Self-Care and Living Skills],""))</f>
        <v/>
      </c>
      <c r="FW320" s="44" t="str">
        <f>IF(Table1[Date of Initial Assessment]="","",IF(AND(Table1[Start Date]&gt;42460,Table1[Start Date]&lt;42826),Table1[Managing Money and Personal Administration],""))</f>
        <v/>
      </c>
      <c r="FX320" s="44" t="str">
        <f>IF(Table1[Date of Initial Assessment]="","",IF(AND(Table1[Start Date]&gt;42460,Table1[Start Date]&lt;42826),Table1[Social Networks and Relationships],""))</f>
        <v/>
      </c>
      <c r="FY320" s="44" t="str">
        <f>IF(Table1[Date of Initial Assessment]="","",IF(AND(Table1[Start Date]&gt;42460,Table1[Start Date]&lt;42826),Table1[Drug and Alcohol Misuse],""))</f>
        <v/>
      </c>
      <c r="FZ320" s="44" t="str">
        <f>IF(Table1[Date of Initial Assessment]="","",IF(AND(Table1[Start Date]&gt;42460,Table1[Start Date]&lt;42826),Table1[Physical Health],""))</f>
        <v/>
      </c>
      <c r="GA320" s="44" t="str">
        <f>IF(Table1[Date of Initial Assessment]="","",IF(AND(Table1[Start Date]&gt;42460,Table1[Start Date]&lt;42826),Table1[Emotional and Mental Health],""))</f>
        <v/>
      </c>
      <c r="GB320" s="44" t="str">
        <f>IF(Table1[Date of Initial Assessment]="","",IF(AND(Table1[Start Date]&gt;42460,Table1[Start Date]&lt;42826),Table1[Meaningful Use of Time],""))</f>
        <v/>
      </c>
      <c r="GC320" s="44" t="str">
        <f>IF(Table1[Date of Initial Assessment]="","",IF(AND(Table1[Start Date]&gt;42460,Table1[Start Date]&lt;42826),Table1[Managing Tenancy and Accommodation],""))</f>
        <v/>
      </c>
      <c r="GD320" s="44" t="str">
        <f>IF(Table1[Date of Initial Assessment]="","",IF(AND(Table1[Start Date]&gt;42460,Table1[Start Date]&lt;42826),Table1[Offending],""))</f>
        <v/>
      </c>
      <c r="GE320" s="44" t="str">
        <f>IF(Table1[Leaving Date]="","",IF(AND(Table1[Leaving Date]&gt;42460,Table1[Leaving Date]&lt;42826),IF(Table1[Date of Last Assessment]="",Table1[Motivation and Taking Responsibility],Table1[Motivation and Taking Responsibility2]),""))</f>
        <v/>
      </c>
      <c r="GF320" s="44" t="str">
        <f>IF(Table1[Leaving Date]="","",IF(AND(Table1[Leaving Date]&gt;42460,Table1[Leaving Date]&lt;42826),IF(Table1[Date of Last Assessment]="",Table1[Self-Care and Living Skills],Table1[Self-Care and Living Skills2]),""))</f>
        <v/>
      </c>
      <c r="GG320" s="44" t="str">
        <f>IF(Table1[Leaving Date]="","",IF(AND(Table1[Leaving Date]&gt;42460,Table1[Leaving Date]&lt;42826),IF(Table1[Date of Last Assessment]="",Table1[Managing Money and Personal Administration],Table1[Managing Money and Personal Administration2]),""))</f>
        <v/>
      </c>
      <c r="GH320" s="44" t="str">
        <f>IF(Table1[Leaving Date]="","",IF(AND(Table1[Leaving Date]&gt;42460,Table1[Leaving Date]&lt;42826),IF(Table1[Date of Last Assessment]="",Table1[Social Networks and Relationships],Table1[Social Networks and Relationships2]),""))</f>
        <v/>
      </c>
      <c r="GI320" s="44" t="str">
        <f>IF(Table1[Leaving Date]="","",IF(AND(Table1[Leaving Date]&gt;42460,Table1[Leaving Date]&lt;42826),IF(Table1[Date of Last Assessment]="",Table1[Drug and Alcohol Misuse],Table1[Drug and Alcohol Misuse2]),""))</f>
        <v/>
      </c>
      <c r="GJ320" s="44" t="str">
        <f>IF(Table1[Leaving Date]="","",IF(AND(Table1[Leaving Date]&gt;42460,Table1[Leaving Date]&lt;42826),IF(Table1[Date of Last Assessment]="",Table1[Physical Health],Table1[Physical Health2]),""))</f>
        <v/>
      </c>
      <c r="GK320" s="44" t="str">
        <f>IF(Table1[Leaving Date]="","",IF(AND(Table1[Leaving Date]&gt;42460,Table1[Leaving Date]&lt;42826),IF(Table1[Date of Last Assessment]="",Table1[Emotional and Mental Health],Table1[Emotional and Mental Health2]),""))</f>
        <v/>
      </c>
      <c r="GL320" s="44" t="str">
        <f>IF(Table1[Leaving Date]="","",IF(AND(Table1[Leaving Date]&gt;42460,Table1[Leaving Date]&lt;42826),IF(Table1[Date of Last Assessment]="",Table1[Meaningful Use of Time],Table1[Meaningful Use of Time2]),""))</f>
        <v/>
      </c>
      <c r="GM320" s="44" t="str">
        <f>IF(Table1[Leaving Date]="","",IF(AND(Table1[Leaving Date]&gt;42460,Table1[Leaving Date]&lt;42826),IF(Table1[Date of Last Assessment]="",Table1[Managing Tenancy and Accommodation],Table1[Managing Tenancy and Accommodation2]),""))</f>
        <v/>
      </c>
      <c r="GN320" s="44" t="str">
        <f>IF(Table1[Leaving Date]="","",IF(AND(Table1[Leaving Date]&gt;42460,Table1[Leaving Date]&lt;42826),IF(Table1[Date of Last Assessment]="",Table1[Offending],Table1[Offending2]),""))</f>
        <v/>
      </c>
    </row>
    <row r="321" spans="2:196" ht="20.100000000000001" customHeight="1" x14ac:dyDescent="0.2">
      <c r="B321" s="86">
        <f>+'Service Data'!$C$5:$C$5</f>
        <v>0</v>
      </c>
      <c r="C321" s="86"/>
      <c r="D321" s="86"/>
      <c r="E321" s="86"/>
      <c r="F321" s="86"/>
      <c r="G321" s="86"/>
      <c r="H321" s="6"/>
      <c r="I321" s="99" t="str">
        <f ca="1">IF(Table1[[#This Row],[Date of Birth]]="","",SUM(TODAY()-Table1[[#This Row],[Date of Birth]])/365)</f>
        <v/>
      </c>
      <c r="L321" s="86"/>
      <c r="M321" s="77"/>
      <c r="N321" s="86"/>
      <c r="O321" s="86"/>
      <c r="P321" s="91"/>
      <c r="Q321" s="86"/>
      <c r="R321" s="77"/>
      <c r="S321" s="77"/>
      <c r="T321" s="68"/>
      <c r="U321" s="68"/>
      <c r="V321" s="67"/>
      <c r="W321" s="67"/>
      <c r="X321" s="67"/>
      <c r="Y321" s="67"/>
      <c r="Z321" s="67"/>
      <c r="AA321" s="67"/>
      <c r="AB321" s="67"/>
      <c r="AC321" s="67"/>
      <c r="AD321" s="67"/>
      <c r="AE321" s="67"/>
      <c r="AF321" s="67"/>
      <c r="AG321" s="67"/>
      <c r="AH321" s="67"/>
      <c r="AI321" s="67"/>
      <c r="AJ321" s="67"/>
      <c r="AK321" s="67"/>
      <c r="AL321" s="67"/>
      <c r="AM321" s="67"/>
      <c r="AN321" s="77"/>
      <c r="AO321" s="76"/>
      <c r="AP321" s="77"/>
      <c r="AQ321" s="76"/>
      <c r="AR321" s="76"/>
      <c r="AS321" s="76"/>
      <c r="AT321" s="76"/>
      <c r="AU321" s="76"/>
      <c r="AV321" s="77"/>
      <c r="AW321" s="76"/>
      <c r="AX321" s="77"/>
      <c r="AY321" s="76"/>
      <c r="AZ321" s="76"/>
      <c r="BA321" s="76"/>
      <c r="BB321" s="76"/>
      <c r="BC321" s="76"/>
      <c r="BD321" s="77"/>
      <c r="BE321" s="76"/>
      <c r="BF321" s="77"/>
      <c r="BG321" s="76"/>
      <c r="BH321" s="76"/>
      <c r="BI321" s="76"/>
      <c r="BJ321" s="76"/>
      <c r="BK321" s="76"/>
      <c r="BL321" s="77"/>
      <c r="BM321" s="76"/>
      <c r="BN321" s="77"/>
      <c r="BO321" s="76"/>
      <c r="BP321" s="76"/>
      <c r="BQ321" s="76"/>
      <c r="BR321" s="76"/>
      <c r="BS321" s="76"/>
      <c r="BT321" s="77"/>
      <c r="BU321" s="76"/>
      <c r="BV321" s="77"/>
      <c r="BW321" s="76"/>
      <c r="BX321" s="76"/>
      <c r="BY321" s="76"/>
      <c r="BZ321" s="76"/>
      <c r="CA321" s="76"/>
      <c r="CB321" s="77"/>
      <c r="CC321" s="76"/>
      <c r="CD321" s="77"/>
      <c r="CE321" s="76"/>
      <c r="CF321" s="76"/>
      <c r="CG321" s="76"/>
      <c r="CH321" s="76"/>
      <c r="CI321" s="76"/>
      <c r="CJ321" s="77"/>
      <c r="CK321" s="76"/>
      <c r="CL321" s="77"/>
      <c r="CM321" s="76"/>
      <c r="CN321" s="76"/>
      <c r="CO321" s="76"/>
      <c r="CP321" s="76"/>
      <c r="CQ321" s="76"/>
      <c r="CR321" s="78" t="str">
        <f t="shared" si="79"/>
        <v/>
      </c>
      <c r="CS321" s="79" t="str">
        <f t="shared" si="80"/>
        <v/>
      </c>
      <c r="CT321" s="79" t="str">
        <f t="shared" si="81"/>
        <v/>
      </c>
      <c r="CU321" s="79" t="str">
        <f t="shared" si="82"/>
        <v/>
      </c>
      <c r="CV321" s="79" t="str">
        <f t="shared" si="83"/>
        <v/>
      </c>
      <c r="CW321" s="79" t="str">
        <f t="shared" si="84"/>
        <v/>
      </c>
      <c r="CX321" s="79" t="str">
        <f t="shared" si="85"/>
        <v/>
      </c>
      <c r="CY321" s="79" t="str">
        <f t="shared" si="86"/>
        <v/>
      </c>
      <c r="CZ321" s="79" t="str">
        <f t="shared" si="87"/>
        <v/>
      </c>
      <c r="DA321" s="79" t="str">
        <f t="shared" si="88"/>
        <v/>
      </c>
      <c r="DB321" s="79" t="str">
        <f t="shared" si="89"/>
        <v/>
      </c>
      <c r="DC321" s="79" t="str">
        <f t="shared" si="90"/>
        <v/>
      </c>
      <c r="DD321" s="79" t="str">
        <f t="shared" si="91"/>
        <v/>
      </c>
      <c r="DE321" s="79" t="str">
        <f t="shared" si="92"/>
        <v/>
      </c>
      <c r="DF321" s="79" t="str">
        <f t="shared" si="93"/>
        <v/>
      </c>
      <c r="DG321" s="79" t="str">
        <f t="shared" si="94"/>
        <v/>
      </c>
      <c r="DH321" s="76"/>
      <c r="DI321" s="78"/>
      <c r="DJ321" s="76"/>
      <c r="DK321" s="77"/>
      <c r="DL321" s="77"/>
      <c r="DM321" s="77"/>
      <c r="DN321" s="80"/>
      <c r="DO321" s="80"/>
      <c r="DP321" s="92" t="str">
        <f>IF(Table1[Start Date]="","",IF(Table1[Start Date]&gt;42185,"",IF(AND(Table1[Leaving Date]&gt;1,Table1[Leaving Date]&lt;42095),"",1)))</f>
        <v/>
      </c>
      <c r="DQ321" s="92" t="str">
        <f>IF(Table1[Start Date]="","",IF(Table1[Start Date]&gt;42277,"",IF(AND(Table1[Leaving Date]&gt;1,Table1[Leaving Date]&lt;42186),"",1)))</f>
        <v/>
      </c>
      <c r="DR321" s="92" t="str">
        <f>IF(Table1[Start Date]="","",IF(Table1[Start Date]&gt;42369,"",IF(AND(Table1[Leaving Date]&gt;1,Table1[Leaving Date]&lt;42278),"",1)))</f>
        <v/>
      </c>
      <c r="DS321" s="92" t="str">
        <f>IF(Table1[Start Date]="","",IF(Table1[Start Date]&gt;42460,"",IF(AND(Table1[Leaving Date]&gt;1,Table1[Leaving Date]&lt;42370),"",1)))</f>
        <v/>
      </c>
      <c r="DT321" s="92" t="str">
        <f>IF(Table1[Start Date]="","",IF(Table1[Start Date]&gt;42551,"",IF(AND(Table1[Leaving Date]&gt;1,Table1[Leaving Date]&lt;42461),"",1)))</f>
        <v/>
      </c>
      <c r="DU321" s="92" t="str">
        <f>IF(Table1[Start Date]="","",IF(Table1[Start Date]&gt;42643,"",IF(AND(Table1[Leaving Date]&gt;1,Table1[Leaving Date]&lt;42552),"",1)))</f>
        <v/>
      </c>
      <c r="DV321" s="92" t="str">
        <f>IF(Table1[Start Date]="","",IF(Table1[Start Date]&gt;42735,"",IF(AND(Table1[Leaving Date]&gt;1,Table1[Leaving Date]&lt;42644),"",1)))</f>
        <v/>
      </c>
      <c r="DW321" s="92" t="str">
        <f>IF(Table1[Start Date]="","",IF(Table1[Start Date]&gt;42825,"",IF(AND(Table1[Leaving Date]&gt;1,Table1[Leaving Date]&lt;42736),"",1)))</f>
        <v/>
      </c>
      <c r="DX321"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321" s="44" t="e">
        <f>VLOOKUP(Table1[Referral Source],Lists!$G$2:$H$20,2,FALSE)</f>
        <v>#N/A</v>
      </c>
      <c r="DZ321" s="93" t="e">
        <f>SUM(Table1[Data Referral Quarter]+Table1[Data Referral Source])</f>
        <v>#N/A</v>
      </c>
      <c r="EA321" s="44" t="b">
        <f>IF(Table1[Referral Decision]="Accepted",100,IF(Table1[Referral Decision]="Rejected by Provider",200,IF(Table1[Referral Decision]="Rejected by Applicant",300)))</f>
        <v>0</v>
      </c>
      <c r="EB321" s="44">
        <f>SUM(Table1[Data Referral Quarter]+Table1[Data Referral Decision])</f>
        <v>0</v>
      </c>
      <c r="EC321" s="44" t="b">
        <f>IF(Table1[Start Date]&gt;42735,8000,IF(Table1[Start Date]&gt;42643,7000,IF(Table1[Start Date]&gt;42551,6000,IF(Table1[Start Date]&gt;42460,5000,IF(Table1[Start Date]&gt;42369,4000,IF(Table1[Start Date]&gt;42277,3000,IF(Table1[Start Date]&gt;42185,2000,IF(Table1[Start Date]&gt;42094,1000))))))))</f>
        <v>0</v>
      </c>
      <c r="ED321" s="44" t="str">
        <f>IF(Table1[Start Date]="","",IF(Table1[Current Local Authority]="Swindon",1,"2"))</f>
        <v/>
      </c>
      <c r="EE321" s="44" t="e">
        <f>SUM(Table1[Data Start Date]+Table1[Data Local Authority])</f>
        <v>#VALUE!</v>
      </c>
      <c r="EF321" s="44">
        <f>IF(Table1[Registered with GP]="Yes",1,0)</f>
        <v>0</v>
      </c>
      <c r="EG321" s="44">
        <f>SUM(Table1[Data Start Date]+Table1[Data GP Start])</f>
        <v>0</v>
      </c>
      <c r="EH321" s="44" t="str">
        <f>IF(Table1[EET]="NEET",1,IF(Table1[EET]="Education",2,IF(Table1[EET]="Employment",2,IF(Table1[EET]="Training",2,IF(Table1[EET]="Retired",3,"")))))</f>
        <v/>
      </c>
      <c r="EI321" s="44" t="e">
        <f>Table1[Data Start Date]+Table1[Data EET Start]</f>
        <v>#VALUE!</v>
      </c>
      <c r="EJ321" s="44" t="b">
        <f>IF(Table1[Leaving Date]&gt;42735,8000,IF(Table1[Leaving Date]&gt;42643,7000,IF(Table1[Leaving Date]&gt;42551,6000,IF(Table1[Leaving Date]&gt;42460,5000,IF(Table1[Leaving Date]&gt;42369,4000,IF(Table1[Leaving Date]&gt;42277,3000,IF(Table1[Leaving Date]&gt;42185,2000,IF(Table1[Leaving Date]&gt;42094,1000))))))))</f>
        <v>0</v>
      </c>
      <c r="EK321" s="44" t="e">
        <f>VLOOKUP(Table1[Reason for Leaving],Lists!$T$2:$U$15,2,FALSE)</f>
        <v>#N/A</v>
      </c>
      <c r="EL321" s="44" t="e">
        <f>SUM(Table1[Data Leavers Date]+Table1[Data Move On])</f>
        <v>#N/A</v>
      </c>
      <c r="EM321" s="44" t="b">
        <f>IF(Table1[Registered with GP2]="Yes",1,IF(Table1[Registered with GP2]="No",0,IF(Table1[Registered with GP]="Yes",1,IF(Table1[Registered with GP]="No",0))))</f>
        <v>0</v>
      </c>
      <c r="EN321" s="44">
        <f>SUM(Table1[Data Leavers Date]+Table1[Data GP End])</f>
        <v>0</v>
      </c>
      <c r="EO321" s="44" t="str">
        <f>IF(Table1[EET2]="NEET",1,IF(Table1[EET2]="Employment",2,IF(Table1[EET2]="Education",2,IF(Table1[EET2]="Training",2,IF(Table1[EET2]="Retired",3,IF(Table1[EET]="NEET",1,IF(Table1[EET]="Employment",2,IF(Table1[EET]="Education",2,IF(Table1[EET]="Training",2,IF(Table1[EET]="Retired",3,""))))))))))</f>
        <v/>
      </c>
      <c r="EP321" s="44" t="e">
        <f>+Table1[[#This Row],[Data Leavers Date]]+Table1[[#This Row],[Data EET End]]</f>
        <v>#VALUE!</v>
      </c>
      <c r="EQ321" s="44">
        <f>IF(Table1[Exit Form Received]="Yes",1,0)</f>
        <v>0</v>
      </c>
      <c r="ER321" s="44">
        <f>+Table1[[#This Row],[Data Leavers Date]]+Table1[[#This Row],[Data Exit Forms]]</f>
        <v>0</v>
      </c>
      <c r="ES321" s="44" t="str">
        <f>IF(Table1[Data Leavers Date]=1000,SUM(Table1[Leaving Date]-Table1[Start Date]),"")</f>
        <v/>
      </c>
      <c r="ET321" s="44" t="str">
        <f>IF(Table1[Data Leavers Date]=2000,SUM(Table1[Leaving Date]-Table1[Start Date]),"")</f>
        <v/>
      </c>
      <c r="EU321" s="44" t="str">
        <f>IF(Table1[Data Leavers Date]=3000,SUM(Table1[Leaving Date]-Table1[Start Date]),"")</f>
        <v/>
      </c>
      <c r="EV321" s="44" t="str">
        <f>IF(Table1[Data Leavers Date]=4000,SUM(Table1[Leaving Date]-Table1[Start Date]),"")</f>
        <v/>
      </c>
      <c r="EW321" s="44" t="str">
        <f>IF(Table1[Data Leavers Date]=5000,SUM(Table1[Leaving Date]-Table1[Start Date]),"")</f>
        <v/>
      </c>
      <c r="EX321" s="44" t="str">
        <f>IF(Table1[Data Leavers Date]=6000,SUM(Table1[Leaving Date]-Table1[Start Date]),"")</f>
        <v/>
      </c>
      <c r="EY321" s="44" t="str">
        <f>IF(Table1[Data Leavers Date]=7000,SUM(Table1[Leaving Date]-Table1[Start Date]),"")</f>
        <v/>
      </c>
      <c r="EZ321" s="44" t="str">
        <f>IF(Table1[Data Leavers Date]=8000,SUM(Table1[Leaving Date]-Table1[Start Date]),"")</f>
        <v/>
      </c>
      <c r="FA321" s="44" t="str">
        <f>IF(Table1[Date of Initial Assessment]="","",IF(AND(Table1[Start Date]&gt;42094,Table1[Start Date]&lt;42461),Table1[Motivation and Taking Responsibility],""))</f>
        <v/>
      </c>
      <c r="FB321" s="44" t="str">
        <f>IF(Table1[Date of Initial Assessment]="","",IF(AND(Table1[Start Date]&gt;42094,Table1[Start Date]&lt;42461),Table1[Self-Care and Living Skills],""))</f>
        <v/>
      </c>
      <c r="FC321" s="44" t="str">
        <f>IF(Table1[Date of Initial Assessment]="","",IF(AND(Table1[Start Date]&gt;42094,Table1[Start Date]&lt;42461),Table1[Managing Money and Personal Administration],""))</f>
        <v/>
      </c>
      <c r="FD321" s="44" t="str">
        <f>IF(Table1[Date of Initial Assessment]="","",IF(AND(Table1[Start Date]&gt;42094,Table1[Start Date]&lt;42461),Table1[Social Networks and Relationships],""))</f>
        <v/>
      </c>
      <c r="FE321" s="44" t="str">
        <f>IF(Table1[Date of Initial Assessment]="","",IF(AND(Table1[Start Date]&gt;42094,Table1[Start Date]&lt;42461),Table1[Drug and Alcohol Misuse],""))</f>
        <v/>
      </c>
      <c r="FF321" s="44" t="str">
        <f>IF(Table1[Date of Initial Assessment]="","",IF(AND(Table1[Start Date]&gt;42094,Table1[Start Date]&lt;42461),Table1[Physical Health],""))</f>
        <v/>
      </c>
      <c r="FG321" s="44" t="str">
        <f>IF(Table1[Date of Initial Assessment]="","",IF(AND(Table1[Start Date]&gt;42094,Table1[Start Date]&lt;42461),Table1[Emotional and Mental Health],""))</f>
        <v/>
      </c>
      <c r="FH321" s="44" t="str">
        <f>IF(Table1[Date of Initial Assessment]="","",IF(AND(Table1[Start Date]&gt;42094,Table1[Start Date]&lt;42461),Table1[Meaningful Use of Time],""))</f>
        <v/>
      </c>
      <c r="FI321" s="44" t="str">
        <f>IF(Table1[Date of Initial Assessment]="","",IF(AND(Table1[Start Date]&gt;42094,Table1[Start Date]&lt;42461),Table1[Managing Tenancy and Accommodation],""))</f>
        <v/>
      </c>
      <c r="FJ321" s="44" t="str">
        <f>IF(Table1[Date of Initial Assessment]="","",IF(AND(Table1[Start Date]&gt;42094,Table1[Start Date]&lt;42461),Table1[Offending],""))</f>
        <v/>
      </c>
      <c r="FK321" s="44" t="str">
        <f>IF(Table1[Leaving Date]="","",IF(Table1[Date of Initial Assessment]="","",IF(AND(Table1[Leaving Date]&gt;42094,Table1[Leaving Date]&lt;42461),IF(Table1[Date of Last Assessment]="",Table1[Motivation and Taking Responsibility],Table1[Motivation and Taking Responsibility2]),"")))</f>
        <v/>
      </c>
      <c r="FL321" s="44" t="str">
        <f>IF(Table1[Leaving Date]="","",IF(Table1[Date of Initial Assessment]="","",IF(AND(Table1[Leaving Date]&gt;42094,Table1[Leaving Date]&lt;42461),IF(Table1[Date of Last Assessment]="",Table1[Self-Care and Living Skills],Table1[Self-Care and Living Skills2]),"")))</f>
        <v/>
      </c>
      <c r="FM321" s="44" t="str">
        <f>IF(Table1[Leaving Date]="","",IF(Table1[Date of Initial Assessment]="","",IF(AND(Table1[Leaving Date]&gt;42094,Table1[Leaving Date]&lt;42461),IF(Table1[Date of Last Assessment]="",Table1[Managing Money and Personal Administration],Table1[Managing Money and Personal Administration2]),"")))</f>
        <v/>
      </c>
      <c r="FN321" s="44" t="str">
        <f>IF(Table1[Leaving Date]="","",IF(Table1[Date of Initial Assessment]="","",IF(AND(Table1[Leaving Date]&gt;42094,Table1[Leaving Date]&lt;42461),IF(Table1[Date of Last Assessment]="",Table1[Social Networks and Relationships],Table1[Social Networks and Relationships2]),"")))</f>
        <v/>
      </c>
      <c r="FO321" s="44" t="str">
        <f>IF(Table1[Leaving Date]="","",IF(Table1[Date of Initial Assessment]="","",IF(AND(Table1[Leaving Date]&gt;42094,Table1[Leaving Date]&lt;42461),IF(Table1[Date of Last Assessment]="",Table1[Drug and Alcohol Misuse],Table1[Drug and Alcohol Misuse2]),"")))</f>
        <v/>
      </c>
      <c r="FP321" s="44" t="str">
        <f>IF(Table1[Leaving Date]="","",IF(Table1[Date of Initial Assessment]="","",IF(AND(Table1[Leaving Date]&gt;42094,Table1[Leaving Date]&lt;42461),IF(Table1[Date of Last Assessment]="",Table1[Physical Health],Table1[Physical Health2]),"")))</f>
        <v/>
      </c>
      <c r="FQ321" s="44" t="str">
        <f>IF(Table1[Leaving Date]="","",IF(Table1[Date of Initial Assessment]="","",IF(AND(Table1[Leaving Date]&gt;42094,Table1[Leaving Date]&lt;42461),IF(Table1[Date of Last Assessment]="",Table1[Emotional and Mental Health],Table1[Emotional and Mental Health2]),"")))</f>
        <v/>
      </c>
      <c r="FR321" s="44" t="str">
        <f>IF(Table1[Leaving Date]="","",IF(Table1[Date of Initial Assessment]="","",IF(AND(Table1[Leaving Date]&gt;42094,Table1[Leaving Date]&lt;42461),IF(Table1[Date of Last Assessment]="",Table1[Meaningful Use of Time],Table1[Meaningful Use of Time2]),"")))</f>
        <v/>
      </c>
      <c r="FS321" s="44" t="str">
        <f>IF(Table1[Leaving Date]="","",IF(Table1[Date of Initial Assessment]="","",IF(AND(Table1[Leaving Date]&gt;42094,Table1[Leaving Date]&lt;42461),IF(Table1[Date of Last Assessment]="",Table1[Managing Tenancy and Accommodation],Table1[Managing Tenancy and Accommodation2]),"")))</f>
        <v/>
      </c>
      <c r="FT321" s="44" t="str">
        <f>IF(Table1[Leaving Date]="","",IF(Table1[Date of Initial Assessment]="","",IF(AND(Table1[Leaving Date]&gt;42094,Table1[Leaving Date]&lt;42461),IF(Table1[Date of Last Assessment]="",Table1[Offending],Table1[Offending2]),"")))</f>
        <v/>
      </c>
      <c r="FU321" s="44" t="str">
        <f>IF(Table1[Date of Initial Assessment]="","",IF(AND(Table1[Start Date]&gt;42460,Table1[Start Date]&lt;42826),Table1[Motivation and Taking Responsibility],""))</f>
        <v/>
      </c>
      <c r="FV321" s="44" t="str">
        <f>IF(Table1[Date of Initial Assessment]="","",IF(AND(Table1[Start Date]&gt;42460,Table1[Start Date]&lt;42826),Table1[Self-Care and Living Skills],""))</f>
        <v/>
      </c>
      <c r="FW321" s="44" t="str">
        <f>IF(Table1[Date of Initial Assessment]="","",IF(AND(Table1[Start Date]&gt;42460,Table1[Start Date]&lt;42826),Table1[Managing Money and Personal Administration],""))</f>
        <v/>
      </c>
      <c r="FX321" s="44" t="str">
        <f>IF(Table1[Date of Initial Assessment]="","",IF(AND(Table1[Start Date]&gt;42460,Table1[Start Date]&lt;42826),Table1[Social Networks and Relationships],""))</f>
        <v/>
      </c>
      <c r="FY321" s="44" t="str">
        <f>IF(Table1[Date of Initial Assessment]="","",IF(AND(Table1[Start Date]&gt;42460,Table1[Start Date]&lt;42826),Table1[Drug and Alcohol Misuse],""))</f>
        <v/>
      </c>
      <c r="FZ321" s="44" t="str">
        <f>IF(Table1[Date of Initial Assessment]="","",IF(AND(Table1[Start Date]&gt;42460,Table1[Start Date]&lt;42826),Table1[Physical Health],""))</f>
        <v/>
      </c>
      <c r="GA321" s="44" t="str">
        <f>IF(Table1[Date of Initial Assessment]="","",IF(AND(Table1[Start Date]&gt;42460,Table1[Start Date]&lt;42826),Table1[Emotional and Mental Health],""))</f>
        <v/>
      </c>
      <c r="GB321" s="44" t="str">
        <f>IF(Table1[Date of Initial Assessment]="","",IF(AND(Table1[Start Date]&gt;42460,Table1[Start Date]&lt;42826),Table1[Meaningful Use of Time],""))</f>
        <v/>
      </c>
      <c r="GC321" s="44" t="str">
        <f>IF(Table1[Date of Initial Assessment]="","",IF(AND(Table1[Start Date]&gt;42460,Table1[Start Date]&lt;42826),Table1[Managing Tenancy and Accommodation],""))</f>
        <v/>
      </c>
      <c r="GD321" s="44" t="str">
        <f>IF(Table1[Date of Initial Assessment]="","",IF(AND(Table1[Start Date]&gt;42460,Table1[Start Date]&lt;42826),Table1[Offending],""))</f>
        <v/>
      </c>
      <c r="GE321" s="44" t="str">
        <f>IF(Table1[Leaving Date]="","",IF(AND(Table1[Leaving Date]&gt;42460,Table1[Leaving Date]&lt;42826),IF(Table1[Date of Last Assessment]="",Table1[Motivation and Taking Responsibility],Table1[Motivation and Taking Responsibility2]),""))</f>
        <v/>
      </c>
      <c r="GF321" s="44" t="str">
        <f>IF(Table1[Leaving Date]="","",IF(AND(Table1[Leaving Date]&gt;42460,Table1[Leaving Date]&lt;42826),IF(Table1[Date of Last Assessment]="",Table1[Self-Care and Living Skills],Table1[Self-Care and Living Skills2]),""))</f>
        <v/>
      </c>
      <c r="GG321" s="44" t="str">
        <f>IF(Table1[Leaving Date]="","",IF(AND(Table1[Leaving Date]&gt;42460,Table1[Leaving Date]&lt;42826),IF(Table1[Date of Last Assessment]="",Table1[Managing Money and Personal Administration],Table1[Managing Money and Personal Administration2]),""))</f>
        <v/>
      </c>
      <c r="GH321" s="44" t="str">
        <f>IF(Table1[Leaving Date]="","",IF(AND(Table1[Leaving Date]&gt;42460,Table1[Leaving Date]&lt;42826),IF(Table1[Date of Last Assessment]="",Table1[Social Networks and Relationships],Table1[Social Networks and Relationships2]),""))</f>
        <v/>
      </c>
      <c r="GI321" s="44" t="str">
        <f>IF(Table1[Leaving Date]="","",IF(AND(Table1[Leaving Date]&gt;42460,Table1[Leaving Date]&lt;42826),IF(Table1[Date of Last Assessment]="",Table1[Drug and Alcohol Misuse],Table1[Drug and Alcohol Misuse2]),""))</f>
        <v/>
      </c>
      <c r="GJ321" s="44" t="str">
        <f>IF(Table1[Leaving Date]="","",IF(AND(Table1[Leaving Date]&gt;42460,Table1[Leaving Date]&lt;42826),IF(Table1[Date of Last Assessment]="",Table1[Physical Health],Table1[Physical Health2]),""))</f>
        <v/>
      </c>
      <c r="GK321" s="44" t="str">
        <f>IF(Table1[Leaving Date]="","",IF(AND(Table1[Leaving Date]&gt;42460,Table1[Leaving Date]&lt;42826),IF(Table1[Date of Last Assessment]="",Table1[Emotional and Mental Health],Table1[Emotional and Mental Health2]),""))</f>
        <v/>
      </c>
      <c r="GL321" s="44" t="str">
        <f>IF(Table1[Leaving Date]="","",IF(AND(Table1[Leaving Date]&gt;42460,Table1[Leaving Date]&lt;42826),IF(Table1[Date of Last Assessment]="",Table1[Meaningful Use of Time],Table1[Meaningful Use of Time2]),""))</f>
        <v/>
      </c>
      <c r="GM321" s="44" t="str">
        <f>IF(Table1[Leaving Date]="","",IF(AND(Table1[Leaving Date]&gt;42460,Table1[Leaving Date]&lt;42826),IF(Table1[Date of Last Assessment]="",Table1[Managing Tenancy and Accommodation],Table1[Managing Tenancy and Accommodation2]),""))</f>
        <v/>
      </c>
      <c r="GN321" s="44" t="str">
        <f>IF(Table1[Leaving Date]="","",IF(AND(Table1[Leaving Date]&gt;42460,Table1[Leaving Date]&lt;42826),IF(Table1[Date of Last Assessment]="",Table1[Offending],Table1[Offending2]),""))</f>
        <v/>
      </c>
    </row>
    <row r="322" spans="2:196" ht="20.100000000000001" customHeight="1" x14ac:dyDescent="0.2">
      <c r="B322" s="86">
        <f>+'Service Data'!$C$5:$C$5</f>
        <v>0</v>
      </c>
      <c r="C322" s="86"/>
      <c r="D322" s="86"/>
      <c r="E322" s="86"/>
      <c r="F322" s="86"/>
      <c r="G322" s="86"/>
      <c r="H322" s="6"/>
      <c r="I322" s="99" t="str">
        <f ca="1">IF(Table1[[#This Row],[Date of Birth]]="","",SUM(TODAY()-Table1[[#This Row],[Date of Birth]])/365)</f>
        <v/>
      </c>
      <c r="L322" s="86"/>
      <c r="M322" s="77"/>
      <c r="N322" s="86"/>
      <c r="O322" s="86"/>
      <c r="P322" s="91"/>
      <c r="Q322" s="86"/>
      <c r="R322" s="77"/>
      <c r="S322" s="77"/>
      <c r="T322" s="68"/>
      <c r="U322" s="68"/>
      <c r="V322" s="67"/>
      <c r="W322" s="67"/>
      <c r="X322" s="67"/>
      <c r="Y322" s="67"/>
      <c r="Z322" s="67"/>
      <c r="AA322" s="67"/>
      <c r="AB322" s="67"/>
      <c r="AC322" s="67"/>
      <c r="AD322" s="67"/>
      <c r="AE322" s="67"/>
      <c r="AF322" s="67"/>
      <c r="AG322" s="67"/>
      <c r="AH322" s="67"/>
      <c r="AI322" s="67"/>
      <c r="AJ322" s="67"/>
      <c r="AK322" s="67"/>
      <c r="AL322" s="67"/>
      <c r="AM322" s="67"/>
      <c r="AN322" s="77"/>
      <c r="AO322" s="76"/>
      <c r="AP322" s="77"/>
      <c r="AQ322" s="76"/>
      <c r="AR322" s="76"/>
      <c r="AS322" s="76"/>
      <c r="AT322" s="76"/>
      <c r="AU322" s="76"/>
      <c r="AV322" s="77"/>
      <c r="AW322" s="76"/>
      <c r="AX322" s="77"/>
      <c r="AY322" s="76"/>
      <c r="AZ322" s="76"/>
      <c r="BA322" s="76"/>
      <c r="BB322" s="76"/>
      <c r="BC322" s="76"/>
      <c r="BD322" s="77"/>
      <c r="BE322" s="76"/>
      <c r="BF322" s="77"/>
      <c r="BG322" s="76"/>
      <c r="BH322" s="76"/>
      <c r="BI322" s="76"/>
      <c r="BJ322" s="76"/>
      <c r="BK322" s="76"/>
      <c r="BL322" s="77"/>
      <c r="BM322" s="76"/>
      <c r="BN322" s="77"/>
      <c r="BO322" s="76"/>
      <c r="BP322" s="76"/>
      <c r="BQ322" s="76"/>
      <c r="BR322" s="76"/>
      <c r="BS322" s="76"/>
      <c r="BT322" s="77"/>
      <c r="BU322" s="76"/>
      <c r="BV322" s="77"/>
      <c r="BW322" s="76"/>
      <c r="BX322" s="76"/>
      <c r="BY322" s="76"/>
      <c r="BZ322" s="76"/>
      <c r="CA322" s="76"/>
      <c r="CB322" s="77"/>
      <c r="CC322" s="76"/>
      <c r="CD322" s="77"/>
      <c r="CE322" s="76"/>
      <c r="CF322" s="76"/>
      <c r="CG322" s="76"/>
      <c r="CH322" s="76"/>
      <c r="CI322" s="76"/>
      <c r="CJ322" s="77"/>
      <c r="CK322" s="76"/>
      <c r="CL322" s="77"/>
      <c r="CM322" s="76"/>
      <c r="CN322" s="76"/>
      <c r="CO322" s="76"/>
      <c r="CP322" s="76"/>
      <c r="CQ322" s="76"/>
      <c r="CR322" s="78" t="str">
        <f t="shared" si="79"/>
        <v/>
      </c>
      <c r="CS322" s="79" t="str">
        <f t="shared" si="80"/>
        <v/>
      </c>
      <c r="CT322" s="79" t="str">
        <f t="shared" si="81"/>
        <v/>
      </c>
      <c r="CU322" s="79" t="str">
        <f t="shared" si="82"/>
        <v/>
      </c>
      <c r="CV322" s="79" t="str">
        <f t="shared" si="83"/>
        <v/>
      </c>
      <c r="CW322" s="79" t="str">
        <f t="shared" si="84"/>
        <v/>
      </c>
      <c r="CX322" s="79" t="str">
        <f t="shared" si="85"/>
        <v/>
      </c>
      <c r="CY322" s="79" t="str">
        <f t="shared" si="86"/>
        <v/>
      </c>
      <c r="CZ322" s="79" t="str">
        <f t="shared" si="87"/>
        <v/>
      </c>
      <c r="DA322" s="79" t="str">
        <f t="shared" si="88"/>
        <v/>
      </c>
      <c r="DB322" s="79" t="str">
        <f t="shared" si="89"/>
        <v/>
      </c>
      <c r="DC322" s="79" t="str">
        <f t="shared" si="90"/>
        <v/>
      </c>
      <c r="DD322" s="79" t="str">
        <f t="shared" si="91"/>
        <v/>
      </c>
      <c r="DE322" s="79" t="str">
        <f t="shared" si="92"/>
        <v/>
      </c>
      <c r="DF322" s="79" t="str">
        <f t="shared" si="93"/>
        <v/>
      </c>
      <c r="DG322" s="79" t="str">
        <f t="shared" si="94"/>
        <v/>
      </c>
      <c r="DH322" s="76"/>
      <c r="DI322" s="78"/>
      <c r="DJ322" s="76"/>
      <c r="DK322" s="77"/>
      <c r="DL322" s="77"/>
      <c r="DM322" s="77"/>
      <c r="DN322" s="80"/>
      <c r="DO322" s="80"/>
      <c r="DP322" s="92" t="str">
        <f>IF(Table1[Start Date]="","",IF(Table1[Start Date]&gt;42185,"",IF(AND(Table1[Leaving Date]&gt;1,Table1[Leaving Date]&lt;42095),"",1)))</f>
        <v/>
      </c>
      <c r="DQ322" s="92" t="str">
        <f>IF(Table1[Start Date]="","",IF(Table1[Start Date]&gt;42277,"",IF(AND(Table1[Leaving Date]&gt;1,Table1[Leaving Date]&lt;42186),"",1)))</f>
        <v/>
      </c>
      <c r="DR322" s="92" t="str">
        <f>IF(Table1[Start Date]="","",IF(Table1[Start Date]&gt;42369,"",IF(AND(Table1[Leaving Date]&gt;1,Table1[Leaving Date]&lt;42278),"",1)))</f>
        <v/>
      </c>
      <c r="DS322" s="92" t="str">
        <f>IF(Table1[Start Date]="","",IF(Table1[Start Date]&gt;42460,"",IF(AND(Table1[Leaving Date]&gt;1,Table1[Leaving Date]&lt;42370),"",1)))</f>
        <v/>
      </c>
      <c r="DT322" s="92" t="str">
        <f>IF(Table1[Start Date]="","",IF(Table1[Start Date]&gt;42551,"",IF(AND(Table1[Leaving Date]&gt;1,Table1[Leaving Date]&lt;42461),"",1)))</f>
        <v/>
      </c>
      <c r="DU322" s="92" t="str">
        <f>IF(Table1[Start Date]="","",IF(Table1[Start Date]&gt;42643,"",IF(AND(Table1[Leaving Date]&gt;1,Table1[Leaving Date]&lt;42552),"",1)))</f>
        <v/>
      </c>
      <c r="DV322" s="92" t="str">
        <f>IF(Table1[Start Date]="","",IF(Table1[Start Date]&gt;42735,"",IF(AND(Table1[Leaving Date]&gt;1,Table1[Leaving Date]&lt;42644),"",1)))</f>
        <v/>
      </c>
      <c r="DW322" s="92" t="str">
        <f>IF(Table1[Start Date]="","",IF(Table1[Start Date]&gt;42825,"",IF(AND(Table1[Leaving Date]&gt;1,Table1[Leaving Date]&lt;42736),"",1)))</f>
        <v/>
      </c>
      <c r="DX322"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322" s="44" t="e">
        <f>VLOOKUP(Table1[Referral Source],Lists!$G$2:$H$20,2,FALSE)</f>
        <v>#N/A</v>
      </c>
      <c r="DZ322" s="93" t="e">
        <f>SUM(Table1[Data Referral Quarter]+Table1[Data Referral Source])</f>
        <v>#N/A</v>
      </c>
      <c r="EA322" s="44" t="b">
        <f>IF(Table1[Referral Decision]="Accepted",100,IF(Table1[Referral Decision]="Rejected by Provider",200,IF(Table1[Referral Decision]="Rejected by Applicant",300)))</f>
        <v>0</v>
      </c>
      <c r="EB322" s="44">
        <f>SUM(Table1[Data Referral Quarter]+Table1[Data Referral Decision])</f>
        <v>0</v>
      </c>
      <c r="EC322" s="44" t="b">
        <f>IF(Table1[Start Date]&gt;42735,8000,IF(Table1[Start Date]&gt;42643,7000,IF(Table1[Start Date]&gt;42551,6000,IF(Table1[Start Date]&gt;42460,5000,IF(Table1[Start Date]&gt;42369,4000,IF(Table1[Start Date]&gt;42277,3000,IF(Table1[Start Date]&gt;42185,2000,IF(Table1[Start Date]&gt;42094,1000))))))))</f>
        <v>0</v>
      </c>
      <c r="ED322" s="44" t="str">
        <f>IF(Table1[Start Date]="","",IF(Table1[Current Local Authority]="Swindon",1,"2"))</f>
        <v/>
      </c>
      <c r="EE322" s="44" t="e">
        <f>SUM(Table1[Data Start Date]+Table1[Data Local Authority])</f>
        <v>#VALUE!</v>
      </c>
      <c r="EF322" s="44">
        <f>IF(Table1[Registered with GP]="Yes",1,0)</f>
        <v>0</v>
      </c>
      <c r="EG322" s="44">
        <f>SUM(Table1[Data Start Date]+Table1[Data GP Start])</f>
        <v>0</v>
      </c>
      <c r="EH322" s="44" t="str">
        <f>IF(Table1[EET]="NEET",1,IF(Table1[EET]="Education",2,IF(Table1[EET]="Employment",2,IF(Table1[EET]="Training",2,IF(Table1[EET]="Retired",3,"")))))</f>
        <v/>
      </c>
      <c r="EI322" s="44" t="e">
        <f>Table1[Data Start Date]+Table1[Data EET Start]</f>
        <v>#VALUE!</v>
      </c>
      <c r="EJ322" s="44" t="b">
        <f>IF(Table1[Leaving Date]&gt;42735,8000,IF(Table1[Leaving Date]&gt;42643,7000,IF(Table1[Leaving Date]&gt;42551,6000,IF(Table1[Leaving Date]&gt;42460,5000,IF(Table1[Leaving Date]&gt;42369,4000,IF(Table1[Leaving Date]&gt;42277,3000,IF(Table1[Leaving Date]&gt;42185,2000,IF(Table1[Leaving Date]&gt;42094,1000))))))))</f>
        <v>0</v>
      </c>
      <c r="EK322" s="44" t="e">
        <f>VLOOKUP(Table1[Reason for Leaving],Lists!$T$2:$U$15,2,FALSE)</f>
        <v>#N/A</v>
      </c>
      <c r="EL322" s="44" t="e">
        <f>SUM(Table1[Data Leavers Date]+Table1[Data Move On])</f>
        <v>#N/A</v>
      </c>
      <c r="EM322" s="44" t="b">
        <f>IF(Table1[Registered with GP2]="Yes",1,IF(Table1[Registered with GP2]="No",0,IF(Table1[Registered with GP]="Yes",1,IF(Table1[Registered with GP]="No",0))))</f>
        <v>0</v>
      </c>
      <c r="EN322" s="44">
        <f>SUM(Table1[Data Leavers Date]+Table1[Data GP End])</f>
        <v>0</v>
      </c>
      <c r="EO322" s="44" t="str">
        <f>IF(Table1[EET2]="NEET",1,IF(Table1[EET2]="Employment",2,IF(Table1[EET2]="Education",2,IF(Table1[EET2]="Training",2,IF(Table1[EET2]="Retired",3,IF(Table1[EET]="NEET",1,IF(Table1[EET]="Employment",2,IF(Table1[EET]="Education",2,IF(Table1[EET]="Training",2,IF(Table1[EET]="Retired",3,""))))))))))</f>
        <v/>
      </c>
      <c r="EP322" s="44" t="e">
        <f>+Table1[[#This Row],[Data Leavers Date]]+Table1[[#This Row],[Data EET End]]</f>
        <v>#VALUE!</v>
      </c>
      <c r="EQ322" s="44">
        <f>IF(Table1[Exit Form Received]="Yes",1,0)</f>
        <v>0</v>
      </c>
      <c r="ER322" s="44">
        <f>+Table1[[#This Row],[Data Leavers Date]]+Table1[[#This Row],[Data Exit Forms]]</f>
        <v>0</v>
      </c>
      <c r="ES322" s="44" t="str">
        <f>IF(Table1[Data Leavers Date]=1000,SUM(Table1[Leaving Date]-Table1[Start Date]),"")</f>
        <v/>
      </c>
      <c r="ET322" s="44" t="str">
        <f>IF(Table1[Data Leavers Date]=2000,SUM(Table1[Leaving Date]-Table1[Start Date]),"")</f>
        <v/>
      </c>
      <c r="EU322" s="44" t="str">
        <f>IF(Table1[Data Leavers Date]=3000,SUM(Table1[Leaving Date]-Table1[Start Date]),"")</f>
        <v/>
      </c>
      <c r="EV322" s="44" t="str">
        <f>IF(Table1[Data Leavers Date]=4000,SUM(Table1[Leaving Date]-Table1[Start Date]),"")</f>
        <v/>
      </c>
      <c r="EW322" s="44" t="str">
        <f>IF(Table1[Data Leavers Date]=5000,SUM(Table1[Leaving Date]-Table1[Start Date]),"")</f>
        <v/>
      </c>
      <c r="EX322" s="44" t="str">
        <f>IF(Table1[Data Leavers Date]=6000,SUM(Table1[Leaving Date]-Table1[Start Date]),"")</f>
        <v/>
      </c>
      <c r="EY322" s="44" t="str">
        <f>IF(Table1[Data Leavers Date]=7000,SUM(Table1[Leaving Date]-Table1[Start Date]),"")</f>
        <v/>
      </c>
      <c r="EZ322" s="44" t="str">
        <f>IF(Table1[Data Leavers Date]=8000,SUM(Table1[Leaving Date]-Table1[Start Date]),"")</f>
        <v/>
      </c>
      <c r="FA322" s="44" t="str">
        <f>IF(Table1[Date of Initial Assessment]="","",IF(AND(Table1[Start Date]&gt;42094,Table1[Start Date]&lt;42461),Table1[Motivation and Taking Responsibility],""))</f>
        <v/>
      </c>
      <c r="FB322" s="44" t="str">
        <f>IF(Table1[Date of Initial Assessment]="","",IF(AND(Table1[Start Date]&gt;42094,Table1[Start Date]&lt;42461),Table1[Self-Care and Living Skills],""))</f>
        <v/>
      </c>
      <c r="FC322" s="44" t="str">
        <f>IF(Table1[Date of Initial Assessment]="","",IF(AND(Table1[Start Date]&gt;42094,Table1[Start Date]&lt;42461),Table1[Managing Money and Personal Administration],""))</f>
        <v/>
      </c>
      <c r="FD322" s="44" t="str">
        <f>IF(Table1[Date of Initial Assessment]="","",IF(AND(Table1[Start Date]&gt;42094,Table1[Start Date]&lt;42461),Table1[Social Networks and Relationships],""))</f>
        <v/>
      </c>
      <c r="FE322" s="44" t="str">
        <f>IF(Table1[Date of Initial Assessment]="","",IF(AND(Table1[Start Date]&gt;42094,Table1[Start Date]&lt;42461),Table1[Drug and Alcohol Misuse],""))</f>
        <v/>
      </c>
      <c r="FF322" s="44" t="str">
        <f>IF(Table1[Date of Initial Assessment]="","",IF(AND(Table1[Start Date]&gt;42094,Table1[Start Date]&lt;42461),Table1[Physical Health],""))</f>
        <v/>
      </c>
      <c r="FG322" s="44" t="str">
        <f>IF(Table1[Date of Initial Assessment]="","",IF(AND(Table1[Start Date]&gt;42094,Table1[Start Date]&lt;42461),Table1[Emotional and Mental Health],""))</f>
        <v/>
      </c>
      <c r="FH322" s="44" t="str">
        <f>IF(Table1[Date of Initial Assessment]="","",IF(AND(Table1[Start Date]&gt;42094,Table1[Start Date]&lt;42461),Table1[Meaningful Use of Time],""))</f>
        <v/>
      </c>
      <c r="FI322" s="44" t="str">
        <f>IF(Table1[Date of Initial Assessment]="","",IF(AND(Table1[Start Date]&gt;42094,Table1[Start Date]&lt;42461),Table1[Managing Tenancy and Accommodation],""))</f>
        <v/>
      </c>
      <c r="FJ322" s="44" t="str">
        <f>IF(Table1[Date of Initial Assessment]="","",IF(AND(Table1[Start Date]&gt;42094,Table1[Start Date]&lt;42461),Table1[Offending],""))</f>
        <v/>
      </c>
      <c r="FK322" s="44" t="str">
        <f>IF(Table1[Leaving Date]="","",IF(Table1[Date of Initial Assessment]="","",IF(AND(Table1[Leaving Date]&gt;42094,Table1[Leaving Date]&lt;42461),IF(Table1[Date of Last Assessment]="",Table1[Motivation and Taking Responsibility],Table1[Motivation and Taking Responsibility2]),"")))</f>
        <v/>
      </c>
      <c r="FL322" s="44" t="str">
        <f>IF(Table1[Leaving Date]="","",IF(Table1[Date of Initial Assessment]="","",IF(AND(Table1[Leaving Date]&gt;42094,Table1[Leaving Date]&lt;42461),IF(Table1[Date of Last Assessment]="",Table1[Self-Care and Living Skills],Table1[Self-Care and Living Skills2]),"")))</f>
        <v/>
      </c>
      <c r="FM322" s="44" t="str">
        <f>IF(Table1[Leaving Date]="","",IF(Table1[Date of Initial Assessment]="","",IF(AND(Table1[Leaving Date]&gt;42094,Table1[Leaving Date]&lt;42461),IF(Table1[Date of Last Assessment]="",Table1[Managing Money and Personal Administration],Table1[Managing Money and Personal Administration2]),"")))</f>
        <v/>
      </c>
      <c r="FN322" s="44" t="str">
        <f>IF(Table1[Leaving Date]="","",IF(Table1[Date of Initial Assessment]="","",IF(AND(Table1[Leaving Date]&gt;42094,Table1[Leaving Date]&lt;42461),IF(Table1[Date of Last Assessment]="",Table1[Social Networks and Relationships],Table1[Social Networks and Relationships2]),"")))</f>
        <v/>
      </c>
      <c r="FO322" s="44" t="str">
        <f>IF(Table1[Leaving Date]="","",IF(Table1[Date of Initial Assessment]="","",IF(AND(Table1[Leaving Date]&gt;42094,Table1[Leaving Date]&lt;42461),IF(Table1[Date of Last Assessment]="",Table1[Drug and Alcohol Misuse],Table1[Drug and Alcohol Misuse2]),"")))</f>
        <v/>
      </c>
      <c r="FP322" s="44" t="str">
        <f>IF(Table1[Leaving Date]="","",IF(Table1[Date of Initial Assessment]="","",IF(AND(Table1[Leaving Date]&gt;42094,Table1[Leaving Date]&lt;42461),IF(Table1[Date of Last Assessment]="",Table1[Physical Health],Table1[Physical Health2]),"")))</f>
        <v/>
      </c>
      <c r="FQ322" s="44" t="str">
        <f>IF(Table1[Leaving Date]="","",IF(Table1[Date of Initial Assessment]="","",IF(AND(Table1[Leaving Date]&gt;42094,Table1[Leaving Date]&lt;42461),IF(Table1[Date of Last Assessment]="",Table1[Emotional and Mental Health],Table1[Emotional and Mental Health2]),"")))</f>
        <v/>
      </c>
      <c r="FR322" s="44" t="str">
        <f>IF(Table1[Leaving Date]="","",IF(Table1[Date of Initial Assessment]="","",IF(AND(Table1[Leaving Date]&gt;42094,Table1[Leaving Date]&lt;42461),IF(Table1[Date of Last Assessment]="",Table1[Meaningful Use of Time],Table1[Meaningful Use of Time2]),"")))</f>
        <v/>
      </c>
      <c r="FS322" s="44" t="str">
        <f>IF(Table1[Leaving Date]="","",IF(Table1[Date of Initial Assessment]="","",IF(AND(Table1[Leaving Date]&gt;42094,Table1[Leaving Date]&lt;42461),IF(Table1[Date of Last Assessment]="",Table1[Managing Tenancy and Accommodation],Table1[Managing Tenancy and Accommodation2]),"")))</f>
        <v/>
      </c>
      <c r="FT322" s="44" t="str">
        <f>IF(Table1[Leaving Date]="","",IF(Table1[Date of Initial Assessment]="","",IF(AND(Table1[Leaving Date]&gt;42094,Table1[Leaving Date]&lt;42461),IF(Table1[Date of Last Assessment]="",Table1[Offending],Table1[Offending2]),"")))</f>
        <v/>
      </c>
      <c r="FU322" s="44" t="str">
        <f>IF(Table1[Date of Initial Assessment]="","",IF(AND(Table1[Start Date]&gt;42460,Table1[Start Date]&lt;42826),Table1[Motivation and Taking Responsibility],""))</f>
        <v/>
      </c>
      <c r="FV322" s="44" t="str">
        <f>IF(Table1[Date of Initial Assessment]="","",IF(AND(Table1[Start Date]&gt;42460,Table1[Start Date]&lt;42826),Table1[Self-Care and Living Skills],""))</f>
        <v/>
      </c>
      <c r="FW322" s="44" t="str">
        <f>IF(Table1[Date of Initial Assessment]="","",IF(AND(Table1[Start Date]&gt;42460,Table1[Start Date]&lt;42826),Table1[Managing Money and Personal Administration],""))</f>
        <v/>
      </c>
      <c r="FX322" s="44" t="str">
        <f>IF(Table1[Date of Initial Assessment]="","",IF(AND(Table1[Start Date]&gt;42460,Table1[Start Date]&lt;42826),Table1[Social Networks and Relationships],""))</f>
        <v/>
      </c>
      <c r="FY322" s="44" t="str">
        <f>IF(Table1[Date of Initial Assessment]="","",IF(AND(Table1[Start Date]&gt;42460,Table1[Start Date]&lt;42826),Table1[Drug and Alcohol Misuse],""))</f>
        <v/>
      </c>
      <c r="FZ322" s="44" t="str">
        <f>IF(Table1[Date of Initial Assessment]="","",IF(AND(Table1[Start Date]&gt;42460,Table1[Start Date]&lt;42826),Table1[Physical Health],""))</f>
        <v/>
      </c>
      <c r="GA322" s="44" t="str">
        <f>IF(Table1[Date of Initial Assessment]="","",IF(AND(Table1[Start Date]&gt;42460,Table1[Start Date]&lt;42826),Table1[Emotional and Mental Health],""))</f>
        <v/>
      </c>
      <c r="GB322" s="44" t="str">
        <f>IF(Table1[Date of Initial Assessment]="","",IF(AND(Table1[Start Date]&gt;42460,Table1[Start Date]&lt;42826),Table1[Meaningful Use of Time],""))</f>
        <v/>
      </c>
      <c r="GC322" s="44" t="str">
        <f>IF(Table1[Date of Initial Assessment]="","",IF(AND(Table1[Start Date]&gt;42460,Table1[Start Date]&lt;42826),Table1[Managing Tenancy and Accommodation],""))</f>
        <v/>
      </c>
      <c r="GD322" s="44" t="str">
        <f>IF(Table1[Date of Initial Assessment]="","",IF(AND(Table1[Start Date]&gt;42460,Table1[Start Date]&lt;42826),Table1[Offending],""))</f>
        <v/>
      </c>
      <c r="GE322" s="44" t="str">
        <f>IF(Table1[Leaving Date]="","",IF(AND(Table1[Leaving Date]&gt;42460,Table1[Leaving Date]&lt;42826),IF(Table1[Date of Last Assessment]="",Table1[Motivation and Taking Responsibility],Table1[Motivation and Taking Responsibility2]),""))</f>
        <v/>
      </c>
      <c r="GF322" s="44" t="str">
        <f>IF(Table1[Leaving Date]="","",IF(AND(Table1[Leaving Date]&gt;42460,Table1[Leaving Date]&lt;42826),IF(Table1[Date of Last Assessment]="",Table1[Self-Care and Living Skills],Table1[Self-Care and Living Skills2]),""))</f>
        <v/>
      </c>
      <c r="GG322" s="44" t="str">
        <f>IF(Table1[Leaving Date]="","",IF(AND(Table1[Leaving Date]&gt;42460,Table1[Leaving Date]&lt;42826),IF(Table1[Date of Last Assessment]="",Table1[Managing Money and Personal Administration],Table1[Managing Money and Personal Administration2]),""))</f>
        <v/>
      </c>
      <c r="GH322" s="44" t="str">
        <f>IF(Table1[Leaving Date]="","",IF(AND(Table1[Leaving Date]&gt;42460,Table1[Leaving Date]&lt;42826),IF(Table1[Date of Last Assessment]="",Table1[Social Networks and Relationships],Table1[Social Networks and Relationships2]),""))</f>
        <v/>
      </c>
      <c r="GI322" s="44" t="str">
        <f>IF(Table1[Leaving Date]="","",IF(AND(Table1[Leaving Date]&gt;42460,Table1[Leaving Date]&lt;42826),IF(Table1[Date of Last Assessment]="",Table1[Drug and Alcohol Misuse],Table1[Drug and Alcohol Misuse2]),""))</f>
        <v/>
      </c>
      <c r="GJ322" s="44" t="str">
        <f>IF(Table1[Leaving Date]="","",IF(AND(Table1[Leaving Date]&gt;42460,Table1[Leaving Date]&lt;42826),IF(Table1[Date of Last Assessment]="",Table1[Physical Health],Table1[Physical Health2]),""))</f>
        <v/>
      </c>
      <c r="GK322" s="44" t="str">
        <f>IF(Table1[Leaving Date]="","",IF(AND(Table1[Leaving Date]&gt;42460,Table1[Leaving Date]&lt;42826),IF(Table1[Date of Last Assessment]="",Table1[Emotional and Mental Health],Table1[Emotional and Mental Health2]),""))</f>
        <v/>
      </c>
      <c r="GL322" s="44" t="str">
        <f>IF(Table1[Leaving Date]="","",IF(AND(Table1[Leaving Date]&gt;42460,Table1[Leaving Date]&lt;42826),IF(Table1[Date of Last Assessment]="",Table1[Meaningful Use of Time],Table1[Meaningful Use of Time2]),""))</f>
        <v/>
      </c>
      <c r="GM322" s="44" t="str">
        <f>IF(Table1[Leaving Date]="","",IF(AND(Table1[Leaving Date]&gt;42460,Table1[Leaving Date]&lt;42826),IF(Table1[Date of Last Assessment]="",Table1[Managing Tenancy and Accommodation],Table1[Managing Tenancy and Accommodation2]),""))</f>
        <v/>
      </c>
      <c r="GN322" s="44" t="str">
        <f>IF(Table1[Leaving Date]="","",IF(AND(Table1[Leaving Date]&gt;42460,Table1[Leaving Date]&lt;42826),IF(Table1[Date of Last Assessment]="",Table1[Offending],Table1[Offending2]),""))</f>
        <v/>
      </c>
    </row>
    <row r="323" spans="2:196" ht="20.100000000000001" customHeight="1" x14ac:dyDescent="0.2">
      <c r="B323" s="86">
        <f>+'Service Data'!$C$5:$C$5</f>
        <v>0</v>
      </c>
      <c r="C323" s="86"/>
      <c r="D323" s="86"/>
      <c r="E323" s="86"/>
      <c r="F323" s="86"/>
      <c r="G323" s="86"/>
      <c r="H323" s="6"/>
      <c r="I323" s="99" t="str">
        <f ca="1">IF(Table1[[#This Row],[Date of Birth]]="","",SUM(TODAY()-Table1[[#This Row],[Date of Birth]])/365)</f>
        <v/>
      </c>
      <c r="L323" s="86"/>
      <c r="M323" s="77"/>
      <c r="N323" s="86"/>
      <c r="O323" s="86"/>
      <c r="P323" s="91"/>
      <c r="Q323" s="86"/>
      <c r="R323" s="77"/>
      <c r="S323" s="77"/>
      <c r="T323" s="68"/>
      <c r="U323" s="68"/>
      <c r="V323" s="67"/>
      <c r="W323" s="67"/>
      <c r="X323" s="67"/>
      <c r="Y323" s="67"/>
      <c r="Z323" s="67"/>
      <c r="AA323" s="67"/>
      <c r="AB323" s="67"/>
      <c r="AC323" s="67"/>
      <c r="AD323" s="67"/>
      <c r="AE323" s="67"/>
      <c r="AF323" s="67"/>
      <c r="AG323" s="67"/>
      <c r="AH323" s="67"/>
      <c r="AI323" s="67"/>
      <c r="AJ323" s="67"/>
      <c r="AK323" s="67"/>
      <c r="AL323" s="67"/>
      <c r="AM323" s="67"/>
      <c r="AN323" s="77"/>
      <c r="AO323" s="76"/>
      <c r="AP323" s="77"/>
      <c r="AQ323" s="76"/>
      <c r="AR323" s="76"/>
      <c r="AS323" s="76"/>
      <c r="AT323" s="76"/>
      <c r="AU323" s="76"/>
      <c r="AV323" s="77"/>
      <c r="AW323" s="76"/>
      <c r="AX323" s="77"/>
      <c r="AY323" s="76"/>
      <c r="AZ323" s="76"/>
      <c r="BA323" s="76"/>
      <c r="BB323" s="76"/>
      <c r="BC323" s="76"/>
      <c r="BD323" s="77"/>
      <c r="BE323" s="76"/>
      <c r="BF323" s="77"/>
      <c r="BG323" s="76"/>
      <c r="BH323" s="76"/>
      <c r="BI323" s="76"/>
      <c r="BJ323" s="76"/>
      <c r="BK323" s="76"/>
      <c r="BL323" s="77"/>
      <c r="BM323" s="76"/>
      <c r="BN323" s="77"/>
      <c r="BO323" s="76"/>
      <c r="BP323" s="76"/>
      <c r="BQ323" s="76"/>
      <c r="BR323" s="76"/>
      <c r="BS323" s="76"/>
      <c r="BT323" s="77"/>
      <c r="BU323" s="76"/>
      <c r="BV323" s="77"/>
      <c r="BW323" s="76"/>
      <c r="BX323" s="76"/>
      <c r="BY323" s="76"/>
      <c r="BZ323" s="76"/>
      <c r="CA323" s="76"/>
      <c r="CB323" s="77"/>
      <c r="CC323" s="76"/>
      <c r="CD323" s="77"/>
      <c r="CE323" s="76"/>
      <c r="CF323" s="76"/>
      <c r="CG323" s="76"/>
      <c r="CH323" s="76"/>
      <c r="CI323" s="76"/>
      <c r="CJ323" s="77"/>
      <c r="CK323" s="76"/>
      <c r="CL323" s="77"/>
      <c r="CM323" s="76"/>
      <c r="CN323" s="76"/>
      <c r="CO323" s="76"/>
      <c r="CP323" s="76"/>
      <c r="CQ323" s="76"/>
      <c r="CR323" s="78" t="str">
        <f t="shared" si="79"/>
        <v/>
      </c>
      <c r="CS323" s="79" t="str">
        <f t="shared" si="80"/>
        <v/>
      </c>
      <c r="CT323" s="79" t="str">
        <f t="shared" si="81"/>
        <v/>
      </c>
      <c r="CU323" s="79" t="str">
        <f t="shared" si="82"/>
        <v/>
      </c>
      <c r="CV323" s="79" t="str">
        <f t="shared" si="83"/>
        <v/>
      </c>
      <c r="CW323" s="79" t="str">
        <f t="shared" si="84"/>
        <v/>
      </c>
      <c r="CX323" s="79" t="str">
        <f t="shared" si="85"/>
        <v/>
      </c>
      <c r="CY323" s="79" t="str">
        <f t="shared" si="86"/>
        <v/>
      </c>
      <c r="CZ323" s="79" t="str">
        <f t="shared" si="87"/>
        <v/>
      </c>
      <c r="DA323" s="79" t="str">
        <f t="shared" si="88"/>
        <v/>
      </c>
      <c r="DB323" s="79" t="str">
        <f t="shared" si="89"/>
        <v/>
      </c>
      <c r="DC323" s="79" t="str">
        <f t="shared" si="90"/>
        <v/>
      </c>
      <c r="DD323" s="79" t="str">
        <f t="shared" si="91"/>
        <v/>
      </c>
      <c r="DE323" s="79" t="str">
        <f t="shared" si="92"/>
        <v/>
      </c>
      <c r="DF323" s="79" t="str">
        <f t="shared" si="93"/>
        <v/>
      </c>
      <c r="DG323" s="79" t="str">
        <f t="shared" si="94"/>
        <v/>
      </c>
      <c r="DH323" s="76"/>
      <c r="DI323" s="78"/>
      <c r="DJ323" s="76"/>
      <c r="DK323" s="77"/>
      <c r="DL323" s="77"/>
      <c r="DM323" s="77"/>
      <c r="DN323" s="80"/>
      <c r="DO323" s="80"/>
      <c r="DP323" s="92" t="str">
        <f>IF(Table1[Start Date]="","",IF(Table1[Start Date]&gt;42185,"",IF(AND(Table1[Leaving Date]&gt;1,Table1[Leaving Date]&lt;42095),"",1)))</f>
        <v/>
      </c>
      <c r="DQ323" s="92" t="str">
        <f>IF(Table1[Start Date]="","",IF(Table1[Start Date]&gt;42277,"",IF(AND(Table1[Leaving Date]&gt;1,Table1[Leaving Date]&lt;42186),"",1)))</f>
        <v/>
      </c>
      <c r="DR323" s="92" t="str">
        <f>IF(Table1[Start Date]="","",IF(Table1[Start Date]&gt;42369,"",IF(AND(Table1[Leaving Date]&gt;1,Table1[Leaving Date]&lt;42278),"",1)))</f>
        <v/>
      </c>
      <c r="DS323" s="92" t="str">
        <f>IF(Table1[Start Date]="","",IF(Table1[Start Date]&gt;42460,"",IF(AND(Table1[Leaving Date]&gt;1,Table1[Leaving Date]&lt;42370),"",1)))</f>
        <v/>
      </c>
      <c r="DT323" s="92" t="str">
        <f>IF(Table1[Start Date]="","",IF(Table1[Start Date]&gt;42551,"",IF(AND(Table1[Leaving Date]&gt;1,Table1[Leaving Date]&lt;42461),"",1)))</f>
        <v/>
      </c>
      <c r="DU323" s="92" t="str">
        <f>IF(Table1[Start Date]="","",IF(Table1[Start Date]&gt;42643,"",IF(AND(Table1[Leaving Date]&gt;1,Table1[Leaving Date]&lt;42552),"",1)))</f>
        <v/>
      </c>
      <c r="DV323" s="92" t="str">
        <f>IF(Table1[Start Date]="","",IF(Table1[Start Date]&gt;42735,"",IF(AND(Table1[Leaving Date]&gt;1,Table1[Leaving Date]&lt;42644),"",1)))</f>
        <v/>
      </c>
      <c r="DW323" s="92" t="str">
        <f>IF(Table1[Start Date]="","",IF(Table1[Start Date]&gt;42825,"",IF(AND(Table1[Leaving Date]&gt;1,Table1[Leaving Date]&lt;42736),"",1)))</f>
        <v/>
      </c>
      <c r="DX323"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323" s="44" t="e">
        <f>VLOOKUP(Table1[Referral Source],Lists!$G$2:$H$20,2,FALSE)</f>
        <v>#N/A</v>
      </c>
      <c r="DZ323" s="93" t="e">
        <f>SUM(Table1[Data Referral Quarter]+Table1[Data Referral Source])</f>
        <v>#N/A</v>
      </c>
      <c r="EA323" s="44" t="b">
        <f>IF(Table1[Referral Decision]="Accepted",100,IF(Table1[Referral Decision]="Rejected by Provider",200,IF(Table1[Referral Decision]="Rejected by Applicant",300)))</f>
        <v>0</v>
      </c>
      <c r="EB323" s="44">
        <f>SUM(Table1[Data Referral Quarter]+Table1[Data Referral Decision])</f>
        <v>0</v>
      </c>
      <c r="EC323" s="44" t="b">
        <f>IF(Table1[Start Date]&gt;42735,8000,IF(Table1[Start Date]&gt;42643,7000,IF(Table1[Start Date]&gt;42551,6000,IF(Table1[Start Date]&gt;42460,5000,IF(Table1[Start Date]&gt;42369,4000,IF(Table1[Start Date]&gt;42277,3000,IF(Table1[Start Date]&gt;42185,2000,IF(Table1[Start Date]&gt;42094,1000))))))))</f>
        <v>0</v>
      </c>
      <c r="ED323" s="44" t="str">
        <f>IF(Table1[Start Date]="","",IF(Table1[Current Local Authority]="Swindon",1,"2"))</f>
        <v/>
      </c>
      <c r="EE323" s="44" t="e">
        <f>SUM(Table1[Data Start Date]+Table1[Data Local Authority])</f>
        <v>#VALUE!</v>
      </c>
      <c r="EF323" s="44">
        <f>IF(Table1[Registered with GP]="Yes",1,0)</f>
        <v>0</v>
      </c>
      <c r="EG323" s="44">
        <f>SUM(Table1[Data Start Date]+Table1[Data GP Start])</f>
        <v>0</v>
      </c>
      <c r="EH323" s="44" t="str">
        <f>IF(Table1[EET]="NEET",1,IF(Table1[EET]="Education",2,IF(Table1[EET]="Employment",2,IF(Table1[EET]="Training",2,IF(Table1[EET]="Retired",3,"")))))</f>
        <v/>
      </c>
      <c r="EI323" s="44" t="e">
        <f>Table1[Data Start Date]+Table1[Data EET Start]</f>
        <v>#VALUE!</v>
      </c>
      <c r="EJ323" s="44" t="b">
        <f>IF(Table1[Leaving Date]&gt;42735,8000,IF(Table1[Leaving Date]&gt;42643,7000,IF(Table1[Leaving Date]&gt;42551,6000,IF(Table1[Leaving Date]&gt;42460,5000,IF(Table1[Leaving Date]&gt;42369,4000,IF(Table1[Leaving Date]&gt;42277,3000,IF(Table1[Leaving Date]&gt;42185,2000,IF(Table1[Leaving Date]&gt;42094,1000))))))))</f>
        <v>0</v>
      </c>
      <c r="EK323" s="44" t="e">
        <f>VLOOKUP(Table1[Reason for Leaving],Lists!$T$2:$U$15,2,FALSE)</f>
        <v>#N/A</v>
      </c>
      <c r="EL323" s="44" t="e">
        <f>SUM(Table1[Data Leavers Date]+Table1[Data Move On])</f>
        <v>#N/A</v>
      </c>
      <c r="EM323" s="44" t="b">
        <f>IF(Table1[Registered with GP2]="Yes",1,IF(Table1[Registered with GP2]="No",0,IF(Table1[Registered with GP]="Yes",1,IF(Table1[Registered with GP]="No",0))))</f>
        <v>0</v>
      </c>
      <c r="EN323" s="44">
        <f>SUM(Table1[Data Leavers Date]+Table1[Data GP End])</f>
        <v>0</v>
      </c>
      <c r="EO323" s="44" t="str">
        <f>IF(Table1[EET2]="NEET",1,IF(Table1[EET2]="Employment",2,IF(Table1[EET2]="Education",2,IF(Table1[EET2]="Training",2,IF(Table1[EET2]="Retired",3,IF(Table1[EET]="NEET",1,IF(Table1[EET]="Employment",2,IF(Table1[EET]="Education",2,IF(Table1[EET]="Training",2,IF(Table1[EET]="Retired",3,""))))))))))</f>
        <v/>
      </c>
      <c r="EP323" s="44" t="e">
        <f>+Table1[[#This Row],[Data Leavers Date]]+Table1[[#This Row],[Data EET End]]</f>
        <v>#VALUE!</v>
      </c>
      <c r="EQ323" s="44">
        <f>IF(Table1[Exit Form Received]="Yes",1,0)</f>
        <v>0</v>
      </c>
      <c r="ER323" s="44">
        <f>+Table1[[#This Row],[Data Leavers Date]]+Table1[[#This Row],[Data Exit Forms]]</f>
        <v>0</v>
      </c>
      <c r="ES323" s="44" t="str">
        <f>IF(Table1[Data Leavers Date]=1000,SUM(Table1[Leaving Date]-Table1[Start Date]),"")</f>
        <v/>
      </c>
      <c r="ET323" s="44" t="str">
        <f>IF(Table1[Data Leavers Date]=2000,SUM(Table1[Leaving Date]-Table1[Start Date]),"")</f>
        <v/>
      </c>
      <c r="EU323" s="44" t="str">
        <f>IF(Table1[Data Leavers Date]=3000,SUM(Table1[Leaving Date]-Table1[Start Date]),"")</f>
        <v/>
      </c>
      <c r="EV323" s="44" t="str">
        <f>IF(Table1[Data Leavers Date]=4000,SUM(Table1[Leaving Date]-Table1[Start Date]),"")</f>
        <v/>
      </c>
      <c r="EW323" s="44" t="str">
        <f>IF(Table1[Data Leavers Date]=5000,SUM(Table1[Leaving Date]-Table1[Start Date]),"")</f>
        <v/>
      </c>
      <c r="EX323" s="44" t="str">
        <f>IF(Table1[Data Leavers Date]=6000,SUM(Table1[Leaving Date]-Table1[Start Date]),"")</f>
        <v/>
      </c>
      <c r="EY323" s="44" t="str">
        <f>IF(Table1[Data Leavers Date]=7000,SUM(Table1[Leaving Date]-Table1[Start Date]),"")</f>
        <v/>
      </c>
      <c r="EZ323" s="44" t="str">
        <f>IF(Table1[Data Leavers Date]=8000,SUM(Table1[Leaving Date]-Table1[Start Date]),"")</f>
        <v/>
      </c>
      <c r="FA323" s="44" t="str">
        <f>IF(Table1[Date of Initial Assessment]="","",IF(AND(Table1[Start Date]&gt;42094,Table1[Start Date]&lt;42461),Table1[Motivation and Taking Responsibility],""))</f>
        <v/>
      </c>
      <c r="FB323" s="44" t="str">
        <f>IF(Table1[Date of Initial Assessment]="","",IF(AND(Table1[Start Date]&gt;42094,Table1[Start Date]&lt;42461),Table1[Self-Care and Living Skills],""))</f>
        <v/>
      </c>
      <c r="FC323" s="44" t="str">
        <f>IF(Table1[Date of Initial Assessment]="","",IF(AND(Table1[Start Date]&gt;42094,Table1[Start Date]&lt;42461),Table1[Managing Money and Personal Administration],""))</f>
        <v/>
      </c>
      <c r="FD323" s="44" t="str">
        <f>IF(Table1[Date of Initial Assessment]="","",IF(AND(Table1[Start Date]&gt;42094,Table1[Start Date]&lt;42461),Table1[Social Networks and Relationships],""))</f>
        <v/>
      </c>
      <c r="FE323" s="44" t="str">
        <f>IF(Table1[Date of Initial Assessment]="","",IF(AND(Table1[Start Date]&gt;42094,Table1[Start Date]&lt;42461),Table1[Drug and Alcohol Misuse],""))</f>
        <v/>
      </c>
      <c r="FF323" s="44" t="str">
        <f>IF(Table1[Date of Initial Assessment]="","",IF(AND(Table1[Start Date]&gt;42094,Table1[Start Date]&lt;42461),Table1[Physical Health],""))</f>
        <v/>
      </c>
      <c r="FG323" s="44" t="str">
        <f>IF(Table1[Date of Initial Assessment]="","",IF(AND(Table1[Start Date]&gt;42094,Table1[Start Date]&lt;42461),Table1[Emotional and Mental Health],""))</f>
        <v/>
      </c>
      <c r="FH323" s="44" t="str">
        <f>IF(Table1[Date of Initial Assessment]="","",IF(AND(Table1[Start Date]&gt;42094,Table1[Start Date]&lt;42461),Table1[Meaningful Use of Time],""))</f>
        <v/>
      </c>
      <c r="FI323" s="44" t="str">
        <f>IF(Table1[Date of Initial Assessment]="","",IF(AND(Table1[Start Date]&gt;42094,Table1[Start Date]&lt;42461),Table1[Managing Tenancy and Accommodation],""))</f>
        <v/>
      </c>
      <c r="FJ323" s="44" t="str">
        <f>IF(Table1[Date of Initial Assessment]="","",IF(AND(Table1[Start Date]&gt;42094,Table1[Start Date]&lt;42461),Table1[Offending],""))</f>
        <v/>
      </c>
      <c r="FK323" s="44" t="str">
        <f>IF(Table1[Leaving Date]="","",IF(Table1[Date of Initial Assessment]="","",IF(AND(Table1[Leaving Date]&gt;42094,Table1[Leaving Date]&lt;42461),IF(Table1[Date of Last Assessment]="",Table1[Motivation and Taking Responsibility],Table1[Motivation and Taking Responsibility2]),"")))</f>
        <v/>
      </c>
      <c r="FL323" s="44" t="str">
        <f>IF(Table1[Leaving Date]="","",IF(Table1[Date of Initial Assessment]="","",IF(AND(Table1[Leaving Date]&gt;42094,Table1[Leaving Date]&lt;42461),IF(Table1[Date of Last Assessment]="",Table1[Self-Care and Living Skills],Table1[Self-Care and Living Skills2]),"")))</f>
        <v/>
      </c>
      <c r="FM323" s="44" t="str">
        <f>IF(Table1[Leaving Date]="","",IF(Table1[Date of Initial Assessment]="","",IF(AND(Table1[Leaving Date]&gt;42094,Table1[Leaving Date]&lt;42461),IF(Table1[Date of Last Assessment]="",Table1[Managing Money and Personal Administration],Table1[Managing Money and Personal Administration2]),"")))</f>
        <v/>
      </c>
      <c r="FN323" s="44" t="str">
        <f>IF(Table1[Leaving Date]="","",IF(Table1[Date of Initial Assessment]="","",IF(AND(Table1[Leaving Date]&gt;42094,Table1[Leaving Date]&lt;42461),IF(Table1[Date of Last Assessment]="",Table1[Social Networks and Relationships],Table1[Social Networks and Relationships2]),"")))</f>
        <v/>
      </c>
      <c r="FO323" s="44" t="str">
        <f>IF(Table1[Leaving Date]="","",IF(Table1[Date of Initial Assessment]="","",IF(AND(Table1[Leaving Date]&gt;42094,Table1[Leaving Date]&lt;42461),IF(Table1[Date of Last Assessment]="",Table1[Drug and Alcohol Misuse],Table1[Drug and Alcohol Misuse2]),"")))</f>
        <v/>
      </c>
      <c r="FP323" s="44" t="str">
        <f>IF(Table1[Leaving Date]="","",IF(Table1[Date of Initial Assessment]="","",IF(AND(Table1[Leaving Date]&gt;42094,Table1[Leaving Date]&lt;42461),IF(Table1[Date of Last Assessment]="",Table1[Physical Health],Table1[Physical Health2]),"")))</f>
        <v/>
      </c>
      <c r="FQ323" s="44" t="str">
        <f>IF(Table1[Leaving Date]="","",IF(Table1[Date of Initial Assessment]="","",IF(AND(Table1[Leaving Date]&gt;42094,Table1[Leaving Date]&lt;42461),IF(Table1[Date of Last Assessment]="",Table1[Emotional and Mental Health],Table1[Emotional and Mental Health2]),"")))</f>
        <v/>
      </c>
      <c r="FR323" s="44" t="str">
        <f>IF(Table1[Leaving Date]="","",IF(Table1[Date of Initial Assessment]="","",IF(AND(Table1[Leaving Date]&gt;42094,Table1[Leaving Date]&lt;42461),IF(Table1[Date of Last Assessment]="",Table1[Meaningful Use of Time],Table1[Meaningful Use of Time2]),"")))</f>
        <v/>
      </c>
      <c r="FS323" s="44" t="str">
        <f>IF(Table1[Leaving Date]="","",IF(Table1[Date of Initial Assessment]="","",IF(AND(Table1[Leaving Date]&gt;42094,Table1[Leaving Date]&lt;42461),IF(Table1[Date of Last Assessment]="",Table1[Managing Tenancy and Accommodation],Table1[Managing Tenancy and Accommodation2]),"")))</f>
        <v/>
      </c>
      <c r="FT323" s="44" t="str">
        <f>IF(Table1[Leaving Date]="","",IF(Table1[Date of Initial Assessment]="","",IF(AND(Table1[Leaving Date]&gt;42094,Table1[Leaving Date]&lt;42461),IF(Table1[Date of Last Assessment]="",Table1[Offending],Table1[Offending2]),"")))</f>
        <v/>
      </c>
      <c r="FU323" s="44" t="str">
        <f>IF(Table1[Date of Initial Assessment]="","",IF(AND(Table1[Start Date]&gt;42460,Table1[Start Date]&lt;42826),Table1[Motivation and Taking Responsibility],""))</f>
        <v/>
      </c>
      <c r="FV323" s="44" t="str">
        <f>IF(Table1[Date of Initial Assessment]="","",IF(AND(Table1[Start Date]&gt;42460,Table1[Start Date]&lt;42826),Table1[Self-Care and Living Skills],""))</f>
        <v/>
      </c>
      <c r="FW323" s="44" t="str">
        <f>IF(Table1[Date of Initial Assessment]="","",IF(AND(Table1[Start Date]&gt;42460,Table1[Start Date]&lt;42826),Table1[Managing Money and Personal Administration],""))</f>
        <v/>
      </c>
      <c r="FX323" s="44" t="str">
        <f>IF(Table1[Date of Initial Assessment]="","",IF(AND(Table1[Start Date]&gt;42460,Table1[Start Date]&lt;42826),Table1[Social Networks and Relationships],""))</f>
        <v/>
      </c>
      <c r="FY323" s="44" t="str">
        <f>IF(Table1[Date of Initial Assessment]="","",IF(AND(Table1[Start Date]&gt;42460,Table1[Start Date]&lt;42826),Table1[Drug and Alcohol Misuse],""))</f>
        <v/>
      </c>
      <c r="FZ323" s="44" t="str">
        <f>IF(Table1[Date of Initial Assessment]="","",IF(AND(Table1[Start Date]&gt;42460,Table1[Start Date]&lt;42826),Table1[Physical Health],""))</f>
        <v/>
      </c>
      <c r="GA323" s="44" t="str">
        <f>IF(Table1[Date of Initial Assessment]="","",IF(AND(Table1[Start Date]&gt;42460,Table1[Start Date]&lt;42826),Table1[Emotional and Mental Health],""))</f>
        <v/>
      </c>
      <c r="GB323" s="44" t="str">
        <f>IF(Table1[Date of Initial Assessment]="","",IF(AND(Table1[Start Date]&gt;42460,Table1[Start Date]&lt;42826),Table1[Meaningful Use of Time],""))</f>
        <v/>
      </c>
      <c r="GC323" s="44" t="str">
        <f>IF(Table1[Date of Initial Assessment]="","",IF(AND(Table1[Start Date]&gt;42460,Table1[Start Date]&lt;42826),Table1[Managing Tenancy and Accommodation],""))</f>
        <v/>
      </c>
      <c r="GD323" s="44" t="str">
        <f>IF(Table1[Date of Initial Assessment]="","",IF(AND(Table1[Start Date]&gt;42460,Table1[Start Date]&lt;42826),Table1[Offending],""))</f>
        <v/>
      </c>
      <c r="GE323" s="44" t="str">
        <f>IF(Table1[Leaving Date]="","",IF(AND(Table1[Leaving Date]&gt;42460,Table1[Leaving Date]&lt;42826),IF(Table1[Date of Last Assessment]="",Table1[Motivation and Taking Responsibility],Table1[Motivation and Taking Responsibility2]),""))</f>
        <v/>
      </c>
      <c r="GF323" s="44" t="str">
        <f>IF(Table1[Leaving Date]="","",IF(AND(Table1[Leaving Date]&gt;42460,Table1[Leaving Date]&lt;42826),IF(Table1[Date of Last Assessment]="",Table1[Self-Care and Living Skills],Table1[Self-Care and Living Skills2]),""))</f>
        <v/>
      </c>
      <c r="GG323" s="44" t="str">
        <f>IF(Table1[Leaving Date]="","",IF(AND(Table1[Leaving Date]&gt;42460,Table1[Leaving Date]&lt;42826),IF(Table1[Date of Last Assessment]="",Table1[Managing Money and Personal Administration],Table1[Managing Money and Personal Administration2]),""))</f>
        <v/>
      </c>
      <c r="GH323" s="44" t="str">
        <f>IF(Table1[Leaving Date]="","",IF(AND(Table1[Leaving Date]&gt;42460,Table1[Leaving Date]&lt;42826),IF(Table1[Date of Last Assessment]="",Table1[Social Networks and Relationships],Table1[Social Networks and Relationships2]),""))</f>
        <v/>
      </c>
      <c r="GI323" s="44" t="str">
        <f>IF(Table1[Leaving Date]="","",IF(AND(Table1[Leaving Date]&gt;42460,Table1[Leaving Date]&lt;42826),IF(Table1[Date of Last Assessment]="",Table1[Drug and Alcohol Misuse],Table1[Drug and Alcohol Misuse2]),""))</f>
        <v/>
      </c>
      <c r="GJ323" s="44" t="str">
        <f>IF(Table1[Leaving Date]="","",IF(AND(Table1[Leaving Date]&gt;42460,Table1[Leaving Date]&lt;42826),IF(Table1[Date of Last Assessment]="",Table1[Physical Health],Table1[Physical Health2]),""))</f>
        <v/>
      </c>
      <c r="GK323" s="44" t="str">
        <f>IF(Table1[Leaving Date]="","",IF(AND(Table1[Leaving Date]&gt;42460,Table1[Leaving Date]&lt;42826),IF(Table1[Date of Last Assessment]="",Table1[Emotional and Mental Health],Table1[Emotional and Mental Health2]),""))</f>
        <v/>
      </c>
      <c r="GL323" s="44" t="str">
        <f>IF(Table1[Leaving Date]="","",IF(AND(Table1[Leaving Date]&gt;42460,Table1[Leaving Date]&lt;42826),IF(Table1[Date of Last Assessment]="",Table1[Meaningful Use of Time],Table1[Meaningful Use of Time2]),""))</f>
        <v/>
      </c>
      <c r="GM323" s="44" t="str">
        <f>IF(Table1[Leaving Date]="","",IF(AND(Table1[Leaving Date]&gt;42460,Table1[Leaving Date]&lt;42826),IF(Table1[Date of Last Assessment]="",Table1[Managing Tenancy and Accommodation],Table1[Managing Tenancy and Accommodation2]),""))</f>
        <v/>
      </c>
      <c r="GN323" s="44" t="str">
        <f>IF(Table1[Leaving Date]="","",IF(AND(Table1[Leaving Date]&gt;42460,Table1[Leaving Date]&lt;42826),IF(Table1[Date of Last Assessment]="",Table1[Offending],Table1[Offending2]),""))</f>
        <v/>
      </c>
    </row>
    <row r="324" spans="2:196" ht="20.100000000000001" customHeight="1" x14ac:dyDescent="0.2">
      <c r="B324" s="86">
        <f>+'Service Data'!$C$5:$C$5</f>
        <v>0</v>
      </c>
      <c r="C324" s="86"/>
      <c r="D324" s="86"/>
      <c r="E324" s="86"/>
      <c r="F324" s="86"/>
      <c r="G324" s="86"/>
      <c r="H324" s="6"/>
      <c r="I324" s="99" t="str">
        <f ca="1">IF(Table1[[#This Row],[Date of Birth]]="","",SUM(TODAY()-Table1[[#This Row],[Date of Birth]])/365)</f>
        <v/>
      </c>
      <c r="L324" s="86"/>
      <c r="M324" s="77"/>
      <c r="N324" s="86"/>
      <c r="O324" s="86"/>
      <c r="P324" s="91"/>
      <c r="Q324" s="86"/>
      <c r="R324" s="77"/>
      <c r="S324" s="77"/>
      <c r="T324" s="68"/>
      <c r="U324" s="68"/>
      <c r="V324" s="67"/>
      <c r="W324" s="67"/>
      <c r="X324" s="67"/>
      <c r="Y324" s="67"/>
      <c r="Z324" s="67"/>
      <c r="AA324" s="67"/>
      <c r="AB324" s="67"/>
      <c r="AC324" s="67"/>
      <c r="AD324" s="67"/>
      <c r="AE324" s="67"/>
      <c r="AF324" s="67"/>
      <c r="AG324" s="67"/>
      <c r="AH324" s="67"/>
      <c r="AI324" s="67"/>
      <c r="AJ324" s="67"/>
      <c r="AK324" s="67"/>
      <c r="AL324" s="67"/>
      <c r="AM324" s="67"/>
      <c r="AN324" s="77"/>
      <c r="AO324" s="76"/>
      <c r="AP324" s="77"/>
      <c r="AQ324" s="76"/>
      <c r="AR324" s="76"/>
      <c r="AS324" s="76"/>
      <c r="AT324" s="76"/>
      <c r="AU324" s="76"/>
      <c r="AV324" s="77"/>
      <c r="AW324" s="76"/>
      <c r="AX324" s="77"/>
      <c r="AY324" s="76"/>
      <c r="AZ324" s="76"/>
      <c r="BA324" s="76"/>
      <c r="BB324" s="76"/>
      <c r="BC324" s="76"/>
      <c r="BD324" s="77"/>
      <c r="BE324" s="76"/>
      <c r="BF324" s="77"/>
      <c r="BG324" s="76"/>
      <c r="BH324" s="76"/>
      <c r="BI324" s="76"/>
      <c r="BJ324" s="76"/>
      <c r="BK324" s="76"/>
      <c r="BL324" s="77"/>
      <c r="BM324" s="76"/>
      <c r="BN324" s="77"/>
      <c r="BO324" s="76"/>
      <c r="BP324" s="76"/>
      <c r="BQ324" s="76"/>
      <c r="BR324" s="76"/>
      <c r="BS324" s="76"/>
      <c r="BT324" s="77"/>
      <c r="BU324" s="76"/>
      <c r="BV324" s="77"/>
      <c r="BW324" s="76"/>
      <c r="BX324" s="76"/>
      <c r="BY324" s="76"/>
      <c r="BZ324" s="76"/>
      <c r="CA324" s="76"/>
      <c r="CB324" s="77"/>
      <c r="CC324" s="76"/>
      <c r="CD324" s="77"/>
      <c r="CE324" s="76"/>
      <c r="CF324" s="76"/>
      <c r="CG324" s="76"/>
      <c r="CH324" s="76"/>
      <c r="CI324" s="76"/>
      <c r="CJ324" s="77"/>
      <c r="CK324" s="76"/>
      <c r="CL324" s="77"/>
      <c r="CM324" s="76"/>
      <c r="CN324" s="76"/>
      <c r="CO324" s="76"/>
      <c r="CP324" s="76"/>
      <c r="CQ324" s="76"/>
      <c r="CR324" s="78" t="str">
        <f t="shared" ref="CR324:CR387" si="95">IF(U324="","",U324)</f>
        <v/>
      </c>
      <c r="CS324" s="79" t="str">
        <f t="shared" ref="CS324:CS387" si="96">IF(V324="","",V324)</f>
        <v/>
      </c>
      <c r="CT324" s="79" t="str">
        <f t="shared" ref="CT324:CT387" si="97">IF(W324="","",W324)</f>
        <v/>
      </c>
      <c r="CU324" s="79" t="str">
        <f t="shared" ref="CU324:CU387" si="98">IF(X324="","",X324)</f>
        <v/>
      </c>
      <c r="CV324" s="79" t="str">
        <f t="shared" ref="CV324:CV387" si="99">IF(Y324="","",Y324)</f>
        <v/>
      </c>
      <c r="CW324" s="79" t="str">
        <f t="shared" ref="CW324:CW387" si="100">IF(Z324="","",Z324)</f>
        <v/>
      </c>
      <c r="CX324" s="79" t="str">
        <f t="shared" ref="CX324:CX387" si="101">IF(AA324="","",AA324)</f>
        <v/>
      </c>
      <c r="CY324" s="79" t="str">
        <f t="shared" ref="CY324:CY387" si="102">IF(AB324="","",AB324)</f>
        <v/>
      </c>
      <c r="CZ324" s="79" t="str">
        <f t="shared" ref="CZ324:CZ387" si="103">IF(AC324="","",AC324)</f>
        <v/>
      </c>
      <c r="DA324" s="79" t="str">
        <f t="shared" ref="DA324:DA387" si="104">IF(AD324="","",AD324)</f>
        <v/>
      </c>
      <c r="DB324" s="79" t="str">
        <f t="shared" ref="DB324:DB387" si="105">IF(AE324="","",AE324)</f>
        <v/>
      </c>
      <c r="DC324" s="79" t="str">
        <f t="shared" ref="DC324:DC387" si="106">IF(AF324="","",AF324)</f>
        <v/>
      </c>
      <c r="DD324" s="79" t="str">
        <f t="shared" ref="DD324:DD387" si="107">IF(AG324="","",AG324)</f>
        <v/>
      </c>
      <c r="DE324" s="79" t="str">
        <f t="shared" ref="DE324:DE387" si="108">IF(AK324="","",AK324)</f>
        <v/>
      </c>
      <c r="DF324" s="79" t="str">
        <f t="shared" ref="DF324:DF387" si="109">IF(AL324="","",AL324)</f>
        <v/>
      </c>
      <c r="DG324" s="79" t="str">
        <f t="shared" ref="DG324:DG387" si="110">IF(AM324="","",AM324)</f>
        <v/>
      </c>
      <c r="DH324" s="76"/>
      <c r="DI324" s="78"/>
      <c r="DJ324" s="76"/>
      <c r="DK324" s="77"/>
      <c r="DL324" s="77"/>
      <c r="DM324" s="77"/>
      <c r="DN324" s="80"/>
      <c r="DO324" s="80"/>
      <c r="DP324" s="92" t="str">
        <f>IF(Table1[Start Date]="","",IF(Table1[Start Date]&gt;42185,"",IF(AND(Table1[Leaving Date]&gt;1,Table1[Leaving Date]&lt;42095),"",1)))</f>
        <v/>
      </c>
      <c r="DQ324" s="92" t="str">
        <f>IF(Table1[Start Date]="","",IF(Table1[Start Date]&gt;42277,"",IF(AND(Table1[Leaving Date]&gt;1,Table1[Leaving Date]&lt;42186),"",1)))</f>
        <v/>
      </c>
      <c r="DR324" s="92" t="str">
        <f>IF(Table1[Start Date]="","",IF(Table1[Start Date]&gt;42369,"",IF(AND(Table1[Leaving Date]&gt;1,Table1[Leaving Date]&lt;42278),"",1)))</f>
        <v/>
      </c>
      <c r="DS324" s="92" t="str">
        <f>IF(Table1[Start Date]="","",IF(Table1[Start Date]&gt;42460,"",IF(AND(Table1[Leaving Date]&gt;1,Table1[Leaving Date]&lt;42370),"",1)))</f>
        <v/>
      </c>
      <c r="DT324" s="92" t="str">
        <f>IF(Table1[Start Date]="","",IF(Table1[Start Date]&gt;42551,"",IF(AND(Table1[Leaving Date]&gt;1,Table1[Leaving Date]&lt;42461),"",1)))</f>
        <v/>
      </c>
      <c r="DU324" s="92" t="str">
        <f>IF(Table1[Start Date]="","",IF(Table1[Start Date]&gt;42643,"",IF(AND(Table1[Leaving Date]&gt;1,Table1[Leaving Date]&lt;42552),"",1)))</f>
        <v/>
      </c>
      <c r="DV324" s="92" t="str">
        <f>IF(Table1[Start Date]="","",IF(Table1[Start Date]&gt;42735,"",IF(AND(Table1[Leaving Date]&gt;1,Table1[Leaving Date]&lt;42644),"",1)))</f>
        <v/>
      </c>
      <c r="DW324" s="92" t="str">
        <f>IF(Table1[Start Date]="","",IF(Table1[Start Date]&gt;42825,"",IF(AND(Table1[Leaving Date]&gt;1,Table1[Leaving Date]&lt;42736),"",1)))</f>
        <v/>
      </c>
      <c r="DX324"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324" s="44" t="e">
        <f>VLOOKUP(Table1[Referral Source],Lists!$G$2:$H$20,2,FALSE)</f>
        <v>#N/A</v>
      </c>
      <c r="DZ324" s="93" t="e">
        <f>SUM(Table1[Data Referral Quarter]+Table1[Data Referral Source])</f>
        <v>#N/A</v>
      </c>
      <c r="EA324" s="44" t="b">
        <f>IF(Table1[Referral Decision]="Accepted",100,IF(Table1[Referral Decision]="Rejected by Provider",200,IF(Table1[Referral Decision]="Rejected by Applicant",300)))</f>
        <v>0</v>
      </c>
      <c r="EB324" s="44">
        <f>SUM(Table1[Data Referral Quarter]+Table1[Data Referral Decision])</f>
        <v>0</v>
      </c>
      <c r="EC324" s="44" t="b">
        <f>IF(Table1[Start Date]&gt;42735,8000,IF(Table1[Start Date]&gt;42643,7000,IF(Table1[Start Date]&gt;42551,6000,IF(Table1[Start Date]&gt;42460,5000,IF(Table1[Start Date]&gt;42369,4000,IF(Table1[Start Date]&gt;42277,3000,IF(Table1[Start Date]&gt;42185,2000,IF(Table1[Start Date]&gt;42094,1000))))))))</f>
        <v>0</v>
      </c>
      <c r="ED324" s="44" t="str">
        <f>IF(Table1[Start Date]="","",IF(Table1[Current Local Authority]="Swindon",1,"2"))</f>
        <v/>
      </c>
      <c r="EE324" s="44" t="e">
        <f>SUM(Table1[Data Start Date]+Table1[Data Local Authority])</f>
        <v>#VALUE!</v>
      </c>
      <c r="EF324" s="44">
        <f>IF(Table1[Registered with GP]="Yes",1,0)</f>
        <v>0</v>
      </c>
      <c r="EG324" s="44">
        <f>SUM(Table1[Data Start Date]+Table1[Data GP Start])</f>
        <v>0</v>
      </c>
      <c r="EH324" s="44" t="str">
        <f>IF(Table1[EET]="NEET",1,IF(Table1[EET]="Education",2,IF(Table1[EET]="Employment",2,IF(Table1[EET]="Training",2,IF(Table1[EET]="Retired",3,"")))))</f>
        <v/>
      </c>
      <c r="EI324" s="44" t="e">
        <f>Table1[Data Start Date]+Table1[Data EET Start]</f>
        <v>#VALUE!</v>
      </c>
      <c r="EJ324" s="44" t="b">
        <f>IF(Table1[Leaving Date]&gt;42735,8000,IF(Table1[Leaving Date]&gt;42643,7000,IF(Table1[Leaving Date]&gt;42551,6000,IF(Table1[Leaving Date]&gt;42460,5000,IF(Table1[Leaving Date]&gt;42369,4000,IF(Table1[Leaving Date]&gt;42277,3000,IF(Table1[Leaving Date]&gt;42185,2000,IF(Table1[Leaving Date]&gt;42094,1000))))))))</f>
        <v>0</v>
      </c>
      <c r="EK324" s="44" t="e">
        <f>VLOOKUP(Table1[Reason for Leaving],Lists!$T$2:$U$15,2,FALSE)</f>
        <v>#N/A</v>
      </c>
      <c r="EL324" s="44" t="e">
        <f>SUM(Table1[Data Leavers Date]+Table1[Data Move On])</f>
        <v>#N/A</v>
      </c>
      <c r="EM324" s="44" t="b">
        <f>IF(Table1[Registered with GP2]="Yes",1,IF(Table1[Registered with GP2]="No",0,IF(Table1[Registered with GP]="Yes",1,IF(Table1[Registered with GP]="No",0))))</f>
        <v>0</v>
      </c>
      <c r="EN324" s="44">
        <f>SUM(Table1[Data Leavers Date]+Table1[Data GP End])</f>
        <v>0</v>
      </c>
      <c r="EO324" s="44" t="str">
        <f>IF(Table1[EET2]="NEET",1,IF(Table1[EET2]="Employment",2,IF(Table1[EET2]="Education",2,IF(Table1[EET2]="Training",2,IF(Table1[EET2]="Retired",3,IF(Table1[EET]="NEET",1,IF(Table1[EET]="Employment",2,IF(Table1[EET]="Education",2,IF(Table1[EET]="Training",2,IF(Table1[EET]="Retired",3,""))))))))))</f>
        <v/>
      </c>
      <c r="EP324" s="44" t="e">
        <f>+Table1[[#This Row],[Data Leavers Date]]+Table1[[#This Row],[Data EET End]]</f>
        <v>#VALUE!</v>
      </c>
      <c r="EQ324" s="44">
        <f>IF(Table1[Exit Form Received]="Yes",1,0)</f>
        <v>0</v>
      </c>
      <c r="ER324" s="44">
        <f>+Table1[[#This Row],[Data Leavers Date]]+Table1[[#This Row],[Data Exit Forms]]</f>
        <v>0</v>
      </c>
      <c r="ES324" s="44" t="str">
        <f>IF(Table1[Data Leavers Date]=1000,SUM(Table1[Leaving Date]-Table1[Start Date]),"")</f>
        <v/>
      </c>
      <c r="ET324" s="44" t="str">
        <f>IF(Table1[Data Leavers Date]=2000,SUM(Table1[Leaving Date]-Table1[Start Date]),"")</f>
        <v/>
      </c>
      <c r="EU324" s="44" t="str">
        <f>IF(Table1[Data Leavers Date]=3000,SUM(Table1[Leaving Date]-Table1[Start Date]),"")</f>
        <v/>
      </c>
      <c r="EV324" s="44" t="str">
        <f>IF(Table1[Data Leavers Date]=4000,SUM(Table1[Leaving Date]-Table1[Start Date]),"")</f>
        <v/>
      </c>
      <c r="EW324" s="44" t="str">
        <f>IF(Table1[Data Leavers Date]=5000,SUM(Table1[Leaving Date]-Table1[Start Date]),"")</f>
        <v/>
      </c>
      <c r="EX324" s="44" t="str">
        <f>IF(Table1[Data Leavers Date]=6000,SUM(Table1[Leaving Date]-Table1[Start Date]),"")</f>
        <v/>
      </c>
      <c r="EY324" s="44" t="str">
        <f>IF(Table1[Data Leavers Date]=7000,SUM(Table1[Leaving Date]-Table1[Start Date]),"")</f>
        <v/>
      </c>
      <c r="EZ324" s="44" t="str">
        <f>IF(Table1[Data Leavers Date]=8000,SUM(Table1[Leaving Date]-Table1[Start Date]),"")</f>
        <v/>
      </c>
      <c r="FA324" s="44" t="str">
        <f>IF(Table1[Date of Initial Assessment]="","",IF(AND(Table1[Start Date]&gt;42094,Table1[Start Date]&lt;42461),Table1[Motivation and Taking Responsibility],""))</f>
        <v/>
      </c>
      <c r="FB324" s="44" t="str">
        <f>IF(Table1[Date of Initial Assessment]="","",IF(AND(Table1[Start Date]&gt;42094,Table1[Start Date]&lt;42461),Table1[Self-Care and Living Skills],""))</f>
        <v/>
      </c>
      <c r="FC324" s="44" t="str">
        <f>IF(Table1[Date of Initial Assessment]="","",IF(AND(Table1[Start Date]&gt;42094,Table1[Start Date]&lt;42461),Table1[Managing Money and Personal Administration],""))</f>
        <v/>
      </c>
      <c r="FD324" s="44" t="str">
        <f>IF(Table1[Date of Initial Assessment]="","",IF(AND(Table1[Start Date]&gt;42094,Table1[Start Date]&lt;42461),Table1[Social Networks and Relationships],""))</f>
        <v/>
      </c>
      <c r="FE324" s="44" t="str">
        <f>IF(Table1[Date of Initial Assessment]="","",IF(AND(Table1[Start Date]&gt;42094,Table1[Start Date]&lt;42461),Table1[Drug and Alcohol Misuse],""))</f>
        <v/>
      </c>
      <c r="FF324" s="44" t="str">
        <f>IF(Table1[Date of Initial Assessment]="","",IF(AND(Table1[Start Date]&gt;42094,Table1[Start Date]&lt;42461),Table1[Physical Health],""))</f>
        <v/>
      </c>
      <c r="FG324" s="44" t="str">
        <f>IF(Table1[Date of Initial Assessment]="","",IF(AND(Table1[Start Date]&gt;42094,Table1[Start Date]&lt;42461),Table1[Emotional and Mental Health],""))</f>
        <v/>
      </c>
      <c r="FH324" s="44" t="str">
        <f>IF(Table1[Date of Initial Assessment]="","",IF(AND(Table1[Start Date]&gt;42094,Table1[Start Date]&lt;42461),Table1[Meaningful Use of Time],""))</f>
        <v/>
      </c>
      <c r="FI324" s="44" t="str">
        <f>IF(Table1[Date of Initial Assessment]="","",IF(AND(Table1[Start Date]&gt;42094,Table1[Start Date]&lt;42461),Table1[Managing Tenancy and Accommodation],""))</f>
        <v/>
      </c>
      <c r="FJ324" s="44" t="str">
        <f>IF(Table1[Date of Initial Assessment]="","",IF(AND(Table1[Start Date]&gt;42094,Table1[Start Date]&lt;42461),Table1[Offending],""))</f>
        <v/>
      </c>
      <c r="FK324" s="44" t="str">
        <f>IF(Table1[Leaving Date]="","",IF(Table1[Date of Initial Assessment]="","",IF(AND(Table1[Leaving Date]&gt;42094,Table1[Leaving Date]&lt;42461),IF(Table1[Date of Last Assessment]="",Table1[Motivation and Taking Responsibility],Table1[Motivation and Taking Responsibility2]),"")))</f>
        <v/>
      </c>
      <c r="FL324" s="44" t="str">
        <f>IF(Table1[Leaving Date]="","",IF(Table1[Date of Initial Assessment]="","",IF(AND(Table1[Leaving Date]&gt;42094,Table1[Leaving Date]&lt;42461),IF(Table1[Date of Last Assessment]="",Table1[Self-Care and Living Skills],Table1[Self-Care and Living Skills2]),"")))</f>
        <v/>
      </c>
      <c r="FM324" s="44" t="str">
        <f>IF(Table1[Leaving Date]="","",IF(Table1[Date of Initial Assessment]="","",IF(AND(Table1[Leaving Date]&gt;42094,Table1[Leaving Date]&lt;42461),IF(Table1[Date of Last Assessment]="",Table1[Managing Money and Personal Administration],Table1[Managing Money and Personal Administration2]),"")))</f>
        <v/>
      </c>
      <c r="FN324" s="44" t="str">
        <f>IF(Table1[Leaving Date]="","",IF(Table1[Date of Initial Assessment]="","",IF(AND(Table1[Leaving Date]&gt;42094,Table1[Leaving Date]&lt;42461),IF(Table1[Date of Last Assessment]="",Table1[Social Networks and Relationships],Table1[Social Networks and Relationships2]),"")))</f>
        <v/>
      </c>
      <c r="FO324" s="44" t="str">
        <f>IF(Table1[Leaving Date]="","",IF(Table1[Date of Initial Assessment]="","",IF(AND(Table1[Leaving Date]&gt;42094,Table1[Leaving Date]&lt;42461),IF(Table1[Date of Last Assessment]="",Table1[Drug and Alcohol Misuse],Table1[Drug and Alcohol Misuse2]),"")))</f>
        <v/>
      </c>
      <c r="FP324" s="44" t="str">
        <f>IF(Table1[Leaving Date]="","",IF(Table1[Date of Initial Assessment]="","",IF(AND(Table1[Leaving Date]&gt;42094,Table1[Leaving Date]&lt;42461),IF(Table1[Date of Last Assessment]="",Table1[Physical Health],Table1[Physical Health2]),"")))</f>
        <v/>
      </c>
      <c r="FQ324" s="44" t="str">
        <f>IF(Table1[Leaving Date]="","",IF(Table1[Date of Initial Assessment]="","",IF(AND(Table1[Leaving Date]&gt;42094,Table1[Leaving Date]&lt;42461),IF(Table1[Date of Last Assessment]="",Table1[Emotional and Mental Health],Table1[Emotional and Mental Health2]),"")))</f>
        <v/>
      </c>
      <c r="FR324" s="44" t="str">
        <f>IF(Table1[Leaving Date]="","",IF(Table1[Date of Initial Assessment]="","",IF(AND(Table1[Leaving Date]&gt;42094,Table1[Leaving Date]&lt;42461),IF(Table1[Date of Last Assessment]="",Table1[Meaningful Use of Time],Table1[Meaningful Use of Time2]),"")))</f>
        <v/>
      </c>
      <c r="FS324" s="44" t="str">
        <f>IF(Table1[Leaving Date]="","",IF(Table1[Date of Initial Assessment]="","",IF(AND(Table1[Leaving Date]&gt;42094,Table1[Leaving Date]&lt;42461),IF(Table1[Date of Last Assessment]="",Table1[Managing Tenancy and Accommodation],Table1[Managing Tenancy and Accommodation2]),"")))</f>
        <v/>
      </c>
      <c r="FT324" s="44" t="str">
        <f>IF(Table1[Leaving Date]="","",IF(Table1[Date of Initial Assessment]="","",IF(AND(Table1[Leaving Date]&gt;42094,Table1[Leaving Date]&lt;42461),IF(Table1[Date of Last Assessment]="",Table1[Offending],Table1[Offending2]),"")))</f>
        <v/>
      </c>
      <c r="FU324" s="44" t="str">
        <f>IF(Table1[Date of Initial Assessment]="","",IF(AND(Table1[Start Date]&gt;42460,Table1[Start Date]&lt;42826),Table1[Motivation and Taking Responsibility],""))</f>
        <v/>
      </c>
      <c r="FV324" s="44" t="str">
        <f>IF(Table1[Date of Initial Assessment]="","",IF(AND(Table1[Start Date]&gt;42460,Table1[Start Date]&lt;42826),Table1[Self-Care and Living Skills],""))</f>
        <v/>
      </c>
      <c r="FW324" s="44" t="str">
        <f>IF(Table1[Date of Initial Assessment]="","",IF(AND(Table1[Start Date]&gt;42460,Table1[Start Date]&lt;42826),Table1[Managing Money and Personal Administration],""))</f>
        <v/>
      </c>
      <c r="FX324" s="44" t="str">
        <f>IF(Table1[Date of Initial Assessment]="","",IF(AND(Table1[Start Date]&gt;42460,Table1[Start Date]&lt;42826),Table1[Social Networks and Relationships],""))</f>
        <v/>
      </c>
      <c r="FY324" s="44" t="str">
        <f>IF(Table1[Date of Initial Assessment]="","",IF(AND(Table1[Start Date]&gt;42460,Table1[Start Date]&lt;42826),Table1[Drug and Alcohol Misuse],""))</f>
        <v/>
      </c>
      <c r="FZ324" s="44" t="str">
        <f>IF(Table1[Date of Initial Assessment]="","",IF(AND(Table1[Start Date]&gt;42460,Table1[Start Date]&lt;42826),Table1[Physical Health],""))</f>
        <v/>
      </c>
      <c r="GA324" s="44" t="str">
        <f>IF(Table1[Date of Initial Assessment]="","",IF(AND(Table1[Start Date]&gt;42460,Table1[Start Date]&lt;42826),Table1[Emotional and Mental Health],""))</f>
        <v/>
      </c>
      <c r="GB324" s="44" t="str">
        <f>IF(Table1[Date of Initial Assessment]="","",IF(AND(Table1[Start Date]&gt;42460,Table1[Start Date]&lt;42826),Table1[Meaningful Use of Time],""))</f>
        <v/>
      </c>
      <c r="GC324" s="44" t="str">
        <f>IF(Table1[Date of Initial Assessment]="","",IF(AND(Table1[Start Date]&gt;42460,Table1[Start Date]&lt;42826),Table1[Managing Tenancy and Accommodation],""))</f>
        <v/>
      </c>
      <c r="GD324" s="44" t="str">
        <f>IF(Table1[Date of Initial Assessment]="","",IF(AND(Table1[Start Date]&gt;42460,Table1[Start Date]&lt;42826),Table1[Offending],""))</f>
        <v/>
      </c>
      <c r="GE324" s="44" t="str">
        <f>IF(Table1[Leaving Date]="","",IF(AND(Table1[Leaving Date]&gt;42460,Table1[Leaving Date]&lt;42826),IF(Table1[Date of Last Assessment]="",Table1[Motivation and Taking Responsibility],Table1[Motivation and Taking Responsibility2]),""))</f>
        <v/>
      </c>
      <c r="GF324" s="44" t="str">
        <f>IF(Table1[Leaving Date]="","",IF(AND(Table1[Leaving Date]&gt;42460,Table1[Leaving Date]&lt;42826),IF(Table1[Date of Last Assessment]="",Table1[Self-Care and Living Skills],Table1[Self-Care and Living Skills2]),""))</f>
        <v/>
      </c>
      <c r="GG324" s="44" t="str">
        <f>IF(Table1[Leaving Date]="","",IF(AND(Table1[Leaving Date]&gt;42460,Table1[Leaving Date]&lt;42826),IF(Table1[Date of Last Assessment]="",Table1[Managing Money and Personal Administration],Table1[Managing Money and Personal Administration2]),""))</f>
        <v/>
      </c>
      <c r="GH324" s="44" t="str">
        <f>IF(Table1[Leaving Date]="","",IF(AND(Table1[Leaving Date]&gt;42460,Table1[Leaving Date]&lt;42826),IF(Table1[Date of Last Assessment]="",Table1[Social Networks and Relationships],Table1[Social Networks and Relationships2]),""))</f>
        <v/>
      </c>
      <c r="GI324" s="44" t="str">
        <f>IF(Table1[Leaving Date]="","",IF(AND(Table1[Leaving Date]&gt;42460,Table1[Leaving Date]&lt;42826),IF(Table1[Date of Last Assessment]="",Table1[Drug and Alcohol Misuse],Table1[Drug and Alcohol Misuse2]),""))</f>
        <v/>
      </c>
      <c r="GJ324" s="44" t="str">
        <f>IF(Table1[Leaving Date]="","",IF(AND(Table1[Leaving Date]&gt;42460,Table1[Leaving Date]&lt;42826),IF(Table1[Date of Last Assessment]="",Table1[Physical Health],Table1[Physical Health2]),""))</f>
        <v/>
      </c>
      <c r="GK324" s="44" t="str">
        <f>IF(Table1[Leaving Date]="","",IF(AND(Table1[Leaving Date]&gt;42460,Table1[Leaving Date]&lt;42826),IF(Table1[Date of Last Assessment]="",Table1[Emotional and Mental Health],Table1[Emotional and Mental Health2]),""))</f>
        <v/>
      </c>
      <c r="GL324" s="44" t="str">
        <f>IF(Table1[Leaving Date]="","",IF(AND(Table1[Leaving Date]&gt;42460,Table1[Leaving Date]&lt;42826),IF(Table1[Date of Last Assessment]="",Table1[Meaningful Use of Time],Table1[Meaningful Use of Time2]),""))</f>
        <v/>
      </c>
      <c r="GM324" s="44" t="str">
        <f>IF(Table1[Leaving Date]="","",IF(AND(Table1[Leaving Date]&gt;42460,Table1[Leaving Date]&lt;42826),IF(Table1[Date of Last Assessment]="",Table1[Managing Tenancy and Accommodation],Table1[Managing Tenancy and Accommodation2]),""))</f>
        <v/>
      </c>
      <c r="GN324" s="44" t="str">
        <f>IF(Table1[Leaving Date]="","",IF(AND(Table1[Leaving Date]&gt;42460,Table1[Leaving Date]&lt;42826),IF(Table1[Date of Last Assessment]="",Table1[Offending],Table1[Offending2]),""))</f>
        <v/>
      </c>
    </row>
    <row r="325" spans="2:196" ht="20.100000000000001" customHeight="1" x14ac:dyDescent="0.2">
      <c r="B325" s="86">
        <f>+'Service Data'!$C$5:$C$5</f>
        <v>0</v>
      </c>
      <c r="C325" s="86"/>
      <c r="D325" s="86"/>
      <c r="E325" s="86"/>
      <c r="F325" s="86"/>
      <c r="G325" s="86"/>
      <c r="H325" s="6"/>
      <c r="I325" s="99" t="str">
        <f ca="1">IF(Table1[[#This Row],[Date of Birth]]="","",SUM(TODAY()-Table1[[#This Row],[Date of Birth]])/365)</f>
        <v/>
      </c>
      <c r="L325" s="86"/>
      <c r="M325" s="77"/>
      <c r="N325" s="86"/>
      <c r="O325" s="86"/>
      <c r="P325" s="91"/>
      <c r="Q325" s="86"/>
      <c r="R325" s="77"/>
      <c r="S325" s="77"/>
      <c r="T325" s="68"/>
      <c r="U325" s="68"/>
      <c r="V325" s="67"/>
      <c r="W325" s="67"/>
      <c r="X325" s="67"/>
      <c r="Y325" s="67"/>
      <c r="Z325" s="67"/>
      <c r="AA325" s="67"/>
      <c r="AB325" s="67"/>
      <c r="AC325" s="67"/>
      <c r="AD325" s="67"/>
      <c r="AE325" s="67"/>
      <c r="AF325" s="67"/>
      <c r="AG325" s="67"/>
      <c r="AH325" s="67"/>
      <c r="AI325" s="67"/>
      <c r="AJ325" s="67"/>
      <c r="AK325" s="67"/>
      <c r="AL325" s="67"/>
      <c r="AM325" s="67"/>
      <c r="AN325" s="77"/>
      <c r="AO325" s="76"/>
      <c r="AP325" s="77"/>
      <c r="AQ325" s="76"/>
      <c r="AR325" s="76"/>
      <c r="AS325" s="76"/>
      <c r="AT325" s="76"/>
      <c r="AU325" s="76"/>
      <c r="AV325" s="77"/>
      <c r="AW325" s="76"/>
      <c r="AX325" s="77"/>
      <c r="AY325" s="76"/>
      <c r="AZ325" s="76"/>
      <c r="BA325" s="76"/>
      <c r="BB325" s="76"/>
      <c r="BC325" s="76"/>
      <c r="BD325" s="77"/>
      <c r="BE325" s="76"/>
      <c r="BF325" s="77"/>
      <c r="BG325" s="76"/>
      <c r="BH325" s="76"/>
      <c r="BI325" s="76"/>
      <c r="BJ325" s="76"/>
      <c r="BK325" s="76"/>
      <c r="BL325" s="77"/>
      <c r="BM325" s="76"/>
      <c r="BN325" s="77"/>
      <c r="BO325" s="76"/>
      <c r="BP325" s="76"/>
      <c r="BQ325" s="76"/>
      <c r="BR325" s="76"/>
      <c r="BS325" s="76"/>
      <c r="BT325" s="77"/>
      <c r="BU325" s="76"/>
      <c r="BV325" s="77"/>
      <c r="BW325" s="76"/>
      <c r="BX325" s="76"/>
      <c r="BY325" s="76"/>
      <c r="BZ325" s="76"/>
      <c r="CA325" s="76"/>
      <c r="CB325" s="77"/>
      <c r="CC325" s="76"/>
      <c r="CD325" s="77"/>
      <c r="CE325" s="76"/>
      <c r="CF325" s="76"/>
      <c r="CG325" s="76"/>
      <c r="CH325" s="76"/>
      <c r="CI325" s="76"/>
      <c r="CJ325" s="77"/>
      <c r="CK325" s="76"/>
      <c r="CL325" s="77"/>
      <c r="CM325" s="76"/>
      <c r="CN325" s="76"/>
      <c r="CO325" s="76"/>
      <c r="CP325" s="76"/>
      <c r="CQ325" s="76"/>
      <c r="CR325" s="78" t="str">
        <f t="shared" si="95"/>
        <v/>
      </c>
      <c r="CS325" s="79" t="str">
        <f t="shared" si="96"/>
        <v/>
      </c>
      <c r="CT325" s="79" t="str">
        <f t="shared" si="97"/>
        <v/>
      </c>
      <c r="CU325" s="79" t="str">
        <f t="shared" si="98"/>
        <v/>
      </c>
      <c r="CV325" s="79" t="str">
        <f t="shared" si="99"/>
        <v/>
      </c>
      <c r="CW325" s="79" t="str">
        <f t="shared" si="100"/>
        <v/>
      </c>
      <c r="CX325" s="79" t="str">
        <f t="shared" si="101"/>
        <v/>
      </c>
      <c r="CY325" s="79" t="str">
        <f t="shared" si="102"/>
        <v/>
      </c>
      <c r="CZ325" s="79" t="str">
        <f t="shared" si="103"/>
        <v/>
      </c>
      <c r="DA325" s="79" t="str">
        <f t="shared" si="104"/>
        <v/>
      </c>
      <c r="DB325" s="79" t="str">
        <f t="shared" si="105"/>
        <v/>
      </c>
      <c r="DC325" s="79" t="str">
        <f t="shared" si="106"/>
        <v/>
      </c>
      <c r="DD325" s="79" t="str">
        <f t="shared" si="107"/>
        <v/>
      </c>
      <c r="DE325" s="79" t="str">
        <f t="shared" si="108"/>
        <v/>
      </c>
      <c r="DF325" s="79" t="str">
        <f t="shared" si="109"/>
        <v/>
      </c>
      <c r="DG325" s="79" t="str">
        <f t="shared" si="110"/>
        <v/>
      </c>
      <c r="DH325" s="76"/>
      <c r="DI325" s="78"/>
      <c r="DJ325" s="76"/>
      <c r="DK325" s="77"/>
      <c r="DL325" s="77"/>
      <c r="DM325" s="77"/>
      <c r="DN325" s="80"/>
      <c r="DO325" s="80"/>
      <c r="DP325" s="92" t="str">
        <f>IF(Table1[Start Date]="","",IF(Table1[Start Date]&gt;42185,"",IF(AND(Table1[Leaving Date]&gt;1,Table1[Leaving Date]&lt;42095),"",1)))</f>
        <v/>
      </c>
      <c r="DQ325" s="92" t="str">
        <f>IF(Table1[Start Date]="","",IF(Table1[Start Date]&gt;42277,"",IF(AND(Table1[Leaving Date]&gt;1,Table1[Leaving Date]&lt;42186),"",1)))</f>
        <v/>
      </c>
      <c r="DR325" s="92" t="str">
        <f>IF(Table1[Start Date]="","",IF(Table1[Start Date]&gt;42369,"",IF(AND(Table1[Leaving Date]&gt;1,Table1[Leaving Date]&lt;42278),"",1)))</f>
        <v/>
      </c>
      <c r="DS325" s="92" t="str">
        <f>IF(Table1[Start Date]="","",IF(Table1[Start Date]&gt;42460,"",IF(AND(Table1[Leaving Date]&gt;1,Table1[Leaving Date]&lt;42370),"",1)))</f>
        <v/>
      </c>
      <c r="DT325" s="92" t="str">
        <f>IF(Table1[Start Date]="","",IF(Table1[Start Date]&gt;42551,"",IF(AND(Table1[Leaving Date]&gt;1,Table1[Leaving Date]&lt;42461),"",1)))</f>
        <v/>
      </c>
      <c r="DU325" s="92" t="str">
        <f>IF(Table1[Start Date]="","",IF(Table1[Start Date]&gt;42643,"",IF(AND(Table1[Leaving Date]&gt;1,Table1[Leaving Date]&lt;42552),"",1)))</f>
        <v/>
      </c>
      <c r="DV325" s="92" t="str">
        <f>IF(Table1[Start Date]="","",IF(Table1[Start Date]&gt;42735,"",IF(AND(Table1[Leaving Date]&gt;1,Table1[Leaving Date]&lt;42644),"",1)))</f>
        <v/>
      </c>
      <c r="DW325" s="92" t="str">
        <f>IF(Table1[Start Date]="","",IF(Table1[Start Date]&gt;42825,"",IF(AND(Table1[Leaving Date]&gt;1,Table1[Leaving Date]&lt;42736),"",1)))</f>
        <v/>
      </c>
      <c r="DX325"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325" s="44" t="e">
        <f>VLOOKUP(Table1[Referral Source],Lists!$G$2:$H$20,2,FALSE)</f>
        <v>#N/A</v>
      </c>
      <c r="DZ325" s="93" t="e">
        <f>SUM(Table1[Data Referral Quarter]+Table1[Data Referral Source])</f>
        <v>#N/A</v>
      </c>
      <c r="EA325" s="44" t="b">
        <f>IF(Table1[Referral Decision]="Accepted",100,IF(Table1[Referral Decision]="Rejected by Provider",200,IF(Table1[Referral Decision]="Rejected by Applicant",300)))</f>
        <v>0</v>
      </c>
      <c r="EB325" s="44">
        <f>SUM(Table1[Data Referral Quarter]+Table1[Data Referral Decision])</f>
        <v>0</v>
      </c>
      <c r="EC325" s="44" t="b">
        <f>IF(Table1[Start Date]&gt;42735,8000,IF(Table1[Start Date]&gt;42643,7000,IF(Table1[Start Date]&gt;42551,6000,IF(Table1[Start Date]&gt;42460,5000,IF(Table1[Start Date]&gt;42369,4000,IF(Table1[Start Date]&gt;42277,3000,IF(Table1[Start Date]&gt;42185,2000,IF(Table1[Start Date]&gt;42094,1000))))))))</f>
        <v>0</v>
      </c>
      <c r="ED325" s="44" t="str">
        <f>IF(Table1[Start Date]="","",IF(Table1[Current Local Authority]="Swindon",1,"2"))</f>
        <v/>
      </c>
      <c r="EE325" s="44" t="e">
        <f>SUM(Table1[Data Start Date]+Table1[Data Local Authority])</f>
        <v>#VALUE!</v>
      </c>
      <c r="EF325" s="44">
        <f>IF(Table1[Registered with GP]="Yes",1,0)</f>
        <v>0</v>
      </c>
      <c r="EG325" s="44">
        <f>SUM(Table1[Data Start Date]+Table1[Data GP Start])</f>
        <v>0</v>
      </c>
      <c r="EH325" s="44" t="str">
        <f>IF(Table1[EET]="NEET",1,IF(Table1[EET]="Education",2,IF(Table1[EET]="Employment",2,IF(Table1[EET]="Training",2,IF(Table1[EET]="Retired",3,"")))))</f>
        <v/>
      </c>
      <c r="EI325" s="44" t="e">
        <f>Table1[Data Start Date]+Table1[Data EET Start]</f>
        <v>#VALUE!</v>
      </c>
      <c r="EJ325" s="44" t="b">
        <f>IF(Table1[Leaving Date]&gt;42735,8000,IF(Table1[Leaving Date]&gt;42643,7000,IF(Table1[Leaving Date]&gt;42551,6000,IF(Table1[Leaving Date]&gt;42460,5000,IF(Table1[Leaving Date]&gt;42369,4000,IF(Table1[Leaving Date]&gt;42277,3000,IF(Table1[Leaving Date]&gt;42185,2000,IF(Table1[Leaving Date]&gt;42094,1000))))))))</f>
        <v>0</v>
      </c>
      <c r="EK325" s="44" t="e">
        <f>VLOOKUP(Table1[Reason for Leaving],Lists!$T$2:$U$15,2,FALSE)</f>
        <v>#N/A</v>
      </c>
      <c r="EL325" s="44" t="e">
        <f>SUM(Table1[Data Leavers Date]+Table1[Data Move On])</f>
        <v>#N/A</v>
      </c>
      <c r="EM325" s="44" t="b">
        <f>IF(Table1[Registered with GP2]="Yes",1,IF(Table1[Registered with GP2]="No",0,IF(Table1[Registered with GP]="Yes",1,IF(Table1[Registered with GP]="No",0))))</f>
        <v>0</v>
      </c>
      <c r="EN325" s="44">
        <f>SUM(Table1[Data Leavers Date]+Table1[Data GP End])</f>
        <v>0</v>
      </c>
      <c r="EO325" s="44" t="str">
        <f>IF(Table1[EET2]="NEET",1,IF(Table1[EET2]="Employment",2,IF(Table1[EET2]="Education",2,IF(Table1[EET2]="Training",2,IF(Table1[EET2]="Retired",3,IF(Table1[EET]="NEET",1,IF(Table1[EET]="Employment",2,IF(Table1[EET]="Education",2,IF(Table1[EET]="Training",2,IF(Table1[EET]="Retired",3,""))))))))))</f>
        <v/>
      </c>
      <c r="EP325" s="44" t="e">
        <f>+Table1[[#This Row],[Data Leavers Date]]+Table1[[#This Row],[Data EET End]]</f>
        <v>#VALUE!</v>
      </c>
      <c r="EQ325" s="44">
        <f>IF(Table1[Exit Form Received]="Yes",1,0)</f>
        <v>0</v>
      </c>
      <c r="ER325" s="44">
        <f>+Table1[[#This Row],[Data Leavers Date]]+Table1[[#This Row],[Data Exit Forms]]</f>
        <v>0</v>
      </c>
      <c r="ES325" s="44" t="str">
        <f>IF(Table1[Data Leavers Date]=1000,SUM(Table1[Leaving Date]-Table1[Start Date]),"")</f>
        <v/>
      </c>
      <c r="ET325" s="44" t="str">
        <f>IF(Table1[Data Leavers Date]=2000,SUM(Table1[Leaving Date]-Table1[Start Date]),"")</f>
        <v/>
      </c>
      <c r="EU325" s="44" t="str">
        <f>IF(Table1[Data Leavers Date]=3000,SUM(Table1[Leaving Date]-Table1[Start Date]),"")</f>
        <v/>
      </c>
      <c r="EV325" s="44" t="str">
        <f>IF(Table1[Data Leavers Date]=4000,SUM(Table1[Leaving Date]-Table1[Start Date]),"")</f>
        <v/>
      </c>
      <c r="EW325" s="44" t="str">
        <f>IF(Table1[Data Leavers Date]=5000,SUM(Table1[Leaving Date]-Table1[Start Date]),"")</f>
        <v/>
      </c>
      <c r="EX325" s="44" t="str">
        <f>IF(Table1[Data Leavers Date]=6000,SUM(Table1[Leaving Date]-Table1[Start Date]),"")</f>
        <v/>
      </c>
      <c r="EY325" s="44" t="str">
        <f>IF(Table1[Data Leavers Date]=7000,SUM(Table1[Leaving Date]-Table1[Start Date]),"")</f>
        <v/>
      </c>
      <c r="EZ325" s="44" t="str">
        <f>IF(Table1[Data Leavers Date]=8000,SUM(Table1[Leaving Date]-Table1[Start Date]),"")</f>
        <v/>
      </c>
      <c r="FA325" s="44" t="str">
        <f>IF(Table1[Date of Initial Assessment]="","",IF(AND(Table1[Start Date]&gt;42094,Table1[Start Date]&lt;42461),Table1[Motivation and Taking Responsibility],""))</f>
        <v/>
      </c>
      <c r="FB325" s="44" t="str">
        <f>IF(Table1[Date of Initial Assessment]="","",IF(AND(Table1[Start Date]&gt;42094,Table1[Start Date]&lt;42461),Table1[Self-Care and Living Skills],""))</f>
        <v/>
      </c>
      <c r="FC325" s="44" t="str">
        <f>IF(Table1[Date of Initial Assessment]="","",IF(AND(Table1[Start Date]&gt;42094,Table1[Start Date]&lt;42461),Table1[Managing Money and Personal Administration],""))</f>
        <v/>
      </c>
      <c r="FD325" s="44" t="str">
        <f>IF(Table1[Date of Initial Assessment]="","",IF(AND(Table1[Start Date]&gt;42094,Table1[Start Date]&lt;42461),Table1[Social Networks and Relationships],""))</f>
        <v/>
      </c>
      <c r="FE325" s="44" t="str">
        <f>IF(Table1[Date of Initial Assessment]="","",IF(AND(Table1[Start Date]&gt;42094,Table1[Start Date]&lt;42461),Table1[Drug and Alcohol Misuse],""))</f>
        <v/>
      </c>
      <c r="FF325" s="44" t="str">
        <f>IF(Table1[Date of Initial Assessment]="","",IF(AND(Table1[Start Date]&gt;42094,Table1[Start Date]&lt;42461),Table1[Physical Health],""))</f>
        <v/>
      </c>
      <c r="FG325" s="44" t="str">
        <f>IF(Table1[Date of Initial Assessment]="","",IF(AND(Table1[Start Date]&gt;42094,Table1[Start Date]&lt;42461),Table1[Emotional and Mental Health],""))</f>
        <v/>
      </c>
      <c r="FH325" s="44" t="str">
        <f>IF(Table1[Date of Initial Assessment]="","",IF(AND(Table1[Start Date]&gt;42094,Table1[Start Date]&lt;42461),Table1[Meaningful Use of Time],""))</f>
        <v/>
      </c>
      <c r="FI325" s="44" t="str">
        <f>IF(Table1[Date of Initial Assessment]="","",IF(AND(Table1[Start Date]&gt;42094,Table1[Start Date]&lt;42461),Table1[Managing Tenancy and Accommodation],""))</f>
        <v/>
      </c>
      <c r="FJ325" s="44" t="str">
        <f>IF(Table1[Date of Initial Assessment]="","",IF(AND(Table1[Start Date]&gt;42094,Table1[Start Date]&lt;42461),Table1[Offending],""))</f>
        <v/>
      </c>
      <c r="FK325" s="44" t="str">
        <f>IF(Table1[Leaving Date]="","",IF(Table1[Date of Initial Assessment]="","",IF(AND(Table1[Leaving Date]&gt;42094,Table1[Leaving Date]&lt;42461),IF(Table1[Date of Last Assessment]="",Table1[Motivation and Taking Responsibility],Table1[Motivation and Taking Responsibility2]),"")))</f>
        <v/>
      </c>
      <c r="FL325" s="44" t="str">
        <f>IF(Table1[Leaving Date]="","",IF(Table1[Date of Initial Assessment]="","",IF(AND(Table1[Leaving Date]&gt;42094,Table1[Leaving Date]&lt;42461),IF(Table1[Date of Last Assessment]="",Table1[Self-Care and Living Skills],Table1[Self-Care and Living Skills2]),"")))</f>
        <v/>
      </c>
      <c r="FM325" s="44" t="str">
        <f>IF(Table1[Leaving Date]="","",IF(Table1[Date of Initial Assessment]="","",IF(AND(Table1[Leaving Date]&gt;42094,Table1[Leaving Date]&lt;42461),IF(Table1[Date of Last Assessment]="",Table1[Managing Money and Personal Administration],Table1[Managing Money and Personal Administration2]),"")))</f>
        <v/>
      </c>
      <c r="FN325" s="44" t="str">
        <f>IF(Table1[Leaving Date]="","",IF(Table1[Date of Initial Assessment]="","",IF(AND(Table1[Leaving Date]&gt;42094,Table1[Leaving Date]&lt;42461),IF(Table1[Date of Last Assessment]="",Table1[Social Networks and Relationships],Table1[Social Networks and Relationships2]),"")))</f>
        <v/>
      </c>
      <c r="FO325" s="44" t="str">
        <f>IF(Table1[Leaving Date]="","",IF(Table1[Date of Initial Assessment]="","",IF(AND(Table1[Leaving Date]&gt;42094,Table1[Leaving Date]&lt;42461),IF(Table1[Date of Last Assessment]="",Table1[Drug and Alcohol Misuse],Table1[Drug and Alcohol Misuse2]),"")))</f>
        <v/>
      </c>
      <c r="FP325" s="44" t="str">
        <f>IF(Table1[Leaving Date]="","",IF(Table1[Date of Initial Assessment]="","",IF(AND(Table1[Leaving Date]&gt;42094,Table1[Leaving Date]&lt;42461),IF(Table1[Date of Last Assessment]="",Table1[Physical Health],Table1[Physical Health2]),"")))</f>
        <v/>
      </c>
      <c r="FQ325" s="44" t="str">
        <f>IF(Table1[Leaving Date]="","",IF(Table1[Date of Initial Assessment]="","",IF(AND(Table1[Leaving Date]&gt;42094,Table1[Leaving Date]&lt;42461),IF(Table1[Date of Last Assessment]="",Table1[Emotional and Mental Health],Table1[Emotional and Mental Health2]),"")))</f>
        <v/>
      </c>
      <c r="FR325" s="44" t="str">
        <f>IF(Table1[Leaving Date]="","",IF(Table1[Date of Initial Assessment]="","",IF(AND(Table1[Leaving Date]&gt;42094,Table1[Leaving Date]&lt;42461),IF(Table1[Date of Last Assessment]="",Table1[Meaningful Use of Time],Table1[Meaningful Use of Time2]),"")))</f>
        <v/>
      </c>
      <c r="FS325" s="44" t="str">
        <f>IF(Table1[Leaving Date]="","",IF(Table1[Date of Initial Assessment]="","",IF(AND(Table1[Leaving Date]&gt;42094,Table1[Leaving Date]&lt;42461),IF(Table1[Date of Last Assessment]="",Table1[Managing Tenancy and Accommodation],Table1[Managing Tenancy and Accommodation2]),"")))</f>
        <v/>
      </c>
      <c r="FT325" s="44" t="str">
        <f>IF(Table1[Leaving Date]="","",IF(Table1[Date of Initial Assessment]="","",IF(AND(Table1[Leaving Date]&gt;42094,Table1[Leaving Date]&lt;42461),IF(Table1[Date of Last Assessment]="",Table1[Offending],Table1[Offending2]),"")))</f>
        <v/>
      </c>
      <c r="FU325" s="44" t="str">
        <f>IF(Table1[Date of Initial Assessment]="","",IF(AND(Table1[Start Date]&gt;42460,Table1[Start Date]&lt;42826),Table1[Motivation and Taking Responsibility],""))</f>
        <v/>
      </c>
      <c r="FV325" s="44" t="str">
        <f>IF(Table1[Date of Initial Assessment]="","",IF(AND(Table1[Start Date]&gt;42460,Table1[Start Date]&lt;42826),Table1[Self-Care and Living Skills],""))</f>
        <v/>
      </c>
      <c r="FW325" s="44" t="str">
        <f>IF(Table1[Date of Initial Assessment]="","",IF(AND(Table1[Start Date]&gt;42460,Table1[Start Date]&lt;42826),Table1[Managing Money and Personal Administration],""))</f>
        <v/>
      </c>
      <c r="FX325" s="44" t="str">
        <f>IF(Table1[Date of Initial Assessment]="","",IF(AND(Table1[Start Date]&gt;42460,Table1[Start Date]&lt;42826),Table1[Social Networks and Relationships],""))</f>
        <v/>
      </c>
      <c r="FY325" s="44" t="str">
        <f>IF(Table1[Date of Initial Assessment]="","",IF(AND(Table1[Start Date]&gt;42460,Table1[Start Date]&lt;42826),Table1[Drug and Alcohol Misuse],""))</f>
        <v/>
      </c>
      <c r="FZ325" s="44" t="str">
        <f>IF(Table1[Date of Initial Assessment]="","",IF(AND(Table1[Start Date]&gt;42460,Table1[Start Date]&lt;42826),Table1[Physical Health],""))</f>
        <v/>
      </c>
      <c r="GA325" s="44" t="str">
        <f>IF(Table1[Date of Initial Assessment]="","",IF(AND(Table1[Start Date]&gt;42460,Table1[Start Date]&lt;42826),Table1[Emotional and Mental Health],""))</f>
        <v/>
      </c>
      <c r="GB325" s="44" t="str">
        <f>IF(Table1[Date of Initial Assessment]="","",IF(AND(Table1[Start Date]&gt;42460,Table1[Start Date]&lt;42826),Table1[Meaningful Use of Time],""))</f>
        <v/>
      </c>
      <c r="GC325" s="44" t="str">
        <f>IF(Table1[Date of Initial Assessment]="","",IF(AND(Table1[Start Date]&gt;42460,Table1[Start Date]&lt;42826),Table1[Managing Tenancy and Accommodation],""))</f>
        <v/>
      </c>
      <c r="GD325" s="44" t="str">
        <f>IF(Table1[Date of Initial Assessment]="","",IF(AND(Table1[Start Date]&gt;42460,Table1[Start Date]&lt;42826),Table1[Offending],""))</f>
        <v/>
      </c>
      <c r="GE325" s="44" t="str">
        <f>IF(Table1[Leaving Date]="","",IF(AND(Table1[Leaving Date]&gt;42460,Table1[Leaving Date]&lt;42826),IF(Table1[Date of Last Assessment]="",Table1[Motivation and Taking Responsibility],Table1[Motivation and Taking Responsibility2]),""))</f>
        <v/>
      </c>
      <c r="GF325" s="44" t="str">
        <f>IF(Table1[Leaving Date]="","",IF(AND(Table1[Leaving Date]&gt;42460,Table1[Leaving Date]&lt;42826),IF(Table1[Date of Last Assessment]="",Table1[Self-Care and Living Skills],Table1[Self-Care and Living Skills2]),""))</f>
        <v/>
      </c>
      <c r="GG325" s="44" t="str">
        <f>IF(Table1[Leaving Date]="","",IF(AND(Table1[Leaving Date]&gt;42460,Table1[Leaving Date]&lt;42826),IF(Table1[Date of Last Assessment]="",Table1[Managing Money and Personal Administration],Table1[Managing Money and Personal Administration2]),""))</f>
        <v/>
      </c>
      <c r="GH325" s="44" t="str">
        <f>IF(Table1[Leaving Date]="","",IF(AND(Table1[Leaving Date]&gt;42460,Table1[Leaving Date]&lt;42826),IF(Table1[Date of Last Assessment]="",Table1[Social Networks and Relationships],Table1[Social Networks and Relationships2]),""))</f>
        <v/>
      </c>
      <c r="GI325" s="44" t="str">
        <f>IF(Table1[Leaving Date]="","",IF(AND(Table1[Leaving Date]&gt;42460,Table1[Leaving Date]&lt;42826),IF(Table1[Date of Last Assessment]="",Table1[Drug and Alcohol Misuse],Table1[Drug and Alcohol Misuse2]),""))</f>
        <v/>
      </c>
      <c r="GJ325" s="44" t="str">
        <f>IF(Table1[Leaving Date]="","",IF(AND(Table1[Leaving Date]&gt;42460,Table1[Leaving Date]&lt;42826),IF(Table1[Date of Last Assessment]="",Table1[Physical Health],Table1[Physical Health2]),""))</f>
        <v/>
      </c>
      <c r="GK325" s="44" t="str">
        <f>IF(Table1[Leaving Date]="","",IF(AND(Table1[Leaving Date]&gt;42460,Table1[Leaving Date]&lt;42826),IF(Table1[Date of Last Assessment]="",Table1[Emotional and Mental Health],Table1[Emotional and Mental Health2]),""))</f>
        <v/>
      </c>
      <c r="GL325" s="44" t="str">
        <f>IF(Table1[Leaving Date]="","",IF(AND(Table1[Leaving Date]&gt;42460,Table1[Leaving Date]&lt;42826),IF(Table1[Date of Last Assessment]="",Table1[Meaningful Use of Time],Table1[Meaningful Use of Time2]),""))</f>
        <v/>
      </c>
      <c r="GM325" s="44" t="str">
        <f>IF(Table1[Leaving Date]="","",IF(AND(Table1[Leaving Date]&gt;42460,Table1[Leaving Date]&lt;42826),IF(Table1[Date of Last Assessment]="",Table1[Managing Tenancy and Accommodation],Table1[Managing Tenancy and Accommodation2]),""))</f>
        <v/>
      </c>
      <c r="GN325" s="44" t="str">
        <f>IF(Table1[Leaving Date]="","",IF(AND(Table1[Leaving Date]&gt;42460,Table1[Leaving Date]&lt;42826),IF(Table1[Date of Last Assessment]="",Table1[Offending],Table1[Offending2]),""))</f>
        <v/>
      </c>
    </row>
    <row r="326" spans="2:196" ht="20.100000000000001" customHeight="1" x14ac:dyDescent="0.2">
      <c r="B326" s="86">
        <f>+'Service Data'!$C$5:$C$5</f>
        <v>0</v>
      </c>
      <c r="C326" s="86"/>
      <c r="D326" s="86"/>
      <c r="E326" s="86"/>
      <c r="F326" s="86"/>
      <c r="G326" s="86"/>
      <c r="H326" s="6"/>
      <c r="I326" s="99" t="str">
        <f ca="1">IF(Table1[[#This Row],[Date of Birth]]="","",SUM(TODAY()-Table1[[#This Row],[Date of Birth]])/365)</f>
        <v/>
      </c>
      <c r="L326" s="86"/>
      <c r="M326" s="77"/>
      <c r="N326" s="86"/>
      <c r="O326" s="86"/>
      <c r="P326" s="91"/>
      <c r="Q326" s="86"/>
      <c r="R326" s="77"/>
      <c r="S326" s="77"/>
      <c r="T326" s="68"/>
      <c r="U326" s="68"/>
      <c r="V326" s="67"/>
      <c r="W326" s="67"/>
      <c r="X326" s="67"/>
      <c r="Y326" s="67"/>
      <c r="Z326" s="67"/>
      <c r="AA326" s="67"/>
      <c r="AB326" s="67"/>
      <c r="AC326" s="67"/>
      <c r="AD326" s="67"/>
      <c r="AE326" s="67"/>
      <c r="AF326" s="67"/>
      <c r="AG326" s="67"/>
      <c r="AH326" s="67"/>
      <c r="AI326" s="67"/>
      <c r="AJ326" s="67"/>
      <c r="AK326" s="67"/>
      <c r="AL326" s="67"/>
      <c r="AM326" s="67"/>
      <c r="AN326" s="77"/>
      <c r="AO326" s="76"/>
      <c r="AP326" s="77"/>
      <c r="AQ326" s="76"/>
      <c r="AR326" s="76"/>
      <c r="AS326" s="76"/>
      <c r="AT326" s="76"/>
      <c r="AU326" s="76"/>
      <c r="AV326" s="77"/>
      <c r="AW326" s="76"/>
      <c r="AX326" s="77"/>
      <c r="AY326" s="76"/>
      <c r="AZ326" s="76"/>
      <c r="BA326" s="76"/>
      <c r="BB326" s="76"/>
      <c r="BC326" s="76"/>
      <c r="BD326" s="77"/>
      <c r="BE326" s="76"/>
      <c r="BF326" s="77"/>
      <c r="BG326" s="76"/>
      <c r="BH326" s="76"/>
      <c r="BI326" s="76"/>
      <c r="BJ326" s="76"/>
      <c r="BK326" s="76"/>
      <c r="BL326" s="77"/>
      <c r="BM326" s="76"/>
      <c r="BN326" s="77"/>
      <c r="BO326" s="76"/>
      <c r="BP326" s="76"/>
      <c r="BQ326" s="76"/>
      <c r="BR326" s="76"/>
      <c r="BS326" s="76"/>
      <c r="BT326" s="77"/>
      <c r="BU326" s="76"/>
      <c r="BV326" s="77"/>
      <c r="BW326" s="76"/>
      <c r="BX326" s="76"/>
      <c r="BY326" s="76"/>
      <c r="BZ326" s="76"/>
      <c r="CA326" s="76"/>
      <c r="CB326" s="77"/>
      <c r="CC326" s="76"/>
      <c r="CD326" s="77"/>
      <c r="CE326" s="76"/>
      <c r="CF326" s="76"/>
      <c r="CG326" s="76"/>
      <c r="CH326" s="76"/>
      <c r="CI326" s="76"/>
      <c r="CJ326" s="77"/>
      <c r="CK326" s="76"/>
      <c r="CL326" s="77"/>
      <c r="CM326" s="76"/>
      <c r="CN326" s="76"/>
      <c r="CO326" s="76"/>
      <c r="CP326" s="76"/>
      <c r="CQ326" s="76"/>
      <c r="CR326" s="78" t="str">
        <f t="shared" si="95"/>
        <v/>
      </c>
      <c r="CS326" s="79" t="str">
        <f t="shared" si="96"/>
        <v/>
      </c>
      <c r="CT326" s="79" t="str">
        <f t="shared" si="97"/>
        <v/>
      </c>
      <c r="CU326" s="79" t="str">
        <f t="shared" si="98"/>
        <v/>
      </c>
      <c r="CV326" s="79" t="str">
        <f t="shared" si="99"/>
        <v/>
      </c>
      <c r="CW326" s="79" t="str">
        <f t="shared" si="100"/>
        <v/>
      </c>
      <c r="CX326" s="79" t="str">
        <f t="shared" si="101"/>
        <v/>
      </c>
      <c r="CY326" s="79" t="str">
        <f t="shared" si="102"/>
        <v/>
      </c>
      <c r="CZ326" s="79" t="str">
        <f t="shared" si="103"/>
        <v/>
      </c>
      <c r="DA326" s="79" t="str">
        <f t="shared" si="104"/>
        <v/>
      </c>
      <c r="DB326" s="79" t="str">
        <f t="shared" si="105"/>
        <v/>
      </c>
      <c r="DC326" s="79" t="str">
        <f t="shared" si="106"/>
        <v/>
      </c>
      <c r="DD326" s="79" t="str">
        <f t="shared" si="107"/>
        <v/>
      </c>
      <c r="DE326" s="79" t="str">
        <f t="shared" si="108"/>
        <v/>
      </c>
      <c r="DF326" s="79" t="str">
        <f t="shared" si="109"/>
        <v/>
      </c>
      <c r="DG326" s="79" t="str">
        <f t="shared" si="110"/>
        <v/>
      </c>
      <c r="DH326" s="76"/>
      <c r="DI326" s="78"/>
      <c r="DJ326" s="76"/>
      <c r="DK326" s="77"/>
      <c r="DL326" s="77"/>
      <c r="DM326" s="77"/>
      <c r="DN326" s="80"/>
      <c r="DO326" s="80"/>
      <c r="DP326" s="92" t="str">
        <f>IF(Table1[Start Date]="","",IF(Table1[Start Date]&gt;42185,"",IF(AND(Table1[Leaving Date]&gt;1,Table1[Leaving Date]&lt;42095),"",1)))</f>
        <v/>
      </c>
      <c r="DQ326" s="92" t="str">
        <f>IF(Table1[Start Date]="","",IF(Table1[Start Date]&gt;42277,"",IF(AND(Table1[Leaving Date]&gt;1,Table1[Leaving Date]&lt;42186),"",1)))</f>
        <v/>
      </c>
      <c r="DR326" s="92" t="str">
        <f>IF(Table1[Start Date]="","",IF(Table1[Start Date]&gt;42369,"",IF(AND(Table1[Leaving Date]&gt;1,Table1[Leaving Date]&lt;42278),"",1)))</f>
        <v/>
      </c>
      <c r="DS326" s="92" t="str">
        <f>IF(Table1[Start Date]="","",IF(Table1[Start Date]&gt;42460,"",IF(AND(Table1[Leaving Date]&gt;1,Table1[Leaving Date]&lt;42370),"",1)))</f>
        <v/>
      </c>
      <c r="DT326" s="92" t="str">
        <f>IF(Table1[Start Date]="","",IF(Table1[Start Date]&gt;42551,"",IF(AND(Table1[Leaving Date]&gt;1,Table1[Leaving Date]&lt;42461),"",1)))</f>
        <v/>
      </c>
      <c r="DU326" s="92" t="str">
        <f>IF(Table1[Start Date]="","",IF(Table1[Start Date]&gt;42643,"",IF(AND(Table1[Leaving Date]&gt;1,Table1[Leaving Date]&lt;42552),"",1)))</f>
        <v/>
      </c>
      <c r="DV326" s="92" t="str">
        <f>IF(Table1[Start Date]="","",IF(Table1[Start Date]&gt;42735,"",IF(AND(Table1[Leaving Date]&gt;1,Table1[Leaving Date]&lt;42644),"",1)))</f>
        <v/>
      </c>
      <c r="DW326" s="92" t="str">
        <f>IF(Table1[Start Date]="","",IF(Table1[Start Date]&gt;42825,"",IF(AND(Table1[Leaving Date]&gt;1,Table1[Leaving Date]&lt;42736),"",1)))</f>
        <v/>
      </c>
      <c r="DX326"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326" s="44" t="e">
        <f>VLOOKUP(Table1[Referral Source],Lists!$G$2:$H$20,2,FALSE)</f>
        <v>#N/A</v>
      </c>
      <c r="DZ326" s="93" t="e">
        <f>SUM(Table1[Data Referral Quarter]+Table1[Data Referral Source])</f>
        <v>#N/A</v>
      </c>
      <c r="EA326" s="44" t="b">
        <f>IF(Table1[Referral Decision]="Accepted",100,IF(Table1[Referral Decision]="Rejected by Provider",200,IF(Table1[Referral Decision]="Rejected by Applicant",300)))</f>
        <v>0</v>
      </c>
      <c r="EB326" s="44">
        <f>SUM(Table1[Data Referral Quarter]+Table1[Data Referral Decision])</f>
        <v>0</v>
      </c>
      <c r="EC326" s="44" t="b">
        <f>IF(Table1[Start Date]&gt;42735,8000,IF(Table1[Start Date]&gt;42643,7000,IF(Table1[Start Date]&gt;42551,6000,IF(Table1[Start Date]&gt;42460,5000,IF(Table1[Start Date]&gt;42369,4000,IF(Table1[Start Date]&gt;42277,3000,IF(Table1[Start Date]&gt;42185,2000,IF(Table1[Start Date]&gt;42094,1000))))))))</f>
        <v>0</v>
      </c>
      <c r="ED326" s="44" t="str">
        <f>IF(Table1[Start Date]="","",IF(Table1[Current Local Authority]="Swindon",1,"2"))</f>
        <v/>
      </c>
      <c r="EE326" s="44" t="e">
        <f>SUM(Table1[Data Start Date]+Table1[Data Local Authority])</f>
        <v>#VALUE!</v>
      </c>
      <c r="EF326" s="44">
        <f>IF(Table1[Registered with GP]="Yes",1,0)</f>
        <v>0</v>
      </c>
      <c r="EG326" s="44">
        <f>SUM(Table1[Data Start Date]+Table1[Data GP Start])</f>
        <v>0</v>
      </c>
      <c r="EH326" s="44" t="str">
        <f>IF(Table1[EET]="NEET",1,IF(Table1[EET]="Education",2,IF(Table1[EET]="Employment",2,IF(Table1[EET]="Training",2,IF(Table1[EET]="Retired",3,"")))))</f>
        <v/>
      </c>
      <c r="EI326" s="44" t="e">
        <f>Table1[Data Start Date]+Table1[Data EET Start]</f>
        <v>#VALUE!</v>
      </c>
      <c r="EJ326" s="44" t="b">
        <f>IF(Table1[Leaving Date]&gt;42735,8000,IF(Table1[Leaving Date]&gt;42643,7000,IF(Table1[Leaving Date]&gt;42551,6000,IF(Table1[Leaving Date]&gt;42460,5000,IF(Table1[Leaving Date]&gt;42369,4000,IF(Table1[Leaving Date]&gt;42277,3000,IF(Table1[Leaving Date]&gt;42185,2000,IF(Table1[Leaving Date]&gt;42094,1000))))))))</f>
        <v>0</v>
      </c>
      <c r="EK326" s="44" t="e">
        <f>VLOOKUP(Table1[Reason for Leaving],Lists!$T$2:$U$15,2,FALSE)</f>
        <v>#N/A</v>
      </c>
      <c r="EL326" s="44" t="e">
        <f>SUM(Table1[Data Leavers Date]+Table1[Data Move On])</f>
        <v>#N/A</v>
      </c>
      <c r="EM326" s="44" t="b">
        <f>IF(Table1[Registered with GP2]="Yes",1,IF(Table1[Registered with GP2]="No",0,IF(Table1[Registered with GP]="Yes",1,IF(Table1[Registered with GP]="No",0))))</f>
        <v>0</v>
      </c>
      <c r="EN326" s="44">
        <f>SUM(Table1[Data Leavers Date]+Table1[Data GP End])</f>
        <v>0</v>
      </c>
      <c r="EO326" s="44" t="str">
        <f>IF(Table1[EET2]="NEET",1,IF(Table1[EET2]="Employment",2,IF(Table1[EET2]="Education",2,IF(Table1[EET2]="Training",2,IF(Table1[EET2]="Retired",3,IF(Table1[EET]="NEET",1,IF(Table1[EET]="Employment",2,IF(Table1[EET]="Education",2,IF(Table1[EET]="Training",2,IF(Table1[EET]="Retired",3,""))))))))))</f>
        <v/>
      </c>
      <c r="EP326" s="44" t="e">
        <f>+Table1[[#This Row],[Data Leavers Date]]+Table1[[#This Row],[Data EET End]]</f>
        <v>#VALUE!</v>
      </c>
      <c r="EQ326" s="44">
        <f>IF(Table1[Exit Form Received]="Yes",1,0)</f>
        <v>0</v>
      </c>
      <c r="ER326" s="44">
        <f>+Table1[[#This Row],[Data Leavers Date]]+Table1[[#This Row],[Data Exit Forms]]</f>
        <v>0</v>
      </c>
      <c r="ES326" s="44" t="str">
        <f>IF(Table1[Data Leavers Date]=1000,SUM(Table1[Leaving Date]-Table1[Start Date]),"")</f>
        <v/>
      </c>
      <c r="ET326" s="44" t="str">
        <f>IF(Table1[Data Leavers Date]=2000,SUM(Table1[Leaving Date]-Table1[Start Date]),"")</f>
        <v/>
      </c>
      <c r="EU326" s="44" t="str">
        <f>IF(Table1[Data Leavers Date]=3000,SUM(Table1[Leaving Date]-Table1[Start Date]),"")</f>
        <v/>
      </c>
      <c r="EV326" s="44" t="str">
        <f>IF(Table1[Data Leavers Date]=4000,SUM(Table1[Leaving Date]-Table1[Start Date]),"")</f>
        <v/>
      </c>
      <c r="EW326" s="44" t="str">
        <f>IF(Table1[Data Leavers Date]=5000,SUM(Table1[Leaving Date]-Table1[Start Date]),"")</f>
        <v/>
      </c>
      <c r="EX326" s="44" t="str">
        <f>IF(Table1[Data Leavers Date]=6000,SUM(Table1[Leaving Date]-Table1[Start Date]),"")</f>
        <v/>
      </c>
      <c r="EY326" s="44" t="str">
        <f>IF(Table1[Data Leavers Date]=7000,SUM(Table1[Leaving Date]-Table1[Start Date]),"")</f>
        <v/>
      </c>
      <c r="EZ326" s="44" t="str">
        <f>IF(Table1[Data Leavers Date]=8000,SUM(Table1[Leaving Date]-Table1[Start Date]),"")</f>
        <v/>
      </c>
      <c r="FA326" s="44" t="str">
        <f>IF(Table1[Date of Initial Assessment]="","",IF(AND(Table1[Start Date]&gt;42094,Table1[Start Date]&lt;42461),Table1[Motivation and Taking Responsibility],""))</f>
        <v/>
      </c>
      <c r="FB326" s="44" t="str">
        <f>IF(Table1[Date of Initial Assessment]="","",IF(AND(Table1[Start Date]&gt;42094,Table1[Start Date]&lt;42461),Table1[Self-Care and Living Skills],""))</f>
        <v/>
      </c>
      <c r="FC326" s="44" t="str">
        <f>IF(Table1[Date of Initial Assessment]="","",IF(AND(Table1[Start Date]&gt;42094,Table1[Start Date]&lt;42461),Table1[Managing Money and Personal Administration],""))</f>
        <v/>
      </c>
      <c r="FD326" s="44" t="str">
        <f>IF(Table1[Date of Initial Assessment]="","",IF(AND(Table1[Start Date]&gt;42094,Table1[Start Date]&lt;42461),Table1[Social Networks and Relationships],""))</f>
        <v/>
      </c>
      <c r="FE326" s="44" t="str">
        <f>IF(Table1[Date of Initial Assessment]="","",IF(AND(Table1[Start Date]&gt;42094,Table1[Start Date]&lt;42461),Table1[Drug and Alcohol Misuse],""))</f>
        <v/>
      </c>
      <c r="FF326" s="44" t="str">
        <f>IF(Table1[Date of Initial Assessment]="","",IF(AND(Table1[Start Date]&gt;42094,Table1[Start Date]&lt;42461),Table1[Physical Health],""))</f>
        <v/>
      </c>
      <c r="FG326" s="44" t="str">
        <f>IF(Table1[Date of Initial Assessment]="","",IF(AND(Table1[Start Date]&gt;42094,Table1[Start Date]&lt;42461),Table1[Emotional and Mental Health],""))</f>
        <v/>
      </c>
      <c r="FH326" s="44" t="str">
        <f>IF(Table1[Date of Initial Assessment]="","",IF(AND(Table1[Start Date]&gt;42094,Table1[Start Date]&lt;42461),Table1[Meaningful Use of Time],""))</f>
        <v/>
      </c>
      <c r="FI326" s="44" t="str">
        <f>IF(Table1[Date of Initial Assessment]="","",IF(AND(Table1[Start Date]&gt;42094,Table1[Start Date]&lt;42461),Table1[Managing Tenancy and Accommodation],""))</f>
        <v/>
      </c>
      <c r="FJ326" s="44" t="str">
        <f>IF(Table1[Date of Initial Assessment]="","",IF(AND(Table1[Start Date]&gt;42094,Table1[Start Date]&lt;42461),Table1[Offending],""))</f>
        <v/>
      </c>
      <c r="FK326" s="44" t="str">
        <f>IF(Table1[Leaving Date]="","",IF(Table1[Date of Initial Assessment]="","",IF(AND(Table1[Leaving Date]&gt;42094,Table1[Leaving Date]&lt;42461),IF(Table1[Date of Last Assessment]="",Table1[Motivation and Taking Responsibility],Table1[Motivation and Taking Responsibility2]),"")))</f>
        <v/>
      </c>
      <c r="FL326" s="44" t="str">
        <f>IF(Table1[Leaving Date]="","",IF(Table1[Date of Initial Assessment]="","",IF(AND(Table1[Leaving Date]&gt;42094,Table1[Leaving Date]&lt;42461),IF(Table1[Date of Last Assessment]="",Table1[Self-Care and Living Skills],Table1[Self-Care and Living Skills2]),"")))</f>
        <v/>
      </c>
      <c r="FM326" s="44" t="str">
        <f>IF(Table1[Leaving Date]="","",IF(Table1[Date of Initial Assessment]="","",IF(AND(Table1[Leaving Date]&gt;42094,Table1[Leaving Date]&lt;42461),IF(Table1[Date of Last Assessment]="",Table1[Managing Money and Personal Administration],Table1[Managing Money and Personal Administration2]),"")))</f>
        <v/>
      </c>
      <c r="FN326" s="44" t="str">
        <f>IF(Table1[Leaving Date]="","",IF(Table1[Date of Initial Assessment]="","",IF(AND(Table1[Leaving Date]&gt;42094,Table1[Leaving Date]&lt;42461),IF(Table1[Date of Last Assessment]="",Table1[Social Networks and Relationships],Table1[Social Networks and Relationships2]),"")))</f>
        <v/>
      </c>
      <c r="FO326" s="44" t="str">
        <f>IF(Table1[Leaving Date]="","",IF(Table1[Date of Initial Assessment]="","",IF(AND(Table1[Leaving Date]&gt;42094,Table1[Leaving Date]&lt;42461),IF(Table1[Date of Last Assessment]="",Table1[Drug and Alcohol Misuse],Table1[Drug and Alcohol Misuse2]),"")))</f>
        <v/>
      </c>
      <c r="FP326" s="44" t="str">
        <f>IF(Table1[Leaving Date]="","",IF(Table1[Date of Initial Assessment]="","",IF(AND(Table1[Leaving Date]&gt;42094,Table1[Leaving Date]&lt;42461),IF(Table1[Date of Last Assessment]="",Table1[Physical Health],Table1[Physical Health2]),"")))</f>
        <v/>
      </c>
      <c r="FQ326" s="44" t="str">
        <f>IF(Table1[Leaving Date]="","",IF(Table1[Date of Initial Assessment]="","",IF(AND(Table1[Leaving Date]&gt;42094,Table1[Leaving Date]&lt;42461),IF(Table1[Date of Last Assessment]="",Table1[Emotional and Mental Health],Table1[Emotional and Mental Health2]),"")))</f>
        <v/>
      </c>
      <c r="FR326" s="44" t="str">
        <f>IF(Table1[Leaving Date]="","",IF(Table1[Date of Initial Assessment]="","",IF(AND(Table1[Leaving Date]&gt;42094,Table1[Leaving Date]&lt;42461),IF(Table1[Date of Last Assessment]="",Table1[Meaningful Use of Time],Table1[Meaningful Use of Time2]),"")))</f>
        <v/>
      </c>
      <c r="FS326" s="44" t="str">
        <f>IF(Table1[Leaving Date]="","",IF(Table1[Date of Initial Assessment]="","",IF(AND(Table1[Leaving Date]&gt;42094,Table1[Leaving Date]&lt;42461),IF(Table1[Date of Last Assessment]="",Table1[Managing Tenancy and Accommodation],Table1[Managing Tenancy and Accommodation2]),"")))</f>
        <v/>
      </c>
      <c r="FT326" s="44" t="str">
        <f>IF(Table1[Leaving Date]="","",IF(Table1[Date of Initial Assessment]="","",IF(AND(Table1[Leaving Date]&gt;42094,Table1[Leaving Date]&lt;42461),IF(Table1[Date of Last Assessment]="",Table1[Offending],Table1[Offending2]),"")))</f>
        <v/>
      </c>
      <c r="FU326" s="44" t="str">
        <f>IF(Table1[Date of Initial Assessment]="","",IF(AND(Table1[Start Date]&gt;42460,Table1[Start Date]&lt;42826),Table1[Motivation and Taking Responsibility],""))</f>
        <v/>
      </c>
      <c r="FV326" s="44" t="str">
        <f>IF(Table1[Date of Initial Assessment]="","",IF(AND(Table1[Start Date]&gt;42460,Table1[Start Date]&lt;42826),Table1[Self-Care and Living Skills],""))</f>
        <v/>
      </c>
      <c r="FW326" s="44" t="str">
        <f>IF(Table1[Date of Initial Assessment]="","",IF(AND(Table1[Start Date]&gt;42460,Table1[Start Date]&lt;42826),Table1[Managing Money and Personal Administration],""))</f>
        <v/>
      </c>
      <c r="FX326" s="44" t="str">
        <f>IF(Table1[Date of Initial Assessment]="","",IF(AND(Table1[Start Date]&gt;42460,Table1[Start Date]&lt;42826),Table1[Social Networks and Relationships],""))</f>
        <v/>
      </c>
      <c r="FY326" s="44" t="str">
        <f>IF(Table1[Date of Initial Assessment]="","",IF(AND(Table1[Start Date]&gt;42460,Table1[Start Date]&lt;42826),Table1[Drug and Alcohol Misuse],""))</f>
        <v/>
      </c>
      <c r="FZ326" s="44" t="str">
        <f>IF(Table1[Date of Initial Assessment]="","",IF(AND(Table1[Start Date]&gt;42460,Table1[Start Date]&lt;42826),Table1[Physical Health],""))</f>
        <v/>
      </c>
      <c r="GA326" s="44" t="str">
        <f>IF(Table1[Date of Initial Assessment]="","",IF(AND(Table1[Start Date]&gt;42460,Table1[Start Date]&lt;42826),Table1[Emotional and Mental Health],""))</f>
        <v/>
      </c>
      <c r="GB326" s="44" t="str">
        <f>IF(Table1[Date of Initial Assessment]="","",IF(AND(Table1[Start Date]&gt;42460,Table1[Start Date]&lt;42826),Table1[Meaningful Use of Time],""))</f>
        <v/>
      </c>
      <c r="GC326" s="44" t="str">
        <f>IF(Table1[Date of Initial Assessment]="","",IF(AND(Table1[Start Date]&gt;42460,Table1[Start Date]&lt;42826),Table1[Managing Tenancy and Accommodation],""))</f>
        <v/>
      </c>
      <c r="GD326" s="44" t="str">
        <f>IF(Table1[Date of Initial Assessment]="","",IF(AND(Table1[Start Date]&gt;42460,Table1[Start Date]&lt;42826),Table1[Offending],""))</f>
        <v/>
      </c>
      <c r="GE326" s="44" t="str">
        <f>IF(Table1[Leaving Date]="","",IF(AND(Table1[Leaving Date]&gt;42460,Table1[Leaving Date]&lt;42826),IF(Table1[Date of Last Assessment]="",Table1[Motivation and Taking Responsibility],Table1[Motivation and Taking Responsibility2]),""))</f>
        <v/>
      </c>
      <c r="GF326" s="44" t="str">
        <f>IF(Table1[Leaving Date]="","",IF(AND(Table1[Leaving Date]&gt;42460,Table1[Leaving Date]&lt;42826),IF(Table1[Date of Last Assessment]="",Table1[Self-Care and Living Skills],Table1[Self-Care and Living Skills2]),""))</f>
        <v/>
      </c>
      <c r="GG326" s="44" t="str">
        <f>IF(Table1[Leaving Date]="","",IF(AND(Table1[Leaving Date]&gt;42460,Table1[Leaving Date]&lt;42826),IF(Table1[Date of Last Assessment]="",Table1[Managing Money and Personal Administration],Table1[Managing Money and Personal Administration2]),""))</f>
        <v/>
      </c>
      <c r="GH326" s="44" t="str">
        <f>IF(Table1[Leaving Date]="","",IF(AND(Table1[Leaving Date]&gt;42460,Table1[Leaving Date]&lt;42826),IF(Table1[Date of Last Assessment]="",Table1[Social Networks and Relationships],Table1[Social Networks and Relationships2]),""))</f>
        <v/>
      </c>
      <c r="GI326" s="44" t="str">
        <f>IF(Table1[Leaving Date]="","",IF(AND(Table1[Leaving Date]&gt;42460,Table1[Leaving Date]&lt;42826),IF(Table1[Date of Last Assessment]="",Table1[Drug and Alcohol Misuse],Table1[Drug and Alcohol Misuse2]),""))</f>
        <v/>
      </c>
      <c r="GJ326" s="44" t="str">
        <f>IF(Table1[Leaving Date]="","",IF(AND(Table1[Leaving Date]&gt;42460,Table1[Leaving Date]&lt;42826),IF(Table1[Date of Last Assessment]="",Table1[Physical Health],Table1[Physical Health2]),""))</f>
        <v/>
      </c>
      <c r="GK326" s="44" t="str">
        <f>IF(Table1[Leaving Date]="","",IF(AND(Table1[Leaving Date]&gt;42460,Table1[Leaving Date]&lt;42826),IF(Table1[Date of Last Assessment]="",Table1[Emotional and Mental Health],Table1[Emotional and Mental Health2]),""))</f>
        <v/>
      </c>
      <c r="GL326" s="44" t="str">
        <f>IF(Table1[Leaving Date]="","",IF(AND(Table1[Leaving Date]&gt;42460,Table1[Leaving Date]&lt;42826),IF(Table1[Date of Last Assessment]="",Table1[Meaningful Use of Time],Table1[Meaningful Use of Time2]),""))</f>
        <v/>
      </c>
      <c r="GM326" s="44" t="str">
        <f>IF(Table1[Leaving Date]="","",IF(AND(Table1[Leaving Date]&gt;42460,Table1[Leaving Date]&lt;42826),IF(Table1[Date of Last Assessment]="",Table1[Managing Tenancy and Accommodation],Table1[Managing Tenancy and Accommodation2]),""))</f>
        <v/>
      </c>
      <c r="GN326" s="44" t="str">
        <f>IF(Table1[Leaving Date]="","",IF(AND(Table1[Leaving Date]&gt;42460,Table1[Leaving Date]&lt;42826),IF(Table1[Date of Last Assessment]="",Table1[Offending],Table1[Offending2]),""))</f>
        <v/>
      </c>
    </row>
    <row r="327" spans="2:196" ht="20.100000000000001" customHeight="1" x14ac:dyDescent="0.2">
      <c r="B327" s="86">
        <f>+'Service Data'!$C$5:$C$5</f>
        <v>0</v>
      </c>
      <c r="C327" s="86"/>
      <c r="D327" s="86"/>
      <c r="E327" s="86"/>
      <c r="F327" s="86"/>
      <c r="G327" s="86"/>
      <c r="H327" s="6"/>
      <c r="I327" s="99" t="str">
        <f ca="1">IF(Table1[[#This Row],[Date of Birth]]="","",SUM(TODAY()-Table1[[#This Row],[Date of Birth]])/365)</f>
        <v/>
      </c>
      <c r="L327" s="86"/>
      <c r="M327" s="77"/>
      <c r="N327" s="86"/>
      <c r="O327" s="86"/>
      <c r="P327" s="91"/>
      <c r="Q327" s="86"/>
      <c r="R327" s="77"/>
      <c r="S327" s="77"/>
      <c r="T327" s="68"/>
      <c r="U327" s="68"/>
      <c r="V327" s="67"/>
      <c r="W327" s="67"/>
      <c r="X327" s="67"/>
      <c r="Y327" s="67"/>
      <c r="Z327" s="67"/>
      <c r="AA327" s="67"/>
      <c r="AB327" s="67"/>
      <c r="AC327" s="67"/>
      <c r="AD327" s="67"/>
      <c r="AE327" s="67"/>
      <c r="AF327" s="67"/>
      <c r="AG327" s="67"/>
      <c r="AH327" s="67"/>
      <c r="AI327" s="67"/>
      <c r="AJ327" s="67"/>
      <c r="AK327" s="67"/>
      <c r="AL327" s="67"/>
      <c r="AM327" s="67"/>
      <c r="AN327" s="77"/>
      <c r="AO327" s="76"/>
      <c r="AP327" s="77"/>
      <c r="AQ327" s="76"/>
      <c r="AR327" s="76"/>
      <c r="AS327" s="76"/>
      <c r="AT327" s="76"/>
      <c r="AU327" s="76"/>
      <c r="AV327" s="77"/>
      <c r="AW327" s="76"/>
      <c r="AX327" s="77"/>
      <c r="AY327" s="76"/>
      <c r="AZ327" s="76"/>
      <c r="BA327" s="76"/>
      <c r="BB327" s="76"/>
      <c r="BC327" s="76"/>
      <c r="BD327" s="77"/>
      <c r="BE327" s="76"/>
      <c r="BF327" s="77"/>
      <c r="BG327" s="76"/>
      <c r="BH327" s="76"/>
      <c r="BI327" s="76"/>
      <c r="BJ327" s="76"/>
      <c r="BK327" s="76"/>
      <c r="BL327" s="77"/>
      <c r="BM327" s="76"/>
      <c r="BN327" s="77"/>
      <c r="BO327" s="76"/>
      <c r="BP327" s="76"/>
      <c r="BQ327" s="76"/>
      <c r="BR327" s="76"/>
      <c r="BS327" s="76"/>
      <c r="BT327" s="77"/>
      <c r="BU327" s="76"/>
      <c r="BV327" s="77"/>
      <c r="BW327" s="76"/>
      <c r="BX327" s="76"/>
      <c r="BY327" s="76"/>
      <c r="BZ327" s="76"/>
      <c r="CA327" s="76"/>
      <c r="CB327" s="77"/>
      <c r="CC327" s="76"/>
      <c r="CD327" s="77"/>
      <c r="CE327" s="76"/>
      <c r="CF327" s="76"/>
      <c r="CG327" s="76"/>
      <c r="CH327" s="76"/>
      <c r="CI327" s="76"/>
      <c r="CJ327" s="77"/>
      <c r="CK327" s="76"/>
      <c r="CL327" s="77"/>
      <c r="CM327" s="76"/>
      <c r="CN327" s="76"/>
      <c r="CO327" s="76"/>
      <c r="CP327" s="76"/>
      <c r="CQ327" s="76"/>
      <c r="CR327" s="78" t="str">
        <f t="shared" si="95"/>
        <v/>
      </c>
      <c r="CS327" s="79" t="str">
        <f t="shared" si="96"/>
        <v/>
      </c>
      <c r="CT327" s="79" t="str">
        <f t="shared" si="97"/>
        <v/>
      </c>
      <c r="CU327" s="79" t="str">
        <f t="shared" si="98"/>
        <v/>
      </c>
      <c r="CV327" s="79" t="str">
        <f t="shared" si="99"/>
        <v/>
      </c>
      <c r="CW327" s="79" t="str">
        <f t="shared" si="100"/>
        <v/>
      </c>
      <c r="CX327" s="79" t="str">
        <f t="shared" si="101"/>
        <v/>
      </c>
      <c r="CY327" s="79" t="str">
        <f t="shared" si="102"/>
        <v/>
      </c>
      <c r="CZ327" s="79" t="str">
        <f t="shared" si="103"/>
        <v/>
      </c>
      <c r="DA327" s="79" t="str">
        <f t="shared" si="104"/>
        <v/>
      </c>
      <c r="DB327" s="79" t="str">
        <f t="shared" si="105"/>
        <v/>
      </c>
      <c r="DC327" s="79" t="str">
        <f t="shared" si="106"/>
        <v/>
      </c>
      <c r="DD327" s="79" t="str">
        <f t="shared" si="107"/>
        <v/>
      </c>
      <c r="DE327" s="79" t="str">
        <f t="shared" si="108"/>
        <v/>
      </c>
      <c r="DF327" s="79" t="str">
        <f t="shared" si="109"/>
        <v/>
      </c>
      <c r="DG327" s="79" t="str">
        <f t="shared" si="110"/>
        <v/>
      </c>
      <c r="DH327" s="76"/>
      <c r="DI327" s="78"/>
      <c r="DJ327" s="76"/>
      <c r="DK327" s="77"/>
      <c r="DL327" s="77"/>
      <c r="DM327" s="77"/>
      <c r="DN327" s="80"/>
      <c r="DO327" s="80"/>
      <c r="DP327" s="92" t="str">
        <f>IF(Table1[Start Date]="","",IF(Table1[Start Date]&gt;42185,"",IF(AND(Table1[Leaving Date]&gt;1,Table1[Leaving Date]&lt;42095),"",1)))</f>
        <v/>
      </c>
      <c r="DQ327" s="92" t="str">
        <f>IF(Table1[Start Date]="","",IF(Table1[Start Date]&gt;42277,"",IF(AND(Table1[Leaving Date]&gt;1,Table1[Leaving Date]&lt;42186),"",1)))</f>
        <v/>
      </c>
      <c r="DR327" s="92" t="str">
        <f>IF(Table1[Start Date]="","",IF(Table1[Start Date]&gt;42369,"",IF(AND(Table1[Leaving Date]&gt;1,Table1[Leaving Date]&lt;42278),"",1)))</f>
        <v/>
      </c>
      <c r="DS327" s="92" t="str">
        <f>IF(Table1[Start Date]="","",IF(Table1[Start Date]&gt;42460,"",IF(AND(Table1[Leaving Date]&gt;1,Table1[Leaving Date]&lt;42370),"",1)))</f>
        <v/>
      </c>
      <c r="DT327" s="92" t="str">
        <f>IF(Table1[Start Date]="","",IF(Table1[Start Date]&gt;42551,"",IF(AND(Table1[Leaving Date]&gt;1,Table1[Leaving Date]&lt;42461),"",1)))</f>
        <v/>
      </c>
      <c r="DU327" s="92" t="str">
        <f>IF(Table1[Start Date]="","",IF(Table1[Start Date]&gt;42643,"",IF(AND(Table1[Leaving Date]&gt;1,Table1[Leaving Date]&lt;42552),"",1)))</f>
        <v/>
      </c>
      <c r="DV327" s="92" t="str">
        <f>IF(Table1[Start Date]="","",IF(Table1[Start Date]&gt;42735,"",IF(AND(Table1[Leaving Date]&gt;1,Table1[Leaving Date]&lt;42644),"",1)))</f>
        <v/>
      </c>
      <c r="DW327" s="92" t="str">
        <f>IF(Table1[Start Date]="","",IF(Table1[Start Date]&gt;42825,"",IF(AND(Table1[Leaving Date]&gt;1,Table1[Leaving Date]&lt;42736),"",1)))</f>
        <v/>
      </c>
      <c r="DX327"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327" s="44" t="e">
        <f>VLOOKUP(Table1[Referral Source],Lists!$G$2:$H$20,2,FALSE)</f>
        <v>#N/A</v>
      </c>
      <c r="DZ327" s="93" t="e">
        <f>SUM(Table1[Data Referral Quarter]+Table1[Data Referral Source])</f>
        <v>#N/A</v>
      </c>
      <c r="EA327" s="44" t="b">
        <f>IF(Table1[Referral Decision]="Accepted",100,IF(Table1[Referral Decision]="Rejected by Provider",200,IF(Table1[Referral Decision]="Rejected by Applicant",300)))</f>
        <v>0</v>
      </c>
      <c r="EB327" s="44">
        <f>SUM(Table1[Data Referral Quarter]+Table1[Data Referral Decision])</f>
        <v>0</v>
      </c>
      <c r="EC327" s="44" t="b">
        <f>IF(Table1[Start Date]&gt;42735,8000,IF(Table1[Start Date]&gt;42643,7000,IF(Table1[Start Date]&gt;42551,6000,IF(Table1[Start Date]&gt;42460,5000,IF(Table1[Start Date]&gt;42369,4000,IF(Table1[Start Date]&gt;42277,3000,IF(Table1[Start Date]&gt;42185,2000,IF(Table1[Start Date]&gt;42094,1000))))))))</f>
        <v>0</v>
      </c>
      <c r="ED327" s="44" t="str">
        <f>IF(Table1[Start Date]="","",IF(Table1[Current Local Authority]="Swindon",1,"2"))</f>
        <v/>
      </c>
      <c r="EE327" s="44" t="e">
        <f>SUM(Table1[Data Start Date]+Table1[Data Local Authority])</f>
        <v>#VALUE!</v>
      </c>
      <c r="EF327" s="44">
        <f>IF(Table1[Registered with GP]="Yes",1,0)</f>
        <v>0</v>
      </c>
      <c r="EG327" s="44">
        <f>SUM(Table1[Data Start Date]+Table1[Data GP Start])</f>
        <v>0</v>
      </c>
      <c r="EH327" s="44" t="str">
        <f>IF(Table1[EET]="NEET",1,IF(Table1[EET]="Education",2,IF(Table1[EET]="Employment",2,IF(Table1[EET]="Training",2,IF(Table1[EET]="Retired",3,"")))))</f>
        <v/>
      </c>
      <c r="EI327" s="44" t="e">
        <f>Table1[Data Start Date]+Table1[Data EET Start]</f>
        <v>#VALUE!</v>
      </c>
      <c r="EJ327" s="44" t="b">
        <f>IF(Table1[Leaving Date]&gt;42735,8000,IF(Table1[Leaving Date]&gt;42643,7000,IF(Table1[Leaving Date]&gt;42551,6000,IF(Table1[Leaving Date]&gt;42460,5000,IF(Table1[Leaving Date]&gt;42369,4000,IF(Table1[Leaving Date]&gt;42277,3000,IF(Table1[Leaving Date]&gt;42185,2000,IF(Table1[Leaving Date]&gt;42094,1000))))))))</f>
        <v>0</v>
      </c>
      <c r="EK327" s="44" t="e">
        <f>VLOOKUP(Table1[Reason for Leaving],Lists!$T$2:$U$15,2,FALSE)</f>
        <v>#N/A</v>
      </c>
      <c r="EL327" s="44" t="e">
        <f>SUM(Table1[Data Leavers Date]+Table1[Data Move On])</f>
        <v>#N/A</v>
      </c>
      <c r="EM327" s="44" t="b">
        <f>IF(Table1[Registered with GP2]="Yes",1,IF(Table1[Registered with GP2]="No",0,IF(Table1[Registered with GP]="Yes",1,IF(Table1[Registered with GP]="No",0))))</f>
        <v>0</v>
      </c>
      <c r="EN327" s="44">
        <f>SUM(Table1[Data Leavers Date]+Table1[Data GP End])</f>
        <v>0</v>
      </c>
      <c r="EO327" s="44" t="str">
        <f>IF(Table1[EET2]="NEET",1,IF(Table1[EET2]="Employment",2,IF(Table1[EET2]="Education",2,IF(Table1[EET2]="Training",2,IF(Table1[EET2]="Retired",3,IF(Table1[EET]="NEET",1,IF(Table1[EET]="Employment",2,IF(Table1[EET]="Education",2,IF(Table1[EET]="Training",2,IF(Table1[EET]="Retired",3,""))))))))))</f>
        <v/>
      </c>
      <c r="EP327" s="44" t="e">
        <f>+Table1[[#This Row],[Data Leavers Date]]+Table1[[#This Row],[Data EET End]]</f>
        <v>#VALUE!</v>
      </c>
      <c r="EQ327" s="44">
        <f>IF(Table1[Exit Form Received]="Yes",1,0)</f>
        <v>0</v>
      </c>
      <c r="ER327" s="44">
        <f>+Table1[[#This Row],[Data Leavers Date]]+Table1[[#This Row],[Data Exit Forms]]</f>
        <v>0</v>
      </c>
      <c r="ES327" s="44" t="str">
        <f>IF(Table1[Data Leavers Date]=1000,SUM(Table1[Leaving Date]-Table1[Start Date]),"")</f>
        <v/>
      </c>
      <c r="ET327" s="44" t="str">
        <f>IF(Table1[Data Leavers Date]=2000,SUM(Table1[Leaving Date]-Table1[Start Date]),"")</f>
        <v/>
      </c>
      <c r="EU327" s="44" t="str">
        <f>IF(Table1[Data Leavers Date]=3000,SUM(Table1[Leaving Date]-Table1[Start Date]),"")</f>
        <v/>
      </c>
      <c r="EV327" s="44" t="str">
        <f>IF(Table1[Data Leavers Date]=4000,SUM(Table1[Leaving Date]-Table1[Start Date]),"")</f>
        <v/>
      </c>
      <c r="EW327" s="44" t="str">
        <f>IF(Table1[Data Leavers Date]=5000,SUM(Table1[Leaving Date]-Table1[Start Date]),"")</f>
        <v/>
      </c>
      <c r="EX327" s="44" t="str">
        <f>IF(Table1[Data Leavers Date]=6000,SUM(Table1[Leaving Date]-Table1[Start Date]),"")</f>
        <v/>
      </c>
      <c r="EY327" s="44" t="str">
        <f>IF(Table1[Data Leavers Date]=7000,SUM(Table1[Leaving Date]-Table1[Start Date]),"")</f>
        <v/>
      </c>
      <c r="EZ327" s="44" t="str">
        <f>IF(Table1[Data Leavers Date]=8000,SUM(Table1[Leaving Date]-Table1[Start Date]),"")</f>
        <v/>
      </c>
      <c r="FA327" s="44" t="str">
        <f>IF(Table1[Date of Initial Assessment]="","",IF(AND(Table1[Start Date]&gt;42094,Table1[Start Date]&lt;42461),Table1[Motivation and Taking Responsibility],""))</f>
        <v/>
      </c>
      <c r="FB327" s="44" t="str">
        <f>IF(Table1[Date of Initial Assessment]="","",IF(AND(Table1[Start Date]&gt;42094,Table1[Start Date]&lt;42461),Table1[Self-Care and Living Skills],""))</f>
        <v/>
      </c>
      <c r="FC327" s="44" t="str">
        <f>IF(Table1[Date of Initial Assessment]="","",IF(AND(Table1[Start Date]&gt;42094,Table1[Start Date]&lt;42461),Table1[Managing Money and Personal Administration],""))</f>
        <v/>
      </c>
      <c r="FD327" s="44" t="str">
        <f>IF(Table1[Date of Initial Assessment]="","",IF(AND(Table1[Start Date]&gt;42094,Table1[Start Date]&lt;42461),Table1[Social Networks and Relationships],""))</f>
        <v/>
      </c>
      <c r="FE327" s="44" t="str">
        <f>IF(Table1[Date of Initial Assessment]="","",IF(AND(Table1[Start Date]&gt;42094,Table1[Start Date]&lt;42461),Table1[Drug and Alcohol Misuse],""))</f>
        <v/>
      </c>
      <c r="FF327" s="44" t="str">
        <f>IF(Table1[Date of Initial Assessment]="","",IF(AND(Table1[Start Date]&gt;42094,Table1[Start Date]&lt;42461),Table1[Physical Health],""))</f>
        <v/>
      </c>
      <c r="FG327" s="44" t="str">
        <f>IF(Table1[Date of Initial Assessment]="","",IF(AND(Table1[Start Date]&gt;42094,Table1[Start Date]&lt;42461),Table1[Emotional and Mental Health],""))</f>
        <v/>
      </c>
      <c r="FH327" s="44" t="str">
        <f>IF(Table1[Date of Initial Assessment]="","",IF(AND(Table1[Start Date]&gt;42094,Table1[Start Date]&lt;42461),Table1[Meaningful Use of Time],""))</f>
        <v/>
      </c>
      <c r="FI327" s="44" t="str">
        <f>IF(Table1[Date of Initial Assessment]="","",IF(AND(Table1[Start Date]&gt;42094,Table1[Start Date]&lt;42461),Table1[Managing Tenancy and Accommodation],""))</f>
        <v/>
      </c>
      <c r="FJ327" s="44" t="str">
        <f>IF(Table1[Date of Initial Assessment]="","",IF(AND(Table1[Start Date]&gt;42094,Table1[Start Date]&lt;42461),Table1[Offending],""))</f>
        <v/>
      </c>
      <c r="FK327" s="44" t="str">
        <f>IF(Table1[Leaving Date]="","",IF(Table1[Date of Initial Assessment]="","",IF(AND(Table1[Leaving Date]&gt;42094,Table1[Leaving Date]&lt;42461),IF(Table1[Date of Last Assessment]="",Table1[Motivation and Taking Responsibility],Table1[Motivation and Taking Responsibility2]),"")))</f>
        <v/>
      </c>
      <c r="FL327" s="44" t="str">
        <f>IF(Table1[Leaving Date]="","",IF(Table1[Date of Initial Assessment]="","",IF(AND(Table1[Leaving Date]&gt;42094,Table1[Leaving Date]&lt;42461),IF(Table1[Date of Last Assessment]="",Table1[Self-Care and Living Skills],Table1[Self-Care and Living Skills2]),"")))</f>
        <v/>
      </c>
      <c r="FM327" s="44" t="str">
        <f>IF(Table1[Leaving Date]="","",IF(Table1[Date of Initial Assessment]="","",IF(AND(Table1[Leaving Date]&gt;42094,Table1[Leaving Date]&lt;42461),IF(Table1[Date of Last Assessment]="",Table1[Managing Money and Personal Administration],Table1[Managing Money and Personal Administration2]),"")))</f>
        <v/>
      </c>
      <c r="FN327" s="44" t="str">
        <f>IF(Table1[Leaving Date]="","",IF(Table1[Date of Initial Assessment]="","",IF(AND(Table1[Leaving Date]&gt;42094,Table1[Leaving Date]&lt;42461),IF(Table1[Date of Last Assessment]="",Table1[Social Networks and Relationships],Table1[Social Networks and Relationships2]),"")))</f>
        <v/>
      </c>
      <c r="FO327" s="44" t="str">
        <f>IF(Table1[Leaving Date]="","",IF(Table1[Date of Initial Assessment]="","",IF(AND(Table1[Leaving Date]&gt;42094,Table1[Leaving Date]&lt;42461),IF(Table1[Date of Last Assessment]="",Table1[Drug and Alcohol Misuse],Table1[Drug and Alcohol Misuse2]),"")))</f>
        <v/>
      </c>
      <c r="FP327" s="44" t="str">
        <f>IF(Table1[Leaving Date]="","",IF(Table1[Date of Initial Assessment]="","",IF(AND(Table1[Leaving Date]&gt;42094,Table1[Leaving Date]&lt;42461),IF(Table1[Date of Last Assessment]="",Table1[Physical Health],Table1[Physical Health2]),"")))</f>
        <v/>
      </c>
      <c r="FQ327" s="44" t="str">
        <f>IF(Table1[Leaving Date]="","",IF(Table1[Date of Initial Assessment]="","",IF(AND(Table1[Leaving Date]&gt;42094,Table1[Leaving Date]&lt;42461),IF(Table1[Date of Last Assessment]="",Table1[Emotional and Mental Health],Table1[Emotional and Mental Health2]),"")))</f>
        <v/>
      </c>
      <c r="FR327" s="44" t="str">
        <f>IF(Table1[Leaving Date]="","",IF(Table1[Date of Initial Assessment]="","",IF(AND(Table1[Leaving Date]&gt;42094,Table1[Leaving Date]&lt;42461),IF(Table1[Date of Last Assessment]="",Table1[Meaningful Use of Time],Table1[Meaningful Use of Time2]),"")))</f>
        <v/>
      </c>
      <c r="FS327" s="44" t="str">
        <f>IF(Table1[Leaving Date]="","",IF(Table1[Date of Initial Assessment]="","",IF(AND(Table1[Leaving Date]&gt;42094,Table1[Leaving Date]&lt;42461),IF(Table1[Date of Last Assessment]="",Table1[Managing Tenancy and Accommodation],Table1[Managing Tenancy and Accommodation2]),"")))</f>
        <v/>
      </c>
      <c r="FT327" s="44" t="str">
        <f>IF(Table1[Leaving Date]="","",IF(Table1[Date of Initial Assessment]="","",IF(AND(Table1[Leaving Date]&gt;42094,Table1[Leaving Date]&lt;42461),IF(Table1[Date of Last Assessment]="",Table1[Offending],Table1[Offending2]),"")))</f>
        <v/>
      </c>
      <c r="FU327" s="44" t="str">
        <f>IF(Table1[Date of Initial Assessment]="","",IF(AND(Table1[Start Date]&gt;42460,Table1[Start Date]&lt;42826),Table1[Motivation and Taking Responsibility],""))</f>
        <v/>
      </c>
      <c r="FV327" s="44" t="str">
        <f>IF(Table1[Date of Initial Assessment]="","",IF(AND(Table1[Start Date]&gt;42460,Table1[Start Date]&lt;42826),Table1[Self-Care and Living Skills],""))</f>
        <v/>
      </c>
      <c r="FW327" s="44" t="str">
        <f>IF(Table1[Date of Initial Assessment]="","",IF(AND(Table1[Start Date]&gt;42460,Table1[Start Date]&lt;42826),Table1[Managing Money and Personal Administration],""))</f>
        <v/>
      </c>
      <c r="FX327" s="44" t="str">
        <f>IF(Table1[Date of Initial Assessment]="","",IF(AND(Table1[Start Date]&gt;42460,Table1[Start Date]&lt;42826),Table1[Social Networks and Relationships],""))</f>
        <v/>
      </c>
      <c r="FY327" s="44" t="str">
        <f>IF(Table1[Date of Initial Assessment]="","",IF(AND(Table1[Start Date]&gt;42460,Table1[Start Date]&lt;42826),Table1[Drug and Alcohol Misuse],""))</f>
        <v/>
      </c>
      <c r="FZ327" s="44" t="str">
        <f>IF(Table1[Date of Initial Assessment]="","",IF(AND(Table1[Start Date]&gt;42460,Table1[Start Date]&lt;42826),Table1[Physical Health],""))</f>
        <v/>
      </c>
      <c r="GA327" s="44" t="str">
        <f>IF(Table1[Date of Initial Assessment]="","",IF(AND(Table1[Start Date]&gt;42460,Table1[Start Date]&lt;42826),Table1[Emotional and Mental Health],""))</f>
        <v/>
      </c>
      <c r="GB327" s="44" t="str">
        <f>IF(Table1[Date of Initial Assessment]="","",IF(AND(Table1[Start Date]&gt;42460,Table1[Start Date]&lt;42826),Table1[Meaningful Use of Time],""))</f>
        <v/>
      </c>
      <c r="GC327" s="44" t="str">
        <f>IF(Table1[Date of Initial Assessment]="","",IF(AND(Table1[Start Date]&gt;42460,Table1[Start Date]&lt;42826),Table1[Managing Tenancy and Accommodation],""))</f>
        <v/>
      </c>
      <c r="GD327" s="44" t="str">
        <f>IF(Table1[Date of Initial Assessment]="","",IF(AND(Table1[Start Date]&gt;42460,Table1[Start Date]&lt;42826),Table1[Offending],""))</f>
        <v/>
      </c>
      <c r="GE327" s="44" t="str">
        <f>IF(Table1[Leaving Date]="","",IF(AND(Table1[Leaving Date]&gt;42460,Table1[Leaving Date]&lt;42826),IF(Table1[Date of Last Assessment]="",Table1[Motivation and Taking Responsibility],Table1[Motivation and Taking Responsibility2]),""))</f>
        <v/>
      </c>
      <c r="GF327" s="44" t="str">
        <f>IF(Table1[Leaving Date]="","",IF(AND(Table1[Leaving Date]&gt;42460,Table1[Leaving Date]&lt;42826),IF(Table1[Date of Last Assessment]="",Table1[Self-Care and Living Skills],Table1[Self-Care and Living Skills2]),""))</f>
        <v/>
      </c>
      <c r="GG327" s="44" t="str">
        <f>IF(Table1[Leaving Date]="","",IF(AND(Table1[Leaving Date]&gt;42460,Table1[Leaving Date]&lt;42826),IF(Table1[Date of Last Assessment]="",Table1[Managing Money and Personal Administration],Table1[Managing Money and Personal Administration2]),""))</f>
        <v/>
      </c>
      <c r="GH327" s="44" t="str">
        <f>IF(Table1[Leaving Date]="","",IF(AND(Table1[Leaving Date]&gt;42460,Table1[Leaving Date]&lt;42826),IF(Table1[Date of Last Assessment]="",Table1[Social Networks and Relationships],Table1[Social Networks and Relationships2]),""))</f>
        <v/>
      </c>
      <c r="GI327" s="44" t="str">
        <f>IF(Table1[Leaving Date]="","",IF(AND(Table1[Leaving Date]&gt;42460,Table1[Leaving Date]&lt;42826),IF(Table1[Date of Last Assessment]="",Table1[Drug and Alcohol Misuse],Table1[Drug and Alcohol Misuse2]),""))</f>
        <v/>
      </c>
      <c r="GJ327" s="44" t="str">
        <f>IF(Table1[Leaving Date]="","",IF(AND(Table1[Leaving Date]&gt;42460,Table1[Leaving Date]&lt;42826),IF(Table1[Date of Last Assessment]="",Table1[Physical Health],Table1[Physical Health2]),""))</f>
        <v/>
      </c>
      <c r="GK327" s="44" t="str">
        <f>IF(Table1[Leaving Date]="","",IF(AND(Table1[Leaving Date]&gt;42460,Table1[Leaving Date]&lt;42826),IF(Table1[Date of Last Assessment]="",Table1[Emotional and Mental Health],Table1[Emotional and Mental Health2]),""))</f>
        <v/>
      </c>
      <c r="GL327" s="44" t="str">
        <f>IF(Table1[Leaving Date]="","",IF(AND(Table1[Leaving Date]&gt;42460,Table1[Leaving Date]&lt;42826),IF(Table1[Date of Last Assessment]="",Table1[Meaningful Use of Time],Table1[Meaningful Use of Time2]),""))</f>
        <v/>
      </c>
      <c r="GM327" s="44" t="str">
        <f>IF(Table1[Leaving Date]="","",IF(AND(Table1[Leaving Date]&gt;42460,Table1[Leaving Date]&lt;42826),IF(Table1[Date of Last Assessment]="",Table1[Managing Tenancy and Accommodation],Table1[Managing Tenancy and Accommodation2]),""))</f>
        <v/>
      </c>
      <c r="GN327" s="44" t="str">
        <f>IF(Table1[Leaving Date]="","",IF(AND(Table1[Leaving Date]&gt;42460,Table1[Leaving Date]&lt;42826),IF(Table1[Date of Last Assessment]="",Table1[Offending],Table1[Offending2]),""))</f>
        <v/>
      </c>
    </row>
    <row r="328" spans="2:196" ht="20.100000000000001" customHeight="1" x14ac:dyDescent="0.2">
      <c r="B328" s="86">
        <f>+'Service Data'!$C$5:$C$5</f>
        <v>0</v>
      </c>
      <c r="C328" s="86"/>
      <c r="D328" s="86"/>
      <c r="E328" s="86"/>
      <c r="F328" s="86"/>
      <c r="G328" s="86"/>
      <c r="H328" s="6"/>
      <c r="I328" s="99" t="str">
        <f ca="1">IF(Table1[[#This Row],[Date of Birth]]="","",SUM(TODAY()-Table1[[#This Row],[Date of Birth]])/365)</f>
        <v/>
      </c>
      <c r="L328" s="86"/>
      <c r="M328" s="77"/>
      <c r="N328" s="86"/>
      <c r="O328" s="86"/>
      <c r="P328" s="91"/>
      <c r="Q328" s="86"/>
      <c r="R328" s="77"/>
      <c r="S328" s="77"/>
      <c r="T328" s="68"/>
      <c r="U328" s="68"/>
      <c r="V328" s="67"/>
      <c r="W328" s="67"/>
      <c r="X328" s="67"/>
      <c r="Y328" s="67"/>
      <c r="Z328" s="67"/>
      <c r="AA328" s="67"/>
      <c r="AB328" s="67"/>
      <c r="AC328" s="67"/>
      <c r="AD328" s="67"/>
      <c r="AE328" s="67"/>
      <c r="AF328" s="67"/>
      <c r="AG328" s="67"/>
      <c r="AH328" s="67"/>
      <c r="AI328" s="67"/>
      <c r="AJ328" s="67"/>
      <c r="AK328" s="67"/>
      <c r="AL328" s="67"/>
      <c r="AM328" s="67"/>
      <c r="AN328" s="77"/>
      <c r="AO328" s="76"/>
      <c r="AP328" s="77"/>
      <c r="AQ328" s="76"/>
      <c r="AR328" s="76"/>
      <c r="AS328" s="76"/>
      <c r="AT328" s="76"/>
      <c r="AU328" s="76"/>
      <c r="AV328" s="77"/>
      <c r="AW328" s="76"/>
      <c r="AX328" s="77"/>
      <c r="AY328" s="76"/>
      <c r="AZ328" s="76"/>
      <c r="BA328" s="76"/>
      <c r="BB328" s="76"/>
      <c r="BC328" s="76"/>
      <c r="BD328" s="77"/>
      <c r="BE328" s="76"/>
      <c r="BF328" s="77"/>
      <c r="BG328" s="76"/>
      <c r="BH328" s="76"/>
      <c r="BI328" s="76"/>
      <c r="BJ328" s="76"/>
      <c r="BK328" s="76"/>
      <c r="BL328" s="77"/>
      <c r="BM328" s="76"/>
      <c r="BN328" s="77"/>
      <c r="BO328" s="76"/>
      <c r="BP328" s="76"/>
      <c r="BQ328" s="76"/>
      <c r="BR328" s="76"/>
      <c r="BS328" s="76"/>
      <c r="BT328" s="77"/>
      <c r="BU328" s="76"/>
      <c r="BV328" s="77"/>
      <c r="BW328" s="76"/>
      <c r="BX328" s="76"/>
      <c r="BY328" s="76"/>
      <c r="BZ328" s="76"/>
      <c r="CA328" s="76"/>
      <c r="CB328" s="77"/>
      <c r="CC328" s="76"/>
      <c r="CD328" s="77"/>
      <c r="CE328" s="76"/>
      <c r="CF328" s="76"/>
      <c r="CG328" s="76"/>
      <c r="CH328" s="76"/>
      <c r="CI328" s="76"/>
      <c r="CJ328" s="77"/>
      <c r="CK328" s="76"/>
      <c r="CL328" s="77"/>
      <c r="CM328" s="76"/>
      <c r="CN328" s="76"/>
      <c r="CO328" s="76"/>
      <c r="CP328" s="76"/>
      <c r="CQ328" s="76"/>
      <c r="CR328" s="78" t="str">
        <f t="shared" si="95"/>
        <v/>
      </c>
      <c r="CS328" s="79" t="str">
        <f t="shared" si="96"/>
        <v/>
      </c>
      <c r="CT328" s="79" t="str">
        <f t="shared" si="97"/>
        <v/>
      </c>
      <c r="CU328" s="79" t="str">
        <f t="shared" si="98"/>
        <v/>
      </c>
      <c r="CV328" s="79" t="str">
        <f t="shared" si="99"/>
        <v/>
      </c>
      <c r="CW328" s="79" t="str">
        <f t="shared" si="100"/>
        <v/>
      </c>
      <c r="CX328" s="79" t="str">
        <f t="shared" si="101"/>
        <v/>
      </c>
      <c r="CY328" s="79" t="str">
        <f t="shared" si="102"/>
        <v/>
      </c>
      <c r="CZ328" s="79" t="str">
        <f t="shared" si="103"/>
        <v/>
      </c>
      <c r="DA328" s="79" t="str">
        <f t="shared" si="104"/>
        <v/>
      </c>
      <c r="DB328" s="79" t="str">
        <f t="shared" si="105"/>
        <v/>
      </c>
      <c r="DC328" s="79" t="str">
        <f t="shared" si="106"/>
        <v/>
      </c>
      <c r="DD328" s="79" t="str">
        <f t="shared" si="107"/>
        <v/>
      </c>
      <c r="DE328" s="79" t="str">
        <f t="shared" si="108"/>
        <v/>
      </c>
      <c r="DF328" s="79" t="str">
        <f t="shared" si="109"/>
        <v/>
      </c>
      <c r="DG328" s="79" t="str">
        <f t="shared" si="110"/>
        <v/>
      </c>
      <c r="DH328" s="76"/>
      <c r="DI328" s="78"/>
      <c r="DJ328" s="76"/>
      <c r="DK328" s="77"/>
      <c r="DL328" s="77"/>
      <c r="DM328" s="77"/>
      <c r="DN328" s="80"/>
      <c r="DO328" s="80"/>
      <c r="DP328" s="92" t="str">
        <f>IF(Table1[Start Date]="","",IF(Table1[Start Date]&gt;42185,"",IF(AND(Table1[Leaving Date]&gt;1,Table1[Leaving Date]&lt;42095),"",1)))</f>
        <v/>
      </c>
      <c r="DQ328" s="92" t="str">
        <f>IF(Table1[Start Date]="","",IF(Table1[Start Date]&gt;42277,"",IF(AND(Table1[Leaving Date]&gt;1,Table1[Leaving Date]&lt;42186),"",1)))</f>
        <v/>
      </c>
      <c r="DR328" s="92" t="str">
        <f>IF(Table1[Start Date]="","",IF(Table1[Start Date]&gt;42369,"",IF(AND(Table1[Leaving Date]&gt;1,Table1[Leaving Date]&lt;42278),"",1)))</f>
        <v/>
      </c>
      <c r="DS328" s="92" t="str">
        <f>IF(Table1[Start Date]="","",IF(Table1[Start Date]&gt;42460,"",IF(AND(Table1[Leaving Date]&gt;1,Table1[Leaving Date]&lt;42370),"",1)))</f>
        <v/>
      </c>
      <c r="DT328" s="92" t="str">
        <f>IF(Table1[Start Date]="","",IF(Table1[Start Date]&gt;42551,"",IF(AND(Table1[Leaving Date]&gt;1,Table1[Leaving Date]&lt;42461),"",1)))</f>
        <v/>
      </c>
      <c r="DU328" s="92" t="str">
        <f>IF(Table1[Start Date]="","",IF(Table1[Start Date]&gt;42643,"",IF(AND(Table1[Leaving Date]&gt;1,Table1[Leaving Date]&lt;42552),"",1)))</f>
        <v/>
      </c>
      <c r="DV328" s="92" t="str">
        <f>IF(Table1[Start Date]="","",IF(Table1[Start Date]&gt;42735,"",IF(AND(Table1[Leaving Date]&gt;1,Table1[Leaving Date]&lt;42644),"",1)))</f>
        <v/>
      </c>
      <c r="DW328" s="92" t="str">
        <f>IF(Table1[Start Date]="","",IF(Table1[Start Date]&gt;42825,"",IF(AND(Table1[Leaving Date]&gt;1,Table1[Leaving Date]&lt;42736),"",1)))</f>
        <v/>
      </c>
      <c r="DX328"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328" s="44" t="e">
        <f>VLOOKUP(Table1[Referral Source],Lists!$G$2:$H$20,2,FALSE)</f>
        <v>#N/A</v>
      </c>
      <c r="DZ328" s="93" t="e">
        <f>SUM(Table1[Data Referral Quarter]+Table1[Data Referral Source])</f>
        <v>#N/A</v>
      </c>
      <c r="EA328" s="44" t="b">
        <f>IF(Table1[Referral Decision]="Accepted",100,IF(Table1[Referral Decision]="Rejected by Provider",200,IF(Table1[Referral Decision]="Rejected by Applicant",300)))</f>
        <v>0</v>
      </c>
      <c r="EB328" s="44">
        <f>SUM(Table1[Data Referral Quarter]+Table1[Data Referral Decision])</f>
        <v>0</v>
      </c>
      <c r="EC328" s="44" t="b">
        <f>IF(Table1[Start Date]&gt;42735,8000,IF(Table1[Start Date]&gt;42643,7000,IF(Table1[Start Date]&gt;42551,6000,IF(Table1[Start Date]&gt;42460,5000,IF(Table1[Start Date]&gt;42369,4000,IF(Table1[Start Date]&gt;42277,3000,IF(Table1[Start Date]&gt;42185,2000,IF(Table1[Start Date]&gt;42094,1000))))))))</f>
        <v>0</v>
      </c>
      <c r="ED328" s="44" t="str">
        <f>IF(Table1[Start Date]="","",IF(Table1[Current Local Authority]="Swindon",1,"2"))</f>
        <v/>
      </c>
      <c r="EE328" s="44" t="e">
        <f>SUM(Table1[Data Start Date]+Table1[Data Local Authority])</f>
        <v>#VALUE!</v>
      </c>
      <c r="EF328" s="44">
        <f>IF(Table1[Registered with GP]="Yes",1,0)</f>
        <v>0</v>
      </c>
      <c r="EG328" s="44">
        <f>SUM(Table1[Data Start Date]+Table1[Data GP Start])</f>
        <v>0</v>
      </c>
      <c r="EH328" s="44" t="str">
        <f>IF(Table1[EET]="NEET",1,IF(Table1[EET]="Education",2,IF(Table1[EET]="Employment",2,IF(Table1[EET]="Training",2,IF(Table1[EET]="Retired",3,"")))))</f>
        <v/>
      </c>
      <c r="EI328" s="44" t="e">
        <f>Table1[Data Start Date]+Table1[Data EET Start]</f>
        <v>#VALUE!</v>
      </c>
      <c r="EJ328" s="44" t="b">
        <f>IF(Table1[Leaving Date]&gt;42735,8000,IF(Table1[Leaving Date]&gt;42643,7000,IF(Table1[Leaving Date]&gt;42551,6000,IF(Table1[Leaving Date]&gt;42460,5000,IF(Table1[Leaving Date]&gt;42369,4000,IF(Table1[Leaving Date]&gt;42277,3000,IF(Table1[Leaving Date]&gt;42185,2000,IF(Table1[Leaving Date]&gt;42094,1000))))))))</f>
        <v>0</v>
      </c>
      <c r="EK328" s="44" t="e">
        <f>VLOOKUP(Table1[Reason for Leaving],Lists!$T$2:$U$15,2,FALSE)</f>
        <v>#N/A</v>
      </c>
      <c r="EL328" s="44" t="e">
        <f>SUM(Table1[Data Leavers Date]+Table1[Data Move On])</f>
        <v>#N/A</v>
      </c>
      <c r="EM328" s="44" t="b">
        <f>IF(Table1[Registered with GP2]="Yes",1,IF(Table1[Registered with GP2]="No",0,IF(Table1[Registered with GP]="Yes",1,IF(Table1[Registered with GP]="No",0))))</f>
        <v>0</v>
      </c>
      <c r="EN328" s="44">
        <f>SUM(Table1[Data Leavers Date]+Table1[Data GP End])</f>
        <v>0</v>
      </c>
      <c r="EO328" s="44" t="str">
        <f>IF(Table1[EET2]="NEET",1,IF(Table1[EET2]="Employment",2,IF(Table1[EET2]="Education",2,IF(Table1[EET2]="Training",2,IF(Table1[EET2]="Retired",3,IF(Table1[EET]="NEET",1,IF(Table1[EET]="Employment",2,IF(Table1[EET]="Education",2,IF(Table1[EET]="Training",2,IF(Table1[EET]="Retired",3,""))))))))))</f>
        <v/>
      </c>
      <c r="EP328" s="44" t="e">
        <f>+Table1[[#This Row],[Data Leavers Date]]+Table1[[#This Row],[Data EET End]]</f>
        <v>#VALUE!</v>
      </c>
      <c r="EQ328" s="44">
        <f>IF(Table1[Exit Form Received]="Yes",1,0)</f>
        <v>0</v>
      </c>
      <c r="ER328" s="44">
        <f>+Table1[[#This Row],[Data Leavers Date]]+Table1[[#This Row],[Data Exit Forms]]</f>
        <v>0</v>
      </c>
      <c r="ES328" s="44" t="str">
        <f>IF(Table1[Data Leavers Date]=1000,SUM(Table1[Leaving Date]-Table1[Start Date]),"")</f>
        <v/>
      </c>
      <c r="ET328" s="44" t="str">
        <f>IF(Table1[Data Leavers Date]=2000,SUM(Table1[Leaving Date]-Table1[Start Date]),"")</f>
        <v/>
      </c>
      <c r="EU328" s="44" t="str">
        <f>IF(Table1[Data Leavers Date]=3000,SUM(Table1[Leaving Date]-Table1[Start Date]),"")</f>
        <v/>
      </c>
      <c r="EV328" s="44" t="str">
        <f>IF(Table1[Data Leavers Date]=4000,SUM(Table1[Leaving Date]-Table1[Start Date]),"")</f>
        <v/>
      </c>
      <c r="EW328" s="44" t="str">
        <f>IF(Table1[Data Leavers Date]=5000,SUM(Table1[Leaving Date]-Table1[Start Date]),"")</f>
        <v/>
      </c>
      <c r="EX328" s="44" t="str">
        <f>IF(Table1[Data Leavers Date]=6000,SUM(Table1[Leaving Date]-Table1[Start Date]),"")</f>
        <v/>
      </c>
      <c r="EY328" s="44" t="str">
        <f>IF(Table1[Data Leavers Date]=7000,SUM(Table1[Leaving Date]-Table1[Start Date]),"")</f>
        <v/>
      </c>
      <c r="EZ328" s="44" t="str">
        <f>IF(Table1[Data Leavers Date]=8000,SUM(Table1[Leaving Date]-Table1[Start Date]),"")</f>
        <v/>
      </c>
      <c r="FA328" s="44" t="str">
        <f>IF(Table1[Date of Initial Assessment]="","",IF(AND(Table1[Start Date]&gt;42094,Table1[Start Date]&lt;42461),Table1[Motivation and Taking Responsibility],""))</f>
        <v/>
      </c>
      <c r="FB328" s="44" t="str">
        <f>IF(Table1[Date of Initial Assessment]="","",IF(AND(Table1[Start Date]&gt;42094,Table1[Start Date]&lt;42461),Table1[Self-Care and Living Skills],""))</f>
        <v/>
      </c>
      <c r="FC328" s="44" t="str">
        <f>IF(Table1[Date of Initial Assessment]="","",IF(AND(Table1[Start Date]&gt;42094,Table1[Start Date]&lt;42461),Table1[Managing Money and Personal Administration],""))</f>
        <v/>
      </c>
      <c r="FD328" s="44" t="str">
        <f>IF(Table1[Date of Initial Assessment]="","",IF(AND(Table1[Start Date]&gt;42094,Table1[Start Date]&lt;42461),Table1[Social Networks and Relationships],""))</f>
        <v/>
      </c>
      <c r="FE328" s="44" t="str">
        <f>IF(Table1[Date of Initial Assessment]="","",IF(AND(Table1[Start Date]&gt;42094,Table1[Start Date]&lt;42461),Table1[Drug and Alcohol Misuse],""))</f>
        <v/>
      </c>
      <c r="FF328" s="44" t="str">
        <f>IF(Table1[Date of Initial Assessment]="","",IF(AND(Table1[Start Date]&gt;42094,Table1[Start Date]&lt;42461),Table1[Physical Health],""))</f>
        <v/>
      </c>
      <c r="FG328" s="44" t="str">
        <f>IF(Table1[Date of Initial Assessment]="","",IF(AND(Table1[Start Date]&gt;42094,Table1[Start Date]&lt;42461),Table1[Emotional and Mental Health],""))</f>
        <v/>
      </c>
      <c r="FH328" s="44" t="str">
        <f>IF(Table1[Date of Initial Assessment]="","",IF(AND(Table1[Start Date]&gt;42094,Table1[Start Date]&lt;42461),Table1[Meaningful Use of Time],""))</f>
        <v/>
      </c>
      <c r="FI328" s="44" t="str">
        <f>IF(Table1[Date of Initial Assessment]="","",IF(AND(Table1[Start Date]&gt;42094,Table1[Start Date]&lt;42461),Table1[Managing Tenancy and Accommodation],""))</f>
        <v/>
      </c>
      <c r="FJ328" s="44" t="str">
        <f>IF(Table1[Date of Initial Assessment]="","",IF(AND(Table1[Start Date]&gt;42094,Table1[Start Date]&lt;42461),Table1[Offending],""))</f>
        <v/>
      </c>
      <c r="FK328" s="44" t="str">
        <f>IF(Table1[Leaving Date]="","",IF(Table1[Date of Initial Assessment]="","",IF(AND(Table1[Leaving Date]&gt;42094,Table1[Leaving Date]&lt;42461),IF(Table1[Date of Last Assessment]="",Table1[Motivation and Taking Responsibility],Table1[Motivation and Taking Responsibility2]),"")))</f>
        <v/>
      </c>
      <c r="FL328" s="44" t="str">
        <f>IF(Table1[Leaving Date]="","",IF(Table1[Date of Initial Assessment]="","",IF(AND(Table1[Leaving Date]&gt;42094,Table1[Leaving Date]&lt;42461),IF(Table1[Date of Last Assessment]="",Table1[Self-Care and Living Skills],Table1[Self-Care and Living Skills2]),"")))</f>
        <v/>
      </c>
      <c r="FM328" s="44" t="str">
        <f>IF(Table1[Leaving Date]="","",IF(Table1[Date of Initial Assessment]="","",IF(AND(Table1[Leaving Date]&gt;42094,Table1[Leaving Date]&lt;42461),IF(Table1[Date of Last Assessment]="",Table1[Managing Money and Personal Administration],Table1[Managing Money and Personal Administration2]),"")))</f>
        <v/>
      </c>
      <c r="FN328" s="44" t="str">
        <f>IF(Table1[Leaving Date]="","",IF(Table1[Date of Initial Assessment]="","",IF(AND(Table1[Leaving Date]&gt;42094,Table1[Leaving Date]&lt;42461),IF(Table1[Date of Last Assessment]="",Table1[Social Networks and Relationships],Table1[Social Networks and Relationships2]),"")))</f>
        <v/>
      </c>
      <c r="FO328" s="44" t="str">
        <f>IF(Table1[Leaving Date]="","",IF(Table1[Date of Initial Assessment]="","",IF(AND(Table1[Leaving Date]&gt;42094,Table1[Leaving Date]&lt;42461),IF(Table1[Date of Last Assessment]="",Table1[Drug and Alcohol Misuse],Table1[Drug and Alcohol Misuse2]),"")))</f>
        <v/>
      </c>
      <c r="FP328" s="44" t="str">
        <f>IF(Table1[Leaving Date]="","",IF(Table1[Date of Initial Assessment]="","",IF(AND(Table1[Leaving Date]&gt;42094,Table1[Leaving Date]&lt;42461),IF(Table1[Date of Last Assessment]="",Table1[Physical Health],Table1[Physical Health2]),"")))</f>
        <v/>
      </c>
      <c r="FQ328" s="44" t="str">
        <f>IF(Table1[Leaving Date]="","",IF(Table1[Date of Initial Assessment]="","",IF(AND(Table1[Leaving Date]&gt;42094,Table1[Leaving Date]&lt;42461),IF(Table1[Date of Last Assessment]="",Table1[Emotional and Mental Health],Table1[Emotional and Mental Health2]),"")))</f>
        <v/>
      </c>
      <c r="FR328" s="44" t="str">
        <f>IF(Table1[Leaving Date]="","",IF(Table1[Date of Initial Assessment]="","",IF(AND(Table1[Leaving Date]&gt;42094,Table1[Leaving Date]&lt;42461),IF(Table1[Date of Last Assessment]="",Table1[Meaningful Use of Time],Table1[Meaningful Use of Time2]),"")))</f>
        <v/>
      </c>
      <c r="FS328" s="44" t="str">
        <f>IF(Table1[Leaving Date]="","",IF(Table1[Date of Initial Assessment]="","",IF(AND(Table1[Leaving Date]&gt;42094,Table1[Leaving Date]&lt;42461),IF(Table1[Date of Last Assessment]="",Table1[Managing Tenancy and Accommodation],Table1[Managing Tenancy and Accommodation2]),"")))</f>
        <v/>
      </c>
      <c r="FT328" s="44" t="str">
        <f>IF(Table1[Leaving Date]="","",IF(Table1[Date of Initial Assessment]="","",IF(AND(Table1[Leaving Date]&gt;42094,Table1[Leaving Date]&lt;42461),IF(Table1[Date of Last Assessment]="",Table1[Offending],Table1[Offending2]),"")))</f>
        <v/>
      </c>
      <c r="FU328" s="44" t="str">
        <f>IF(Table1[Date of Initial Assessment]="","",IF(AND(Table1[Start Date]&gt;42460,Table1[Start Date]&lt;42826),Table1[Motivation and Taking Responsibility],""))</f>
        <v/>
      </c>
      <c r="FV328" s="44" t="str">
        <f>IF(Table1[Date of Initial Assessment]="","",IF(AND(Table1[Start Date]&gt;42460,Table1[Start Date]&lt;42826),Table1[Self-Care and Living Skills],""))</f>
        <v/>
      </c>
      <c r="FW328" s="44" t="str">
        <f>IF(Table1[Date of Initial Assessment]="","",IF(AND(Table1[Start Date]&gt;42460,Table1[Start Date]&lt;42826),Table1[Managing Money and Personal Administration],""))</f>
        <v/>
      </c>
      <c r="FX328" s="44" t="str">
        <f>IF(Table1[Date of Initial Assessment]="","",IF(AND(Table1[Start Date]&gt;42460,Table1[Start Date]&lt;42826),Table1[Social Networks and Relationships],""))</f>
        <v/>
      </c>
      <c r="FY328" s="44" t="str">
        <f>IF(Table1[Date of Initial Assessment]="","",IF(AND(Table1[Start Date]&gt;42460,Table1[Start Date]&lt;42826),Table1[Drug and Alcohol Misuse],""))</f>
        <v/>
      </c>
      <c r="FZ328" s="44" t="str">
        <f>IF(Table1[Date of Initial Assessment]="","",IF(AND(Table1[Start Date]&gt;42460,Table1[Start Date]&lt;42826),Table1[Physical Health],""))</f>
        <v/>
      </c>
      <c r="GA328" s="44" t="str">
        <f>IF(Table1[Date of Initial Assessment]="","",IF(AND(Table1[Start Date]&gt;42460,Table1[Start Date]&lt;42826),Table1[Emotional and Mental Health],""))</f>
        <v/>
      </c>
      <c r="GB328" s="44" t="str">
        <f>IF(Table1[Date of Initial Assessment]="","",IF(AND(Table1[Start Date]&gt;42460,Table1[Start Date]&lt;42826),Table1[Meaningful Use of Time],""))</f>
        <v/>
      </c>
      <c r="GC328" s="44" t="str">
        <f>IF(Table1[Date of Initial Assessment]="","",IF(AND(Table1[Start Date]&gt;42460,Table1[Start Date]&lt;42826),Table1[Managing Tenancy and Accommodation],""))</f>
        <v/>
      </c>
      <c r="GD328" s="44" t="str">
        <f>IF(Table1[Date of Initial Assessment]="","",IF(AND(Table1[Start Date]&gt;42460,Table1[Start Date]&lt;42826),Table1[Offending],""))</f>
        <v/>
      </c>
      <c r="GE328" s="44" t="str">
        <f>IF(Table1[Leaving Date]="","",IF(AND(Table1[Leaving Date]&gt;42460,Table1[Leaving Date]&lt;42826),IF(Table1[Date of Last Assessment]="",Table1[Motivation and Taking Responsibility],Table1[Motivation and Taking Responsibility2]),""))</f>
        <v/>
      </c>
      <c r="GF328" s="44" t="str">
        <f>IF(Table1[Leaving Date]="","",IF(AND(Table1[Leaving Date]&gt;42460,Table1[Leaving Date]&lt;42826),IF(Table1[Date of Last Assessment]="",Table1[Self-Care and Living Skills],Table1[Self-Care and Living Skills2]),""))</f>
        <v/>
      </c>
      <c r="GG328" s="44" t="str">
        <f>IF(Table1[Leaving Date]="","",IF(AND(Table1[Leaving Date]&gt;42460,Table1[Leaving Date]&lt;42826),IF(Table1[Date of Last Assessment]="",Table1[Managing Money and Personal Administration],Table1[Managing Money and Personal Administration2]),""))</f>
        <v/>
      </c>
      <c r="GH328" s="44" t="str">
        <f>IF(Table1[Leaving Date]="","",IF(AND(Table1[Leaving Date]&gt;42460,Table1[Leaving Date]&lt;42826),IF(Table1[Date of Last Assessment]="",Table1[Social Networks and Relationships],Table1[Social Networks and Relationships2]),""))</f>
        <v/>
      </c>
      <c r="GI328" s="44" t="str">
        <f>IF(Table1[Leaving Date]="","",IF(AND(Table1[Leaving Date]&gt;42460,Table1[Leaving Date]&lt;42826),IF(Table1[Date of Last Assessment]="",Table1[Drug and Alcohol Misuse],Table1[Drug and Alcohol Misuse2]),""))</f>
        <v/>
      </c>
      <c r="GJ328" s="44" t="str">
        <f>IF(Table1[Leaving Date]="","",IF(AND(Table1[Leaving Date]&gt;42460,Table1[Leaving Date]&lt;42826),IF(Table1[Date of Last Assessment]="",Table1[Physical Health],Table1[Physical Health2]),""))</f>
        <v/>
      </c>
      <c r="GK328" s="44" t="str">
        <f>IF(Table1[Leaving Date]="","",IF(AND(Table1[Leaving Date]&gt;42460,Table1[Leaving Date]&lt;42826),IF(Table1[Date of Last Assessment]="",Table1[Emotional and Mental Health],Table1[Emotional and Mental Health2]),""))</f>
        <v/>
      </c>
      <c r="GL328" s="44" t="str">
        <f>IF(Table1[Leaving Date]="","",IF(AND(Table1[Leaving Date]&gt;42460,Table1[Leaving Date]&lt;42826),IF(Table1[Date of Last Assessment]="",Table1[Meaningful Use of Time],Table1[Meaningful Use of Time2]),""))</f>
        <v/>
      </c>
      <c r="GM328" s="44" t="str">
        <f>IF(Table1[Leaving Date]="","",IF(AND(Table1[Leaving Date]&gt;42460,Table1[Leaving Date]&lt;42826),IF(Table1[Date of Last Assessment]="",Table1[Managing Tenancy and Accommodation],Table1[Managing Tenancy and Accommodation2]),""))</f>
        <v/>
      </c>
      <c r="GN328" s="44" t="str">
        <f>IF(Table1[Leaving Date]="","",IF(AND(Table1[Leaving Date]&gt;42460,Table1[Leaving Date]&lt;42826),IF(Table1[Date of Last Assessment]="",Table1[Offending],Table1[Offending2]),""))</f>
        <v/>
      </c>
    </row>
    <row r="329" spans="2:196" ht="20.100000000000001" customHeight="1" x14ac:dyDescent="0.2">
      <c r="B329" s="86">
        <f>+'Service Data'!$C$5:$C$5</f>
        <v>0</v>
      </c>
      <c r="C329" s="86"/>
      <c r="D329" s="86"/>
      <c r="E329" s="86"/>
      <c r="F329" s="86"/>
      <c r="G329" s="86"/>
      <c r="H329" s="6"/>
      <c r="I329" s="99" t="str">
        <f ca="1">IF(Table1[[#This Row],[Date of Birth]]="","",SUM(TODAY()-Table1[[#This Row],[Date of Birth]])/365)</f>
        <v/>
      </c>
      <c r="L329" s="86"/>
      <c r="M329" s="77"/>
      <c r="N329" s="86"/>
      <c r="O329" s="86"/>
      <c r="P329" s="91"/>
      <c r="Q329" s="86"/>
      <c r="R329" s="77"/>
      <c r="S329" s="77"/>
      <c r="T329" s="68"/>
      <c r="U329" s="68"/>
      <c r="V329" s="67"/>
      <c r="W329" s="67"/>
      <c r="X329" s="67"/>
      <c r="Y329" s="67"/>
      <c r="Z329" s="67"/>
      <c r="AA329" s="67"/>
      <c r="AB329" s="67"/>
      <c r="AC329" s="67"/>
      <c r="AD329" s="67"/>
      <c r="AE329" s="67"/>
      <c r="AF329" s="67"/>
      <c r="AG329" s="67"/>
      <c r="AH329" s="67"/>
      <c r="AI329" s="67"/>
      <c r="AJ329" s="67"/>
      <c r="AK329" s="67"/>
      <c r="AL329" s="67"/>
      <c r="AM329" s="67"/>
      <c r="AN329" s="77"/>
      <c r="AO329" s="76"/>
      <c r="AP329" s="77"/>
      <c r="AQ329" s="76"/>
      <c r="AR329" s="76"/>
      <c r="AS329" s="76"/>
      <c r="AT329" s="76"/>
      <c r="AU329" s="76"/>
      <c r="AV329" s="77"/>
      <c r="AW329" s="76"/>
      <c r="AX329" s="77"/>
      <c r="AY329" s="76"/>
      <c r="AZ329" s="76"/>
      <c r="BA329" s="76"/>
      <c r="BB329" s="76"/>
      <c r="BC329" s="76"/>
      <c r="BD329" s="77"/>
      <c r="BE329" s="76"/>
      <c r="BF329" s="77"/>
      <c r="BG329" s="76"/>
      <c r="BH329" s="76"/>
      <c r="BI329" s="76"/>
      <c r="BJ329" s="76"/>
      <c r="BK329" s="76"/>
      <c r="BL329" s="77"/>
      <c r="BM329" s="76"/>
      <c r="BN329" s="77"/>
      <c r="BO329" s="76"/>
      <c r="BP329" s="76"/>
      <c r="BQ329" s="76"/>
      <c r="BR329" s="76"/>
      <c r="BS329" s="76"/>
      <c r="BT329" s="77"/>
      <c r="BU329" s="76"/>
      <c r="BV329" s="77"/>
      <c r="BW329" s="76"/>
      <c r="BX329" s="76"/>
      <c r="BY329" s="76"/>
      <c r="BZ329" s="76"/>
      <c r="CA329" s="76"/>
      <c r="CB329" s="77"/>
      <c r="CC329" s="76"/>
      <c r="CD329" s="77"/>
      <c r="CE329" s="76"/>
      <c r="CF329" s="76"/>
      <c r="CG329" s="76"/>
      <c r="CH329" s="76"/>
      <c r="CI329" s="76"/>
      <c r="CJ329" s="77"/>
      <c r="CK329" s="76"/>
      <c r="CL329" s="77"/>
      <c r="CM329" s="76"/>
      <c r="CN329" s="76"/>
      <c r="CO329" s="76"/>
      <c r="CP329" s="76"/>
      <c r="CQ329" s="76"/>
      <c r="CR329" s="78" t="str">
        <f t="shared" si="95"/>
        <v/>
      </c>
      <c r="CS329" s="79" t="str">
        <f t="shared" si="96"/>
        <v/>
      </c>
      <c r="CT329" s="79" t="str">
        <f t="shared" si="97"/>
        <v/>
      </c>
      <c r="CU329" s="79" t="str">
        <f t="shared" si="98"/>
        <v/>
      </c>
      <c r="CV329" s="79" t="str">
        <f t="shared" si="99"/>
        <v/>
      </c>
      <c r="CW329" s="79" t="str">
        <f t="shared" si="100"/>
        <v/>
      </c>
      <c r="CX329" s="79" t="str">
        <f t="shared" si="101"/>
        <v/>
      </c>
      <c r="CY329" s="79" t="str">
        <f t="shared" si="102"/>
        <v/>
      </c>
      <c r="CZ329" s="79" t="str">
        <f t="shared" si="103"/>
        <v/>
      </c>
      <c r="DA329" s="79" t="str">
        <f t="shared" si="104"/>
        <v/>
      </c>
      <c r="DB329" s="79" t="str">
        <f t="shared" si="105"/>
        <v/>
      </c>
      <c r="DC329" s="79" t="str">
        <f t="shared" si="106"/>
        <v/>
      </c>
      <c r="DD329" s="79" t="str">
        <f t="shared" si="107"/>
        <v/>
      </c>
      <c r="DE329" s="79" t="str">
        <f t="shared" si="108"/>
        <v/>
      </c>
      <c r="DF329" s="79" t="str">
        <f t="shared" si="109"/>
        <v/>
      </c>
      <c r="DG329" s="79" t="str">
        <f t="shared" si="110"/>
        <v/>
      </c>
      <c r="DH329" s="76"/>
      <c r="DI329" s="78"/>
      <c r="DJ329" s="76"/>
      <c r="DK329" s="77"/>
      <c r="DL329" s="77"/>
      <c r="DM329" s="77"/>
      <c r="DN329" s="80"/>
      <c r="DO329" s="80"/>
      <c r="DP329" s="92" t="str">
        <f>IF(Table1[Start Date]="","",IF(Table1[Start Date]&gt;42185,"",IF(AND(Table1[Leaving Date]&gt;1,Table1[Leaving Date]&lt;42095),"",1)))</f>
        <v/>
      </c>
      <c r="DQ329" s="92" t="str">
        <f>IF(Table1[Start Date]="","",IF(Table1[Start Date]&gt;42277,"",IF(AND(Table1[Leaving Date]&gt;1,Table1[Leaving Date]&lt;42186),"",1)))</f>
        <v/>
      </c>
      <c r="DR329" s="92" t="str">
        <f>IF(Table1[Start Date]="","",IF(Table1[Start Date]&gt;42369,"",IF(AND(Table1[Leaving Date]&gt;1,Table1[Leaving Date]&lt;42278),"",1)))</f>
        <v/>
      </c>
      <c r="DS329" s="92" t="str">
        <f>IF(Table1[Start Date]="","",IF(Table1[Start Date]&gt;42460,"",IF(AND(Table1[Leaving Date]&gt;1,Table1[Leaving Date]&lt;42370),"",1)))</f>
        <v/>
      </c>
      <c r="DT329" s="92" t="str">
        <f>IF(Table1[Start Date]="","",IF(Table1[Start Date]&gt;42551,"",IF(AND(Table1[Leaving Date]&gt;1,Table1[Leaving Date]&lt;42461),"",1)))</f>
        <v/>
      </c>
      <c r="DU329" s="92" t="str">
        <f>IF(Table1[Start Date]="","",IF(Table1[Start Date]&gt;42643,"",IF(AND(Table1[Leaving Date]&gt;1,Table1[Leaving Date]&lt;42552),"",1)))</f>
        <v/>
      </c>
      <c r="DV329" s="92" t="str">
        <f>IF(Table1[Start Date]="","",IF(Table1[Start Date]&gt;42735,"",IF(AND(Table1[Leaving Date]&gt;1,Table1[Leaving Date]&lt;42644),"",1)))</f>
        <v/>
      </c>
      <c r="DW329" s="92" t="str">
        <f>IF(Table1[Start Date]="","",IF(Table1[Start Date]&gt;42825,"",IF(AND(Table1[Leaving Date]&gt;1,Table1[Leaving Date]&lt;42736),"",1)))</f>
        <v/>
      </c>
      <c r="DX329"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329" s="44" t="e">
        <f>VLOOKUP(Table1[Referral Source],Lists!$G$2:$H$20,2,FALSE)</f>
        <v>#N/A</v>
      </c>
      <c r="DZ329" s="93" t="e">
        <f>SUM(Table1[Data Referral Quarter]+Table1[Data Referral Source])</f>
        <v>#N/A</v>
      </c>
      <c r="EA329" s="44" t="b">
        <f>IF(Table1[Referral Decision]="Accepted",100,IF(Table1[Referral Decision]="Rejected by Provider",200,IF(Table1[Referral Decision]="Rejected by Applicant",300)))</f>
        <v>0</v>
      </c>
      <c r="EB329" s="44">
        <f>SUM(Table1[Data Referral Quarter]+Table1[Data Referral Decision])</f>
        <v>0</v>
      </c>
      <c r="EC329" s="44" t="b">
        <f>IF(Table1[Start Date]&gt;42735,8000,IF(Table1[Start Date]&gt;42643,7000,IF(Table1[Start Date]&gt;42551,6000,IF(Table1[Start Date]&gt;42460,5000,IF(Table1[Start Date]&gt;42369,4000,IF(Table1[Start Date]&gt;42277,3000,IF(Table1[Start Date]&gt;42185,2000,IF(Table1[Start Date]&gt;42094,1000))))))))</f>
        <v>0</v>
      </c>
      <c r="ED329" s="44" t="str">
        <f>IF(Table1[Start Date]="","",IF(Table1[Current Local Authority]="Swindon",1,"2"))</f>
        <v/>
      </c>
      <c r="EE329" s="44" t="e">
        <f>SUM(Table1[Data Start Date]+Table1[Data Local Authority])</f>
        <v>#VALUE!</v>
      </c>
      <c r="EF329" s="44">
        <f>IF(Table1[Registered with GP]="Yes",1,0)</f>
        <v>0</v>
      </c>
      <c r="EG329" s="44">
        <f>SUM(Table1[Data Start Date]+Table1[Data GP Start])</f>
        <v>0</v>
      </c>
      <c r="EH329" s="44" t="str">
        <f>IF(Table1[EET]="NEET",1,IF(Table1[EET]="Education",2,IF(Table1[EET]="Employment",2,IF(Table1[EET]="Training",2,IF(Table1[EET]="Retired",3,"")))))</f>
        <v/>
      </c>
      <c r="EI329" s="44" t="e">
        <f>Table1[Data Start Date]+Table1[Data EET Start]</f>
        <v>#VALUE!</v>
      </c>
      <c r="EJ329" s="44" t="b">
        <f>IF(Table1[Leaving Date]&gt;42735,8000,IF(Table1[Leaving Date]&gt;42643,7000,IF(Table1[Leaving Date]&gt;42551,6000,IF(Table1[Leaving Date]&gt;42460,5000,IF(Table1[Leaving Date]&gt;42369,4000,IF(Table1[Leaving Date]&gt;42277,3000,IF(Table1[Leaving Date]&gt;42185,2000,IF(Table1[Leaving Date]&gt;42094,1000))))))))</f>
        <v>0</v>
      </c>
      <c r="EK329" s="44" t="e">
        <f>VLOOKUP(Table1[Reason for Leaving],Lists!$T$2:$U$15,2,FALSE)</f>
        <v>#N/A</v>
      </c>
      <c r="EL329" s="44" t="e">
        <f>SUM(Table1[Data Leavers Date]+Table1[Data Move On])</f>
        <v>#N/A</v>
      </c>
      <c r="EM329" s="44" t="b">
        <f>IF(Table1[Registered with GP2]="Yes",1,IF(Table1[Registered with GP2]="No",0,IF(Table1[Registered with GP]="Yes",1,IF(Table1[Registered with GP]="No",0))))</f>
        <v>0</v>
      </c>
      <c r="EN329" s="44">
        <f>SUM(Table1[Data Leavers Date]+Table1[Data GP End])</f>
        <v>0</v>
      </c>
      <c r="EO329" s="44" t="str">
        <f>IF(Table1[EET2]="NEET",1,IF(Table1[EET2]="Employment",2,IF(Table1[EET2]="Education",2,IF(Table1[EET2]="Training",2,IF(Table1[EET2]="Retired",3,IF(Table1[EET]="NEET",1,IF(Table1[EET]="Employment",2,IF(Table1[EET]="Education",2,IF(Table1[EET]="Training",2,IF(Table1[EET]="Retired",3,""))))))))))</f>
        <v/>
      </c>
      <c r="EP329" s="44" t="e">
        <f>+Table1[[#This Row],[Data Leavers Date]]+Table1[[#This Row],[Data EET End]]</f>
        <v>#VALUE!</v>
      </c>
      <c r="EQ329" s="44">
        <f>IF(Table1[Exit Form Received]="Yes",1,0)</f>
        <v>0</v>
      </c>
      <c r="ER329" s="44">
        <f>+Table1[[#This Row],[Data Leavers Date]]+Table1[[#This Row],[Data Exit Forms]]</f>
        <v>0</v>
      </c>
      <c r="ES329" s="44" t="str">
        <f>IF(Table1[Data Leavers Date]=1000,SUM(Table1[Leaving Date]-Table1[Start Date]),"")</f>
        <v/>
      </c>
      <c r="ET329" s="44" t="str">
        <f>IF(Table1[Data Leavers Date]=2000,SUM(Table1[Leaving Date]-Table1[Start Date]),"")</f>
        <v/>
      </c>
      <c r="EU329" s="44" t="str">
        <f>IF(Table1[Data Leavers Date]=3000,SUM(Table1[Leaving Date]-Table1[Start Date]),"")</f>
        <v/>
      </c>
      <c r="EV329" s="44" t="str">
        <f>IF(Table1[Data Leavers Date]=4000,SUM(Table1[Leaving Date]-Table1[Start Date]),"")</f>
        <v/>
      </c>
      <c r="EW329" s="44" t="str">
        <f>IF(Table1[Data Leavers Date]=5000,SUM(Table1[Leaving Date]-Table1[Start Date]),"")</f>
        <v/>
      </c>
      <c r="EX329" s="44" t="str">
        <f>IF(Table1[Data Leavers Date]=6000,SUM(Table1[Leaving Date]-Table1[Start Date]),"")</f>
        <v/>
      </c>
      <c r="EY329" s="44" t="str">
        <f>IF(Table1[Data Leavers Date]=7000,SUM(Table1[Leaving Date]-Table1[Start Date]),"")</f>
        <v/>
      </c>
      <c r="EZ329" s="44" t="str">
        <f>IF(Table1[Data Leavers Date]=8000,SUM(Table1[Leaving Date]-Table1[Start Date]),"")</f>
        <v/>
      </c>
      <c r="FA329" s="44" t="str">
        <f>IF(Table1[Date of Initial Assessment]="","",IF(AND(Table1[Start Date]&gt;42094,Table1[Start Date]&lt;42461),Table1[Motivation and Taking Responsibility],""))</f>
        <v/>
      </c>
      <c r="FB329" s="44" t="str">
        <f>IF(Table1[Date of Initial Assessment]="","",IF(AND(Table1[Start Date]&gt;42094,Table1[Start Date]&lt;42461),Table1[Self-Care and Living Skills],""))</f>
        <v/>
      </c>
      <c r="FC329" s="44" t="str">
        <f>IF(Table1[Date of Initial Assessment]="","",IF(AND(Table1[Start Date]&gt;42094,Table1[Start Date]&lt;42461),Table1[Managing Money and Personal Administration],""))</f>
        <v/>
      </c>
      <c r="FD329" s="44" t="str">
        <f>IF(Table1[Date of Initial Assessment]="","",IF(AND(Table1[Start Date]&gt;42094,Table1[Start Date]&lt;42461),Table1[Social Networks and Relationships],""))</f>
        <v/>
      </c>
      <c r="FE329" s="44" t="str">
        <f>IF(Table1[Date of Initial Assessment]="","",IF(AND(Table1[Start Date]&gt;42094,Table1[Start Date]&lt;42461),Table1[Drug and Alcohol Misuse],""))</f>
        <v/>
      </c>
      <c r="FF329" s="44" t="str">
        <f>IF(Table1[Date of Initial Assessment]="","",IF(AND(Table1[Start Date]&gt;42094,Table1[Start Date]&lt;42461),Table1[Physical Health],""))</f>
        <v/>
      </c>
      <c r="FG329" s="44" t="str">
        <f>IF(Table1[Date of Initial Assessment]="","",IF(AND(Table1[Start Date]&gt;42094,Table1[Start Date]&lt;42461),Table1[Emotional and Mental Health],""))</f>
        <v/>
      </c>
      <c r="FH329" s="44" t="str">
        <f>IF(Table1[Date of Initial Assessment]="","",IF(AND(Table1[Start Date]&gt;42094,Table1[Start Date]&lt;42461),Table1[Meaningful Use of Time],""))</f>
        <v/>
      </c>
      <c r="FI329" s="44" t="str">
        <f>IF(Table1[Date of Initial Assessment]="","",IF(AND(Table1[Start Date]&gt;42094,Table1[Start Date]&lt;42461),Table1[Managing Tenancy and Accommodation],""))</f>
        <v/>
      </c>
      <c r="FJ329" s="44" t="str">
        <f>IF(Table1[Date of Initial Assessment]="","",IF(AND(Table1[Start Date]&gt;42094,Table1[Start Date]&lt;42461),Table1[Offending],""))</f>
        <v/>
      </c>
      <c r="FK329" s="44" t="str">
        <f>IF(Table1[Leaving Date]="","",IF(Table1[Date of Initial Assessment]="","",IF(AND(Table1[Leaving Date]&gt;42094,Table1[Leaving Date]&lt;42461),IF(Table1[Date of Last Assessment]="",Table1[Motivation and Taking Responsibility],Table1[Motivation and Taking Responsibility2]),"")))</f>
        <v/>
      </c>
      <c r="FL329" s="44" t="str">
        <f>IF(Table1[Leaving Date]="","",IF(Table1[Date of Initial Assessment]="","",IF(AND(Table1[Leaving Date]&gt;42094,Table1[Leaving Date]&lt;42461),IF(Table1[Date of Last Assessment]="",Table1[Self-Care and Living Skills],Table1[Self-Care and Living Skills2]),"")))</f>
        <v/>
      </c>
      <c r="FM329" s="44" t="str">
        <f>IF(Table1[Leaving Date]="","",IF(Table1[Date of Initial Assessment]="","",IF(AND(Table1[Leaving Date]&gt;42094,Table1[Leaving Date]&lt;42461),IF(Table1[Date of Last Assessment]="",Table1[Managing Money and Personal Administration],Table1[Managing Money and Personal Administration2]),"")))</f>
        <v/>
      </c>
      <c r="FN329" s="44" t="str">
        <f>IF(Table1[Leaving Date]="","",IF(Table1[Date of Initial Assessment]="","",IF(AND(Table1[Leaving Date]&gt;42094,Table1[Leaving Date]&lt;42461),IF(Table1[Date of Last Assessment]="",Table1[Social Networks and Relationships],Table1[Social Networks and Relationships2]),"")))</f>
        <v/>
      </c>
      <c r="FO329" s="44" t="str">
        <f>IF(Table1[Leaving Date]="","",IF(Table1[Date of Initial Assessment]="","",IF(AND(Table1[Leaving Date]&gt;42094,Table1[Leaving Date]&lt;42461),IF(Table1[Date of Last Assessment]="",Table1[Drug and Alcohol Misuse],Table1[Drug and Alcohol Misuse2]),"")))</f>
        <v/>
      </c>
      <c r="FP329" s="44" t="str">
        <f>IF(Table1[Leaving Date]="","",IF(Table1[Date of Initial Assessment]="","",IF(AND(Table1[Leaving Date]&gt;42094,Table1[Leaving Date]&lt;42461),IF(Table1[Date of Last Assessment]="",Table1[Physical Health],Table1[Physical Health2]),"")))</f>
        <v/>
      </c>
      <c r="FQ329" s="44" t="str">
        <f>IF(Table1[Leaving Date]="","",IF(Table1[Date of Initial Assessment]="","",IF(AND(Table1[Leaving Date]&gt;42094,Table1[Leaving Date]&lt;42461),IF(Table1[Date of Last Assessment]="",Table1[Emotional and Mental Health],Table1[Emotional and Mental Health2]),"")))</f>
        <v/>
      </c>
      <c r="FR329" s="44" t="str">
        <f>IF(Table1[Leaving Date]="","",IF(Table1[Date of Initial Assessment]="","",IF(AND(Table1[Leaving Date]&gt;42094,Table1[Leaving Date]&lt;42461),IF(Table1[Date of Last Assessment]="",Table1[Meaningful Use of Time],Table1[Meaningful Use of Time2]),"")))</f>
        <v/>
      </c>
      <c r="FS329" s="44" t="str">
        <f>IF(Table1[Leaving Date]="","",IF(Table1[Date of Initial Assessment]="","",IF(AND(Table1[Leaving Date]&gt;42094,Table1[Leaving Date]&lt;42461),IF(Table1[Date of Last Assessment]="",Table1[Managing Tenancy and Accommodation],Table1[Managing Tenancy and Accommodation2]),"")))</f>
        <v/>
      </c>
      <c r="FT329" s="44" t="str">
        <f>IF(Table1[Leaving Date]="","",IF(Table1[Date of Initial Assessment]="","",IF(AND(Table1[Leaving Date]&gt;42094,Table1[Leaving Date]&lt;42461),IF(Table1[Date of Last Assessment]="",Table1[Offending],Table1[Offending2]),"")))</f>
        <v/>
      </c>
      <c r="FU329" s="44" t="str">
        <f>IF(Table1[Date of Initial Assessment]="","",IF(AND(Table1[Start Date]&gt;42460,Table1[Start Date]&lt;42826),Table1[Motivation and Taking Responsibility],""))</f>
        <v/>
      </c>
      <c r="FV329" s="44" t="str">
        <f>IF(Table1[Date of Initial Assessment]="","",IF(AND(Table1[Start Date]&gt;42460,Table1[Start Date]&lt;42826),Table1[Self-Care and Living Skills],""))</f>
        <v/>
      </c>
      <c r="FW329" s="44" t="str">
        <f>IF(Table1[Date of Initial Assessment]="","",IF(AND(Table1[Start Date]&gt;42460,Table1[Start Date]&lt;42826),Table1[Managing Money and Personal Administration],""))</f>
        <v/>
      </c>
      <c r="FX329" s="44" t="str">
        <f>IF(Table1[Date of Initial Assessment]="","",IF(AND(Table1[Start Date]&gt;42460,Table1[Start Date]&lt;42826),Table1[Social Networks and Relationships],""))</f>
        <v/>
      </c>
      <c r="FY329" s="44" t="str">
        <f>IF(Table1[Date of Initial Assessment]="","",IF(AND(Table1[Start Date]&gt;42460,Table1[Start Date]&lt;42826),Table1[Drug and Alcohol Misuse],""))</f>
        <v/>
      </c>
      <c r="FZ329" s="44" t="str">
        <f>IF(Table1[Date of Initial Assessment]="","",IF(AND(Table1[Start Date]&gt;42460,Table1[Start Date]&lt;42826),Table1[Physical Health],""))</f>
        <v/>
      </c>
      <c r="GA329" s="44" t="str">
        <f>IF(Table1[Date of Initial Assessment]="","",IF(AND(Table1[Start Date]&gt;42460,Table1[Start Date]&lt;42826),Table1[Emotional and Mental Health],""))</f>
        <v/>
      </c>
      <c r="GB329" s="44" t="str">
        <f>IF(Table1[Date of Initial Assessment]="","",IF(AND(Table1[Start Date]&gt;42460,Table1[Start Date]&lt;42826),Table1[Meaningful Use of Time],""))</f>
        <v/>
      </c>
      <c r="GC329" s="44" t="str">
        <f>IF(Table1[Date of Initial Assessment]="","",IF(AND(Table1[Start Date]&gt;42460,Table1[Start Date]&lt;42826),Table1[Managing Tenancy and Accommodation],""))</f>
        <v/>
      </c>
      <c r="GD329" s="44" t="str">
        <f>IF(Table1[Date of Initial Assessment]="","",IF(AND(Table1[Start Date]&gt;42460,Table1[Start Date]&lt;42826),Table1[Offending],""))</f>
        <v/>
      </c>
      <c r="GE329" s="44" t="str">
        <f>IF(Table1[Leaving Date]="","",IF(AND(Table1[Leaving Date]&gt;42460,Table1[Leaving Date]&lt;42826),IF(Table1[Date of Last Assessment]="",Table1[Motivation and Taking Responsibility],Table1[Motivation and Taking Responsibility2]),""))</f>
        <v/>
      </c>
      <c r="GF329" s="44" t="str">
        <f>IF(Table1[Leaving Date]="","",IF(AND(Table1[Leaving Date]&gt;42460,Table1[Leaving Date]&lt;42826),IF(Table1[Date of Last Assessment]="",Table1[Self-Care and Living Skills],Table1[Self-Care and Living Skills2]),""))</f>
        <v/>
      </c>
      <c r="GG329" s="44" t="str">
        <f>IF(Table1[Leaving Date]="","",IF(AND(Table1[Leaving Date]&gt;42460,Table1[Leaving Date]&lt;42826),IF(Table1[Date of Last Assessment]="",Table1[Managing Money and Personal Administration],Table1[Managing Money and Personal Administration2]),""))</f>
        <v/>
      </c>
      <c r="GH329" s="44" t="str">
        <f>IF(Table1[Leaving Date]="","",IF(AND(Table1[Leaving Date]&gt;42460,Table1[Leaving Date]&lt;42826),IF(Table1[Date of Last Assessment]="",Table1[Social Networks and Relationships],Table1[Social Networks and Relationships2]),""))</f>
        <v/>
      </c>
      <c r="GI329" s="44" t="str">
        <f>IF(Table1[Leaving Date]="","",IF(AND(Table1[Leaving Date]&gt;42460,Table1[Leaving Date]&lt;42826),IF(Table1[Date of Last Assessment]="",Table1[Drug and Alcohol Misuse],Table1[Drug and Alcohol Misuse2]),""))</f>
        <v/>
      </c>
      <c r="GJ329" s="44" t="str">
        <f>IF(Table1[Leaving Date]="","",IF(AND(Table1[Leaving Date]&gt;42460,Table1[Leaving Date]&lt;42826),IF(Table1[Date of Last Assessment]="",Table1[Physical Health],Table1[Physical Health2]),""))</f>
        <v/>
      </c>
      <c r="GK329" s="44" t="str">
        <f>IF(Table1[Leaving Date]="","",IF(AND(Table1[Leaving Date]&gt;42460,Table1[Leaving Date]&lt;42826),IF(Table1[Date of Last Assessment]="",Table1[Emotional and Mental Health],Table1[Emotional and Mental Health2]),""))</f>
        <v/>
      </c>
      <c r="GL329" s="44" t="str">
        <f>IF(Table1[Leaving Date]="","",IF(AND(Table1[Leaving Date]&gt;42460,Table1[Leaving Date]&lt;42826),IF(Table1[Date of Last Assessment]="",Table1[Meaningful Use of Time],Table1[Meaningful Use of Time2]),""))</f>
        <v/>
      </c>
      <c r="GM329" s="44" t="str">
        <f>IF(Table1[Leaving Date]="","",IF(AND(Table1[Leaving Date]&gt;42460,Table1[Leaving Date]&lt;42826),IF(Table1[Date of Last Assessment]="",Table1[Managing Tenancy and Accommodation],Table1[Managing Tenancy and Accommodation2]),""))</f>
        <v/>
      </c>
      <c r="GN329" s="44" t="str">
        <f>IF(Table1[Leaving Date]="","",IF(AND(Table1[Leaving Date]&gt;42460,Table1[Leaving Date]&lt;42826),IF(Table1[Date of Last Assessment]="",Table1[Offending],Table1[Offending2]),""))</f>
        <v/>
      </c>
    </row>
    <row r="330" spans="2:196" ht="20.100000000000001" customHeight="1" x14ac:dyDescent="0.2">
      <c r="B330" s="86">
        <f>+'Service Data'!$C$5:$C$5</f>
        <v>0</v>
      </c>
      <c r="C330" s="86"/>
      <c r="D330" s="86"/>
      <c r="E330" s="86"/>
      <c r="F330" s="86"/>
      <c r="G330" s="86"/>
      <c r="H330" s="6"/>
      <c r="I330" s="99" t="str">
        <f ca="1">IF(Table1[[#This Row],[Date of Birth]]="","",SUM(TODAY()-Table1[[#This Row],[Date of Birth]])/365)</f>
        <v/>
      </c>
      <c r="L330" s="86"/>
      <c r="M330" s="77"/>
      <c r="N330" s="86"/>
      <c r="O330" s="86"/>
      <c r="P330" s="91"/>
      <c r="Q330" s="86"/>
      <c r="R330" s="77"/>
      <c r="S330" s="77"/>
      <c r="T330" s="68"/>
      <c r="U330" s="68"/>
      <c r="V330" s="67"/>
      <c r="W330" s="67"/>
      <c r="X330" s="67"/>
      <c r="Y330" s="67"/>
      <c r="Z330" s="67"/>
      <c r="AA330" s="67"/>
      <c r="AB330" s="67"/>
      <c r="AC330" s="67"/>
      <c r="AD330" s="67"/>
      <c r="AE330" s="67"/>
      <c r="AF330" s="67"/>
      <c r="AG330" s="67"/>
      <c r="AH330" s="67"/>
      <c r="AI330" s="67"/>
      <c r="AJ330" s="67"/>
      <c r="AK330" s="67"/>
      <c r="AL330" s="67"/>
      <c r="AM330" s="67"/>
      <c r="AN330" s="77"/>
      <c r="AO330" s="76"/>
      <c r="AP330" s="77"/>
      <c r="AQ330" s="76"/>
      <c r="AR330" s="76"/>
      <c r="AS330" s="76"/>
      <c r="AT330" s="76"/>
      <c r="AU330" s="76"/>
      <c r="AV330" s="77"/>
      <c r="AW330" s="76"/>
      <c r="AX330" s="77"/>
      <c r="AY330" s="76"/>
      <c r="AZ330" s="76"/>
      <c r="BA330" s="76"/>
      <c r="BB330" s="76"/>
      <c r="BC330" s="76"/>
      <c r="BD330" s="77"/>
      <c r="BE330" s="76"/>
      <c r="BF330" s="77"/>
      <c r="BG330" s="76"/>
      <c r="BH330" s="76"/>
      <c r="BI330" s="76"/>
      <c r="BJ330" s="76"/>
      <c r="BK330" s="76"/>
      <c r="BL330" s="77"/>
      <c r="BM330" s="76"/>
      <c r="BN330" s="77"/>
      <c r="BO330" s="76"/>
      <c r="BP330" s="76"/>
      <c r="BQ330" s="76"/>
      <c r="BR330" s="76"/>
      <c r="BS330" s="76"/>
      <c r="BT330" s="77"/>
      <c r="BU330" s="76"/>
      <c r="BV330" s="77"/>
      <c r="BW330" s="76"/>
      <c r="BX330" s="76"/>
      <c r="BY330" s="76"/>
      <c r="BZ330" s="76"/>
      <c r="CA330" s="76"/>
      <c r="CB330" s="77"/>
      <c r="CC330" s="76"/>
      <c r="CD330" s="77"/>
      <c r="CE330" s="76"/>
      <c r="CF330" s="76"/>
      <c r="CG330" s="76"/>
      <c r="CH330" s="76"/>
      <c r="CI330" s="76"/>
      <c r="CJ330" s="77"/>
      <c r="CK330" s="76"/>
      <c r="CL330" s="77"/>
      <c r="CM330" s="76"/>
      <c r="CN330" s="76"/>
      <c r="CO330" s="76"/>
      <c r="CP330" s="76"/>
      <c r="CQ330" s="76"/>
      <c r="CR330" s="78" t="str">
        <f t="shared" si="95"/>
        <v/>
      </c>
      <c r="CS330" s="79" t="str">
        <f t="shared" si="96"/>
        <v/>
      </c>
      <c r="CT330" s="79" t="str">
        <f t="shared" si="97"/>
        <v/>
      </c>
      <c r="CU330" s="79" t="str">
        <f t="shared" si="98"/>
        <v/>
      </c>
      <c r="CV330" s="79" t="str">
        <f t="shared" si="99"/>
        <v/>
      </c>
      <c r="CW330" s="79" t="str">
        <f t="shared" si="100"/>
        <v/>
      </c>
      <c r="CX330" s="79" t="str">
        <f t="shared" si="101"/>
        <v/>
      </c>
      <c r="CY330" s="79" t="str">
        <f t="shared" si="102"/>
        <v/>
      </c>
      <c r="CZ330" s="79" t="str">
        <f t="shared" si="103"/>
        <v/>
      </c>
      <c r="DA330" s="79" t="str">
        <f t="shared" si="104"/>
        <v/>
      </c>
      <c r="DB330" s="79" t="str">
        <f t="shared" si="105"/>
        <v/>
      </c>
      <c r="DC330" s="79" t="str">
        <f t="shared" si="106"/>
        <v/>
      </c>
      <c r="DD330" s="79" t="str">
        <f t="shared" si="107"/>
        <v/>
      </c>
      <c r="DE330" s="79" t="str">
        <f t="shared" si="108"/>
        <v/>
      </c>
      <c r="DF330" s="79" t="str">
        <f t="shared" si="109"/>
        <v/>
      </c>
      <c r="DG330" s="79" t="str">
        <f t="shared" si="110"/>
        <v/>
      </c>
      <c r="DH330" s="76"/>
      <c r="DI330" s="78"/>
      <c r="DJ330" s="76"/>
      <c r="DK330" s="77"/>
      <c r="DL330" s="77"/>
      <c r="DM330" s="77"/>
      <c r="DN330" s="80"/>
      <c r="DO330" s="80"/>
      <c r="DP330" s="92" t="str">
        <f>IF(Table1[Start Date]="","",IF(Table1[Start Date]&gt;42185,"",IF(AND(Table1[Leaving Date]&gt;1,Table1[Leaving Date]&lt;42095),"",1)))</f>
        <v/>
      </c>
      <c r="DQ330" s="92" t="str">
        <f>IF(Table1[Start Date]="","",IF(Table1[Start Date]&gt;42277,"",IF(AND(Table1[Leaving Date]&gt;1,Table1[Leaving Date]&lt;42186),"",1)))</f>
        <v/>
      </c>
      <c r="DR330" s="92" t="str">
        <f>IF(Table1[Start Date]="","",IF(Table1[Start Date]&gt;42369,"",IF(AND(Table1[Leaving Date]&gt;1,Table1[Leaving Date]&lt;42278),"",1)))</f>
        <v/>
      </c>
      <c r="DS330" s="92" t="str">
        <f>IF(Table1[Start Date]="","",IF(Table1[Start Date]&gt;42460,"",IF(AND(Table1[Leaving Date]&gt;1,Table1[Leaving Date]&lt;42370),"",1)))</f>
        <v/>
      </c>
      <c r="DT330" s="92" t="str">
        <f>IF(Table1[Start Date]="","",IF(Table1[Start Date]&gt;42551,"",IF(AND(Table1[Leaving Date]&gt;1,Table1[Leaving Date]&lt;42461),"",1)))</f>
        <v/>
      </c>
      <c r="DU330" s="92" t="str">
        <f>IF(Table1[Start Date]="","",IF(Table1[Start Date]&gt;42643,"",IF(AND(Table1[Leaving Date]&gt;1,Table1[Leaving Date]&lt;42552),"",1)))</f>
        <v/>
      </c>
      <c r="DV330" s="92" t="str">
        <f>IF(Table1[Start Date]="","",IF(Table1[Start Date]&gt;42735,"",IF(AND(Table1[Leaving Date]&gt;1,Table1[Leaving Date]&lt;42644),"",1)))</f>
        <v/>
      </c>
      <c r="DW330" s="92" t="str">
        <f>IF(Table1[Start Date]="","",IF(Table1[Start Date]&gt;42825,"",IF(AND(Table1[Leaving Date]&gt;1,Table1[Leaving Date]&lt;42736),"",1)))</f>
        <v/>
      </c>
      <c r="DX330"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330" s="44" t="e">
        <f>VLOOKUP(Table1[Referral Source],Lists!$G$2:$H$20,2,FALSE)</f>
        <v>#N/A</v>
      </c>
      <c r="DZ330" s="93" t="e">
        <f>SUM(Table1[Data Referral Quarter]+Table1[Data Referral Source])</f>
        <v>#N/A</v>
      </c>
      <c r="EA330" s="44" t="b">
        <f>IF(Table1[Referral Decision]="Accepted",100,IF(Table1[Referral Decision]="Rejected by Provider",200,IF(Table1[Referral Decision]="Rejected by Applicant",300)))</f>
        <v>0</v>
      </c>
      <c r="EB330" s="44">
        <f>SUM(Table1[Data Referral Quarter]+Table1[Data Referral Decision])</f>
        <v>0</v>
      </c>
      <c r="EC330" s="44" t="b">
        <f>IF(Table1[Start Date]&gt;42735,8000,IF(Table1[Start Date]&gt;42643,7000,IF(Table1[Start Date]&gt;42551,6000,IF(Table1[Start Date]&gt;42460,5000,IF(Table1[Start Date]&gt;42369,4000,IF(Table1[Start Date]&gt;42277,3000,IF(Table1[Start Date]&gt;42185,2000,IF(Table1[Start Date]&gt;42094,1000))))))))</f>
        <v>0</v>
      </c>
      <c r="ED330" s="44" t="str">
        <f>IF(Table1[Start Date]="","",IF(Table1[Current Local Authority]="Swindon",1,"2"))</f>
        <v/>
      </c>
      <c r="EE330" s="44" t="e">
        <f>SUM(Table1[Data Start Date]+Table1[Data Local Authority])</f>
        <v>#VALUE!</v>
      </c>
      <c r="EF330" s="44">
        <f>IF(Table1[Registered with GP]="Yes",1,0)</f>
        <v>0</v>
      </c>
      <c r="EG330" s="44">
        <f>SUM(Table1[Data Start Date]+Table1[Data GP Start])</f>
        <v>0</v>
      </c>
      <c r="EH330" s="44" t="str">
        <f>IF(Table1[EET]="NEET",1,IF(Table1[EET]="Education",2,IF(Table1[EET]="Employment",2,IF(Table1[EET]="Training",2,IF(Table1[EET]="Retired",3,"")))))</f>
        <v/>
      </c>
      <c r="EI330" s="44" t="e">
        <f>Table1[Data Start Date]+Table1[Data EET Start]</f>
        <v>#VALUE!</v>
      </c>
      <c r="EJ330" s="44" t="b">
        <f>IF(Table1[Leaving Date]&gt;42735,8000,IF(Table1[Leaving Date]&gt;42643,7000,IF(Table1[Leaving Date]&gt;42551,6000,IF(Table1[Leaving Date]&gt;42460,5000,IF(Table1[Leaving Date]&gt;42369,4000,IF(Table1[Leaving Date]&gt;42277,3000,IF(Table1[Leaving Date]&gt;42185,2000,IF(Table1[Leaving Date]&gt;42094,1000))))))))</f>
        <v>0</v>
      </c>
      <c r="EK330" s="44" t="e">
        <f>VLOOKUP(Table1[Reason for Leaving],Lists!$T$2:$U$15,2,FALSE)</f>
        <v>#N/A</v>
      </c>
      <c r="EL330" s="44" t="e">
        <f>SUM(Table1[Data Leavers Date]+Table1[Data Move On])</f>
        <v>#N/A</v>
      </c>
      <c r="EM330" s="44" t="b">
        <f>IF(Table1[Registered with GP2]="Yes",1,IF(Table1[Registered with GP2]="No",0,IF(Table1[Registered with GP]="Yes",1,IF(Table1[Registered with GP]="No",0))))</f>
        <v>0</v>
      </c>
      <c r="EN330" s="44">
        <f>SUM(Table1[Data Leavers Date]+Table1[Data GP End])</f>
        <v>0</v>
      </c>
      <c r="EO330" s="44" t="str">
        <f>IF(Table1[EET2]="NEET",1,IF(Table1[EET2]="Employment",2,IF(Table1[EET2]="Education",2,IF(Table1[EET2]="Training",2,IF(Table1[EET2]="Retired",3,IF(Table1[EET]="NEET",1,IF(Table1[EET]="Employment",2,IF(Table1[EET]="Education",2,IF(Table1[EET]="Training",2,IF(Table1[EET]="Retired",3,""))))))))))</f>
        <v/>
      </c>
      <c r="EP330" s="44" t="e">
        <f>+Table1[[#This Row],[Data Leavers Date]]+Table1[[#This Row],[Data EET End]]</f>
        <v>#VALUE!</v>
      </c>
      <c r="EQ330" s="44">
        <f>IF(Table1[Exit Form Received]="Yes",1,0)</f>
        <v>0</v>
      </c>
      <c r="ER330" s="44">
        <f>+Table1[[#This Row],[Data Leavers Date]]+Table1[[#This Row],[Data Exit Forms]]</f>
        <v>0</v>
      </c>
      <c r="ES330" s="44" t="str">
        <f>IF(Table1[Data Leavers Date]=1000,SUM(Table1[Leaving Date]-Table1[Start Date]),"")</f>
        <v/>
      </c>
      <c r="ET330" s="44" t="str">
        <f>IF(Table1[Data Leavers Date]=2000,SUM(Table1[Leaving Date]-Table1[Start Date]),"")</f>
        <v/>
      </c>
      <c r="EU330" s="44" t="str">
        <f>IF(Table1[Data Leavers Date]=3000,SUM(Table1[Leaving Date]-Table1[Start Date]),"")</f>
        <v/>
      </c>
      <c r="EV330" s="44" t="str">
        <f>IF(Table1[Data Leavers Date]=4000,SUM(Table1[Leaving Date]-Table1[Start Date]),"")</f>
        <v/>
      </c>
      <c r="EW330" s="44" t="str">
        <f>IF(Table1[Data Leavers Date]=5000,SUM(Table1[Leaving Date]-Table1[Start Date]),"")</f>
        <v/>
      </c>
      <c r="EX330" s="44" t="str">
        <f>IF(Table1[Data Leavers Date]=6000,SUM(Table1[Leaving Date]-Table1[Start Date]),"")</f>
        <v/>
      </c>
      <c r="EY330" s="44" t="str">
        <f>IF(Table1[Data Leavers Date]=7000,SUM(Table1[Leaving Date]-Table1[Start Date]),"")</f>
        <v/>
      </c>
      <c r="EZ330" s="44" t="str">
        <f>IF(Table1[Data Leavers Date]=8000,SUM(Table1[Leaving Date]-Table1[Start Date]),"")</f>
        <v/>
      </c>
      <c r="FA330" s="44" t="str">
        <f>IF(Table1[Date of Initial Assessment]="","",IF(AND(Table1[Start Date]&gt;42094,Table1[Start Date]&lt;42461),Table1[Motivation and Taking Responsibility],""))</f>
        <v/>
      </c>
      <c r="FB330" s="44" t="str">
        <f>IF(Table1[Date of Initial Assessment]="","",IF(AND(Table1[Start Date]&gt;42094,Table1[Start Date]&lt;42461),Table1[Self-Care and Living Skills],""))</f>
        <v/>
      </c>
      <c r="FC330" s="44" t="str">
        <f>IF(Table1[Date of Initial Assessment]="","",IF(AND(Table1[Start Date]&gt;42094,Table1[Start Date]&lt;42461),Table1[Managing Money and Personal Administration],""))</f>
        <v/>
      </c>
      <c r="FD330" s="44" t="str">
        <f>IF(Table1[Date of Initial Assessment]="","",IF(AND(Table1[Start Date]&gt;42094,Table1[Start Date]&lt;42461),Table1[Social Networks and Relationships],""))</f>
        <v/>
      </c>
      <c r="FE330" s="44" t="str">
        <f>IF(Table1[Date of Initial Assessment]="","",IF(AND(Table1[Start Date]&gt;42094,Table1[Start Date]&lt;42461),Table1[Drug and Alcohol Misuse],""))</f>
        <v/>
      </c>
      <c r="FF330" s="44" t="str">
        <f>IF(Table1[Date of Initial Assessment]="","",IF(AND(Table1[Start Date]&gt;42094,Table1[Start Date]&lt;42461),Table1[Physical Health],""))</f>
        <v/>
      </c>
      <c r="FG330" s="44" t="str">
        <f>IF(Table1[Date of Initial Assessment]="","",IF(AND(Table1[Start Date]&gt;42094,Table1[Start Date]&lt;42461),Table1[Emotional and Mental Health],""))</f>
        <v/>
      </c>
      <c r="FH330" s="44" t="str">
        <f>IF(Table1[Date of Initial Assessment]="","",IF(AND(Table1[Start Date]&gt;42094,Table1[Start Date]&lt;42461),Table1[Meaningful Use of Time],""))</f>
        <v/>
      </c>
      <c r="FI330" s="44" t="str">
        <f>IF(Table1[Date of Initial Assessment]="","",IF(AND(Table1[Start Date]&gt;42094,Table1[Start Date]&lt;42461),Table1[Managing Tenancy and Accommodation],""))</f>
        <v/>
      </c>
      <c r="FJ330" s="44" t="str">
        <f>IF(Table1[Date of Initial Assessment]="","",IF(AND(Table1[Start Date]&gt;42094,Table1[Start Date]&lt;42461),Table1[Offending],""))</f>
        <v/>
      </c>
      <c r="FK330" s="44" t="str">
        <f>IF(Table1[Leaving Date]="","",IF(Table1[Date of Initial Assessment]="","",IF(AND(Table1[Leaving Date]&gt;42094,Table1[Leaving Date]&lt;42461),IF(Table1[Date of Last Assessment]="",Table1[Motivation and Taking Responsibility],Table1[Motivation and Taking Responsibility2]),"")))</f>
        <v/>
      </c>
      <c r="FL330" s="44" t="str">
        <f>IF(Table1[Leaving Date]="","",IF(Table1[Date of Initial Assessment]="","",IF(AND(Table1[Leaving Date]&gt;42094,Table1[Leaving Date]&lt;42461),IF(Table1[Date of Last Assessment]="",Table1[Self-Care and Living Skills],Table1[Self-Care and Living Skills2]),"")))</f>
        <v/>
      </c>
      <c r="FM330" s="44" t="str">
        <f>IF(Table1[Leaving Date]="","",IF(Table1[Date of Initial Assessment]="","",IF(AND(Table1[Leaving Date]&gt;42094,Table1[Leaving Date]&lt;42461),IF(Table1[Date of Last Assessment]="",Table1[Managing Money and Personal Administration],Table1[Managing Money and Personal Administration2]),"")))</f>
        <v/>
      </c>
      <c r="FN330" s="44" t="str">
        <f>IF(Table1[Leaving Date]="","",IF(Table1[Date of Initial Assessment]="","",IF(AND(Table1[Leaving Date]&gt;42094,Table1[Leaving Date]&lt;42461),IF(Table1[Date of Last Assessment]="",Table1[Social Networks and Relationships],Table1[Social Networks and Relationships2]),"")))</f>
        <v/>
      </c>
      <c r="FO330" s="44" t="str">
        <f>IF(Table1[Leaving Date]="","",IF(Table1[Date of Initial Assessment]="","",IF(AND(Table1[Leaving Date]&gt;42094,Table1[Leaving Date]&lt;42461),IF(Table1[Date of Last Assessment]="",Table1[Drug and Alcohol Misuse],Table1[Drug and Alcohol Misuse2]),"")))</f>
        <v/>
      </c>
      <c r="FP330" s="44" t="str">
        <f>IF(Table1[Leaving Date]="","",IF(Table1[Date of Initial Assessment]="","",IF(AND(Table1[Leaving Date]&gt;42094,Table1[Leaving Date]&lt;42461),IF(Table1[Date of Last Assessment]="",Table1[Physical Health],Table1[Physical Health2]),"")))</f>
        <v/>
      </c>
      <c r="FQ330" s="44" t="str">
        <f>IF(Table1[Leaving Date]="","",IF(Table1[Date of Initial Assessment]="","",IF(AND(Table1[Leaving Date]&gt;42094,Table1[Leaving Date]&lt;42461),IF(Table1[Date of Last Assessment]="",Table1[Emotional and Mental Health],Table1[Emotional and Mental Health2]),"")))</f>
        <v/>
      </c>
      <c r="FR330" s="44" t="str">
        <f>IF(Table1[Leaving Date]="","",IF(Table1[Date of Initial Assessment]="","",IF(AND(Table1[Leaving Date]&gt;42094,Table1[Leaving Date]&lt;42461),IF(Table1[Date of Last Assessment]="",Table1[Meaningful Use of Time],Table1[Meaningful Use of Time2]),"")))</f>
        <v/>
      </c>
      <c r="FS330" s="44" t="str">
        <f>IF(Table1[Leaving Date]="","",IF(Table1[Date of Initial Assessment]="","",IF(AND(Table1[Leaving Date]&gt;42094,Table1[Leaving Date]&lt;42461),IF(Table1[Date of Last Assessment]="",Table1[Managing Tenancy and Accommodation],Table1[Managing Tenancy and Accommodation2]),"")))</f>
        <v/>
      </c>
      <c r="FT330" s="44" t="str">
        <f>IF(Table1[Leaving Date]="","",IF(Table1[Date of Initial Assessment]="","",IF(AND(Table1[Leaving Date]&gt;42094,Table1[Leaving Date]&lt;42461),IF(Table1[Date of Last Assessment]="",Table1[Offending],Table1[Offending2]),"")))</f>
        <v/>
      </c>
      <c r="FU330" s="44" t="str">
        <f>IF(Table1[Date of Initial Assessment]="","",IF(AND(Table1[Start Date]&gt;42460,Table1[Start Date]&lt;42826),Table1[Motivation and Taking Responsibility],""))</f>
        <v/>
      </c>
      <c r="FV330" s="44" t="str">
        <f>IF(Table1[Date of Initial Assessment]="","",IF(AND(Table1[Start Date]&gt;42460,Table1[Start Date]&lt;42826),Table1[Self-Care and Living Skills],""))</f>
        <v/>
      </c>
      <c r="FW330" s="44" t="str">
        <f>IF(Table1[Date of Initial Assessment]="","",IF(AND(Table1[Start Date]&gt;42460,Table1[Start Date]&lt;42826),Table1[Managing Money and Personal Administration],""))</f>
        <v/>
      </c>
      <c r="FX330" s="44" t="str">
        <f>IF(Table1[Date of Initial Assessment]="","",IF(AND(Table1[Start Date]&gt;42460,Table1[Start Date]&lt;42826),Table1[Social Networks and Relationships],""))</f>
        <v/>
      </c>
      <c r="FY330" s="44" t="str">
        <f>IF(Table1[Date of Initial Assessment]="","",IF(AND(Table1[Start Date]&gt;42460,Table1[Start Date]&lt;42826),Table1[Drug and Alcohol Misuse],""))</f>
        <v/>
      </c>
      <c r="FZ330" s="44" t="str">
        <f>IF(Table1[Date of Initial Assessment]="","",IF(AND(Table1[Start Date]&gt;42460,Table1[Start Date]&lt;42826),Table1[Physical Health],""))</f>
        <v/>
      </c>
      <c r="GA330" s="44" t="str">
        <f>IF(Table1[Date of Initial Assessment]="","",IF(AND(Table1[Start Date]&gt;42460,Table1[Start Date]&lt;42826),Table1[Emotional and Mental Health],""))</f>
        <v/>
      </c>
      <c r="GB330" s="44" t="str">
        <f>IF(Table1[Date of Initial Assessment]="","",IF(AND(Table1[Start Date]&gt;42460,Table1[Start Date]&lt;42826),Table1[Meaningful Use of Time],""))</f>
        <v/>
      </c>
      <c r="GC330" s="44" t="str">
        <f>IF(Table1[Date of Initial Assessment]="","",IF(AND(Table1[Start Date]&gt;42460,Table1[Start Date]&lt;42826),Table1[Managing Tenancy and Accommodation],""))</f>
        <v/>
      </c>
      <c r="GD330" s="44" t="str">
        <f>IF(Table1[Date of Initial Assessment]="","",IF(AND(Table1[Start Date]&gt;42460,Table1[Start Date]&lt;42826),Table1[Offending],""))</f>
        <v/>
      </c>
      <c r="GE330" s="44" t="str">
        <f>IF(Table1[Leaving Date]="","",IF(AND(Table1[Leaving Date]&gt;42460,Table1[Leaving Date]&lt;42826),IF(Table1[Date of Last Assessment]="",Table1[Motivation and Taking Responsibility],Table1[Motivation and Taking Responsibility2]),""))</f>
        <v/>
      </c>
      <c r="GF330" s="44" t="str">
        <f>IF(Table1[Leaving Date]="","",IF(AND(Table1[Leaving Date]&gt;42460,Table1[Leaving Date]&lt;42826),IF(Table1[Date of Last Assessment]="",Table1[Self-Care and Living Skills],Table1[Self-Care and Living Skills2]),""))</f>
        <v/>
      </c>
      <c r="GG330" s="44" t="str">
        <f>IF(Table1[Leaving Date]="","",IF(AND(Table1[Leaving Date]&gt;42460,Table1[Leaving Date]&lt;42826),IF(Table1[Date of Last Assessment]="",Table1[Managing Money and Personal Administration],Table1[Managing Money and Personal Administration2]),""))</f>
        <v/>
      </c>
      <c r="GH330" s="44" t="str">
        <f>IF(Table1[Leaving Date]="","",IF(AND(Table1[Leaving Date]&gt;42460,Table1[Leaving Date]&lt;42826),IF(Table1[Date of Last Assessment]="",Table1[Social Networks and Relationships],Table1[Social Networks and Relationships2]),""))</f>
        <v/>
      </c>
      <c r="GI330" s="44" t="str">
        <f>IF(Table1[Leaving Date]="","",IF(AND(Table1[Leaving Date]&gt;42460,Table1[Leaving Date]&lt;42826),IF(Table1[Date of Last Assessment]="",Table1[Drug and Alcohol Misuse],Table1[Drug and Alcohol Misuse2]),""))</f>
        <v/>
      </c>
      <c r="GJ330" s="44" t="str">
        <f>IF(Table1[Leaving Date]="","",IF(AND(Table1[Leaving Date]&gt;42460,Table1[Leaving Date]&lt;42826),IF(Table1[Date of Last Assessment]="",Table1[Physical Health],Table1[Physical Health2]),""))</f>
        <v/>
      </c>
      <c r="GK330" s="44" t="str">
        <f>IF(Table1[Leaving Date]="","",IF(AND(Table1[Leaving Date]&gt;42460,Table1[Leaving Date]&lt;42826),IF(Table1[Date of Last Assessment]="",Table1[Emotional and Mental Health],Table1[Emotional and Mental Health2]),""))</f>
        <v/>
      </c>
      <c r="GL330" s="44" t="str">
        <f>IF(Table1[Leaving Date]="","",IF(AND(Table1[Leaving Date]&gt;42460,Table1[Leaving Date]&lt;42826),IF(Table1[Date of Last Assessment]="",Table1[Meaningful Use of Time],Table1[Meaningful Use of Time2]),""))</f>
        <v/>
      </c>
      <c r="GM330" s="44" t="str">
        <f>IF(Table1[Leaving Date]="","",IF(AND(Table1[Leaving Date]&gt;42460,Table1[Leaving Date]&lt;42826),IF(Table1[Date of Last Assessment]="",Table1[Managing Tenancy and Accommodation],Table1[Managing Tenancy and Accommodation2]),""))</f>
        <v/>
      </c>
      <c r="GN330" s="44" t="str">
        <f>IF(Table1[Leaving Date]="","",IF(AND(Table1[Leaving Date]&gt;42460,Table1[Leaving Date]&lt;42826),IF(Table1[Date of Last Assessment]="",Table1[Offending],Table1[Offending2]),""))</f>
        <v/>
      </c>
    </row>
    <row r="331" spans="2:196" ht="20.100000000000001" customHeight="1" x14ac:dyDescent="0.2">
      <c r="B331" s="86">
        <f>+'Service Data'!$C$5:$C$5</f>
        <v>0</v>
      </c>
      <c r="C331" s="86"/>
      <c r="D331" s="86"/>
      <c r="E331" s="86"/>
      <c r="F331" s="86"/>
      <c r="G331" s="86"/>
      <c r="H331" s="6"/>
      <c r="I331" s="99" t="str">
        <f ca="1">IF(Table1[[#This Row],[Date of Birth]]="","",SUM(TODAY()-Table1[[#This Row],[Date of Birth]])/365)</f>
        <v/>
      </c>
      <c r="L331" s="86"/>
      <c r="M331" s="77"/>
      <c r="N331" s="86"/>
      <c r="O331" s="86"/>
      <c r="P331" s="91"/>
      <c r="Q331" s="86"/>
      <c r="R331" s="77"/>
      <c r="S331" s="77"/>
      <c r="T331" s="68"/>
      <c r="U331" s="68"/>
      <c r="V331" s="67"/>
      <c r="W331" s="67"/>
      <c r="X331" s="67"/>
      <c r="Y331" s="67"/>
      <c r="Z331" s="67"/>
      <c r="AA331" s="67"/>
      <c r="AB331" s="67"/>
      <c r="AC331" s="67"/>
      <c r="AD331" s="67"/>
      <c r="AE331" s="67"/>
      <c r="AF331" s="67"/>
      <c r="AG331" s="67"/>
      <c r="AH331" s="67"/>
      <c r="AI331" s="67"/>
      <c r="AJ331" s="67"/>
      <c r="AK331" s="67"/>
      <c r="AL331" s="67"/>
      <c r="AM331" s="67"/>
      <c r="AN331" s="77"/>
      <c r="AO331" s="76"/>
      <c r="AP331" s="77"/>
      <c r="AQ331" s="76"/>
      <c r="AR331" s="76"/>
      <c r="AS331" s="76"/>
      <c r="AT331" s="76"/>
      <c r="AU331" s="76"/>
      <c r="AV331" s="77"/>
      <c r="AW331" s="76"/>
      <c r="AX331" s="77"/>
      <c r="AY331" s="76"/>
      <c r="AZ331" s="76"/>
      <c r="BA331" s="76"/>
      <c r="BB331" s="76"/>
      <c r="BC331" s="76"/>
      <c r="BD331" s="77"/>
      <c r="BE331" s="76"/>
      <c r="BF331" s="77"/>
      <c r="BG331" s="76"/>
      <c r="BH331" s="76"/>
      <c r="BI331" s="76"/>
      <c r="BJ331" s="76"/>
      <c r="BK331" s="76"/>
      <c r="BL331" s="77"/>
      <c r="BM331" s="76"/>
      <c r="BN331" s="77"/>
      <c r="BO331" s="76"/>
      <c r="BP331" s="76"/>
      <c r="BQ331" s="76"/>
      <c r="BR331" s="76"/>
      <c r="BS331" s="76"/>
      <c r="BT331" s="77"/>
      <c r="BU331" s="76"/>
      <c r="BV331" s="77"/>
      <c r="BW331" s="76"/>
      <c r="BX331" s="76"/>
      <c r="BY331" s="76"/>
      <c r="BZ331" s="76"/>
      <c r="CA331" s="76"/>
      <c r="CB331" s="77"/>
      <c r="CC331" s="76"/>
      <c r="CD331" s="77"/>
      <c r="CE331" s="76"/>
      <c r="CF331" s="76"/>
      <c r="CG331" s="76"/>
      <c r="CH331" s="76"/>
      <c r="CI331" s="76"/>
      <c r="CJ331" s="77"/>
      <c r="CK331" s="76"/>
      <c r="CL331" s="77"/>
      <c r="CM331" s="76"/>
      <c r="CN331" s="76"/>
      <c r="CO331" s="76"/>
      <c r="CP331" s="76"/>
      <c r="CQ331" s="76"/>
      <c r="CR331" s="78" t="str">
        <f t="shared" si="95"/>
        <v/>
      </c>
      <c r="CS331" s="79" t="str">
        <f t="shared" si="96"/>
        <v/>
      </c>
      <c r="CT331" s="79" t="str">
        <f t="shared" si="97"/>
        <v/>
      </c>
      <c r="CU331" s="79" t="str">
        <f t="shared" si="98"/>
        <v/>
      </c>
      <c r="CV331" s="79" t="str">
        <f t="shared" si="99"/>
        <v/>
      </c>
      <c r="CW331" s="79" t="str">
        <f t="shared" si="100"/>
        <v/>
      </c>
      <c r="CX331" s="79" t="str">
        <f t="shared" si="101"/>
        <v/>
      </c>
      <c r="CY331" s="79" t="str">
        <f t="shared" si="102"/>
        <v/>
      </c>
      <c r="CZ331" s="79" t="str">
        <f t="shared" si="103"/>
        <v/>
      </c>
      <c r="DA331" s="79" t="str">
        <f t="shared" si="104"/>
        <v/>
      </c>
      <c r="DB331" s="79" t="str">
        <f t="shared" si="105"/>
        <v/>
      </c>
      <c r="DC331" s="79" t="str">
        <f t="shared" si="106"/>
        <v/>
      </c>
      <c r="DD331" s="79" t="str">
        <f t="shared" si="107"/>
        <v/>
      </c>
      <c r="DE331" s="79" t="str">
        <f t="shared" si="108"/>
        <v/>
      </c>
      <c r="DF331" s="79" t="str">
        <f t="shared" si="109"/>
        <v/>
      </c>
      <c r="DG331" s="79" t="str">
        <f t="shared" si="110"/>
        <v/>
      </c>
      <c r="DH331" s="76"/>
      <c r="DI331" s="78"/>
      <c r="DJ331" s="76"/>
      <c r="DK331" s="77"/>
      <c r="DL331" s="77"/>
      <c r="DM331" s="77"/>
      <c r="DN331" s="80"/>
      <c r="DO331" s="80"/>
      <c r="DP331" s="92" t="str">
        <f>IF(Table1[Start Date]="","",IF(Table1[Start Date]&gt;42185,"",IF(AND(Table1[Leaving Date]&gt;1,Table1[Leaving Date]&lt;42095),"",1)))</f>
        <v/>
      </c>
      <c r="DQ331" s="92" t="str">
        <f>IF(Table1[Start Date]="","",IF(Table1[Start Date]&gt;42277,"",IF(AND(Table1[Leaving Date]&gt;1,Table1[Leaving Date]&lt;42186),"",1)))</f>
        <v/>
      </c>
      <c r="DR331" s="92" t="str">
        <f>IF(Table1[Start Date]="","",IF(Table1[Start Date]&gt;42369,"",IF(AND(Table1[Leaving Date]&gt;1,Table1[Leaving Date]&lt;42278),"",1)))</f>
        <v/>
      </c>
      <c r="DS331" s="92" t="str">
        <f>IF(Table1[Start Date]="","",IF(Table1[Start Date]&gt;42460,"",IF(AND(Table1[Leaving Date]&gt;1,Table1[Leaving Date]&lt;42370),"",1)))</f>
        <v/>
      </c>
      <c r="DT331" s="92" t="str">
        <f>IF(Table1[Start Date]="","",IF(Table1[Start Date]&gt;42551,"",IF(AND(Table1[Leaving Date]&gt;1,Table1[Leaving Date]&lt;42461),"",1)))</f>
        <v/>
      </c>
      <c r="DU331" s="92" t="str">
        <f>IF(Table1[Start Date]="","",IF(Table1[Start Date]&gt;42643,"",IF(AND(Table1[Leaving Date]&gt;1,Table1[Leaving Date]&lt;42552),"",1)))</f>
        <v/>
      </c>
      <c r="DV331" s="92" t="str">
        <f>IF(Table1[Start Date]="","",IF(Table1[Start Date]&gt;42735,"",IF(AND(Table1[Leaving Date]&gt;1,Table1[Leaving Date]&lt;42644),"",1)))</f>
        <v/>
      </c>
      <c r="DW331" s="92" t="str">
        <f>IF(Table1[Start Date]="","",IF(Table1[Start Date]&gt;42825,"",IF(AND(Table1[Leaving Date]&gt;1,Table1[Leaving Date]&lt;42736),"",1)))</f>
        <v/>
      </c>
      <c r="DX331"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331" s="44" t="e">
        <f>VLOOKUP(Table1[Referral Source],Lists!$G$2:$H$20,2,FALSE)</f>
        <v>#N/A</v>
      </c>
      <c r="DZ331" s="93" t="e">
        <f>SUM(Table1[Data Referral Quarter]+Table1[Data Referral Source])</f>
        <v>#N/A</v>
      </c>
      <c r="EA331" s="44" t="b">
        <f>IF(Table1[Referral Decision]="Accepted",100,IF(Table1[Referral Decision]="Rejected by Provider",200,IF(Table1[Referral Decision]="Rejected by Applicant",300)))</f>
        <v>0</v>
      </c>
      <c r="EB331" s="44">
        <f>SUM(Table1[Data Referral Quarter]+Table1[Data Referral Decision])</f>
        <v>0</v>
      </c>
      <c r="EC331" s="44" t="b">
        <f>IF(Table1[Start Date]&gt;42735,8000,IF(Table1[Start Date]&gt;42643,7000,IF(Table1[Start Date]&gt;42551,6000,IF(Table1[Start Date]&gt;42460,5000,IF(Table1[Start Date]&gt;42369,4000,IF(Table1[Start Date]&gt;42277,3000,IF(Table1[Start Date]&gt;42185,2000,IF(Table1[Start Date]&gt;42094,1000))))))))</f>
        <v>0</v>
      </c>
      <c r="ED331" s="44" t="str">
        <f>IF(Table1[Start Date]="","",IF(Table1[Current Local Authority]="Swindon",1,"2"))</f>
        <v/>
      </c>
      <c r="EE331" s="44" t="e">
        <f>SUM(Table1[Data Start Date]+Table1[Data Local Authority])</f>
        <v>#VALUE!</v>
      </c>
      <c r="EF331" s="44">
        <f>IF(Table1[Registered with GP]="Yes",1,0)</f>
        <v>0</v>
      </c>
      <c r="EG331" s="44">
        <f>SUM(Table1[Data Start Date]+Table1[Data GP Start])</f>
        <v>0</v>
      </c>
      <c r="EH331" s="44" t="str">
        <f>IF(Table1[EET]="NEET",1,IF(Table1[EET]="Education",2,IF(Table1[EET]="Employment",2,IF(Table1[EET]="Training",2,IF(Table1[EET]="Retired",3,"")))))</f>
        <v/>
      </c>
      <c r="EI331" s="44" t="e">
        <f>Table1[Data Start Date]+Table1[Data EET Start]</f>
        <v>#VALUE!</v>
      </c>
      <c r="EJ331" s="44" t="b">
        <f>IF(Table1[Leaving Date]&gt;42735,8000,IF(Table1[Leaving Date]&gt;42643,7000,IF(Table1[Leaving Date]&gt;42551,6000,IF(Table1[Leaving Date]&gt;42460,5000,IF(Table1[Leaving Date]&gt;42369,4000,IF(Table1[Leaving Date]&gt;42277,3000,IF(Table1[Leaving Date]&gt;42185,2000,IF(Table1[Leaving Date]&gt;42094,1000))))))))</f>
        <v>0</v>
      </c>
      <c r="EK331" s="44" t="e">
        <f>VLOOKUP(Table1[Reason for Leaving],Lists!$T$2:$U$15,2,FALSE)</f>
        <v>#N/A</v>
      </c>
      <c r="EL331" s="44" t="e">
        <f>SUM(Table1[Data Leavers Date]+Table1[Data Move On])</f>
        <v>#N/A</v>
      </c>
      <c r="EM331" s="44" t="b">
        <f>IF(Table1[Registered with GP2]="Yes",1,IF(Table1[Registered with GP2]="No",0,IF(Table1[Registered with GP]="Yes",1,IF(Table1[Registered with GP]="No",0))))</f>
        <v>0</v>
      </c>
      <c r="EN331" s="44">
        <f>SUM(Table1[Data Leavers Date]+Table1[Data GP End])</f>
        <v>0</v>
      </c>
      <c r="EO331" s="44" t="str">
        <f>IF(Table1[EET2]="NEET",1,IF(Table1[EET2]="Employment",2,IF(Table1[EET2]="Education",2,IF(Table1[EET2]="Training",2,IF(Table1[EET2]="Retired",3,IF(Table1[EET]="NEET",1,IF(Table1[EET]="Employment",2,IF(Table1[EET]="Education",2,IF(Table1[EET]="Training",2,IF(Table1[EET]="Retired",3,""))))))))))</f>
        <v/>
      </c>
      <c r="EP331" s="44" t="e">
        <f>+Table1[[#This Row],[Data Leavers Date]]+Table1[[#This Row],[Data EET End]]</f>
        <v>#VALUE!</v>
      </c>
      <c r="EQ331" s="44">
        <f>IF(Table1[Exit Form Received]="Yes",1,0)</f>
        <v>0</v>
      </c>
      <c r="ER331" s="44">
        <f>+Table1[[#This Row],[Data Leavers Date]]+Table1[[#This Row],[Data Exit Forms]]</f>
        <v>0</v>
      </c>
      <c r="ES331" s="44" t="str">
        <f>IF(Table1[Data Leavers Date]=1000,SUM(Table1[Leaving Date]-Table1[Start Date]),"")</f>
        <v/>
      </c>
      <c r="ET331" s="44" t="str">
        <f>IF(Table1[Data Leavers Date]=2000,SUM(Table1[Leaving Date]-Table1[Start Date]),"")</f>
        <v/>
      </c>
      <c r="EU331" s="44" t="str">
        <f>IF(Table1[Data Leavers Date]=3000,SUM(Table1[Leaving Date]-Table1[Start Date]),"")</f>
        <v/>
      </c>
      <c r="EV331" s="44" t="str">
        <f>IF(Table1[Data Leavers Date]=4000,SUM(Table1[Leaving Date]-Table1[Start Date]),"")</f>
        <v/>
      </c>
      <c r="EW331" s="44" t="str">
        <f>IF(Table1[Data Leavers Date]=5000,SUM(Table1[Leaving Date]-Table1[Start Date]),"")</f>
        <v/>
      </c>
      <c r="EX331" s="44" t="str">
        <f>IF(Table1[Data Leavers Date]=6000,SUM(Table1[Leaving Date]-Table1[Start Date]),"")</f>
        <v/>
      </c>
      <c r="EY331" s="44" t="str">
        <f>IF(Table1[Data Leavers Date]=7000,SUM(Table1[Leaving Date]-Table1[Start Date]),"")</f>
        <v/>
      </c>
      <c r="EZ331" s="44" t="str">
        <f>IF(Table1[Data Leavers Date]=8000,SUM(Table1[Leaving Date]-Table1[Start Date]),"")</f>
        <v/>
      </c>
      <c r="FA331" s="44" t="str">
        <f>IF(Table1[Date of Initial Assessment]="","",IF(AND(Table1[Start Date]&gt;42094,Table1[Start Date]&lt;42461),Table1[Motivation and Taking Responsibility],""))</f>
        <v/>
      </c>
      <c r="FB331" s="44" t="str">
        <f>IF(Table1[Date of Initial Assessment]="","",IF(AND(Table1[Start Date]&gt;42094,Table1[Start Date]&lt;42461),Table1[Self-Care and Living Skills],""))</f>
        <v/>
      </c>
      <c r="FC331" s="44" t="str">
        <f>IF(Table1[Date of Initial Assessment]="","",IF(AND(Table1[Start Date]&gt;42094,Table1[Start Date]&lt;42461),Table1[Managing Money and Personal Administration],""))</f>
        <v/>
      </c>
      <c r="FD331" s="44" t="str">
        <f>IF(Table1[Date of Initial Assessment]="","",IF(AND(Table1[Start Date]&gt;42094,Table1[Start Date]&lt;42461),Table1[Social Networks and Relationships],""))</f>
        <v/>
      </c>
      <c r="FE331" s="44" t="str">
        <f>IF(Table1[Date of Initial Assessment]="","",IF(AND(Table1[Start Date]&gt;42094,Table1[Start Date]&lt;42461),Table1[Drug and Alcohol Misuse],""))</f>
        <v/>
      </c>
      <c r="FF331" s="44" t="str">
        <f>IF(Table1[Date of Initial Assessment]="","",IF(AND(Table1[Start Date]&gt;42094,Table1[Start Date]&lt;42461),Table1[Physical Health],""))</f>
        <v/>
      </c>
      <c r="FG331" s="44" t="str">
        <f>IF(Table1[Date of Initial Assessment]="","",IF(AND(Table1[Start Date]&gt;42094,Table1[Start Date]&lt;42461),Table1[Emotional and Mental Health],""))</f>
        <v/>
      </c>
      <c r="FH331" s="44" t="str">
        <f>IF(Table1[Date of Initial Assessment]="","",IF(AND(Table1[Start Date]&gt;42094,Table1[Start Date]&lt;42461),Table1[Meaningful Use of Time],""))</f>
        <v/>
      </c>
      <c r="FI331" s="44" t="str">
        <f>IF(Table1[Date of Initial Assessment]="","",IF(AND(Table1[Start Date]&gt;42094,Table1[Start Date]&lt;42461),Table1[Managing Tenancy and Accommodation],""))</f>
        <v/>
      </c>
      <c r="FJ331" s="44" t="str">
        <f>IF(Table1[Date of Initial Assessment]="","",IF(AND(Table1[Start Date]&gt;42094,Table1[Start Date]&lt;42461),Table1[Offending],""))</f>
        <v/>
      </c>
      <c r="FK331" s="44" t="str">
        <f>IF(Table1[Leaving Date]="","",IF(Table1[Date of Initial Assessment]="","",IF(AND(Table1[Leaving Date]&gt;42094,Table1[Leaving Date]&lt;42461),IF(Table1[Date of Last Assessment]="",Table1[Motivation and Taking Responsibility],Table1[Motivation and Taking Responsibility2]),"")))</f>
        <v/>
      </c>
      <c r="FL331" s="44" t="str">
        <f>IF(Table1[Leaving Date]="","",IF(Table1[Date of Initial Assessment]="","",IF(AND(Table1[Leaving Date]&gt;42094,Table1[Leaving Date]&lt;42461),IF(Table1[Date of Last Assessment]="",Table1[Self-Care and Living Skills],Table1[Self-Care and Living Skills2]),"")))</f>
        <v/>
      </c>
      <c r="FM331" s="44" t="str">
        <f>IF(Table1[Leaving Date]="","",IF(Table1[Date of Initial Assessment]="","",IF(AND(Table1[Leaving Date]&gt;42094,Table1[Leaving Date]&lt;42461),IF(Table1[Date of Last Assessment]="",Table1[Managing Money and Personal Administration],Table1[Managing Money and Personal Administration2]),"")))</f>
        <v/>
      </c>
      <c r="FN331" s="44" t="str">
        <f>IF(Table1[Leaving Date]="","",IF(Table1[Date of Initial Assessment]="","",IF(AND(Table1[Leaving Date]&gt;42094,Table1[Leaving Date]&lt;42461),IF(Table1[Date of Last Assessment]="",Table1[Social Networks and Relationships],Table1[Social Networks and Relationships2]),"")))</f>
        <v/>
      </c>
      <c r="FO331" s="44" t="str">
        <f>IF(Table1[Leaving Date]="","",IF(Table1[Date of Initial Assessment]="","",IF(AND(Table1[Leaving Date]&gt;42094,Table1[Leaving Date]&lt;42461),IF(Table1[Date of Last Assessment]="",Table1[Drug and Alcohol Misuse],Table1[Drug and Alcohol Misuse2]),"")))</f>
        <v/>
      </c>
      <c r="FP331" s="44" t="str">
        <f>IF(Table1[Leaving Date]="","",IF(Table1[Date of Initial Assessment]="","",IF(AND(Table1[Leaving Date]&gt;42094,Table1[Leaving Date]&lt;42461),IF(Table1[Date of Last Assessment]="",Table1[Physical Health],Table1[Physical Health2]),"")))</f>
        <v/>
      </c>
      <c r="FQ331" s="44" t="str">
        <f>IF(Table1[Leaving Date]="","",IF(Table1[Date of Initial Assessment]="","",IF(AND(Table1[Leaving Date]&gt;42094,Table1[Leaving Date]&lt;42461),IF(Table1[Date of Last Assessment]="",Table1[Emotional and Mental Health],Table1[Emotional and Mental Health2]),"")))</f>
        <v/>
      </c>
      <c r="FR331" s="44" t="str">
        <f>IF(Table1[Leaving Date]="","",IF(Table1[Date of Initial Assessment]="","",IF(AND(Table1[Leaving Date]&gt;42094,Table1[Leaving Date]&lt;42461),IF(Table1[Date of Last Assessment]="",Table1[Meaningful Use of Time],Table1[Meaningful Use of Time2]),"")))</f>
        <v/>
      </c>
      <c r="FS331" s="44" t="str">
        <f>IF(Table1[Leaving Date]="","",IF(Table1[Date of Initial Assessment]="","",IF(AND(Table1[Leaving Date]&gt;42094,Table1[Leaving Date]&lt;42461),IF(Table1[Date of Last Assessment]="",Table1[Managing Tenancy and Accommodation],Table1[Managing Tenancy and Accommodation2]),"")))</f>
        <v/>
      </c>
      <c r="FT331" s="44" t="str">
        <f>IF(Table1[Leaving Date]="","",IF(Table1[Date of Initial Assessment]="","",IF(AND(Table1[Leaving Date]&gt;42094,Table1[Leaving Date]&lt;42461),IF(Table1[Date of Last Assessment]="",Table1[Offending],Table1[Offending2]),"")))</f>
        <v/>
      </c>
      <c r="FU331" s="44" t="str">
        <f>IF(Table1[Date of Initial Assessment]="","",IF(AND(Table1[Start Date]&gt;42460,Table1[Start Date]&lt;42826),Table1[Motivation and Taking Responsibility],""))</f>
        <v/>
      </c>
      <c r="FV331" s="44" t="str">
        <f>IF(Table1[Date of Initial Assessment]="","",IF(AND(Table1[Start Date]&gt;42460,Table1[Start Date]&lt;42826),Table1[Self-Care and Living Skills],""))</f>
        <v/>
      </c>
      <c r="FW331" s="44" t="str">
        <f>IF(Table1[Date of Initial Assessment]="","",IF(AND(Table1[Start Date]&gt;42460,Table1[Start Date]&lt;42826),Table1[Managing Money and Personal Administration],""))</f>
        <v/>
      </c>
      <c r="FX331" s="44" t="str">
        <f>IF(Table1[Date of Initial Assessment]="","",IF(AND(Table1[Start Date]&gt;42460,Table1[Start Date]&lt;42826),Table1[Social Networks and Relationships],""))</f>
        <v/>
      </c>
      <c r="FY331" s="44" t="str">
        <f>IF(Table1[Date of Initial Assessment]="","",IF(AND(Table1[Start Date]&gt;42460,Table1[Start Date]&lt;42826),Table1[Drug and Alcohol Misuse],""))</f>
        <v/>
      </c>
      <c r="FZ331" s="44" t="str">
        <f>IF(Table1[Date of Initial Assessment]="","",IF(AND(Table1[Start Date]&gt;42460,Table1[Start Date]&lt;42826),Table1[Physical Health],""))</f>
        <v/>
      </c>
      <c r="GA331" s="44" t="str">
        <f>IF(Table1[Date of Initial Assessment]="","",IF(AND(Table1[Start Date]&gt;42460,Table1[Start Date]&lt;42826),Table1[Emotional and Mental Health],""))</f>
        <v/>
      </c>
      <c r="GB331" s="44" t="str">
        <f>IF(Table1[Date of Initial Assessment]="","",IF(AND(Table1[Start Date]&gt;42460,Table1[Start Date]&lt;42826),Table1[Meaningful Use of Time],""))</f>
        <v/>
      </c>
      <c r="GC331" s="44" t="str">
        <f>IF(Table1[Date of Initial Assessment]="","",IF(AND(Table1[Start Date]&gt;42460,Table1[Start Date]&lt;42826),Table1[Managing Tenancy and Accommodation],""))</f>
        <v/>
      </c>
      <c r="GD331" s="44" t="str">
        <f>IF(Table1[Date of Initial Assessment]="","",IF(AND(Table1[Start Date]&gt;42460,Table1[Start Date]&lt;42826),Table1[Offending],""))</f>
        <v/>
      </c>
      <c r="GE331" s="44" t="str">
        <f>IF(Table1[Leaving Date]="","",IF(AND(Table1[Leaving Date]&gt;42460,Table1[Leaving Date]&lt;42826),IF(Table1[Date of Last Assessment]="",Table1[Motivation and Taking Responsibility],Table1[Motivation and Taking Responsibility2]),""))</f>
        <v/>
      </c>
      <c r="GF331" s="44" t="str">
        <f>IF(Table1[Leaving Date]="","",IF(AND(Table1[Leaving Date]&gt;42460,Table1[Leaving Date]&lt;42826),IF(Table1[Date of Last Assessment]="",Table1[Self-Care and Living Skills],Table1[Self-Care and Living Skills2]),""))</f>
        <v/>
      </c>
      <c r="GG331" s="44" t="str">
        <f>IF(Table1[Leaving Date]="","",IF(AND(Table1[Leaving Date]&gt;42460,Table1[Leaving Date]&lt;42826),IF(Table1[Date of Last Assessment]="",Table1[Managing Money and Personal Administration],Table1[Managing Money and Personal Administration2]),""))</f>
        <v/>
      </c>
      <c r="GH331" s="44" t="str">
        <f>IF(Table1[Leaving Date]="","",IF(AND(Table1[Leaving Date]&gt;42460,Table1[Leaving Date]&lt;42826),IF(Table1[Date of Last Assessment]="",Table1[Social Networks and Relationships],Table1[Social Networks and Relationships2]),""))</f>
        <v/>
      </c>
      <c r="GI331" s="44" t="str">
        <f>IF(Table1[Leaving Date]="","",IF(AND(Table1[Leaving Date]&gt;42460,Table1[Leaving Date]&lt;42826),IF(Table1[Date of Last Assessment]="",Table1[Drug and Alcohol Misuse],Table1[Drug and Alcohol Misuse2]),""))</f>
        <v/>
      </c>
      <c r="GJ331" s="44" t="str">
        <f>IF(Table1[Leaving Date]="","",IF(AND(Table1[Leaving Date]&gt;42460,Table1[Leaving Date]&lt;42826),IF(Table1[Date of Last Assessment]="",Table1[Physical Health],Table1[Physical Health2]),""))</f>
        <v/>
      </c>
      <c r="GK331" s="44" t="str">
        <f>IF(Table1[Leaving Date]="","",IF(AND(Table1[Leaving Date]&gt;42460,Table1[Leaving Date]&lt;42826),IF(Table1[Date of Last Assessment]="",Table1[Emotional and Mental Health],Table1[Emotional and Mental Health2]),""))</f>
        <v/>
      </c>
      <c r="GL331" s="44" t="str">
        <f>IF(Table1[Leaving Date]="","",IF(AND(Table1[Leaving Date]&gt;42460,Table1[Leaving Date]&lt;42826),IF(Table1[Date of Last Assessment]="",Table1[Meaningful Use of Time],Table1[Meaningful Use of Time2]),""))</f>
        <v/>
      </c>
      <c r="GM331" s="44" t="str">
        <f>IF(Table1[Leaving Date]="","",IF(AND(Table1[Leaving Date]&gt;42460,Table1[Leaving Date]&lt;42826),IF(Table1[Date of Last Assessment]="",Table1[Managing Tenancy and Accommodation],Table1[Managing Tenancy and Accommodation2]),""))</f>
        <v/>
      </c>
      <c r="GN331" s="44" t="str">
        <f>IF(Table1[Leaving Date]="","",IF(AND(Table1[Leaving Date]&gt;42460,Table1[Leaving Date]&lt;42826),IF(Table1[Date of Last Assessment]="",Table1[Offending],Table1[Offending2]),""))</f>
        <v/>
      </c>
    </row>
    <row r="332" spans="2:196" ht="20.100000000000001" customHeight="1" x14ac:dyDescent="0.2">
      <c r="B332" s="86">
        <f>+'Service Data'!$C$5:$C$5</f>
        <v>0</v>
      </c>
      <c r="C332" s="86"/>
      <c r="D332" s="86"/>
      <c r="E332" s="86"/>
      <c r="F332" s="86"/>
      <c r="G332" s="86"/>
      <c r="H332" s="6"/>
      <c r="I332" s="99" t="str">
        <f ca="1">IF(Table1[[#This Row],[Date of Birth]]="","",SUM(TODAY()-Table1[[#This Row],[Date of Birth]])/365)</f>
        <v/>
      </c>
      <c r="L332" s="86"/>
      <c r="M332" s="77"/>
      <c r="N332" s="86"/>
      <c r="O332" s="86"/>
      <c r="P332" s="91"/>
      <c r="Q332" s="86"/>
      <c r="R332" s="77"/>
      <c r="S332" s="77"/>
      <c r="T332" s="68"/>
      <c r="U332" s="68"/>
      <c r="V332" s="67"/>
      <c r="W332" s="67"/>
      <c r="X332" s="67"/>
      <c r="Y332" s="67"/>
      <c r="Z332" s="67"/>
      <c r="AA332" s="67"/>
      <c r="AB332" s="67"/>
      <c r="AC332" s="67"/>
      <c r="AD332" s="67"/>
      <c r="AE332" s="67"/>
      <c r="AF332" s="67"/>
      <c r="AG332" s="67"/>
      <c r="AH332" s="67"/>
      <c r="AI332" s="67"/>
      <c r="AJ332" s="67"/>
      <c r="AK332" s="67"/>
      <c r="AL332" s="67"/>
      <c r="AM332" s="67"/>
      <c r="AN332" s="77"/>
      <c r="AO332" s="76"/>
      <c r="AP332" s="77"/>
      <c r="AQ332" s="76"/>
      <c r="AR332" s="76"/>
      <c r="AS332" s="76"/>
      <c r="AT332" s="76"/>
      <c r="AU332" s="76"/>
      <c r="AV332" s="77"/>
      <c r="AW332" s="76"/>
      <c r="AX332" s="77"/>
      <c r="AY332" s="76"/>
      <c r="AZ332" s="76"/>
      <c r="BA332" s="76"/>
      <c r="BB332" s="76"/>
      <c r="BC332" s="76"/>
      <c r="BD332" s="77"/>
      <c r="BE332" s="76"/>
      <c r="BF332" s="77"/>
      <c r="BG332" s="76"/>
      <c r="BH332" s="76"/>
      <c r="BI332" s="76"/>
      <c r="BJ332" s="76"/>
      <c r="BK332" s="76"/>
      <c r="BL332" s="77"/>
      <c r="BM332" s="76"/>
      <c r="BN332" s="77"/>
      <c r="BO332" s="76"/>
      <c r="BP332" s="76"/>
      <c r="BQ332" s="76"/>
      <c r="BR332" s="76"/>
      <c r="BS332" s="76"/>
      <c r="BT332" s="77"/>
      <c r="BU332" s="76"/>
      <c r="BV332" s="77"/>
      <c r="BW332" s="76"/>
      <c r="BX332" s="76"/>
      <c r="BY332" s="76"/>
      <c r="BZ332" s="76"/>
      <c r="CA332" s="76"/>
      <c r="CB332" s="77"/>
      <c r="CC332" s="76"/>
      <c r="CD332" s="77"/>
      <c r="CE332" s="76"/>
      <c r="CF332" s="76"/>
      <c r="CG332" s="76"/>
      <c r="CH332" s="76"/>
      <c r="CI332" s="76"/>
      <c r="CJ332" s="77"/>
      <c r="CK332" s="76"/>
      <c r="CL332" s="77"/>
      <c r="CM332" s="76"/>
      <c r="CN332" s="76"/>
      <c r="CO332" s="76"/>
      <c r="CP332" s="76"/>
      <c r="CQ332" s="76"/>
      <c r="CR332" s="78" t="str">
        <f t="shared" si="95"/>
        <v/>
      </c>
      <c r="CS332" s="79" t="str">
        <f t="shared" si="96"/>
        <v/>
      </c>
      <c r="CT332" s="79" t="str">
        <f t="shared" si="97"/>
        <v/>
      </c>
      <c r="CU332" s="79" t="str">
        <f t="shared" si="98"/>
        <v/>
      </c>
      <c r="CV332" s="79" t="str">
        <f t="shared" si="99"/>
        <v/>
      </c>
      <c r="CW332" s="79" t="str">
        <f t="shared" si="100"/>
        <v/>
      </c>
      <c r="CX332" s="79" t="str">
        <f t="shared" si="101"/>
        <v/>
      </c>
      <c r="CY332" s="79" t="str">
        <f t="shared" si="102"/>
        <v/>
      </c>
      <c r="CZ332" s="79" t="str">
        <f t="shared" si="103"/>
        <v/>
      </c>
      <c r="DA332" s="79" t="str">
        <f t="shared" si="104"/>
        <v/>
      </c>
      <c r="DB332" s="79" t="str">
        <f t="shared" si="105"/>
        <v/>
      </c>
      <c r="DC332" s="79" t="str">
        <f t="shared" si="106"/>
        <v/>
      </c>
      <c r="DD332" s="79" t="str">
        <f t="shared" si="107"/>
        <v/>
      </c>
      <c r="DE332" s="79" t="str">
        <f t="shared" si="108"/>
        <v/>
      </c>
      <c r="DF332" s="79" t="str">
        <f t="shared" si="109"/>
        <v/>
      </c>
      <c r="DG332" s="79" t="str">
        <f t="shared" si="110"/>
        <v/>
      </c>
      <c r="DH332" s="76"/>
      <c r="DI332" s="78"/>
      <c r="DJ332" s="76"/>
      <c r="DK332" s="77"/>
      <c r="DL332" s="77"/>
      <c r="DM332" s="77"/>
      <c r="DN332" s="80"/>
      <c r="DO332" s="80"/>
      <c r="DP332" s="92" t="str">
        <f>IF(Table1[Start Date]="","",IF(Table1[Start Date]&gt;42185,"",IF(AND(Table1[Leaving Date]&gt;1,Table1[Leaving Date]&lt;42095),"",1)))</f>
        <v/>
      </c>
      <c r="DQ332" s="92" t="str">
        <f>IF(Table1[Start Date]="","",IF(Table1[Start Date]&gt;42277,"",IF(AND(Table1[Leaving Date]&gt;1,Table1[Leaving Date]&lt;42186),"",1)))</f>
        <v/>
      </c>
      <c r="DR332" s="92" t="str">
        <f>IF(Table1[Start Date]="","",IF(Table1[Start Date]&gt;42369,"",IF(AND(Table1[Leaving Date]&gt;1,Table1[Leaving Date]&lt;42278),"",1)))</f>
        <v/>
      </c>
      <c r="DS332" s="92" t="str">
        <f>IF(Table1[Start Date]="","",IF(Table1[Start Date]&gt;42460,"",IF(AND(Table1[Leaving Date]&gt;1,Table1[Leaving Date]&lt;42370),"",1)))</f>
        <v/>
      </c>
      <c r="DT332" s="92" t="str">
        <f>IF(Table1[Start Date]="","",IF(Table1[Start Date]&gt;42551,"",IF(AND(Table1[Leaving Date]&gt;1,Table1[Leaving Date]&lt;42461),"",1)))</f>
        <v/>
      </c>
      <c r="DU332" s="92" t="str">
        <f>IF(Table1[Start Date]="","",IF(Table1[Start Date]&gt;42643,"",IF(AND(Table1[Leaving Date]&gt;1,Table1[Leaving Date]&lt;42552),"",1)))</f>
        <v/>
      </c>
      <c r="DV332" s="92" t="str">
        <f>IF(Table1[Start Date]="","",IF(Table1[Start Date]&gt;42735,"",IF(AND(Table1[Leaving Date]&gt;1,Table1[Leaving Date]&lt;42644),"",1)))</f>
        <v/>
      </c>
      <c r="DW332" s="92" t="str">
        <f>IF(Table1[Start Date]="","",IF(Table1[Start Date]&gt;42825,"",IF(AND(Table1[Leaving Date]&gt;1,Table1[Leaving Date]&lt;42736),"",1)))</f>
        <v/>
      </c>
      <c r="DX332"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332" s="44" t="e">
        <f>VLOOKUP(Table1[Referral Source],Lists!$G$2:$H$20,2,FALSE)</f>
        <v>#N/A</v>
      </c>
      <c r="DZ332" s="93" t="e">
        <f>SUM(Table1[Data Referral Quarter]+Table1[Data Referral Source])</f>
        <v>#N/A</v>
      </c>
      <c r="EA332" s="44" t="b">
        <f>IF(Table1[Referral Decision]="Accepted",100,IF(Table1[Referral Decision]="Rejected by Provider",200,IF(Table1[Referral Decision]="Rejected by Applicant",300)))</f>
        <v>0</v>
      </c>
      <c r="EB332" s="44">
        <f>SUM(Table1[Data Referral Quarter]+Table1[Data Referral Decision])</f>
        <v>0</v>
      </c>
      <c r="EC332" s="44" t="b">
        <f>IF(Table1[Start Date]&gt;42735,8000,IF(Table1[Start Date]&gt;42643,7000,IF(Table1[Start Date]&gt;42551,6000,IF(Table1[Start Date]&gt;42460,5000,IF(Table1[Start Date]&gt;42369,4000,IF(Table1[Start Date]&gt;42277,3000,IF(Table1[Start Date]&gt;42185,2000,IF(Table1[Start Date]&gt;42094,1000))))))))</f>
        <v>0</v>
      </c>
      <c r="ED332" s="44" t="str">
        <f>IF(Table1[Start Date]="","",IF(Table1[Current Local Authority]="Swindon",1,"2"))</f>
        <v/>
      </c>
      <c r="EE332" s="44" t="e">
        <f>SUM(Table1[Data Start Date]+Table1[Data Local Authority])</f>
        <v>#VALUE!</v>
      </c>
      <c r="EF332" s="44">
        <f>IF(Table1[Registered with GP]="Yes",1,0)</f>
        <v>0</v>
      </c>
      <c r="EG332" s="44">
        <f>SUM(Table1[Data Start Date]+Table1[Data GP Start])</f>
        <v>0</v>
      </c>
      <c r="EH332" s="44" t="str">
        <f>IF(Table1[EET]="NEET",1,IF(Table1[EET]="Education",2,IF(Table1[EET]="Employment",2,IF(Table1[EET]="Training",2,IF(Table1[EET]="Retired",3,"")))))</f>
        <v/>
      </c>
      <c r="EI332" s="44" t="e">
        <f>Table1[Data Start Date]+Table1[Data EET Start]</f>
        <v>#VALUE!</v>
      </c>
      <c r="EJ332" s="44" t="b">
        <f>IF(Table1[Leaving Date]&gt;42735,8000,IF(Table1[Leaving Date]&gt;42643,7000,IF(Table1[Leaving Date]&gt;42551,6000,IF(Table1[Leaving Date]&gt;42460,5000,IF(Table1[Leaving Date]&gt;42369,4000,IF(Table1[Leaving Date]&gt;42277,3000,IF(Table1[Leaving Date]&gt;42185,2000,IF(Table1[Leaving Date]&gt;42094,1000))))))))</f>
        <v>0</v>
      </c>
      <c r="EK332" s="44" t="e">
        <f>VLOOKUP(Table1[Reason for Leaving],Lists!$T$2:$U$15,2,FALSE)</f>
        <v>#N/A</v>
      </c>
      <c r="EL332" s="44" t="e">
        <f>SUM(Table1[Data Leavers Date]+Table1[Data Move On])</f>
        <v>#N/A</v>
      </c>
      <c r="EM332" s="44" t="b">
        <f>IF(Table1[Registered with GP2]="Yes",1,IF(Table1[Registered with GP2]="No",0,IF(Table1[Registered with GP]="Yes",1,IF(Table1[Registered with GP]="No",0))))</f>
        <v>0</v>
      </c>
      <c r="EN332" s="44">
        <f>SUM(Table1[Data Leavers Date]+Table1[Data GP End])</f>
        <v>0</v>
      </c>
      <c r="EO332" s="44" t="str">
        <f>IF(Table1[EET2]="NEET",1,IF(Table1[EET2]="Employment",2,IF(Table1[EET2]="Education",2,IF(Table1[EET2]="Training",2,IF(Table1[EET2]="Retired",3,IF(Table1[EET]="NEET",1,IF(Table1[EET]="Employment",2,IF(Table1[EET]="Education",2,IF(Table1[EET]="Training",2,IF(Table1[EET]="Retired",3,""))))))))))</f>
        <v/>
      </c>
      <c r="EP332" s="44" t="e">
        <f>+Table1[[#This Row],[Data Leavers Date]]+Table1[[#This Row],[Data EET End]]</f>
        <v>#VALUE!</v>
      </c>
      <c r="EQ332" s="44">
        <f>IF(Table1[Exit Form Received]="Yes",1,0)</f>
        <v>0</v>
      </c>
      <c r="ER332" s="44">
        <f>+Table1[[#This Row],[Data Leavers Date]]+Table1[[#This Row],[Data Exit Forms]]</f>
        <v>0</v>
      </c>
      <c r="ES332" s="44" t="str">
        <f>IF(Table1[Data Leavers Date]=1000,SUM(Table1[Leaving Date]-Table1[Start Date]),"")</f>
        <v/>
      </c>
      <c r="ET332" s="44" t="str">
        <f>IF(Table1[Data Leavers Date]=2000,SUM(Table1[Leaving Date]-Table1[Start Date]),"")</f>
        <v/>
      </c>
      <c r="EU332" s="44" t="str">
        <f>IF(Table1[Data Leavers Date]=3000,SUM(Table1[Leaving Date]-Table1[Start Date]),"")</f>
        <v/>
      </c>
      <c r="EV332" s="44" t="str">
        <f>IF(Table1[Data Leavers Date]=4000,SUM(Table1[Leaving Date]-Table1[Start Date]),"")</f>
        <v/>
      </c>
      <c r="EW332" s="44" t="str">
        <f>IF(Table1[Data Leavers Date]=5000,SUM(Table1[Leaving Date]-Table1[Start Date]),"")</f>
        <v/>
      </c>
      <c r="EX332" s="44" t="str">
        <f>IF(Table1[Data Leavers Date]=6000,SUM(Table1[Leaving Date]-Table1[Start Date]),"")</f>
        <v/>
      </c>
      <c r="EY332" s="44" t="str">
        <f>IF(Table1[Data Leavers Date]=7000,SUM(Table1[Leaving Date]-Table1[Start Date]),"")</f>
        <v/>
      </c>
      <c r="EZ332" s="44" t="str">
        <f>IF(Table1[Data Leavers Date]=8000,SUM(Table1[Leaving Date]-Table1[Start Date]),"")</f>
        <v/>
      </c>
      <c r="FA332" s="44" t="str">
        <f>IF(Table1[Date of Initial Assessment]="","",IF(AND(Table1[Start Date]&gt;42094,Table1[Start Date]&lt;42461),Table1[Motivation and Taking Responsibility],""))</f>
        <v/>
      </c>
      <c r="FB332" s="44" t="str">
        <f>IF(Table1[Date of Initial Assessment]="","",IF(AND(Table1[Start Date]&gt;42094,Table1[Start Date]&lt;42461),Table1[Self-Care and Living Skills],""))</f>
        <v/>
      </c>
      <c r="FC332" s="44" t="str">
        <f>IF(Table1[Date of Initial Assessment]="","",IF(AND(Table1[Start Date]&gt;42094,Table1[Start Date]&lt;42461),Table1[Managing Money and Personal Administration],""))</f>
        <v/>
      </c>
      <c r="FD332" s="44" t="str">
        <f>IF(Table1[Date of Initial Assessment]="","",IF(AND(Table1[Start Date]&gt;42094,Table1[Start Date]&lt;42461),Table1[Social Networks and Relationships],""))</f>
        <v/>
      </c>
      <c r="FE332" s="44" t="str">
        <f>IF(Table1[Date of Initial Assessment]="","",IF(AND(Table1[Start Date]&gt;42094,Table1[Start Date]&lt;42461),Table1[Drug and Alcohol Misuse],""))</f>
        <v/>
      </c>
      <c r="FF332" s="44" t="str">
        <f>IF(Table1[Date of Initial Assessment]="","",IF(AND(Table1[Start Date]&gt;42094,Table1[Start Date]&lt;42461),Table1[Physical Health],""))</f>
        <v/>
      </c>
      <c r="FG332" s="44" t="str">
        <f>IF(Table1[Date of Initial Assessment]="","",IF(AND(Table1[Start Date]&gt;42094,Table1[Start Date]&lt;42461),Table1[Emotional and Mental Health],""))</f>
        <v/>
      </c>
      <c r="FH332" s="44" t="str">
        <f>IF(Table1[Date of Initial Assessment]="","",IF(AND(Table1[Start Date]&gt;42094,Table1[Start Date]&lt;42461),Table1[Meaningful Use of Time],""))</f>
        <v/>
      </c>
      <c r="FI332" s="44" t="str">
        <f>IF(Table1[Date of Initial Assessment]="","",IF(AND(Table1[Start Date]&gt;42094,Table1[Start Date]&lt;42461),Table1[Managing Tenancy and Accommodation],""))</f>
        <v/>
      </c>
      <c r="FJ332" s="44" t="str">
        <f>IF(Table1[Date of Initial Assessment]="","",IF(AND(Table1[Start Date]&gt;42094,Table1[Start Date]&lt;42461),Table1[Offending],""))</f>
        <v/>
      </c>
      <c r="FK332" s="44" t="str">
        <f>IF(Table1[Leaving Date]="","",IF(Table1[Date of Initial Assessment]="","",IF(AND(Table1[Leaving Date]&gt;42094,Table1[Leaving Date]&lt;42461),IF(Table1[Date of Last Assessment]="",Table1[Motivation and Taking Responsibility],Table1[Motivation and Taking Responsibility2]),"")))</f>
        <v/>
      </c>
      <c r="FL332" s="44" t="str">
        <f>IF(Table1[Leaving Date]="","",IF(Table1[Date of Initial Assessment]="","",IF(AND(Table1[Leaving Date]&gt;42094,Table1[Leaving Date]&lt;42461),IF(Table1[Date of Last Assessment]="",Table1[Self-Care and Living Skills],Table1[Self-Care and Living Skills2]),"")))</f>
        <v/>
      </c>
      <c r="FM332" s="44" t="str">
        <f>IF(Table1[Leaving Date]="","",IF(Table1[Date of Initial Assessment]="","",IF(AND(Table1[Leaving Date]&gt;42094,Table1[Leaving Date]&lt;42461),IF(Table1[Date of Last Assessment]="",Table1[Managing Money and Personal Administration],Table1[Managing Money and Personal Administration2]),"")))</f>
        <v/>
      </c>
      <c r="FN332" s="44" t="str">
        <f>IF(Table1[Leaving Date]="","",IF(Table1[Date of Initial Assessment]="","",IF(AND(Table1[Leaving Date]&gt;42094,Table1[Leaving Date]&lt;42461),IF(Table1[Date of Last Assessment]="",Table1[Social Networks and Relationships],Table1[Social Networks and Relationships2]),"")))</f>
        <v/>
      </c>
      <c r="FO332" s="44" t="str">
        <f>IF(Table1[Leaving Date]="","",IF(Table1[Date of Initial Assessment]="","",IF(AND(Table1[Leaving Date]&gt;42094,Table1[Leaving Date]&lt;42461),IF(Table1[Date of Last Assessment]="",Table1[Drug and Alcohol Misuse],Table1[Drug and Alcohol Misuse2]),"")))</f>
        <v/>
      </c>
      <c r="FP332" s="44" t="str">
        <f>IF(Table1[Leaving Date]="","",IF(Table1[Date of Initial Assessment]="","",IF(AND(Table1[Leaving Date]&gt;42094,Table1[Leaving Date]&lt;42461),IF(Table1[Date of Last Assessment]="",Table1[Physical Health],Table1[Physical Health2]),"")))</f>
        <v/>
      </c>
      <c r="FQ332" s="44" t="str">
        <f>IF(Table1[Leaving Date]="","",IF(Table1[Date of Initial Assessment]="","",IF(AND(Table1[Leaving Date]&gt;42094,Table1[Leaving Date]&lt;42461),IF(Table1[Date of Last Assessment]="",Table1[Emotional and Mental Health],Table1[Emotional and Mental Health2]),"")))</f>
        <v/>
      </c>
      <c r="FR332" s="44" t="str">
        <f>IF(Table1[Leaving Date]="","",IF(Table1[Date of Initial Assessment]="","",IF(AND(Table1[Leaving Date]&gt;42094,Table1[Leaving Date]&lt;42461),IF(Table1[Date of Last Assessment]="",Table1[Meaningful Use of Time],Table1[Meaningful Use of Time2]),"")))</f>
        <v/>
      </c>
      <c r="FS332" s="44" t="str">
        <f>IF(Table1[Leaving Date]="","",IF(Table1[Date of Initial Assessment]="","",IF(AND(Table1[Leaving Date]&gt;42094,Table1[Leaving Date]&lt;42461),IF(Table1[Date of Last Assessment]="",Table1[Managing Tenancy and Accommodation],Table1[Managing Tenancy and Accommodation2]),"")))</f>
        <v/>
      </c>
      <c r="FT332" s="44" t="str">
        <f>IF(Table1[Leaving Date]="","",IF(Table1[Date of Initial Assessment]="","",IF(AND(Table1[Leaving Date]&gt;42094,Table1[Leaving Date]&lt;42461),IF(Table1[Date of Last Assessment]="",Table1[Offending],Table1[Offending2]),"")))</f>
        <v/>
      </c>
      <c r="FU332" s="44" t="str">
        <f>IF(Table1[Date of Initial Assessment]="","",IF(AND(Table1[Start Date]&gt;42460,Table1[Start Date]&lt;42826),Table1[Motivation and Taking Responsibility],""))</f>
        <v/>
      </c>
      <c r="FV332" s="44" t="str">
        <f>IF(Table1[Date of Initial Assessment]="","",IF(AND(Table1[Start Date]&gt;42460,Table1[Start Date]&lt;42826),Table1[Self-Care and Living Skills],""))</f>
        <v/>
      </c>
      <c r="FW332" s="44" t="str">
        <f>IF(Table1[Date of Initial Assessment]="","",IF(AND(Table1[Start Date]&gt;42460,Table1[Start Date]&lt;42826),Table1[Managing Money and Personal Administration],""))</f>
        <v/>
      </c>
      <c r="FX332" s="44" t="str">
        <f>IF(Table1[Date of Initial Assessment]="","",IF(AND(Table1[Start Date]&gt;42460,Table1[Start Date]&lt;42826),Table1[Social Networks and Relationships],""))</f>
        <v/>
      </c>
      <c r="FY332" s="44" t="str">
        <f>IF(Table1[Date of Initial Assessment]="","",IF(AND(Table1[Start Date]&gt;42460,Table1[Start Date]&lt;42826),Table1[Drug and Alcohol Misuse],""))</f>
        <v/>
      </c>
      <c r="FZ332" s="44" t="str">
        <f>IF(Table1[Date of Initial Assessment]="","",IF(AND(Table1[Start Date]&gt;42460,Table1[Start Date]&lt;42826),Table1[Physical Health],""))</f>
        <v/>
      </c>
      <c r="GA332" s="44" t="str">
        <f>IF(Table1[Date of Initial Assessment]="","",IF(AND(Table1[Start Date]&gt;42460,Table1[Start Date]&lt;42826),Table1[Emotional and Mental Health],""))</f>
        <v/>
      </c>
      <c r="GB332" s="44" t="str">
        <f>IF(Table1[Date of Initial Assessment]="","",IF(AND(Table1[Start Date]&gt;42460,Table1[Start Date]&lt;42826),Table1[Meaningful Use of Time],""))</f>
        <v/>
      </c>
      <c r="GC332" s="44" t="str">
        <f>IF(Table1[Date of Initial Assessment]="","",IF(AND(Table1[Start Date]&gt;42460,Table1[Start Date]&lt;42826),Table1[Managing Tenancy and Accommodation],""))</f>
        <v/>
      </c>
      <c r="GD332" s="44" t="str">
        <f>IF(Table1[Date of Initial Assessment]="","",IF(AND(Table1[Start Date]&gt;42460,Table1[Start Date]&lt;42826),Table1[Offending],""))</f>
        <v/>
      </c>
      <c r="GE332" s="44" t="str">
        <f>IF(Table1[Leaving Date]="","",IF(AND(Table1[Leaving Date]&gt;42460,Table1[Leaving Date]&lt;42826),IF(Table1[Date of Last Assessment]="",Table1[Motivation and Taking Responsibility],Table1[Motivation and Taking Responsibility2]),""))</f>
        <v/>
      </c>
      <c r="GF332" s="44" t="str">
        <f>IF(Table1[Leaving Date]="","",IF(AND(Table1[Leaving Date]&gt;42460,Table1[Leaving Date]&lt;42826),IF(Table1[Date of Last Assessment]="",Table1[Self-Care and Living Skills],Table1[Self-Care and Living Skills2]),""))</f>
        <v/>
      </c>
      <c r="GG332" s="44" t="str">
        <f>IF(Table1[Leaving Date]="","",IF(AND(Table1[Leaving Date]&gt;42460,Table1[Leaving Date]&lt;42826),IF(Table1[Date of Last Assessment]="",Table1[Managing Money and Personal Administration],Table1[Managing Money and Personal Administration2]),""))</f>
        <v/>
      </c>
      <c r="GH332" s="44" t="str">
        <f>IF(Table1[Leaving Date]="","",IF(AND(Table1[Leaving Date]&gt;42460,Table1[Leaving Date]&lt;42826),IF(Table1[Date of Last Assessment]="",Table1[Social Networks and Relationships],Table1[Social Networks and Relationships2]),""))</f>
        <v/>
      </c>
      <c r="GI332" s="44" t="str">
        <f>IF(Table1[Leaving Date]="","",IF(AND(Table1[Leaving Date]&gt;42460,Table1[Leaving Date]&lt;42826),IF(Table1[Date of Last Assessment]="",Table1[Drug and Alcohol Misuse],Table1[Drug and Alcohol Misuse2]),""))</f>
        <v/>
      </c>
      <c r="GJ332" s="44" t="str">
        <f>IF(Table1[Leaving Date]="","",IF(AND(Table1[Leaving Date]&gt;42460,Table1[Leaving Date]&lt;42826),IF(Table1[Date of Last Assessment]="",Table1[Physical Health],Table1[Physical Health2]),""))</f>
        <v/>
      </c>
      <c r="GK332" s="44" t="str">
        <f>IF(Table1[Leaving Date]="","",IF(AND(Table1[Leaving Date]&gt;42460,Table1[Leaving Date]&lt;42826),IF(Table1[Date of Last Assessment]="",Table1[Emotional and Mental Health],Table1[Emotional and Mental Health2]),""))</f>
        <v/>
      </c>
      <c r="GL332" s="44" t="str">
        <f>IF(Table1[Leaving Date]="","",IF(AND(Table1[Leaving Date]&gt;42460,Table1[Leaving Date]&lt;42826),IF(Table1[Date of Last Assessment]="",Table1[Meaningful Use of Time],Table1[Meaningful Use of Time2]),""))</f>
        <v/>
      </c>
      <c r="GM332" s="44" t="str">
        <f>IF(Table1[Leaving Date]="","",IF(AND(Table1[Leaving Date]&gt;42460,Table1[Leaving Date]&lt;42826),IF(Table1[Date of Last Assessment]="",Table1[Managing Tenancy and Accommodation],Table1[Managing Tenancy and Accommodation2]),""))</f>
        <v/>
      </c>
      <c r="GN332" s="44" t="str">
        <f>IF(Table1[Leaving Date]="","",IF(AND(Table1[Leaving Date]&gt;42460,Table1[Leaving Date]&lt;42826),IF(Table1[Date of Last Assessment]="",Table1[Offending],Table1[Offending2]),""))</f>
        <v/>
      </c>
    </row>
    <row r="333" spans="2:196" ht="20.100000000000001" customHeight="1" x14ac:dyDescent="0.2">
      <c r="B333" s="86">
        <f>+'Service Data'!$C$5:$C$5</f>
        <v>0</v>
      </c>
      <c r="C333" s="86"/>
      <c r="D333" s="86"/>
      <c r="E333" s="86"/>
      <c r="F333" s="86"/>
      <c r="G333" s="86"/>
      <c r="H333" s="6"/>
      <c r="I333" s="99" t="str">
        <f ca="1">IF(Table1[[#This Row],[Date of Birth]]="","",SUM(TODAY()-Table1[[#This Row],[Date of Birth]])/365)</f>
        <v/>
      </c>
      <c r="L333" s="86"/>
      <c r="M333" s="77"/>
      <c r="N333" s="86"/>
      <c r="O333" s="86"/>
      <c r="P333" s="91"/>
      <c r="Q333" s="86"/>
      <c r="R333" s="77"/>
      <c r="S333" s="77"/>
      <c r="T333" s="68"/>
      <c r="U333" s="68"/>
      <c r="V333" s="67"/>
      <c r="W333" s="67"/>
      <c r="X333" s="67"/>
      <c r="Y333" s="67"/>
      <c r="Z333" s="67"/>
      <c r="AA333" s="67"/>
      <c r="AB333" s="67"/>
      <c r="AC333" s="67"/>
      <c r="AD333" s="67"/>
      <c r="AE333" s="67"/>
      <c r="AF333" s="67"/>
      <c r="AG333" s="67"/>
      <c r="AH333" s="67"/>
      <c r="AI333" s="67"/>
      <c r="AJ333" s="67"/>
      <c r="AK333" s="67"/>
      <c r="AL333" s="67"/>
      <c r="AM333" s="67"/>
      <c r="AN333" s="77"/>
      <c r="AO333" s="76"/>
      <c r="AP333" s="77"/>
      <c r="AQ333" s="76"/>
      <c r="AR333" s="76"/>
      <c r="AS333" s="76"/>
      <c r="AT333" s="76"/>
      <c r="AU333" s="76"/>
      <c r="AV333" s="77"/>
      <c r="AW333" s="76"/>
      <c r="AX333" s="77"/>
      <c r="AY333" s="76"/>
      <c r="AZ333" s="76"/>
      <c r="BA333" s="76"/>
      <c r="BB333" s="76"/>
      <c r="BC333" s="76"/>
      <c r="BD333" s="77"/>
      <c r="BE333" s="76"/>
      <c r="BF333" s="77"/>
      <c r="BG333" s="76"/>
      <c r="BH333" s="76"/>
      <c r="BI333" s="76"/>
      <c r="BJ333" s="76"/>
      <c r="BK333" s="76"/>
      <c r="BL333" s="77"/>
      <c r="BM333" s="76"/>
      <c r="BN333" s="77"/>
      <c r="BO333" s="76"/>
      <c r="BP333" s="76"/>
      <c r="BQ333" s="76"/>
      <c r="BR333" s="76"/>
      <c r="BS333" s="76"/>
      <c r="BT333" s="77"/>
      <c r="BU333" s="76"/>
      <c r="BV333" s="77"/>
      <c r="BW333" s="76"/>
      <c r="BX333" s="76"/>
      <c r="BY333" s="76"/>
      <c r="BZ333" s="76"/>
      <c r="CA333" s="76"/>
      <c r="CB333" s="77"/>
      <c r="CC333" s="76"/>
      <c r="CD333" s="77"/>
      <c r="CE333" s="76"/>
      <c r="CF333" s="76"/>
      <c r="CG333" s="76"/>
      <c r="CH333" s="76"/>
      <c r="CI333" s="76"/>
      <c r="CJ333" s="77"/>
      <c r="CK333" s="76"/>
      <c r="CL333" s="77"/>
      <c r="CM333" s="76"/>
      <c r="CN333" s="76"/>
      <c r="CO333" s="76"/>
      <c r="CP333" s="76"/>
      <c r="CQ333" s="76"/>
      <c r="CR333" s="78" t="str">
        <f t="shared" si="95"/>
        <v/>
      </c>
      <c r="CS333" s="79" t="str">
        <f t="shared" si="96"/>
        <v/>
      </c>
      <c r="CT333" s="79" t="str">
        <f t="shared" si="97"/>
        <v/>
      </c>
      <c r="CU333" s="79" t="str">
        <f t="shared" si="98"/>
        <v/>
      </c>
      <c r="CV333" s="79" t="str">
        <f t="shared" si="99"/>
        <v/>
      </c>
      <c r="CW333" s="79" t="str">
        <f t="shared" si="100"/>
        <v/>
      </c>
      <c r="CX333" s="79" t="str">
        <f t="shared" si="101"/>
        <v/>
      </c>
      <c r="CY333" s="79" t="str">
        <f t="shared" si="102"/>
        <v/>
      </c>
      <c r="CZ333" s="79" t="str">
        <f t="shared" si="103"/>
        <v/>
      </c>
      <c r="DA333" s="79" t="str">
        <f t="shared" si="104"/>
        <v/>
      </c>
      <c r="DB333" s="79" t="str">
        <f t="shared" si="105"/>
        <v/>
      </c>
      <c r="DC333" s="79" t="str">
        <f t="shared" si="106"/>
        <v/>
      </c>
      <c r="DD333" s="79" t="str">
        <f t="shared" si="107"/>
        <v/>
      </c>
      <c r="DE333" s="79" t="str">
        <f t="shared" si="108"/>
        <v/>
      </c>
      <c r="DF333" s="79" t="str">
        <f t="shared" si="109"/>
        <v/>
      </c>
      <c r="DG333" s="79" t="str">
        <f t="shared" si="110"/>
        <v/>
      </c>
      <c r="DH333" s="76"/>
      <c r="DI333" s="78"/>
      <c r="DJ333" s="76"/>
      <c r="DK333" s="77"/>
      <c r="DL333" s="77"/>
      <c r="DM333" s="77"/>
      <c r="DN333" s="80"/>
      <c r="DO333" s="80"/>
      <c r="DP333" s="92" t="str">
        <f>IF(Table1[Start Date]="","",IF(Table1[Start Date]&gt;42185,"",IF(AND(Table1[Leaving Date]&gt;1,Table1[Leaving Date]&lt;42095),"",1)))</f>
        <v/>
      </c>
      <c r="DQ333" s="92" t="str">
        <f>IF(Table1[Start Date]="","",IF(Table1[Start Date]&gt;42277,"",IF(AND(Table1[Leaving Date]&gt;1,Table1[Leaving Date]&lt;42186),"",1)))</f>
        <v/>
      </c>
      <c r="DR333" s="92" t="str">
        <f>IF(Table1[Start Date]="","",IF(Table1[Start Date]&gt;42369,"",IF(AND(Table1[Leaving Date]&gt;1,Table1[Leaving Date]&lt;42278),"",1)))</f>
        <v/>
      </c>
      <c r="DS333" s="92" t="str">
        <f>IF(Table1[Start Date]="","",IF(Table1[Start Date]&gt;42460,"",IF(AND(Table1[Leaving Date]&gt;1,Table1[Leaving Date]&lt;42370),"",1)))</f>
        <v/>
      </c>
      <c r="DT333" s="92" t="str">
        <f>IF(Table1[Start Date]="","",IF(Table1[Start Date]&gt;42551,"",IF(AND(Table1[Leaving Date]&gt;1,Table1[Leaving Date]&lt;42461),"",1)))</f>
        <v/>
      </c>
      <c r="DU333" s="92" t="str">
        <f>IF(Table1[Start Date]="","",IF(Table1[Start Date]&gt;42643,"",IF(AND(Table1[Leaving Date]&gt;1,Table1[Leaving Date]&lt;42552),"",1)))</f>
        <v/>
      </c>
      <c r="DV333" s="92" t="str">
        <f>IF(Table1[Start Date]="","",IF(Table1[Start Date]&gt;42735,"",IF(AND(Table1[Leaving Date]&gt;1,Table1[Leaving Date]&lt;42644),"",1)))</f>
        <v/>
      </c>
      <c r="DW333" s="92" t="str">
        <f>IF(Table1[Start Date]="","",IF(Table1[Start Date]&gt;42825,"",IF(AND(Table1[Leaving Date]&gt;1,Table1[Leaving Date]&lt;42736),"",1)))</f>
        <v/>
      </c>
      <c r="DX333"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333" s="44" t="e">
        <f>VLOOKUP(Table1[Referral Source],Lists!$G$2:$H$20,2,FALSE)</f>
        <v>#N/A</v>
      </c>
      <c r="DZ333" s="93" t="e">
        <f>SUM(Table1[Data Referral Quarter]+Table1[Data Referral Source])</f>
        <v>#N/A</v>
      </c>
      <c r="EA333" s="44" t="b">
        <f>IF(Table1[Referral Decision]="Accepted",100,IF(Table1[Referral Decision]="Rejected by Provider",200,IF(Table1[Referral Decision]="Rejected by Applicant",300)))</f>
        <v>0</v>
      </c>
      <c r="EB333" s="44">
        <f>SUM(Table1[Data Referral Quarter]+Table1[Data Referral Decision])</f>
        <v>0</v>
      </c>
      <c r="EC333" s="44" t="b">
        <f>IF(Table1[Start Date]&gt;42735,8000,IF(Table1[Start Date]&gt;42643,7000,IF(Table1[Start Date]&gt;42551,6000,IF(Table1[Start Date]&gt;42460,5000,IF(Table1[Start Date]&gt;42369,4000,IF(Table1[Start Date]&gt;42277,3000,IF(Table1[Start Date]&gt;42185,2000,IF(Table1[Start Date]&gt;42094,1000))))))))</f>
        <v>0</v>
      </c>
      <c r="ED333" s="44" t="str">
        <f>IF(Table1[Start Date]="","",IF(Table1[Current Local Authority]="Swindon",1,"2"))</f>
        <v/>
      </c>
      <c r="EE333" s="44" t="e">
        <f>SUM(Table1[Data Start Date]+Table1[Data Local Authority])</f>
        <v>#VALUE!</v>
      </c>
      <c r="EF333" s="44">
        <f>IF(Table1[Registered with GP]="Yes",1,0)</f>
        <v>0</v>
      </c>
      <c r="EG333" s="44">
        <f>SUM(Table1[Data Start Date]+Table1[Data GP Start])</f>
        <v>0</v>
      </c>
      <c r="EH333" s="44" t="str">
        <f>IF(Table1[EET]="NEET",1,IF(Table1[EET]="Education",2,IF(Table1[EET]="Employment",2,IF(Table1[EET]="Training",2,IF(Table1[EET]="Retired",3,"")))))</f>
        <v/>
      </c>
      <c r="EI333" s="44" t="e">
        <f>Table1[Data Start Date]+Table1[Data EET Start]</f>
        <v>#VALUE!</v>
      </c>
      <c r="EJ333" s="44" t="b">
        <f>IF(Table1[Leaving Date]&gt;42735,8000,IF(Table1[Leaving Date]&gt;42643,7000,IF(Table1[Leaving Date]&gt;42551,6000,IF(Table1[Leaving Date]&gt;42460,5000,IF(Table1[Leaving Date]&gt;42369,4000,IF(Table1[Leaving Date]&gt;42277,3000,IF(Table1[Leaving Date]&gt;42185,2000,IF(Table1[Leaving Date]&gt;42094,1000))))))))</f>
        <v>0</v>
      </c>
      <c r="EK333" s="44" t="e">
        <f>VLOOKUP(Table1[Reason for Leaving],Lists!$T$2:$U$15,2,FALSE)</f>
        <v>#N/A</v>
      </c>
      <c r="EL333" s="44" t="e">
        <f>SUM(Table1[Data Leavers Date]+Table1[Data Move On])</f>
        <v>#N/A</v>
      </c>
      <c r="EM333" s="44" t="b">
        <f>IF(Table1[Registered with GP2]="Yes",1,IF(Table1[Registered with GP2]="No",0,IF(Table1[Registered with GP]="Yes",1,IF(Table1[Registered with GP]="No",0))))</f>
        <v>0</v>
      </c>
      <c r="EN333" s="44">
        <f>SUM(Table1[Data Leavers Date]+Table1[Data GP End])</f>
        <v>0</v>
      </c>
      <c r="EO333" s="44" t="str">
        <f>IF(Table1[EET2]="NEET",1,IF(Table1[EET2]="Employment",2,IF(Table1[EET2]="Education",2,IF(Table1[EET2]="Training",2,IF(Table1[EET2]="Retired",3,IF(Table1[EET]="NEET",1,IF(Table1[EET]="Employment",2,IF(Table1[EET]="Education",2,IF(Table1[EET]="Training",2,IF(Table1[EET]="Retired",3,""))))))))))</f>
        <v/>
      </c>
      <c r="EP333" s="44" t="e">
        <f>+Table1[[#This Row],[Data Leavers Date]]+Table1[[#This Row],[Data EET End]]</f>
        <v>#VALUE!</v>
      </c>
      <c r="EQ333" s="44">
        <f>IF(Table1[Exit Form Received]="Yes",1,0)</f>
        <v>0</v>
      </c>
      <c r="ER333" s="44">
        <f>+Table1[[#This Row],[Data Leavers Date]]+Table1[[#This Row],[Data Exit Forms]]</f>
        <v>0</v>
      </c>
      <c r="ES333" s="44" t="str">
        <f>IF(Table1[Data Leavers Date]=1000,SUM(Table1[Leaving Date]-Table1[Start Date]),"")</f>
        <v/>
      </c>
      <c r="ET333" s="44" t="str">
        <f>IF(Table1[Data Leavers Date]=2000,SUM(Table1[Leaving Date]-Table1[Start Date]),"")</f>
        <v/>
      </c>
      <c r="EU333" s="44" t="str">
        <f>IF(Table1[Data Leavers Date]=3000,SUM(Table1[Leaving Date]-Table1[Start Date]),"")</f>
        <v/>
      </c>
      <c r="EV333" s="44" t="str">
        <f>IF(Table1[Data Leavers Date]=4000,SUM(Table1[Leaving Date]-Table1[Start Date]),"")</f>
        <v/>
      </c>
      <c r="EW333" s="44" t="str">
        <f>IF(Table1[Data Leavers Date]=5000,SUM(Table1[Leaving Date]-Table1[Start Date]),"")</f>
        <v/>
      </c>
      <c r="EX333" s="44" t="str">
        <f>IF(Table1[Data Leavers Date]=6000,SUM(Table1[Leaving Date]-Table1[Start Date]),"")</f>
        <v/>
      </c>
      <c r="EY333" s="44" t="str">
        <f>IF(Table1[Data Leavers Date]=7000,SUM(Table1[Leaving Date]-Table1[Start Date]),"")</f>
        <v/>
      </c>
      <c r="EZ333" s="44" t="str">
        <f>IF(Table1[Data Leavers Date]=8000,SUM(Table1[Leaving Date]-Table1[Start Date]),"")</f>
        <v/>
      </c>
      <c r="FA333" s="44" t="str">
        <f>IF(Table1[Date of Initial Assessment]="","",IF(AND(Table1[Start Date]&gt;42094,Table1[Start Date]&lt;42461),Table1[Motivation and Taking Responsibility],""))</f>
        <v/>
      </c>
      <c r="FB333" s="44" t="str">
        <f>IF(Table1[Date of Initial Assessment]="","",IF(AND(Table1[Start Date]&gt;42094,Table1[Start Date]&lt;42461),Table1[Self-Care and Living Skills],""))</f>
        <v/>
      </c>
      <c r="FC333" s="44" t="str">
        <f>IF(Table1[Date of Initial Assessment]="","",IF(AND(Table1[Start Date]&gt;42094,Table1[Start Date]&lt;42461),Table1[Managing Money and Personal Administration],""))</f>
        <v/>
      </c>
      <c r="FD333" s="44" t="str">
        <f>IF(Table1[Date of Initial Assessment]="","",IF(AND(Table1[Start Date]&gt;42094,Table1[Start Date]&lt;42461),Table1[Social Networks and Relationships],""))</f>
        <v/>
      </c>
      <c r="FE333" s="44" t="str">
        <f>IF(Table1[Date of Initial Assessment]="","",IF(AND(Table1[Start Date]&gt;42094,Table1[Start Date]&lt;42461),Table1[Drug and Alcohol Misuse],""))</f>
        <v/>
      </c>
      <c r="FF333" s="44" t="str">
        <f>IF(Table1[Date of Initial Assessment]="","",IF(AND(Table1[Start Date]&gt;42094,Table1[Start Date]&lt;42461),Table1[Physical Health],""))</f>
        <v/>
      </c>
      <c r="FG333" s="44" t="str">
        <f>IF(Table1[Date of Initial Assessment]="","",IF(AND(Table1[Start Date]&gt;42094,Table1[Start Date]&lt;42461),Table1[Emotional and Mental Health],""))</f>
        <v/>
      </c>
      <c r="FH333" s="44" t="str">
        <f>IF(Table1[Date of Initial Assessment]="","",IF(AND(Table1[Start Date]&gt;42094,Table1[Start Date]&lt;42461),Table1[Meaningful Use of Time],""))</f>
        <v/>
      </c>
      <c r="FI333" s="44" t="str">
        <f>IF(Table1[Date of Initial Assessment]="","",IF(AND(Table1[Start Date]&gt;42094,Table1[Start Date]&lt;42461),Table1[Managing Tenancy and Accommodation],""))</f>
        <v/>
      </c>
      <c r="FJ333" s="44" t="str">
        <f>IF(Table1[Date of Initial Assessment]="","",IF(AND(Table1[Start Date]&gt;42094,Table1[Start Date]&lt;42461),Table1[Offending],""))</f>
        <v/>
      </c>
      <c r="FK333" s="44" t="str">
        <f>IF(Table1[Leaving Date]="","",IF(Table1[Date of Initial Assessment]="","",IF(AND(Table1[Leaving Date]&gt;42094,Table1[Leaving Date]&lt;42461),IF(Table1[Date of Last Assessment]="",Table1[Motivation and Taking Responsibility],Table1[Motivation and Taking Responsibility2]),"")))</f>
        <v/>
      </c>
      <c r="FL333" s="44" t="str">
        <f>IF(Table1[Leaving Date]="","",IF(Table1[Date of Initial Assessment]="","",IF(AND(Table1[Leaving Date]&gt;42094,Table1[Leaving Date]&lt;42461),IF(Table1[Date of Last Assessment]="",Table1[Self-Care and Living Skills],Table1[Self-Care and Living Skills2]),"")))</f>
        <v/>
      </c>
      <c r="FM333" s="44" t="str">
        <f>IF(Table1[Leaving Date]="","",IF(Table1[Date of Initial Assessment]="","",IF(AND(Table1[Leaving Date]&gt;42094,Table1[Leaving Date]&lt;42461),IF(Table1[Date of Last Assessment]="",Table1[Managing Money and Personal Administration],Table1[Managing Money and Personal Administration2]),"")))</f>
        <v/>
      </c>
      <c r="FN333" s="44" t="str">
        <f>IF(Table1[Leaving Date]="","",IF(Table1[Date of Initial Assessment]="","",IF(AND(Table1[Leaving Date]&gt;42094,Table1[Leaving Date]&lt;42461),IF(Table1[Date of Last Assessment]="",Table1[Social Networks and Relationships],Table1[Social Networks and Relationships2]),"")))</f>
        <v/>
      </c>
      <c r="FO333" s="44" t="str">
        <f>IF(Table1[Leaving Date]="","",IF(Table1[Date of Initial Assessment]="","",IF(AND(Table1[Leaving Date]&gt;42094,Table1[Leaving Date]&lt;42461),IF(Table1[Date of Last Assessment]="",Table1[Drug and Alcohol Misuse],Table1[Drug and Alcohol Misuse2]),"")))</f>
        <v/>
      </c>
      <c r="FP333" s="44" t="str">
        <f>IF(Table1[Leaving Date]="","",IF(Table1[Date of Initial Assessment]="","",IF(AND(Table1[Leaving Date]&gt;42094,Table1[Leaving Date]&lt;42461),IF(Table1[Date of Last Assessment]="",Table1[Physical Health],Table1[Physical Health2]),"")))</f>
        <v/>
      </c>
      <c r="FQ333" s="44" t="str">
        <f>IF(Table1[Leaving Date]="","",IF(Table1[Date of Initial Assessment]="","",IF(AND(Table1[Leaving Date]&gt;42094,Table1[Leaving Date]&lt;42461),IF(Table1[Date of Last Assessment]="",Table1[Emotional and Mental Health],Table1[Emotional and Mental Health2]),"")))</f>
        <v/>
      </c>
      <c r="FR333" s="44" t="str">
        <f>IF(Table1[Leaving Date]="","",IF(Table1[Date of Initial Assessment]="","",IF(AND(Table1[Leaving Date]&gt;42094,Table1[Leaving Date]&lt;42461),IF(Table1[Date of Last Assessment]="",Table1[Meaningful Use of Time],Table1[Meaningful Use of Time2]),"")))</f>
        <v/>
      </c>
      <c r="FS333" s="44" t="str">
        <f>IF(Table1[Leaving Date]="","",IF(Table1[Date of Initial Assessment]="","",IF(AND(Table1[Leaving Date]&gt;42094,Table1[Leaving Date]&lt;42461),IF(Table1[Date of Last Assessment]="",Table1[Managing Tenancy and Accommodation],Table1[Managing Tenancy and Accommodation2]),"")))</f>
        <v/>
      </c>
      <c r="FT333" s="44" t="str">
        <f>IF(Table1[Leaving Date]="","",IF(Table1[Date of Initial Assessment]="","",IF(AND(Table1[Leaving Date]&gt;42094,Table1[Leaving Date]&lt;42461),IF(Table1[Date of Last Assessment]="",Table1[Offending],Table1[Offending2]),"")))</f>
        <v/>
      </c>
      <c r="FU333" s="44" t="str">
        <f>IF(Table1[Date of Initial Assessment]="","",IF(AND(Table1[Start Date]&gt;42460,Table1[Start Date]&lt;42826),Table1[Motivation and Taking Responsibility],""))</f>
        <v/>
      </c>
      <c r="FV333" s="44" t="str">
        <f>IF(Table1[Date of Initial Assessment]="","",IF(AND(Table1[Start Date]&gt;42460,Table1[Start Date]&lt;42826),Table1[Self-Care and Living Skills],""))</f>
        <v/>
      </c>
      <c r="FW333" s="44" t="str">
        <f>IF(Table1[Date of Initial Assessment]="","",IF(AND(Table1[Start Date]&gt;42460,Table1[Start Date]&lt;42826),Table1[Managing Money and Personal Administration],""))</f>
        <v/>
      </c>
      <c r="FX333" s="44" t="str">
        <f>IF(Table1[Date of Initial Assessment]="","",IF(AND(Table1[Start Date]&gt;42460,Table1[Start Date]&lt;42826),Table1[Social Networks and Relationships],""))</f>
        <v/>
      </c>
      <c r="FY333" s="44" t="str">
        <f>IF(Table1[Date of Initial Assessment]="","",IF(AND(Table1[Start Date]&gt;42460,Table1[Start Date]&lt;42826),Table1[Drug and Alcohol Misuse],""))</f>
        <v/>
      </c>
      <c r="FZ333" s="44" t="str">
        <f>IF(Table1[Date of Initial Assessment]="","",IF(AND(Table1[Start Date]&gt;42460,Table1[Start Date]&lt;42826),Table1[Physical Health],""))</f>
        <v/>
      </c>
      <c r="GA333" s="44" t="str">
        <f>IF(Table1[Date of Initial Assessment]="","",IF(AND(Table1[Start Date]&gt;42460,Table1[Start Date]&lt;42826),Table1[Emotional and Mental Health],""))</f>
        <v/>
      </c>
      <c r="GB333" s="44" t="str">
        <f>IF(Table1[Date of Initial Assessment]="","",IF(AND(Table1[Start Date]&gt;42460,Table1[Start Date]&lt;42826),Table1[Meaningful Use of Time],""))</f>
        <v/>
      </c>
      <c r="GC333" s="44" t="str">
        <f>IF(Table1[Date of Initial Assessment]="","",IF(AND(Table1[Start Date]&gt;42460,Table1[Start Date]&lt;42826),Table1[Managing Tenancy and Accommodation],""))</f>
        <v/>
      </c>
      <c r="GD333" s="44" t="str">
        <f>IF(Table1[Date of Initial Assessment]="","",IF(AND(Table1[Start Date]&gt;42460,Table1[Start Date]&lt;42826),Table1[Offending],""))</f>
        <v/>
      </c>
      <c r="GE333" s="44" t="str">
        <f>IF(Table1[Leaving Date]="","",IF(AND(Table1[Leaving Date]&gt;42460,Table1[Leaving Date]&lt;42826),IF(Table1[Date of Last Assessment]="",Table1[Motivation and Taking Responsibility],Table1[Motivation and Taking Responsibility2]),""))</f>
        <v/>
      </c>
      <c r="GF333" s="44" t="str">
        <f>IF(Table1[Leaving Date]="","",IF(AND(Table1[Leaving Date]&gt;42460,Table1[Leaving Date]&lt;42826),IF(Table1[Date of Last Assessment]="",Table1[Self-Care and Living Skills],Table1[Self-Care and Living Skills2]),""))</f>
        <v/>
      </c>
      <c r="GG333" s="44" t="str">
        <f>IF(Table1[Leaving Date]="","",IF(AND(Table1[Leaving Date]&gt;42460,Table1[Leaving Date]&lt;42826),IF(Table1[Date of Last Assessment]="",Table1[Managing Money and Personal Administration],Table1[Managing Money and Personal Administration2]),""))</f>
        <v/>
      </c>
      <c r="GH333" s="44" t="str">
        <f>IF(Table1[Leaving Date]="","",IF(AND(Table1[Leaving Date]&gt;42460,Table1[Leaving Date]&lt;42826),IF(Table1[Date of Last Assessment]="",Table1[Social Networks and Relationships],Table1[Social Networks and Relationships2]),""))</f>
        <v/>
      </c>
      <c r="GI333" s="44" t="str">
        <f>IF(Table1[Leaving Date]="","",IF(AND(Table1[Leaving Date]&gt;42460,Table1[Leaving Date]&lt;42826),IF(Table1[Date of Last Assessment]="",Table1[Drug and Alcohol Misuse],Table1[Drug and Alcohol Misuse2]),""))</f>
        <v/>
      </c>
      <c r="GJ333" s="44" t="str">
        <f>IF(Table1[Leaving Date]="","",IF(AND(Table1[Leaving Date]&gt;42460,Table1[Leaving Date]&lt;42826),IF(Table1[Date of Last Assessment]="",Table1[Physical Health],Table1[Physical Health2]),""))</f>
        <v/>
      </c>
      <c r="GK333" s="44" t="str">
        <f>IF(Table1[Leaving Date]="","",IF(AND(Table1[Leaving Date]&gt;42460,Table1[Leaving Date]&lt;42826),IF(Table1[Date of Last Assessment]="",Table1[Emotional and Mental Health],Table1[Emotional and Mental Health2]),""))</f>
        <v/>
      </c>
      <c r="GL333" s="44" t="str">
        <f>IF(Table1[Leaving Date]="","",IF(AND(Table1[Leaving Date]&gt;42460,Table1[Leaving Date]&lt;42826),IF(Table1[Date of Last Assessment]="",Table1[Meaningful Use of Time],Table1[Meaningful Use of Time2]),""))</f>
        <v/>
      </c>
      <c r="GM333" s="44" t="str">
        <f>IF(Table1[Leaving Date]="","",IF(AND(Table1[Leaving Date]&gt;42460,Table1[Leaving Date]&lt;42826),IF(Table1[Date of Last Assessment]="",Table1[Managing Tenancy and Accommodation],Table1[Managing Tenancy and Accommodation2]),""))</f>
        <v/>
      </c>
      <c r="GN333" s="44" t="str">
        <f>IF(Table1[Leaving Date]="","",IF(AND(Table1[Leaving Date]&gt;42460,Table1[Leaving Date]&lt;42826),IF(Table1[Date of Last Assessment]="",Table1[Offending],Table1[Offending2]),""))</f>
        <v/>
      </c>
    </row>
    <row r="334" spans="2:196" ht="20.100000000000001" customHeight="1" x14ac:dyDescent="0.2">
      <c r="B334" s="86">
        <f>+'Service Data'!$C$5:$C$5</f>
        <v>0</v>
      </c>
      <c r="C334" s="86"/>
      <c r="D334" s="86"/>
      <c r="E334" s="86"/>
      <c r="F334" s="86"/>
      <c r="G334" s="86"/>
      <c r="H334" s="6"/>
      <c r="I334" s="99" t="str">
        <f ca="1">IF(Table1[[#This Row],[Date of Birth]]="","",SUM(TODAY()-Table1[[#This Row],[Date of Birth]])/365)</f>
        <v/>
      </c>
      <c r="L334" s="86"/>
      <c r="M334" s="77"/>
      <c r="N334" s="86"/>
      <c r="O334" s="86"/>
      <c r="P334" s="91"/>
      <c r="Q334" s="86"/>
      <c r="R334" s="77"/>
      <c r="S334" s="77"/>
      <c r="T334" s="68"/>
      <c r="U334" s="68"/>
      <c r="V334" s="67"/>
      <c r="W334" s="67"/>
      <c r="X334" s="67"/>
      <c r="Y334" s="67"/>
      <c r="Z334" s="67"/>
      <c r="AA334" s="67"/>
      <c r="AB334" s="67"/>
      <c r="AC334" s="67"/>
      <c r="AD334" s="67"/>
      <c r="AE334" s="67"/>
      <c r="AF334" s="67"/>
      <c r="AG334" s="67"/>
      <c r="AH334" s="67"/>
      <c r="AI334" s="67"/>
      <c r="AJ334" s="67"/>
      <c r="AK334" s="67"/>
      <c r="AL334" s="67"/>
      <c r="AM334" s="67"/>
      <c r="AN334" s="77"/>
      <c r="AO334" s="76"/>
      <c r="AP334" s="77"/>
      <c r="AQ334" s="76"/>
      <c r="AR334" s="76"/>
      <c r="AS334" s="76"/>
      <c r="AT334" s="76"/>
      <c r="AU334" s="76"/>
      <c r="AV334" s="77"/>
      <c r="AW334" s="76"/>
      <c r="AX334" s="77"/>
      <c r="AY334" s="76"/>
      <c r="AZ334" s="76"/>
      <c r="BA334" s="76"/>
      <c r="BB334" s="76"/>
      <c r="BC334" s="76"/>
      <c r="BD334" s="77"/>
      <c r="BE334" s="76"/>
      <c r="BF334" s="77"/>
      <c r="BG334" s="76"/>
      <c r="BH334" s="76"/>
      <c r="BI334" s="76"/>
      <c r="BJ334" s="76"/>
      <c r="BK334" s="76"/>
      <c r="BL334" s="77"/>
      <c r="BM334" s="76"/>
      <c r="BN334" s="77"/>
      <c r="BO334" s="76"/>
      <c r="BP334" s="76"/>
      <c r="BQ334" s="76"/>
      <c r="BR334" s="76"/>
      <c r="BS334" s="76"/>
      <c r="BT334" s="77"/>
      <c r="BU334" s="76"/>
      <c r="BV334" s="77"/>
      <c r="BW334" s="76"/>
      <c r="BX334" s="76"/>
      <c r="BY334" s="76"/>
      <c r="BZ334" s="76"/>
      <c r="CA334" s="76"/>
      <c r="CB334" s="77"/>
      <c r="CC334" s="76"/>
      <c r="CD334" s="77"/>
      <c r="CE334" s="76"/>
      <c r="CF334" s="76"/>
      <c r="CG334" s="76"/>
      <c r="CH334" s="76"/>
      <c r="CI334" s="76"/>
      <c r="CJ334" s="77"/>
      <c r="CK334" s="76"/>
      <c r="CL334" s="77"/>
      <c r="CM334" s="76"/>
      <c r="CN334" s="76"/>
      <c r="CO334" s="76"/>
      <c r="CP334" s="76"/>
      <c r="CQ334" s="76"/>
      <c r="CR334" s="78" t="str">
        <f t="shared" si="95"/>
        <v/>
      </c>
      <c r="CS334" s="79" t="str">
        <f t="shared" si="96"/>
        <v/>
      </c>
      <c r="CT334" s="79" t="str">
        <f t="shared" si="97"/>
        <v/>
      </c>
      <c r="CU334" s="79" t="str">
        <f t="shared" si="98"/>
        <v/>
      </c>
      <c r="CV334" s="79" t="str">
        <f t="shared" si="99"/>
        <v/>
      </c>
      <c r="CW334" s="79" t="str">
        <f t="shared" si="100"/>
        <v/>
      </c>
      <c r="CX334" s="79" t="str">
        <f t="shared" si="101"/>
        <v/>
      </c>
      <c r="CY334" s="79" t="str">
        <f t="shared" si="102"/>
        <v/>
      </c>
      <c r="CZ334" s="79" t="str">
        <f t="shared" si="103"/>
        <v/>
      </c>
      <c r="DA334" s="79" t="str">
        <f t="shared" si="104"/>
        <v/>
      </c>
      <c r="DB334" s="79" t="str">
        <f t="shared" si="105"/>
        <v/>
      </c>
      <c r="DC334" s="79" t="str">
        <f t="shared" si="106"/>
        <v/>
      </c>
      <c r="DD334" s="79" t="str">
        <f t="shared" si="107"/>
        <v/>
      </c>
      <c r="DE334" s="79" t="str">
        <f t="shared" si="108"/>
        <v/>
      </c>
      <c r="DF334" s="79" t="str">
        <f t="shared" si="109"/>
        <v/>
      </c>
      <c r="DG334" s="79" t="str">
        <f t="shared" si="110"/>
        <v/>
      </c>
      <c r="DH334" s="76"/>
      <c r="DI334" s="78"/>
      <c r="DJ334" s="76"/>
      <c r="DK334" s="77"/>
      <c r="DL334" s="77"/>
      <c r="DM334" s="77"/>
      <c r="DN334" s="80"/>
      <c r="DO334" s="80"/>
      <c r="DP334" s="92" t="str">
        <f>IF(Table1[Start Date]="","",IF(Table1[Start Date]&gt;42185,"",IF(AND(Table1[Leaving Date]&gt;1,Table1[Leaving Date]&lt;42095),"",1)))</f>
        <v/>
      </c>
      <c r="DQ334" s="92" t="str">
        <f>IF(Table1[Start Date]="","",IF(Table1[Start Date]&gt;42277,"",IF(AND(Table1[Leaving Date]&gt;1,Table1[Leaving Date]&lt;42186),"",1)))</f>
        <v/>
      </c>
      <c r="DR334" s="92" t="str">
        <f>IF(Table1[Start Date]="","",IF(Table1[Start Date]&gt;42369,"",IF(AND(Table1[Leaving Date]&gt;1,Table1[Leaving Date]&lt;42278),"",1)))</f>
        <v/>
      </c>
      <c r="DS334" s="92" t="str">
        <f>IF(Table1[Start Date]="","",IF(Table1[Start Date]&gt;42460,"",IF(AND(Table1[Leaving Date]&gt;1,Table1[Leaving Date]&lt;42370),"",1)))</f>
        <v/>
      </c>
      <c r="DT334" s="92" t="str">
        <f>IF(Table1[Start Date]="","",IF(Table1[Start Date]&gt;42551,"",IF(AND(Table1[Leaving Date]&gt;1,Table1[Leaving Date]&lt;42461),"",1)))</f>
        <v/>
      </c>
      <c r="DU334" s="92" t="str">
        <f>IF(Table1[Start Date]="","",IF(Table1[Start Date]&gt;42643,"",IF(AND(Table1[Leaving Date]&gt;1,Table1[Leaving Date]&lt;42552),"",1)))</f>
        <v/>
      </c>
      <c r="DV334" s="92" t="str">
        <f>IF(Table1[Start Date]="","",IF(Table1[Start Date]&gt;42735,"",IF(AND(Table1[Leaving Date]&gt;1,Table1[Leaving Date]&lt;42644),"",1)))</f>
        <v/>
      </c>
      <c r="DW334" s="92" t="str">
        <f>IF(Table1[Start Date]="","",IF(Table1[Start Date]&gt;42825,"",IF(AND(Table1[Leaving Date]&gt;1,Table1[Leaving Date]&lt;42736),"",1)))</f>
        <v/>
      </c>
      <c r="DX334"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334" s="44" t="e">
        <f>VLOOKUP(Table1[Referral Source],Lists!$G$2:$H$20,2,FALSE)</f>
        <v>#N/A</v>
      </c>
      <c r="DZ334" s="93" t="e">
        <f>SUM(Table1[Data Referral Quarter]+Table1[Data Referral Source])</f>
        <v>#N/A</v>
      </c>
      <c r="EA334" s="44" t="b">
        <f>IF(Table1[Referral Decision]="Accepted",100,IF(Table1[Referral Decision]="Rejected by Provider",200,IF(Table1[Referral Decision]="Rejected by Applicant",300)))</f>
        <v>0</v>
      </c>
      <c r="EB334" s="44">
        <f>SUM(Table1[Data Referral Quarter]+Table1[Data Referral Decision])</f>
        <v>0</v>
      </c>
      <c r="EC334" s="44" t="b">
        <f>IF(Table1[Start Date]&gt;42735,8000,IF(Table1[Start Date]&gt;42643,7000,IF(Table1[Start Date]&gt;42551,6000,IF(Table1[Start Date]&gt;42460,5000,IF(Table1[Start Date]&gt;42369,4000,IF(Table1[Start Date]&gt;42277,3000,IF(Table1[Start Date]&gt;42185,2000,IF(Table1[Start Date]&gt;42094,1000))))))))</f>
        <v>0</v>
      </c>
      <c r="ED334" s="44" t="str">
        <f>IF(Table1[Start Date]="","",IF(Table1[Current Local Authority]="Swindon",1,"2"))</f>
        <v/>
      </c>
      <c r="EE334" s="44" t="e">
        <f>SUM(Table1[Data Start Date]+Table1[Data Local Authority])</f>
        <v>#VALUE!</v>
      </c>
      <c r="EF334" s="44">
        <f>IF(Table1[Registered with GP]="Yes",1,0)</f>
        <v>0</v>
      </c>
      <c r="EG334" s="44">
        <f>SUM(Table1[Data Start Date]+Table1[Data GP Start])</f>
        <v>0</v>
      </c>
      <c r="EH334" s="44" t="str">
        <f>IF(Table1[EET]="NEET",1,IF(Table1[EET]="Education",2,IF(Table1[EET]="Employment",2,IF(Table1[EET]="Training",2,IF(Table1[EET]="Retired",3,"")))))</f>
        <v/>
      </c>
      <c r="EI334" s="44" t="e">
        <f>Table1[Data Start Date]+Table1[Data EET Start]</f>
        <v>#VALUE!</v>
      </c>
      <c r="EJ334" s="44" t="b">
        <f>IF(Table1[Leaving Date]&gt;42735,8000,IF(Table1[Leaving Date]&gt;42643,7000,IF(Table1[Leaving Date]&gt;42551,6000,IF(Table1[Leaving Date]&gt;42460,5000,IF(Table1[Leaving Date]&gt;42369,4000,IF(Table1[Leaving Date]&gt;42277,3000,IF(Table1[Leaving Date]&gt;42185,2000,IF(Table1[Leaving Date]&gt;42094,1000))))))))</f>
        <v>0</v>
      </c>
      <c r="EK334" s="44" t="e">
        <f>VLOOKUP(Table1[Reason for Leaving],Lists!$T$2:$U$15,2,FALSE)</f>
        <v>#N/A</v>
      </c>
      <c r="EL334" s="44" t="e">
        <f>SUM(Table1[Data Leavers Date]+Table1[Data Move On])</f>
        <v>#N/A</v>
      </c>
      <c r="EM334" s="44" t="b">
        <f>IF(Table1[Registered with GP2]="Yes",1,IF(Table1[Registered with GP2]="No",0,IF(Table1[Registered with GP]="Yes",1,IF(Table1[Registered with GP]="No",0))))</f>
        <v>0</v>
      </c>
      <c r="EN334" s="44">
        <f>SUM(Table1[Data Leavers Date]+Table1[Data GP End])</f>
        <v>0</v>
      </c>
      <c r="EO334" s="44" t="str">
        <f>IF(Table1[EET2]="NEET",1,IF(Table1[EET2]="Employment",2,IF(Table1[EET2]="Education",2,IF(Table1[EET2]="Training",2,IF(Table1[EET2]="Retired",3,IF(Table1[EET]="NEET",1,IF(Table1[EET]="Employment",2,IF(Table1[EET]="Education",2,IF(Table1[EET]="Training",2,IF(Table1[EET]="Retired",3,""))))))))))</f>
        <v/>
      </c>
      <c r="EP334" s="44" t="e">
        <f>+Table1[[#This Row],[Data Leavers Date]]+Table1[[#This Row],[Data EET End]]</f>
        <v>#VALUE!</v>
      </c>
      <c r="EQ334" s="44">
        <f>IF(Table1[Exit Form Received]="Yes",1,0)</f>
        <v>0</v>
      </c>
      <c r="ER334" s="44">
        <f>+Table1[[#This Row],[Data Leavers Date]]+Table1[[#This Row],[Data Exit Forms]]</f>
        <v>0</v>
      </c>
      <c r="ES334" s="44" t="str">
        <f>IF(Table1[Data Leavers Date]=1000,SUM(Table1[Leaving Date]-Table1[Start Date]),"")</f>
        <v/>
      </c>
      <c r="ET334" s="44" t="str">
        <f>IF(Table1[Data Leavers Date]=2000,SUM(Table1[Leaving Date]-Table1[Start Date]),"")</f>
        <v/>
      </c>
      <c r="EU334" s="44" t="str">
        <f>IF(Table1[Data Leavers Date]=3000,SUM(Table1[Leaving Date]-Table1[Start Date]),"")</f>
        <v/>
      </c>
      <c r="EV334" s="44" t="str">
        <f>IF(Table1[Data Leavers Date]=4000,SUM(Table1[Leaving Date]-Table1[Start Date]),"")</f>
        <v/>
      </c>
      <c r="EW334" s="44" t="str">
        <f>IF(Table1[Data Leavers Date]=5000,SUM(Table1[Leaving Date]-Table1[Start Date]),"")</f>
        <v/>
      </c>
      <c r="EX334" s="44" t="str">
        <f>IF(Table1[Data Leavers Date]=6000,SUM(Table1[Leaving Date]-Table1[Start Date]),"")</f>
        <v/>
      </c>
      <c r="EY334" s="44" t="str">
        <f>IF(Table1[Data Leavers Date]=7000,SUM(Table1[Leaving Date]-Table1[Start Date]),"")</f>
        <v/>
      </c>
      <c r="EZ334" s="44" t="str">
        <f>IF(Table1[Data Leavers Date]=8000,SUM(Table1[Leaving Date]-Table1[Start Date]),"")</f>
        <v/>
      </c>
      <c r="FA334" s="44" t="str">
        <f>IF(Table1[Date of Initial Assessment]="","",IF(AND(Table1[Start Date]&gt;42094,Table1[Start Date]&lt;42461),Table1[Motivation and Taking Responsibility],""))</f>
        <v/>
      </c>
      <c r="FB334" s="44" t="str">
        <f>IF(Table1[Date of Initial Assessment]="","",IF(AND(Table1[Start Date]&gt;42094,Table1[Start Date]&lt;42461),Table1[Self-Care and Living Skills],""))</f>
        <v/>
      </c>
      <c r="FC334" s="44" t="str">
        <f>IF(Table1[Date of Initial Assessment]="","",IF(AND(Table1[Start Date]&gt;42094,Table1[Start Date]&lt;42461),Table1[Managing Money and Personal Administration],""))</f>
        <v/>
      </c>
      <c r="FD334" s="44" t="str">
        <f>IF(Table1[Date of Initial Assessment]="","",IF(AND(Table1[Start Date]&gt;42094,Table1[Start Date]&lt;42461),Table1[Social Networks and Relationships],""))</f>
        <v/>
      </c>
      <c r="FE334" s="44" t="str">
        <f>IF(Table1[Date of Initial Assessment]="","",IF(AND(Table1[Start Date]&gt;42094,Table1[Start Date]&lt;42461),Table1[Drug and Alcohol Misuse],""))</f>
        <v/>
      </c>
      <c r="FF334" s="44" t="str">
        <f>IF(Table1[Date of Initial Assessment]="","",IF(AND(Table1[Start Date]&gt;42094,Table1[Start Date]&lt;42461),Table1[Physical Health],""))</f>
        <v/>
      </c>
      <c r="FG334" s="44" t="str">
        <f>IF(Table1[Date of Initial Assessment]="","",IF(AND(Table1[Start Date]&gt;42094,Table1[Start Date]&lt;42461),Table1[Emotional and Mental Health],""))</f>
        <v/>
      </c>
      <c r="FH334" s="44" t="str">
        <f>IF(Table1[Date of Initial Assessment]="","",IF(AND(Table1[Start Date]&gt;42094,Table1[Start Date]&lt;42461),Table1[Meaningful Use of Time],""))</f>
        <v/>
      </c>
      <c r="FI334" s="44" t="str">
        <f>IF(Table1[Date of Initial Assessment]="","",IF(AND(Table1[Start Date]&gt;42094,Table1[Start Date]&lt;42461),Table1[Managing Tenancy and Accommodation],""))</f>
        <v/>
      </c>
      <c r="FJ334" s="44" t="str">
        <f>IF(Table1[Date of Initial Assessment]="","",IF(AND(Table1[Start Date]&gt;42094,Table1[Start Date]&lt;42461),Table1[Offending],""))</f>
        <v/>
      </c>
      <c r="FK334" s="44" t="str">
        <f>IF(Table1[Leaving Date]="","",IF(Table1[Date of Initial Assessment]="","",IF(AND(Table1[Leaving Date]&gt;42094,Table1[Leaving Date]&lt;42461),IF(Table1[Date of Last Assessment]="",Table1[Motivation and Taking Responsibility],Table1[Motivation and Taking Responsibility2]),"")))</f>
        <v/>
      </c>
      <c r="FL334" s="44" t="str">
        <f>IF(Table1[Leaving Date]="","",IF(Table1[Date of Initial Assessment]="","",IF(AND(Table1[Leaving Date]&gt;42094,Table1[Leaving Date]&lt;42461),IF(Table1[Date of Last Assessment]="",Table1[Self-Care and Living Skills],Table1[Self-Care and Living Skills2]),"")))</f>
        <v/>
      </c>
      <c r="FM334" s="44" t="str">
        <f>IF(Table1[Leaving Date]="","",IF(Table1[Date of Initial Assessment]="","",IF(AND(Table1[Leaving Date]&gt;42094,Table1[Leaving Date]&lt;42461),IF(Table1[Date of Last Assessment]="",Table1[Managing Money and Personal Administration],Table1[Managing Money and Personal Administration2]),"")))</f>
        <v/>
      </c>
      <c r="FN334" s="44" t="str">
        <f>IF(Table1[Leaving Date]="","",IF(Table1[Date of Initial Assessment]="","",IF(AND(Table1[Leaving Date]&gt;42094,Table1[Leaving Date]&lt;42461),IF(Table1[Date of Last Assessment]="",Table1[Social Networks and Relationships],Table1[Social Networks and Relationships2]),"")))</f>
        <v/>
      </c>
      <c r="FO334" s="44" t="str">
        <f>IF(Table1[Leaving Date]="","",IF(Table1[Date of Initial Assessment]="","",IF(AND(Table1[Leaving Date]&gt;42094,Table1[Leaving Date]&lt;42461),IF(Table1[Date of Last Assessment]="",Table1[Drug and Alcohol Misuse],Table1[Drug and Alcohol Misuse2]),"")))</f>
        <v/>
      </c>
      <c r="FP334" s="44" t="str">
        <f>IF(Table1[Leaving Date]="","",IF(Table1[Date of Initial Assessment]="","",IF(AND(Table1[Leaving Date]&gt;42094,Table1[Leaving Date]&lt;42461),IF(Table1[Date of Last Assessment]="",Table1[Physical Health],Table1[Physical Health2]),"")))</f>
        <v/>
      </c>
      <c r="FQ334" s="44" t="str">
        <f>IF(Table1[Leaving Date]="","",IF(Table1[Date of Initial Assessment]="","",IF(AND(Table1[Leaving Date]&gt;42094,Table1[Leaving Date]&lt;42461),IF(Table1[Date of Last Assessment]="",Table1[Emotional and Mental Health],Table1[Emotional and Mental Health2]),"")))</f>
        <v/>
      </c>
      <c r="FR334" s="44" t="str">
        <f>IF(Table1[Leaving Date]="","",IF(Table1[Date of Initial Assessment]="","",IF(AND(Table1[Leaving Date]&gt;42094,Table1[Leaving Date]&lt;42461),IF(Table1[Date of Last Assessment]="",Table1[Meaningful Use of Time],Table1[Meaningful Use of Time2]),"")))</f>
        <v/>
      </c>
      <c r="FS334" s="44" t="str">
        <f>IF(Table1[Leaving Date]="","",IF(Table1[Date of Initial Assessment]="","",IF(AND(Table1[Leaving Date]&gt;42094,Table1[Leaving Date]&lt;42461),IF(Table1[Date of Last Assessment]="",Table1[Managing Tenancy and Accommodation],Table1[Managing Tenancy and Accommodation2]),"")))</f>
        <v/>
      </c>
      <c r="FT334" s="44" t="str">
        <f>IF(Table1[Leaving Date]="","",IF(Table1[Date of Initial Assessment]="","",IF(AND(Table1[Leaving Date]&gt;42094,Table1[Leaving Date]&lt;42461),IF(Table1[Date of Last Assessment]="",Table1[Offending],Table1[Offending2]),"")))</f>
        <v/>
      </c>
      <c r="FU334" s="44" t="str">
        <f>IF(Table1[Date of Initial Assessment]="","",IF(AND(Table1[Start Date]&gt;42460,Table1[Start Date]&lt;42826),Table1[Motivation and Taking Responsibility],""))</f>
        <v/>
      </c>
      <c r="FV334" s="44" t="str">
        <f>IF(Table1[Date of Initial Assessment]="","",IF(AND(Table1[Start Date]&gt;42460,Table1[Start Date]&lt;42826),Table1[Self-Care and Living Skills],""))</f>
        <v/>
      </c>
      <c r="FW334" s="44" t="str">
        <f>IF(Table1[Date of Initial Assessment]="","",IF(AND(Table1[Start Date]&gt;42460,Table1[Start Date]&lt;42826),Table1[Managing Money and Personal Administration],""))</f>
        <v/>
      </c>
      <c r="FX334" s="44" t="str">
        <f>IF(Table1[Date of Initial Assessment]="","",IF(AND(Table1[Start Date]&gt;42460,Table1[Start Date]&lt;42826),Table1[Social Networks and Relationships],""))</f>
        <v/>
      </c>
      <c r="FY334" s="44" t="str">
        <f>IF(Table1[Date of Initial Assessment]="","",IF(AND(Table1[Start Date]&gt;42460,Table1[Start Date]&lt;42826),Table1[Drug and Alcohol Misuse],""))</f>
        <v/>
      </c>
      <c r="FZ334" s="44" t="str">
        <f>IF(Table1[Date of Initial Assessment]="","",IF(AND(Table1[Start Date]&gt;42460,Table1[Start Date]&lt;42826),Table1[Physical Health],""))</f>
        <v/>
      </c>
      <c r="GA334" s="44" t="str">
        <f>IF(Table1[Date of Initial Assessment]="","",IF(AND(Table1[Start Date]&gt;42460,Table1[Start Date]&lt;42826),Table1[Emotional and Mental Health],""))</f>
        <v/>
      </c>
      <c r="GB334" s="44" t="str">
        <f>IF(Table1[Date of Initial Assessment]="","",IF(AND(Table1[Start Date]&gt;42460,Table1[Start Date]&lt;42826),Table1[Meaningful Use of Time],""))</f>
        <v/>
      </c>
      <c r="GC334" s="44" t="str">
        <f>IF(Table1[Date of Initial Assessment]="","",IF(AND(Table1[Start Date]&gt;42460,Table1[Start Date]&lt;42826),Table1[Managing Tenancy and Accommodation],""))</f>
        <v/>
      </c>
      <c r="GD334" s="44" t="str">
        <f>IF(Table1[Date of Initial Assessment]="","",IF(AND(Table1[Start Date]&gt;42460,Table1[Start Date]&lt;42826),Table1[Offending],""))</f>
        <v/>
      </c>
      <c r="GE334" s="44" t="str">
        <f>IF(Table1[Leaving Date]="","",IF(AND(Table1[Leaving Date]&gt;42460,Table1[Leaving Date]&lt;42826),IF(Table1[Date of Last Assessment]="",Table1[Motivation and Taking Responsibility],Table1[Motivation and Taking Responsibility2]),""))</f>
        <v/>
      </c>
      <c r="GF334" s="44" t="str">
        <f>IF(Table1[Leaving Date]="","",IF(AND(Table1[Leaving Date]&gt;42460,Table1[Leaving Date]&lt;42826),IF(Table1[Date of Last Assessment]="",Table1[Self-Care and Living Skills],Table1[Self-Care and Living Skills2]),""))</f>
        <v/>
      </c>
      <c r="GG334" s="44" t="str">
        <f>IF(Table1[Leaving Date]="","",IF(AND(Table1[Leaving Date]&gt;42460,Table1[Leaving Date]&lt;42826),IF(Table1[Date of Last Assessment]="",Table1[Managing Money and Personal Administration],Table1[Managing Money and Personal Administration2]),""))</f>
        <v/>
      </c>
      <c r="GH334" s="44" t="str">
        <f>IF(Table1[Leaving Date]="","",IF(AND(Table1[Leaving Date]&gt;42460,Table1[Leaving Date]&lt;42826),IF(Table1[Date of Last Assessment]="",Table1[Social Networks and Relationships],Table1[Social Networks and Relationships2]),""))</f>
        <v/>
      </c>
      <c r="GI334" s="44" t="str">
        <f>IF(Table1[Leaving Date]="","",IF(AND(Table1[Leaving Date]&gt;42460,Table1[Leaving Date]&lt;42826),IF(Table1[Date of Last Assessment]="",Table1[Drug and Alcohol Misuse],Table1[Drug and Alcohol Misuse2]),""))</f>
        <v/>
      </c>
      <c r="GJ334" s="44" t="str">
        <f>IF(Table1[Leaving Date]="","",IF(AND(Table1[Leaving Date]&gt;42460,Table1[Leaving Date]&lt;42826),IF(Table1[Date of Last Assessment]="",Table1[Physical Health],Table1[Physical Health2]),""))</f>
        <v/>
      </c>
      <c r="GK334" s="44" t="str">
        <f>IF(Table1[Leaving Date]="","",IF(AND(Table1[Leaving Date]&gt;42460,Table1[Leaving Date]&lt;42826),IF(Table1[Date of Last Assessment]="",Table1[Emotional and Mental Health],Table1[Emotional and Mental Health2]),""))</f>
        <v/>
      </c>
      <c r="GL334" s="44" t="str">
        <f>IF(Table1[Leaving Date]="","",IF(AND(Table1[Leaving Date]&gt;42460,Table1[Leaving Date]&lt;42826),IF(Table1[Date of Last Assessment]="",Table1[Meaningful Use of Time],Table1[Meaningful Use of Time2]),""))</f>
        <v/>
      </c>
      <c r="GM334" s="44" t="str">
        <f>IF(Table1[Leaving Date]="","",IF(AND(Table1[Leaving Date]&gt;42460,Table1[Leaving Date]&lt;42826),IF(Table1[Date of Last Assessment]="",Table1[Managing Tenancy and Accommodation],Table1[Managing Tenancy and Accommodation2]),""))</f>
        <v/>
      </c>
      <c r="GN334" s="44" t="str">
        <f>IF(Table1[Leaving Date]="","",IF(AND(Table1[Leaving Date]&gt;42460,Table1[Leaving Date]&lt;42826),IF(Table1[Date of Last Assessment]="",Table1[Offending],Table1[Offending2]),""))</f>
        <v/>
      </c>
    </row>
    <row r="335" spans="2:196" ht="20.100000000000001" customHeight="1" x14ac:dyDescent="0.2">
      <c r="B335" s="86">
        <f>+'Service Data'!$C$5:$C$5</f>
        <v>0</v>
      </c>
      <c r="C335" s="86"/>
      <c r="D335" s="86"/>
      <c r="E335" s="86"/>
      <c r="F335" s="86"/>
      <c r="G335" s="86"/>
      <c r="H335" s="6"/>
      <c r="I335" s="99" t="str">
        <f ca="1">IF(Table1[[#This Row],[Date of Birth]]="","",SUM(TODAY()-Table1[[#This Row],[Date of Birth]])/365)</f>
        <v/>
      </c>
      <c r="L335" s="86"/>
      <c r="M335" s="77"/>
      <c r="N335" s="86"/>
      <c r="O335" s="86"/>
      <c r="P335" s="91"/>
      <c r="Q335" s="86"/>
      <c r="R335" s="77"/>
      <c r="S335" s="77"/>
      <c r="T335" s="68"/>
      <c r="U335" s="68"/>
      <c r="V335" s="67"/>
      <c r="W335" s="67"/>
      <c r="X335" s="67"/>
      <c r="Y335" s="67"/>
      <c r="Z335" s="67"/>
      <c r="AA335" s="67"/>
      <c r="AB335" s="67"/>
      <c r="AC335" s="67"/>
      <c r="AD335" s="67"/>
      <c r="AE335" s="67"/>
      <c r="AF335" s="67"/>
      <c r="AG335" s="67"/>
      <c r="AH335" s="67"/>
      <c r="AI335" s="67"/>
      <c r="AJ335" s="67"/>
      <c r="AK335" s="67"/>
      <c r="AL335" s="67"/>
      <c r="AM335" s="67"/>
      <c r="AN335" s="77"/>
      <c r="AO335" s="76"/>
      <c r="AP335" s="77"/>
      <c r="AQ335" s="76"/>
      <c r="AR335" s="76"/>
      <c r="AS335" s="76"/>
      <c r="AT335" s="76"/>
      <c r="AU335" s="76"/>
      <c r="AV335" s="77"/>
      <c r="AW335" s="76"/>
      <c r="AX335" s="77"/>
      <c r="AY335" s="76"/>
      <c r="AZ335" s="76"/>
      <c r="BA335" s="76"/>
      <c r="BB335" s="76"/>
      <c r="BC335" s="76"/>
      <c r="BD335" s="77"/>
      <c r="BE335" s="76"/>
      <c r="BF335" s="77"/>
      <c r="BG335" s="76"/>
      <c r="BH335" s="76"/>
      <c r="BI335" s="76"/>
      <c r="BJ335" s="76"/>
      <c r="BK335" s="76"/>
      <c r="BL335" s="77"/>
      <c r="BM335" s="76"/>
      <c r="BN335" s="77"/>
      <c r="BO335" s="76"/>
      <c r="BP335" s="76"/>
      <c r="BQ335" s="76"/>
      <c r="BR335" s="76"/>
      <c r="BS335" s="76"/>
      <c r="BT335" s="77"/>
      <c r="BU335" s="76"/>
      <c r="BV335" s="77"/>
      <c r="BW335" s="76"/>
      <c r="BX335" s="76"/>
      <c r="BY335" s="76"/>
      <c r="BZ335" s="76"/>
      <c r="CA335" s="76"/>
      <c r="CB335" s="77"/>
      <c r="CC335" s="76"/>
      <c r="CD335" s="77"/>
      <c r="CE335" s="76"/>
      <c r="CF335" s="76"/>
      <c r="CG335" s="76"/>
      <c r="CH335" s="76"/>
      <c r="CI335" s="76"/>
      <c r="CJ335" s="77"/>
      <c r="CK335" s="76"/>
      <c r="CL335" s="77"/>
      <c r="CM335" s="76"/>
      <c r="CN335" s="76"/>
      <c r="CO335" s="76"/>
      <c r="CP335" s="76"/>
      <c r="CQ335" s="76"/>
      <c r="CR335" s="78" t="str">
        <f t="shared" si="95"/>
        <v/>
      </c>
      <c r="CS335" s="79" t="str">
        <f t="shared" si="96"/>
        <v/>
      </c>
      <c r="CT335" s="79" t="str">
        <f t="shared" si="97"/>
        <v/>
      </c>
      <c r="CU335" s="79" t="str">
        <f t="shared" si="98"/>
        <v/>
      </c>
      <c r="CV335" s="79" t="str">
        <f t="shared" si="99"/>
        <v/>
      </c>
      <c r="CW335" s="79" t="str">
        <f t="shared" si="100"/>
        <v/>
      </c>
      <c r="CX335" s="79" t="str">
        <f t="shared" si="101"/>
        <v/>
      </c>
      <c r="CY335" s="79" t="str">
        <f t="shared" si="102"/>
        <v/>
      </c>
      <c r="CZ335" s="79" t="str">
        <f t="shared" si="103"/>
        <v/>
      </c>
      <c r="DA335" s="79" t="str">
        <f t="shared" si="104"/>
        <v/>
      </c>
      <c r="DB335" s="79" t="str">
        <f t="shared" si="105"/>
        <v/>
      </c>
      <c r="DC335" s="79" t="str">
        <f t="shared" si="106"/>
        <v/>
      </c>
      <c r="DD335" s="79" t="str">
        <f t="shared" si="107"/>
        <v/>
      </c>
      <c r="DE335" s="79" t="str">
        <f t="shared" si="108"/>
        <v/>
      </c>
      <c r="DF335" s="79" t="str">
        <f t="shared" si="109"/>
        <v/>
      </c>
      <c r="DG335" s="79" t="str">
        <f t="shared" si="110"/>
        <v/>
      </c>
      <c r="DH335" s="76"/>
      <c r="DI335" s="78"/>
      <c r="DJ335" s="76"/>
      <c r="DK335" s="77"/>
      <c r="DL335" s="77"/>
      <c r="DM335" s="77"/>
      <c r="DN335" s="80"/>
      <c r="DO335" s="80"/>
      <c r="DP335" s="92" t="str">
        <f>IF(Table1[Start Date]="","",IF(Table1[Start Date]&gt;42185,"",IF(AND(Table1[Leaving Date]&gt;1,Table1[Leaving Date]&lt;42095),"",1)))</f>
        <v/>
      </c>
      <c r="DQ335" s="92" t="str">
        <f>IF(Table1[Start Date]="","",IF(Table1[Start Date]&gt;42277,"",IF(AND(Table1[Leaving Date]&gt;1,Table1[Leaving Date]&lt;42186),"",1)))</f>
        <v/>
      </c>
      <c r="DR335" s="92" t="str">
        <f>IF(Table1[Start Date]="","",IF(Table1[Start Date]&gt;42369,"",IF(AND(Table1[Leaving Date]&gt;1,Table1[Leaving Date]&lt;42278),"",1)))</f>
        <v/>
      </c>
      <c r="DS335" s="92" t="str">
        <f>IF(Table1[Start Date]="","",IF(Table1[Start Date]&gt;42460,"",IF(AND(Table1[Leaving Date]&gt;1,Table1[Leaving Date]&lt;42370),"",1)))</f>
        <v/>
      </c>
      <c r="DT335" s="92" t="str">
        <f>IF(Table1[Start Date]="","",IF(Table1[Start Date]&gt;42551,"",IF(AND(Table1[Leaving Date]&gt;1,Table1[Leaving Date]&lt;42461),"",1)))</f>
        <v/>
      </c>
      <c r="DU335" s="92" t="str">
        <f>IF(Table1[Start Date]="","",IF(Table1[Start Date]&gt;42643,"",IF(AND(Table1[Leaving Date]&gt;1,Table1[Leaving Date]&lt;42552),"",1)))</f>
        <v/>
      </c>
      <c r="DV335" s="92" t="str">
        <f>IF(Table1[Start Date]="","",IF(Table1[Start Date]&gt;42735,"",IF(AND(Table1[Leaving Date]&gt;1,Table1[Leaving Date]&lt;42644),"",1)))</f>
        <v/>
      </c>
      <c r="DW335" s="92" t="str">
        <f>IF(Table1[Start Date]="","",IF(Table1[Start Date]&gt;42825,"",IF(AND(Table1[Leaving Date]&gt;1,Table1[Leaving Date]&lt;42736),"",1)))</f>
        <v/>
      </c>
      <c r="DX335"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335" s="44" t="e">
        <f>VLOOKUP(Table1[Referral Source],Lists!$G$2:$H$20,2,FALSE)</f>
        <v>#N/A</v>
      </c>
      <c r="DZ335" s="93" t="e">
        <f>SUM(Table1[Data Referral Quarter]+Table1[Data Referral Source])</f>
        <v>#N/A</v>
      </c>
      <c r="EA335" s="44" t="b">
        <f>IF(Table1[Referral Decision]="Accepted",100,IF(Table1[Referral Decision]="Rejected by Provider",200,IF(Table1[Referral Decision]="Rejected by Applicant",300)))</f>
        <v>0</v>
      </c>
      <c r="EB335" s="44">
        <f>SUM(Table1[Data Referral Quarter]+Table1[Data Referral Decision])</f>
        <v>0</v>
      </c>
      <c r="EC335" s="44" t="b">
        <f>IF(Table1[Start Date]&gt;42735,8000,IF(Table1[Start Date]&gt;42643,7000,IF(Table1[Start Date]&gt;42551,6000,IF(Table1[Start Date]&gt;42460,5000,IF(Table1[Start Date]&gt;42369,4000,IF(Table1[Start Date]&gt;42277,3000,IF(Table1[Start Date]&gt;42185,2000,IF(Table1[Start Date]&gt;42094,1000))))))))</f>
        <v>0</v>
      </c>
      <c r="ED335" s="44" t="str">
        <f>IF(Table1[Start Date]="","",IF(Table1[Current Local Authority]="Swindon",1,"2"))</f>
        <v/>
      </c>
      <c r="EE335" s="44" t="e">
        <f>SUM(Table1[Data Start Date]+Table1[Data Local Authority])</f>
        <v>#VALUE!</v>
      </c>
      <c r="EF335" s="44">
        <f>IF(Table1[Registered with GP]="Yes",1,0)</f>
        <v>0</v>
      </c>
      <c r="EG335" s="44">
        <f>SUM(Table1[Data Start Date]+Table1[Data GP Start])</f>
        <v>0</v>
      </c>
      <c r="EH335" s="44" t="str">
        <f>IF(Table1[EET]="NEET",1,IF(Table1[EET]="Education",2,IF(Table1[EET]="Employment",2,IF(Table1[EET]="Training",2,IF(Table1[EET]="Retired",3,"")))))</f>
        <v/>
      </c>
      <c r="EI335" s="44" t="e">
        <f>Table1[Data Start Date]+Table1[Data EET Start]</f>
        <v>#VALUE!</v>
      </c>
      <c r="EJ335" s="44" t="b">
        <f>IF(Table1[Leaving Date]&gt;42735,8000,IF(Table1[Leaving Date]&gt;42643,7000,IF(Table1[Leaving Date]&gt;42551,6000,IF(Table1[Leaving Date]&gt;42460,5000,IF(Table1[Leaving Date]&gt;42369,4000,IF(Table1[Leaving Date]&gt;42277,3000,IF(Table1[Leaving Date]&gt;42185,2000,IF(Table1[Leaving Date]&gt;42094,1000))))))))</f>
        <v>0</v>
      </c>
      <c r="EK335" s="44" t="e">
        <f>VLOOKUP(Table1[Reason for Leaving],Lists!$T$2:$U$15,2,FALSE)</f>
        <v>#N/A</v>
      </c>
      <c r="EL335" s="44" t="e">
        <f>SUM(Table1[Data Leavers Date]+Table1[Data Move On])</f>
        <v>#N/A</v>
      </c>
      <c r="EM335" s="44" t="b">
        <f>IF(Table1[Registered with GP2]="Yes",1,IF(Table1[Registered with GP2]="No",0,IF(Table1[Registered with GP]="Yes",1,IF(Table1[Registered with GP]="No",0))))</f>
        <v>0</v>
      </c>
      <c r="EN335" s="44">
        <f>SUM(Table1[Data Leavers Date]+Table1[Data GP End])</f>
        <v>0</v>
      </c>
      <c r="EO335" s="44" t="str">
        <f>IF(Table1[EET2]="NEET",1,IF(Table1[EET2]="Employment",2,IF(Table1[EET2]="Education",2,IF(Table1[EET2]="Training",2,IF(Table1[EET2]="Retired",3,IF(Table1[EET]="NEET",1,IF(Table1[EET]="Employment",2,IF(Table1[EET]="Education",2,IF(Table1[EET]="Training",2,IF(Table1[EET]="Retired",3,""))))))))))</f>
        <v/>
      </c>
      <c r="EP335" s="44" t="e">
        <f>+Table1[[#This Row],[Data Leavers Date]]+Table1[[#This Row],[Data EET End]]</f>
        <v>#VALUE!</v>
      </c>
      <c r="EQ335" s="44">
        <f>IF(Table1[Exit Form Received]="Yes",1,0)</f>
        <v>0</v>
      </c>
      <c r="ER335" s="44">
        <f>+Table1[[#This Row],[Data Leavers Date]]+Table1[[#This Row],[Data Exit Forms]]</f>
        <v>0</v>
      </c>
      <c r="ES335" s="44" t="str">
        <f>IF(Table1[Data Leavers Date]=1000,SUM(Table1[Leaving Date]-Table1[Start Date]),"")</f>
        <v/>
      </c>
      <c r="ET335" s="44" t="str">
        <f>IF(Table1[Data Leavers Date]=2000,SUM(Table1[Leaving Date]-Table1[Start Date]),"")</f>
        <v/>
      </c>
      <c r="EU335" s="44" t="str">
        <f>IF(Table1[Data Leavers Date]=3000,SUM(Table1[Leaving Date]-Table1[Start Date]),"")</f>
        <v/>
      </c>
      <c r="EV335" s="44" t="str">
        <f>IF(Table1[Data Leavers Date]=4000,SUM(Table1[Leaving Date]-Table1[Start Date]),"")</f>
        <v/>
      </c>
      <c r="EW335" s="44" t="str">
        <f>IF(Table1[Data Leavers Date]=5000,SUM(Table1[Leaving Date]-Table1[Start Date]),"")</f>
        <v/>
      </c>
      <c r="EX335" s="44" t="str">
        <f>IF(Table1[Data Leavers Date]=6000,SUM(Table1[Leaving Date]-Table1[Start Date]),"")</f>
        <v/>
      </c>
      <c r="EY335" s="44" t="str">
        <f>IF(Table1[Data Leavers Date]=7000,SUM(Table1[Leaving Date]-Table1[Start Date]),"")</f>
        <v/>
      </c>
      <c r="EZ335" s="44" t="str">
        <f>IF(Table1[Data Leavers Date]=8000,SUM(Table1[Leaving Date]-Table1[Start Date]),"")</f>
        <v/>
      </c>
      <c r="FA335" s="44" t="str">
        <f>IF(Table1[Date of Initial Assessment]="","",IF(AND(Table1[Start Date]&gt;42094,Table1[Start Date]&lt;42461),Table1[Motivation and Taking Responsibility],""))</f>
        <v/>
      </c>
      <c r="FB335" s="44" t="str">
        <f>IF(Table1[Date of Initial Assessment]="","",IF(AND(Table1[Start Date]&gt;42094,Table1[Start Date]&lt;42461),Table1[Self-Care and Living Skills],""))</f>
        <v/>
      </c>
      <c r="FC335" s="44" t="str">
        <f>IF(Table1[Date of Initial Assessment]="","",IF(AND(Table1[Start Date]&gt;42094,Table1[Start Date]&lt;42461),Table1[Managing Money and Personal Administration],""))</f>
        <v/>
      </c>
      <c r="FD335" s="44" t="str">
        <f>IF(Table1[Date of Initial Assessment]="","",IF(AND(Table1[Start Date]&gt;42094,Table1[Start Date]&lt;42461),Table1[Social Networks and Relationships],""))</f>
        <v/>
      </c>
      <c r="FE335" s="44" t="str">
        <f>IF(Table1[Date of Initial Assessment]="","",IF(AND(Table1[Start Date]&gt;42094,Table1[Start Date]&lt;42461),Table1[Drug and Alcohol Misuse],""))</f>
        <v/>
      </c>
      <c r="FF335" s="44" t="str">
        <f>IF(Table1[Date of Initial Assessment]="","",IF(AND(Table1[Start Date]&gt;42094,Table1[Start Date]&lt;42461),Table1[Physical Health],""))</f>
        <v/>
      </c>
      <c r="FG335" s="44" t="str">
        <f>IF(Table1[Date of Initial Assessment]="","",IF(AND(Table1[Start Date]&gt;42094,Table1[Start Date]&lt;42461),Table1[Emotional and Mental Health],""))</f>
        <v/>
      </c>
      <c r="FH335" s="44" t="str">
        <f>IF(Table1[Date of Initial Assessment]="","",IF(AND(Table1[Start Date]&gt;42094,Table1[Start Date]&lt;42461),Table1[Meaningful Use of Time],""))</f>
        <v/>
      </c>
      <c r="FI335" s="44" t="str">
        <f>IF(Table1[Date of Initial Assessment]="","",IF(AND(Table1[Start Date]&gt;42094,Table1[Start Date]&lt;42461),Table1[Managing Tenancy and Accommodation],""))</f>
        <v/>
      </c>
      <c r="FJ335" s="44" t="str">
        <f>IF(Table1[Date of Initial Assessment]="","",IF(AND(Table1[Start Date]&gt;42094,Table1[Start Date]&lt;42461),Table1[Offending],""))</f>
        <v/>
      </c>
      <c r="FK335" s="44" t="str">
        <f>IF(Table1[Leaving Date]="","",IF(Table1[Date of Initial Assessment]="","",IF(AND(Table1[Leaving Date]&gt;42094,Table1[Leaving Date]&lt;42461),IF(Table1[Date of Last Assessment]="",Table1[Motivation and Taking Responsibility],Table1[Motivation and Taking Responsibility2]),"")))</f>
        <v/>
      </c>
      <c r="FL335" s="44" t="str">
        <f>IF(Table1[Leaving Date]="","",IF(Table1[Date of Initial Assessment]="","",IF(AND(Table1[Leaving Date]&gt;42094,Table1[Leaving Date]&lt;42461),IF(Table1[Date of Last Assessment]="",Table1[Self-Care and Living Skills],Table1[Self-Care and Living Skills2]),"")))</f>
        <v/>
      </c>
      <c r="FM335" s="44" t="str">
        <f>IF(Table1[Leaving Date]="","",IF(Table1[Date of Initial Assessment]="","",IF(AND(Table1[Leaving Date]&gt;42094,Table1[Leaving Date]&lt;42461),IF(Table1[Date of Last Assessment]="",Table1[Managing Money and Personal Administration],Table1[Managing Money and Personal Administration2]),"")))</f>
        <v/>
      </c>
      <c r="FN335" s="44" t="str">
        <f>IF(Table1[Leaving Date]="","",IF(Table1[Date of Initial Assessment]="","",IF(AND(Table1[Leaving Date]&gt;42094,Table1[Leaving Date]&lt;42461),IF(Table1[Date of Last Assessment]="",Table1[Social Networks and Relationships],Table1[Social Networks and Relationships2]),"")))</f>
        <v/>
      </c>
      <c r="FO335" s="44" t="str">
        <f>IF(Table1[Leaving Date]="","",IF(Table1[Date of Initial Assessment]="","",IF(AND(Table1[Leaving Date]&gt;42094,Table1[Leaving Date]&lt;42461),IF(Table1[Date of Last Assessment]="",Table1[Drug and Alcohol Misuse],Table1[Drug and Alcohol Misuse2]),"")))</f>
        <v/>
      </c>
      <c r="FP335" s="44" t="str">
        <f>IF(Table1[Leaving Date]="","",IF(Table1[Date of Initial Assessment]="","",IF(AND(Table1[Leaving Date]&gt;42094,Table1[Leaving Date]&lt;42461),IF(Table1[Date of Last Assessment]="",Table1[Physical Health],Table1[Physical Health2]),"")))</f>
        <v/>
      </c>
      <c r="FQ335" s="44" t="str">
        <f>IF(Table1[Leaving Date]="","",IF(Table1[Date of Initial Assessment]="","",IF(AND(Table1[Leaving Date]&gt;42094,Table1[Leaving Date]&lt;42461),IF(Table1[Date of Last Assessment]="",Table1[Emotional and Mental Health],Table1[Emotional and Mental Health2]),"")))</f>
        <v/>
      </c>
      <c r="FR335" s="44" t="str">
        <f>IF(Table1[Leaving Date]="","",IF(Table1[Date of Initial Assessment]="","",IF(AND(Table1[Leaving Date]&gt;42094,Table1[Leaving Date]&lt;42461),IF(Table1[Date of Last Assessment]="",Table1[Meaningful Use of Time],Table1[Meaningful Use of Time2]),"")))</f>
        <v/>
      </c>
      <c r="FS335" s="44" t="str">
        <f>IF(Table1[Leaving Date]="","",IF(Table1[Date of Initial Assessment]="","",IF(AND(Table1[Leaving Date]&gt;42094,Table1[Leaving Date]&lt;42461),IF(Table1[Date of Last Assessment]="",Table1[Managing Tenancy and Accommodation],Table1[Managing Tenancy and Accommodation2]),"")))</f>
        <v/>
      </c>
      <c r="FT335" s="44" t="str">
        <f>IF(Table1[Leaving Date]="","",IF(Table1[Date of Initial Assessment]="","",IF(AND(Table1[Leaving Date]&gt;42094,Table1[Leaving Date]&lt;42461),IF(Table1[Date of Last Assessment]="",Table1[Offending],Table1[Offending2]),"")))</f>
        <v/>
      </c>
      <c r="FU335" s="44" t="str">
        <f>IF(Table1[Date of Initial Assessment]="","",IF(AND(Table1[Start Date]&gt;42460,Table1[Start Date]&lt;42826),Table1[Motivation and Taking Responsibility],""))</f>
        <v/>
      </c>
      <c r="FV335" s="44" t="str">
        <f>IF(Table1[Date of Initial Assessment]="","",IF(AND(Table1[Start Date]&gt;42460,Table1[Start Date]&lt;42826),Table1[Self-Care and Living Skills],""))</f>
        <v/>
      </c>
      <c r="FW335" s="44" t="str">
        <f>IF(Table1[Date of Initial Assessment]="","",IF(AND(Table1[Start Date]&gt;42460,Table1[Start Date]&lt;42826),Table1[Managing Money and Personal Administration],""))</f>
        <v/>
      </c>
      <c r="FX335" s="44" t="str">
        <f>IF(Table1[Date of Initial Assessment]="","",IF(AND(Table1[Start Date]&gt;42460,Table1[Start Date]&lt;42826),Table1[Social Networks and Relationships],""))</f>
        <v/>
      </c>
      <c r="FY335" s="44" t="str">
        <f>IF(Table1[Date of Initial Assessment]="","",IF(AND(Table1[Start Date]&gt;42460,Table1[Start Date]&lt;42826),Table1[Drug and Alcohol Misuse],""))</f>
        <v/>
      </c>
      <c r="FZ335" s="44" t="str">
        <f>IF(Table1[Date of Initial Assessment]="","",IF(AND(Table1[Start Date]&gt;42460,Table1[Start Date]&lt;42826),Table1[Physical Health],""))</f>
        <v/>
      </c>
      <c r="GA335" s="44" t="str">
        <f>IF(Table1[Date of Initial Assessment]="","",IF(AND(Table1[Start Date]&gt;42460,Table1[Start Date]&lt;42826),Table1[Emotional and Mental Health],""))</f>
        <v/>
      </c>
      <c r="GB335" s="44" t="str">
        <f>IF(Table1[Date of Initial Assessment]="","",IF(AND(Table1[Start Date]&gt;42460,Table1[Start Date]&lt;42826),Table1[Meaningful Use of Time],""))</f>
        <v/>
      </c>
      <c r="GC335" s="44" t="str">
        <f>IF(Table1[Date of Initial Assessment]="","",IF(AND(Table1[Start Date]&gt;42460,Table1[Start Date]&lt;42826),Table1[Managing Tenancy and Accommodation],""))</f>
        <v/>
      </c>
      <c r="GD335" s="44" t="str">
        <f>IF(Table1[Date of Initial Assessment]="","",IF(AND(Table1[Start Date]&gt;42460,Table1[Start Date]&lt;42826),Table1[Offending],""))</f>
        <v/>
      </c>
      <c r="GE335" s="44" t="str">
        <f>IF(Table1[Leaving Date]="","",IF(AND(Table1[Leaving Date]&gt;42460,Table1[Leaving Date]&lt;42826),IF(Table1[Date of Last Assessment]="",Table1[Motivation and Taking Responsibility],Table1[Motivation and Taking Responsibility2]),""))</f>
        <v/>
      </c>
      <c r="GF335" s="44" t="str">
        <f>IF(Table1[Leaving Date]="","",IF(AND(Table1[Leaving Date]&gt;42460,Table1[Leaving Date]&lt;42826),IF(Table1[Date of Last Assessment]="",Table1[Self-Care and Living Skills],Table1[Self-Care and Living Skills2]),""))</f>
        <v/>
      </c>
      <c r="GG335" s="44" t="str">
        <f>IF(Table1[Leaving Date]="","",IF(AND(Table1[Leaving Date]&gt;42460,Table1[Leaving Date]&lt;42826),IF(Table1[Date of Last Assessment]="",Table1[Managing Money and Personal Administration],Table1[Managing Money and Personal Administration2]),""))</f>
        <v/>
      </c>
      <c r="GH335" s="44" t="str">
        <f>IF(Table1[Leaving Date]="","",IF(AND(Table1[Leaving Date]&gt;42460,Table1[Leaving Date]&lt;42826),IF(Table1[Date of Last Assessment]="",Table1[Social Networks and Relationships],Table1[Social Networks and Relationships2]),""))</f>
        <v/>
      </c>
      <c r="GI335" s="44" t="str">
        <f>IF(Table1[Leaving Date]="","",IF(AND(Table1[Leaving Date]&gt;42460,Table1[Leaving Date]&lt;42826),IF(Table1[Date of Last Assessment]="",Table1[Drug and Alcohol Misuse],Table1[Drug and Alcohol Misuse2]),""))</f>
        <v/>
      </c>
      <c r="GJ335" s="44" t="str">
        <f>IF(Table1[Leaving Date]="","",IF(AND(Table1[Leaving Date]&gt;42460,Table1[Leaving Date]&lt;42826),IF(Table1[Date of Last Assessment]="",Table1[Physical Health],Table1[Physical Health2]),""))</f>
        <v/>
      </c>
      <c r="GK335" s="44" t="str">
        <f>IF(Table1[Leaving Date]="","",IF(AND(Table1[Leaving Date]&gt;42460,Table1[Leaving Date]&lt;42826),IF(Table1[Date of Last Assessment]="",Table1[Emotional and Mental Health],Table1[Emotional and Mental Health2]),""))</f>
        <v/>
      </c>
      <c r="GL335" s="44" t="str">
        <f>IF(Table1[Leaving Date]="","",IF(AND(Table1[Leaving Date]&gt;42460,Table1[Leaving Date]&lt;42826),IF(Table1[Date of Last Assessment]="",Table1[Meaningful Use of Time],Table1[Meaningful Use of Time2]),""))</f>
        <v/>
      </c>
      <c r="GM335" s="44" t="str">
        <f>IF(Table1[Leaving Date]="","",IF(AND(Table1[Leaving Date]&gt;42460,Table1[Leaving Date]&lt;42826),IF(Table1[Date of Last Assessment]="",Table1[Managing Tenancy and Accommodation],Table1[Managing Tenancy and Accommodation2]),""))</f>
        <v/>
      </c>
      <c r="GN335" s="44" t="str">
        <f>IF(Table1[Leaving Date]="","",IF(AND(Table1[Leaving Date]&gt;42460,Table1[Leaving Date]&lt;42826),IF(Table1[Date of Last Assessment]="",Table1[Offending],Table1[Offending2]),""))</f>
        <v/>
      </c>
    </row>
    <row r="336" spans="2:196" ht="20.100000000000001" customHeight="1" x14ac:dyDescent="0.2">
      <c r="B336" s="86">
        <f>+'Service Data'!$C$5:$C$5</f>
        <v>0</v>
      </c>
      <c r="C336" s="86"/>
      <c r="D336" s="86"/>
      <c r="E336" s="86"/>
      <c r="F336" s="86"/>
      <c r="G336" s="86"/>
      <c r="H336" s="6"/>
      <c r="I336" s="99" t="str">
        <f ca="1">IF(Table1[[#This Row],[Date of Birth]]="","",SUM(TODAY()-Table1[[#This Row],[Date of Birth]])/365)</f>
        <v/>
      </c>
      <c r="L336" s="86"/>
      <c r="M336" s="77"/>
      <c r="N336" s="86"/>
      <c r="O336" s="86"/>
      <c r="P336" s="91"/>
      <c r="Q336" s="86"/>
      <c r="R336" s="77"/>
      <c r="S336" s="77"/>
      <c r="T336" s="68"/>
      <c r="U336" s="68"/>
      <c r="V336" s="67"/>
      <c r="W336" s="67"/>
      <c r="X336" s="67"/>
      <c r="Y336" s="67"/>
      <c r="Z336" s="67"/>
      <c r="AA336" s="67"/>
      <c r="AB336" s="67"/>
      <c r="AC336" s="67"/>
      <c r="AD336" s="67"/>
      <c r="AE336" s="67"/>
      <c r="AF336" s="67"/>
      <c r="AG336" s="67"/>
      <c r="AH336" s="67"/>
      <c r="AI336" s="67"/>
      <c r="AJ336" s="67"/>
      <c r="AK336" s="67"/>
      <c r="AL336" s="67"/>
      <c r="AM336" s="67"/>
      <c r="AN336" s="77"/>
      <c r="AO336" s="76"/>
      <c r="AP336" s="77"/>
      <c r="AQ336" s="76"/>
      <c r="AR336" s="76"/>
      <c r="AS336" s="76"/>
      <c r="AT336" s="76"/>
      <c r="AU336" s="76"/>
      <c r="AV336" s="77"/>
      <c r="AW336" s="76"/>
      <c r="AX336" s="77"/>
      <c r="AY336" s="76"/>
      <c r="AZ336" s="76"/>
      <c r="BA336" s="76"/>
      <c r="BB336" s="76"/>
      <c r="BC336" s="76"/>
      <c r="BD336" s="77"/>
      <c r="BE336" s="76"/>
      <c r="BF336" s="77"/>
      <c r="BG336" s="76"/>
      <c r="BH336" s="76"/>
      <c r="BI336" s="76"/>
      <c r="BJ336" s="76"/>
      <c r="BK336" s="76"/>
      <c r="BL336" s="77"/>
      <c r="BM336" s="76"/>
      <c r="BN336" s="77"/>
      <c r="BO336" s="76"/>
      <c r="BP336" s="76"/>
      <c r="BQ336" s="76"/>
      <c r="BR336" s="76"/>
      <c r="BS336" s="76"/>
      <c r="BT336" s="77"/>
      <c r="BU336" s="76"/>
      <c r="BV336" s="77"/>
      <c r="BW336" s="76"/>
      <c r="BX336" s="76"/>
      <c r="BY336" s="76"/>
      <c r="BZ336" s="76"/>
      <c r="CA336" s="76"/>
      <c r="CB336" s="77"/>
      <c r="CC336" s="76"/>
      <c r="CD336" s="77"/>
      <c r="CE336" s="76"/>
      <c r="CF336" s="76"/>
      <c r="CG336" s="76"/>
      <c r="CH336" s="76"/>
      <c r="CI336" s="76"/>
      <c r="CJ336" s="77"/>
      <c r="CK336" s="76"/>
      <c r="CL336" s="77"/>
      <c r="CM336" s="76"/>
      <c r="CN336" s="76"/>
      <c r="CO336" s="76"/>
      <c r="CP336" s="76"/>
      <c r="CQ336" s="76"/>
      <c r="CR336" s="78" t="str">
        <f t="shared" si="95"/>
        <v/>
      </c>
      <c r="CS336" s="79" t="str">
        <f t="shared" si="96"/>
        <v/>
      </c>
      <c r="CT336" s="79" t="str">
        <f t="shared" si="97"/>
        <v/>
      </c>
      <c r="CU336" s="79" t="str">
        <f t="shared" si="98"/>
        <v/>
      </c>
      <c r="CV336" s="79" t="str">
        <f t="shared" si="99"/>
        <v/>
      </c>
      <c r="CW336" s="79" t="str">
        <f t="shared" si="100"/>
        <v/>
      </c>
      <c r="CX336" s="79" t="str">
        <f t="shared" si="101"/>
        <v/>
      </c>
      <c r="CY336" s="79" t="str">
        <f t="shared" si="102"/>
        <v/>
      </c>
      <c r="CZ336" s="79" t="str">
        <f t="shared" si="103"/>
        <v/>
      </c>
      <c r="DA336" s="79" t="str">
        <f t="shared" si="104"/>
        <v/>
      </c>
      <c r="DB336" s="79" t="str">
        <f t="shared" si="105"/>
        <v/>
      </c>
      <c r="DC336" s="79" t="str">
        <f t="shared" si="106"/>
        <v/>
      </c>
      <c r="DD336" s="79" t="str">
        <f t="shared" si="107"/>
        <v/>
      </c>
      <c r="DE336" s="79" t="str">
        <f t="shared" si="108"/>
        <v/>
      </c>
      <c r="DF336" s="79" t="str">
        <f t="shared" si="109"/>
        <v/>
      </c>
      <c r="DG336" s="79" t="str">
        <f t="shared" si="110"/>
        <v/>
      </c>
      <c r="DH336" s="76"/>
      <c r="DI336" s="78"/>
      <c r="DJ336" s="76"/>
      <c r="DK336" s="77"/>
      <c r="DL336" s="77"/>
      <c r="DM336" s="77"/>
      <c r="DN336" s="80"/>
      <c r="DO336" s="80"/>
      <c r="DP336" s="92" t="str">
        <f>IF(Table1[Start Date]="","",IF(Table1[Start Date]&gt;42185,"",IF(AND(Table1[Leaving Date]&gt;1,Table1[Leaving Date]&lt;42095),"",1)))</f>
        <v/>
      </c>
      <c r="DQ336" s="92" t="str">
        <f>IF(Table1[Start Date]="","",IF(Table1[Start Date]&gt;42277,"",IF(AND(Table1[Leaving Date]&gt;1,Table1[Leaving Date]&lt;42186),"",1)))</f>
        <v/>
      </c>
      <c r="DR336" s="92" t="str">
        <f>IF(Table1[Start Date]="","",IF(Table1[Start Date]&gt;42369,"",IF(AND(Table1[Leaving Date]&gt;1,Table1[Leaving Date]&lt;42278),"",1)))</f>
        <v/>
      </c>
      <c r="DS336" s="92" t="str">
        <f>IF(Table1[Start Date]="","",IF(Table1[Start Date]&gt;42460,"",IF(AND(Table1[Leaving Date]&gt;1,Table1[Leaving Date]&lt;42370),"",1)))</f>
        <v/>
      </c>
      <c r="DT336" s="92" t="str">
        <f>IF(Table1[Start Date]="","",IF(Table1[Start Date]&gt;42551,"",IF(AND(Table1[Leaving Date]&gt;1,Table1[Leaving Date]&lt;42461),"",1)))</f>
        <v/>
      </c>
      <c r="DU336" s="92" t="str">
        <f>IF(Table1[Start Date]="","",IF(Table1[Start Date]&gt;42643,"",IF(AND(Table1[Leaving Date]&gt;1,Table1[Leaving Date]&lt;42552),"",1)))</f>
        <v/>
      </c>
      <c r="DV336" s="92" t="str">
        <f>IF(Table1[Start Date]="","",IF(Table1[Start Date]&gt;42735,"",IF(AND(Table1[Leaving Date]&gt;1,Table1[Leaving Date]&lt;42644),"",1)))</f>
        <v/>
      </c>
      <c r="DW336" s="92" t="str">
        <f>IF(Table1[Start Date]="","",IF(Table1[Start Date]&gt;42825,"",IF(AND(Table1[Leaving Date]&gt;1,Table1[Leaving Date]&lt;42736),"",1)))</f>
        <v/>
      </c>
      <c r="DX336"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336" s="44" t="e">
        <f>VLOOKUP(Table1[Referral Source],Lists!$G$2:$H$20,2,FALSE)</f>
        <v>#N/A</v>
      </c>
      <c r="DZ336" s="93" t="e">
        <f>SUM(Table1[Data Referral Quarter]+Table1[Data Referral Source])</f>
        <v>#N/A</v>
      </c>
      <c r="EA336" s="44" t="b">
        <f>IF(Table1[Referral Decision]="Accepted",100,IF(Table1[Referral Decision]="Rejected by Provider",200,IF(Table1[Referral Decision]="Rejected by Applicant",300)))</f>
        <v>0</v>
      </c>
      <c r="EB336" s="44">
        <f>SUM(Table1[Data Referral Quarter]+Table1[Data Referral Decision])</f>
        <v>0</v>
      </c>
      <c r="EC336" s="44" t="b">
        <f>IF(Table1[Start Date]&gt;42735,8000,IF(Table1[Start Date]&gt;42643,7000,IF(Table1[Start Date]&gt;42551,6000,IF(Table1[Start Date]&gt;42460,5000,IF(Table1[Start Date]&gt;42369,4000,IF(Table1[Start Date]&gt;42277,3000,IF(Table1[Start Date]&gt;42185,2000,IF(Table1[Start Date]&gt;42094,1000))))))))</f>
        <v>0</v>
      </c>
      <c r="ED336" s="44" t="str">
        <f>IF(Table1[Start Date]="","",IF(Table1[Current Local Authority]="Swindon",1,"2"))</f>
        <v/>
      </c>
      <c r="EE336" s="44" t="e">
        <f>SUM(Table1[Data Start Date]+Table1[Data Local Authority])</f>
        <v>#VALUE!</v>
      </c>
      <c r="EF336" s="44">
        <f>IF(Table1[Registered with GP]="Yes",1,0)</f>
        <v>0</v>
      </c>
      <c r="EG336" s="44">
        <f>SUM(Table1[Data Start Date]+Table1[Data GP Start])</f>
        <v>0</v>
      </c>
      <c r="EH336" s="44" t="str">
        <f>IF(Table1[EET]="NEET",1,IF(Table1[EET]="Education",2,IF(Table1[EET]="Employment",2,IF(Table1[EET]="Training",2,IF(Table1[EET]="Retired",3,"")))))</f>
        <v/>
      </c>
      <c r="EI336" s="44" t="e">
        <f>Table1[Data Start Date]+Table1[Data EET Start]</f>
        <v>#VALUE!</v>
      </c>
      <c r="EJ336" s="44" t="b">
        <f>IF(Table1[Leaving Date]&gt;42735,8000,IF(Table1[Leaving Date]&gt;42643,7000,IF(Table1[Leaving Date]&gt;42551,6000,IF(Table1[Leaving Date]&gt;42460,5000,IF(Table1[Leaving Date]&gt;42369,4000,IF(Table1[Leaving Date]&gt;42277,3000,IF(Table1[Leaving Date]&gt;42185,2000,IF(Table1[Leaving Date]&gt;42094,1000))))))))</f>
        <v>0</v>
      </c>
      <c r="EK336" s="44" t="e">
        <f>VLOOKUP(Table1[Reason for Leaving],Lists!$T$2:$U$15,2,FALSE)</f>
        <v>#N/A</v>
      </c>
      <c r="EL336" s="44" t="e">
        <f>SUM(Table1[Data Leavers Date]+Table1[Data Move On])</f>
        <v>#N/A</v>
      </c>
      <c r="EM336" s="44" t="b">
        <f>IF(Table1[Registered with GP2]="Yes",1,IF(Table1[Registered with GP2]="No",0,IF(Table1[Registered with GP]="Yes",1,IF(Table1[Registered with GP]="No",0))))</f>
        <v>0</v>
      </c>
      <c r="EN336" s="44">
        <f>SUM(Table1[Data Leavers Date]+Table1[Data GP End])</f>
        <v>0</v>
      </c>
      <c r="EO336" s="44" t="str">
        <f>IF(Table1[EET2]="NEET",1,IF(Table1[EET2]="Employment",2,IF(Table1[EET2]="Education",2,IF(Table1[EET2]="Training",2,IF(Table1[EET2]="Retired",3,IF(Table1[EET]="NEET",1,IF(Table1[EET]="Employment",2,IF(Table1[EET]="Education",2,IF(Table1[EET]="Training",2,IF(Table1[EET]="Retired",3,""))))))))))</f>
        <v/>
      </c>
      <c r="EP336" s="44" t="e">
        <f>+Table1[[#This Row],[Data Leavers Date]]+Table1[[#This Row],[Data EET End]]</f>
        <v>#VALUE!</v>
      </c>
      <c r="EQ336" s="44">
        <f>IF(Table1[Exit Form Received]="Yes",1,0)</f>
        <v>0</v>
      </c>
      <c r="ER336" s="44">
        <f>+Table1[[#This Row],[Data Leavers Date]]+Table1[[#This Row],[Data Exit Forms]]</f>
        <v>0</v>
      </c>
      <c r="ES336" s="44" t="str">
        <f>IF(Table1[Data Leavers Date]=1000,SUM(Table1[Leaving Date]-Table1[Start Date]),"")</f>
        <v/>
      </c>
      <c r="ET336" s="44" t="str">
        <f>IF(Table1[Data Leavers Date]=2000,SUM(Table1[Leaving Date]-Table1[Start Date]),"")</f>
        <v/>
      </c>
      <c r="EU336" s="44" t="str">
        <f>IF(Table1[Data Leavers Date]=3000,SUM(Table1[Leaving Date]-Table1[Start Date]),"")</f>
        <v/>
      </c>
      <c r="EV336" s="44" t="str">
        <f>IF(Table1[Data Leavers Date]=4000,SUM(Table1[Leaving Date]-Table1[Start Date]),"")</f>
        <v/>
      </c>
      <c r="EW336" s="44" t="str">
        <f>IF(Table1[Data Leavers Date]=5000,SUM(Table1[Leaving Date]-Table1[Start Date]),"")</f>
        <v/>
      </c>
      <c r="EX336" s="44" t="str">
        <f>IF(Table1[Data Leavers Date]=6000,SUM(Table1[Leaving Date]-Table1[Start Date]),"")</f>
        <v/>
      </c>
      <c r="EY336" s="44" t="str">
        <f>IF(Table1[Data Leavers Date]=7000,SUM(Table1[Leaving Date]-Table1[Start Date]),"")</f>
        <v/>
      </c>
      <c r="EZ336" s="44" t="str">
        <f>IF(Table1[Data Leavers Date]=8000,SUM(Table1[Leaving Date]-Table1[Start Date]),"")</f>
        <v/>
      </c>
      <c r="FA336" s="44" t="str">
        <f>IF(Table1[Date of Initial Assessment]="","",IF(AND(Table1[Start Date]&gt;42094,Table1[Start Date]&lt;42461),Table1[Motivation and Taking Responsibility],""))</f>
        <v/>
      </c>
      <c r="FB336" s="44" t="str">
        <f>IF(Table1[Date of Initial Assessment]="","",IF(AND(Table1[Start Date]&gt;42094,Table1[Start Date]&lt;42461),Table1[Self-Care and Living Skills],""))</f>
        <v/>
      </c>
      <c r="FC336" s="44" t="str">
        <f>IF(Table1[Date of Initial Assessment]="","",IF(AND(Table1[Start Date]&gt;42094,Table1[Start Date]&lt;42461),Table1[Managing Money and Personal Administration],""))</f>
        <v/>
      </c>
      <c r="FD336" s="44" t="str">
        <f>IF(Table1[Date of Initial Assessment]="","",IF(AND(Table1[Start Date]&gt;42094,Table1[Start Date]&lt;42461),Table1[Social Networks and Relationships],""))</f>
        <v/>
      </c>
      <c r="FE336" s="44" t="str">
        <f>IF(Table1[Date of Initial Assessment]="","",IF(AND(Table1[Start Date]&gt;42094,Table1[Start Date]&lt;42461),Table1[Drug and Alcohol Misuse],""))</f>
        <v/>
      </c>
      <c r="FF336" s="44" t="str">
        <f>IF(Table1[Date of Initial Assessment]="","",IF(AND(Table1[Start Date]&gt;42094,Table1[Start Date]&lt;42461),Table1[Physical Health],""))</f>
        <v/>
      </c>
      <c r="FG336" s="44" t="str">
        <f>IF(Table1[Date of Initial Assessment]="","",IF(AND(Table1[Start Date]&gt;42094,Table1[Start Date]&lt;42461),Table1[Emotional and Mental Health],""))</f>
        <v/>
      </c>
      <c r="FH336" s="44" t="str">
        <f>IF(Table1[Date of Initial Assessment]="","",IF(AND(Table1[Start Date]&gt;42094,Table1[Start Date]&lt;42461),Table1[Meaningful Use of Time],""))</f>
        <v/>
      </c>
      <c r="FI336" s="44" t="str">
        <f>IF(Table1[Date of Initial Assessment]="","",IF(AND(Table1[Start Date]&gt;42094,Table1[Start Date]&lt;42461),Table1[Managing Tenancy and Accommodation],""))</f>
        <v/>
      </c>
      <c r="FJ336" s="44" t="str">
        <f>IF(Table1[Date of Initial Assessment]="","",IF(AND(Table1[Start Date]&gt;42094,Table1[Start Date]&lt;42461),Table1[Offending],""))</f>
        <v/>
      </c>
      <c r="FK336" s="44" t="str">
        <f>IF(Table1[Leaving Date]="","",IF(Table1[Date of Initial Assessment]="","",IF(AND(Table1[Leaving Date]&gt;42094,Table1[Leaving Date]&lt;42461),IF(Table1[Date of Last Assessment]="",Table1[Motivation and Taking Responsibility],Table1[Motivation and Taking Responsibility2]),"")))</f>
        <v/>
      </c>
      <c r="FL336" s="44" t="str">
        <f>IF(Table1[Leaving Date]="","",IF(Table1[Date of Initial Assessment]="","",IF(AND(Table1[Leaving Date]&gt;42094,Table1[Leaving Date]&lt;42461),IF(Table1[Date of Last Assessment]="",Table1[Self-Care and Living Skills],Table1[Self-Care and Living Skills2]),"")))</f>
        <v/>
      </c>
      <c r="FM336" s="44" t="str">
        <f>IF(Table1[Leaving Date]="","",IF(Table1[Date of Initial Assessment]="","",IF(AND(Table1[Leaving Date]&gt;42094,Table1[Leaving Date]&lt;42461),IF(Table1[Date of Last Assessment]="",Table1[Managing Money and Personal Administration],Table1[Managing Money and Personal Administration2]),"")))</f>
        <v/>
      </c>
      <c r="FN336" s="44" t="str">
        <f>IF(Table1[Leaving Date]="","",IF(Table1[Date of Initial Assessment]="","",IF(AND(Table1[Leaving Date]&gt;42094,Table1[Leaving Date]&lt;42461),IF(Table1[Date of Last Assessment]="",Table1[Social Networks and Relationships],Table1[Social Networks and Relationships2]),"")))</f>
        <v/>
      </c>
      <c r="FO336" s="44" t="str">
        <f>IF(Table1[Leaving Date]="","",IF(Table1[Date of Initial Assessment]="","",IF(AND(Table1[Leaving Date]&gt;42094,Table1[Leaving Date]&lt;42461),IF(Table1[Date of Last Assessment]="",Table1[Drug and Alcohol Misuse],Table1[Drug and Alcohol Misuse2]),"")))</f>
        <v/>
      </c>
      <c r="FP336" s="44" t="str">
        <f>IF(Table1[Leaving Date]="","",IF(Table1[Date of Initial Assessment]="","",IF(AND(Table1[Leaving Date]&gt;42094,Table1[Leaving Date]&lt;42461),IF(Table1[Date of Last Assessment]="",Table1[Physical Health],Table1[Physical Health2]),"")))</f>
        <v/>
      </c>
      <c r="FQ336" s="44" t="str">
        <f>IF(Table1[Leaving Date]="","",IF(Table1[Date of Initial Assessment]="","",IF(AND(Table1[Leaving Date]&gt;42094,Table1[Leaving Date]&lt;42461),IF(Table1[Date of Last Assessment]="",Table1[Emotional and Mental Health],Table1[Emotional and Mental Health2]),"")))</f>
        <v/>
      </c>
      <c r="FR336" s="44" t="str">
        <f>IF(Table1[Leaving Date]="","",IF(Table1[Date of Initial Assessment]="","",IF(AND(Table1[Leaving Date]&gt;42094,Table1[Leaving Date]&lt;42461),IF(Table1[Date of Last Assessment]="",Table1[Meaningful Use of Time],Table1[Meaningful Use of Time2]),"")))</f>
        <v/>
      </c>
      <c r="FS336" s="44" t="str">
        <f>IF(Table1[Leaving Date]="","",IF(Table1[Date of Initial Assessment]="","",IF(AND(Table1[Leaving Date]&gt;42094,Table1[Leaving Date]&lt;42461),IF(Table1[Date of Last Assessment]="",Table1[Managing Tenancy and Accommodation],Table1[Managing Tenancy and Accommodation2]),"")))</f>
        <v/>
      </c>
      <c r="FT336" s="44" t="str">
        <f>IF(Table1[Leaving Date]="","",IF(Table1[Date of Initial Assessment]="","",IF(AND(Table1[Leaving Date]&gt;42094,Table1[Leaving Date]&lt;42461),IF(Table1[Date of Last Assessment]="",Table1[Offending],Table1[Offending2]),"")))</f>
        <v/>
      </c>
      <c r="FU336" s="44" t="str">
        <f>IF(Table1[Date of Initial Assessment]="","",IF(AND(Table1[Start Date]&gt;42460,Table1[Start Date]&lt;42826),Table1[Motivation and Taking Responsibility],""))</f>
        <v/>
      </c>
      <c r="FV336" s="44" t="str">
        <f>IF(Table1[Date of Initial Assessment]="","",IF(AND(Table1[Start Date]&gt;42460,Table1[Start Date]&lt;42826),Table1[Self-Care and Living Skills],""))</f>
        <v/>
      </c>
      <c r="FW336" s="44" t="str">
        <f>IF(Table1[Date of Initial Assessment]="","",IF(AND(Table1[Start Date]&gt;42460,Table1[Start Date]&lt;42826),Table1[Managing Money and Personal Administration],""))</f>
        <v/>
      </c>
      <c r="FX336" s="44" t="str">
        <f>IF(Table1[Date of Initial Assessment]="","",IF(AND(Table1[Start Date]&gt;42460,Table1[Start Date]&lt;42826),Table1[Social Networks and Relationships],""))</f>
        <v/>
      </c>
      <c r="FY336" s="44" t="str">
        <f>IF(Table1[Date of Initial Assessment]="","",IF(AND(Table1[Start Date]&gt;42460,Table1[Start Date]&lt;42826),Table1[Drug and Alcohol Misuse],""))</f>
        <v/>
      </c>
      <c r="FZ336" s="44" t="str">
        <f>IF(Table1[Date of Initial Assessment]="","",IF(AND(Table1[Start Date]&gt;42460,Table1[Start Date]&lt;42826),Table1[Physical Health],""))</f>
        <v/>
      </c>
      <c r="GA336" s="44" t="str">
        <f>IF(Table1[Date of Initial Assessment]="","",IF(AND(Table1[Start Date]&gt;42460,Table1[Start Date]&lt;42826),Table1[Emotional and Mental Health],""))</f>
        <v/>
      </c>
      <c r="GB336" s="44" t="str">
        <f>IF(Table1[Date of Initial Assessment]="","",IF(AND(Table1[Start Date]&gt;42460,Table1[Start Date]&lt;42826),Table1[Meaningful Use of Time],""))</f>
        <v/>
      </c>
      <c r="GC336" s="44" t="str">
        <f>IF(Table1[Date of Initial Assessment]="","",IF(AND(Table1[Start Date]&gt;42460,Table1[Start Date]&lt;42826),Table1[Managing Tenancy and Accommodation],""))</f>
        <v/>
      </c>
      <c r="GD336" s="44" t="str">
        <f>IF(Table1[Date of Initial Assessment]="","",IF(AND(Table1[Start Date]&gt;42460,Table1[Start Date]&lt;42826),Table1[Offending],""))</f>
        <v/>
      </c>
      <c r="GE336" s="44" t="str">
        <f>IF(Table1[Leaving Date]="","",IF(AND(Table1[Leaving Date]&gt;42460,Table1[Leaving Date]&lt;42826),IF(Table1[Date of Last Assessment]="",Table1[Motivation and Taking Responsibility],Table1[Motivation and Taking Responsibility2]),""))</f>
        <v/>
      </c>
      <c r="GF336" s="44" t="str">
        <f>IF(Table1[Leaving Date]="","",IF(AND(Table1[Leaving Date]&gt;42460,Table1[Leaving Date]&lt;42826),IF(Table1[Date of Last Assessment]="",Table1[Self-Care and Living Skills],Table1[Self-Care and Living Skills2]),""))</f>
        <v/>
      </c>
      <c r="GG336" s="44" t="str">
        <f>IF(Table1[Leaving Date]="","",IF(AND(Table1[Leaving Date]&gt;42460,Table1[Leaving Date]&lt;42826),IF(Table1[Date of Last Assessment]="",Table1[Managing Money and Personal Administration],Table1[Managing Money and Personal Administration2]),""))</f>
        <v/>
      </c>
      <c r="GH336" s="44" t="str">
        <f>IF(Table1[Leaving Date]="","",IF(AND(Table1[Leaving Date]&gt;42460,Table1[Leaving Date]&lt;42826),IF(Table1[Date of Last Assessment]="",Table1[Social Networks and Relationships],Table1[Social Networks and Relationships2]),""))</f>
        <v/>
      </c>
      <c r="GI336" s="44" t="str">
        <f>IF(Table1[Leaving Date]="","",IF(AND(Table1[Leaving Date]&gt;42460,Table1[Leaving Date]&lt;42826),IF(Table1[Date of Last Assessment]="",Table1[Drug and Alcohol Misuse],Table1[Drug and Alcohol Misuse2]),""))</f>
        <v/>
      </c>
      <c r="GJ336" s="44" t="str">
        <f>IF(Table1[Leaving Date]="","",IF(AND(Table1[Leaving Date]&gt;42460,Table1[Leaving Date]&lt;42826),IF(Table1[Date of Last Assessment]="",Table1[Physical Health],Table1[Physical Health2]),""))</f>
        <v/>
      </c>
      <c r="GK336" s="44" t="str">
        <f>IF(Table1[Leaving Date]="","",IF(AND(Table1[Leaving Date]&gt;42460,Table1[Leaving Date]&lt;42826),IF(Table1[Date of Last Assessment]="",Table1[Emotional and Mental Health],Table1[Emotional and Mental Health2]),""))</f>
        <v/>
      </c>
      <c r="GL336" s="44" t="str">
        <f>IF(Table1[Leaving Date]="","",IF(AND(Table1[Leaving Date]&gt;42460,Table1[Leaving Date]&lt;42826),IF(Table1[Date of Last Assessment]="",Table1[Meaningful Use of Time],Table1[Meaningful Use of Time2]),""))</f>
        <v/>
      </c>
      <c r="GM336" s="44" t="str">
        <f>IF(Table1[Leaving Date]="","",IF(AND(Table1[Leaving Date]&gt;42460,Table1[Leaving Date]&lt;42826),IF(Table1[Date of Last Assessment]="",Table1[Managing Tenancy and Accommodation],Table1[Managing Tenancy and Accommodation2]),""))</f>
        <v/>
      </c>
      <c r="GN336" s="44" t="str">
        <f>IF(Table1[Leaving Date]="","",IF(AND(Table1[Leaving Date]&gt;42460,Table1[Leaving Date]&lt;42826),IF(Table1[Date of Last Assessment]="",Table1[Offending],Table1[Offending2]),""))</f>
        <v/>
      </c>
    </row>
    <row r="337" spans="2:196" ht="20.100000000000001" customHeight="1" x14ac:dyDescent="0.2">
      <c r="B337" s="86">
        <f>+'Service Data'!$C$5:$C$5</f>
        <v>0</v>
      </c>
      <c r="C337" s="86"/>
      <c r="D337" s="86"/>
      <c r="E337" s="86"/>
      <c r="F337" s="86"/>
      <c r="G337" s="86"/>
      <c r="H337" s="6"/>
      <c r="I337" s="99" t="str">
        <f ca="1">IF(Table1[[#This Row],[Date of Birth]]="","",SUM(TODAY()-Table1[[#This Row],[Date of Birth]])/365)</f>
        <v/>
      </c>
      <c r="L337" s="86"/>
      <c r="M337" s="77"/>
      <c r="N337" s="86"/>
      <c r="O337" s="86"/>
      <c r="P337" s="91"/>
      <c r="Q337" s="86"/>
      <c r="R337" s="77"/>
      <c r="S337" s="77"/>
      <c r="T337" s="68"/>
      <c r="U337" s="68"/>
      <c r="V337" s="67"/>
      <c r="W337" s="67"/>
      <c r="X337" s="67"/>
      <c r="Y337" s="67"/>
      <c r="Z337" s="67"/>
      <c r="AA337" s="67"/>
      <c r="AB337" s="67"/>
      <c r="AC337" s="67"/>
      <c r="AD337" s="67"/>
      <c r="AE337" s="67"/>
      <c r="AF337" s="67"/>
      <c r="AG337" s="67"/>
      <c r="AH337" s="67"/>
      <c r="AI337" s="67"/>
      <c r="AJ337" s="67"/>
      <c r="AK337" s="67"/>
      <c r="AL337" s="67"/>
      <c r="AM337" s="67"/>
      <c r="AN337" s="77"/>
      <c r="AO337" s="76"/>
      <c r="AP337" s="77"/>
      <c r="AQ337" s="76"/>
      <c r="AR337" s="76"/>
      <c r="AS337" s="76"/>
      <c r="AT337" s="76"/>
      <c r="AU337" s="76"/>
      <c r="AV337" s="77"/>
      <c r="AW337" s="76"/>
      <c r="AX337" s="77"/>
      <c r="AY337" s="76"/>
      <c r="AZ337" s="76"/>
      <c r="BA337" s="76"/>
      <c r="BB337" s="76"/>
      <c r="BC337" s="76"/>
      <c r="BD337" s="77"/>
      <c r="BE337" s="76"/>
      <c r="BF337" s="77"/>
      <c r="BG337" s="76"/>
      <c r="BH337" s="76"/>
      <c r="BI337" s="76"/>
      <c r="BJ337" s="76"/>
      <c r="BK337" s="76"/>
      <c r="BL337" s="77"/>
      <c r="BM337" s="76"/>
      <c r="BN337" s="77"/>
      <c r="BO337" s="76"/>
      <c r="BP337" s="76"/>
      <c r="BQ337" s="76"/>
      <c r="BR337" s="76"/>
      <c r="BS337" s="76"/>
      <c r="BT337" s="77"/>
      <c r="BU337" s="76"/>
      <c r="BV337" s="77"/>
      <c r="BW337" s="76"/>
      <c r="BX337" s="76"/>
      <c r="BY337" s="76"/>
      <c r="BZ337" s="76"/>
      <c r="CA337" s="76"/>
      <c r="CB337" s="77"/>
      <c r="CC337" s="76"/>
      <c r="CD337" s="77"/>
      <c r="CE337" s="76"/>
      <c r="CF337" s="76"/>
      <c r="CG337" s="76"/>
      <c r="CH337" s="76"/>
      <c r="CI337" s="76"/>
      <c r="CJ337" s="77"/>
      <c r="CK337" s="76"/>
      <c r="CL337" s="77"/>
      <c r="CM337" s="76"/>
      <c r="CN337" s="76"/>
      <c r="CO337" s="76"/>
      <c r="CP337" s="76"/>
      <c r="CQ337" s="76"/>
      <c r="CR337" s="78" t="str">
        <f t="shared" si="95"/>
        <v/>
      </c>
      <c r="CS337" s="79" t="str">
        <f t="shared" si="96"/>
        <v/>
      </c>
      <c r="CT337" s="79" t="str">
        <f t="shared" si="97"/>
        <v/>
      </c>
      <c r="CU337" s="79" t="str">
        <f t="shared" si="98"/>
        <v/>
      </c>
      <c r="CV337" s="79" t="str">
        <f t="shared" si="99"/>
        <v/>
      </c>
      <c r="CW337" s="79" t="str">
        <f t="shared" si="100"/>
        <v/>
      </c>
      <c r="CX337" s="79" t="str">
        <f t="shared" si="101"/>
        <v/>
      </c>
      <c r="CY337" s="79" t="str">
        <f t="shared" si="102"/>
        <v/>
      </c>
      <c r="CZ337" s="79" t="str">
        <f t="shared" si="103"/>
        <v/>
      </c>
      <c r="DA337" s="79" t="str">
        <f t="shared" si="104"/>
        <v/>
      </c>
      <c r="DB337" s="79" t="str">
        <f t="shared" si="105"/>
        <v/>
      </c>
      <c r="DC337" s="79" t="str">
        <f t="shared" si="106"/>
        <v/>
      </c>
      <c r="DD337" s="79" t="str">
        <f t="shared" si="107"/>
        <v/>
      </c>
      <c r="DE337" s="79" t="str">
        <f t="shared" si="108"/>
        <v/>
      </c>
      <c r="DF337" s="79" t="str">
        <f t="shared" si="109"/>
        <v/>
      </c>
      <c r="DG337" s="79" t="str">
        <f t="shared" si="110"/>
        <v/>
      </c>
      <c r="DH337" s="76"/>
      <c r="DI337" s="78"/>
      <c r="DJ337" s="76"/>
      <c r="DK337" s="77"/>
      <c r="DL337" s="77"/>
      <c r="DM337" s="77"/>
      <c r="DN337" s="80"/>
      <c r="DO337" s="80"/>
      <c r="DP337" s="92" t="str">
        <f>IF(Table1[Start Date]="","",IF(Table1[Start Date]&gt;42185,"",IF(AND(Table1[Leaving Date]&gt;1,Table1[Leaving Date]&lt;42095),"",1)))</f>
        <v/>
      </c>
      <c r="DQ337" s="92" t="str">
        <f>IF(Table1[Start Date]="","",IF(Table1[Start Date]&gt;42277,"",IF(AND(Table1[Leaving Date]&gt;1,Table1[Leaving Date]&lt;42186),"",1)))</f>
        <v/>
      </c>
      <c r="DR337" s="92" t="str">
        <f>IF(Table1[Start Date]="","",IF(Table1[Start Date]&gt;42369,"",IF(AND(Table1[Leaving Date]&gt;1,Table1[Leaving Date]&lt;42278),"",1)))</f>
        <v/>
      </c>
      <c r="DS337" s="92" t="str">
        <f>IF(Table1[Start Date]="","",IF(Table1[Start Date]&gt;42460,"",IF(AND(Table1[Leaving Date]&gt;1,Table1[Leaving Date]&lt;42370),"",1)))</f>
        <v/>
      </c>
      <c r="DT337" s="92" t="str">
        <f>IF(Table1[Start Date]="","",IF(Table1[Start Date]&gt;42551,"",IF(AND(Table1[Leaving Date]&gt;1,Table1[Leaving Date]&lt;42461),"",1)))</f>
        <v/>
      </c>
      <c r="DU337" s="92" t="str">
        <f>IF(Table1[Start Date]="","",IF(Table1[Start Date]&gt;42643,"",IF(AND(Table1[Leaving Date]&gt;1,Table1[Leaving Date]&lt;42552),"",1)))</f>
        <v/>
      </c>
      <c r="DV337" s="92" t="str">
        <f>IF(Table1[Start Date]="","",IF(Table1[Start Date]&gt;42735,"",IF(AND(Table1[Leaving Date]&gt;1,Table1[Leaving Date]&lt;42644),"",1)))</f>
        <v/>
      </c>
      <c r="DW337" s="92" t="str">
        <f>IF(Table1[Start Date]="","",IF(Table1[Start Date]&gt;42825,"",IF(AND(Table1[Leaving Date]&gt;1,Table1[Leaving Date]&lt;42736),"",1)))</f>
        <v/>
      </c>
      <c r="DX337"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337" s="44" t="e">
        <f>VLOOKUP(Table1[Referral Source],Lists!$G$2:$H$20,2,FALSE)</f>
        <v>#N/A</v>
      </c>
      <c r="DZ337" s="93" t="e">
        <f>SUM(Table1[Data Referral Quarter]+Table1[Data Referral Source])</f>
        <v>#N/A</v>
      </c>
      <c r="EA337" s="44" t="b">
        <f>IF(Table1[Referral Decision]="Accepted",100,IF(Table1[Referral Decision]="Rejected by Provider",200,IF(Table1[Referral Decision]="Rejected by Applicant",300)))</f>
        <v>0</v>
      </c>
      <c r="EB337" s="44">
        <f>SUM(Table1[Data Referral Quarter]+Table1[Data Referral Decision])</f>
        <v>0</v>
      </c>
      <c r="EC337" s="44" t="b">
        <f>IF(Table1[Start Date]&gt;42735,8000,IF(Table1[Start Date]&gt;42643,7000,IF(Table1[Start Date]&gt;42551,6000,IF(Table1[Start Date]&gt;42460,5000,IF(Table1[Start Date]&gt;42369,4000,IF(Table1[Start Date]&gt;42277,3000,IF(Table1[Start Date]&gt;42185,2000,IF(Table1[Start Date]&gt;42094,1000))))))))</f>
        <v>0</v>
      </c>
      <c r="ED337" s="44" t="str">
        <f>IF(Table1[Start Date]="","",IF(Table1[Current Local Authority]="Swindon",1,"2"))</f>
        <v/>
      </c>
      <c r="EE337" s="44" t="e">
        <f>SUM(Table1[Data Start Date]+Table1[Data Local Authority])</f>
        <v>#VALUE!</v>
      </c>
      <c r="EF337" s="44">
        <f>IF(Table1[Registered with GP]="Yes",1,0)</f>
        <v>0</v>
      </c>
      <c r="EG337" s="44">
        <f>SUM(Table1[Data Start Date]+Table1[Data GP Start])</f>
        <v>0</v>
      </c>
      <c r="EH337" s="44" t="str">
        <f>IF(Table1[EET]="NEET",1,IF(Table1[EET]="Education",2,IF(Table1[EET]="Employment",2,IF(Table1[EET]="Training",2,IF(Table1[EET]="Retired",3,"")))))</f>
        <v/>
      </c>
      <c r="EI337" s="44" t="e">
        <f>Table1[Data Start Date]+Table1[Data EET Start]</f>
        <v>#VALUE!</v>
      </c>
      <c r="EJ337" s="44" t="b">
        <f>IF(Table1[Leaving Date]&gt;42735,8000,IF(Table1[Leaving Date]&gt;42643,7000,IF(Table1[Leaving Date]&gt;42551,6000,IF(Table1[Leaving Date]&gt;42460,5000,IF(Table1[Leaving Date]&gt;42369,4000,IF(Table1[Leaving Date]&gt;42277,3000,IF(Table1[Leaving Date]&gt;42185,2000,IF(Table1[Leaving Date]&gt;42094,1000))))))))</f>
        <v>0</v>
      </c>
      <c r="EK337" s="44" t="e">
        <f>VLOOKUP(Table1[Reason for Leaving],Lists!$T$2:$U$15,2,FALSE)</f>
        <v>#N/A</v>
      </c>
      <c r="EL337" s="44" t="e">
        <f>SUM(Table1[Data Leavers Date]+Table1[Data Move On])</f>
        <v>#N/A</v>
      </c>
      <c r="EM337" s="44" t="b">
        <f>IF(Table1[Registered with GP2]="Yes",1,IF(Table1[Registered with GP2]="No",0,IF(Table1[Registered with GP]="Yes",1,IF(Table1[Registered with GP]="No",0))))</f>
        <v>0</v>
      </c>
      <c r="EN337" s="44">
        <f>SUM(Table1[Data Leavers Date]+Table1[Data GP End])</f>
        <v>0</v>
      </c>
      <c r="EO337" s="44" t="str">
        <f>IF(Table1[EET2]="NEET",1,IF(Table1[EET2]="Employment",2,IF(Table1[EET2]="Education",2,IF(Table1[EET2]="Training",2,IF(Table1[EET2]="Retired",3,IF(Table1[EET]="NEET",1,IF(Table1[EET]="Employment",2,IF(Table1[EET]="Education",2,IF(Table1[EET]="Training",2,IF(Table1[EET]="Retired",3,""))))))))))</f>
        <v/>
      </c>
      <c r="EP337" s="44" t="e">
        <f>+Table1[[#This Row],[Data Leavers Date]]+Table1[[#This Row],[Data EET End]]</f>
        <v>#VALUE!</v>
      </c>
      <c r="EQ337" s="44">
        <f>IF(Table1[Exit Form Received]="Yes",1,0)</f>
        <v>0</v>
      </c>
      <c r="ER337" s="44">
        <f>+Table1[[#This Row],[Data Leavers Date]]+Table1[[#This Row],[Data Exit Forms]]</f>
        <v>0</v>
      </c>
      <c r="ES337" s="44" t="str">
        <f>IF(Table1[Data Leavers Date]=1000,SUM(Table1[Leaving Date]-Table1[Start Date]),"")</f>
        <v/>
      </c>
      <c r="ET337" s="44" t="str">
        <f>IF(Table1[Data Leavers Date]=2000,SUM(Table1[Leaving Date]-Table1[Start Date]),"")</f>
        <v/>
      </c>
      <c r="EU337" s="44" t="str">
        <f>IF(Table1[Data Leavers Date]=3000,SUM(Table1[Leaving Date]-Table1[Start Date]),"")</f>
        <v/>
      </c>
      <c r="EV337" s="44" t="str">
        <f>IF(Table1[Data Leavers Date]=4000,SUM(Table1[Leaving Date]-Table1[Start Date]),"")</f>
        <v/>
      </c>
      <c r="EW337" s="44" t="str">
        <f>IF(Table1[Data Leavers Date]=5000,SUM(Table1[Leaving Date]-Table1[Start Date]),"")</f>
        <v/>
      </c>
      <c r="EX337" s="44" t="str">
        <f>IF(Table1[Data Leavers Date]=6000,SUM(Table1[Leaving Date]-Table1[Start Date]),"")</f>
        <v/>
      </c>
      <c r="EY337" s="44" t="str">
        <f>IF(Table1[Data Leavers Date]=7000,SUM(Table1[Leaving Date]-Table1[Start Date]),"")</f>
        <v/>
      </c>
      <c r="EZ337" s="44" t="str">
        <f>IF(Table1[Data Leavers Date]=8000,SUM(Table1[Leaving Date]-Table1[Start Date]),"")</f>
        <v/>
      </c>
      <c r="FA337" s="44" t="str">
        <f>IF(Table1[Date of Initial Assessment]="","",IF(AND(Table1[Start Date]&gt;42094,Table1[Start Date]&lt;42461),Table1[Motivation and Taking Responsibility],""))</f>
        <v/>
      </c>
      <c r="FB337" s="44" t="str">
        <f>IF(Table1[Date of Initial Assessment]="","",IF(AND(Table1[Start Date]&gt;42094,Table1[Start Date]&lt;42461),Table1[Self-Care and Living Skills],""))</f>
        <v/>
      </c>
      <c r="FC337" s="44" t="str">
        <f>IF(Table1[Date of Initial Assessment]="","",IF(AND(Table1[Start Date]&gt;42094,Table1[Start Date]&lt;42461),Table1[Managing Money and Personal Administration],""))</f>
        <v/>
      </c>
      <c r="FD337" s="44" t="str">
        <f>IF(Table1[Date of Initial Assessment]="","",IF(AND(Table1[Start Date]&gt;42094,Table1[Start Date]&lt;42461),Table1[Social Networks and Relationships],""))</f>
        <v/>
      </c>
      <c r="FE337" s="44" t="str">
        <f>IF(Table1[Date of Initial Assessment]="","",IF(AND(Table1[Start Date]&gt;42094,Table1[Start Date]&lt;42461),Table1[Drug and Alcohol Misuse],""))</f>
        <v/>
      </c>
      <c r="FF337" s="44" t="str">
        <f>IF(Table1[Date of Initial Assessment]="","",IF(AND(Table1[Start Date]&gt;42094,Table1[Start Date]&lt;42461),Table1[Physical Health],""))</f>
        <v/>
      </c>
      <c r="FG337" s="44" t="str">
        <f>IF(Table1[Date of Initial Assessment]="","",IF(AND(Table1[Start Date]&gt;42094,Table1[Start Date]&lt;42461),Table1[Emotional and Mental Health],""))</f>
        <v/>
      </c>
      <c r="FH337" s="44" t="str">
        <f>IF(Table1[Date of Initial Assessment]="","",IF(AND(Table1[Start Date]&gt;42094,Table1[Start Date]&lt;42461),Table1[Meaningful Use of Time],""))</f>
        <v/>
      </c>
      <c r="FI337" s="44" t="str">
        <f>IF(Table1[Date of Initial Assessment]="","",IF(AND(Table1[Start Date]&gt;42094,Table1[Start Date]&lt;42461),Table1[Managing Tenancy and Accommodation],""))</f>
        <v/>
      </c>
      <c r="FJ337" s="44" t="str">
        <f>IF(Table1[Date of Initial Assessment]="","",IF(AND(Table1[Start Date]&gt;42094,Table1[Start Date]&lt;42461),Table1[Offending],""))</f>
        <v/>
      </c>
      <c r="FK337" s="44" t="str">
        <f>IF(Table1[Leaving Date]="","",IF(Table1[Date of Initial Assessment]="","",IF(AND(Table1[Leaving Date]&gt;42094,Table1[Leaving Date]&lt;42461),IF(Table1[Date of Last Assessment]="",Table1[Motivation and Taking Responsibility],Table1[Motivation and Taking Responsibility2]),"")))</f>
        <v/>
      </c>
      <c r="FL337" s="44" t="str">
        <f>IF(Table1[Leaving Date]="","",IF(Table1[Date of Initial Assessment]="","",IF(AND(Table1[Leaving Date]&gt;42094,Table1[Leaving Date]&lt;42461),IF(Table1[Date of Last Assessment]="",Table1[Self-Care and Living Skills],Table1[Self-Care and Living Skills2]),"")))</f>
        <v/>
      </c>
      <c r="FM337" s="44" t="str">
        <f>IF(Table1[Leaving Date]="","",IF(Table1[Date of Initial Assessment]="","",IF(AND(Table1[Leaving Date]&gt;42094,Table1[Leaving Date]&lt;42461),IF(Table1[Date of Last Assessment]="",Table1[Managing Money and Personal Administration],Table1[Managing Money and Personal Administration2]),"")))</f>
        <v/>
      </c>
      <c r="FN337" s="44" t="str">
        <f>IF(Table1[Leaving Date]="","",IF(Table1[Date of Initial Assessment]="","",IF(AND(Table1[Leaving Date]&gt;42094,Table1[Leaving Date]&lt;42461),IF(Table1[Date of Last Assessment]="",Table1[Social Networks and Relationships],Table1[Social Networks and Relationships2]),"")))</f>
        <v/>
      </c>
      <c r="FO337" s="44" t="str">
        <f>IF(Table1[Leaving Date]="","",IF(Table1[Date of Initial Assessment]="","",IF(AND(Table1[Leaving Date]&gt;42094,Table1[Leaving Date]&lt;42461),IF(Table1[Date of Last Assessment]="",Table1[Drug and Alcohol Misuse],Table1[Drug and Alcohol Misuse2]),"")))</f>
        <v/>
      </c>
      <c r="FP337" s="44" t="str">
        <f>IF(Table1[Leaving Date]="","",IF(Table1[Date of Initial Assessment]="","",IF(AND(Table1[Leaving Date]&gt;42094,Table1[Leaving Date]&lt;42461),IF(Table1[Date of Last Assessment]="",Table1[Physical Health],Table1[Physical Health2]),"")))</f>
        <v/>
      </c>
      <c r="FQ337" s="44" t="str">
        <f>IF(Table1[Leaving Date]="","",IF(Table1[Date of Initial Assessment]="","",IF(AND(Table1[Leaving Date]&gt;42094,Table1[Leaving Date]&lt;42461),IF(Table1[Date of Last Assessment]="",Table1[Emotional and Mental Health],Table1[Emotional and Mental Health2]),"")))</f>
        <v/>
      </c>
      <c r="FR337" s="44" t="str">
        <f>IF(Table1[Leaving Date]="","",IF(Table1[Date of Initial Assessment]="","",IF(AND(Table1[Leaving Date]&gt;42094,Table1[Leaving Date]&lt;42461),IF(Table1[Date of Last Assessment]="",Table1[Meaningful Use of Time],Table1[Meaningful Use of Time2]),"")))</f>
        <v/>
      </c>
      <c r="FS337" s="44" t="str">
        <f>IF(Table1[Leaving Date]="","",IF(Table1[Date of Initial Assessment]="","",IF(AND(Table1[Leaving Date]&gt;42094,Table1[Leaving Date]&lt;42461),IF(Table1[Date of Last Assessment]="",Table1[Managing Tenancy and Accommodation],Table1[Managing Tenancy and Accommodation2]),"")))</f>
        <v/>
      </c>
      <c r="FT337" s="44" t="str">
        <f>IF(Table1[Leaving Date]="","",IF(Table1[Date of Initial Assessment]="","",IF(AND(Table1[Leaving Date]&gt;42094,Table1[Leaving Date]&lt;42461),IF(Table1[Date of Last Assessment]="",Table1[Offending],Table1[Offending2]),"")))</f>
        <v/>
      </c>
      <c r="FU337" s="44" t="str">
        <f>IF(Table1[Date of Initial Assessment]="","",IF(AND(Table1[Start Date]&gt;42460,Table1[Start Date]&lt;42826),Table1[Motivation and Taking Responsibility],""))</f>
        <v/>
      </c>
      <c r="FV337" s="44" t="str">
        <f>IF(Table1[Date of Initial Assessment]="","",IF(AND(Table1[Start Date]&gt;42460,Table1[Start Date]&lt;42826),Table1[Self-Care and Living Skills],""))</f>
        <v/>
      </c>
      <c r="FW337" s="44" t="str">
        <f>IF(Table1[Date of Initial Assessment]="","",IF(AND(Table1[Start Date]&gt;42460,Table1[Start Date]&lt;42826),Table1[Managing Money and Personal Administration],""))</f>
        <v/>
      </c>
      <c r="FX337" s="44" t="str">
        <f>IF(Table1[Date of Initial Assessment]="","",IF(AND(Table1[Start Date]&gt;42460,Table1[Start Date]&lt;42826),Table1[Social Networks and Relationships],""))</f>
        <v/>
      </c>
      <c r="FY337" s="44" t="str">
        <f>IF(Table1[Date of Initial Assessment]="","",IF(AND(Table1[Start Date]&gt;42460,Table1[Start Date]&lt;42826),Table1[Drug and Alcohol Misuse],""))</f>
        <v/>
      </c>
      <c r="FZ337" s="44" t="str">
        <f>IF(Table1[Date of Initial Assessment]="","",IF(AND(Table1[Start Date]&gt;42460,Table1[Start Date]&lt;42826),Table1[Physical Health],""))</f>
        <v/>
      </c>
      <c r="GA337" s="44" t="str">
        <f>IF(Table1[Date of Initial Assessment]="","",IF(AND(Table1[Start Date]&gt;42460,Table1[Start Date]&lt;42826),Table1[Emotional and Mental Health],""))</f>
        <v/>
      </c>
      <c r="GB337" s="44" t="str">
        <f>IF(Table1[Date of Initial Assessment]="","",IF(AND(Table1[Start Date]&gt;42460,Table1[Start Date]&lt;42826),Table1[Meaningful Use of Time],""))</f>
        <v/>
      </c>
      <c r="GC337" s="44" t="str">
        <f>IF(Table1[Date of Initial Assessment]="","",IF(AND(Table1[Start Date]&gt;42460,Table1[Start Date]&lt;42826),Table1[Managing Tenancy and Accommodation],""))</f>
        <v/>
      </c>
      <c r="GD337" s="44" t="str">
        <f>IF(Table1[Date of Initial Assessment]="","",IF(AND(Table1[Start Date]&gt;42460,Table1[Start Date]&lt;42826),Table1[Offending],""))</f>
        <v/>
      </c>
      <c r="GE337" s="44" t="str">
        <f>IF(Table1[Leaving Date]="","",IF(AND(Table1[Leaving Date]&gt;42460,Table1[Leaving Date]&lt;42826),IF(Table1[Date of Last Assessment]="",Table1[Motivation and Taking Responsibility],Table1[Motivation and Taking Responsibility2]),""))</f>
        <v/>
      </c>
      <c r="GF337" s="44" t="str">
        <f>IF(Table1[Leaving Date]="","",IF(AND(Table1[Leaving Date]&gt;42460,Table1[Leaving Date]&lt;42826),IF(Table1[Date of Last Assessment]="",Table1[Self-Care and Living Skills],Table1[Self-Care and Living Skills2]),""))</f>
        <v/>
      </c>
      <c r="GG337" s="44" t="str">
        <f>IF(Table1[Leaving Date]="","",IF(AND(Table1[Leaving Date]&gt;42460,Table1[Leaving Date]&lt;42826),IF(Table1[Date of Last Assessment]="",Table1[Managing Money and Personal Administration],Table1[Managing Money and Personal Administration2]),""))</f>
        <v/>
      </c>
      <c r="GH337" s="44" t="str">
        <f>IF(Table1[Leaving Date]="","",IF(AND(Table1[Leaving Date]&gt;42460,Table1[Leaving Date]&lt;42826),IF(Table1[Date of Last Assessment]="",Table1[Social Networks and Relationships],Table1[Social Networks and Relationships2]),""))</f>
        <v/>
      </c>
      <c r="GI337" s="44" t="str">
        <f>IF(Table1[Leaving Date]="","",IF(AND(Table1[Leaving Date]&gt;42460,Table1[Leaving Date]&lt;42826),IF(Table1[Date of Last Assessment]="",Table1[Drug and Alcohol Misuse],Table1[Drug and Alcohol Misuse2]),""))</f>
        <v/>
      </c>
      <c r="GJ337" s="44" t="str">
        <f>IF(Table1[Leaving Date]="","",IF(AND(Table1[Leaving Date]&gt;42460,Table1[Leaving Date]&lt;42826),IF(Table1[Date of Last Assessment]="",Table1[Physical Health],Table1[Physical Health2]),""))</f>
        <v/>
      </c>
      <c r="GK337" s="44" t="str">
        <f>IF(Table1[Leaving Date]="","",IF(AND(Table1[Leaving Date]&gt;42460,Table1[Leaving Date]&lt;42826),IF(Table1[Date of Last Assessment]="",Table1[Emotional and Mental Health],Table1[Emotional and Mental Health2]),""))</f>
        <v/>
      </c>
      <c r="GL337" s="44" t="str">
        <f>IF(Table1[Leaving Date]="","",IF(AND(Table1[Leaving Date]&gt;42460,Table1[Leaving Date]&lt;42826),IF(Table1[Date of Last Assessment]="",Table1[Meaningful Use of Time],Table1[Meaningful Use of Time2]),""))</f>
        <v/>
      </c>
      <c r="GM337" s="44" t="str">
        <f>IF(Table1[Leaving Date]="","",IF(AND(Table1[Leaving Date]&gt;42460,Table1[Leaving Date]&lt;42826),IF(Table1[Date of Last Assessment]="",Table1[Managing Tenancy and Accommodation],Table1[Managing Tenancy and Accommodation2]),""))</f>
        <v/>
      </c>
      <c r="GN337" s="44" t="str">
        <f>IF(Table1[Leaving Date]="","",IF(AND(Table1[Leaving Date]&gt;42460,Table1[Leaving Date]&lt;42826),IF(Table1[Date of Last Assessment]="",Table1[Offending],Table1[Offending2]),""))</f>
        <v/>
      </c>
    </row>
    <row r="338" spans="2:196" ht="20.100000000000001" customHeight="1" x14ac:dyDescent="0.2">
      <c r="B338" s="86">
        <f>+'Service Data'!$C$5:$C$5</f>
        <v>0</v>
      </c>
      <c r="C338" s="86"/>
      <c r="D338" s="86"/>
      <c r="E338" s="86"/>
      <c r="F338" s="86"/>
      <c r="G338" s="86"/>
      <c r="H338" s="6"/>
      <c r="I338" s="99" t="str">
        <f ca="1">IF(Table1[[#This Row],[Date of Birth]]="","",SUM(TODAY()-Table1[[#This Row],[Date of Birth]])/365)</f>
        <v/>
      </c>
      <c r="L338" s="86"/>
      <c r="M338" s="77"/>
      <c r="N338" s="86"/>
      <c r="O338" s="86"/>
      <c r="P338" s="91"/>
      <c r="Q338" s="86"/>
      <c r="R338" s="77"/>
      <c r="S338" s="77"/>
      <c r="T338" s="68"/>
      <c r="U338" s="68"/>
      <c r="V338" s="67"/>
      <c r="W338" s="67"/>
      <c r="X338" s="67"/>
      <c r="Y338" s="67"/>
      <c r="Z338" s="67"/>
      <c r="AA338" s="67"/>
      <c r="AB338" s="67"/>
      <c r="AC338" s="67"/>
      <c r="AD338" s="67"/>
      <c r="AE338" s="67"/>
      <c r="AF338" s="67"/>
      <c r="AG338" s="67"/>
      <c r="AH338" s="67"/>
      <c r="AI338" s="67"/>
      <c r="AJ338" s="67"/>
      <c r="AK338" s="67"/>
      <c r="AL338" s="67"/>
      <c r="AM338" s="67"/>
      <c r="AN338" s="77"/>
      <c r="AO338" s="76"/>
      <c r="AP338" s="77"/>
      <c r="AQ338" s="76"/>
      <c r="AR338" s="76"/>
      <c r="AS338" s="76"/>
      <c r="AT338" s="76"/>
      <c r="AU338" s="76"/>
      <c r="AV338" s="77"/>
      <c r="AW338" s="76"/>
      <c r="AX338" s="77"/>
      <c r="AY338" s="76"/>
      <c r="AZ338" s="76"/>
      <c r="BA338" s="76"/>
      <c r="BB338" s="76"/>
      <c r="BC338" s="76"/>
      <c r="BD338" s="77"/>
      <c r="BE338" s="76"/>
      <c r="BF338" s="77"/>
      <c r="BG338" s="76"/>
      <c r="BH338" s="76"/>
      <c r="BI338" s="76"/>
      <c r="BJ338" s="76"/>
      <c r="BK338" s="76"/>
      <c r="BL338" s="77"/>
      <c r="BM338" s="76"/>
      <c r="BN338" s="77"/>
      <c r="BO338" s="76"/>
      <c r="BP338" s="76"/>
      <c r="BQ338" s="76"/>
      <c r="BR338" s="76"/>
      <c r="BS338" s="76"/>
      <c r="BT338" s="77"/>
      <c r="BU338" s="76"/>
      <c r="BV338" s="77"/>
      <c r="BW338" s="76"/>
      <c r="BX338" s="76"/>
      <c r="BY338" s="76"/>
      <c r="BZ338" s="76"/>
      <c r="CA338" s="76"/>
      <c r="CB338" s="77"/>
      <c r="CC338" s="76"/>
      <c r="CD338" s="77"/>
      <c r="CE338" s="76"/>
      <c r="CF338" s="76"/>
      <c r="CG338" s="76"/>
      <c r="CH338" s="76"/>
      <c r="CI338" s="76"/>
      <c r="CJ338" s="77"/>
      <c r="CK338" s="76"/>
      <c r="CL338" s="77"/>
      <c r="CM338" s="76"/>
      <c r="CN338" s="76"/>
      <c r="CO338" s="76"/>
      <c r="CP338" s="76"/>
      <c r="CQ338" s="76"/>
      <c r="CR338" s="78" t="str">
        <f t="shared" si="95"/>
        <v/>
      </c>
      <c r="CS338" s="79" t="str">
        <f t="shared" si="96"/>
        <v/>
      </c>
      <c r="CT338" s="79" t="str">
        <f t="shared" si="97"/>
        <v/>
      </c>
      <c r="CU338" s="79" t="str">
        <f t="shared" si="98"/>
        <v/>
      </c>
      <c r="CV338" s="79" t="str">
        <f t="shared" si="99"/>
        <v/>
      </c>
      <c r="CW338" s="79" t="str">
        <f t="shared" si="100"/>
        <v/>
      </c>
      <c r="CX338" s="79" t="str">
        <f t="shared" si="101"/>
        <v/>
      </c>
      <c r="CY338" s="79" t="str">
        <f t="shared" si="102"/>
        <v/>
      </c>
      <c r="CZ338" s="79" t="str">
        <f t="shared" si="103"/>
        <v/>
      </c>
      <c r="DA338" s="79" t="str">
        <f t="shared" si="104"/>
        <v/>
      </c>
      <c r="DB338" s="79" t="str">
        <f t="shared" si="105"/>
        <v/>
      </c>
      <c r="DC338" s="79" t="str">
        <f t="shared" si="106"/>
        <v/>
      </c>
      <c r="DD338" s="79" t="str">
        <f t="shared" si="107"/>
        <v/>
      </c>
      <c r="DE338" s="79" t="str">
        <f t="shared" si="108"/>
        <v/>
      </c>
      <c r="DF338" s="79" t="str">
        <f t="shared" si="109"/>
        <v/>
      </c>
      <c r="DG338" s="79" t="str">
        <f t="shared" si="110"/>
        <v/>
      </c>
      <c r="DH338" s="76"/>
      <c r="DI338" s="78"/>
      <c r="DJ338" s="76"/>
      <c r="DK338" s="77"/>
      <c r="DL338" s="77"/>
      <c r="DM338" s="77"/>
      <c r="DN338" s="80"/>
      <c r="DO338" s="80"/>
      <c r="DP338" s="92" t="str">
        <f>IF(Table1[Start Date]="","",IF(Table1[Start Date]&gt;42185,"",IF(AND(Table1[Leaving Date]&gt;1,Table1[Leaving Date]&lt;42095),"",1)))</f>
        <v/>
      </c>
      <c r="DQ338" s="92" t="str">
        <f>IF(Table1[Start Date]="","",IF(Table1[Start Date]&gt;42277,"",IF(AND(Table1[Leaving Date]&gt;1,Table1[Leaving Date]&lt;42186),"",1)))</f>
        <v/>
      </c>
      <c r="DR338" s="92" t="str">
        <f>IF(Table1[Start Date]="","",IF(Table1[Start Date]&gt;42369,"",IF(AND(Table1[Leaving Date]&gt;1,Table1[Leaving Date]&lt;42278),"",1)))</f>
        <v/>
      </c>
      <c r="DS338" s="92" t="str">
        <f>IF(Table1[Start Date]="","",IF(Table1[Start Date]&gt;42460,"",IF(AND(Table1[Leaving Date]&gt;1,Table1[Leaving Date]&lt;42370),"",1)))</f>
        <v/>
      </c>
      <c r="DT338" s="92" t="str">
        <f>IF(Table1[Start Date]="","",IF(Table1[Start Date]&gt;42551,"",IF(AND(Table1[Leaving Date]&gt;1,Table1[Leaving Date]&lt;42461),"",1)))</f>
        <v/>
      </c>
      <c r="DU338" s="92" t="str">
        <f>IF(Table1[Start Date]="","",IF(Table1[Start Date]&gt;42643,"",IF(AND(Table1[Leaving Date]&gt;1,Table1[Leaving Date]&lt;42552),"",1)))</f>
        <v/>
      </c>
      <c r="DV338" s="92" t="str">
        <f>IF(Table1[Start Date]="","",IF(Table1[Start Date]&gt;42735,"",IF(AND(Table1[Leaving Date]&gt;1,Table1[Leaving Date]&lt;42644),"",1)))</f>
        <v/>
      </c>
      <c r="DW338" s="92" t="str">
        <f>IF(Table1[Start Date]="","",IF(Table1[Start Date]&gt;42825,"",IF(AND(Table1[Leaving Date]&gt;1,Table1[Leaving Date]&lt;42736),"",1)))</f>
        <v/>
      </c>
      <c r="DX338"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338" s="44" t="e">
        <f>VLOOKUP(Table1[Referral Source],Lists!$G$2:$H$20,2,FALSE)</f>
        <v>#N/A</v>
      </c>
      <c r="DZ338" s="93" t="e">
        <f>SUM(Table1[Data Referral Quarter]+Table1[Data Referral Source])</f>
        <v>#N/A</v>
      </c>
      <c r="EA338" s="44" t="b">
        <f>IF(Table1[Referral Decision]="Accepted",100,IF(Table1[Referral Decision]="Rejected by Provider",200,IF(Table1[Referral Decision]="Rejected by Applicant",300)))</f>
        <v>0</v>
      </c>
      <c r="EB338" s="44">
        <f>SUM(Table1[Data Referral Quarter]+Table1[Data Referral Decision])</f>
        <v>0</v>
      </c>
      <c r="EC338" s="44" t="b">
        <f>IF(Table1[Start Date]&gt;42735,8000,IF(Table1[Start Date]&gt;42643,7000,IF(Table1[Start Date]&gt;42551,6000,IF(Table1[Start Date]&gt;42460,5000,IF(Table1[Start Date]&gt;42369,4000,IF(Table1[Start Date]&gt;42277,3000,IF(Table1[Start Date]&gt;42185,2000,IF(Table1[Start Date]&gt;42094,1000))))))))</f>
        <v>0</v>
      </c>
      <c r="ED338" s="44" t="str">
        <f>IF(Table1[Start Date]="","",IF(Table1[Current Local Authority]="Swindon",1,"2"))</f>
        <v/>
      </c>
      <c r="EE338" s="44" t="e">
        <f>SUM(Table1[Data Start Date]+Table1[Data Local Authority])</f>
        <v>#VALUE!</v>
      </c>
      <c r="EF338" s="44">
        <f>IF(Table1[Registered with GP]="Yes",1,0)</f>
        <v>0</v>
      </c>
      <c r="EG338" s="44">
        <f>SUM(Table1[Data Start Date]+Table1[Data GP Start])</f>
        <v>0</v>
      </c>
      <c r="EH338" s="44" t="str">
        <f>IF(Table1[EET]="NEET",1,IF(Table1[EET]="Education",2,IF(Table1[EET]="Employment",2,IF(Table1[EET]="Training",2,IF(Table1[EET]="Retired",3,"")))))</f>
        <v/>
      </c>
      <c r="EI338" s="44" t="e">
        <f>Table1[Data Start Date]+Table1[Data EET Start]</f>
        <v>#VALUE!</v>
      </c>
      <c r="EJ338" s="44" t="b">
        <f>IF(Table1[Leaving Date]&gt;42735,8000,IF(Table1[Leaving Date]&gt;42643,7000,IF(Table1[Leaving Date]&gt;42551,6000,IF(Table1[Leaving Date]&gt;42460,5000,IF(Table1[Leaving Date]&gt;42369,4000,IF(Table1[Leaving Date]&gt;42277,3000,IF(Table1[Leaving Date]&gt;42185,2000,IF(Table1[Leaving Date]&gt;42094,1000))))))))</f>
        <v>0</v>
      </c>
      <c r="EK338" s="44" t="e">
        <f>VLOOKUP(Table1[Reason for Leaving],Lists!$T$2:$U$15,2,FALSE)</f>
        <v>#N/A</v>
      </c>
      <c r="EL338" s="44" t="e">
        <f>SUM(Table1[Data Leavers Date]+Table1[Data Move On])</f>
        <v>#N/A</v>
      </c>
      <c r="EM338" s="44" t="b">
        <f>IF(Table1[Registered with GP2]="Yes",1,IF(Table1[Registered with GP2]="No",0,IF(Table1[Registered with GP]="Yes",1,IF(Table1[Registered with GP]="No",0))))</f>
        <v>0</v>
      </c>
      <c r="EN338" s="44">
        <f>SUM(Table1[Data Leavers Date]+Table1[Data GP End])</f>
        <v>0</v>
      </c>
      <c r="EO338" s="44" t="str">
        <f>IF(Table1[EET2]="NEET",1,IF(Table1[EET2]="Employment",2,IF(Table1[EET2]="Education",2,IF(Table1[EET2]="Training",2,IF(Table1[EET2]="Retired",3,IF(Table1[EET]="NEET",1,IF(Table1[EET]="Employment",2,IF(Table1[EET]="Education",2,IF(Table1[EET]="Training",2,IF(Table1[EET]="Retired",3,""))))))))))</f>
        <v/>
      </c>
      <c r="EP338" s="44" t="e">
        <f>+Table1[[#This Row],[Data Leavers Date]]+Table1[[#This Row],[Data EET End]]</f>
        <v>#VALUE!</v>
      </c>
      <c r="EQ338" s="44">
        <f>IF(Table1[Exit Form Received]="Yes",1,0)</f>
        <v>0</v>
      </c>
      <c r="ER338" s="44">
        <f>+Table1[[#This Row],[Data Leavers Date]]+Table1[[#This Row],[Data Exit Forms]]</f>
        <v>0</v>
      </c>
      <c r="ES338" s="44" t="str">
        <f>IF(Table1[Data Leavers Date]=1000,SUM(Table1[Leaving Date]-Table1[Start Date]),"")</f>
        <v/>
      </c>
      <c r="ET338" s="44" t="str">
        <f>IF(Table1[Data Leavers Date]=2000,SUM(Table1[Leaving Date]-Table1[Start Date]),"")</f>
        <v/>
      </c>
      <c r="EU338" s="44" t="str">
        <f>IF(Table1[Data Leavers Date]=3000,SUM(Table1[Leaving Date]-Table1[Start Date]),"")</f>
        <v/>
      </c>
      <c r="EV338" s="44" t="str">
        <f>IF(Table1[Data Leavers Date]=4000,SUM(Table1[Leaving Date]-Table1[Start Date]),"")</f>
        <v/>
      </c>
      <c r="EW338" s="44" t="str">
        <f>IF(Table1[Data Leavers Date]=5000,SUM(Table1[Leaving Date]-Table1[Start Date]),"")</f>
        <v/>
      </c>
      <c r="EX338" s="44" t="str">
        <f>IF(Table1[Data Leavers Date]=6000,SUM(Table1[Leaving Date]-Table1[Start Date]),"")</f>
        <v/>
      </c>
      <c r="EY338" s="44" t="str">
        <f>IF(Table1[Data Leavers Date]=7000,SUM(Table1[Leaving Date]-Table1[Start Date]),"")</f>
        <v/>
      </c>
      <c r="EZ338" s="44" t="str">
        <f>IF(Table1[Data Leavers Date]=8000,SUM(Table1[Leaving Date]-Table1[Start Date]),"")</f>
        <v/>
      </c>
      <c r="FA338" s="44" t="str">
        <f>IF(Table1[Date of Initial Assessment]="","",IF(AND(Table1[Start Date]&gt;42094,Table1[Start Date]&lt;42461),Table1[Motivation and Taking Responsibility],""))</f>
        <v/>
      </c>
      <c r="FB338" s="44" t="str">
        <f>IF(Table1[Date of Initial Assessment]="","",IF(AND(Table1[Start Date]&gt;42094,Table1[Start Date]&lt;42461),Table1[Self-Care and Living Skills],""))</f>
        <v/>
      </c>
      <c r="FC338" s="44" t="str">
        <f>IF(Table1[Date of Initial Assessment]="","",IF(AND(Table1[Start Date]&gt;42094,Table1[Start Date]&lt;42461),Table1[Managing Money and Personal Administration],""))</f>
        <v/>
      </c>
      <c r="FD338" s="44" t="str">
        <f>IF(Table1[Date of Initial Assessment]="","",IF(AND(Table1[Start Date]&gt;42094,Table1[Start Date]&lt;42461),Table1[Social Networks and Relationships],""))</f>
        <v/>
      </c>
      <c r="FE338" s="44" t="str">
        <f>IF(Table1[Date of Initial Assessment]="","",IF(AND(Table1[Start Date]&gt;42094,Table1[Start Date]&lt;42461),Table1[Drug and Alcohol Misuse],""))</f>
        <v/>
      </c>
      <c r="FF338" s="44" t="str">
        <f>IF(Table1[Date of Initial Assessment]="","",IF(AND(Table1[Start Date]&gt;42094,Table1[Start Date]&lt;42461),Table1[Physical Health],""))</f>
        <v/>
      </c>
      <c r="FG338" s="44" t="str">
        <f>IF(Table1[Date of Initial Assessment]="","",IF(AND(Table1[Start Date]&gt;42094,Table1[Start Date]&lt;42461),Table1[Emotional and Mental Health],""))</f>
        <v/>
      </c>
      <c r="FH338" s="44" t="str">
        <f>IF(Table1[Date of Initial Assessment]="","",IF(AND(Table1[Start Date]&gt;42094,Table1[Start Date]&lt;42461),Table1[Meaningful Use of Time],""))</f>
        <v/>
      </c>
      <c r="FI338" s="44" t="str">
        <f>IF(Table1[Date of Initial Assessment]="","",IF(AND(Table1[Start Date]&gt;42094,Table1[Start Date]&lt;42461),Table1[Managing Tenancy and Accommodation],""))</f>
        <v/>
      </c>
      <c r="FJ338" s="44" t="str">
        <f>IF(Table1[Date of Initial Assessment]="","",IF(AND(Table1[Start Date]&gt;42094,Table1[Start Date]&lt;42461),Table1[Offending],""))</f>
        <v/>
      </c>
      <c r="FK338" s="44" t="str">
        <f>IF(Table1[Leaving Date]="","",IF(Table1[Date of Initial Assessment]="","",IF(AND(Table1[Leaving Date]&gt;42094,Table1[Leaving Date]&lt;42461),IF(Table1[Date of Last Assessment]="",Table1[Motivation and Taking Responsibility],Table1[Motivation and Taking Responsibility2]),"")))</f>
        <v/>
      </c>
      <c r="FL338" s="44" t="str">
        <f>IF(Table1[Leaving Date]="","",IF(Table1[Date of Initial Assessment]="","",IF(AND(Table1[Leaving Date]&gt;42094,Table1[Leaving Date]&lt;42461),IF(Table1[Date of Last Assessment]="",Table1[Self-Care and Living Skills],Table1[Self-Care and Living Skills2]),"")))</f>
        <v/>
      </c>
      <c r="FM338" s="44" t="str">
        <f>IF(Table1[Leaving Date]="","",IF(Table1[Date of Initial Assessment]="","",IF(AND(Table1[Leaving Date]&gt;42094,Table1[Leaving Date]&lt;42461),IF(Table1[Date of Last Assessment]="",Table1[Managing Money and Personal Administration],Table1[Managing Money and Personal Administration2]),"")))</f>
        <v/>
      </c>
      <c r="FN338" s="44" t="str">
        <f>IF(Table1[Leaving Date]="","",IF(Table1[Date of Initial Assessment]="","",IF(AND(Table1[Leaving Date]&gt;42094,Table1[Leaving Date]&lt;42461),IF(Table1[Date of Last Assessment]="",Table1[Social Networks and Relationships],Table1[Social Networks and Relationships2]),"")))</f>
        <v/>
      </c>
      <c r="FO338" s="44" t="str">
        <f>IF(Table1[Leaving Date]="","",IF(Table1[Date of Initial Assessment]="","",IF(AND(Table1[Leaving Date]&gt;42094,Table1[Leaving Date]&lt;42461),IF(Table1[Date of Last Assessment]="",Table1[Drug and Alcohol Misuse],Table1[Drug and Alcohol Misuse2]),"")))</f>
        <v/>
      </c>
      <c r="FP338" s="44" t="str">
        <f>IF(Table1[Leaving Date]="","",IF(Table1[Date of Initial Assessment]="","",IF(AND(Table1[Leaving Date]&gt;42094,Table1[Leaving Date]&lt;42461),IF(Table1[Date of Last Assessment]="",Table1[Physical Health],Table1[Physical Health2]),"")))</f>
        <v/>
      </c>
      <c r="FQ338" s="44" t="str">
        <f>IF(Table1[Leaving Date]="","",IF(Table1[Date of Initial Assessment]="","",IF(AND(Table1[Leaving Date]&gt;42094,Table1[Leaving Date]&lt;42461),IF(Table1[Date of Last Assessment]="",Table1[Emotional and Mental Health],Table1[Emotional and Mental Health2]),"")))</f>
        <v/>
      </c>
      <c r="FR338" s="44" t="str">
        <f>IF(Table1[Leaving Date]="","",IF(Table1[Date of Initial Assessment]="","",IF(AND(Table1[Leaving Date]&gt;42094,Table1[Leaving Date]&lt;42461),IF(Table1[Date of Last Assessment]="",Table1[Meaningful Use of Time],Table1[Meaningful Use of Time2]),"")))</f>
        <v/>
      </c>
      <c r="FS338" s="44" t="str">
        <f>IF(Table1[Leaving Date]="","",IF(Table1[Date of Initial Assessment]="","",IF(AND(Table1[Leaving Date]&gt;42094,Table1[Leaving Date]&lt;42461),IF(Table1[Date of Last Assessment]="",Table1[Managing Tenancy and Accommodation],Table1[Managing Tenancy and Accommodation2]),"")))</f>
        <v/>
      </c>
      <c r="FT338" s="44" t="str">
        <f>IF(Table1[Leaving Date]="","",IF(Table1[Date of Initial Assessment]="","",IF(AND(Table1[Leaving Date]&gt;42094,Table1[Leaving Date]&lt;42461),IF(Table1[Date of Last Assessment]="",Table1[Offending],Table1[Offending2]),"")))</f>
        <v/>
      </c>
      <c r="FU338" s="44" t="str">
        <f>IF(Table1[Date of Initial Assessment]="","",IF(AND(Table1[Start Date]&gt;42460,Table1[Start Date]&lt;42826),Table1[Motivation and Taking Responsibility],""))</f>
        <v/>
      </c>
      <c r="FV338" s="44" t="str">
        <f>IF(Table1[Date of Initial Assessment]="","",IF(AND(Table1[Start Date]&gt;42460,Table1[Start Date]&lt;42826),Table1[Self-Care and Living Skills],""))</f>
        <v/>
      </c>
      <c r="FW338" s="44" t="str">
        <f>IF(Table1[Date of Initial Assessment]="","",IF(AND(Table1[Start Date]&gt;42460,Table1[Start Date]&lt;42826),Table1[Managing Money and Personal Administration],""))</f>
        <v/>
      </c>
      <c r="FX338" s="44" t="str">
        <f>IF(Table1[Date of Initial Assessment]="","",IF(AND(Table1[Start Date]&gt;42460,Table1[Start Date]&lt;42826),Table1[Social Networks and Relationships],""))</f>
        <v/>
      </c>
      <c r="FY338" s="44" t="str">
        <f>IF(Table1[Date of Initial Assessment]="","",IF(AND(Table1[Start Date]&gt;42460,Table1[Start Date]&lt;42826),Table1[Drug and Alcohol Misuse],""))</f>
        <v/>
      </c>
      <c r="FZ338" s="44" t="str">
        <f>IF(Table1[Date of Initial Assessment]="","",IF(AND(Table1[Start Date]&gt;42460,Table1[Start Date]&lt;42826),Table1[Physical Health],""))</f>
        <v/>
      </c>
      <c r="GA338" s="44" t="str">
        <f>IF(Table1[Date of Initial Assessment]="","",IF(AND(Table1[Start Date]&gt;42460,Table1[Start Date]&lt;42826),Table1[Emotional and Mental Health],""))</f>
        <v/>
      </c>
      <c r="GB338" s="44" t="str">
        <f>IF(Table1[Date of Initial Assessment]="","",IF(AND(Table1[Start Date]&gt;42460,Table1[Start Date]&lt;42826),Table1[Meaningful Use of Time],""))</f>
        <v/>
      </c>
      <c r="GC338" s="44" t="str">
        <f>IF(Table1[Date of Initial Assessment]="","",IF(AND(Table1[Start Date]&gt;42460,Table1[Start Date]&lt;42826),Table1[Managing Tenancy and Accommodation],""))</f>
        <v/>
      </c>
      <c r="GD338" s="44" t="str">
        <f>IF(Table1[Date of Initial Assessment]="","",IF(AND(Table1[Start Date]&gt;42460,Table1[Start Date]&lt;42826),Table1[Offending],""))</f>
        <v/>
      </c>
      <c r="GE338" s="44" t="str">
        <f>IF(Table1[Leaving Date]="","",IF(AND(Table1[Leaving Date]&gt;42460,Table1[Leaving Date]&lt;42826),IF(Table1[Date of Last Assessment]="",Table1[Motivation and Taking Responsibility],Table1[Motivation and Taking Responsibility2]),""))</f>
        <v/>
      </c>
      <c r="GF338" s="44" t="str">
        <f>IF(Table1[Leaving Date]="","",IF(AND(Table1[Leaving Date]&gt;42460,Table1[Leaving Date]&lt;42826),IF(Table1[Date of Last Assessment]="",Table1[Self-Care and Living Skills],Table1[Self-Care and Living Skills2]),""))</f>
        <v/>
      </c>
      <c r="GG338" s="44" t="str">
        <f>IF(Table1[Leaving Date]="","",IF(AND(Table1[Leaving Date]&gt;42460,Table1[Leaving Date]&lt;42826),IF(Table1[Date of Last Assessment]="",Table1[Managing Money and Personal Administration],Table1[Managing Money and Personal Administration2]),""))</f>
        <v/>
      </c>
      <c r="GH338" s="44" t="str">
        <f>IF(Table1[Leaving Date]="","",IF(AND(Table1[Leaving Date]&gt;42460,Table1[Leaving Date]&lt;42826),IF(Table1[Date of Last Assessment]="",Table1[Social Networks and Relationships],Table1[Social Networks and Relationships2]),""))</f>
        <v/>
      </c>
      <c r="GI338" s="44" t="str">
        <f>IF(Table1[Leaving Date]="","",IF(AND(Table1[Leaving Date]&gt;42460,Table1[Leaving Date]&lt;42826),IF(Table1[Date of Last Assessment]="",Table1[Drug and Alcohol Misuse],Table1[Drug and Alcohol Misuse2]),""))</f>
        <v/>
      </c>
      <c r="GJ338" s="44" t="str">
        <f>IF(Table1[Leaving Date]="","",IF(AND(Table1[Leaving Date]&gt;42460,Table1[Leaving Date]&lt;42826),IF(Table1[Date of Last Assessment]="",Table1[Physical Health],Table1[Physical Health2]),""))</f>
        <v/>
      </c>
      <c r="GK338" s="44" t="str">
        <f>IF(Table1[Leaving Date]="","",IF(AND(Table1[Leaving Date]&gt;42460,Table1[Leaving Date]&lt;42826),IF(Table1[Date of Last Assessment]="",Table1[Emotional and Mental Health],Table1[Emotional and Mental Health2]),""))</f>
        <v/>
      </c>
      <c r="GL338" s="44" t="str">
        <f>IF(Table1[Leaving Date]="","",IF(AND(Table1[Leaving Date]&gt;42460,Table1[Leaving Date]&lt;42826),IF(Table1[Date of Last Assessment]="",Table1[Meaningful Use of Time],Table1[Meaningful Use of Time2]),""))</f>
        <v/>
      </c>
      <c r="GM338" s="44" t="str">
        <f>IF(Table1[Leaving Date]="","",IF(AND(Table1[Leaving Date]&gt;42460,Table1[Leaving Date]&lt;42826),IF(Table1[Date of Last Assessment]="",Table1[Managing Tenancy and Accommodation],Table1[Managing Tenancy and Accommodation2]),""))</f>
        <v/>
      </c>
      <c r="GN338" s="44" t="str">
        <f>IF(Table1[Leaving Date]="","",IF(AND(Table1[Leaving Date]&gt;42460,Table1[Leaving Date]&lt;42826),IF(Table1[Date of Last Assessment]="",Table1[Offending],Table1[Offending2]),""))</f>
        <v/>
      </c>
    </row>
    <row r="339" spans="2:196" ht="20.100000000000001" customHeight="1" x14ac:dyDescent="0.2">
      <c r="B339" s="86">
        <f>+'Service Data'!$C$5:$C$5</f>
        <v>0</v>
      </c>
      <c r="C339" s="86"/>
      <c r="D339" s="86"/>
      <c r="E339" s="86"/>
      <c r="F339" s="86"/>
      <c r="G339" s="86"/>
      <c r="H339" s="6"/>
      <c r="I339" s="99" t="str">
        <f ca="1">IF(Table1[[#This Row],[Date of Birth]]="","",SUM(TODAY()-Table1[[#This Row],[Date of Birth]])/365)</f>
        <v/>
      </c>
      <c r="L339" s="86"/>
      <c r="M339" s="77"/>
      <c r="N339" s="86"/>
      <c r="O339" s="86"/>
      <c r="P339" s="91"/>
      <c r="Q339" s="86"/>
      <c r="R339" s="77"/>
      <c r="S339" s="77"/>
      <c r="T339" s="68"/>
      <c r="U339" s="68"/>
      <c r="V339" s="67"/>
      <c r="W339" s="67"/>
      <c r="X339" s="67"/>
      <c r="Y339" s="67"/>
      <c r="Z339" s="67"/>
      <c r="AA339" s="67"/>
      <c r="AB339" s="67"/>
      <c r="AC339" s="67"/>
      <c r="AD339" s="67"/>
      <c r="AE339" s="67"/>
      <c r="AF339" s="67"/>
      <c r="AG339" s="67"/>
      <c r="AH339" s="67"/>
      <c r="AI339" s="67"/>
      <c r="AJ339" s="67"/>
      <c r="AK339" s="67"/>
      <c r="AL339" s="67"/>
      <c r="AM339" s="67"/>
      <c r="AN339" s="77"/>
      <c r="AO339" s="76"/>
      <c r="AP339" s="77"/>
      <c r="AQ339" s="76"/>
      <c r="AR339" s="76"/>
      <c r="AS339" s="76"/>
      <c r="AT339" s="76"/>
      <c r="AU339" s="76"/>
      <c r="AV339" s="77"/>
      <c r="AW339" s="76"/>
      <c r="AX339" s="77"/>
      <c r="AY339" s="76"/>
      <c r="AZ339" s="76"/>
      <c r="BA339" s="76"/>
      <c r="BB339" s="76"/>
      <c r="BC339" s="76"/>
      <c r="BD339" s="77"/>
      <c r="BE339" s="76"/>
      <c r="BF339" s="77"/>
      <c r="BG339" s="76"/>
      <c r="BH339" s="76"/>
      <c r="BI339" s="76"/>
      <c r="BJ339" s="76"/>
      <c r="BK339" s="76"/>
      <c r="BL339" s="77"/>
      <c r="BM339" s="76"/>
      <c r="BN339" s="77"/>
      <c r="BO339" s="76"/>
      <c r="BP339" s="76"/>
      <c r="BQ339" s="76"/>
      <c r="BR339" s="76"/>
      <c r="BS339" s="76"/>
      <c r="BT339" s="77"/>
      <c r="BU339" s="76"/>
      <c r="BV339" s="77"/>
      <c r="BW339" s="76"/>
      <c r="BX339" s="76"/>
      <c r="BY339" s="76"/>
      <c r="BZ339" s="76"/>
      <c r="CA339" s="76"/>
      <c r="CB339" s="77"/>
      <c r="CC339" s="76"/>
      <c r="CD339" s="77"/>
      <c r="CE339" s="76"/>
      <c r="CF339" s="76"/>
      <c r="CG339" s="76"/>
      <c r="CH339" s="76"/>
      <c r="CI339" s="76"/>
      <c r="CJ339" s="77"/>
      <c r="CK339" s="76"/>
      <c r="CL339" s="77"/>
      <c r="CM339" s="76"/>
      <c r="CN339" s="76"/>
      <c r="CO339" s="76"/>
      <c r="CP339" s="76"/>
      <c r="CQ339" s="76"/>
      <c r="CR339" s="78" t="str">
        <f t="shared" si="95"/>
        <v/>
      </c>
      <c r="CS339" s="79" t="str">
        <f t="shared" si="96"/>
        <v/>
      </c>
      <c r="CT339" s="79" t="str">
        <f t="shared" si="97"/>
        <v/>
      </c>
      <c r="CU339" s="79" t="str">
        <f t="shared" si="98"/>
        <v/>
      </c>
      <c r="CV339" s="79" t="str">
        <f t="shared" si="99"/>
        <v/>
      </c>
      <c r="CW339" s="79" t="str">
        <f t="shared" si="100"/>
        <v/>
      </c>
      <c r="CX339" s="79" t="str">
        <f t="shared" si="101"/>
        <v/>
      </c>
      <c r="CY339" s="79" t="str">
        <f t="shared" si="102"/>
        <v/>
      </c>
      <c r="CZ339" s="79" t="str">
        <f t="shared" si="103"/>
        <v/>
      </c>
      <c r="DA339" s="79" t="str">
        <f t="shared" si="104"/>
        <v/>
      </c>
      <c r="DB339" s="79" t="str">
        <f t="shared" si="105"/>
        <v/>
      </c>
      <c r="DC339" s="79" t="str">
        <f t="shared" si="106"/>
        <v/>
      </c>
      <c r="DD339" s="79" t="str">
        <f t="shared" si="107"/>
        <v/>
      </c>
      <c r="DE339" s="79" t="str">
        <f t="shared" si="108"/>
        <v/>
      </c>
      <c r="DF339" s="79" t="str">
        <f t="shared" si="109"/>
        <v/>
      </c>
      <c r="DG339" s="79" t="str">
        <f t="shared" si="110"/>
        <v/>
      </c>
      <c r="DH339" s="76"/>
      <c r="DI339" s="78"/>
      <c r="DJ339" s="76"/>
      <c r="DK339" s="77"/>
      <c r="DL339" s="77"/>
      <c r="DM339" s="77"/>
      <c r="DN339" s="80"/>
      <c r="DO339" s="80"/>
      <c r="DP339" s="92" t="str">
        <f>IF(Table1[Start Date]="","",IF(Table1[Start Date]&gt;42185,"",IF(AND(Table1[Leaving Date]&gt;1,Table1[Leaving Date]&lt;42095),"",1)))</f>
        <v/>
      </c>
      <c r="DQ339" s="92" t="str">
        <f>IF(Table1[Start Date]="","",IF(Table1[Start Date]&gt;42277,"",IF(AND(Table1[Leaving Date]&gt;1,Table1[Leaving Date]&lt;42186),"",1)))</f>
        <v/>
      </c>
      <c r="DR339" s="92" t="str">
        <f>IF(Table1[Start Date]="","",IF(Table1[Start Date]&gt;42369,"",IF(AND(Table1[Leaving Date]&gt;1,Table1[Leaving Date]&lt;42278),"",1)))</f>
        <v/>
      </c>
      <c r="DS339" s="92" t="str">
        <f>IF(Table1[Start Date]="","",IF(Table1[Start Date]&gt;42460,"",IF(AND(Table1[Leaving Date]&gt;1,Table1[Leaving Date]&lt;42370),"",1)))</f>
        <v/>
      </c>
      <c r="DT339" s="92" t="str">
        <f>IF(Table1[Start Date]="","",IF(Table1[Start Date]&gt;42551,"",IF(AND(Table1[Leaving Date]&gt;1,Table1[Leaving Date]&lt;42461),"",1)))</f>
        <v/>
      </c>
      <c r="DU339" s="92" t="str">
        <f>IF(Table1[Start Date]="","",IF(Table1[Start Date]&gt;42643,"",IF(AND(Table1[Leaving Date]&gt;1,Table1[Leaving Date]&lt;42552),"",1)))</f>
        <v/>
      </c>
      <c r="DV339" s="92" t="str">
        <f>IF(Table1[Start Date]="","",IF(Table1[Start Date]&gt;42735,"",IF(AND(Table1[Leaving Date]&gt;1,Table1[Leaving Date]&lt;42644),"",1)))</f>
        <v/>
      </c>
      <c r="DW339" s="92" t="str">
        <f>IF(Table1[Start Date]="","",IF(Table1[Start Date]&gt;42825,"",IF(AND(Table1[Leaving Date]&gt;1,Table1[Leaving Date]&lt;42736),"",1)))</f>
        <v/>
      </c>
      <c r="DX339"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339" s="44" t="e">
        <f>VLOOKUP(Table1[Referral Source],Lists!$G$2:$H$20,2,FALSE)</f>
        <v>#N/A</v>
      </c>
      <c r="DZ339" s="93" t="e">
        <f>SUM(Table1[Data Referral Quarter]+Table1[Data Referral Source])</f>
        <v>#N/A</v>
      </c>
      <c r="EA339" s="44" t="b">
        <f>IF(Table1[Referral Decision]="Accepted",100,IF(Table1[Referral Decision]="Rejected by Provider",200,IF(Table1[Referral Decision]="Rejected by Applicant",300)))</f>
        <v>0</v>
      </c>
      <c r="EB339" s="44">
        <f>SUM(Table1[Data Referral Quarter]+Table1[Data Referral Decision])</f>
        <v>0</v>
      </c>
      <c r="EC339" s="44" t="b">
        <f>IF(Table1[Start Date]&gt;42735,8000,IF(Table1[Start Date]&gt;42643,7000,IF(Table1[Start Date]&gt;42551,6000,IF(Table1[Start Date]&gt;42460,5000,IF(Table1[Start Date]&gt;42369,4000,IF(Table1[Start Date]&gt;42277,3000,IF(Table1[Start Date]&gt;42185,2000,IF(Table1[Start Date]&gt;42094,1000))))))))</f>
        <v>0</v>
      </c>
      <c r="ED339" s="44" t="str">
        <f>IF(Table1[Start Date]="","",IF(Table1[Current Local Authority]="Swindon",1,"2"))</f>
        <v/>
      </c>
      <c r="EE339" s="44" t="e">
        <f>SUM(Table1[Data Start Date]+Table1[Data Local Authority])</f>
        <v>#VALUE!</v>
      </c>
      <c r="EF339" s="44">
        <f>IF(Table1[Registered with GP]="Yes",1,0)</f>
        <v>0</v>
      </c>
      <c r="EG339" s="44">
        <f>SUM(Table1[Data Start Date]+Table1[Data GP Start])</f>
        <v>0</v>
      </c>
      <c r="EH339" s="44" t="str">
        <f>IF(Table1[EET]="NEET",1,IF(Table1[EET]="Education",2,IF(Table1[EET]="Employment",2,IF(Table1[EET]="Training",2,IF(Table1[EET]="Retired",3,"")))))</f>
        <v/>
      </c>
      <c r="EI339" s="44" t="e">
        <f>Table1[Data Start Date]+Table1[Data EET Start]</f>
        <v>#VALUE!</v>
      </c>
      <c r="EJ339" s="44" t="b">
        <f>IF(Table1[Leaving Date]&gt;42735,8000,IF(Table1[Leaving Date]&gt;42643,7000,IF(Table1[Leaving Date]&gt;42551,6000,IF(Table1[Leaving Date]&gt;42460,5000,IF(Table1[Leaving Date]&gt;42369,4000,IF(Table1[Leaving Date]&gt;42277,3000,IF(Table1[Leaving Date]&gt;42185,2000,IF(Table1[Leaving Date]&gt;42094,1000))))))))</f>
        <v>0</v>
      </c>
      <c r="EK339" s="44" t="e">
        <f>VLOOKUP(Table1[Reason for Leaving],Lists!$T$2:$U$15,2,FALSE)</f>
        <v>#N/A</v>
      </c>
      <c r="EL339" s="44" t="e">
        <f>SUM(Table1[Data Leavers Date]+Table1[Data Move On])</f>
        <v>#N/A</v>
      </c>
      <c r="EM339" s="44" t="b">
        <f>IF(Table1[Registered with GP2]="Yes",1,IF(Table1[Registered with GP2]="No",0,IF(Table1[Registered with GP]="Yes",1,IF(Table1[Registered with GP]="No",0))))</f>
        <v>0</v>
      </c>
      <c r="EN339" s="44">
        <f>SUM(Table1[Data Leavers Date]+Table1[Data GP End])</f>
        <v>0</v>
      </c>
      <c r="EO339" s="44" t="str">
        <f>IF(Table1[EET2]="NEET",1,IF(Table1[EET2]="Employment",2,IF(Table1[EET2]="Education",2,IF(Table1[EET2]="Training",2,IF(Table1[EET2]="Retired",3,IF(Table1[EET]="NEET",1,IF(Table1[EET]="Employment",2,IF(Table1[EET]="Education",2,IF(Table1[EET]="Training",2,IF(Table1[EET]="Retired",3,""))))))))))</f>
        <v/>
      </c>
      <c r="EP339" s="44" t="e">
        <f>+Table1[[#This Row],[Data Leavers Date]]+Table1[[#This Row],[Data EET End]]</f>
        <v>#VALUE!</v>
      </c>
      <c r="EQ339" s="44">
        <f>IF(Table1[Exit Form Received]="Yes",1,0)</f>
        <v>0</v>
      </c>
      <c r="ER339" s="44">
        <f>+Table1[[#This Row],[Data Leavers Date]]+Table1[[#This Row],[Data Exit Forms]]</f>
        <v>0</v>
      </c>
      <c r="ES339" s="44" t="str">
        <f>IF(Table1[Data Leavers Date]=1000,SUM(Table1[Leaving Date]-Table1[Start Date]),"")</f>
        <v/>
      </c>
      <c r="ET339" s="44" t="str">
        <f>IF(Table1[Data Leavers Date]=2000,SUM(Table1[Leaving Date]-Table1[Start Date]),"")</f>
        <v/>
      </c>
      <c r="EU339" s="44" t="str">
        <f>IF(Table1[Data Leavers Date]=3000,SUM(Table1[Leaving Date]-Table1[Start Date]),"")</f>
        <v/>
      </c>
      <c r="EV339" s="44" t="str">
        <f>IF(Table1[Data Leavers Date]=4000,SUM(Table1[Leaving Date]-Table1[Start Date]),"")</f>
        <v/>
      </c>
      <c r="EW339" s="44" t="str">
        <f>IF(Table1[Data Leavers Date]=5000,SUM(Table1[Leaving Date]-Table1[Start Date]),"")</f>
        <v/>
      </c>
      <c r="EX339" s="44" t="str">
        <f>IF(Table1[Data Leavers Date]=6000,SUM(Table1[Leaving Date]-Table1[Start Date]),"")</f>
        <v/>
      </c>
      <c r="EY339" s="44" t="str">
        <f>IF(Table1[Data Leavers Date]=7000,SUM(Table1[Leaving Date]-Table1[Start Date]),"")</f>
        <v/>
      </c>
      <c r="EZ339" s="44" t="str">
        <f>IF(Table1[Data Leavers Date]=8000,SUM(Table1[Leaving Date]-Table1[Start Date]),"")</f>
        <v/>
      </c>
      <c r="FA339" s="44" t="str">
        <f>IF(Table1[Date of Initial Assessment]="","",IF(AND(Table1[Start Date]&gt;42094,Table1[Start Date]&lt;42461),Table1[Motivation and Taking Responsibility],""))</f>
        <v/>
      </c>
      <c r="FB339" s="44" t="str">
        <f>IF(Table1[Date of Initial Assessment]="","",IF(AND(Table1[Start Date]&gt;42094,Table1[Start Date]&lt;42461),Table1[Self-Care and Living Skills],""))</f>
        <v/>
      </c>
      <c r="FC339" s="44" t="str">
        <f>IF(Table1[Date of Initial Assessment]="","",IF(AND(Table1[Start Date]&gt;42094,Table1[Start Date]&lt;42461),Table1[Managing Money and Personal Administration],""))</f>
        <v/>
      </c>
      <c r="FD339" s="44" t="str">
        <f>IF(Table1[Date of Initial Assessment]="","",IF(AND(Table1[Start Date]&gt;42094,Table1[Start Date]&lt;42461),Table1[Social Networks and Relationships],""))</f>
        <v/>
      </c>
      <c r="FE339" s="44" t="str">
        <f>IF(Table1[Date of Initial Assessment]="","",IF(AND(Table1[Start Date]&gt;42094,Table1[Start Date]&lt;42461),Table1[Drug and Alcohol Misuse],""))</f>
        <v/>
      </c>
      <c r="FF339" s="44" t="str">
        <f>IF(Table1[Date of Initial Assessment]="","",IF(AND(Table1[Start Date]&gt;42094,Table1[Start Date]&lt;42461),Table1[Physical Health],""))</f>
        <v/>
      </c>
      <c r="FG339" s="44" t="str">
        <f>IF(Table1[Date of Initial Assessment]="","",IF(AND(Table1[Start Date]&gt;42094,Table1[Start Date]&lt;42461),Table1[Emotional and Mental Health],""))</f>
        <v/>
      </c>
      <c r="FH339" s="44" t="str">
        <f>IF(Table1[Date of Initial Assessment]="","",IF(AND(Table1[Start Date]&gt;42094,Table1[Start Date]&lt;42461),Table1[Meaningful Use of Time],""))</f>
        <v/>
      </c>
      <c r="FI339" s="44" t="str">
        <f>IF(Table1[Date of Initial Assessment]="","",IF(AND(Table1[Start Date]&gt;42094,Table1[Start Date]&lt;42461),Table1[Managing Tenancy and Accommodation],""))</f>
        <v/>
      </c>
      <c r="FJ339" s="44" t="str">
        <f>IF(Table1[Date of Initial Assessment]="","",IF(AND(Table1[Start Date]&gt;42094,Table1[Start Date]&lt;42461),Table1[Offending],""))</f>
        <v/>
      </c>
      <c r="FK339" s="44" t="str">
        <f>IF(Table1[Leaving Date]="","",IF(Table1[Date of Initial Assessment]="","",IF(AND(Table1[Leaving Date]&gt;42094,Table1[Leaving Date]&lt;42461),IF(Table1[Date of Last Assessment]="",Table1[Motivation and Taking Responsibility],Table1[Motivation and Taking Responsibility2]),"")))</f>
        <v/>
      </c>
      <c r="FL339" s="44" t="str">
        <f>IF(Table1[Leaving Date]="","",IF(Table1[Date of Initial Assessment]="","",IF(AND(Table1[Leaving Date]&gt;42094,Table1[Leaving Date]&lt;42461),IF(Table1[Date of Last Assessment]="",Table1[Self-Care and Living Skills],Table1[Self-Care and Living Skills2]),"")))</f>
        <v/>
      </c>
      <c r="FM339" s="44" t="str">
        <f>IF(Table1[Leaving Date]="","",IF(Table1[Date of Initial Assessment]="","",IF(AND(Table1[Leaving Date]&gt;42094,Table1[Leaving Date]&lt;42461),IF(Table1[Date of Last Assessment]="",Table1[Managing Money and Personal Administration],Table1[Managing Money and Personal Administration2]),"")))</f>
        <v/>
      </c>
      <c r="FN339" s="44" t="str">
        <f>IF(Table1[Leaving Date]="","",IF(Table1[Date of Initial Assessment]="","",IF(AND(Table1[Leaving Date]&gt;42094,Table1[Leaving Date]&lt;42461),IF(Table1[Date of Last Assessment]="",Table1[Social Networks and Relationships],Table1[Social Networks and Relationships2]),"")))</f>
        <v/>
      </c>
      <c r="FO339" s="44" t="str">
        <f>IF(Table1[Leaving Date]="","",IF(Table1[Date of Initial Assessment]="","",IF(AND(Table1[Leaving Date]&gt;42094,Table1[Leaving Date]&lt;42461),IF(Table1[Date of Last Assessment]="",Table1[Drug and Alcohol Misuse],Table1[Drug and Alcohol Misuse2]),"")))</f>
        <v/>
      </c>
      <c r="FP339" s="44" t="str">
        <f>IF(Table1[Leaving Date]="","",IF(Table1[Date of Initial Assessment]="","",IF(AND(Table1[Leaving Date]&gt;42094,Table1[Leaving Date]&lt;42461),IF(Table1[Date of Last Assessment]="",Table1[Physical Health],Table1[Physical Health2]),"")))</f>
        <v/>
      </c>
      <c r="FQ339" s="44" t="str">
        <f>IF(Table1[Leaving Date]="","",IF(Table1[Date of Initial Assessment]="","",IF(AND(Table1[Leaving Date]&gt;42094,Table1[Leaving Date]&lt;42461),IF(Table1[Date of Last Assessment]="",Table1[Emotional and Mental Health],Table1[Emotional and Mental Health2]),"")))</f>
        <v/>
      </c>
      <c r="FR339" s="44" t="str">
        <f>IF(Table1[Leaving Date]="","",IF(Table1[Date of Initial Assessment]="","",IF(AND(Table1[Leaving Date]&gt;42094,Table1[Leaving Date]&lt;42461),IF(Table1[Date of Last Assessment]="",Table1[Meaningful Use of Time],Table1[Meaningful Use of Time2]),"")))</f>
        <v/>
      </c>
      <c r="FS339" s="44" t="str">
        <f>IF(Table1[Leaving Date]="","",IF(Table1[Date of Initial Assessment]="","",IF(AND(Table1[Leaving Date]&gt;42094,Table1[Leaving Date]&lt;42461),IF(Table1[Date of Last Assessment]="",Table1[Managing Tenancy and Accommodation],Table1[Managing Tenancy and Accommodation2]),"")))</f>
        <v/>
      </c>
      <c r="FT339" s="44" t="str">
        <f>IF(Table1[Leaving Date]="","",IF(Table1[Date of Initial Assessment]="","",IF(AND(Table1[Leaving Date]&gt;42094,Table1[Leaving Date]&lt;42461),IF(Table1[Date of Last Assessment]="",Table1[Offending],Table1[Offending2]),"")))</f>
        <v/>
      </c>
      <c r="FU339" s="44" t="str">
        <f>IF(Table1[Date of Initial Assessment]="","",IF(AND(Table1[Start Date]&gt;42460,Table1[Start Date]&lt;42826),Table1[Motivation and Taking Responsibility],""))</f>
        <v/>
      </c>
      <c r="FV339" s="44" t="str">
        <f>IF(Table1[Date of Initial Assessment]="","",IF(AND(Table1[Start Date]&gt;42460,Table1[Start Date]&lt;42826),Table1[Self-Care and Living Skills],""))</f>
        <v/>
      </c>
      <c r="FW339" s="44" t="str">
        <f>IF(Table1[Date of Initial Assessment]="","",IF(AND(Table1[Start Date]&gt;42460,Table1[Start Date]&lt;42826),Table1[Managing Money and Personal Administration],""))</f>
        <v/>
      </c>
      <c r="FX339" s="44" t="str">
        <f>IF(Table1[Date of Initial Assessment]="","",IF(AND(Table1[Start Date]&gt;42460,Table1[Start Date]&lt;42826),Table1[Social Networks and Relationships],""))</f>
        <v/>
      </c>
      <c r="FY339" s="44" t="str">
        <f>IF(Table1[Date of Initial Assessment]="","",IF(AND(Table1[Start Date]&gt;42460,Table1[Start Date]&lt;42826),Table1[Drug and Alcohol Misuse],""))</f>
        <v/>
      </c>
      <c r="FZ339" s="44" t="str">
        <f>IF(Table1[Date of Initial Assessment]="","",IF(AND(Table1[Start Date]&gt;42460,Table1[Start Date]&lt;42826),Table1[Physical Health],""))</f>
        <v/>
      </c>
      <c r="GA339" s="44" t="str">
        <f>IF(Table1[Date of Initial Assessment]="","",IF(AND(Table1[Start Date]&gt;42460,Table1[Start Date]&lt;42826),Table1[Emotional and Mental Health],""))</f>
        <v/>
      </c>
      <c r="GB339" s="44" t="str">
        <f>IF(Table1[Date of Initial Assessment]="","",IF(AND(Table1[Start Date]&gt;42460,Table1[Start Date]&lt;42826),Table1[Meaningful Use of Time],""))</f>
        <v/>
      </c>
      <c r="GC339" s="44" t="str">
        <f>IF(Table1[Date of Initial Assessment]="","",IF(AND(Table1[Start Date]&gt;42460,Table1[Start Date]&lt;42826),Table1[Managing Tenancy and Accommodation],""))</f>
        <v/>
      </c>
      <c r="GD339" s="44" t="str">
        <f>IF(Table1[Date of Initial Assessment]="","",IF(AND(Table1[Start Date]&gt;42460,Table1[Start Date]&lt;42826),Table1[Offending],""))</f>
        <v/>
      </c>
      <c r="GE339" s="44" t="str">
        <f>IF(Table1[Leaving Date]="","",IF(AND(Table1[Leaving Date]&gt;42460,Table1[Leaving Date]&lt;42826),IF(Table1[Date of Last Assessment]="",Table1[Motivation and Taking Responsibility],Table1[Motivation and Taking Responsibility2]),""))</f>
        <v/>
      </c>
      <c r="GF339" s="44" t="str">
        <f>IF(Table1[Leaving Date]="","",IF(AND(Table1[Leaving Date]&gt;42460,Table1[Leaving Date]&lt;42826),IF(Table1[Date of Last Assessment]="",Table1[Self-Care and Living Skills],Table1[Self-Care and Living Skills2]),""))</f>
        <v/>
      </c>
      <c r="GG339" s="44" t="str">
        <f>IF(Table1[Leaving Date]="","",IF(AND(Table1[Leaving Date]&gt;42460,Table1[Leaving Date]&lt;42826),IF(Table1[Date of Last Assessment]="",Table1[Managing Money and Personal Administration],Table1[Managing Money and Personal Administration2]),""))</f>
        <v/>
      </c>
      <c r="GH339" s="44" t="str">
        <f>IF(Table1[Leaving Date]="","",IF(AND(Table1[Leaving Date]&gt;42460,Table1[Leaving Date]&lt;42826),IF(Table1[Date of Last Assessment]="",Table1[Social Networks and Relationships],Table1[Social Networks and Relationships2]),""))</f>
        <v/>
      </c>
      <c r="GI339" s="44" t="str">
        <f>IF(Table1[Leaving Date]="","",IF(AND(Table1[Leaving Date]&gt;42460,Table1[Leaving Date]&lt;42826),IF(Table1[Date of Last Assessment]="",Table1[Drug and Alcohol Misuse],Table1[Drug and Alcohol Misuse2]),""))</f>
        <v/>
      </c>
      <c r="GJ339" s="44" t="str">
        <f>IF(Table1[Leaving Date]="","",IF(AND(Table1[Leaving Date]&gt;42460,Table1[Leaving Date]&lt;42826),IF(Table1[Date of Last Assessment]="",Table1[Physical Health],Table1[Physical Health2]),""))</f>
        <v/>
      </c>
      <c r="GK339" s="44" t="str">
        <f>IF(Table1[Leaving Date]="","",IF(AND(Table1[Leaving Date]&gt;42460,Table1[Leaving Date]&lt;42826),IF(Table1[Date of Last Assessment]="",Table1[Emotional and Mental Health],Table1[Emotional and Mental Health2]),""))</f>
        <v/>
      </c>
      <c r="GL339" s="44" t="str">
        <f>IF(Table1[Leaving Date]="","",IF(AND(Table1[Leaving Date]&gt;42460,Table1[Leaving Date]&lt;42826),IF(Table1[Date of Last Assessment]="",Table1[Meaningful Use of Time],Table1[Meaningful Use of Time2]),""))</f>
        <v/>
      </c>
      <c r="GM339" s="44" t="str">
        <f>IF(Table1[Leaving Date]="","",IF(AND(Table1[Leaving Date]&gt;42460,Table1[Leaving Date]&lt;42826),IF(Table1[Date of Last Assessment]="",Table1[Managing Tenancy and Accommodation],Table1[Managing Tenancy and Accommodation2]),""))</f>
        <v/>
      </c>
      <c r="GN339" s="44" t="str">
        <f>IF(Table1[Leaving Date]="","",IF(AND(Table1[Leaving Date]&gt;42460,Table1[Leaving Date]&lt;42826),IF(Table1[Date of Last Assessment]="",Table1[Offending],Table1[Offending2]),""))</f>
        <v/>
      </c>
    </row>
    <row r="340" spans="2:196" ht="20.100000000000001" customHeight="1" x14ac:dyDescent="0.2">
      <c r="B340" s="86">
        <f>+'Service Data'!$C$5:$C$5</f>
        <v>0</v>
      </c>
      <c r="C340" s="86"/>
      <c r="D340" s="86"/>
      <c r="E340" s="86"/>
      <c r="F340" s="86"/>
      <c r="G340" s="86"/>
      <c r="H340" s="6"/>
      <c r="I340" s="99" t="str">
        <f ca="1">IF(Table1[[#This Row],[Date of Birth]]="","",SUM(TODAY()-Table1[[#This Row],[Date of Birth]])/365)</f>
        <v/>
      </c>
      <c r="L340" s="86"/>
      <c r="M340" s="77"/>
      <c r="N340" s="86"/>
      <c r="O340" s="86"/>
      <c r="P340" s="91"/>
      <c r="Q340" s="86"/>
      <c r="R340" s="77"/>
      <c r="S340" s="77"/>
      <c r="T340" s="68"/>
      <c r="U340" s="68"/>
      <c r="V340" s="67"/>
      <c r="W340" s="67"/>
      <c r="X340" s="67"/>
      <c r="Y340" s="67"/>
      <c r="Z340" s="67"/>
      <c r="AA340" s="67"/>
      <c r="AB340" s="67"/>
      <c r="AC340" s="67"/>
      <c r="AD340" s="67"/>
      <c r="AE340" s="67"/>
      <c r="AF340" s="67"/>
      <c r="AG340" s="67"/>
      <c r="AH340" s="67"/>
      <c r="AI340" s="67"/>
      <c r="AJ340" s="67"/>
      <c r="AK340" s="67"/>
      <c r="AL340" s="67"/>
      <c r="AM340" s="67"/>
      <c r="AN340" s="77"/>
      <c r="AO340" s="76"/>
      <c r="AP340" s="77"/>
      <c r="AQ340" s="76"/>
      <c r="AR340" s="76"/>
      <c r="AS340" s="76"/>
      <c r="AT340" s="76"/>
      <c r="AU340" s="76"/>
      <c r="AV340" s="77"/>
      <c r="AW340" s="76"/>
      <c r="AX340" s="77"/>
      <c r="AY340" s="76"/>
      <c r="AZ340" s="76"/>
      <c r="BA340" s="76"/>
      <c r="BB340" s="76"/>
      <c r="BC340" s="76"/>
      <c r="BD340" s="77"/>
      <c r="BE340" s="76"/>
      <c r="BF340" s="77"/>
      <c r="BG340" s="76"/>
      <c r="BH340" s="76"/>
      <c r="BI340" s="76"/>
      <c r="BJ340" s="76"/>
      <c r="BK340" s="76"/>
      <c r="BL340" s="77"/>
      <c r="BM340" s="76"/>
      <c r="BN340" s="77"/>
      <c r="BO340" s="76"/>
      <c r="BP340" s="76"/>
      <c r="BQ340" s="76"/>
      <c r="BR340" s="76"/>
      <c r="BS340" s="76"/>
      <c r="BT340" s="77"/>
      <c r="BU340" s="76"/>
      <c r="BV340" s="77"/>
      <c r="BW340" s="76"/>
      <c r="BX340" s="76"/>
      <c r="BY340" s="76"/>
      <c r="BZ340" s="76"/>
      <c r="CA340" s="76"/>
      <c r="CB340" s="77"/>
      <c r="CC340" s="76"/>
      <c r="CD340" s="77"/>
      <c r="CE340" s="76"/>
      <c r="CF340" s="76"/>
      <c r="CG340" s="76"/>
      <c r="CH340" s="76"/>
      <c r="CI340" s="76"/>
      <c r="CJ340" s="77"/>
      <c r="CK340" s="76"/>
      <c r="CL340" s="77"/>
      <c r="CM340" s="76"/>
      <c r="CN340" s="76"/>
      <c r="CO340" s="76"/>
      <c r="CP340" s="76"/>
      <c r="CQ340" s="76"/>
      <c r="CR340" s="78" t="str">
        <f t="shared" si="95"/>
        <v/>
      </c>
      <c r="CS340" s="79" t="str">
        <f t="shared" si="96"/>
        <v/>
      </c>
      <c r="CT340" s="79" t="str">
        <f t="shared" si="97"/>
        <v/>
      </c>
      <c r="CU340" s="79" t="str">
        <f t="shared" si="98"/>
        <v/>
      </c>
      <c r="CV340" s="79" t="str">
        <f t="shared" si="99"/>
        <v/>
      </c>
      <c r="CW340" s="79" t="str">
        <f t="shared" si="100"/>
        <v/>
      </c>
      <c r="CX340" s="79" t="str">
        <f t="shared" si="101"/>
        <v/>
      </c>
      <c r="CY340" s="79" t="str">
        <f t="shared" si="102"/>
        <v/>
      </c>
      <c r="CZ340" s="79" t="str">
        <f t="shared" si="103"/>
        <v/>
      </c>
      <c r="DA340" s="79" t="str">
        <f t="shared" si="104"/>
        <v/>
      </c>
      <c r="DB340" s="79" t="str">
        <f t="shared" si="105"/>
        <v/>
      </c>
      <c r="DC340" s="79" t="str">
        <f t="shared" si="106"/>
        <v/>
      </c>
      <c r="DD340" s="79" t="str">
        <f t="shared" si="107"/>
        <v/>
      </c>
      <c r="DE340" s="79" t="str">
        <f t="shared" si="108"/>
        <v/>
      </c>
      <c r="DF340" s="79" t="str">
        <f t="shared" si="109"/>
        <v/>
      </c>
      <c r="DG340" s="79" t="str">
        <f t="shared" si="110"/>
        <v/>
      </c>
      <c r="DH340" s="76"/>
      <c r="DI340" s="78"/>
      <c r="DJ340" s="76"/>
      <c r="DK340" s="77"/>
      <c r="DL340" s="77"/>
      <c r="DM340" s="77"/>
      <c r="DN340" s="80"/>
      <c r="DO340" s="80"/>
      <c r="DP340" s="92" t="str">
        <f>IF(Table1[Start Date]="","",IF(Table1[Start Date]&gt;42185,"",IF(AND(Table1[Leaving Date]&gt;1,Table1[Leaving Date]&lt;42095),"",1)))</f>
        <v/>
      </c>
      <c r="DQ340" s="92" t="str">
        <f>IF(Table1[Start Date]="","",IF(Table1[Start Date]&gt;42277,"",IF(AND(Table1[Leaving Date]&gt;1,Table1[Leaving Date]&lt;42186),"",1)))</f>
        <v/>
      </c>
      <c r="DR340" s="92" t="str">
        <f>IF(Table1[Start Date]="","",IF(Table1[Start Date]&gt;42369,"",IF(AND(Table1[Leaving Date]&gt;1,Table1[Leaving Date]&lt;42278),"",1)))</f>
        <v/>
      </c>
      <c r="DS340" s="92" t="str">
        <f>IF(Table1[Start Date]="","",IF(Table1[Start Date]&gt;42460,"",IF(AND(Table1[Leaving Date]&gt;1,Table1[Leaving Date]&lt;42370),"",1)))</f>
        <v/>
      </c>
      <c r="DT340" s="92" t="str">
        <f>IF(Table1[Start Date]="","",IF(Table1[Start Date]&gt;42551,"",IF(AND(Table1[Leaving Date]&gt;1,Table1[Leaving Date]&lt;42461),"",1)))</f>
        <v/>
      </c>
      <c r="DU340" s="92" t="str">
        <f>IF(Table1[Start Date]="","",IF(Table1[Start Date]&gt;42643,"",IF(AND(Table1[Leaving Date]&gt;1,Table1[Leaving Date]&lt;42552),"",1)))</f>
        <v/>
      </c>
      <c r="DV340" s="92" t="str">
        <f>IF(Table1[Start Date]="","",IF(Table1[Start Date]&gt;42735,"",IF(AND(Table1[Leaving Date]&gt;1,Table1[Leaving Date]&lt;42644),"",1)))</f>
        <v/>
      </c>
      <c r="DW340" s="92" t="str">
        <f>IF(Table1[Start Date]="","",IF(Table1[Start Date]&gt;42825,"",IF(AND(Table1[Leaving Date]&gt;1,Table1[Leaving Date]&lt;42736),"",1)))</f>
        <v/>
      </c>
      <c r="DX340"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340" s="44" t="e">
        <f>VLOOKUP(Table1[Referral Source],Lists!$G$2:$H$20,2,FALSE)</f>
        <v>#N/A</v>
      </c>
      <c r="DZ340" s="93" t="e">
        <f>SUM(Table1[Data Referral Quarter]+Table1[Data Referral Source])</f>
        <v>#N/A</v>
      </c>
      <c r="EA340" s="44" t="b">
        <f>IF(Table1[Referral Decision]="Accepted",100,IF(Table1[Referral Decision]="Rejected by Provider",200,IF(Table1[Referral Decision]="Rejected by Applicant",300)))</f>
        <v>0</v>
      </c>
      <c r="EB340" s="44">
        <f>SUM(Table1[Data Referral Quarter]+Table1[Data Referral Decision])</f>
        <v>0</v>
      </c>
      <c r="EC340" s="44" t="b">
        <f>IF(Table1[Start Date]&gt;42735,8000,IF(Table1[Start Date]&gt;42643,7000,IF(Table1[Start Date]&gt;42551,6000,IF(Table1[Start Date]&gt;42460,5000,IF(Table1[Start Date]&gt;42369,4000,IF(Table1[Start Date]&gt;42277,3000,IF(Table1[Start Date]&gt;42185,2000,IF(Table1[Start Date]&gt;42094,1000))))))))</f>
        <v>0</v>
      </c>
      <c r="ED340" s="44" t="str">
        <f>IF(Table1[Start Date]="","",IF(Table1[Current Local Authority]="Swindon",1,"2"))</f>
        <v/>
      </c>
      <c r="EE340" s="44" t="e">
        <f>SUM(Table1[Data Start Date]+Table1[Data Local Authority])</f>
        <v>#VALUE!</v>
      </c>
      <c r="EF340" s="44">
        <f>IF(Table1[Registered with GP]="Yes",1,0)</f>
        <v>0</v>
      </c>
      <c r="EG340" s="44">
        <f>SUM(Table1[Data Start Date]+Table1[Data GP Start])</f>
        <v>0</v>
      </c>
      <c r="EH340" s="44" t="str">
        <f>IF(Table1[EET]="NEET",1,IF(Table1[EET]="Education",2,IF(Table1[EET]="Employment",2,IF(Table1[EET]="Training",2,IF(Table1[EET]="Retired",3,"")))))</f>
        <v/>
      </c>
      <c r="EI340" s="44" t="e">
        <f>Table1[Data Start Date]+Table1[Data EET Start]</f>
        <v>#VALUE!</v>
      </c>
      <c r="EJ340" s="44" t="b">
        <f>IF(Table1[Leaving Date]&gt;42735,8000,IF(Table1[Leaving Date]&gt;42643,7000,IF(Table1[Leaving Date]&gt;42551,6000,IF(Table1[Leaving Date]&gt;42460,5000,IF(Table1[Leaving Date]&gt;42369,4000,IF(Table1[Leaving Date]&gt;42277,3000,IF(Table1[Leaving Date]&gt;42185,2000,IF(Table1[Leaving Date]&gt;42094,1000))))))))</f>
        <v>0</v>
      </c>
      <c r="EK340" s="44" t="e">
        <f>VLOOKUP(Table1[Reason for Leaving],Lists!$T$2:$U$15,2,FALSE)</f>
        <v>#N/A</v>
      </c>
      <c r="EL340" s="44" t="e">
        <f>SUM(Table1[Data Leavers Date]+Table1[Data Move On])</f>
        <v>#N/A</v>
      </c>
      <c r="EM340" s="44" t="b">
        <f>IF(Table1[Registered with GP2]="Yes",1,IF(Table1[Registered with GP2]="No",0,IF(Table1[Registered with GP]="Yes",1,IF(Table1[Registered with GP]="No",0))))</f>
        <v>0</v>
      </c>
      <c r="EN340" s="44">
        <f>SUM(Table1[Data Leavers Date]+Table1[Data GP End])</f>
        <v>0</v>
      </c>
      <c r="EO340" s="44" t="str">
        <f>IF(Table1[EET2]="NEET",1,IF(Table1[EET2]="Employment",2,IF(Table1[EET2]="Education",2,IF(Table1[EET2]="Training",2,IF(Table1[EET2]="Retired",3,IF(Table1[EET]="NEET",1,IF(Table1[EET]="Employment",2,IF(Table1[EET]="Education",2,IF(Table1[EET]="Training",2,IF(Table1[EET]="Retired",3,""))))))))))</f>
        <v/>
      </c>
      <c r="EP340" s="44" t="e">
        <f>+Table1[[#This Row],[Data Leavers Date]]+Table1[[#This Row],[Data EET End]]</f>
        <v>#VALUE!</v>
      </c>
      <c r="EQ340" s="44">
        <f>IF(Table1[Exit Form Received]="Yes",1,0)</f>
        <v>0</v>
      </c>
      <c r="ER340" s="44">
        <f>+Table1[[#This Row],[Data Leavers Date]]+Table1[[#This Row],[Data Exit Forms]]</f>
        <v>0</v>
      </c>
      <c r="ES340" s="44" t="str">
        <f>IF(Table1[Data Leavers Date]=1000,SUM(Table1[Leaving Date]-Table1[Start Date]),"")</f>
        <v/>
      </c>
      <c r="ET340" s="44" t="str">
        <f>IF(Table1[Data Leavers Date]=2000,SUM(Table1[Leaving Date]-Table1[Start Date]),"")</f>
        <v/>
      </c>
      <c r="EU340" s="44" t="str">
        <f>IF(Table1[Data Leavers Date]=3000,SUM(Table1[Leaving Date]-Table1[Start Date]),"")</f>
        <v/>
      </c>
      <c r="EV340" s="44" t="str">
        <f>IF(Table1[Data Leavers Date]=4000,SUM(Table1[Leaving Date]-Table1[Start Date]),"")</f>
        <v/>
      </c>
      <c r="EW340" s="44" t="str">
        <f>IF(Table1[Data Leavers Date]=5000,SUM(Table1[Leaving Date]-Table1[Start Date]),"")</f>
        <v/>
      </c>
      <c r="EX340" s="44" t="str">
        <f>IF(Table1[Data Leavers Date]=6000,SUM(Table1[Leaving Date]-Table1[Start Date]),"")</f>
        <v/>
      </c>
      <c r="EY340" s="44" t="str">
        <f>IF(Table1[Data Leavers Date]=7000,SUM(Table1[Leaving Date]-Table1[Start Date]),"")</f>
        <v/>
      </c>
      <c r="EZ340" s="44" t="str">
        <f>IF(Table1[Data Leavers Date]=8000,SUM(Table1[Leaving Date]-Table1[Start Date]),"")</f>
        <v/>
      </c>
      <c r="FA340" s="44" t="str">
        <f>IF(Table1[Date of Initial Assessment]="","",IF(AND(Table1[Start Date]&gt;42094,Table1[Start Date]&lt;42461),Table1[Motivation and Taking Responsibility],""))</f>
        <v/>
      </c>
      <c r="FB340" s="44" t="str">
        <f>IF(Table1[Date of Initial Assessment]="","",IF(AND(Table1[Start Date]&gt;42094,Table1[Start Date]&lt;42461),Table1[Self-Care and Living Skills],""))</f>
        <v/>
      </c>
      <c r="FC340" s="44" t="str">
        <f>IF(Table1[Date of Initial Assessment]="","",IF(AND(Table1[Start Date]&gt;42094,Table1[Start Date]&lt;42461),Table1[Managing Money and Personal Administration],""))</f>
        <v/>
      </c>
      <c r="FD340" s="44" t="str">
        <f>IF(Table1[Date of Initial Assessment]="","",IF(AND(Table1[Start Date]&gt;42094,Table1[Start Date]&lt;42461),Table1[Social Networks and Relationships],""))</f>
        <v/>
      </c>
      <c r="FE340" s="44" t="str">
        <f>IF(Table1[Date of Initial Assessment]="","",IF(AND(Table1[Start Date]&gt;42094,Table1[Start Date]&lt;42461),Table1[Drug and Alcohol Misuse],""))</f>
        <v/>
      </c>
      <c r="FF340" s="44" t="str">
        <f>IF(Table1[Date of Initial Assessment]="","",IF(AND(Table1[Start Date]&gt;42094,Table1[Start Date]&lt;42461),Table1[Physical Health],""))</f>
        <v/>
      </c>
      <c r="FG340" s="44" t="str">
        <f>IF(Table1[Date of Initial Assessment]="","",IF(AND(Table1[Start Date]&gt;42094,Table1[Start Date]&lt;42461),Table1[Emotional and Mental Health],""))</f>
        <v/>
      </c>
      <c r="FH340" s="44" t="str">
        <f>IF(Table1[Date of Initial Assessment]="","",IF(AND(Table1[Start Date]&gt;42094,Table1[Start Date]&lt;42461),Table1[Meaningful Use of Time],""))</f>
        <v/>
      </c>
      <c r="FI340" s="44" t="str">
        <f>IF(Table1[Date of Initial Assessment]="","",IF(AND(Table1[Start Date]&gt;42094,Table1[Start Date]&lt;42461),Table1[Managing Tenancy and Accommodation],""))</f>
        <v/>
      </c>
      <c r="FJ340" s="44" t="str">
        <f>IF(Table1[Date of Initial Assessment]="","",IF(AND(Table1[Start Date]&gt;42094,Table1[Start Date]&lt;42461),Table1[Offending],""))</f>
        <v/>
      </c>
      <c r="FK340" s="44" t="str">
        <f>IF(Table1[Leaving Date]="","",IF(Table1[Date of Initial Assessment]="","",IF(AND(Table1[Leaving Date]&gt;42094,Table1[Leaving Date]&lt;42461),IF(Table1[Date of Last Assessment]="",Table1[Motivation and Taking Responsibility],Table1[Motivation and Taking Responsibility2]),"")))</f>
        <v/>
      </c>
      <c r="FL340" s="44" t="str">
        <f>IF(Table1[Leaving Date]="","",IF(Table1[Date of Initial Assessment]="","",IF(AND(Table1[Leaving Date]&gt;42094,Table1[Leaving Date]&lt;42461),IF(Table1[Date of Last Assessment]="",Table1[Self-Care and Living Skills],Table1[Self-Care and Living Skills2]),"")))</f>
        <v/>
      </c>
      <c r="FM340" s="44" t="str">
        <f>IF(Table1[Leaving Date]="","",IF(Table1[Date of Initial Assessment]="","",IF(AND(Table1[Leaving Date]&gt;42094,Table1[Leaving Date]&lt;42461),IF(Table1[Date of Last Assessment]="",Table1[Managing Money and Personal Administration],Table1[Managing Money and Personal Administration2]),"")))</f>
        <v/>
      </c>
      <c r="FN340" s="44" t="str">
        <f>IF(Table1[Leaving Date]="","",IF(Table1[Date of Initial Assessment]="","",IF(AND(Table1[Leaving Date]&gt;42094,Table1[Leaving Date]&lt;42461),IF(Table1[Date of Last Assessment]="",Table1[Social Networks and Relationships],Table1[Social Networks and Relationships2]),"")))</f>
        <v/>
      </c>
      <c r="FO340" s="44" t="str">
        <f>IF(Table1[Leaving Date]="","",IF(Table1[Date of Initial Assessment]="","",IF(AND(Table1[Leaving Date]&gt;42094,Table1[Leaving Date]&lt;42461),IF(Table1[Date of Last Assessment]="",Table1[Drug and Alcohol Misuse],Table1[Drug and Alcohol Misuse2]),"")))</f>
        <v/>
      </c>
      <c r="FP340" s="44" t="str">
        <f>IF(Table1[Leaving Date]="","",IF(Table1[Date of Initial Assessment]="","",IF(AND(Table1[Leaving Date]&gt;42094,Table1[Leaving Date]&lt;42461),IF(Table1[Date of Last Assessment]="",Table1[Physical Health],Table1[Physical Health2]),"")))</f>
        <v/>
      </c>
      <c r="FQ340" s="44" t="str">
        <f>IF(Table1[Leaving Date]="","",IF(Table1[Date of Initial Assessment]="","",IF(AND(Table1[Leaving Date]&gt;42094,Table1[Leaving Date]&lt;42461),IF(Table1[Date of Last Assessment]="",Table1[Emotional and Mental Health],Table1[Emotional and Mental Health2]),"")))</f>
        <v/>
      </c>
      <c r="FR340" s="44" t="str">
        <f>IF(Table1[Leaving Date]="","",IF(Table1[Date of Initial Assessment]="","",IF(AND(Table1[Leaving Date]&gt;42094,Table1[Leaving Date]&lt;42461),IF(Table1[Date of Last Assessment]="",Table1[Meaningful Use of Time],Table1[Meaningful Use of Time2]),"")))</f>
        <v/>
      </c>
      <c r="FS340" s="44" t="str">
        <f>IF(Table1[Leaving Date]="","",IF(Table1[Date of Initial Assessment]="","",IF(AND(Table1[Leaving Date]&gt;42094,Table1[Leaving Date]&lt;42461),IF(Table1[Date of Last Assessment]="",Table1[Managing Tenancy and Accommodation],Table1[Managing Tenancy and Accommodation2]),"")))</f>
        <v/>
      </c>
      <c r="FT340" s="44" t="str">
        <f>IF(Table1[Leaving Date]="","",IF(Table1[Date of Initial Assessment]="","",IF(AND(Table1[Leaving Date]&gt;42094,Table1[Leaving Date]&lt;42461),IF(Table1[Date of Last Assessment]="",Table1[Offending],Table1[Offending2]),"")))</f>
        <v/>
      </c>
      <c r="FU340" s="44" t="str">
        <f>IF(Table1[Date of Initial Assessment]="","",IF(AND(Table1[Start Date]&gt;42460,Table1[Start Date]&lt;42826),Table1[Motivation and Taking Responsibility],""))</f>
        <v/>
      </c>
      <c r="FV340" s="44" t="str">
        <f>IF(Table1[Date of Initial Assessment]="","",IF(AND(Table1[Start Date]&gt;42460,Table1[Start Date]&lt;42826),Table1[Self-Care and Living Skills],""))</f>
        <v/>
      </c>
      <c r="FW340" s="44" t="str">
        <f>IF(Table1[Date of Initial Assessment]="","",IF(AND(Table1[Start Date]&gt;42460,Table1[Start Date]&lt;42826),Table1[Managing Money and Personal Administration],""))</f>
        <v/>
      </c>
      <c r="FX340" s="44" t="str">
        <f>IF(Table1[Date of Initial Assessment]="","",IF(AND(Table1[Start Date]&gt;42460,Table1[Start Date]&lt;42826),Table1[Social Networks and Relationships],""))</f>
        <v/>
      </c>
      <c r="FY340" s="44" t="str">
        <f>IF(Table1[Date of Initial Assessment]="","",IF(AND(Table1[Start Date]&gt;42460,Table1[Start Date]&lt;42826),Table1[Drug and Alcohol Misuse],""))</f>
        <v/>
      </c>
      <c r="FZ340" s="44" t="str">
        <f>IF(Table1[Date of Initial Assessment]="","",IF(AND(Table1[Start Date]&gt;42460,Table1[Start Date]&lt;42826),Table1[Physical Health],""))</f>
        <v/>
      </c>
      <c r="GA340" s="44" t="str">
        <f>IF(Table1[Date of Initial Assessment]="","",IF(AND(Table1[Start Date]&gt;42460,Table1[Start Date]&lt;42826),Table1[Emotional and Mental Health],""))</f>
        <v/>
      </c>
      <c r="GB340" s="44" t="str">
        <f>IF(Table1[Date of Initial Assessment]="","",IF(AND(Table1[Start Date]&gt;42460,Table1[Start Date]&lt;42826),Table1[Meaningful Use of Time],""))</f>
        <v/>
      </c>
      <c r="GC340" s="44" t="str">
        <f>IF(Table1[Date of Initial Assessment]="","",IF(AND(Table1[Start Date]&gt;42460,Table1[Start Date]&lt;42826),Table1[Managing Tenancy and Accommodation],""))</f>
        <v/>
      </c>
      <c r="GD340" s="44" t="str">
        <f>IF(Table1[Date of Initial Assessment]="","",IF(AND(Table1[Start Date]&gt;42460,Table1[Start Date]&lt;42826),Table1[Offending],""))</f>
        <v/>
      </c>
      <c r="GE340" s="44" t="str">
        <f>IF(Table1[Leaving Date]="","",IF(AND(Table1[Leaving Date]&gt;42460,Table1[Leaving Date]&lt;42826),IF(Table1[Date of Last Assessment]="",Table1[Motivation and Taking Responsibility],Table1[Motivation and Taking Responsibility2]),""))</f>
        <v/>
      </c>
      <c r="GF340" s="44" t="str">
        <f>IF(Table1[Leaving Date]="","",IF(AND(Table1[Leaving Date]&gt;42460,Table1[Leaving Date]&lt;42826),IF(Table1[Date of Last Assessment]="",Table1[Self-Care and Living Skills],Table1[Self-Care and Living Skills2]),""))</f>
        <v/>
      </c>
      <c r="GG340" s="44" t="str">
        <f>IF(Table1[Leaving Date]="","",IF(AND(Table1[Leaving Date]&gt;42460,Table1[Leaving Date]&lt;42826),IF(Table1[Date of Last Assessment]="",Table1[Managing Money and Personal Administration],Table1[Managing Money and Personal Administration2]),""))</f>
        <v/>
      </c>
      <c r="GH340" s="44" t="str">
        <f>IF(Table1[Leaving Date]="","",IF(AND(Table1[Leaving Date]&gt;42460,Table1[Leaving Date]&lt;42826),IF(Table1[Date of Last Assessment]="",Table1[Social Networks and Relationships],Table1[Social Networks and Relationships2]),""))</f>
        <v/>
      </c>
      <c r="GI340" s="44" t="str">
        <f>IF(Table1[Leaving Date]="","",IF(AND(Table1[Leaving Date]&gt;42460,Table1[Leaving Date]&lt;42826),IF(Table1[Date of Last Assessment]="",Table1[Drug and Alcohol Misuse],Table1[Drug and Alcohol Misuse2]),""))</f>
        <v/>
      </c>
      <c r="GJ340" s="44" t="str">
        <f>IF(Table1[Leaving Date]="","",IF(AND(Table1[Leaving Date]&gt;42460,Table1[Leaving Date]&lt;42826),IF(Table1[Date of Last Assessment]="",Table1[Physical Health],Table1[Physical Health2]),""))</f>
        <v/>
      </c>
      <c r="GK340" s="44" t="str">
        <f>IF(Table1[Leaving Date]="","",IF(AND(Table1[Leaving Date]&gt;42460,Table1[Leaving Date]&lt;42826),IF(Table1[Date of Last Assessment]="",Table1[Emotional and Mental Health],Table1[Emotional and Mental Health2]),""))</f>
        <v/>
      </c>
      <c r="GL340" s="44" t="str">
        <f>IF(Table1[Leaving Date]="","",IF(AND(Table1[Leaving Date]&gt;42460,Table1[Leaving Date]&lt;42826),IF(Table1[Date of Last Assessment]="",Table1[Meaningful Use of Time],Table1[Meaningful Use of Time2]),""))</f>
        <v/>
      </c>
      <c r="GM340" s="44" t="str">
        <f>IF(Table1[Leaving Date]="","",IF(AND(Table1[Leaving Date]&gt;42460,Table1[Leaving Date]&lt;42826),IF(Table1[Date of Last Assessment]="",Table1[Managing Tenancy and Accommodation],Table1[Managing Tenancy and Accommodation2]),""))</f>
        <v/>
      </c>
      <c r="GN340" s="44" t="str">
        <f>IF(Table1[Leaving Date]="","",IF(AND(Table1[Leaving Date]&gt;42460,Table1[Leaving Date]&lt;42826),IF(Table1[Date of Last Assessment]="",Table1[Offending],Table1[Offending2]),""))</f>
        <v/>
      </c>
    </row>
    <row r="341" spans="2:196" ht="20.100000000000001" customHeight="1" x14ac:dyDescent="0.2">
      <c r="B341" s="86">
        <f>+'Service Data'!$C$5:$C$5</f>
        <v>0</v>
      </c>
      <c r="C341" s="86"/>
      <c r="D341" s="86"/>
      <c r="E341" s="86"/>
      <c r="F341" s="86"/>
      <c r="G341" s="86"/>
      <c r="H341" s="6"/>
      <c r="I341" s="99" t="str">
        <f ca="1">IF(Table1[[#This Row],[Date of Birth]]="","",SUM(TODAY()-Table1[[#This Row],[Date of Birth]])/365)</f>
        <v/>
      </c>
      <c r="L341" s="86"/>
      <c r="M341" s="77"/>
      <c r="N341" s="86"/>
      <c r="O341" s="86"/>
      <c r="P341" s="91"/>
      <c r="Q341" s="86"/>
      <c r="R341" s="77"/>
      <c r="S341" s="77"/>
      <c r="T341" s="68"/>
      <c r="U341" s="68"/>
      <c r="V341" s="67"/>
      <c r="W341" s="67"/>
      <c r="X341" s="67"/>
      <c r="Y341" s="67"/>
      <c r="Z341" s="67"/>
      <c r="AA341" s="67"/>
      <c r="AB341" s="67"/>
      <c r="AC341" s="67"/>
      <c r="AD341" s="67"/>
      <c r="AE341" s="67"/>
      <c r="AF341" s="67"/>
      <c r="AG341" s="67"/>
      <c r="AH341" s="67"/>
      <c r="AI341" s="67"/>
      <c r="AJ341" s="67"/>
      <c r="AK341" s="67"/>
      <c r="AL341" s="67"/>
      <c r="AM341" s="67"/>
      <c r="AN341" s="77"/>
      <c r="AO341" s="76"/>
      <c r="AP341" s="77"/>
      <c r="AQ341" s="76"/>
      <c r="AR341" s="76"/>
      <c r="AS341" s="76"/>
      <c r="AT341" s="76"/>
      <c r="AU341" s="76"/>
      <c r="AV341" s="77"/>
      <c r="AW341" s="76"/>
      <c r="AX341" s="77"/>
      <c r="AY341" s="76"/>
      <c r="AZ341" s="76"/>
      <c r="BA341" s="76"/>
      <c r="BB341" s="76"/>
      <c r="BC341" s="76"/>
      <c r="BD341" s="77"/>
      <c r="BE341" s="76"/>
      <c r="BF341" s="77"/>
      <c r="BG341" s="76"/>
      <c r="BH341" s="76"/>
      <c r="BI341" s="76"/>
      <c r="BJ341" s="76"/>
      <c r="BK341" s="76"/>
      <c r="BL341" s="77"/>
      <c r="BM341" s="76"/>
      <c r="BN341" s="77"/>
      <c r="BO341" s="76"/>
      <c r="BP341" s="76"/>
      <c r="BQ341" s="76"/>
      <c r="BR341" s="76"/>
      <c r="BS341" s="76"/>
      <c r="BT341" s="77"/>
      <c r="BU341" s="76"/>
      <c r="BV341" s="77"/>
      <c r="BW341" s="76"/>
      <c r="BX341" s="76"/>
      <c r="BY341" s="76"/>
      <c r="BZ341" s="76"/>
      <c r="CA341" s="76"/>
      <c r="CB341" s="77"/>
      <c r="CC341" s="76"/>
      <c r="CD341" s="77"/>
      <c r="CE341" s="76"/>
      <c r="CF341" s="76"/>
      <c r="CG341" s="76"/>
      <c r="CH341" s="76"/>
      <c r="CI341" s="76"/>
      <c r="CJ341" s="77"/>
      <c r="CK341" s="76"/>
      <c r="CL341" s="77"/>
      <c r="CM341" s="76"/>
      <c r="CN341" s="76"/>
      <c r="CO341" s="76"/>
      <c r="CP341" s="76"/>
      <c r="CQ341" s="76"/>
      <c r="CR341" s="78" t="str">
        <f t="shared" si="95"/>
        <v/>
      </c>
      <c r="CS341" s="79" t="str">
        <f t="shared" si="96"/>
        <v/>
      </c>
      <c r="CT341" s="79" t="str">
        <f t="shared" si="97"/>
        <v/>
      </c>
      <c r="CU341" s="79" t="str">
        <f t="shared" si="98"/>
        <v/>
      </c>
      <c r="CV341" s="79" t="str">
        <f t="shared" si="99"/>
        <v/>
      </c>
      <c r="CW341" s="79" t="str">
        <f t="shared" si="100"/>
        <v/>
      </c>
      <c r="CX341" s="79" t="str">
        <f t="shared" si="101"/>
        <v/>
      </c>
      <c r="CY341" s="79" t="str">
        <f t="shared" si="102"/>
        <v/>
      </c>
      <c r="CZ341" s="79" t="str">
        <f t="shared" si="103"/>
        <v/>
      </c>
      <c r="DA341" s="79" t="str">
        <f t="shared" si="104"/>
        <v/>
      </c>
      <c r="DB341" s="79" t="str">
        <f t="shared" si="105"/>
        <v/>
      </c>
      <c r="DC341" s="79" t="str">
        <f t="shared" si="106"/>
        <v/>
      </c>
      <c r="DD341" s="79" t="str">
        <f t="shared" si="107"/>
        <v/>
      </c>
      <c r="DE341" s="79" t="str">
        <f t="shared" si="108"/>
        <v/>
      </c>
      <c r="DF341" s="79" t="str">
        <f t="shared" si="109"/>
        <v/>
      </c>
      <c r="DG341" s="79" t="str">
        <f t="shared" si="110"/>
        <v/>
      </c>
      <c r="DH341" s="76"/>
      <c r="DI341" s="78"/>
      <c r="DJ341" s="76"/>
      <c r="DK341" s="77"/>
      <c r="DL341" s="77"/>
      <c r="DM341" s="77"/>
      <c r="DN341" s="80"/>
      <c r="DO341" s="80"/>
      <c r="DP341" s="92" t="str">
        <f>IF(Table1[Start Date]="","",IF(Table1[Start Date]&gt;42185,"",IF(AND(Table1[Leaving Date]&gt;1,Table1[Leaving Date]&lt;42095),"",1)))</f>
        <v/>
      </c>
      <c r="DQ341" s="92" t="str">
        <f>IF(Table1[Start Date]="","",IF(Table1[Start Date]&gt;42277,"",IF(AND(Table1[Leaving Date]&gt;1,Table1[Leaving Date]&lt;42186),"",1)))</f>
        <v/>
      </c>
      <c r="DR341" s="92" t="str">
        <f>IF(Table1[Start Date]="","",IF(Table1[Start Date]&gt;42369,"",IF(AND(Table1[Leaving Date]&gt;1,Table1[Leaving Date]&lt;42278),"",1)))</f>
        <v/>
      </c>
      <c r="DS341" s="92" t="str">
        <f>IF(Table1[Start Date]="","",IF(Table1[Start Date]&gt;42460,"",IF(AND(Table1[Leaving Date]&gt;1,Table1[Leaving Date]&lt;42370),"",1)))</f>
        <v/>
      </c>
      <c r="DT341" s="92" t="str">
        <f>IF(Table1[Start Date]="","",IF(Table1[Start Date]&gt;42551,"",IF(AND(Table1[Leaving Date]&gt;1,Table1[Leaving Date]&lt;42461),"",1)))</f>
        <v/>
      </c>
      <c r="DU341" s="92" t="str">
        <f>IF(Table1[Start Date]="","",IF(Table1[Start Date]&gt;42643,"",IF(AND(Table1[Leaving Date]&gt;1,Table1[Leaving Date]&lt;42552),"",1)))</f>
        <v/>
      </c>
      <c r="DV341" s="92" t="str">
        <f>IF(Table1[Start Date]="","",IF(Table1[Start Date]&gt;42735,"",IF(AND(Table1[Leaving Date]&gt;1,Table1[Leaving Date]&lt;42644),"",1)))</f>
        <v/>
      </c>
      <c r="DW341" s="92" t="str">
        <f>IF(Table1[Start Date]="","",IF(Table1[Start Date]&gt;42825,"",IF(AND(Table1[Leaving Date]&gt;1,Table1[Leaving Date]&lt;42736),"",1)))</f>
        <v/>
      </c>
      <c r="DX341"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341" s="44" t="e">
        <f>VLOOKUP(Table1[Referral Source],Lists!$G$2:$H$20,2,FALSE)</f>
        <v>#N/A</v>
      </c>
      <c r="DZ341" s="93" t="e">
        <f>SUM(Table1[Data Referral Quarter]+Table1[Data Referral Source])</f>
        <v>#N/A</v>
      </c>
      <c r="EA341" s="44" t="b">
        <f>IF(Table1[Referral Decision]="Accepted",100,IF(Table1[Referral Decision]="Rejected by Provider",200,IF(Table1[Referral Decision]="Rejected by Applicant",300)))</f>
        <v>0</v>
      </c>
      <c r="EB341" s="44">
        <f>SUM(Table1[Data Referral Quarter]+Table1[Data Referral Decision])</f>
        <v>0</v>
      </c>
      <c r="EC341" s="44" t="b">
        <f>IF(Table1[Start Date]&gt;42735,8000,IF(Table1[Start Date]&gt;42643,7000,IF(Table1[Start Date]&gt;42551,6000,IF(Table1[Start Date]&gt;42460,5000,IF(Table1[Start Date]&gt;42369,4000,IF(Table1[Start Date]&gt;42277,3000,IF(Table1[Start Date]&gt;42185,2000,IF(Table1[Start Date]&gt;42094,1000))))))))</f>
        <v>0</v>
      </c>
      <c r="ED341" s="44" t="str">
        <f>IF(Table1[Start Date]="","",IF(Table1[Current Local Authority]="Swindon",1,"2"))</f>
        <v/>
      </c>
      <c r="EE341" s="44" t="e">
        <f>SUM(Table1[Data Start Date]+Table1[Data Local Authority])</f>
        <v>#VALUE!</v>
      </c>
      <c r="EF341" s="44">
        <f>IF(Table1[Registered with GP]="Yes",1,0)</f>
        <v>0</v>
      </c>
      <c r="EG341" s="44">
        <f>SUM(Table1[Data Start Date]+Table1[Data GP Start])</f>
        <v>0</v>
      </c>
      <c r="EH341" s="44" t="str">
        <f>IF(Table1[EET]="NEET",1,IF(Table1[EET]="Education",2,IF(Table1[EET]="Employment",2,IF(Table1[EET]="Training",2,IF(Table1[EET]="Retired",3,"")))))</f>
        <v/>
      </c>
      <c r="EI341" s="44" t="e">
        <f>Table1[Data Start Date]+Table1[Data EET Start]</f>
        <v>#VALUE!</v>
      </c>
      <c r="EJ341" s="44" t="b">
        <f>IF(Table1[Leaving Date]&gt;42735,8000,IF(Table1[Leaving Date]&gt;42643,7000,IF(Table1[Leaving Date]&gt;42551,6000,IF(Table1[Leaving Date]&gt;42460,5000,IF(Table1[Leaving Date]&gt;42369,4000,IF(Table1[Leaving Date]&gt;42277,3000,IF(Table1[Leaving Date]&gt;42185,2000,IF(Table1[Leaving Date]&gt;42094,1000))))))))</f>
        <v>0</v>
      </c>
      <c r="EK341" s="44" t="e">
        <f>VLOOKUP(Table1[Reason for Leaving],Lists!$T$2:$U$15,2,FALSE)</f>
        <v>#N/A</v>
      </c>
      <c r="EL341" s="44" t="e">
        <f>SUM(Table1[Data Leavers Date]+Table1[Data Move On])</f>
        <v>#N/A</v>
      </c>
      <c r="EM341" s="44" t="b">
        <f>IF(Table1[Registered with GP2]="Yes",1,IF(Table1[Registered with GP2]="No",0,IF(Table1[Registered with GP]="Yes",1,IF(Table1[Registered with GP]="No",0))))</f>
        <v>0</v>
      </c>
      <c r="EN341" s="44">
        <f>SUM(Table1[Data Leavers Date]+Table1[Data GP End])</f>
        <v>0</v>
      </c>
      <c r="EO341" s="44" t="str">
        <f>IF(Table1[EET2]="NEET",1,IF(Table1[EET2]="Employment",2,IF(Table1[EET2]="Education",2,IF(Table1[EET2]="Training",2,IF(Table1[EET2]="Retired",3,IF(Table1[EET]="NEET",1,IF(Table1[EET]="Employment",2,IF(Table1[EET]="Education",2,IF(Table1[EET]="Training",2,IF(Table1[EET]="Retired",3,""))))))))))</f>
        <v/>
      </c>
      <c r="EP341" s="44" t="e">
        <f>+Table1[[#This Row],[Data Leavers Date]]+Table1[[#This Row],[Data EET End]]</f>
        <v>#VALUE!</v>
      </c>
      <c r="EQ341" s="44">
        <f>IF(Table1[Exit Form Received]="Yes",1,0)</f>
        <v>0</v>
      </c>
      <c r="ER341" s="44">
        <f>+Table1[[#This Row],[Data Leavers Date]]+Table1[[#This Row],[Data Exit Forms]]</f>
        <v>0</v>
      </c>
      <c r="ES341" s="44" t="str">
        <f>IF(Table1[Data Leavers Date]=1000,SUM(Table1[Leaving Date]-Table1[Start Date]),"")</f>
        <v/>
      </c>
      <c r="ET341" s="44" t="str">
        <f>IF(Table1[Data Leavers Date]=2000,SUM(Table1[Leaving Date]-Table1[Start Date]),"")</f>
        <v/>
      </c>
      <c r="EU341" s="44" t="str">
        <f>IF(Table1[Data Leavers Date]=3000,SUM(Table1[Leaving Date]-Table1[Start Date]),"")</f>
        <v/>
      </c>
      <c r="EV341" s="44" t="str">
        <f>IF(Table1[Data Leavers Date]=4000,SUM(Table1[Leaving Date]-Table1[Start Date]),"")</f>
        <v/>
      </c>
      <c r="EW341" s="44" t="str">
        <f>IF(Table1[Data Leavers Date]=5000,SUM(Table1[Leaving Date]-Table1[Start Date]),"")</f>
        <v/>
      </c>
      <c r="EX341" s="44" t="str">
        <f>IF(Table1[Data Leavers Date]=6000,SUM(Table1[Leaving Date]-Table1[Start Date]),"")</f>
        <v/>
      </c>
      <c r="EY341" s="44" t="str">
        <f>IF(Table1[Data Leavers Date]=7000,SUM(Table1[Leaving Date]-Table1[Start Date]),"")</f>
        <v/>
      </c>
      <c r="EZ341" s="44" t="str">
        <f>IF(Table1[Data Leavers Date]=8000,SUM(Table1[Leaving Date]-Table1[Start Date]),"")</f>
        <v/>
      </c>
      <c r="FA341" s="44" t="str">
        <f>IF(Table1[Date of Initial Assessment]="","",IF(AND(Table1[Start Date]&gt;42094,Table1[Start Date]&lt;42461),Table1[Motivation and Taking Responsibility],""))</f>
        <v/>
      </c>
      <c r="FB341" s="44" t="str">
        <f>IF(Table1[Date of Initial Assessment]="","",IF(AND(Table1[Start Date]&gt;42094,Table1[Start Date]&lt;42461),Table1[Self-Care and Living Skills],""))</f>
        <v/>
      </c>
      <c r="FC341" s="44" t="str">
        <f>IF(Table1[Date of Initial Assessment]="","",IF(AND(Table1[Start Date]&gt;42094,Table1[Start Date]&lt;42461),Table1[Managing Money and Personal Administration],""))</f>
        <v/>
      </c>
      <c r="FD341" s="44" t="str">
        <f>IF(Table1[Date of Initial Assessment]="","",IF(AND(Table1[Start Date]&gt;42094,Table1[Start Date]&lt;42461),Table1[Social Networks and Relationships],""))</f>
        <v/>
      </c>
      <c r="FE341" s="44" t="str">
        <f>IF(Table1[Date of Initial Assessment]="","",IF(AND(Table1[Start Date]&gt;42094,Table1[Start Date]&lt;42461),Table1[Drug and Alcohol Misuse],""))</f>
        <v/>
      </c>
      <c r="FF341" s="44" t="str">
        <f>IF(Table1[Date of Initial Assessment]="","",IF(AND(Table1[Start Date]&gt;42094,Table1[Start Date]&lt;42461),Table1[Physical Health],""))</f>
        <v/>
      </c>
      <c r="FG341" s="44" t="str">
        <f>IF(Table1[Date of Initial Assessment]="","",IF(AND(Table1[Start Date]&gt;42094,Table1[Start Date]&lt;42461),Table1[Emotional and Mental Health],""))</f>
        <v/>
      </c>
      <c r="FH341" s="44" t="str">
        <f>IF(Table1[Date of Initial Assessment]="","",IF(AND(Table1[Start Date]&gt;42094,Table1[Start Date]&lt;42461),Table1[Meaningful Use of Time],""))</f>
        <v/>
      </c>
      <c r="FI341" s="44" t="str">
        <f>IF(Table1[Date of Initial Assessment]="","",IF(AND(Table1[Start Date]&gt;42094,Table1[Start Date]&lt;42461),Table1[Managing Tenancy and Accommodation],""))</f>
        <v/>
      </c>
      <c r="FJ341" s="44" t="str">
        <f>IF(Table1[Date of Initial Assessment]="","",IF(AND(Table1[Start Date]&gt;42094,Table1[Start Date]&lt;42461),Table1[Offending],""))</f>
        <v/>
      </c>
      <c r="FK341" s="44" t="str">
        <f>IF(Table1[Leaving Date]="","",IF(Table1[Date of Initial Assessment]="","",IF(AND(Table1[Leaving Date]&gt;42094,Table1[Leaving Date]&lt;42461),IF(Table1[Date of Last Assessment]="",Table1[Motivation and Taking Responsibility],Table1[Motivation and Taking Responsibility2]),"")))</f>
        <v/>
      </c>
      <c r="FL341" s="44" t="str">
        <f>IF(Table1[Leaving Date]="","",IF(Table1[Date of Initial Assessment]="","",IF(AND(Table1[Leaving Date]&gt;42094,Table1[Leaving Date]&lt;42461),IF(Table1[Date of Last Assessment]="",Table1[Self-Care and Living Skills],Table1[Self-Care and Living Skills2]),"")))</f>
        <v/>
      </c>
      <c r="FM341" s="44" t="str">
        <f>IF(Table1[Leaving Date]="","",IF(Table1[Date of Initial Assessment]="","",IF(AND(Table1[Leaving Date]&gt;42094,Table1[Leaving Date]&lt;42461),IF(Table1[Date of Last Assessment]="",Table1[Managing Money and Personal Administration],Table1[Managing Money and Personal Administration2]),"")))</f>
        <v/>
      </c>
      <c r="FN341" s="44" t="str">
        <f>IF(Table1[Leaving Date]="","",IF(Table1[Date of Initial Assessment]="","",IF(AND(Table1[Leaving Date]&gt;42094,Table1[Leaving Date]&lt;42461),IF(Table1[Date of Last Assessment]="",Table1[Social Networks and Relationships],Table1[Social Networks and Relationships2]),"")))</f>
        <v/>
      </c>
      <c r="FO341" s="44" t="str">
        <f>IF(Table1[Leaving Date]="","",IF(Table1[Date of Initial Assessment]="","",IF(AND(Table1[Leaving Date]&gt;42094,Table1[Leaving Date]&lt;42461),IF(Table1[Date of Last Assessment]="",Table1[Drug and Alcohol Misuse],Table1[Drug and Alcohol Misuse2]),"")))</f>
        <v/>
      </c>
      <c r="FP341" s="44" t="str">
        <f>IF(Table1[Leaving Date]="","",IF(Table1[Date of Initial Assessment]="","",IF(AND(Table1[Leaving Date]&gt;42094,Table1[Leaving Date]&lt;42461),IF(Table1[Date of Last Assessment]="",Table1[Physical Health],Table1[Physical Health2]),"")))</f>
        <v/>
      </c>
      <c r="FQ341" s="44" t="str">
        <f>IF(Table1[Leaving Date]="","",IF(Table1[Date of Initial Assessment]="","",IF(AND(Table1[Leaving Date]&gt;42094,Table1[Leaving Date]&lt;42461),IF(Table1[Date of Last Assessment]="",Table1[Emotional and Mental Health],Table1[Emotional and Mental Health2]),"")))</f>
        <v/>
      </c>
      <c r="FR341" s="44" t="str">
        <f>IF(Table1[Leaving Date]="","",IF(Table1[Date of Initial Assessment]="","",IF(AND(Table1[Leaving Date]&gt;42094,Table1[Leaving Date]&lt;42461),IF(Table1[Date of Last Assessment]="",Table1[Meaningful Use of Time],Table1[Meaningful Use of Time2]),"")))</f>
        <v/>
      </c>
      <c r="FS341" s="44" t="str">
        <f>IF(Table1[Leaving Date]="","",IF(Table1[Date of Initial Assessment]="","",IF(AND(Table1[Leaving Date]&gt;42094,Table1[Leaving Date]&lt;42461),IF(Table1[Date of Last Assessment]="",Table1[Managing Tenancy and Accommodation],Table1[Managing Tenancy and Accommodation2]),"")))</f>
        <v/>
      </c>
      <c r="FT341" s="44" t="str">
        <f>IF(Table1[Leaving Date]="","",IF(Table1[Date of Initial Assessment]="","",IF(AND(Table1[Leaving Date]&gt;42094,Table1[Leaving Date]&lt;42461),IF(Table1[Date of Last Assessment]="",Table1[Offending],Table1[Offending2]),"")))</f>
        <v/>
      </c>
      <c r="FU341" s="44" t="str">
        <f>IF(Table1[Date of Initial Assessment]="","",IF(AND(Table1[Start Date]&gt;42460,Table1[Start Date]&lt;42826),Table1[Motivation and Taking Responsibility],""))</f>
        <v/>
      </c>
      <c r="FV341" s="44" t="str">
        <f>IF(Table1[Date of Initial Assessment]="","",IF(AND(Table1[Start Date]&gt;42460,Table1[Start Date]&lt;42826),Table1[Self-Care and Living Skills],""))</f>
        <v/>
      </c>
      <c r="FW341" s="44" t="str">
        <f>IF(Table1[Date of Initial Assessment]="","",IF(AND(Table1[Start Date]&gt;42460,Table1[Start Date]&lt;42826),Table1[Managing Money and Personal Administration],""))</f>
        <v/>
      </c>
      <c r="FX341" s="44" t="str">
        <f>IF(Table1[Date of Initial Assessment]="","",IF(AND(Table1[Start Date]&gt;42460,Table1[Start Date]&lt;42826),Table1[Social Networks and Relationships],""))</f>
        <v/>
      </c>
      <c r="FY341" s="44" t="str">
        <f>IF(Table1[Date of Initial Assessment]="","",IF(AND(Table1[Start Date]&gt;42460,Table1[Start Date]&lt;42826),Table1[Drug and Alcohol Misuse],""))</f>
        <v/>
      </c>
      <c r="FZ341" s="44" t="str">
        <f>IF(Table1[Date of Initial Assessment]="","",IF(AND(Table1[Start Date]&gt;42460,Table1[Start Date]&lt;42826),Table1[Physical Health],""))</f>
        <v/>
      </c>
      <c r="GA341" s="44" t="str">
        <f>IF(Table1[Date of Initial Assessment]="","",IF(AND(Table1[Start Date]&gt;42460,Table1[Start Date]&lt;42826),Table1[Emotional and Mental Health],""))</f>
        <v/>
      </c>
      <c r="GB341" s="44" t="str">
        <f>IF(Table1[Date of Initial Assessment]="","",IF(AND(Table1[Start Date]&gt;42460,Table1[Start Date]&lt;42826),Table1[Meaningful Use of Time],""))</f>
        <v/>
      </c>
      <c r="GC341" s="44" t="str">
        <f>IF(Table1[Date of Initial Assessment]="","",IF(AND(Table1[Start Date]&gt;42460,Table1[Start Date]&lt;42826),Table1[Managing Tenancy and Accommodation],""))</f>
        <v/>
      </c>
      <c r="GD341" s="44" t="str">
        <f>IF(Table1[Date of Initial Assessment]="","",IF(AND(Table1[Start Date]&gt;42460,Table1[Start Date]&lt;42826),Table1[Offending],""))</f>
        <v/>
      </c>
      <c r="GE341" s="44" t="str">
        <f>IF(Table1[Leaving Date]="","",IF(AND(Table1[Leaving Date]&gt;42460,Table1[Leaving Date]&lt;42826),IF(Table1[Date of Last Assessment]="",Table1[Motivation and Taking Responsibility],Table1[Motivation and Taking Responsibility2]),""))</f>
        <v/>
      </c>
      <c r="GF341" s="44" t="str">
        <f>IF(Table1[Leaving Date]="","",IF(AND(Table1[Leaving Date]&gt;42460,Table1[Leaving Date]&lt;42826),IF(Table1[Date of Last Assessment]="",Table1[Self-Care and Living Skills],Table1[Self-Care and Living Skills2]),""))</f>
        <v/>
      </c>
      <c r="GG341" s="44" t="str">
        <f>IF(Table1[Leaving Date]="","",IF(AND(Table1[Leaving Date]&gt;42460,Table1[Leaving Date]&lt;42826),IF(Table1[Date of Last Assessment]="",Table1[Managing Money and Personal Administration],Table1[Managing Money and Personal Administration2]),""))</f>
        <v/>
      </c>
      <c r="GH341" s="44" t="str">
        <f>IF(Table1[Leaving Date]="","",IF(AND(Table1[Leaving Date]&gt;42460,Table1[Leaving Date]&lt;42826),IF(Table1[Date of Last Assessment]="",Table1[Social Networks and Relationships],Table1[Social Networks and Relationships2]),""))</f>
        <v/>
      </c>
      <c r="GI341" s="44" t="str">
        <f>IF(Table1[Leaving Date]="","",IF(AND(Table1[Leaving Date]&gt;42460,Table1[Leaving Date]&lt;42826),IF(Table1[Date of Last Assessment]="",Table1[Drug and Alcohol Misuse],Table1[Drug and Alcohol Misuse2]),""))</f>
        <v/>
      </c>
      <c r="GJ341" s="44" t="str">
        <f>IF(Table1[Leaving Date]="","",IF(AND(Table1[Leaving Date]&gt;42460,Table1[Leaving Date]&lt;42826),IF(Table1[Date of Last Assessment]="",Table1[Physical Health],Table1[Physical Health2]),""))</f>
        <v/>
      </c>
      <c r="GK341" s="44" t="str">
        <f>IF(Table1[Leaving Date]="","",IF(AND(Table1[Leaving Date]&gt;42460,Table1[Leaving Date]&lt;42826),IF(Table1[Date of Last Assessment]="",Table1[Emotional and Mental Health],Table1[Emotional and Mental Health2]),""))</f>
        <v/>
      </c>
      <c r="GL341" s="44" t="str">
        <f>IF(Table1[Leaving Date]="","",IF(AND(Table1[Leaving Date]&gt;42460,Table1[Leaving Date]&lt;42826),IF(Table1[Date of Last Assessment]="",Table1[Meaningful Use of Time],Table1[Meaningful Use of Time2]),""))</f>
        <v/>
      </c>
      <c r="GM341" s="44" t="str">
        <f>IF(Table1[Leaving Date]="","",IF(AND(Table1[Leaving Date]&gt;42460,Table1[Leaving Date]&lt;42826),IF(Table1[Date of Last Assessment]="",Table1[Managing Tenancy and Accommodation],Table1[Managing Tenancy and Accommodation2]),""))</f>
        <v/>
      </c>
      <c r="GN341" s="44" t="str">
        <f>IF(Table1[Leaving Date]="","",IF(AND(Table1[Leaving Date]&gt;42460,Table1[Leaving Date]&lt;42826),IF(Table1[Date of Last Assessment]="",Table1[Offending],Table1[Offending2]),""))</f>
        <v/>
      </c>
    </row>
    <row r="342" spans="2:196" ht="20.100000000000001" customHeight="1" x14ac:dyDescent="0.2">
      <c r="B342" s="86">
        <f>+'Service Data'!$C$5:$C$5</f>
        <v>0</v>
      </c>
      <c r="C342" s="86"/>
      <c r="D342" s="86"/>
      <c r="E342" s="86"/>
      <c r="F342" s="86"/>
      <c r="G342" s="86"/>
      <c r="H342" s="6"/>
      <c r="I342" s="99" t="str">
        <f ca="1">IF(Table1[[#This Row],[Date of Birth]]="","",SUM(TODAY()-Table1[[#This Row],[Date of Birth]])/365)</f>
        <v/>
      </c>
      <c r="L342" s="86"/>
      <c r="M342" s="77"/>
      <c r="N342" s="86"/>
      <c r="O342" s="86"/>
      <c r="P342" s="91"/>
      <c r="Q342" s="86"/>
      <c r="R342" s="77"/>
      <c r="S342" s="77"/>
      <c r="T342" s="68"/>
      <c r="U342" s="68"/>
      <c r="V342" s="67"/>
      <c r="W342" s="67"/>
      <c r="X342" s="67"/>
      <c r="Y342" s="67"/>
      <c r="Z342" s="67"/>
      <c r="AA342" s="67"/>
      <c r="AB342" s="67"/>
      <c r="AC342" s="67"/>
      <c r="AD342" s="67"/>
      <c r="AE342" s="67"/>
      <c r="AF342" s="67"/>
      <c r="AG342" s="67"/>
      <c r="AH342" s="67"/>
      <c r="AI342" s="67"/>
      <c r="AJ342" s="67"/>
      <c r="AK342" s="67"/>
      <c r="AL342" s="67"/>
      <c r="AM342" s="67"/>
      <c r="AN342" s="77"/>
      <c r="AO342" s="76"/>
      <c r="AP342" s="77"/>
      <c r="AQ342" s="76"/>
      <c r="AR342" s="76"/>
      <c r="AS342" s="76"/>
      <c r="AT342" s="76"/>
      <c r="AU342" s="76"/>
      <c r="AV342" s="77"/>
      <c r="AW342" s="76"/>
      <c r="AX342" s="77"/>
      <c r="AY342" s="76"/>
      <c r="AZ342" s="76"/>
      <c r="BA342" s="76"/>
      <c r="BB342" s="76"/>
      <c r="BC342" s="76"/>
      <c r="BD342" s="77"/>
      <c r="BE342" s="76"/>
      <c r="BF342" s="77"/>
      <c r="BG342" s="76"/>
      <c r="BH342" s="76"/>
      <c r="BI342" s="76"/>
      <c r="BJ342" s="76"/>
      <c r="BK342" s="76"/>
      <c r="BL342" s="77"/>
      <c r="BM342" s="76"/>
      <c r="BN342" s="77"/>
      <c r="BO342" s="76"/>
      <c r="BP342" s="76"/>
      <c r="BQ342" s="76"/>
      <c r="BR342" s="76"/>
      <c r="BS342" s="76"/>
      <c r="BT342" s="77"/>
      <c r="BU342" s="76"/>
      <c r="BV342" s="77"/>
      <c r="BW342" s="76"/>
      <c r="BX342" s="76"/>
      <c r="BY342" s="76"/>
      <c r="BZ342" s="76"/>
      <c r="CA342" s="76"/>
      <c r="CB342" s="77"/>
      <c r="CC342" s="76"/>
      <c r="CD342" s="77"/>
      <c r="CE342" s="76"/>
      <c r="CF342" s="76"/>
      <c r="CG342" s="76"/>
      <c r="CH342" s="76"/>
      <c r="CI342" s="76"/>
      <c r="CJ342" s="77"/>
      <c r="CK342" s="76"/>
      <c r="CL342" s="77"/>
      <c r="CM342" s="76"/>
      <c r="CN342" s="76"/>
      <c r="CO342" s="76"/>
      <c r="CP342" s="76"/>
      <c r="CQ342" s="76"/>
      <c r="CR342" s="78" t="str">
        <f t="shared" si="95"/>
        <v/>
      </c>
      <c r="CS342" s="79" t="str">
        <f t="shared" si="96"/>
        <v/>
      </c>
      <c r="CT342" s="79" t="str">
        <f t="shared" si="97"/>
        <v/>
      </c>
      <c r="CU342" s="79" t="str">
        <f t="shared" si="98"/>
        <v/>
      </c>
      <c r="CV342" s="79" t="str">
        <f t="shared" si="99"/>
        <v/>
      </c>
      <c r="CW342" s="79" t="str">
        <f t="shared" si="100"/>
        <v/>
      </c>
      <c r="CX342" s="79" t="str">
        <f t="shared" si="101"/>
        <v/>
      </c>
      <c r="CY342" s="79" t="str">
        <f t="shared" si="102"/>
        <v/>
      </c>
      <c r="CZ342" s="79" t="str">
        <f t="shared" si="103"/>
        <v/>
      </c>
      <c r="DA342" s="79" t="str">
        <f t="shared" si="104"/>
        <v/>
      </c>
      <c r="DB342" s="79" t="str">
        <f t="shared" si="105"/>
        <v/>
      </c>
      <c r="DC342" s="79" t="str">
        <f t="shared" si="106"/>
        <v/>
      </c>
      <c r="DD342" s="79" t="str">
        <f t="shared" si="107"/>
        <v/>
      </c>
      <c r="DE342" s="79" t="str">
        <f t="shared" si="108"/>
        <v/>
      </c>
      <c r="DF342" s="79" t="str">
        <f t="shared" si="109"/>
        <v/>
      </c>
      <c r="DG342" s="79" t="str">
        <f t="shared" si="110"/>
        <v/>
      </c>
      <c r="DH342" s="76"/>
      <c r="DI342" s="78"/>
      <c r="DJ342" s="76"/>
      <c r="DK342" s="77"/>
      <c r="DL342" s="77"/>
      <c r="DM342" s="77"/>
      <c r="DN342" s="80"/>
      <c r="DO342" s="80"/>
      <c r="DP342" s="92" t="str">
        <f>IF(Table1[Start Date]="","",IF(Table1[Start Date]&gt;42185,"",IF(AND(Table1[Leaving Date]&gt;1,Table1[Leaving Date]&lt;42095),"",1)))</f>
        <v/>
      </c>
      <c r="DQ342" s="92" t="str">
        <f>IF(Table1[Start Date]="","",IF(Table1[Start Date]&gt;42277,"",IF(AND(Table1[Leaving Date]&gt;1,Table1[Leaving Date]&lt;42186),"",1)))</f>
        <v/>
      </c>
      <c r="DR342" s="92" t="str">
        <f>IF(Table1[Start Date]="","",IF(Table1[Start Date]&gt;42369,"",IF(AND(Table1[Leaving Date]&gt;1,Table1[Leaving Date]&lt;42278),"",1)))</f>
        <v/>
      </c>
      <c r="DS342" s="92" t="str">
        <f>IF(Table1[Start Date]="","",IF(Table1[Start Date]&gt;42460,"",IF(AND(Table1[Leaving Date]&gt;1,Table1[Leaving Date]&lt;42370),"",1)))</f>
        <v/>
      </c>
      <c r="DT342" s="92" t="str">
        <f>IF(Table1[Start Date]="","",IF(Table1[Start Date]&gt;42551,"",IF(AND(Table1[Leaving Date]&gt;1,Table1[Leaving Date]&lt;42461),"",1)))</f>
        <v/>
      </c>
      <c r="DU342" s="92" t="str">
        <f>IF(Table1[Start Date]="","",IF(Table1[Start Date]&gt;42643,"",IF(AND(Table1[Leaving Date]&gt;1,Table1[Leaving Date]&lt;42552),"",1)))</f>
        <v/>
      </c>
      <c r="DV342" s="92" t="str">
        <f>IF(Table1[Start Date]="","",IF(Table1[Start Date]&gt;42735,"",IF(AND(Table1[Leaving Date]&gt;1,Table1[Leaving Date]&lt;42644),"",1)))</f>
        <v/>
      </c>
      <c r="DW342" s="92" t="str">
        <f>IF(Table1[Start Date]="","",IF(Table1[Start Date]&gt;42825,"",IF(AND(Table1[Leaving Date]&gt;1,Table1[Leaving Date]&lt;42736),"",1)))</f>
        <v/>
      </c>
      <c r="DX342"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342" s="44" t="e">
        <f>VLOOKUP(Table1[Referral Source],Lists!$G$2:$H$20,2,FALSE)</f>
        <v>#N/A</v>
      </c>
      <c r="DZ342" s="93" t="e">
        <f>SUM(Table1[Data Referral Quarter]+Table1[Data Referral Source])</f>
        <v>#N/A</v>
      </c>
      <c r="EA342" s="44" t="b">
        <f>IF(Table1[Referral Decision]="Accepted",100,IF(Table1[Referral Decision]="Rejected by Provider",200,IF(Table1[Referral Decision]="Rejected by Applicant",300)))</f>
        <v>0</v>
      </c>
      <c r="EB342" s="44">
        <f>SUM(Table1[Data Referral Quarter]+Table1[Data Referral Decision])</f>
        <v>0</v>
      </c>
      <c r="EC342" s="44" t="b">
        <f>IF(Table1[Start Date]&gt;42735,8000,IF(Table1[Start Date]&gt;42643,7000,IF(Table1[Start Date]&gt;42551,6000,IF(Table1[Start Date]&gt;42460,5000,IF(Table1[Start Date]&gt;42369,4000,IF(Table1[Start Date]&gt;42277,3000,IF(Table1[Start Date]&gt;42185,2000,IF(Table1[Start Date]&gt;42094,1000))))))))</f>
        <v>0</v>
      </c>
      <c r="ED342" s="44" t="str">
        <f>IF(Table1[Start Date]="","",IF(Table1[Current Local Authority]="Swindon",1,"2"))</f>
        <v/>
      </c>
      <c r="EE342" s="44" t="e">
        <f>SUM(Table1[Data Start Date]+Table1[Data Local Authority])</f>
        <v>#VALUE!</v>
      </c>
      <c r="EF342" s="44">
        <f>IF(Table1[Registered with GP]="Yes",1,0)</f>
        <v>0</v>
      </c>
      <c r="EG342" s="44">
        <f>SUM(Table1[Data Start Date]+Table1[Data GP Start])</f>
        <v>0</v>
      </c>
      <c r="EH342" s="44" t="str">
        <f>IF(Table1[EET]="NEET",1,IF(Table1[EET]="Education",2,IF(Table1[EET]="Employment",2,IF(Table1[EET]="Training",2,IF(Table1[EET]="Retired",3,"")))))</f>
        <v/>
      </c>
      <c r="EI342" s="44" t="e">
        <f>Table1[Data Start Date]+Table1[Data EET Start]</f>
        <v>#VALUE!</v>
      </c>
      <c r="EJ342" s="44" t="b">
        <f>IF(Table1[Leaving Date]&gt;42735,8000,IF(Table1[Leaving Date]&gt;42643,7000,IF(Table1[Leaving Date]&gt;42551,6000,IF(Table1[Leaving Date]&gt;42460,5000,IF(Table1[Leaving Date]&gt;42369,4000,IF(Table1[Leaving Date]&gt;42277,3000,IF(Table1[Leaving Date]&gt;42185,2000,IF(Table1[Leaving Date]&gt;42094,1000))))))))</f>
        <v>0</v>
      </c>
      <c r="EK342" s="44" t="e">
        <f>VLOOKUP(Table1[Reason for Leaving],Lists!$T$2:$U$15,2,FALSE)</f>
        <v>#N/A</v>
      </c>
      <c r="EL342" s="44" t="e">
        <f>SUM(Table1[Data Leavers Date]+Table1[Data Move On])</f>
        <v>#N/A</v>
      </c>
      <c r="EM342" s="44" t="b">
        <f>IF(Table1[Registered with GP2]="Yes",1,IF(Table1[Registered with GP2]="No",0,IF(Table1[Registered with GP]="Yes",1,IF(Table1[Registered with GP]="No",0))))</f>
        <v>0</v>
      </c>
      <c r="EN342" s="44">
        <f>SUM(Table1[Data Leavers Date]+Table1[Data GP End])</f>
        <v>0</v>
      </c>
      <c r="EO342" s="44" t="str">
        <f>IF(Table1[EET2]="NEET",1,IF(Table1[EET2]="Employment",2,IF(Table1[EET2]="Education",2,IF(Table1[EET2]="Training",2,IF(Table1[EET2]="Retired",3,IF(Table1[EET]="NEET",1,IF(Table1[EET]="Employment",2,IF(Table1[EET]="Education",2,IF(Table1[EET]="Training",2,IF(Table1[EET]="Retired",3,""))))))))))</f>
        <v/>
      </c>
      <c r="EP342" s="44" t="e">
        <f>+Table1[[#This Row],[Data Leavers Date]]+Table1[[#This Row],[Data EET End]]</f>
        <v>#VALUE!</v>
      </c>
      <c r="EQ342" s="44">
        <f>IF(Table1[Exit Form Received]="Yes",1,0)</f>
        <v>0</v>
      </c>
      <c r="ER342" s="44">
        <f>+Table1[[#This Row],[Data Leavers Date]]+Table1[[#This Row],[Data Exit Forms]]</f>
        <v>0</v>
      </c>
      <c r="ES342" s="44" t="str">
        <f>IF(Table1[Data Leavers Date]=1000,SUM(Table1[Leaving Date]-Table1[Start Date]),"")</f>
        <v/>
      </c>
      <c r="ET342" s="44" t="str">
        <f>IF(Table1[Data Leavers Date]=2000,SUM(Table1[Leaving Date]-Table1[Start Date]),"")</f>
        <v/>
      </c>
      <c r="EU342" s="44" t="str">
        <f>IF(Table1[Data Leavers Date]=3000,SUM(Table1[Leaving Date]-Table1[Start Date]),"")</f>
        <v/>
      </c>
      <c r="EV342" s="44" t="str">
        <f>IF(Table1[Data Leavers Date]=4000,SUM(Table1[Leaving Date]-Table1[Start Date]),"")</f>
        <v/>
      </c>
      <c r="EW342" s="44" t="str">
        <f>IF(Table1[Data Leavers Date]=5000,SUM(Table1[Leaving Date]-Table1[Start Date]),"")</f>
        <v/>
      </c>
      <c r="EX342" s="44" t="str">
        <f>IF(Table1[Data Leavers Date]=6000,SUM(Table1[Leaving Date]-Table1[Start Date]),"")</f>
        <v/>
      </c>
      <c r="EY342" s="44" t="str">
        <f>IF(Table1[Data Leavers Date]=7000,SUM(Table1[Leaving Date]-Table1[Start Date]),"")</f>
        <v/>
      </c>
      <c r="EZ342" s="44" t="str">
        <f>IF(Table1[Data Leavers Date]=8000,SUM(Table1[Leaving Date]-Table1[Start Date]),"")</f>
        <v/>
      </c>
      <c r="FA342" s="44" t="str">
        <f>IF(Table1[Date of Initial Assessment]="","",IF(AND(Table1[Start Date]&gt;42094,Table1[Start Date]&lt;42461),Table1[Motivation and Taking Responsibility],""))</f>
        <v/>
      </c>
      <c r="FB342" s="44" t="str">
        <f>IF(Table1[Date of Initial Assessment]="","",IF(AND(Table1[Start Date]&gt;42094,Table1[Start Date]&lt;42461),Table1[Self-Care and Living Skills],""))</f>
        <v/>
      </c>
      <c r="FC342" s="44" t="str">
        <f>IF(Table1[Date of Initial Assessment]="","",IF(AND(Table1[Start Date]&gt;42094,Table1[Start Date]&lt;42461),Table1[Managing Money and Personal Administration],""))</f>
        <v/>
      </c>
      <c r="FD342" s="44" t="str">
        <f>IF(Table1[Date of Initial Assessment]="","",IF(AND(Table1[Start Date]&gt;42094,Table1[Start Date]&lt;42461),Table1[Social Networks and Relationships],""))</f>
        <v/>
      </c>
      <c r="FE342" s="44" t="str">
        <f>IF(Table1[Date of Initial Assessment]="","",IF(AND(Table1[Start Date]&gt;42094,Table1[Start Date]&lt;42461),Table1[Drug and Alcohol Misuse],""))</f>
        <v/>
      </c>
      <c r="FF342" s="44" t="str">
        <f>IF(Table1[Date of Initial Assessment]="","",IF(AND(Table1[Start Date]&gt;42094,Table1[Start Date]&lt;42461),Table1[Physical Health],""))</f>
        <v/>
      </c>
      <c r="FG342" s="44" t="str">
        <f>IF(Table1[Date of Initial Assessment]="","",IF(AND(Table1[Start Date]&gt;42094,Table1[Start Date]&lt;42461),Table1[Emotional and Mental Health],""))</f>
        <v/>
      </c>
      <c r="FH342" s="44" t="str">
        <f>IF(Table1[Date of Initial Assessment]="","",IF(AND(Table1[Start Date]&gt;42094,Table1[Start Date]&lt;42461),Table1[Meaningful Use of Time],""))</f>
        <v/>
      </c>
      <c r="FI342" s="44" t="str">
        <f>IF(Table1[Date of Initial Assessment]="","",IF(AND(Table1[Start Date]&gt;42094,Table1[Start Date]&lt;42461),Table1[Managing Tenancy and Accommodation],""))</f>
        <v/>
      </c>
      <c r="FJ342" s="44" t="str">
        <f>IF(Table1[Date of Initial Assessment]="","",IF(AND(Table1[Start Date]&gt;42094,Table1[Start Date]&lt;42461),Table1[Offending],""))</f>
        <v/>
      </c>
      <c r="FK342" s="44" t="str">
        <f>IF(Table1[Leaving Date]="","",IF(Table1[Date of Initial Assessment]="","",IF(AND(Table1[Leaving Date]&gt;42094,Table1[Leaving Date]&lt;42461),IF(Table1[Date of Last Assessment]="",Table1[Motivation and Taking Responsibility],Table1[Motivation and Taking Responsibility2]),"")))</f>
        <v/>
      </c>
      <c r="FL342" s="44" t="str">
        <f>IF(Table1[Leaving Date]="","",IF(Table1[Date of Initial Assessment]="","",IF(AND(Table1[Leaving Date]&gt;42094,Table1[Leaving Date]&lt;42461),IF(Table1[Date of Last Assessment]="",Table1[Self-Care and Living Skills],Table1[Self-Care and Living Skills2]),"")))</f>
        <v/>
      </c>
      <c r="FM342" s="44" t="str">
        <f>IF(Table1[Leaving Date]="","",IF(Table1[Date of Initial Assessment]="","",IF(AND(Table1[Leaving Date]&gt;42094,Table1[Leaving Date]&lt;42461),IF(Table1[Date of Last Assessment]="",Table1[Managing Money and Personal Administration],Table1[Managing Money and Personal Administration2]),"")))</f>
        <v/>
      </c>
      <c r="FN342" s="44" t="str">
        <f>IF(Table1[Leaving Date]="","",IF(Table1[Date of Initial Assessment]="","",IF(AND(Table1[Leaving Date]&gt;42094,Table1[Leaving Date]&lt;42461),IF(Table1[Date of Last Assessment]="",Table1[Social Networks and Relationships],Table1[Social Networks and Relationships2]),"")))</f>
        <v/>
      </c>
      <c r="FO342" s="44" t="str">
        <f>IF(Table1[Leaving Date]="","",IF(Table1[Date of Initial Assessment]="","",IF(AND(Table1[Leaving Date]&gt;42094,Table1[Leaving Date]&lt;42461),IF(Table1[Date of Last Assessment]="",Table1[Drug and Alcohol Misuse],Table1[Drug and Alcohol Misuse2]),"")))</f>
        <v/>
      </c>
      <c r="FP342" s="44" t="str">
        <f>IF(Table1[Leaving Date]="","",IF(Table1[Date of Initial Assessment]="","",IF(AND(Table1[Leaving Date]&gt;42094,Table1[Leaving Date]&lt;42461),IF(Table1[Date of Last Assessment]="",Table1[Physical Health],Table1[Physical Health2]),"")))</f>
        <v/>
      </c>
      <c r="FQ342" s="44" t="str">
        <f>IF(Table1[Leaving Date]="","",IF(Table1[Date of Initial Assessment]="","",IF(AND(Table1[Leaving Date]&gt;42094,Table1[Leaving Date]&lt;42461),IF(Table1[Date of Last Assessment]="",Table1[Emotional and Mental Health],Table1[Emotional and Mental Health2]),"")))</f>
        <v/>
      </c>
      <c r="FR342" s="44" t="str">
        <f>IF(Table1[Leaving Date]="","",IF(Table1[Date of Initial Assessment]="","",IF(AND(Table1[Leaving Date]&gt;42094,Table1[Leaving Date]&lt;42461),IF(Table1[Date of Last Assessment]="",Table1[Meaningful Use of Time],Table1[Meaningful Use of Time2]),"")))</f>
        <v/>
      </c>
      <c r="FS342" s="44" t="str">
        <f>IF(Table1[Leaving Date]="","",IF(Table1[Date of Initial Assessment]="","",IF(AND(Table1[Leaving Date]&gt;42094,Table1[Leaving Date]&lt;42461),IF(Table1[Date of Last Assessment]="",Table1[Managing Tenancy and Accommodation],Table1[Managing Tenancy and Accommodation2]),"")))</f>
        <v/>
      </c>
      <c r="FT342" s="44" t="str">
        <f>IF(Table1[Leaving Date]="","",IF(Table1[Date of Initial Assessment]="","",IF(AND(Table1[Leaving Date]&gt;42094,Table1[Leaving Date]&lt;42461),IF(Table1[Date of Last Assessment]="",Table1[Offending],Table1[Offending2]),"")))</f>
        <v/>
      </c>
      <c r="FU342" s="44" t="str">
        <f>IF(Table1[Date of Initial Assessment]="","",IF(AND(Table1[Start Date]&gt;42460,Table1[Start Date]&lt;42826),Table1[Motivation and Taking Responsibility],""))</f>
        <v/>
      </c>
      <c r="FV342" s="44" t="str">
        <f>IF(Table1[Date of Initial Assessment]="","",IF(AND(Table1[Start Date]&gt;42460,Table1[Start Date]&lt;42826),Table1[Self-Care and Living Skills],""))</f>
        <v/>
      </c>
      <c r="FW342" s="44" t="str">
        <f>IF(Table1[Date of Initial Assessment]="","",IF(AND(Table1[Start Date]&gt;42460,Table1[Start Date]&lt;42826),Table1[Managing Money and Personal Administration],""))</f>
        <v/>
      </c>
      <c r="FX342" s="44" t="str">
        <f>IF(Table1[Date of Initial Assessment]="","",IF(AND(Table1[Start Date]&gt;42460,Table1[Start Date]&lt;42826),Table1[Social Networks and Relationships],""))</f>
        <v/>
      </c>
      <c r="FY342" s="44" t="str">
        <f>IF(Table1[Date of Initial Assessment]="","",IF(AND(Table1[Start Date]&gt;42460,Table1[Start Date]&lt;42826),Table1[Drug and Alcohol Misuse],""))</f>
        <v/>
      </c>
      <c r="FZ342" s="44" t="str">
        <f>IF(Table1[Date of Initial Assessment]="","",IF(AND(Table1[Start Date]&gt;42460,Table1[Start Date]&lt;42826),Table1[Physical Health],""))</f>
        <v/>
      </c>
      <c r="GA342" s="44" t="str">
        <f>IF(Table1[Date of Initial Assessment]="","",IF(AND(Table1[Start Date]&gt;42460,Table1[Start Date]&lt;42826),Table1[Emotional and Mental Health],""))</f>
        <v/>
      </c>
      <c r="GB342" s="44" t="str">
        <f>IF(Table1[Date of Initial Assessment]="","",IF(AND(Table1[Start Date]&gt;42460,Table1[Start Date]&lt;42826),Table1[Meaningful Use of Time],""))</f>
        <v/>
      </c>
      <c r="GC342" s="44" t="str">
        <f>IF(Table1[Date of Initial Assessment]="","",IF(AND(Table1[Start Date]&gt;42460,Table1[Start Date]&lt;42826),Table1[Managing Tenancy and Accommodation],""))</f>
        <v/>
      </c>
      <c r="GD342" s="44" t="str">
        <f>IF(Table1[Date of Initial Assessment]="","",IF(AND(Table1[Start Date]&gt;42460,Table1[Start Date]&lt;42826),Table1[Offending],""))</f>
        <v/>
      </c>
      <c r="GE342" s="44" t="str">
        <f>IF(Table1[Leaving Date]="","",IF(AND(Table1[Leaving Date]&gt;42460,Table1[Leaving Date]&lt;42826),IF(Table1[Date of Last Assessment]="",Table1[Motivation and Taking Responsibility],Table1[Motivation and Taking Responsibility2]),""))</f>
        <v/>
      </c>
      <c r="GF342" s="44" t="str">
        <f>IF(Table1[Leaving Date]="","",IF(AND(Table1[Leaving Date]&gt;42460,Table1[Leaving Date]&lt;42826),IF(Table1[Date of Last Assessment]="",Table1[Self-Care and Living Skills],Table1[Self-Care and Living Skills2]),""))</f>
        <v/>
      </c>
      <c r="GG342" s="44" t="str">
        <f>IF(Table1[Leaving Date]="","",IF(AND(Table1[Leaving Date]&gt;42460,Table1[Leaving Date]&lt;42826),IF(Table1[Date of Last Assessment]="",Table1[Managing Money and Personal Administration],Table1[Managing Money and Personal Administration2]),""))</f>
        <v/>
      </c>
      <c r="GH342" s="44" t="str">
        <f>IF(Table1[Leaving Date]="","",IF(AND(Table1[Leaving Date]&gt;42460,Table1[Leaving Date]&lt;42826),IF(Table1[Date of Last Assessment]="",Table1[Social Networks and Relationships],Table1[Social Networks and Relationships2]),""))</f>
        <v/>
      </c>
      <c r="GI342" s="44" t="str">
        <f>IF(Table1[Leaving Date]="","",IF(AND(Table1[Leaving Date]&gt;42460,Table1[Leaving Date]&lt;42826),IF(Table1[Date of Last Assessment]="",Table1[Drug and Alcohol Misuse],Table1[Drug and Alcohol Misuse2]),""))</f>
        <v/>
      </c>
      <c r="GJ342" s="44" t="str">
        <f>IF(Table1[Leaving Date]="","",IF(AND(Table1[Leaving Date]&gt;42460,Table1[Leaving Date]&lt;42826),IF(Table1[Date of Last Assessment]="",Table1[Physical Health],Table1[Physical Health2]),""))</f>
        <v/>
      </c>
      <c r="GK342" s="44" t="str">
        <f>IF(Table1[Leaving Date]="","",IF(AND(Table1[Leaving Date]&gt;42460,Table1[Leaving Date]&lt;42826),IF(Table1[Date of Last Assessment]="",Table1[Emotional and Mental Health],Table1[Emotional and Mental Health2]),""))</f>
        <v/>
      </c>
      <c r="GL342" s="44" t="str">
        <f>IF(Table1[Leaving Date]="","",IF(AND(Table1[Leaving Date]&gt;42460,Table1[Leaving Date]&lt;42826),IF(Table1[Date of Last Assessment]="",Table1[Meaningful Use of Time],Table1[Meaningful Use of Time2]),""))</f>
        <v/>
      </c>
      <c r="GM342" s="44" t="str">
        <f>IF(Table1[Leaving Date]="","",IF(AND(Table1[Leaving Date]&gt;42460,Table1[Leaving Date]&lt;42826),IF(Table1[Date of Last Assessment]="",Table1[Managing Tenancy and Accommodation],Table1[Managing Tenancy and Accommodation2]),""))</f>
        <v/>
      </c>
      <c r="GN342" s="44" t="str">
        <f>IF(Table1[Leaving Date]="","",IF(AND(Table1[Leaving Date]&gt;42460,Table1[Leaving Date]&lt;42826),IF(Table1[Date of Last Assessment]="",Table1[Offending],Table1[Offending2]),""))</f>
        <v/>
      </c>
    </row>
    <row r="343" spans="2:196" ht="20.100000000000001" customHeight="1" x14ac:dyDescent="0.2">
      <c r="B343" s="86">
        <f>+'Service Data'!$C$5:$C$5</f>
        <v>0</v>
      </c>
      <c r="C343" s="86"/>
      <c r="D343" s="86"/>
      <c r="E343" s="86"/>
      <c r="F343" s="86"/>
      <c r="G343" s="86"/>
      <c r="H343" s="6"/>
      <c r="I343" s="99" t="str">
        <f ca="1">IF(Table1[[#This Row],[Date of Birth]]="","",SUM(TODAY()-Table1[[#This Row],[Date of Birth]])/365)</f>
        <v/>
      </c>
      <c r="L343" s="86"/>
      <c r="M343" s="77"/>
      <c r="N343" s="86"/>
      <c r="O343" s="86"/>
      <c r="P343" s="91"/>
      <c r="Q343" s="86"/>
      <c r="R343" s="77"/>
      <c r="S343" s="77"/>
      <c r="T343" s="68"/>
      <c r="U343" s="68"/>
      <c r="V343" s="67"/>
      <c r="W343" s="67"/>
      <c r="X343" s="67"/>
      <c r="Y343" s="67"/>
      <c r="Z343" s="67"/>
      <c r="AA343" s="67"/>
      <c r="AB343" s="67"/>
      <c r="AC343" s="67"/>
      <c r="AD343" s="67"/>
      <c r="AE343" s="67"/>
      <c r="AF343" s="67"/>
      <c r="AG343" s="67"/>
      <c r="AH343" s="67"/>
      <c r="AI343" s="67"/>
      <c r="AJ343" s="67"/>
      <c r="AK343" s="67"/>
      <c r="AL343" s="67"/>
      <c r="AM343" s="67"/>
      <c r="AN343" s="77"/>
      <c r="AO343" s="76"/>
      <c r="AP343" s="77"/>
      <c r="AQ343" s="76"/>
      <c r="AR343" s="76"/>
      <c r="AS343" s="76"/>
      <c r="AT343" s="76"/>
      <c r="AU343" s="76"/>
      <c r="AV343" s="77"/>
      <c r="AW343" s="76"/>
      <c r="AX343" s="77"/>
      <c r="AY343" s="76"/>
      <c r="AZ343" s="76"/>
      <c r="BA343" s="76"/>
      <c r="BB343" s="76"/>
      <c r="BC343" s="76"/>
      <c r="BD343" s="77"/>
      <c r="BE343" s="76"/>
      <c r="BF343" s="77"/>
      <c r="BG343" s="76"/>
      <c r="BH343" s="76"/>
      <c r="BI343" s="76"/>
      <c r="BJ343" s="76"/>
      <c r="BK343" s="76"/>
      <c r="BL343" s="77"/>
      <c r="BM343" s="76"/>
      <c r="BN343" s="77"/>
      <c r="BO343" s="76"/>
      <c r="BP343" s="76"/>
      <c r="BQ343" s="76"/>
      <c r="BR343" s="76"/>
      <c r="BS343" s="76"/>
      <c r="BT343" s="77"/>
      <c r="BU343" s="76"/>
      <c r="BV343" s="77"/>
      <c r="BW343" s="76"/>
      <c r="BX343" s="76"/>
      <c r="BY343" s="76"/>
      <c r="BZ343" s="76"/>
      <c r="CA343" s="76"/>
      <c r="CB343" s="77"/>
      <c r="CC343" s="76"/>
      <c r="CD343" s="77"/>
      <c r="CE343" s="76"/>
      <c r="CF343" s="76"/>
      <c r="CG343" s="76"/>
      <c r="CH343" s="76"/>
      <c r="CI343" s="76"/>
      <c r="CJ343" s="77"/>
      <c r="CK343" s="76"/>
      <c r="CL343" s="77"/>
      <c r="CM343" s="76"/>
      <c r="CN343" s="76"/>
      <c r="CO343" s="76"/>
      <c r="CP343" s="76"/>
      <c r="CQ343" s="76"/>
      <c r="CR343" s="78" t="str">
        <f t="shared" si="95"/>
        <v/>
      </c>
      <c r="CS343" s="79" t="str">
        <f t="shared" si="96"/>
        <v/>
      </c>
      <c r="CT343" s="79" t="str">
        <f t="shared" si="97"/>
        <v/>
      </c>
      <c r="CU343" s="79" t="str">
        <f t="shared" si="98"/>
        <v/>
      </c>
      <c r="CV343" s="79" t="str">
        <f t="shared" si="99"/>
        <v/>
      </c>
      <c r="CW343" s="79" t="str">
        <f t="shared" si="100"/>
        <v/>
      </c>
      <c r="CX343" s="79" t="str">
        <f t="shared" si="101"/>
        <v/>
      </c>
      <c r="CY343" s="79" t="str">
        <f t="shared" si="102"/>
        <v/>
      </c>
      <c r="CZ343" s="79" t="str">
        <f t="shared" si="103"/>
        <v/>
      </c>
      <c r="DA343" s="79" t="str">
        <f t="shared" si="104"/>
        <v/>
      </c>
      <c r="DB343" s="79" t="str">
        <f t="shared" si="105"/>
        <v/>
      </c>
      <c r="DC343" s="79" t="str">
        <f t="shared" si="106"/>
        <v/>
      </c>
      <c r="DD343" s="79" t="str">
        <f t="shared" si="107"/>
        <v/>
      </c>
      <c r="DE343" s="79" t="str">
        <f t="shared" si="108"/>
        <v/>
      </c>
      <c r="DF343" s="79" t="str">
        <f t="shared" si="109"/>
        <v/>
      </c>
      <c r="DG343" s="79" t="str">
        <f t="shared" si="110"/>
        <v/>
      </c>
      <c r="DH343" s="76"/>
      <c r="DI343" s="78"/>
      <c r="DJ343" s="76"/>
      <c r="DK343" s="77"/>
      <c r="DL343" s="77"/>
      <c r="DM343" s="77"/>
      <c r="DN343" s="80"/>
      <c r="DO343" s="80"/>
      <c r="DP343" s="92" t="str">
        <f>IF(Table1[Start Date]="","",IF(Table1[Start Date]&gt;42185,"",IF(AND(Table1[Leaving Date]&gt;1,Table1[Leaving Date]&lt;42095),"",1)))</f>
        <v/>
      </c>
      <c r="DQ343" s="92" t="str">
        <f>IF(Table1[Start Date]="","",IF(Table1[Start Date]&gt;42277,"",IF(AND(Table1[Leaving Date]&gt;1,Table1[Leaving Date]&lt;42186),"",1)))</f>
        <v/>
      </c>
      <c r="DR343" s="92" t="str">
        <f>IF(Table1[Start Date]="","",IF(Table1[Start Date]&gt;42369,"",IF(AND(Table1[Leaving Date]&gt;1,Table1[Leaving Date]&lt;42278),"",1)))</f>
        <v/>
      </c>
      <c r="DS343" s="92" t="str">
        <f>IF(Table1[Start Date]="","",IF(Table1[Start Date]&gt;42460,"",IF(AND(Table1[Leaving Date]&gt;1,Table1[Leaving Date]&lt;42370),"",1)))</f>
        <v/>
      </c>
      <c r="DT343" s="92" t="str">
        <f>IF(Table1[Start Date]="","",IF(Table1[Start Date]&gt;42551,"",IF(AND(Table1[Leaving Date]&gt;1,Table1[Leaving Date]&lt;42461),"",1)))</f>
        <v/>
      </c>
      <c r="DU343" s="92" t="str">
        <f>IF(Table1[Start Date]="","",IF(Table1[Start Date]&gt;42643,"",IF(AND(Table1[Leaving Date]&gt;1,Table1[Leaving Date]&lt;42552),"",1)))</f>
        <v/>
      </c>
      <c r="DV343" s="92" t="str">
        <f>IF(Table1[Start Date]="","",IF(Table1[Start Date]&gt;42735,"",IF(AND(Table1[Leaving Date]&gt;1,Table1[Leaving Date]&lt;42644),"",1)))</f>
        <v/>
      </c>
      <c r="DW343" s="92" t="str">
        <f>IF(Table1[Start Date]="","",IF(Table1[Start Date]&gt;42825,"",IF(AND(Table1[Leaving Date]&gt;1,Table1[Leaving Date]&lt;42736),"",1)))</f>
        <v/>
      </c>
      <c r="DX343"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343" s="44" t="e">
        <f>VLOOKUP(Table1[Referral Source],Lists!$G$2:$H$20,2,FALSE)</f>
        <v>#N/A</v>
      </c>
      <c r="DZ343" s="93" t="e">
        <f>SUM(Table1[Data Referral Quarter]+Table1[Data Referral Source])</f>
        <v>#N/A</v>
      </c>
      <c r="EA343" s="44" t="b">
        <f>IF(Table1[Referral Decision]="Accepted",100,IF(Table1[Referral Decision]="Rejected by Provider",200,IF(Table1[Referral Decision]="Rejected by Applicant",300)))</f>
        <v>0</v>
      </c>
      <c r="EB343" s="44">
        <f>SUM(Table1[Data Referral Quarter]+Table1[Data Referral Decision])</f>
        <v>0</v>
      </c>
      <c r="EC343" s="44" t="b">
        <f>IF(Table1[Start Date]&gt;42735,8000,IF(Table1[Start Date]&gt;42643,7000,IF(Table1[Start Date]&gt;42551,6000,IF(Table1[Start Date]&gt;42460,5000,IF(Table1[Start Date]&gt;42369,4000,IF(Table1[Start Date]&gt;42277,3000,IF(Table1[Start Date]&gt;42185,2000,IF(Table1[Start Date]&gt;42094,1000))))))))</f>
        <v>0</v>
      </c>
      <c r="ED343" s="44" t="str">
        <f>IF(Table1[Start Date]="","",IF(Table1[Current Local Authority]="Swindon",1,"2"))</f>
        <v/>
      </c>
      <c r="EE343" s="44" t="e">
        <f>SUM(Table1[Data Start Date]+Table1[Data Local Authority])</f>
        <v>#VALUE!</v>
      </c>
      <c r="EF343" s="44">
        <f>IF(Table1[Registered with GP]="Yes",1,0)</f>
        <v>0</v>
      </c>
      <c r="EG343" s="44">
        <f>SUM(Table1[Data Start Date]+Table1[Data GP Start])</f>
        <v>0</v>
      </c>
      <c r="EH343" s="44" t="str">
        <f>IF(Table1[EET]="NEET",1,IF(Table1[EET]="Education",2,IF(Table1[EET]="Employment",2,IF(Table1[EET]="Training",2,IF(Table1[EET]="Retired",3,"")))))</f>
        <v/>
      </c>
      <c r="EI343" s="44" t="e">
        <f>Table1[Data Start Date]+Table1[Data EET Start]</f>
        <v>#VALUE!</v>
      </c>
      <c r="EJ343" s="44" t="b">
        <f>IF(Table1[Leaving Date]&gt;42735,8000,IF(Table1[Leaving Date]&gt;42643,7000,IF(Table1[Leaving Date]&gt;42551,6000,IF(Table1[Leaving Date]&gt;42460,5000,IF(Table1[Leaving Date]&gt;42369,4000,IF(Table1[Leaving Date]&gt;42277,3000,IF(Table1[Leaving Date]&gt;42185,2000,IF(Table1[Leaving Date]&gt;42094,1000))))))))</f>
        <v>0</v>
      </c>
      <c r="EK343" s="44" t="e">
        <f>VLOOKUP(Table1[Reason for Leaving],Lists!$T$2:$U$15,2,FALSE)</f>
        <v>#N/A</v>
      </c>
      <c r="EL343" s="44" t="e">
        <f>SUM(Table1[Data Leavers Date]+Table1[Data Move On])</f>
        <v>#N/A</v>
      </c>
      <c r="EM343" s="44" t="b">
        <f>IF(Table1[Registered with GP2]="Yes",1,IF(Table1[Registered with GP2]="No",0,IF(Table1[Registered with GP]="Yes",1,IF(Table1[Registered with GP]="No",0))))</f>
        <v>0</v>
      </c>
      <c r="EN343" s="44">
        <f>SUM(Table1[Data Leavers Date]+Table1[Data GP End])</f>
        <v>0</v>
      </c>
      <c r="EO343" s="44" t="str">
        <f>IF(Table1[EET2]="NEET",1,IF(Table1[EET2]="Employment",2,IF(Table1[EET2]="Education",2,IF(Table1[EET2]="Training",2,IF(Table1[EET2]="Retired",3,IF(Table1[EET]="NEET",1,IF(Table1[EET]="Employment",2,IF(Table1[EET]="Education",2,IF(Table1[EET]="Training",2,IF(Table1[EET]="Retired",3,""))))))))))</f>
        <v/>
      </c>
      <c r="EP343" s="44" t="e">
        <f>+Table1[[#This Row],[Data Leavers Date]]+Table1[[#This Row],[Data EET End]]</f>
        <v>#VALUE!</v>
      </c>
      <c r="EQ343" s="44">
        <f>IF(Table1[Exit Form Received]="Yes",1,0)</f>
        <v>0</v>
      </c>
      <c r="ER343" s="44">
        <f>+Table1[[#This Row],[Data Leavers Date]]+Table1[[#This Row],[Data Exit Forms]]</f>
        <v>0</v>
      </c>
      <c r="ES343" s="44" t="str">
        <f>IF(Table1[Data Leavers Date]=1000,SUM(Table1[Leaving Date]-Table1[Start Date]),"")</f>
        <v/>
      </c>
      <c r="ET343" s="44" t="str">
        <f>IF(Table1[Data Leavers Date]=2000,SUM(Table1[Leaving Date]-Table1[Start Date]),"")</f>
        <v/>
      </c>
      <c r="EU343" s="44" t="str">
        <f>IF(Table1[Data Leavers Date]=3000,SUM(Table1[Leaving Date]-Table1[Start Date]),"")</f>
        <v/>
      </c>
      <c r="EV343" s="44" t="str">
        <f>IF(Table1[Data Leavers Date]=4000,SUM(Table1[Leaving Date]-Table1[Start Date]),"")</f>
        <v/>
      </c>
      <c r="EW343" s="44" t="str">
        <f>IF(Table1[Data Leavers Date]=5000,SUM(Table1[Leaving Date]-Table1[Start Date]),"")</f>
        <v/>
      </c>
      <c r="EX343" s="44" t="str">
        <f>IF(Table1[Data Leavers Date]=6000,SUM(Table1[Leaving Date]-Table1[Start Date]),"")</f>
        <v/>
      </c>
      <c r="EY343" s="44" t="str">
        <f>IF(Table1[Data Leavers Date]=7000,SUM(Table1[Leaving Date]-Table1[Start Date]),"")</f>
        <v/>
      </c>
      <c r="EZ343" s="44" t="str">
        <f>IF(Table1[Data Leavers Date]=8000,SUM(Table1[Leaving Date]-Table1[Start Date]),"")</f>
        <v/>
      </c>
      <c r="FA343" s="44" t="str">
        <f>IF(Table1[Date of Initial Assessment]="","",IF(AND(Table1[Start Date]&gt;42094,Table1[Start Date]&lt;42461),Table1[Motivation and Taking Responsibility],""))</f>
        <v/>
      </c>
      <c r="FB343" s="44" t="str">
        <f>IF(Table1[Date of Initial Assessment]="","",IF(AND(Table1[Start Date]&gt;42094,Table1[Start Date]&lt;42461),Table1[Self-Care and Living Skills],""))</f>
        <v/>
      </c>
      <c r="FC343" s="44" t="str">
        <f>IF(Table1[Date of Initial Assessment]="","",IF(AND(Table1[Start Date]&gt;42094,Table1[Start Date]&lt;42461),Table1[Managing Money and Personal Administration],""))</f>
        <v/>
      </c>
      <c r="FD343" s="44" t="str">
        <f>IF(Table1[Date of Initial Assessment]="","",IF(AND(Table1[Start Date]&gt;42094,Table1[Start Date]&lt;42461),Table1[Social Networks and Relationships],""))</f>
        <v/>
      </c>
      <c r="FE343" s="44" t="str">
        <f>IF(Table1[Date of Initial Assessment]="","",IF(AND(Table1[Start Date]&gt;42094,Table1[Start Date]&lt;42461),Table1[Drug and Alcohol Misuse],""))</f>
        <v/>
      </c>
      <c r="FF343" s="44" t="str">
        <f>IF(Table1[Date of Initial Assessment]="","",IF(AND(Table1[Start Date]&gt;42094,Table1[Start Date]&lt;42461),Table1[Physical Health],""))</f>
        <v/>
      </c>
      <c r="FG343" s="44" t="str">
        <f>IF(Table1[Date of Initial Assessment]="","",IF(AND(Table1[Start Date]&gt;42094,Table1[Start Date]&lt;42461),Table1[Emotional and Mental Health],""))</f>
        <v/>
      </c>
      <c r="FH343" s="44" t="str">
        <f>IF(Table1[Date of Initial Assessment]="","",IF(AND(Table1[Start Date]&gt;42094,Table1[Start Date]&lt;42461),Table1[Meaningful Use of Time],""))</f>
        <v/>
      </c>
      <c r="FI343" s="44" t="str">
        <f>IF(Table1[Date of Initial Assessment]="","",IF(AND(Table1[Start Date]&gt;42094,Table1[Start Date]&lt;42461),Table1[Managing Tenancy and Accommodation],""))</f>
        <v/>
      </c>
      <c r="FJ343" s="44" t="str">
        <f>IF(Table1[Date of Initial Assessment]="","",IF(AND(Table1[Start Date]&gt;42094,Table1[Start Date]&lt;42461),Table1[Offending],""))</f>
        <v/>
      </c>
      <c r="FK343" s="44" t="str">
        <f>IF(Table1[Leaving Date]="","",IF(Table1[Date of Initial Assessment]="","",IF(AND(Table1[Leaving Date]&gt;42094,Table1[Leaving Date]&lt;42461),IF(Table1[Date of Last Assessment]="",Table1[Motivation and Taking Responsibility],Table1[Motivation and Taking Responsibility2]),"")))</f>
        <v/>
      </c>
      <c r="FL343" s="44" t="str">
        <f>IF(Table1[Leaving Date]="","",IF(Table1[Date of Initial Assessment]="","",IF(AND(Table1[Leaving Date]&gt;42094,Table1[Leaving Date]&lt;42461),IF(Table1[Date of Last Assessment]="",Table1[Self-Care and Living Skills],Table1[Self-Care and Living Skills2]),"")))</f>
        <v/>
      </c>
      <c r="FM343" s="44" t="str">
        <f>IF(Table1[Leaving Date]="","",IF(Table1[Date of Initial Assessment]="","",IF(AND(Table1[Leaving Date]&gt;42094,Table1[Leaving Date]&lt;42461),IF(Table1[Date of Last Assessment]="",Table1[Managing Money and Personal Administration],Table1[Managing Money and Personal Administration2]),"")))</f>
        <v/>
      </c>
      <c r="FN343" s="44" t="str">
        <f>IF(Table1[Leaving Date]="","",IF(Table1[Date of Initial Assessment]="","",IF(AND(Table1[Leaving Date]&gt;42094,Table1[Leaving Date]&lt;42461),IF(Table1[Date of Last Assessment]="",Table1[Social Networks and Relationships],Table1[Social Networks and Relationships2]),"")))</f>
        <v/>
      </c>
      <c r="FO343" s="44" t="str">
        <f>IF(Table1[Leaving Date]="","",IF(Table1[Date of Initial Assessment]="","",IF(AND(Table1[Leaving Date]&gt;42094,Table1[Leaving Date]&lt;42461),IF(Table1[Date of Last Assessment]="",Table1[Drug and Alcohol Misuse],Table1[Drug and Alcohol Misuse2]),"")))</f>
        <v/>
      </c>
      <c r="FP343" s="44" t="str">
        <f>IF(Table1[Leaving Date]="","",IF(Table1[Date of Initial Assessment]="","",IF(AND(Table1[Leaving Date]&gt;42094,Table1[Leaving Date]&lt;42461),IF(Table1[Date of Last Assessment]="",Table1[Physical Health],Table1[Physical Health2]),"")))</f>
        <v/>
      </c>
      <c r="FQ343" s="44" t="str">
        <f>IF(Table1[Leaving Date]="","",IF(Table1[Date of Initial Assessment]="","",IF(AND(Table1[Leaving Date]&gt;42094,Table1[Leaving Date]&lt;42461),IF(Table1[Date of Last Assessment]="",Table1[Emotional and Mental Health],Table1[Emotional and Mental Health2]),"")))</f>
        <v/>
      </c>
      <c r="FR343" s="44" t="str">
        <f>IF(Table1[Leaving Date]="","",IF(Table1[Date of Initial Assessment]="","",IF(AND(Table1[Leaving Date]&gt;42094,Table1[Leaving Date]&lt;42461),IF(Table1[Date of Last Assessment]="",Table1[Meaningful Use of Time],Table1[Meaningful Use of Time2]),"")))</f>
        <v/>
      </c>
      <c r="FS343" s="44" t="str">
        <f>IF(Table1[Leaving Date]="","",IF(Table1[Date of Initial Assessment]="","",IF(AND(Table1[Leaving Date]&gt;42094,Table1[Leaving Date]&lt;42461),IF(Table1[Date of Last Assessment]="",Table1[Managing Tenancy and Accommodation],Table1[Managing Tenancy and Accommodation2]),"")))</f>
        <v/>
      </c>
      <c r="FT343" s="44" t="str">
        <f>IF(Table1[Leaving Date]="","",IF(Table1[Date of Initial Assessment]="","",IF(AND(Table1[Leaving Date]&gt;42094,Table1[Leaving Date]&lt;42461),IF(Table1[Date of Last Assessment]="",Table1[Offending],Table1[Offending2]),"")))</f>
        <v/>
      </c>
      <c r="FU343" s="44" t="str">
        <f>IF(Table1[Date of Initial Assessment]="","",IF(AND(Table1[Start Date]&gt;42460,Table1[Start Date]&lt;42826),Table1[Motivation and Taking Responsibility],""))</f>
        <v/>
      </c>
      <c r="FV343" s="44" t="str">
        <f>IF(Table1[Date of Initial Assessment]="","",IF(AND(Table1[Start Date]&gt;42460,Table1[Start Date]&lt;42826),Table1[Self-Care and Living Skills],""))</f>
        <v/>
      </c>
      <c r="FW343" s="44" t="str">
        <f>IF(Table1[Date of Initial Assessment]="","",IF(AND(Table1[Start Date]&gt;42460,Table1[Start Date]&lt;42826),Table1[Managing Money and Personal Administration],""))</f>
        <v/>
      </c>
      <c r="FX343" s="44" t="str">
        <f>IF(Table1[Date of Initial Assessment]="","",IF(AND(Table1[Start Date]&gt;42460,Table1[Start Date]&lt;42826),Table1[Social Networks and Relationships],""))</f>
        <v/>
      </c>
      <c r="FY343" s="44" t="str">
        <f>IF(Table1[Date of Initial Assessment]="","",IF(AND(Table1[Start Date]&gt;42460,Table1[Start Date]&lt;42826),Table1[Drug and Alcohol Misuse],""))</f>
        <v/>
      </c>
      <c r="FZ343" s="44" t="str">
        <f>IF(Table1[Date of Initial Assessment]="","",IF(AND(Table1[Start Date]&gt;42460,Table1[Start Date]&lt;42826),Table1[Physical Health],""))</f>
        <v/>
      </c>
      <c r="GA343" s="44" t="str">
        <f>IF(Table1[Date of Initial Assessment]="","",IF(AND(Table1[Start Date]&gt;42460,Table1[Start Date]&lt;42826),Table1[Emotional and Mental Health],""))</f>
        <v/>
      </c>
      <c r="GB343" s="44" t="str">
        <f>IF(Table1[Date of Initial Assessment]="","",IF(AND(Table1[Start Date]&gt;42460,Table1[Start Date]&lt;42826),Table1[Meaningful Use of Time],""))</f>
        <v/>
      </c>
      <c r="GC343" s="44" t="str">
        <f>IF(Table1[Date of Initial Assessment]="","",IF(AND(Table1[Start Date]&gt;42460,Table1[Start Date]&lt;42826),Table1[Managing Tenancy and Accommodation],""))</f>
        <v/>
      </c>
      <c r="GD343" s="44" t="str">
        <f>IF(Table1[Date of Initial Assessment]="","",IF(AND(Table1[Start Date]&gt;42460,Table1[Start Date]&lt;42826),Table1[Offending],""))</f>
        <v/>
      </c>
      <c r="GE343" s="44" t="str">
        <f>IF(Table1[Leaving Date]="","",IF(AND(Table1[Leaving Date]&gt;42460,Table1[Leaving Date]&lt;42826),IF(Table1[Date of Last Assessment]="",Table1[Motivation and Taking Responsibility],Table1[Motivation and Taking Responsibility2]),""))</f>
        <v/>
      </c>
      <c r="GF343" s="44" t="str">
        <f>IF(Table1[Leaving Date]="","",IF(AND(Table1[Leaving Date]&gt;42460,Table1[Leaving Date]&lt;42826),IF(Table1[Date of Last Assessment]="",Table1[Self-Care and Living Skills],Table1[Self-Care and Living Skills2]),""))</f>
        <v/>
      </c>
      <c r="GG343" s="44" t="str">
        <f>IF(Table1[Leaving Date]="","",IF(AND(Table1[Leaving Date]&gt;42460,Table1[Leaving Date]&lt;42826),IF(Table1[Date of Last Assessment]="",Table1[Managing Money and Personal Administration],Table1[Managing Money and Personal Administration2]),""))</f>
        <v/>
      </c>
      <c r="GH343" s="44" t="str">
        <f>IF(Table1[Leaving Date]="","",IF(AND(Table1[Leaving Date]&gt;42460,Table1[Leaving Date]&lt;42826),IF(Table1[Date of Last Assessment]="",Table1[Social Networks and Relationships],Table1[Social Networks and Relationships2]),""))</f>
        <v/>
      </c>
      <c r="GI343" s="44" t="str">
        <f>IF(Table1[Leaving Date]="","",IF(AND(Table1[Leaving Date]&gt;42460,Table1[Leaving Date]&lt;42826),IF(Table1[Date of Last Assessment]="",Table1[Drug and Alcohol Misuse],Table1[Drug and Alcohol Misuse2]),""))</f>
        <v/>
      </c>
      <c r="GJ343" s="44" t="str">
        <f>IF(Table1[Leaving Date]="","",IF(AND(Table1[Leaving Date]&gt;42460,Table1[Leaving Date]&lt;42826),IF(Table1[Date of Last Assessment]="",Table1[Physical Health],Table1[Physical Health2]),""))</f>
        <v/>
      </c>
      <c r="GK343" s="44" t="str">
        <f>IF(Table1[Leaving Date]="","",IF(AND(Table1[Leaving Date]&gt;42460,Table1[Leaving Date]&lt;42826),IF(Table1[Date of Last Assessment]="",Table1[Emotional and Mental Health],Table1[Emotional and Mental Health2]),""))</f>
        <v/>
      </c>
      <c r="GL343" s="44" t="str">
        <f>IF(Table1[Leaving Date]="","",IF(AND(Table1[Leaving Date]&gt;42460,Table1[Leaving Date]&lt;42826),IF(Table1[Date of Last Assessment]="",Table1[Meaningful Use of Time],Table1[Meaningful Use of Time2]),""))</f>
        <v/>
      </c>
      <c r="GM343" s="44" t="str">
        <f>IF(Table1[Leaving Date]="","",IF(AND(Table1[Leaving Date]&gt;42460,Table1[Leaving Date]&lt;42826),IF(Table1[Date of Last Assessment]="",Table1[Managing Tenancy and Accommodation],Table1[Managing Tenancy and Accommodation2]),""))</f>
        <v/>
      </c>
      <c r="GN343" s="44" t="str">
        <f>IF(Table1[Leaving Date]="","",IF(AND(Table1[Leaving Date]&gt;42460,Table1[Leaving Date]&lt;42826),IF(Table1[Date of Last Assessment]="",Table1[Offending],Table1[Offending2]),""))</f>
        <v/>
      </c>
    </row>
    <row r="344" spans="2:196" ht="20.100000000000001" customHeight="1" x14ac:dyDescent="0.2">
      <c r="B344" s="86">
        <f>+'Service Data'!$C$5:$C$5</f>
        <v>0</v>
      </c>
      <c r="C344" s="86"/>
      <c r="D344" s="86"/>
      <c r="E344" s="86"/>
      <c r="F344" s="86"/>
      <c r="G344" s="86"/>
      <c r="H344" s="6"/>
      <c r="I344" s="99" t="str">
        <f ca="1">IF(Table1[[#This Row],[Date of Birth]]="","",SUM(TODAY()-Table1[[#This Row],[Date of Birth]])/365)</f>
        <v/>
      </c>
      <c r="L344" s="86"/>
      <c r="M344" s="77"/>
      <c r="N344" s="86"/>
      <c r="O344" s="86"/>
      <c r="P344" s="91"/>
      <c r="Q344" s="86"/>
      <c r="R344" s="77"/>
      <c r="S344" s="77"/>
      <c r="T344" s="68"/>
      <c r="U344" s="68"/>
      <c r="V344" s="67"/>
      <c r="W344" s="67"/>
      <c r="X344" s="67"/>
      <c r="Y344" s="67"/>
      <c r="Z344" s="67"/>
      <c r="AA344" s="67"/>
      <c r="AB344" s="67"/>
      <c r="AC344" s="67"/>
      <c r="AD344" s="67"/>
      <c r="AE344" s="67"/>
      <c r="AF344" s="67"/>
      <c r="AG344" s="67"/>
      <c r="AH344" s="67"/>
      <c r="AI344" s="67"/>
      <c r="AJ344" s="67"/>
      <c r="AK344" s="67"/>
      <c r="AL344" s="67"/>
      <c r="AM344" s="67"/>
      <c r="AN344" s="77"/>
      <c r="AO344" s="76"/>
      <c r="AP344" s="77"/>
      <c r="AQ344" s="76"/>
      <c r="AR344" s="76"/>
      <c r="AS344" s="76"/>
      <c r="AT344" s="76"/>
      <c r="AU344" s="76"/>
      <c r="AV344" s="77"/>
      <c r="AW344" s="76"/>
      <c r="AX344" s="77"/>
      <c r="AY344" s="76"/>
      <c r="AZ344" s="76"/>
      <c r="BA344" s="76"/>
      <c r="BB344" s="76"/>
      <c r="BC344" s="76"/>
      <c r="BD344" s="77"/>
      <c r="BE344" s="76"/>
      <c r="BF344" s="77"/>
      <c r="BG344" s="76"/>
      <c r="BH344" s="76"/>
      <c r="BI344" s="76"/>
      <c r="BJ344" s="76"/>
      <c r="BK344" s="76"/>
      <c r="BL344" s="77"/>
      <c r="BM344" s="76"/>
      <c r="BN344" s="77"/>
      <c r="BO344" s="76"/>
      <c r="BP344" s="76"/>
      <c r="BQ344" s="76"/>
      <c r="BR344" s="76"/>
      <c r="BS344" s="76"/>
      <c r="BT344" s="77"/>
      <c r="BU344" s="76"/>
      <c r="BV344" s="77"/>
      <c r="BW344" s="76"/>
      <c r="BX344" s="76"/>
      <c r="BY344" s="76"/>
      <c r="BZ344" s="76"/>
      <c r="CA344" s="76"/>
      <c r="CB344" s="77"/>
      <c r="CC344" s="76"/>
      <c r="CD344" s="77"/>
      <c r="CE344" s="76"/>
      <c r="CF344" s="76"/>
      <c r="CG344" s="76"/>
      <c r="CH344" s="76"/>
      <c r="CI344" s="76"/>
      <c r="CJ344" s="77"/>
      <c r="CK344" s="76"/>
      <c r="CL344" s="77"/>
      <c r="CM344" s="76"/>
      <c r="CN344" s="76"/>
      <c r="CO344" s="76"/>
      <c r="CP344" s="76"/>
      <c r="CQ344" s="76"/>
      <c r="CR344" s="78" t="str">
        <f t="shared" si="95"/>
        <v/>
      </c>
      <c r="CS344" s="79" t="str">
        <f t="shared" si="96"/>
        <v/>
      </c>
      <c r="CT344" s="79" t="str">
        <f t="shared" si="97"/>
        <v/>
      </c>
      <c r="CU344" s="79" t="str">
        <f t="shared" si="98"/>
        <v/>
      </c>
      <c r="CV344" s="79" t="str">
        <f t="shared" si="99"/>
        <v/>
      </c>
      <c r="CW344" s="79" t="str">
        <f t="shared" si="100"/>
        <v/>
      </c>
      <c r="CX344" s="79" t="str">
        <f t="shared" si="101"/>
        <v/>
      </c>
      <c r="CY344" s="79" t="str">
        <f t="shared" si="102"/>
        <v/>
      </c>
      <c r="CZ344" s="79" t="str">
        <f t="shared" si="103"/>
        <v/>
      </c>
      <c r="DA344" s="79" t="str">
        <f t="shared" si="104"/>
        <v/>
      </c>
      <c r="DB344" s="79" t="str">
        <f t="shared" si="105"/>
        <v/>
      </c>
      <c r="DC344" s="79" t="str">
        <f t="shared" si="106"/>
        <v/>
      </c>
      <c r="DD344" s="79" t="str">
        <f t="shared" si="107"/>
        <v/>
      </c>
      <c r="DE344" s="79" t="str">
        <f t="shared" si="108"/>
        <v/>
      </c>
      <c r="DF344" s="79" t="str">
        <f t="shared" si="109"/>
        <v/>
      </c>
      <c r="DG344" s="79" t="str">
        <f t="shared" si="110"/>
        <v/>
      </c>
      <c r="DH344" s="76"/>
      <c r="DI344" s="78"/>
      <c r="DJ344" s="76"/>
      <c r="DK344" s="77"/>
      <c r="DL344" s="77"/>
      <c r="DM344" s="77"/>
      <c r="DN344" s="80"/>
      <c r="DO344" s="80"/>
      <c r="DP344" s="92" t="str">
        <f>IF(Table1[Start Date]="","",IF(Table1[Start Date]&gt;42185,"",IF(AND(Table1[Leaving Date]&gt;1,Table1[Leaving Date]&lt;42095),"",1)))</f>
        <v/>
      </c>
      <c r="DQ344" s="92" t="str">
        <f>IF(Table1[Start Date]="","",IF(Table1[Start Date]&gt;42277,"",IF(AND(Table1[Leaving Date]&gt;1,Table1[Leaving Date]&lt;42186),"",1)))</f>
        <v/>
      </c>
      <c r="DR344" s="92" t="str">
        <f>IF(Table1[Start Date]="","",IF(Table1[Start Date]&gt;42369,"",IF(AND(Table1[Leaving Date]&gt;1,Table1[Leaving Date]&lt;42278),"",1)))</f>
        <v/>
      </c>
      <c r="DS344" s="92" t="str">
        <f>IF(Table1[Start Date]="","",IF(Table1[Start Date]&gt;42460,"",IF(AND(Table1[Leaving Date]&gt;1,Table1[Leaving Date]&lt;42370),"",1)))</f>
        <v/>
      </c>
      <c r="DT344" s="92" t="str">
        <f>IF(Table1[Start Date]="","",IF(Table1[Start Date]&gt;42551,"",IF(AND(Table1[Leaving Date]&gt;1,Table1[Leaving Date]&lt;42461),"",1)))</f>
        <v/>
      </c>
      <c r="DU344" s="92" t="str">
        <f>IF(Table1[Start Date]="","",IF(Table1[Start Date]&gt;42643,"",IF(AND(Table1[Leaving Date]&gt;1,Table1[Leaving Date]&lt;42552),"",1)))</f>
        <v/>
      </c>
      <c r="DV344" s="92" t="str">
        <f>IF(Table1[Start Date]="","",IF(Table1[Start Date]&gt;42735,"",IF(AND(Table1[Leaving Date]&gt;1,Table1[Leaving Date]&lt;42644),"",1)))</f>
        <v/>
      </c>
      <c r="DW344" s="92" t="str">
        <f>IF(Table1[Start Date]="","",IF(Table1[Start Date]&gt;42825,"",IF(AND(Table1[Leaving Date]&gt;1,Table1[Leaving Date]&lt;42736),"",1)))</f>
        <v/>
      </c>
      <c r="DX344"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344" s="44" t="e">
        <f>VLOOKUP(Table1[Referral Source],Lists!$G$2:$H$20,2,FALSE)</f>
        <v>#N/A</v>
      </c>
      <c r="DZ344" s="93" t="e">
        <f>SUM(Table1[Data Referral Quarter]+Table1[Data Referral Source])</f>
        <v>#N/A</v>
      </c>
      <c r="EA344" s="44" t="b">
        <f>IF(Table1[Referral Decision]="Accepted",100,IF(Table1[Referral Decision]="Rejected by Provider",200,IF(Table1[Referral Decision]="Rejected by Applicant",300)))</f>
        <v>0</v>
      </c>
      <c r="EB344" s="44">
        <f>SUM(Table1[Data Referral Quarter]+Table1[Data Referral Decision])</f>
        <v>0</v>
      </c>
      <c r="EC344" s="44" t="b">
        <f>IF(Table1[Start Date]&gt;42735,8000,IF(Table1[Start Date]&gt;42643,7000,IF(Table1[Start Date]&gt;42551,6000,IF(Table1[Start Date]&gt;42460,5000,IF(Table1[Start Date]&gt;42369,4000,IF(Table1[Start Date]&gt;42277,3000,IF(Table1[Start Date]&gt;42185,2000,IF(Table1[Start Date]&gt;42094,1000))))))))</f>
        <v>0</v>
      </c>
      <c r="ED344" s="44" t="str">
        <f>IF(Table1[Start Date]="","",IF(Table1[Current Local Authority]="Swindon",1,"2"))</f>
        <v/>
      </c>
      <c r="EE344" s="44" t="e">
        <f>SUM(Table1[Data Start Date]+Table1[Data Local Authority])</f>
        <v>#VALUE!</v>
      </c>
      <c r="EF344" s="44">
        <f>IF(Table1[Registered with GP]="Yes",1,0)</f>
        <v>0</v>
      </c>
      <c r="EG344" s="44">
        <f>SUM(Table1[Data Start Date]+Table1[Data GP Start])</f>
        <v>0</v>
      </c>
      <c r="EH344" s="44" t="str">
        <f>IF(Table1[EET]="NEET",1,IF(Table1[EET]="Education",2,IF(Table1[EET]="Employment",2,IF(Table1[EET]="Training",2,IF(Table1[EET]="Retired",3,"")))))</f>
        <v/>
      </c>
      <c r="EI344" s="44" t="e">
        <f>Table1[Data Start Date]+Table1[Data EET Start]</f>
        <v>#VALUE!</v>
      </c>
      <c r="EJ344" s="44" t="b">
        <f>IF(Table1[Leaving Date]&gt;42735,8000,IF(Table1[Leaving Date]&gt;42643,7000,IF(Table1[Leaving Date]&gt;42551,6000,IF(Table1[Leaving Date]&gt;42460,5000,IF(Table1[Leaving Date]&gt;42369,4000,IF(Table1[Leaving Date]&gt;42277,3000,IF(Table1[Leaving Date]&gt;42185,2000,IF(Table1[Leaving Date]&gt;42094,1000))))))))</f>
        <v>0</v>
      </c>
      <c r="EK344" s="44" t="e">
        <f>VLOOKUP(Table1[Reason for Leaving],Lists!$T$2:$U$15,2,FALSE)</f>
        <v>#N/A</v>
      </c>
      <c r="EL344" s="44" t="e">
        <f>SUM(Table1[Data Leavers Date]+Table1[Data Move On])</f>
        <v>#N/A</v>
      </c>
      <c r="EM344" s="44" t="b">
        <f>IF(Table1[Registered with GP2]="Yes",1,IF(Table1[Registered with GP2]="No",0,IF(Table1[Registered with GP]="Yes",1,IF(Table1[Registered with GP]="No",0))))</f>
        <v>0</v>
      </c>
      <c r="EN344" s="44">
        <f>SUM(Table1[Data Leavers Date]+Table1[Data GP End])</f>
        <v>0</v>
      </c>
      <c r="EO344" s="44" t="str">
        <f>IF(Table1[EET2]="NEET",1,IF(Table1[EET2]="Employment",2,IF(Table1[EET2]="Education",2,IF(Table1[EET2]="Training",2,IF(Table1[EET2]="Retired",3,IF(Table1[EET]="NEET",1,IF(Table1[EET]="Employment",2,IF(Table1[EET]="Education",2,IF(Table1[EET]="Training",2,IF(Table1[EET]="Retired",3,""))))))))))</f>
        <v/>
      </c>
      <c r="EP344" s="44" t="e">
        <f>+Table1[[#This Row],[Data Leavers Date]]+Table1[[#This Row],[Data EET End]]</f>
        <v>#VALUE!</v>
      </c>
      <c r="EQ344" s="44">
        <f>IF(Table1[Exit Form Received]="Yes",1,0)</f>
        <v>0</v>
      </c>
      <c r="ER344" s="44">
        <f>+Table1[[#This Row],[Data Leavers Date]]+Table1[[#This Row],[Data Exit Forms]]</f>
        <v>0</v>
      </c>
      <c r="ES344" s="44" t="str">
        <f>IF(Table1[Data Leavers Date]=1000,SUM(Table1[Leaving Date]-Table1[Start Date]),"")</f>
        <v/>
      </c>
      <c r="ET344" s="44" t="str">
        <f>IF(Table1[Data Leavers Date]=2000,SUM(Table1[Leaving Date]-Table1[Start Date]),"")</f>
        <v/>
      </c>
      <c r="EU344" s="44" t="str">
        <f>IF(Table1[Data Leavers Date]=3000,SUM(Table1[Leaving Date]-Table1[Start Date]),"")</f>
        <v/>
      </c>
      <c r="EV344" s="44" t="str">
        <f>IF(Table1[Data Leavers Date]=4000,SUM(Table1[Leaving Date]-Table1[Start Date]),"")</f>
        <v/>
      </c>
      <c r="EW344" s="44" t="str">
        <f>IF(Table1[Data Leavers Date]=5000,SUM(Table1[Leaving Date]-Table1[Start Date]),"")</f>
        <v/>
      </c>
      <c r="EX344" s="44" t="str">
        <f>IF(Table1[Data Leavers Date]=6000,SUM(Table1[Leaving Date]-Table1[Start Date]),"")</f>
        <v/>
      </c>
      <c r="EY344" s="44" t="str">
        <f>IF(Table1[Data Leavers Date]=7000,SUM(Table1[Leaving Date]-Table1[Start Date]),"")</f>
        <v/>
      </c>
      <c r="EZ344" s="44" t="str">
        <f>IF(Table1[Data Leavers Date]=8000,SUM(Table1[Leaving Date]-Table1[Start Date]),"")</f>
        <v/>
      </c>
      <c r="FA344" s="44" t="str">
        <f>IF(Table1[Date of Initial Assessment]="","",IF(AND(Table1[Start Date]&gt;42094,Table1[Start Date]&lt;42461),Table1[Motivation and Taking Responsibility],""))</f>
        <v/>
      </c>
      <c r="FB344" s="44" t="str">
        <f>IF(Table1[Date of Initial Assessment]="","",IF(AND(Table1[Start Date]&gt;42094,Table1[Start Date]&lt;42461),Table1[Self-Care and Living Skills],""))</f>
        <v/>
      </c>
      <c r="FC344" s="44" t="str">
        <f>IF(Table1[Date of Initial Assessment]="","",IF(AND(Table1[Start Date]&gt;42094,Table1[Start Date]&lt;42461),Table1[Managing Money and Personal Administration],""))</f>
        <v/>
      </c>
      <c r="FD344" s="44" t="str">
        <f>IF(Table1[Date of Initial Assessment]="","",IF(AND(Table1[Start Date]&gt;42094,Table1[Start Date]&lt;42461),Table1[Social Networks and Relationships],""))</f>
        <v/>
      </c>
      <c r="FE344" s="44" t="str">
        <f>IF(Table1[Date of Initial Assessment]="","",IF(AND(Table1[Start Date]&gt;42094,Table1[Start Date]&lt;42461),Table1[Drug and Alcohol Misuse],""))</f>
        <v/>
      </c>
      <c r="FF344" s="44" t="str">
        <f>IF(Table1[Date of Initial Assessment]="","",IF(AND(Table1[Start Date]&gt;42094,Table1[Start Date]&lt;42461),Table1[Physical Health],""))</f>
        <v/>
      </c>
      <c r="FG344" s="44" t="str">
        <f>IF(Table1[Date of Initial Assessment]="","",IF(AND(Table1[Start Date]&gt;42094,Table1[Start Date]&lt;42461),Table1[Emotional and Mental Health],""))</f>
        <v/>
      </c>
      <c r="FH344" s="44" t="str">
        <f>IF(Table1[Date of Initial Assessment]="","",IF(AND(Table1[Start Date]&gt;42094,Table1[Start Date]&lt;42461),Table1[Meaningful Use of Time],""))</f>
        <v/>
      </c>
      <c r="FI344" s="44" t="str">
        <f>IF(Table1[Date of Initial Assessment]="","",IF(AND(Table1[Start Date]&gt;42094,Table1[Start Date]&lt;42461),Table1[Managing Tenancy and Accommodation],""))</f>
        <v/>
      </c>
      <c r="FJ344" s="44" t="str">
        <f>IF(Table1[Date of Initial Assessment]="","",IF(AND(Table1[Start Date]&gt;42094,Table1[Start Date]&lt;42461),Table1[Offending],""))</f>
        <v/>
      </c>
      <c r="FK344" s="44" t="str">
        <f>IF(Table1[Leaving Date]="","",IF(Table1[Date of Initial Assessment]="","",IF(AND(Table1[Leaving Date]&gt;42094,Table1[Leaving Date]&lt;42461),IF(Table1[Date of Last Assessment]="",Table1[Motivation and Taking Responsibility],Table1[Motivation and Taking Responsibility2]),"")))</f>
        <v/>
      </c>
      <c r="FL344" s="44" t="str">
        <f>IF(Table1[Leaving Date]="","",IF(Table1[Date of Initial Assessment]="","",IF(AND(Table1[Leaving Date]&gt;42094,Table1[Leaving Date]&lt;42461),IF(Table1[Date of Last Assessment]="",Table1[Self-Care and Living Skills],Table1[Self-Care and Living Skills2]),"")))</f>
        <v/>
      </c>
      <c r="FM344" s="44" t="str">
        <f>IF(Table1[Leaving Date]="","",IF(Table1[Date of Initial Assessment]="","",IF(AND(Table1[Leaving Date]&gt;42094,Table1[Leaving Date]&lt;42461),IF(Table1[Date of Last Assessment]="",Table1[Managing Money and Personal Administration],Table1[Managing Money and Personal Administration2]),"")))</f>
        <v/>
      </c>
      <c r="FN344" s="44" t="str">
        <f>IF(Table1[Leaving Date]="","",IF(Table1[Date of Initial Assessment]="","",IF(AND(Table1[Leaving Date]&gt;42094,Table1[Leaving Date]&lt;42461),IF(Table1[Date of Last Assessment]="",Table1[Social Networks and Relationships],Table1[Social Networks and Relationships2]),"")))</f>
        <v/>
      </c>
      <c r="FO344" s="44" t="str">
        <f>IF(Table1[Leaving Date]="","",IF(Table1[Date of Initial Assessment]="","",IF(AND(Table1[Leaving Date]&gt;42094,Table1[Leaving Date]&lt;42461),IF(Table1[Date of Last Assessment]="",Table1[Drug and Alcohol Misuse],Table1[Drug and Alcohol Misuse2]),"")))</f>
        <v/>
      </c>
      <c r="FP344" s="44" t="str">
        <f>IF(Table1[Leaving Date]="","",IF(Table1[Date of Initial Assessment]="","",IF(AND(Table1[Leaving Date]&gt;42094,Table1[Leaving Date]&lt;42461),IF(Table1[Date of Last Assessment]="",Table1[Physical Health],Table1[Physical Health2]),"")))</f>
        <v/>
      </c>
      <c r="FQ344" s="44" t="str">
        <f>IF(Table1[Leaving Date]="","",IF(Table1[Date of Initial Assessment]="","",IF(AND(Table1[Leaving Date]&gt;42094,Table1[Leaving Date]&lt;42461),IF(Table1[Date of Last Assessment]="",Table1[Emotional and Mental Health],Table1[Emotional and Mental Health2]),"")))</f>
        <v/>
      </c>
      <c r="FR344" s="44" t="str">
        <f>IF(Table1[Leaving Date]="","",IF(Table1[Date of Initial Assessment]="","",IF(AND(Table1[Leaving Date]&gt;42094,Table1[Leaving Date]&lt;42461),IF(Table1[Date of Last Assessment]="",Table1[Meaningful Use of Time],Table1[Meaningful Use of Time2]),"")))</f>
        <v/>
      </c>
      <c r="FS344" s="44" t="str">
        <f>IF(Table1[Leaving Date]="","",IF(Table1[Date of Initial Assessment]="","",IF(AND(Table1[Leaving Date]&gt;42094,Table1[Leaving Date]&lt;42461),IF(Table1[Date of Last Assessment]="",Table1[Managing Tenancy and Accommodation],Table1[Managing Tenancy and Accommodation2]),"")))</f>
        <v/>
      </c>
      <c r="FT344" s="44" t="str">
        <f>IF(Table1[Leaving Date]="","",IF(Table1[Date of Initial Assessment]="","",IF(AND(Table1[Leaving Date]&gt;42094,Table1[Leaving Date]&lt;42461),IF(Table1[Date of Last Assessment]="",Table1[Offending],Table1[Offending2]),"")))</f>
        <v/>
      </c>
      <c r="FU344" s="44" t="str">
        <f>IF(Table1[Date of Initial Assessment]="","",IF(AND(Table1[Start Date]&gt;42460,Table1[Start Date]&lt;42826),Table1[Motivation and Taking Responsibility],""))</f>
        <v/>
      </c>
      <c r="FV344" s="44" t="str">
        <f>IF(Table1[Date of Initial Assessment]="","",IF(AND(Table1[Start Date]&gt;42460,Table1[Start Date]&lt;42826),Table1[Self-Care and Living Skills],""))</f>
        <v/>
      </c>
      <c r="FW344" s="44" t="str">
        <f>IF(Table1[Date of Initial Assessment]="","",IF(AND(Table1[Start Date]&gt;42460,Table1[Start Date]&lt;42826),Table1[Managing Money and Personal Administration],""))</f>
        <v/>
      </c>
      <c r="FX344" s="44" t="str">
        <f>IF(Table1[Date of Initial Assessment]="","",IF(AND(Table1[Start Date]&gt;42460,Table1[Start Date]&lt;42826),Table1[Social Networks and Relationships],""))</f>
        <v/>
      </c>
      <c r="FY344" s="44" t="str">
        <f>IF(Table1[Date of Initial Assessment]="","",IF(AND(Table1[Start Date]&gt;42460,Table1[Start Date]&lt;42826),Table1[Drug and Alcohol Misuse],""))</f>
        <v/>
      </c>
      <c r="FZ344" s="44" t="str">
        <f>IF(Table1[Date of Initial Assessment]="","",IF(AND(Table1[Start Date]&gt;42460,Table1[Start Date]&lt;42826),Table1[Physical Health],""))</f>
        <v/>
      </c>
      <c r="GA344" s="44" t="str">
        <f>IF(Table1[Date of Initial Assessment]="","",IF(AND(Table1[Start Date]&gt;42460,Table1[Start Date]&lt;42826),Table1[Emotional and Mental Health],""))</f>
        <v/>
      </c>
      <c r="GB344" s="44" t="str">
        <f>IF(Table1[Date of Initial Assessment]="","",IF(AND(Table1[Start Date]&gt;42460,Table1[Start Date]&lt;42826),Table1[Meaningful Use of Time],""))</f>
        <v/>
      </c>
      <c r="GC344" s="44" t="str">
        <f>IF(Table1[Date of Initial Assessment]="","",IF(AND(Table1[Start Date]&gt;42460,Table1[Start Date]&lt;42826),Table1[Managing Tenancy and Accommodation],""))</f>
        <v/>
      </c>
      <c r="GD344" s="44" t="str">
        <f>IF(Table1[Date of Initial Assessment]="","",IF(AND(Table1[Start Date]&gt;42460,Table1[Start Date]&lt;42826),Table1[Offending],""))</f>
        <v/>
      </c>
      <c r="GE344" s="44" t="str">
        <f>IF(Table1[Leaving Date]="","",IF(AND(Table1[Leaving Date]&gt;42460,Table1[Leaving Date]&lt;42826),IF(Table1[Date of Last Assessment]="",Table1[Motivation and Taking Responsibility],Table1[Motivation and Taking Responsibility2]),""))</f>
        <v/>
      </c>
      <c r="GF344" s="44" t="str">
        <f>IF(Table1[Leaving Date]="","",IF(AND(Table1[Leaving Date]&gt;42460,Table1[Leaving Date]&lt;42826),IF(Table1[Date of Last Assessment]="",Table1[Self-Care and Living Skills],Table1[Self-Care and Living Skills2]),""))</f>
        <v/>
      </c>
      <c r="GG344" s="44" t="str">
        <f>IF(Table1[Leaving Date]="","",IF(AND(Table1[Leaving Date]&gt;42460,Table1[Leaving Date]&lt;42826),IF(Table1[Date of Last Assessment]="",Table1[Managing Money and Personal Administration],Table1[Managing Money and Personal Administration2]),""))</f>
        <v/>
      </c>
      <c r="GH344" s="44" t="str">
        <f>IF(Table1[Leaving Date]="","",IF(AND(Table1[Leaving Date]&gt;42460,Table1[Leaving Date]&lt;42826),IF(Table1[Date of Last Assessment]="",Table1[Social Networks and Relationships],Table1[Social Networks and Relationships2]),""))</f>
        <v/>
      </c>
      <c r="GI344" s="44" t="str">
        <f>IF(Table1[Leaving Date]="","",IF(AND(Table1[Leaving Date]&gt;42460,Table1[Leaving Date]&lt;42826),IF(Table1[Date of Last Assessment]="",Table1[Drug and Alcohol Misuse],Table1[Drug and Alcohol Misuse2]),""))</f>
        <v/>
      </c>
      <c r="GJ344" s="44" t="str">
        <f>IF(Table1[Leaving Date]="","",IF(AND(Table1[Leaving Date]&gt;42460,Table1[Leaving Date]&lt;42826),IF(Table1[Date of Last Assessment]="",Table1[Physical Health],Table1[Physical Health2]),""))</f>
        <v/>
      </c>
      <c r="GK344" s="44" t="str">
        <f>IF(Table1[Leaving Date]="","",IF(AND(Table1[Leaving Date]&gt;42460,Table1[Leaving Date]&lt;42826),IF(Table1[Date of Last Assessment]="",Table1[Emotional and Mental Health],Table1[Emotional and Mental Health2]),""))</f>
        <v/>
      </c>
      <c r="GL344" s="44" t="str">
        <f>IF(Table1[Leaving Date]="","",IF(AND(Table1[Leaving Date]&gt;42460,Table1[Leaving Date]&lt;42826),IF(Table1[Date of Last Assessment]="",Table1[Meaningful Use of Time],Table1[Meaningful Use of Time2]),""))</f>
        <v/>
      </c>
      <c r="GM344" s="44" t="str">
        <f>IF(Table1[Leaving Date]="","",IF(AND(Table1[Leaving Date]&gt;42460,Table1[Leaving Date]&lt;42826),IF(Table1[Date of Last Assessment]="",Table1[Managing Tenancy and Accommodation],Table1[Managing Tenancy and Accommodation2]),""))</f>
        <v/>
      </c>
      <c r="GN344" s="44" t="str">
        <f>IF(Table1[Leaving Date]="","",IF(AND(Table1[Leaving Date]&gt;42460,Table1[Leaving Date]&lt;42826),IF(Table1[Date of Last Assessment]="",Table1[Offending],Table1[Offending2]),""))</f>
        <v/>
      </c>
    </row>
    <row r="345" spans="2:196" ht="20.100000000000001" customHeight="1" x14ac:dyDescent="0.2">
      <c r="B345" s="86">
        <f>+'Service Data'!$C$5:$C$5</f>
        <v>0</v>
      </c>
      <c r="C345" s="86"/>
      <c r="D345" s="86"/>
      <c r="E345" s="86"/>
      <c r="F345" s="86"/>
      <c r="G345" s="86"/>
      <c r="H345" s="6"/>
      <c r="I345" s="99" t="str">
        <f ca="1">IF(Table1[[#This Row],[Date of Birth]]="","",SUM(TODAY()-Table1[[#This Row],[Date of Birth]])/365)</f>
        <v/>
      </c>
      <c r="L345" s="86"/>
      <c r="M345" s="77"/>
      <c r="N345" s="86"/>
      <c r="O345" s="86"/>
      <c r="P345" s="91"/>
      <c r="Q345" s="86"/>
      <c r="R345" s="77"/>
      <c r="S345" s="77"/>
      <c r="T345" s="68"/>
      <c r="U345" s="68"/>
      <c r="V345" s="67"/>
      <c r="W345" s="67"/>
      <c r="X345" s="67"/>
      <c r="Y345" s="67"/>
      <c r="Z345" s="67"/>
      <c r="AA345" s="67"/>
      <c r="AB345" s="67"/>
      <c r="AC345" s="67"/>
      <c r="AD345" s="67"/>
      <c r="AE345" s="67"/>
      <c r="AF345" s="67"/>
      <c r="AG345" s="67"/>
      <c r="AH345" s="67"/>
      <c r="AI345" s="67"/>
      <c r="AJ345" s="67"/>
      <c r="AK345" s="67"/>
      <c r="AL345" s="67"/>
      <c r="AM345" s="67"/>
      <c r="AN345" s="77"/>
      <c r="AO345" s="76"/>
      <c r="AP345" s="77"/>
      <c r="AQ345" s="76"/>
      <c r="AR345" s="76"/>
      <c r="AS345" s="76"/>
      <c r="AT345" s="76"/>
      <c r="AU345" s="76"/>
      <c r="AV345" s="77"/>
      <c r="AW345" s="76"/>
      <c r="AX345" s="77"/>
      <c r="AY345" s="76"/>
      <c r="AZ345" s="76"/>
      <c r="BA345" s="76"/>
      <c r="BB345" s="76"/>
      <c r="BC345" s="76"/>
      <c r="BD345" s="77"/>
      <c r="BE345" s="76"/>
      <c r="BF345" s="77"/>
      <c r="BG345" s="76"/>
      <c r="BH345" s="76"/>
      <c r="BI345" s="76"/>
      <c r="BJ345" s="76"/>
      <c r="BK345" s="76"/>
      <c r="BL345" s="77"/>
      <c r="BM345" s="76"/>
      <c r="BN345" s="77"/>
      <c r="BO345" s="76"/>
      <c r="BP345" s="76"/>
      <c r="BQ345" s="76"/>
      <c r="BR345" s="76"/>
      <c r="BS345" s="76"/>
      <c r="BT345" s="77"/>
      <c r="BU345" s="76"/>
      <c r="BV345" s="77"/>
      <c r="BW345" s="76"/>
      <c r="BX345" s="76"/>
      <c r="BY345" s="76"/>
      <c r="BZ345" s="76"/>
      <c r="CA345" s="76"/>
      <c r="CB345" s="77"/>
      <c r="CC345" s="76"/>
      <c r="CD345" s="77"/>
      <c r="CE345" s="76"/>
      <c r="CF345" s="76"/>
      <c r="CG345" s="76"/>
      <c r="CH345" s="76"/>
      <c r="CI345" s="76"/>
      <c r="CJ345" s="77"/>
      <c r="CK345" s="76"/>
      <c r="CL345" s="77"/>
      <c r="CM345" s="76"/>
      <c r="CN345" s="76"/>
      <c r="CO345" s="76"/>
      <c r="CP345" s="76"/>
      <c r="CQ345" s="76"/>
      <c r="CR345" s="78" t="str">
        <f t="shared" si="95"/>
        <v/>
      </c>
      <c r="CS345" s="79" t="str">
        <f t="shared" si="96"/>
        <v/>
      </c>
      <c r="CT345" s="79" t="str">
        <f t="shared" si="97"/>
        <v/>
      </c>
      <c r="CU345" s="79" t="str">
        <f t="shared" si="98"/>
        <v/>
      </c>
      <c r="CV345" s="79" t="str">
        <f t="shared" si="99"/>
        <v/>
      </c>
      <c r="CW345" s="79" t="str">
        <f t="shared" si="100"/>
        <v/>
      </c>
      <c r="CX345" s="79" t="str">
        <f t="shared" si="101"/>
        <v/>
      </c>
      <c r="CY345" s="79" t="str">
        <f t="shared" si="102"/>
        <v/>
      </c>
      <c r="CZ345" s="79" t="str">
        <f t="shared" si="103"/>
        <v/>
      </c>
      <c r="DA345" s="79" t="str">
        <f t="shared" si="104"/>
        <v/>
      </c>
      <c r="DB345" s="79" t="str">
        <f t="shared" si="105"/>
        <v/>
      </c>
      <c r="DC345" s="79" t="str">
        <f t="shared" si="106"/>
        <v/>
      </c>
      <c r="DD345" s="79" t="str">
        <f t="shared" si="107"/>
        <v/>
      </c>
      <c r="DE345" s="79" t="str">
        <f t="shared" si="108"/>
        <v/>
      </c>
      <c r="DF345" s="79" t="str">
        <f t="shared" si="109"/>
        <v/>
      </c>
      <c r="DG345" s="79" t="str">
        <f t="shared" si="110"/>
        <v/>
      </c>
      <c r="DH345" s="76"/>
      <c r="DI345" s="78"/>
      <c r="DJ345" s="76"/>
      <c r="DK345" s="77"/>
      <c r="DL345" s="77"/>
      <c r="DM345" s="77"/>
      <c r="DN345" s="80"/>
      <c r="DO345" s="80"/>
      <c r="DP345" s="92" t="str">
        <f>IF(Table1[Start Date]="","",IF(Table1[Start Date]&gt;42185,"",IF(AND(Table1[Leaving Date]&gt;1,Table1[Leaving Date]&lt;42095),"",1)))</f>
        <v/>
      </c>
      <c r="DQ345" s="92" t="str">
        <f>IF(Table1[Start Date]="","",IF(Table1[Start Date]&gt;42277,"",IF(AND(Table1[Leaving Date]&gt;1,Table1[Leaving Date]&lt;42186),"",1)))</f>
        <v/>
      </c>
      <c r="DR345" s="92" t="str">
        <f>IF(Table1[Start Date]="","",IF(Table1[Start Date]&gt;42369,"",IF(AND(Table1[Leaving Date]&gt;1,Table1[Leaving Date]&lt;42278),"",1)))</f>
        <v/>
      </c>
      <c r="DS345" s="92" t="str">
        <f>IF(Table1[Start Date]="","",IF(Table1[Start Date]&gt;42460,"",IF(AND(Table1[Leaving Date]&gt;1,Table1[Leaving Date]&lt;42370),"",1)))</f>
        <v/>
      </c>
      <c r="DT345" s="92" t="str">
        <f>IF(Table1[Start Date]="","",IF(Table1[Start Date]&gt;42551,"",IF(AND(Table1[Leaving Date]&gt;1,Table1[Leaving Date]&lt;42461),"",1)))</f>
        <v/>
      </c>
      <c r="DU345" s="92" t="str">
        <f>IF(Table1[Start Date]="","",IF(Table1[Start Date]&gt;42643,"",IF(AND(Table1[Leaving Date]&gt;1,Table1[Leaving Date]&lt;42552),"",1)))</f>
        <v/>
      </c>
      <c r="DV345" s="92" t="str">
        <f>IF(Table1[Start Date]="","",IF(Table1[Start Date]&gt;42735,"",IF(AND(Table1[Leaving Date]&gt;1,Table1[Leaving Date]&lt;42644),"",1)))</f>
        <v/>
      </c>
      <c r="DW345" s="92" t="str">
        <f>IF(Table1[Start Date]="","",IF(Table1[Start Date]&gt;42825,"",IF(AND(Table1[Leaving Date]&gt;1,Table1[Leaving Date]&lt;42736),"",1)))</f>
        <v/>
      </c>
      <c r="DX345"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345" s="44" t="e">
        <f>VLOOKUP(Table1[Referral Source],Lists!$G$2:$H$20,2,FALSE)</f>
        <v>#N/A</v>
      </c>
      <c r="DZ345" s="93" t="e">
        <f>SUM(Table1[Data Referral Quarter]+Table1[Data Referral Source])</f>
        <v>#N/A</v>
      </c>
      <c r="EA345" s="44" t="b">
        <f>IF(Table1[Referral Decision]="Accepted",100,IF(Table1[Referral Decision]="Rejected by Provider",200,IF(Table1[Referral Decision]="Rejected by Applicant",300)))</f>
        <v>0</v>
      </c>
      <c r="EB345" s="44">
        <f>SUM(Table1[Data Referral Quarter]+Table1[Data Referral Decision])</f>
        <v>0</v>
      </c>
      <c r="EC345" s="44" t="b">
        <f>IF(Table1[Start Date]&gt;42735,8000,IF(Table1[Start Date]&gt;42643,7000,IF(Table1[Start Date]&gt;42551,6000,IF(Table1[Start Date]&gt;42460,5000,IF(Table1[Start Date]&gt;42369,4000,IF(Table1[Start Date]&gt;42277,3000,IF(Table1[Start Date]&gt;42185,2000,IF(Table1[Start Date]&gt;42094,1000))))))))</f>
        <v>0</v>
      </c>
      <c r="ED345" s="44" t="str">
        <f>IF(Table1[Start Date]="","",IF(Table1[Current Local Authority]="Swindon",1,"2"))</f>
        <v/>
      </c>
      <c r="EE345" s="44" t="e">
        <f>SUM(Table1[Data Start Date]+Table1[Data Local Authority])</f>
        <v>#VALUE!</v>
      </c>
      <c r="EF345" s="44">
        <f>IF(Table1[Registered with GP]="Yes",1,0)</f>
        <v>0</v>
      </c>
      <c r="EG345" s="44">
        <f>SUM(Table1[Data Start Date]+Table1[Data GP Start])</f>
        <v>0</v>
      </c>
      <c r="EH345" s="44" t="str">
        <f>IF(Table1[EET]="NEET",1,IF(Table1[EET]="Education",2,IF(Table1[EET]="Employment",2,IF(Table1[EET]="Training",2,IF(Table1[EET]="Retired",3,"")))))</f>
        <v/>
      </c>
      <c r="EI345" s="44" t="e">
        <f>Table1[Data Start Date]+Table1[Data EET Start]</f>
        <v>#VALUE!</v>
      </c>
      <c r="EJ345" s="44" t="b">
        <f>IF(Table1[Leaving Date]&gt;42735,8000,IF(Table1[Leaving Date]&gt;42643,7000,IF(Table1[Leaving Date]&gt;42551,6000,IF(Table1[Leaving Date]&gt;42460,5000,IF(Table1[Leaving Date]&gt;42369,4000,IF(Table1[Leaving Date]&gt;42277,3000,IF(Table1[Leaving Date]&gt;42185,2000,IF(Table1[Leaving Date]&gt;42094,1000))))))))</f>
        <v>0</v>
      </c>
      <c r="EK345" s="44" t="e">
        <f>VLOOKUP(Table1[Reason for Leaving],Lists!$T$2:$U$15,2,FALSE)</f>
        <v>#N/A</v>
      </c>
      <c r="EL345" s="44" t="e">
        <f>SUM(Table1[Data Leavers Date]+Table1[Data Move On])</f>
        <v>#N/A</v>
      </c>
      <c r="EM345" s="44" t="b">
        <f>IF(Table1[Registered with GP2]="Yes",1,IF(Table1[Registered with GP2]="No",0,IF(Table1[Registered with GP]="Yes",1,IF(Table1[Registered with GP]="No",0))))</f>
        <v>0</v>
      </c>
      <c r="EN345" s="44">
        <f>SUM(Table1[Data Leavers Date]+Table1[Data GP End])</f>
        <v>0</v>
      </c>
      <c r="EO345" s="44" t="str">
        <f>IF(Table1[EET2]="NEET",1,IF(Table1[EET2]="Employment",2,IF(Table1[EET2]="Education",2,IF(Table1[EET2]="Training",2,IF(Table1[EET2]="Retired",3,IF(Table1[EET]="NEET",1,IF(Table1[EET]="Employment",2,IF(Table1[EET]="Education",2,IF(Table1[EET]="Training",2,IF(Table1[EET]="Retired",3,""))))))))))</f>
        <v/>
      </c>
      <c r="EP345" s="44" t="e">
        <f>+Table1[[#This Row],[Data Leavers Date]]+Table1[[#This Row],[Data EET End]]</f>
        <v>#VALUE!</v>
      </c>
      <c r="EQ345" s="44">
        <f>IF(Table1[Exit Form Received]="Yes",1,0)</f>
        <v>0</v>
      </c>
      <c r="ER345" s="44">
        <f>+Table1[[#This Row],[Data Leavers Date]]+Table1[[#This Row],[Data Exit Forms]]</f>
        <v>0</v>
      </c>
      <c r="ES345" s="44" t="str">
        <f>IF(Table1[Data Leavers Date]=1000,SUM(Table1[Leaving Date]-Table1[Start Date]),"")</f>
        <v/>
      </c>
      <c r="ET345" s="44" t="str">
        <f>IF(Table1[Data Leavers Date]=2000,SUM(Table1[Leaving Date]-Table1[Start Date]),"")</f>
        <v/>
      </c>
      <c r="EU345" s="44" t="str">
        <f>IF(Table1[Data Leavers Date]=3000,SUM(Table1[Leaving Date]-Table1[Start Date]),"")</f>
        <v/>
      </c>
      <c r="EV345" s="44" t="str">
        <f>IF(Table1[Data Leavers Date]=4000,SUM(Table1[Leaving Date]-Table1[Start Date]),"")</f>
        <v/>
      </c>
      <c r="EW345" s="44" t="str">
        <f>IF(Table1[Data Leavers Date]=5000,SUM(Table1[Leaving Date]-Table1[Start Date]),"")</f>
        <v/>
      </c>
      <c r="EX345" s="44" t="str">
        <f>IF(Table1[Data Leavers Date]=6000,SUM(Table1[Leaving Date]-Table1[Start Date]),"")</f>
        <v/>
      </c>
      <c r="EY345" s="44" t="str">
        <f>IF(Table1[Data Leavers Date]=7000,SUM(Table1[Leaving Date]-Table1[Start Date]),"")</f>
        <v/>
      </c>
      <c r="EZ345" s="44" t="str">
        <f>IF(Table1[Data Leavers Date]=8000,SUM(Table1[Leaving Date]-Table1[Start Date]),"")</f>
        <v/>
      </c>
      <c r="FA345" s="44" t="str">
        <f>IF(Table1[Date of Initial Assessment]="","",IF(AND(Table1[Start Date]&gt;42094,Table1[Start Date]&lt;42461),Table1[Motivation and Taking Responsibility],""))</f>
        <v/>
      </c>
      <c r="FB345" s="44" t="str">
        <f>IF(Table1[Date of Initial Assessment]="","",IF(AND(Table1[Start Date]&gt;42094,Table1[Start Date]&lt;42461),Table1[Self-Care and Living Skills],""))</f>
        <v/>
      </c>
      <c r="FC345" s="44" t="str">
        <f>IF(Table1[Date of Initial Assessment]="","",IF(AND(Table1[Start Date]&gt;42094,Table1[Start Date]&lt;42461),Table1[Managing Money and Personal Administration],""))</f>
        <v/>
      </c>
      <c r="FD345" s="44" t="str">
        <f>IF(Table1[Date of Initial Assessment]="","",IF(AND(Table1[Start Date]&gt;42094,Table1[Start Date]&lt;42461),Table1[Social Networks and Relationships],""))</f>
        <v/>
      </c>
      <c r="FE345" s="44" t="str">
        <f>IF(Table1[Date of Initial Assessment]="","",IF(AND(Table1[Start Date]&gt;42094,Table1[Start Date]&lt;42461),Table1[Drug and Alcohol Misuse],""))</f>
        <v/>
      </c>
      <c r="FF345" s="44" t="str">
        <f>IF(Table1[Date of Initial Assessment]="","",IF(AND(Table1[Start Date]&gt;42094,Table1[Start Date]&lt;42461),Table1[Physical Health],""))</f>
        <v/>
      </c>
      <c r="FG345" s="44" t="str">
        <f>IF(Table1[Date of Initial Assessment]="","",IF(AND(Table1[Start Date]&gt;42094,Table1[Start Date]&lt;42461),Table1[Emotional and Mental Health],""))</f>
        <v/>
      </c>
      <c r="FH345" s="44" t="str">
        <f>IF(Table1[Date of Initial Assessment]="","",IF(AND(Table1[Start Date]&gt;42094,Table1[Start Date]&lt;42461),Table1[Meaningful Use of Time],""))</f>
        <v/>
      </c>
      <c r="FI345" s="44" t="str">
        <f>IF(Table1[Date of Initial Assessment]="","",IF(AND(Table1[Start Date]&gt;42094,Table1[Start Date]&lt;42461),Table1[Managing Tenancy and Accommodation],""))</f>
        <v/>
      </c>
      <c r="FJ345" s="44" t="str">
        <f>IF(Table1[Date of Initial Assessment]="","",IF(AND(Table1[Start Date]&gt;42094,Table1[Start Date]&lt;42461),Table1[Offending],""))</f>
        <v/>
      </c>
      <c r="FK345" s="44" t="str">
        <f>IF(Table1[Leaving Date]="","",IF(Table1[Date of Initial Assessment]="","",IF(AND(Table1[Leaving Date]&gt;42094,Table1[Leaving Date]&lt;42461),IF(Table1[Date of Last Assessment]="",Table1[Motivation and Taking Responsibility],Table1[Motivation and Taking Responsibility2]),"")))</f>
        <v/>
      </c>
      <c r="FL345" s="44" t="str">
        <f>IF(Table1[Leaving Date]="","",IF(Table1[Date of Initial Assessment]="","",IF(AND(Table1[Leaving Date]&gt;42094,Table1[Leaving Date]&lt;42461),IF(Table1[Date of Last Assessment]="",Table1[Self-Care and Living Skills],Table1[Self-Care and Living Skills2]),"")))</f>
        <v/>
      </c>
      <c r="FM345" s="44" t="str">
        <f>IF(Table1[Leaving Date]="","",IF(Table1[Date of Initial Assessment]="","",IF(AND(Table1[Leaving Date]&gt;42094,Table1[Leaving Date]&lt;42461),IF(Table1[Date of Last Assessment]="",Table1[Managing Money and Personal Administration],Table1[Managing Money and Personal Administration2]),"")))</f>
        <v/>
      </c>
      <c r="FN345" s="44" t="str">
        <f>IF(Table1[Leaving Date]="","",IF(Table1[Date of Initial Assessment]="","",IF(AND(Table1[Leaving Date]&gt;42094,Table1[Leaving Date]&lt;42461),IF(Table1[Date of Last Assessment]="",Table1[Social Networks and Relationships],Table1[Social Networks and Relationships2]),"")))</f>
        <v/>
      </c>
      <c r="FO345" s="44" t="str">
        <f>IF(Table1[Leaving Date]="","",IF(Table1[Date of Initial Assessment]="","",IF(AND(Table1[Leaving Date]&gt;42094,Table1[Leaving Date]&lt;42461),IF(Table1[Date of Last Assessment]="",Table1[Drug and Alcohol Misuse],Table1[Drug and Alcohol Misuse2]),"")))</f>
        <v/>
      </c>
      <c r="FP345" s="44" t="str">
        <f>IF(Table1[Leaving Date]="","",IF(Table1[Date of Initial Assessment]="","",IF(AND(Table1[Leaving Date]&gt;42094,Table1[Leaving Date]&lt;42461),IF(Table1[Date of Last Assessment]="",Table1[Physical Health],Table1[Physical Health2]),"")))</f>
        <v/>
      </c>
      <c r="FQ345" s="44" t="str">
        <f>IF(Table1[Leaving Date]="","",IF(Table1[Date of Initial Assessment]="","",IF(AND(Table1[Leaving Date]&gt;42094,Table1[Leaving Date]&lt;42461),IF(Table1[Date of Last Assessment]="",Table1[Emotional and Mental Health],Table1[Emotional and Mental Health2]),"")))</f>
        <v/>
      </c>
      <c r="FR345" s="44" t="str">
        <f>IF(Table1[Leaving Date]="","",IF(Table1[Date of Initial Assessment]="","",IF(AND(Table1[Leaving Date]&gt;42094,Table1[Leaving Date]&lt;42461),IF(Table1[Date of Last Assessment]="",Table1[Meaningful Use of Time],Table1[Meaningful Use of Time2]),"")))</f>
        <v/>
      </c>
      <c r="FS345" s="44" t="str">
        <f>IF(Table1[Leaving Date]="","",IF(Table1[Date of Initial Assessment]="","",IF(AND(Table1[Leaving Date]&gt;42094,Table1[Leaving Date]&lt;42461),IF(Table1[Date of Last Assessment]="",Table1[Managing Tenancy and Accommodation],Table1[Managing Tenancy and Accommodation2]),"")))</f>
        <v/>
      </c>
      <c r="FT345" s="44" t="str">
        <f>IF(Table1[Leaving Date]="","",IF(Table1[Date of Initial Assessment]="","",IF(AND(Table1[Leaving Date]&gt;42094,Table1[Leaving Date]&lt;42461),IF(Table1[Date of Last Assessment]="",Table1[Offending],Table1[Offending2]),"")))</f>
        <v/>
      </c>
      <c r="FU345" s="44" t="str">
        <f>IF(Table1[Date of Initial Assessment]="","",IF(AND(Table1[Start Date]&gt;42460,Table1[Start Date]&lt;42826),Table1[Motivation and Taking Responsibility],""))</f>
        <v/>
      </c>
      <c r="FV345" s="44" t="str">
        <f>IF(Table1[Date of Initial Assessment]="","",IF(AND(Table1[Start Date]&gt;42460,Table1[Start Date]&lt;42826),Table1[Self-Care and Living Skills],""))</f>
        <v/>
      </c>
      <c r="FW345" s="44" t="str">
        <f>IF(Table1[Date of Initial Assessment]="","",IF(AND(Table1[Start Date]&gt;42460,Table1[Start Date]&lt;42826),Table1[Managing Money and Personal Administration],""))</f>
        <v/>
      </c>
      <c r="FX345" s="44" t="str">
        <f>IF(Table1[Date of Initial Assessment]="","",IF(AND(Table1[Start Date]&gt;42460,Table1[Start Date]&lt;42826),Table1[Social Networks and Relationships],""))</f>
        <v/>
      </c>
      <c r="FY345" s="44" t="str">
        <f>IF(Table1[Date of Initial Assessment]="","",IF(AND(Table1[Start Date]&gt;42460,Table1[Start Date]&lt;42826),Table1[Drug and Alcohol Misuse],""))</f>
        <v/>
      </c>
      <c r="FZ345" s="44" t="str">
        <f>IF(Table1[Date of Initial Assessment]="","",IF(AND(Table1[Start Date]&gt;42460,Table1[Start Date]&lt;42826),Table1[Physical Health],""))</f>
        <v/>
      </c>
      <c r="GA345" s="44" t="str">
        <f>IF(Table1[Date of Initial Assessment]="","",IF(AND(Table1[Start Date]&gt;42460,Table1[Start Date]&lt;42826),Table1[Emotional and Mental Health],""))</f>
        <v/>
      </c>
      <c r="GB345" s="44" t="str">
        <f>IF(Table1[Date of Initial Assessment]="","",IF(AND(Table1[Start Date]&gt;42460,Table1[Start Date]&lt;42826),Table1[Meaningful Use of Time],""))</f>
        <v/>
      </c>
      <c r="GC345" s="44" t="str">
        <f>IF(Table1[Date of Initial Assessment]="","",IF(AND(Table1[Start Date]&gt;42460,Table1[Start Date]&lt;42826),Table1[Managing Tenancy and Accommodation],""))</f>
        <v/>
      </c>
      <c r="GD345" s="44" t="str">
        <f>IF(Table1[Date of Initial Assessment]="","",IF(AND(Table1[Start Date]&gt;42460,Table1[Start Date]&lt;42826),Table1[Offending],""))</f>
        <v/>
      </c>
      <c r="GE345" s="44" t="str">
        <f>IF(Table1[Leaving Date]="","",IF(AND(Table1[Leaving Date]&gt;42460,Table1[Leaving Date]&lt;42826),IF(Table1[Date of Last Assessment]="",Table1[Motivation and Taking Responsibility],Table1[Motivation and Taking Responsibility2]),""))</f>
        <v/>
      </c>
      <c r="GF345" s="44" t="str">
        <f>IF(Table1[Leaving Date]="","",IF(AND(Table1[Leaving Date]&gt;42460,Table1[Leaving Date]&lt;42826),IF(Table1[Date of Last Assessment]="",Table1[Self-Care and Living Skills],Table1[Self-Care and Living Skills2]),""))</f>
        <v/>
      </c>
      <c r="GG345" s="44" t="str">
        <f>IF(Table1[Leaving Date]="","",IF(AND(Table1[Leaving Date]&gt;42460,Table1[Leaving Date]&lt;42826),IF(Table1[Date of Last Assessment]="",Table1[Managing Money and Personal Administration],Table1[Managing Money and Personal Administration2]),""))</f>
        <v/>
      </c>
      <c r="GH345" s="44" t="str">
        <f>IF(Table1[Leaving Date]="","",IF(AND(Table1[Leaving Date]&gt;42460,Table1[Leaving Date]&lt;42826),IF(Table1[Date of Last Assessment]="",Table1[Social Networks and Relationships],Table1[Social Networks and Relationships2]),""))</f>
        <v/>
      </c>
      <c r="GI345" s="44" t="str">
        <f>IF(Table1[Leaving Date]="","",IF(AND(Table1[Leaving Date]&gt;42460,Table1[Leaving Date]&lt;42826),IF(Table1[Date of Last Assessment]="",Table1[Drug and Alcohol Misuse],Table1[Drug and Alcohol Misuse2]),""))</f>
        <v/>
      </c>
      <c r="GJ345" s="44" t="str">
        <f>IF(Table1[Leaving Date]="","",IF(AND(Table1[Leaving Date]&gt;42460,Table1[Leaving Date]&lt;42826),IF(Table1[Date of Last Assessment]="",Table1[Physical Health],Table1[Physical Health2]),""))</f>
        <v/>
      </c>
      <c r="GK345" s="44" t="str">
        <f>IF(Table1[Leaving Date]="","",IF(AND(Table1[Leaving Date]&gt;42460,Table1[Leaving Date]&lt;42826),IF(Table1[Date of Last Assessment]="",Table1[Emotional and Mental Health],Table1[Emotional and Mental Health2]),""))</f>
        <v/>
      </c>
      <c r="GL345" s="44" t="str">
        <f>IF(Table1[Leaving Date]="","",IF(AND(Table1[Leaving Date]&gt;42460,Table1[Leaving Date]&lt;42826),IF(Table1[Date of Last Assessment]="",Table1[Meaningful Use of Time],Table1[Meaningful Use of Time2]),""))</f>
        <v/>
      </c>
      <c r="GM345" s="44" t="str">
        <f>IF(Table1[Leaving Date]="","",IF(AND(Table1[Leaving Date]&gt;42460,Table1[Leaving Date]&lt;42826),IF(Table1[Date of Last Assessment]="",Table1[Managing Tenancy and Accommodation],Table1[Managing Tenancy and Accommodation2]),""))</f>
        <v/>
      </c>
      <c r="GN345" s="44" t="str">
        <f>IF(Table1[Leaving Date]="","",IF(AND(Table1[Leaving Date]&gt;42460,Table1[Leaving Date]&lt;42826),IF(Table1[Date of Last Assessment]="",Table1[Offending],Table1[Offending2]),""))</f>
        <v/>
      </c>
    </row>
    <row r="346" spans="2:196" ht="20.100000000000001" customHeight="1" x14ac:dyDescent="0.2">
      <c r="B346" s="86">
        <f>+'Service Data'!$C$5:$C$5</f>
        <v>0</v>
      </c>
      <c r="C346" s="86"/>
      <c r="D346" s="86"/>
      <c r="E346" s="86"/>
      <c r="F346" s="86"/>
      <c r="G346" s="86"/>
      <c r="H346" s="6"/>
      <c r="I346" s="99" t="str">
        <f ca="1">IF(Table1[[#This Row],[Date of Birth]]="","",SUM(TODAY()-Table1[[#This Row],[Date of Birth]])/365)</f>
        <v/>
      </c>
      <c r="L346" s="86"/>
      <c r="M346" s="77"/>
      <c r="N346" s="86"/>
      <c r="O346" s="86"/>
      <c r="P346" s="91"/>
      <c r="Q346" s="86"/>
      <c r="R346" s="77"/>
      <c r="S346" s="77"/>
      <c r="T346" s="68"/>
      <c r="U346" s="68"/>
      <c r="V346" s="67"/>
      <c r="W346" s="67"/>
      <c r="X346" s="67"/>
      <c r="Y346" s="67"/>
      <c r="Z346" s="67"/>
      <c r="AA346" s="67"/>
      <c r="AB346" s="67"/>
      <c r="AC346" s="67"/>
      <c r="AD346" s="67"/>
      <c r="AE346" s="67"/>
      <c r="AF346" s="67"/>
      <c r="AG346" s="67"/>
      <c r="AH346" s="67"/>
      <c r="AI346" s="67"/>
      <c r="AJ346" s="67"/>
      <c r="AK346" s="67"/>
      <c r="AL346" s="67"/>
      <c r="AM346" s="67"/>
      <c r="AN346" s="77"/>
      <c r="AO346" s="76"/>
      <c r="AP346" s="77"/>
      <c r="AQ346" s="76"/>
      <c r="AR346" s="76"/>
      <c r="AS346" s="76"/>
      <c r="AT346" s="76"/>
      <c r="AU346" s="76"/>
      <c r="AV346" s="77"/>
      <c r="AW346" s="76"/>
      <c r="AX346" s="77"/>
      <c r="AY346" s="76"/>
      <c r="AZ346" s="76"/>
      <c r="BA346" s="76"/>
      <c r="BB346" s="76"/>
      <c r="BC346" s="76"/>
      <c r="BD346" s="77"/>
      <c r="BE346" s="76"/>
      <c r="BF346" s="77"/>
      <c r="BG346" s="76"/>
      <c r="BH346" s="76"/>
      <c r="BI346" s="76"/>
      <c r="BJ346" s="76"/>
      <c r="BK346" s="76"/>
      <c r="BL346" s="77"/>
      <c r="BM346" s="76"/>
      <c r="BN346" s="77"/>
      <c r="BO346" s="76"/>
      <c r="BP346" s="76"/>
      <c r="BQ346" s="76"/>
      <c r="BR346" s="76"/>
      <c r="BS346" s="76"/>
      <c r="BT346" s="77"/>
      <c r="BU346" s="76"/>
      <c r="BV346" s="77"/>
      <c r="BW346" s="76"/>
      <c r="BX346" s="76"/>
      <c r="BY346" s="76"/>
      <c r="BZ346" s="76"/>
      <c r="CA346" s="76"/>
      <c r="CB346" s="77"/>
      <c r="CC346" s="76"/>
      <c r="CD346" s="77"/>
      <c r="CE346" s="76"/>
      <c r="CF346" s="76"/>
      <c r="CG346" s="76"/>
      <c r="CH346" s="76"/>
      <c r="CI346" s="76"/>
      <c r="CJ346" s="77"/>
      <c r="CK346" s="76"/>
      <c r="CL346" s="77"/>
      <c r="CM346" s="76"/>
      <c r="CN346" s="76"/>
      <c r="CO346" s="76"/>
      <c r="CP346" s="76"/>
      <c r="CQ346" s="76"/>
      <c r="CR346" s="78" t="str">
        <f t="shared" si="95"/>
        <v/>
      </c>
      <c r="CS346" s="79" t="str">
        <f t="shared" si="96"/>
        <v/>
      </c>
      <c r="CT346" s="79" t="str">
        <f t="shared" si="97"/>
        <v/>
      </c>
      <c r="CU346" s="79" t="str">
        <f t="shared" si="98"/>
        <v/>
      </c>
      <c r="CV346" s="79" t="str">
        <f t="shared" si="99"/>
        <v/>
      </c>
      <c r="CW346" s="79" t="str">
        <f t="shared" si="100"/>
        <v/>
      </c>
      <c r="CX346" s="79" t="str">
        <f t="shared" si="101"/>
        <v/>
      </c>
      <c r="CY346" s="79" t="str">
        <f t="shared" si="102"/>
        <v/>
      </c>
      <c r="CZ346" s="79" t="str">
        <f t="shared" si="103"/>
        <v/>
      </c>
      <c r="DA346" s="79" t="str">
        <f t="shared" si="104"/>
        <v/>
      </c>
      <c r="DB346" s="79" t="str">
        <f t="shared" si="105"/>
        <v/>
      </c>
      <c r="DC346" s="79" t="str">
        <f t="shared" si="106"/>
        <v/>
      </c>
      <c r="DD346" s="79" t="str">
        <f t="shared" si="107"/>
        <v/>
      </c>
      <c r="DE346" s="79" t="str">
        <f t="shared" si="108"/>
        <v/>
      </c>
      <c r="DF346" s="79" t="str">
        <f t="shared" si="109"/>
        <v/>
      </c>
      <c r="DG346" s="79" t="str">
        <f t="shared" si="110"/>
        <v/>
      </c>
      <c r="DH346" s="76"/>
      <c r="DI346" s="78"/>
      <c r="DJ346" s="76"/>
      <c r="DK346" s="77"/>
      <c r="DL346" s="77"/>
      <c r="DM346" s="77"/>
      <c r="DN346" s="80"/>
      <c r="DO346" s="80"/>
      <c r="DP346" s="92" t="str">
        <f>IF(Table1[Start Date]="","",IF(Table1[Start Date]&gt;42185,"",IF(AND(Table1[Leaving Date]&gt;1,Table1[Leaving Date]&lt;42095),"",1)))</f>
        <v/>
      </c>
      <c r="DQ346" s="92" t="str">
        <f>IF(Table1[Start Date]="","",IF(Table1[Start Date]&gt;42277,"",IF(AND(Table1[Leaving Date]&gt;1,Table1[Leaving Date]&lt;42186),"",1)))</f>
        <v/>
      </c>
      <c r="DR346" s="92" t="str">
        <f>IF(Table1[Start Date]="","",IF(Table1[Start Date]&gt;42369,"",IF(AND(Table1[Leaving Date]&gt;1,Table1[Leaving Date]&lt;42278),"",1)))</f>
        <v/>
      </c>
      <c r="DS346" s="92" t="str">
        <f>IF(Table1[Start Date]="","",IF(Table1[Start Date]&gt;42460,"",IF(AND(Table1[Leaving Date]&gt;1,Table1[Leaving Date]&lt;42370),"",1)))</f>
        <v/>
      </c>
      <c r="DT346" s="92" t="str">
        <f>IF(Table1[Start Date]="","",IF(Table1[Start Date]&gt;42551,"",IF(AND(Table1[Leaving Date]&gt;1,Table1[Leaving Date]&lt;42461),"",1)))</f>
        <v/>
      </c>
      <c r="DU346" s="92" t="str">
        <f>IF(Table1[Start Date]="","",IF(Table1[Start Date]&gt;42643,"",IF(AND(Table1[Leaving Date]&gt;1,Table1[Leaving Date]&lt;42552),"",1)))</f>
        <v/>
      </c>
      <c r="DV346" s="92" t="str">
        <f>IF(Table1[Start Date]="","",IF(Table1[Start Date]&gt;42735,"",IF(AND(Table1[Leaving Date]&gt;1,Table1[Leaving Date]&lt;42644),"",1)))</f>
        <v/>
      </c>
      <c r="DW346" s="92" t="str">
        <f>IF(Table1[Start Date]="","",IF(Table1[Start Date]&gt;42825,"",IF(AND(Table1[Leaving Date]&gt;1,Table1[Leaving Date]&lt;42736),"",1)))</f>
        <v/>
      </c>
      <c r="DX346"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346" s="44" t="e">
        <f>VLOOKUP(Table1[Referral Source],Lists!$G$2:$H$20,2,FALSE)</f>
        <v>#N/A</v>
      </c>
      <c r="DZ346" s="93" t="e">
        <f>SUM(Table1[Data Referral Quarter]+Table1[Data Referral Source])</f>
        <v>#N/A</v>
      </c>
      <c r="EA346" s="44" t="b">
        <f>IF(Table1[Referral Decision]="Accepted",100,IF(Table1[Referral Decision]="Rejected by Provider",200,IF(Table1[Referral Decision]="Rejected by Applicant",300)))</f>
        <v>0</v>
      </c>
      <c r="EB346" s="44">
        <f>SUM(Table1[Data Referral Quarter]+Table1[Data Referral Decision])</f>
        <v>0</v>
      </c>
      <c r="EC346" s="44" t="b">
        <f>IF(Table1[Start Date]&gt;42735,8000,IF(Table1[Start Date]&gt;42643,7000,IF(Table1[Start Date]&gt;42551,6000,IF(Table1[Start Date]&gt;42460,5000,IF(Table1[Start Date]&gt;42369,4000,IF(Table1[Start Date]&gt;42277,3000,IF(Table1[Start Date]&gt;42185,2000,IF(Table1[Start Date]&gt;42094,1000))))))))</f>
        <v>0</v>
      </c>
      <c r="ED346" s="44" t="str">
        <f>IF(Table1[Start Date]="","",IF(Table1[Current Local Authority]="Swindon",1,"2"))</f>
        <v/>
      </c>
      <c r="EE346" s="44" t="e">
        <f>SUM(Table1[Data Start Date]+Table1[Data Local Authority])</f>
        <v>#VALUE!</v>
      </c>
      <c r="EF346" s="44">
        <f>IF(Table1[Registered with GP]="Yes",1,0)</f>
        <v>0</v>
      </c>
      <c r="EG346" s="44">
        <f>SUM(Table1[Data Start Date]+Table1[Data GP Start])</f>
        <v>0</v>
      </c>
      <c r="EH346" s="44" t="str">
        <f>IF(Table1[EET]="NEET",1,IF(Table1[EET]="Education",2,IF(Table1[EET]="Employment",2,IF(Table1[EET]="Training",2,IF(Table1[EET]="Retired",3,"")))))</f>
        <v/>
      </c>
      <c r="EI346" s="44" t="e">
        <f>Table1[Data Start Date]+Table1[Data EET Start]</f>
        <v>#VALUE!</v>
      </c>
      <c r="EJ346" s="44" t="b">
        <f>IF(Table1[Leaving Date]&gt;42735,8000,IF(Table1[Leaving Date]&gt;42643,7000,IF(Table1[Leaving Date]&gt;42551,6000,IF(Table1[Leaving Date]&gt;42460,5000,IF(Table1[Leaving Date]&gt;42369,4000,IF(Table1[Leaving Date]&gt;42277,3000,IF(Table1[Leaving Date]&gt;42185,2000,IF(Table1[Leaving Date]&gt;42094,1000))))))))</f>
        <v>0</v>
      </c>
      <c r="EK346" s="44" t="e">
        <f>VLOOKUP(Table1[Reason for Leaving],Lists!$T$2:$U$15,2,FALSE)</f>
        <v>#N/A</v>
      </c>
      <c r="EL346" s="44" t="e">
        <f>SUM(Table1[Data Leavers Date]+Table1[Data Move On])</f>
        <v>#N/A</v>
      </c>
      <c r="EM346" s="44" t="b">
        <f>IF(Table1[Registered with GP2]="Yes",1,IF(Table1[Registered with GP2]="No",0,IF(Table1[Registered with GP]="Yes",1,IF(Table1[Registered with GP]="No",0))))</f>
        <v>0</v>
      </c>
      <c r="EN346" s="44">
        <f>SUM(Table1[Data Leavers Date]+Table1[Data GP End])</f>
        <v>0</v>
      </c>
      <c r="EO346" s="44" t="str">
        <f>IF(Table1[EET2]="NEET",1,IF(Table1[EET2]="Employment",2,IF(Table1[EET2]="Education",2,IF(Table1[EET2]="Training",2,IF(Table1[EET2]="Retired",3,IF(Table1[EET]="NEET",1,IF(Table1[EET]="Employment",2,IF(Table1[EET]="Education",2,IF(Table1[EET]="Training",2,IF(Table1[EET]="Retired",3,""))))))))))</f>
        <v/>
      </c>
      <c r="EP346" s="44" t="e">
        <f>+Table1[[#This Row],[Data Leavers Date]]+Table1[[#This Row],[Data EET End]]</f>
        <v>#VALUE!</v>
      </c>
      <c r="EQ346" s="44">
        <f>IF(Table1[Exit Form Received]="Yes",1,0)</f>
        <v>0</v>
      </c>
      <c r="ER346" s="44">
        <f>+Table1[[#This Row],[Data Leavers Date]]+Table1[[#This Row],[Data Exit Forms]]</f>
        <v>0</v>
      </c>
      <c r="ES346" s="44" t="str">
        <f>IF(Table1[Data Leavers Date]=1000,SUM(Table1[Leaving Date]-Table1[Start Date]),"")</f>
        <v/>
      </c>
      <c r="ET346" s="44" t="str">
        <f>IF(Table1[Data Leavers Date]=2000,SUM(Table1[Leaving Date]-Table1[Start Date]),"")</f>
        <v/>
      </c>
      <c r="EU346" s="44" t="str">
        <f>IF(Table1[Data Leavers Date]=3000,SUM(Table1[Leaving Date]-Table1[Start Date]),"")</f>
        <v/>
      </c>
      <c r="EV346" s="44" t="str">
        <f>IF(Table1[Data Leavers Date]=4000,SUM(Table1[Leaving Date]-Table1[Start Date]),"")</f>
        <v/>
      </c>
      <c r="EW346" s="44" t="str">
        <f>IF(Table1[Data Leavers Date]=5000,SUM(Table1[Leaving Date]-Table1[Start Date]),"")</f>
        <v/>
      </c>
      <c r="EX346" s="44" t="str">
        <f>IF(Table1[Data Leavers Date]=6000,SUM(Table1[Leaving Date]-Table1[Start Date]),"")</f>
        <v/>
      </c>
      <c r="EY346" s="44" t="str">
        <f>IF(Table1[Data Leavers Date]=7000,SUM(Table1[Leaving Date]-Table1[Start Date]),"")</f>
        <v/>
      </c>
      <c r="EZ346" s="44" t="str">
        <f>IF(Table1[Data Leavers Date]=8000,SUM(Table1[Leaving Date]-Table1[Start Date]),"")</f>
        <v/>
      </c>
      <c r="FA346" s="44" t="str">
        <f>IF(Table1[Date of Initial Assessment]="","",IF(AND(Table1[Start Date]&gt;42094,Table1[Start Date]&lt;42461),Table1[Motivation and Taking Responsibility],""))</f>
        <v/>
      </c>
      <c r="FB346" s="44" t="str">
        <f>IF(Table1[Date of Initial Assessment]="","",IF(AND(Table1[Start Date]&gt;42094,Table1[Start Date]&lt;42461),Table1[Self-Care and Living Skills],""))</f>
        <v/>
      </c>
      <c r="FC346" s="44" t="str">
        <f>IF(Table1[Date of Initial Assessment]="","",IF(AND(Table1[Start Date]&gt;42094,Table1[Start Date]&lt;42461),Table1[Managing Money and Personal Administration],""))</f>
        <v/>
      </c>
      <c r="FD346" s="44" t="str">
        <f>IF(Table1[Date of Initial Assessment]="","",IF(AND(Table1[Start Date]&gt;42094,Table1[Start Date]&lt;42461),Table1[Social Networks and Relationships],""))</f>
        <v/>
      </c>
      <c r="FE346" s="44" t="str">
        <f>IF(Table1[Date of Initial Assessment]="","",IF(AND(Table1[Start Date]&gt;42094,Table1[Start Date]&lt;42461),Table1[Drug and Alcohol Misuse],""))</f>
        <v/>
      </c>
      <c r="FF346" s="44" t="str">
        <f>IF(Table1[Date of Initial Assessment]="","",IF(AND(Table1[Start Date]&gt;42094,Table1[Start Date]&lt;42461),Table1[Physical Health],""))</f>
        <v/>
      </c>
      <c r="FG346" s="44" t="str">
        <f>IF(Table1[Date of Initial Assessment]="","",IF(AND(Table1[Start Date]&gt;42094,Table1[Start Date]&lt;42461),Table1[Emotional and Mental Health],""))</f>
        <v/>
      </c>
      <c r="FH346" s="44" t="str">
        <f>IF(Table1[Date of Initial Assessment]="","",IF(AND(Table1[Start Date]&gt;42094,Table1[Start Date]&lt;42461),Table1[Meaningful Use of Time],""))</f>
        <v/>
      </c>
      <c r="FI346" s="44" t="str">
        <f>IF(Table1[Date of Initial Assessment]="","",IF(AND(Table1[Start Date]&gt;42094,Table1[Start Date]&lt;42461),Table1[Managing Tenancy and Accommodation],""))</f>
        <v/>
      </c>
      <c r="FJ346" s="44" t="str">
        <f>IF(Table1[Date of Initial Assessment]="","",IF(AND(Table1[Start Date]&gt;42094,Table1[Start Date]&lt;42461),Table1[Offending],""))</f>
        <v/>
      </c>
      <c r="FK346" s="44" t="str">
        <f>IF(Table1[Leaving Date]="","",IF(Table1[Date of Initial Assessment]="","",IF(AND(Table1[Leaving Date]&gt;42094,Table1[Leaving Date]&lt;42461),IF(Table1[Date of Last Assessment]="",Table1[Motivation and Taking Responsibility],Table1[Motivation and Taking Responsibility2]),"")))</f>
        <v/>
      </c>
      <c r="FL346" s="44" t="str">
        <f>IF(Table1[Leaving Date]="","",IF(Table1[Date of Initial Assessment]="","",IF(AND(Table1[Leaving Date]&gt;42094,Table1[Leaving Date]&lt;42461),IF(Table1[Date of Last Assessment]="",Table1[Self-Care and Living Skills],Table1[Self-Care and Living Skills2]),"")))</f>
        <v/>
      </c>
      <c r="FM346" s="44" t="str">
        <f>IF(Table1[Leaving Date]="","",IF(Table1[Date of Initial Assessment]="","",IF(AND(Table1[Leaving Date]&gt;42094,Table1[Leaving Date]&lt;42461),IF(Table1[Date of Last Assessment]="",Table1[Managing Money and Personal Administration],Table1[Managing Money and Personal Administration2]),"")))</f>
        <v/>
      </c>
      <c r="FN346" s="44" t="str">
        <f>IF(Table1[Leaving Date]="","",IF(Table1[Date of Initial Assessment]="","",IF(AND(Table1[Leaving Date]&gt;42094,Table1[Leaving Date]&lt;42461),IF(Table1[Date of Last Assessment]="",Table1[Social Networks and Relationships],Table1[Social Networks and Relationships2]),"")))</f>
        <v/>
      </c>
      <c r="FO346" s="44" t="str">
        <f>IF(Table1[Leaving Date]="","",IF(Table1[Date of Initial Assessment]="","",IF(AND(Table1[Leaving Date]&gt;42094,Table1[Leaving Date]&lt;42461),IF(Table1[Date of Last Assessment]="",Table1[Drug and Alcohol Misuse],Table1[Drug and Alcohol Misuse2]),"")))</f>
        <v/>
      </c>
      <c r="FP346" s="44" t="str">
        <f>IF(Table1[Leaving Date]="","",IF(Table1[Date of Initial Assessment]="","",IF(AND(Table1[Leaving Date]&gt;42094,Table1[Leaving Date]&lt;42461),IF(Table1[Date of Last Assessment]="",Table1[Physical Health],Table1[Physical Health2]),"")))</f>
        <v/>
      </c>
      <c r="FQ346" s="44" t="str">
        <f>IF(Table1[Leaving Date]="","",IF(Table1[Date of Initial Assessment]="","",IF(AND(Table1[Leaving Date]&gt;42094,Table1[Leaving Date]&lt;42461),IF(Table1[Date of Last Assessment]="",Table1[Emotional and Mental Health],Table1[Emotional and Mental Health2]),"")))</f>
        <v/>
      </c>
      <c r="FR346" s="44" t="str">
        <f>IF(Table1[Leaving Date]="","",IF(Table1[Date of Initial Assessment]="","",IF(AND(Table1[Leaving Date]&gt;42094,Table1[Leaving Date]&lt;42461),IF(Table1[Date of Last Assessment]="",Table1[Meaningful Use of Time],Table1[Meaningful Use of Time2]),"")))</f>
        <v/>
      </c>
      <c r="FS346" s="44" t="str">
        <f>IF(Table1[Leaving Date]="","",IF(Table1[Date of Initial Assessment]="","",IF(AND(Table1[Leaving Date]&gt;42094,Table1[Leaving Date]&lt;42461),IF(Table1[Date of Last Assessment]="",Table1[Managing Tenancy and Accommodation],Table1[Managing Tenancy and Accommodation2]),"")))</f>
        <v/>
      </c>
      <c r="FT346" s="44" t="str">
        <f>IF(Table1[Leaving Date]="","",IF(Table1[Date of Initial Assessment]="","",IF(AND(Table1[Leaving Date]&gt;42094,Table1[Leaving Date]&lt;42461),IF(Table1[Date of Last Assessment]="",Table1[Offending],Table1[Offending2]),"")))</f>
        <v/>
      </c>
      <c r="FU346" s="44" t="str">
        <f>IF(Table1[Date of Initial Assessment]="","",IF(AND(Table1[Start Date]&gt;42460,Table1[Start Date]&lt;42826),Table1[Motivation and Taking Responsibility],""))</f>
        <v/>
      </c>
      <c r="FV346" s="44" t="str">
        <f>IF(Table1[Date of Initial Assessment]="","",IF(AND(Table1[Start Date]&gt;42460,Table1[Start Date]&lt;42826),Table1[Self-Care and Living Skills],""))</f>
        <v/>
      </c>
      <c r="FW346" s="44" t="str">
        <f>IF(Table1[Date of Initial Assessment]="","",IF(AND(Table1[Start Date]&gt;42460,Table1[Start Date]&lt;42826),Table1[Managing Money and Personal Administration],""))</f>
        <v/>
      </c>
      <c r="FX346" s="44" t="str">
        <f>IF(Table1[Date of Initial Assessment]="","",IF(AND(Table1[Start Date]&gt;42460,Table1[Start Date]&lt;42826),Table1[Social Networks and Relationships],""))</f>
        <v/>
      </c>
      <c r="FY346" s="44" t="str">
        <f>IF(Table1[Date of Initial Assessment]="","",IF(AND(Table1[Start Date]&gt;42460,Table1[Start Date]&lt;42826),Table1[Drug and Alcohol Misuse],""))</f>
        <v/>
      </c>
      <c r="FZ346" s="44" t="str">
        <f>IF(Table1[Date of Initial Assessment]="","",IF(AND(Table1[Start Date]&gt;42460,Table1[Start Date]&lt;42826),Table1[Physical Health],""))</f>
        <v/>
      </c>
      <c r="GA346" s="44" t="str">
        <f>IF(Table1[Date of Initial Assessment]="","",IF(AND(Table1[Start Date]&gt;42460,Table1[Start Date]&lt;42826),Table1[Emotional and Mental Health],""))</f>
        <v/>
      </c>
      <c r="GB346" s="44" t="str">
        <f>IF(Table1[Date of Initial Assessment]="","",IF(AND(Table1[Start Date]&gt;42460,Table1[Start Date]&lt;42826),Table1[Meaningful Use of Time],""))</f>
        <v/>
      </c>
      <c r="GC346" s="44" t="str">
        <f>IF(Table1[Date of Initial Assessment]="","",IF(AND(Table1[Start Date]&gt;42460,Table1[Start Date]&lt;42826),Table1[Managing Tenancy and Accommodation],""))</f>
        <v/>
      </c>
      <c r="GD346" s="44" t="str">
        <f>IF(Table1[Date of Initial Assessment]="","",IF(AND(Table1[Start Date]&gt;42460,Table1[Start Date]&lt;42826),Table1[Offending],""))</f>
        <v/>
      </c>
      <c r="GE346" s="44" t="str">
        <f>IF(Table1[Leaving Date]="","",IF(AND(Table1[Leaving Date]&gt;42460,Table1[Leaving Date]&lt;42826),IF(Table1[Date of Last Assessment]="",Table1[Motivation and Taking Responsibility],Table1[Motivation and Taking Responsibility2]),""))</f>
        <v/>
      </c>
      <c r="GF346" s="44" t="str">
        <f>IF(Table1[Leaving Date]="","",IF(AND(Table1[Leaving Date]&gt;42460,Table1[Leaving Date]&lt;42826),IF(Table1[Date of Last Assessment]="",Table1[Self-Care and Living Skills],Table1[Self-Care and Living Skills2]),""))</f>
        <v/>
      </c>
      <c r="GG346" s="44" t="str">
        <f>IF(Table1[Leaving Date]="","",IF(AND(Table1[Leaving Date]&gt;42460,Table1[Leaving Date]&lt;42826),IF(Table1[Date of Last Assessment]="",Table1[Managing Money and Personal Administration],Table1[Managing Money and Personal Administration2]),""))</f>
        <v/>
      </c>
      <c r="GH346" s="44" t="str">
        <f>IF(Table1[Leaving Date]="","",IF(AND(Table1[Leaving Date]&gt;42460,Table1[Leaving Date]&lt;42826),IF(Table1[Date of Last Assessment]="",Table1[Social Networks and Relationships],Table1[Social Networks and Relationships2]),""))</f>
        <v/>
      </c>
      <c r="GI346" s="44" t="str">
        <f>IF(Table1[Leaving Date]="","",IF(AND(Table1[Leaving Date]&gt;42460,Table1[Leaving Date]&lt;42826),IF(Table1[Date of Last Assessment]="",Table1[Drug and Alcohol Misuse],Table1[Drug and Alcohol Misuse2]),""))</f>
        <v/>
      </c>
      <c r="GJ346" s="44" t="str">
        <f>IF(Table1[Leaving Date]="","",IF(AND(Table1[Leaving Date]&gt;42460,Table1[Leaving Date]&lt;42826),IF(Table1[Date of Last Assessment]="",Table1[Physical Health],Table1[Physical Health2]),""))</f>
        <v/>
      </c>
      <c r="GK346" s="44" t="str">
        <f>IF(Table1[Leaving Date]="","",IF(AND(Table1[Leaving Date]&gt;42460,Table1[Leaving Date]&lt;42826),IF(Table1[Date of Last Assessment]="",Table1[Emotional and Mental Health],Table1[Emotional and Mental Health2]),""))</f>
        <v/>
      </c>
      <c r="GL346" s="44" t="str">
        <f>IF(Table1[Leaving Date]="","",IF(AND(Table1[Leaving Date]&gt;42460,Table1[Leaving Date]&lt;42826),IF(Table1[Date of Last Assessment]="",Table1[Meaningful Use of Time],Table1[Meaningful Use of Time2]),""))</f>
        <v/>
      </c>
      <c r="GM346" s="44" t="str">
        <f>IF(Table1[Leaving Date]="","",IF(AND(Table1[Leaving Date]&gt;42460,Table1[Leaving Date]&lt;42826),IF(Table1[Date of Last Assessment]="",Table1[Managing Tenancy and Accommodation],Table1[Managing Tenancy and Accommodation2]),""))</f>
        <v/>
      </c>
      <c r="GN346" s="44" t="str">
        <f>IF(Table1[Leaving Date]="","",IF(AND(Table1[Leaving Date]&gt;42460,Table1[Leaving Date]&lt;42826),IF(Table1[Date of Last Assessment]="",Table1[Offending],Table1[Offending2]),""))</f>
        <v/>
      </c>
    </row>
    <row r="347" spans="2:196" ht="20.100000000000001" customHeight="1" x14ac:dyDescent="0.2">
      <c r="B347" s="86">
        <f>+'Service Data'!$C$5:$C$5</f>
        <v>0</v>
      </c>
      <c r="C347" s="86"/>
      <c r="D347" s="86"/>
      <c r="E347" s="86"/>
      <c r="F347" s="86"/>
      <c r="G347" s="86"/>
      <c r="H347" s="6"/>
      <c r="I347" s="99" t="str">
        <f ca="1">IF(Table1[[#This Row],[Date of Birth]]="","",SUM(TODAY()-Table1[[#This Row],[Date of Birth]])/365)</f>
        <v/>
      </c>
      <c r="L347" s="86"/>
      <c r="M347" s="77"/>
      <c r="N347" s="86"/>
      <c r="O347" s="86"/>
      <c r="P347" s="91"/>
      <c r="Q347" s="86"/>
      <c r="R347" s="77"/>
      <c r="S347" s="77"/>
      <c r="T347" s="68"/>
      <c r="U347" s="68"/>
      <c r="V347" s="67"/>
      <c r="W347" s="67"/>
      <c r="X347" s="67"/>
      <c r="Y347" s="67"/>
      <c r="Z347" s="67"/>
      <c r="AA347" s="67"/>
      <c r="AB347" s="67"/>
      <c r="AC347" s="67"/>
      <c r="AD347" s="67"/>
      <c r="AE347" s="67"/>
      <c r="AF347" s="67"/>
      <c r="AG347" s="67"/>
      <c r="AH347" s="67"/>
      <c r="AI347" s="67"/>
      <c r="AJ347" s="67"/>
      <c r="AK347" s="67"/>
      <c r="AL347" s="67"/>
      <c r="AM347" s="67"/>
      <c r="AN347" s="77"/>
      <c r="AO347" s="76"/>
      <c r="AP347" s="77"/>
      <c r="AQ347" s="76"/>
      <c r="AR347" s="76"/>
      <c r="AS347" s="76"/>
      <c r="AT347" s="76"/>
      <c r="AU347" s="76"/>
      <c r="AV347" s="77"/>
      <c r="AW347" s="76"/>
      <c r="AX347" s="77"/>
      <c r="AY347" s="76"/>
      <c r="AZ347" s="76"/>
      <c r="BA347" s="76"/>
      <c r="BB347" s="76"/>
      <c r="BC347" s="76"/>
      <c r="BD347" s="77"/>
      <c r="BE347" s="76"/>
      <c r="BF347" s="77"/>
      <c r="BG347" s="76"/>
      <c r="BH347" s="76"/>
      <c r="BI347" s="76"/>
      <c r="BJ347" s="76"/>
      <c r="BK347" s="76"/>
      <c r="BL347" s="77"/>
      <c r="BM347" s="76"/>
      <c r="BN347" s="77"/>
      <c r="BO347" s="76"/>
      <c r="BP347" s="76"/>
      <c r="BQ347" s="76"/>
      <c r="BR347" s="76"/>
      <c r="BS347" s="76"/>
      <c r="BT347" s="77"/>
      <c r="BU347" s="76"/>
      <c r="BV347" s="77"/>
      <c r="BW347" s="76"/>
      <c r="BX347" s="76"/>
      <c r="BY347" s="76"/>
      <c r="BZ347" s="76"/>
      <c r="CA347" s="76"/>
      <c r="CB347" s="77"/>
      <c r="CC347" s="76"/>
      <c r="CD347" s="77"/>
      <c r="CE347" s="76"/>
      <c r="CF347" s="76"/>
      <c r="CG347" s="76"/>
      <c r="CH347" s="76"/>
      <c r="CI347" s="76"/>
      <c r="CJ347" s="77"/>
      <c r="CK347" s="76"/>
      <c r="CL347" s="77"/>
      <c r="CM347" s="76"/>
      <c r="CN347" s="76"/>
      <c r="CO347" s="76"/>
      <c r="CP347" s="76"/>
      <c r="CQ347" s="76"/>
      <c r="CR347" s="78" t="str">
        <f t="shared" si="95"/>
        <v/>
      </c>
      <c r="CS347" s="79" t="str">
        <f t="shared" si="96"/>
        <v/>
      </c>
      <c r="CT347" s="79" t="str">
        <f t="shared" si="97"/>
        <v/>
      </c>
      <c r="CU347" s="79" t="str">
        <f t="shared" si="98"/>
        <v/>
      </c>
      <c r="CV347" s="79" t="str">
        <f t="shared" si="99"/>
        <v/>
      </c>
      <c r="CW347" s="79" t="str">
        <f t="shared" si="100"/>
        <v/>
      </c>
      <c r="CX347" s="79" t="str">
        <f t="shared" si="101"/>
        <v/>
      </c>
      <c r="CY347" s="79" t="str">
        <f t="shared" si="102"/>
        <v/>
      </c>
      <c r="CZ347" s="79" t="str">
        <f t="shared" si="103"/>
        <v/>
      </c>
      <c r="DA347" s="79" t="str">
        <f t="shared" si="104"/>
        <v/>
      </c>
      <c r="DB347" s="79" t="str">
        <f t="shared" si="105"/>
        <v/>
      </c>
      <c r="DC347" s="79" t="str">
        <f t="shared" si="106"/>
        <v/>
      </c>
      <c r="DD347" s="79" t="str">
        <f t="shared" si="107"/>
        <v/>
      </c>
      <c r="DE347" s="79" t="str">
        <f t="shared" si="108"/>
        <v/>
      </c>
      <c r="DF347" s="79" t="str">
        <f t="shared" si="109"/>
        <v/>
      </c>
      <c r="DG347" s="79" t="str">
        <f t="shared" si="110"/>
        <v/>
      </c>
      <c r="DH347" s="76"/>
      <c r="DI347" s="78"/>
      <c r="DJ347" s="76"/>
      <c r="DK347" s="77"/>
      <c r="DL347" s="77"/>
      <c r="DM347" s="77"/>
      <c r="DN347" s="80"/>
      <c r="DO347" s="80"/>
      <c r="DP347" s="92" t="str">
        <f>IF(Table1[Start Date]="","",IF(Table1[Start Date]&gt;42185,"",IF(AND(Table1[Leaving Date]&gt;1,Table1[Leaving Date]&lt;42095),"",1)))</f>
        <v/>
      </c>
      <c r="DQ347" s="92" t="str">
        <f>IF(Table1[Start Date]="","",IF(Table1[Start Date]&gt;42277,"",IF(AND(Table1[Leaving Date]&gt;1,Table1[Leaving Date]&lt;42186),"",1)))</f>
        <v/>
      </c>
      <c r="DR347" s="92" t="str">
        <f>IF(Table1[Start Date]="","",IF(Table1[Start Date]&gt;42369,"",IF(AND(Table1[Leaving Date]&gt;1,Table1[Leaving Date]&lt;42278),"",1)))</f>
        <v/>
      </c>
      <c r="DS347" s="92" t="str">
        <f>IF(Table1[Start Date]="","",IF(Table1[Start Date]&gt;42460,"",IF(AND(Table1[Leaving Date]&gt;1,Table1[Leaving Date]&lt;42370),"",1)))</f>
        <v/>
      </c>
      <c r="DT347" s="92" t="str">
        <f>IF(Table1[Start Date]="","",IF(Table1[Start Date]&gt;42551,"",IF(AND(Table1[Leaving Date]&gt;1,Table1[Leaving Date]&lt;42461),"",1)))</f>
        <v/>
      </c>
      <c r="DU347" s="92" t="str">
        <f>IF(Table1[Start Date]="","",IF(Table1[Start Date]&gt;42643,"",IF(AND(Table1[Leaving Date]&gt;1,Table1[Leaving Date]&lt;42552),"",1)))</f>
        <v/>
      </c>
      <c r="DV347" s="92" t="str">
        <f>IF(Table1[Start Date]="","",IF(Table1[Start Date]&gt;42735,"",IF(AND(Table1[Leaving Date]&gt;1,Table1[Leaving Date]&lt;42644),"",1)))</f>
        <v/>
      </c>
      <c r="DW347" s="92" t="str">
        <f>IF(Table1[Start Date]="","",IF(Table1[Start Date]&gt;42825,"",IF(AND(Table1[Leaving Date]&gt;1,Table1[Leaving Date]&lt;42736),"",1)))</f>
        <v/>
      </c>
      <c r="DX347"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347" s="44" t="e">
        <f>VLOOKUP(Table1[Referral Source],Lists!$G$2:$H$20,2,FALSE)</f>
        <v>#N/A</v>
      </c>
      <c r="DZ347" s="93" t="e">
        <f>SUM(Table1[Data Referral Quarter]+Table1[Data Referral Source])</f>
        <v>#N/A</v>
      </c>
      <c r="EA347" s="44" t="b">
        <f>IF(Table1[Referral Decision]="Accepted",100,IF(Table1[Referral Decision]="Rejected by Provider",200,IF(Table1[Referral Decision]="Rejected by Applicant",300)))</f>
        <v>0</v>
      </c>
      <c r="EB347" s="44">
        <f>SUM(Table1[Data Referral Quarter]+Table1[Data Referral Decision])</f>
        <v>0</v>
      </c>
      <c r="EC347" s="44" t="b">
        <f>IF(Table1[Start Date]&gt;42735,8000,IF(Table1[Start Date]&gt;42643,7000,IF(Table1[Start Date]&gt;42551,6000,IF(Table1[Start Date]&gt;42460,5000,IF(Table1[Start Date]&gt;42369,4000,IF(Table1[Start Date]&gt;42277,3000,IF(Table1[Start Date]&gt;42185,2000,IF(Table1[Start Date]&gt;42094,1000))))))))</f>
        <v>0</v>
      </c>
      <c r="ED347" s="44" t="str">
        <f>IF(Table1[Start Date]="","",IF(Table1[Current Local Authority]="Swindon",1,"2"))</f>
        <v/>
      </c>
      <c r="EE347" s="44" t="e">
        <f>SUM(Table1[Data Start Date]+Table1[Data Local Authority])</f>
        <v>#VALUE!</v>
      </c>
      <c r="EF347" s="44">
        <f>IF(Table1[Registered with GP]="Yes",1,0)</f>
        <v>0</v>
      </c>
      <c r="EG347" s="44">
        <f>SUM(Table1[Data Start Date]+Table1[Data GP Start])</f>
        <v>0</v>
      </c>
      <c r="EH347" s="44" t="str">
        <f>IF(Table1[EET]="NEET",1,IF(Table1[EET]="Education",2,IF(Table1[EET]="Employment",2,IF(Table1[EET]="Training",2,IF(Table1[EET]="Retired",3,"")))))</f>
        <v/>
      </c>
      <c r="EI347" s="44" t="e">
        <f>Table1[Data Start Date]+Table1[Data EET Start]</f>
        <v>#VALUE!</v>
      </c>
      <c r="EJ347" s="44" t="b">
        <f>IF(Table1[Leaving Date]&gt;42735,8000,IF(Table1[Leaving Date]&gt;42643,7000,IF(Table1[Leaving Date]&gt;42551,6000,IF(Table1[Leaving Date]&gt;42460,5000,IF(Table1[Leaving Date]&gt;42369,4000,IF(Table1[Leaving Date]&gt;42277,3000,IF(Table1[Leaving Date]&gt;42185,2000,IF(Table1[Leaving Date]&gt;42094,1000))))))))</f>
        <v>0</v>
      </c>
      <c r="EK347" s="44" t="e">
        <f>VLOOKUP(Table1[Reason for Leaving],Lists!$T$2:$U$15,2,FALSE)</f>
        <v>#N/A</v>
      </c>
      <c r="EL347" s="44" t="e">
        <f>SUM(Table1[Data Leavers Date]+Table1[Data Move On])</f>
        <v>#N/A</v>
      </c>
      <c r="EM347" s="44" t="b">
        <f>IF(Table1[Registered with GP2]="Yes",1,IF(Table1[Registered with GP2]="No",0,IF(Table1[Registered with GP]="Yes",1,IF(Table1[Registered with GP]="No",0))))</f>
        <v>0</v>
      </c>
      <c r="EN347" s="44">
        <f>SUM(Table1[Data Leavers Date]+Table1[Data GP End])</f>
        <v>0</v>
      </c>
      <c r="EO347" s="44" t="str">
        <f>IF(Table1[EET2]="NEET",1,IF(Table1[EET2]="Employment",2,IF(Table1[EET2]="Education",2,IF(Table1[EET2]="Training",2,IF(Table1[EET2]="Retired",3,IF(Table1[EET]="NEET",1,IF(Table1[EET]="Employment",2,IF(Table1[EET]="Education",2,IF(Table1[EET]="Training",2,IF(Table1[EET]="Retired",3,""))))))))))</f>
        <v/>
      </c>
      <c r="EP347" s="44" t="e">
        <f>+Table1[[#This Row],[Data Leavers Date]]+Table1[[#This Row],[Data EET End]]</f>
        <v>#VALUE!</v>
      </c>
      <c r="EQ347" s="44">
        <f>IF(Table1[Exit Form Received]="Yes",1,0)</f>
        <v>0</v>
      </c>
      <c r="ER347" s="44">
        <f>+Table1[[#This Row],[Data Leavers Date]]+Table1[[#This Row],[Data Exit Forms]]</f>
        <v>0</v>
      </c>
      <c r="ES347" s="44" t="str">
        <f>IF(Table1[Data Leavers Date]=1000,SUM(Table1[Leaving Date]-Table1[Start Date]),"")</f>
        <v/>
      </c>
      <c r="ET347" s="44" t="str">
        <f>IF(Table1[Data Leavers Date]=2000,SUM(Table1[Leaving Date]-Table1[Start Date]),"")</f>
        <v/>
      </c>
      <c r="EU347" s="44" t="str">
        <f>IF(Table1[Data Leavers Date]=3000,SUM(Table1[Leaving Date]-Table1[Start Date]),"")</f>
        <v/>
      </c>
      <c r="EV347" s="44" t="str">
        <f>IF(Table1[Data Leavers Date]=4000,SUM(Table1[Leaving Date]-Table1[Start Date]),"")</f>
        <v/>
      </c>
      <c r="EW347" s="44" t="str">
        <f>IF(Table1[Data Leavers Date]=5000,SUM(Table1[Leaving Date]-Table1[Start Date]),"")</f>
        <v/>
      </c>
      <c r="EX347" s="44" t="str">
        <f>IF(Table1[Data Leavers Date]=6000,SUM(Table1[Leaving Date]-Table1[Start Date]),"")</f>
        <v/>
      </c>
      <c r="EY347" s="44" t="str">
        <f>IF(Table1[Data Leavers Date]=7000,SUM(Table1[Leaving Date]-Table1[Start Date]),"")</f>
        <v/>
      </c>
      <c r="EZ347" s="44" t="str">
        <f>IF(Table1[Data Leavers Date]=8000,SUM(Table1[Leaving Date]-Table1[Start Date]),"")</f>
        <v/>
      </c>
      <c r="FA347" s="44" t="str">
        <f>IF(Table1[Date of Initial Assessment]="","",IF(AND(Table1[Start Date]&gt;42094,Table1[Start Date]&lt;42461),Table1[Motivation and Taking Responsibility],""))</f>
        <v/>
      </c>
      <c r="FB347" s="44" t="str">
        <f>IF(Table1[Date of Initial Assessment]="","",IF(AND(Table1[Start Date]&gt;42094,Table1[Start Date]&lt;42461),Table1[Self-Care and Living Skills],""))</f>
        <v/>
      </c>
      <c r="FC347" s="44" t="str">
        <f>IF(Table1[Date of Initial Assessment]="","",IF(AND(Table1[Start Date]&gt;42094,Table1[Start Date]&lt;42461),Table1[Managing Money and Personal Administration],""))</f>
        <v/>
      </c>
      <c r="FD347" s="44" t="str">
        <f>IF(Table1[Date of Initial Assessment]="","",IF(AND(Table1[Start Date]&gt;42094,Table1[Start Date]&lt;42461),Table1[Social Networks and Relationships],""))</f>
        <v/>
      </c>
      <c r="FE347" s="44" t="str">
        <f>IF(Table1[Date of Initial Assessment]="","",IF(AND(Table1[Start Date]&gt;42094,Table1[Start Date]&lt;42461),Table1[Drug and Alcohol Misuse],""))</f>
        <v/>
      </c>
      <c r="FF347" s="44" t="str">
        <f>IF(Table1[Date of Initial Assessment]="","",IF(AND(Table1[Start Date]&gt;42094,Table1[Start Date]&lt;42461),Table1[Physical Health],""))</f>
        <v/>
      </c>
      <c r="FG347" s="44" t="str">
        <f>IF(Table1[Date of Initial Assessment]="","",IF(AND(Table1[Start Date]&gt;42094,Table1[Start Date]&lt;42461),Table1[Emotional and Mental Health],""))</f>
        <v/>
      </c>
      <c r="FH347" s="44" t="str">
        <f>IF(Table1[Date of Initial Assessment]="","",IF(AND(Table1[Start Date]&gt;42094,Table1[Start Date]&lt;42461),Table1[Meaningful Use of Time],""))</f>
        <v/>
      </c>
      <c r="FI347" s="44" t="str">
        <f>IF(Table1[Date of Initial Assessment]="","",IF(AND(Table1[Start Date]&gt;42094,Table1[Start Date]&lt;42461),Table1[Managing Tenancy and Accommodation],""))</f>
        <v/>
      </c>
      <c r="FJ347" s="44" t="str">
        <f>IF(Table1[Date of Initial Assessment]="","",IF(AND(Table1[Start Date]&gt;42094,Table1[Start Date]&lt;42461),Table1[Offending],""))</f>
        <v/>
      </c>
      <c r="FK347" s="44" t="str">
        <f>IF(Table1[Leaving Date]="","",IF(Table1[Date of Initial Assessment]="","",IF(AND(Table1[Leaving Date]&gt;42094,Table1[Leaving Date]&lt;42461),IF(Table1[Date of Last Assessment]="",Table1[Motivation and Taking Responsibility],Table1[Motivation and Taking Responsibility2]),"")))</f>
        <v/>
      </c>
      <c r="FL347" s="44" t="str">
        <f>IF(Table1[Leaving Date]="","",IF(Table1[Date of Initial Assessment]="","",IF(AND(Table1[Leaving Date]&gt;42094,Table1[Leaving Date]&lt;42461),IF(Table1[Date of Last Assessment]="",Table1[Self-Care and Living Skills],Table1[Self-Care and Living Skills2]),"")))</f>
        <v/>
      </c>
      <c r="FM347" s="44" t="str">
        <f>IF(Table1[Leaving Date]="","",IF(Table1[Date of Initial Assessment]="","",IF(AND(Table1[Leaving Date]&gt;42094,Table1[Leaving Date]&lt;42461),IF(Table1[Date of Last Assessment]="",Table1[Managing Money and Personal Administration],Table1[Managing Money and Personal Administration2]),"")))</f>
        <v/>
      </c>
      <c r="FN347" s="44" t="str">
        <f>IF(Table1[Leaving Date]="","",IF(Table1[Date of Initial Assessment]="","",IF(AND(Table1[Leaving Date]&gt;42094,Table1[Leaving Date]&lt;42461),IF(Table1[Date of Last Assessment]="",Table1[Social Networks and Relationships],Table1[Social Networks and Relationships2]),"")))</f>
        <v/>
      </c>
      <c r="FO347" s="44" t="str">
        <f>IF(Table1[Leaving Date]="","",IF(Table1[Date of Initial Assessment]="","",IF(AND(Table1[Leaving Date]&gt;42094,Table1[Leaving Date]&lt;42461),IF(Table1[Date of Last Assessment]="",Table1[Drug and Alcohol Misuse],Table1[Drug and Alcohol Misuse2]),"")))</f>
        <v/>
      </c>
      <c r="FP347" s="44" t="str">
        <f>IF(Table1[Leaving Date]="","",IF(Table1[Date of Initial Assessment]="","",IF(AND(Table1[Leaving Date]&gt;42094,Table1[Leaving Date]&lt;42461),IF(Table1[Date of Last Assessment]="",Table1[Physical Health],Table1[Physical Health2]),"")))</f>
        <v/>
      </c>
      <c r="FQ347" s="44" t="str">
        <f>IF(Table1[Leaving Date]="","",IF(Table1[Date of Initial Assessment]="","",IF(AND(Table1[Leaving Date]&gt;42094,Table1[Leaving Date]&lt;42461),IF(Table1[Date of Last Assessment]="",Table1[Emotional and Mental Health],Table1[Emotional and Mental Health2]),"")))</f>
        <v/>
      </c>
      <c r="FR347" s="44" t="str">
        <f>IF(Table1[Leaving Date]="","",IF(Table1[Date of Initial Assessment]="","",IF(AND(Table1[Leaving Date]&gt;42094,Table1[Leaving Date]&lt;42461),IF(Table1[Date of Last Assessment]="",Table1[Meaningful Use of Time],Table1[Meaningful Use of Time2]),"")))</f>
        <v/>
      </c>
      <c r="FS347" s="44" t="str">
        <f>IF(Table1[Leaving Date]="","",IF(Table1[Date of Initial Assessment]="","",IF(AND(Table1[Leaving Date]&gt;42094,Table1[Leaving Date]&lt;42461),IF(Table1[Date of Last Assessment]="",Table1[Managing Tenancy and Accommodation],Table1[Managing Tenancy and Accommodation2]),"")))</f>
        <v/>
      </c>
      <c r="FT347" s="44" t="str">
        <f>IF(Table1[Leaving Date]="","",IF(Table1[Date of Initial Assessment]="","",IF(AND(Table1[Leaving Date]&gt;42094,Table1[Leaving Date]&lt;42461),IF(Table1[Date of Last Assessment]="",Table1[Offending],Table1[Offending2]),"")))</f>
        <v/>
      </c>
      <c r="FU347" s="44" t="str">
        <f>IF(Table1[Date of Initial Assessment]="","",IF(AND(Table1[Start Date]&gt;42460,Table1[Start Date]&lt;42826),Table1[Motivation and Taking Responsibility],""))</f>
        <v/>
      </c>
      <c r="FV347" s="44" t="str">
        <f>IF(Table1[Date of Initial Assessment]="","",IF(AND(Table1[Start Date]&gt;42460,Table1[Start Date]&lt;42826),Table1[Self-Care and Living Skills],""))</f>
        <v/>
      </c>
      <c r="FW347" s="44" t="str">
        <f>IF(Table1[Date of Initial Assessment]="","",IF(AND(Table1[Start Date]&gt;42460,Table1[Start Date]&lt;42826),Table1[Managing Money and Personal Administration],""))</f>
        <v/>
      </c>
      <c r="FX347" s="44" t="str">
        <f>IF(Table1[Date of Initial Assessment]="","",IF(AND(Table1[Start Date]&gt;42460,Table1[Start Date]&lt;42826),Table1[Social Networks and Relationships],""))</f>
        <v/>
      </c>
      <c r="FY347" s="44" t="str">
        <f>IF(Table1[Date of Initial Assessment]="","",IF(AND(Table1[Start Date]&gt;42460,Table1[Start Date]&lt;42826),Table1[Drug and Alcohol Misuse],""))</f>
        <v/>
      </c>
      <c r="FZ347" s="44" t="str">
        <f>IF(Table1[Date of Initial Assessment]="","",IF(AND(Table1[Start Date]&gt;42460,Table1[Start Date]&lt;42826),Table1[Physical Health],""))</f>
        <v/>
      </c>
      <c r="GA347" s="44" t="str">
        <f>IF(Table1[Date of Initial Assessment]="","",IF(AND(Table1[Start Date]&gt;42460,Table1[Start Date]&lt;42826),Table1[Emotional and Mental Health],""))</f>
        <v/>
      </c>
      <c r="GB347" s="44" t="str">
        <f>IF(Table1[Date of Initial Assessment]="","",IF(AND(Table1[Start Date]&gt;42460,Table1[Start Date]&lt;42826),Table1[Meaningful Use of Time],""))</f>
        <v/>
      </c>
      <c r="GC347" s="44" t="str">
        <f>IF(Table1[Date of Initial Assessment]="","",IF(AND(Table1[Start Date]&gt;42460,Table1[Start Date]&lt;42826),Table1[Managing Tenancy and Accommodation],""))</f>
        <v/>
      </c>
      <c r="GD347" s="44" t="str">
        <f>IF(Table1[Date of Initial Assessment]="","",IF(AND(Table1[Start Date]&gt;42460,Table1[Start Date]&lt;42826),Table1[Offending],""))</f>
        <v/>
      </c>
      <c r="GE347" s="44" t="str">
        <f>IF(Table1[Leaving Date]="","",IF(AND(Table1[Leaving Date]&gt;42460,Table1[Leaving Date]&lt;42826),IF(Table1[Date of Last Assessment]="",Table1[Motivation and Taking Responsibility],Table1[Motivation and Taking Responsibility2]),""))</f>
        <v/>
      </c>
      <c r="GF347" s="44" t="str">
        <f>IF(Table1[Leaving Date]="","",IF(AND(Table1[Leaving Date]&gt;42460,Table1[Leaving Date]&lt;42826),IF(Table1[Date of Last Assessment]="",Table1[Self-Care and Living Skills],Table1[Self-Care and Living Skills2]),""))</f>
        <v/>
      </c>
      <c r="GG347" s="44" t="str">
        <f>IF(Table1[Leaving Date]="","",IF(AND(Table1[Leaving Date]&gt;42460,Table1[Leaving Date]&lt;42826),IF(Table1[Date of Last Assessment]="",Table1[Managing Money and Personal Administration],Table1[Managing Money and Personal Administration2]),""))</f>
        <v/>
      </c>
      <c r="GH347" s="44" t="str">
        <f>IF(Table1[Leaving Date]="","",IF(AND(Table1[Leaving Date]&gt;42460,Table1[Leaving Date]&lt;42826),IF(Table1[Date of Last Assessment]="",Table1[Social Networks and Relationships],Table1[Social Networks and Relationships2]),""))</f>
        <v/>
      </c>
      <c r="GI347" s="44" t="str">
        <f>IF(Table1[Leaving Date]="","",IF(AND(Table1[Leaving Date]&gt;42460,Table1[Leaving Date]&lt;42826),IF(Table1[Date of Last Assessment]="",Table1[Drug and Alcohol Misuse],Table1[Drug and Alcohol Misuse2]),""))</f>
        <v/>
      </c>
      <c r="GJ347" s="44" t="str">
        <f>IF(Table1[Leaving Date]="","",IF(AND(Table1[Leaving Date]&gt;42460,Table1[Leaving Date]&lt;42826),IF(Table1[Date of Last Assessment]="",Table1[Physical Health],Table1[Physical Health2]),""))</f>
        <v/>
      </c>
      <c r="GK347" s="44" t="str">
        <f>IF(Table1[Leaving Date]="","",IF(AND(Table1[Leaving Date]&gt;42460,Table1[Leaving Date]&lt;42826),IF(Table1[Date of Last Assessment]="",Table1[Emotional and Mental Health],Table1[Emotional and Mental Health2]),""))</f>
        <v/>
      </c>
      <c r="GL347" s="44" t="str">
        <f>IF(Table1[Leaving Date]="","",IF(AND(Table1[Leaving Date]&gt;42460,Table1[Leaving Date]&lt;42826),IF(Table1[Date of Last Assessment]="",Table1[Meaningful Use of Time],Table1[Meaningful Use of Time2]),""))</f>
        <v/>
      </c>
      <c r="GM347" s="44" t="str">
        <f>IF(Table1[Leaving Date]="","",IF(AND(Table1[Leaving Date]&gt;42460,Table1[Leaving Date]&lt;42826),IF(Table1[Date of Last Assessment]="",Table1[Managing Tenancy and Accommodation],Table1[Managing Tenancy and Accommodation2]),""))</f>
        <v/>
      </c>
      <c r="GN347" s="44" t="str">
        <f>IF(Table1[Leaving Date]="","",IF(AND(Table1[Leaving Date]&gt;42460,Table1[Leaving Date]&lt;42826),IF(Table1[Date of Last Assessment]="",Table1[Offending],Table1[Offending2]),""))</f>
        <v/>
      </c>
    </row>
    <row r="348" spans="2:196" ht="20.100000000000001" customHeight="1" x14ac:dyDescent="0.2">
      <c r="B348" s="86">
        <f>+'Service Data'!$C$5:$C$5</f>
        <v>0</v>
      </c>
      <c r="C348" s="86"/>
      <c r="D348" s="86"/>
      <c r="E348" s="86"/>
      <c r="F348" s="86"/>
      <c r="G348" s="86"/>
      <c r="H348" s="6"/>
      <c r="I348" s="99" t="str">
        <f ca="1">IF(Table1[[#This Row],[Date of Birth]]="","",SUM(TODAY()-Table1[[#This Row],[Date of Birth]])/365)</f>
        <v/>
      </c>
      <c r="L348" s="86"/>
      <c r="M348" s="77"/>
      <c r="N348" s="86"/>
      <c r="O348" s="86"/>
      <c r="P348" s="91"/>
      <c r="Q348" s="86"/>
      <c r="R348" s="77"/>
      <c r="S348" s="77"/>
      <c r="T348" s="68"/>
      <c r="U348" s="68"/>
      <c r="V348" s="67"/>
      <c r="W348" s="67"/>
      <c r="X348" s="67"/>
      <c r="Y348" s="67"/>
      <c r="Z348" s="67"/>
      <c r="AA348" s="67"/>
      <c r="AB348" s="67"/>
      <c r="AC348" s="67"/>
      <c r="AD348" s="67"/>
      <c r="AE348" s="67"/>
      <c r="AF348" s="67"/>
      <c r="AG348" s="67"/>
      <c r="AH348" s="67"/>
      <c r="AI348" s="67"/>
      <c r="AJ348" s="67"/>
      <c r="AK348" s="67"/>
      <c r="AL348" s="67"/>
      <c r="AM348" s="67"/>
      <c r="AN348" s="77"/>
      <c r="AO348" s="76"/>
      <c r="AP348" s="77"/>
      <c r="AQ348" s="76"/>
      <c r="AR348" s="76"/>
      <c r="AS348" s="76"/>
      <c r="AT348" s="76"/>
      <c r="AU348" s="76"/>
      <c r="AV348" s="77"/>
      <c r="AW348" s="76"/>
      <c r="AX348" s="77"/>
      <c r="AY348" s="76"/>
      <c r="AZ348" s="76"/>
      <c r="BA348" s="76"/>
      <c r="BB348" s="76"/>
      <c r="BC348" s="76"/>
      <c r="BD348" s="77"/>
      <c r="BE348" s="76"/>
      <c r="BF348" s="77"/>
      <c r="BG348" s="76"/>
      <c r="BH348" s="76"/>
      <c r="BI348" s="76"/>
      <c r="BJ348" s="76"/>
      <c r="BK348" s="76"/>
      <c r="BL348" s="77"/>
      <c r="BM348" s="76"/>
      <c r="BN348" s="77"/>
      <c r="BO348" s="76"/>
      <c r="BP348" s="76"/>
      <c r="BQ348" s="76"/>
      <c r="BR348" s="76"/>
      <c r="BS348" s="76"/>
      <c r="BT348" s="77"/>
      <c r="BU348" s="76"/>
      <c r="BV348" s="77"/>
      <c r="BW348" s="76"/>
      <c r="BX348" s="76"/>
      <c r="BY348" s="76"/>
      <c r="BZ348" s="76"/>
      <c r="CA348" s="76"/>
      <c r="CB348" s="77"/>
      <c r="CC348" s="76"/>
      <c r="CD348" s="77"/>
      <c r="CE348" s="76"/>
      <c r="CF348" s="76"/>
      <c r="CG348" s="76"/>
      <c r="CH348" s="76"/>
      <c r="CI348" s="76"/>
      <c r="CJ348" s="77"/>
      <c r="CK348" s="76"/>
      <c r="CL348" s="77"/>
      <c r="CM348" s="76"/>
      <c r="CN348" s="76"/>
      <c r="CO348" s="76"/>
      <c r="CP348" s="76"/>
      <c r="CQ348" s="76"/>
      <c r="CR348" s="78" t="str">
        <f t="shared" si="95"/>
        <v/>
      </c>
      <c r="CS348" s="79" t="str">
        <f t="shared" si="96"/>
        <v/>
      </c>
      <c r="CT348" s="79" t="str">
        <f t="shared" si="97"/>
        <v/>
      </c>
      <c r="CU348" s="79" t="str">
        <f t="shared" si="98"/>
        <v/>
      </c>
      <c r="CV348" s="79" t="str">
        <f t="shared" si="99"/>
        <v/>
      </c>
      <c r="CW348" s="79" t="str">
        <f t="shared" si="100"/>
        <v/>
      </c>
      <c r="CX348" s="79" t="str">
        <f t="shared" si="101"/>
        <v/>
      </c>
      <c r="CY348" s="79" t="str">
        <f t="shared" si="102"/>
        <v/>
      </c>
      <c r="CZ348" s="79" t="str">
        <f t="shared" si="103"/>
        <v/>
      </c>
      <c r="DA348" s="79" t="str">
        <f t="shared" si="104"/>
        <v/>
      </c>
      <c r="DB348" s="79" t="str">
        <f t="shared" si="105"/>
        <v/>
      </c>
      <c r="DC348" s="79" t="str">
        <f t="shared" si="106"/>
        <v/>
      </c>
      <c r="DD348" s="79" t="str">
        <f t="shared" si="107"/>
        <v/>
      </c>
      <c r="DE348" s="79" t="str">
        <f t="shared" si="108"/>
        <v/>
      </c>
      <c r="DF348" s="79" t="str">
        <f t="shared" si="109"/>
        <v/>
      </c>
      <c r="DG348" s="79" t="str">
        <f t="shared" si="110"/>
        <v/>
      </c>
      <c r="DH348" s="76"/>
      <c r="DI348" s="78"/>
      <c r="DJ348" s="76"/>
      <c r="DK348" s="77"/>
      <c r="DL348" s="77"/>
      <c r="DM348" s="77"/>
      <c r="DN348" s="80"/>
      <c r="DO348" s="80"/>
      <c r="DP348" s="92" t="str">
        <f>IF(Table1[Start Date]="","",IF(Table1[Start Date]&gt;42185,"",IF(AND(Table1[Leaving Date]&gt;1,Table1[Leaving Date]&lt;42095),"",1)))</f>
        <v/>
      </c>
      <c r="DQ348" s="92" t="str">
        <f>IF(Table1[Start Date]="","",IF(Table1[Start Date]&gt;42277,"",IF(AND(Table1[Leaving Date]&gt;1,Table1[Leaving Date]&lt;42186),"",1)))</f>
        <v/>
      </c>
      <c r="DR348" s="92" t="str">
        <f>IF(Table1[Start Date]="","",IF(Table1[Start Date]&gt;42369,"",IF(AND(Table1[Leaving Date]&gt;1,Table1[Leaving Date]&lt;42278),"",1)))</f>
        <v/>
      </c>
      <c r="DS348" s="92" t="str">
        <f>IF(Table1[Start Date]="","",IF(Table1[Start Date]&gt;42460,"",IF(AND(Table1[Leaving Date]&gt;1,Table1[Leaving Date]&lt;42370),"",1)))</f>
        <v/>
      </c>
      <c r="DT348" s="92" t="str">
        <f>IF(Table1[Start Date]="","",IF(Table1[Start Date]&gt;42551,"",IF(AND(Table1[Leaving Date]&gt;1,Table1[Leaving Date]&lt;42461),"",1)))</f>
        <v/>
      </c>
      <c r="DU348" s="92" t="str">
        <f>IF(Table1[Start Date]="","",IF(Table1[Start Date]&gt;42643,"",IF(AND(Table1[Leaving Date]&gt;1,Table1[Leaving Date]&lt;42552),"",1)))</f>
        <v/>
      </c>
      <c r="DV348" s="92" t="str">
        <f>IF(Table1[Start Date]="","",IF(Table1[Start Date]&gt;42735,"",IF(AND(Table1[Leaving Date]&gt;1,Table1[Leaving Date]&lt;42644),"",1)))</f>
        <v/>
      </c>
      <c r="DW348" s="92" t="str">
        <f>IF(Table1[Start Date]="","",IF(Table1[Start Date]&gt;42825,"",IF(AND(Table1[Leaving Date]&gt;1,Table1[Leaving Date]&lt;42736),"",1)))</f>
        <v/>
      </c>
      <c r="DX348"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348" s="44" t="e">
        <f>VLOOKUP(Table1[Referral Source],Lists!$G$2:$H$20,2,FALSE)</f>
        <v>#N/A</v>
      </c>
      <c r="DZ348" s="93" t="e">
        <f>SUM(Table1[Data Referral Quarter]+Table1[Data Referral Source])</f>
        <v>#N/A</v>
      </c>
      <c r="EA348" s="44" t="b">
        <f>IF(Table1[Referral Decision]="Accepted",100,IF(Table1[Referral Decision]="Rejected by Provider",200,IF(Table1[Referral Decision]="Rejected by Applicant",300)))</f>
        <v>0</v>
      </c>
      <c r="EB348" s="44">
        <f>SUM(Table1[Data Referral Quarter]+Table1[Data Referral Decision])</f>
        <v>0</v>
      </c>
      <c r="EC348" s="44" t="b">
        <f>IF(Table1[Start Date]&gt;42735,8000,IF(Table1[Start Date]&gt;42643,7000,IF(Table1[Start Date]&gt;42551,6000,IF(Table1[Start Date]&gt;42460,5000,IF(Table1[Start Date]&gt;42369,4000,IF(Table1[Start Date]&gt;42277,3000,IF(Table1[Start Date]&gt;42185,2000,IF(Table1[Start Date]&gt;42094,1000))))))))</f>
        <v>0</v>
      </c>
      <c r="ED348" s="44" t="str">
        <f>IF(Table1[Start Date]="","",IF(Table1[Current Local Authority]="Swindon",1,"2"))</f>
        <v/>
      </c>
      <c r="EE348" s="44" t="e">
        <f>SUM(Table1[Data Start Date]+Table1[Data Local Authority])</f>
        <v>#VALUE!</v>
      </c>
      <c r="EF348" s="44">
        <f>IF(Table1[Registered with GP]="Yes",1,0)</f>
        <v>0</v>
      </c>
      <c r="EG348" s="44">
        <f>SUM(Table1[Data Start Date]+Table1[Data GP Start])</f>
        <v>0</v>
      </c>
      <c r="EH348" s="44" t="str">
        <f>IF(Table1[EET]="NEET",1,IF(Table1[EET]="Education",2,IF(Table1[EET]="Employment",2,IF(Table1[EET]="Training",2,IF(Table1[EET]="Retired",3,"")))))</f>
        <v/>
      </c>
      <c r="EI348" s="44" t="e">
        <f>Table1[Data Start Date]+Table1[Data EET Start]</f>
        <v>#VALUE!</v>
      </c>
      <c r="EJ348" s="44" t="b">
        <f>IF(Table1[Leaving Date]&gt;42735,8000,IF(Table1[Leaving Date]&gt;42643,7000,IF(Table1[Leaving Date]&gt;42551,6000,IF(Table1[Leaving Date]&gt;42460,5000,IF(Table1[Leaving Date]&gt;42369,4000,IF(Table1[Leaving Date]&gt;42277,3000,IF(Table1[Leaving Date]&gt;42185,2000,IF(Table1[Leaving Date]&gt;42094,1000))))))))</f>
        <v>0</v>
      </c>
      <c r="EK348" s="44" t="e">
        <f>VLOOKUP(Table1[Reason for Leaving],Lists!$T$2:$U$15,2,FALSE)</f>
        <v>#N/A</v>
      </c>
      <c r="EL348" s="44" t="e">
        <f>SUM(Table1[Data Leavers Date]+Table1[Data Move On])</f>
        <v>#N/A</v>
      </c>
      <c r="EM348" s="44" t="b">
        <f>IF(Table1[Registered with GP2]="Yes",1,IF(Table1[Registered with GP2]="No",0,IF(Table1[Registered with GP]="Yes",1,IF(Table1[Registered with GP]="No",0))))</f>
        <v>0</v>
      </c>
      <c r="EN348" s="44">
        <f>SUM(Table1[Data Leavers Date]+Table1[Data GP End])</f>
        <v>0</v>
      </c>
      <c r="EO348" s="44" t="str">
        <f>IF(Table1[EET2]="NEET",1,IF(Table1[EET2]="Employment",2,IF(Table1[EET2]="Education",2,IF(Table1[EET2]="Training",2,IF(Table1[EET2]="Retired",3,IF(Table1[EET]="NEET",1,IF(Table1[EET]="Employment",2,IF(Table1[EET]="Education",2,IF(Table1[EET]="Training",2,IF(Table1[EET]="Retired",3,""))))))))))</f>
        <v/>
      </c>
      <c r="EP348" s="44" t="e">
        <f>+Table1[[#This Row],[Data Leavers Date]]+Table1[[#This Row],[Data EET End]]</f>
        <v>#VALUE!</v>
      </c>
      <c r="EQ348" s="44">
        <f>IF(Table1[Exit Form Received]="Yes",1,0)</f>
        <v>0</v>
      </c>
      <c r="ER348" s="44">
        <f>+Table1[[#This Row],[Data Leavers Date]]+Table1[[#This Row],[Data Exit Forms]]</f>
        <v>0</v>
      </c>
      <c r="ES348" s="44" t="str">
        <f>IF(Table1[Data Leavers Date]=1000,SUM(Table1[Leaving Date]-Table1[Start Date]),"")</f>
        <v/>
      </c>
      <c r="ET348" s="44" t="str">
        <f>IF(Table1[Data Leavers Date]=2000,SUM(Table1[Leaving Date]-Table1[Start Date]),"")</f>
        <v/>
      </c>
      <c r="EU348" s="44" t="str">
        <f>IF(Table1[Data Leavers Date]=3000,SUM(Table1[Leaving Date]-Table1[Start Date]),"")</f>
        <v/>
      </c>
      <c r="EV348" s="44" t="str">
        <f>IF(Table1[Data Leavers Date]=4000,SUM(Table1[Leaving Date]-Table1[Start Date]),"")</f>
        <v/>
      </c>
      <c r="EW348" s="44" t="str">
        <f>IF(Table1[Data Leavers Date]=5000,SUM(Table1[Leaving Date]-Table1[Start Date]),"")</f>
        <v/>
      </c>
      <c r="EX348" s="44" t="str">
        <f>IF(Table1[Data Leavers Date]=6000,SUM(Table1[Leaving Date]-Table1[Start Date]),"")</f>
        <v/>
      </c>
      <c r="EY348" s="44" t="str">
        <f>IF(Table1[Data Leavers Date]=7000,SUM(Table1[Leaving Date]-Table1[Start Date]),"")</f>
        <v/>
      </c>
      <c r="EZ348" s="44" t="str">
        <f>IF(Table1[Data Leavers Date]=8000,SUM(Table1[Leaving Date]-Table1[Start Date]),"")</f>
        <v/>
      </c>
      <c r="FA348" s="44" t="str">
        <f>IF(Table1[Date of Initial Assessment]="","",IF(AND(Table1[Start Date]&gt;42094,Table1[Start Date]&lt;42461),Table1[Motivation and Taking Responsibility],""))</f>
        <v/>
      </c>
      <c r="FB348" s="44" t="str">
        <f>IF(Table1[Date of Initial Assessment]="","",IF(AND(Table1[Start Date]&gt;42094,Table1[Start Date]&lt;42461),Table1[Self-Care and Living Skills],""))</f>
        <v/>
      </c>
      <c r="FC348" s="44" t="str">
        <f>IF(Table1[Date of Initial Assessment]="","",IF(AND(Table1[Start Date]&gt;42094,Table1[Start Date]&lt;42461),Table1[Managing Money and Personal Administration],""))</f>
        <v/>
      </c>
      <c r="FD348" s="44" t="str">
        <f>IF(Table1[Date of Initial Assessment]="","",IF(AND(Table1[Start Date]&gt;42094,Table1[Start Date]&lt;42461),Table1[Social Networks and Relationships],""))</f>
        <v/>
      </c>
      <c r="FE348" s="44" t="str">
        <f>IF(Table1[Date of Initial Assessment]="","",IF(AND(Table1[Start Date]&gt;42094,Table1[Start Date]&lt;42461),Table1[Drug and Alcohol Misuse],""))</f>
        <v/>
      </c>
      <c r="FF348" s="44" t="str">
        <f>IF(Table1[Date of Initial Assessment]="","",IF(AND(Table1[Start Date]&gt;42094,Table1[Start Date]&lt;42461),Table1[Physical Health],""))</f>
        <v/>
      </c>
      <c r="FG348" s="44" t="str">
        <f>IF(Table1[Date of Initial Assessment]="","",IF(AND(Table1[Start Date]&gt;42094,Table1[Start Date]&lt;42461),Table1[Emotional and Mental Health],""))</f>
        <v/>
      </c>
      <c r="FH348" s="44" t="str">
        <f>IF(Table1[Date of Initial Assessment]="","",IF(AND(Table1[Start Date]&gt;42094,Table1[Start Date]&lt;42461),Table1[Meaningful Use of Time],""))</f>
        <v/>
      </c>
      <c r="FI348" s="44" t="str">
        <f>IF(Table1[Date of Initial Assessment]="","",IF(AND(Table1[Start Date]&gt;42094,Table1[Start Date]&lt;42461),Table1[Managing Tenancy and Accommodation],""))</f>
        <v/>
      </c>
      <c r="FJ348" s="44" t="str">
        <f>IF(Table1[Date of Initial Assessment]="","",IF(AND(Table1[Start Date]&gt;42094,Table1[Start Date]&lt;42461),Table1[Offending],""))</f>
        <v/>
      </c>
      <c r="FK348" s="44" t="str">
        <f>IF(Table1[Leaving Date]="","",IF(Table1[Date of Initial Assessment]="","",IF(AND(Table1[Leaving Date]&gt;42094,Table1[Leaving Date]&lt;42461),IF(Table1[Date of Last Assessment]="",Table1[Motivation and Taking Responsibility],Table1[Motivation and Taking Responsibility2]),"")))</f>
        <v/>
      </c>
      <c r="FL348" s="44" t="str">
        <f>IF(Table1[Leaving Date]="","",IF(Table1[Date of Initial Assessment]="","",IF(AND(Table1[Leaving Date]&gt;42094,Table1[Leaving Date]&lt;42461),IF(Table1[Date of Last Assessment]="",Table1[Self-Care and Living Skills],Table1[Self-Care and Living Skills2]),"")))</f>
        <v/>
      </c>
      <c r="FM348" s="44" t="str">
        <f>IF(Table1[Leaving Date]="","",IF(Table1[Date of Initial Assessment]="","",IF(AND(Table1[Leaving Date]&gt;42094,Table1[Leaving Date]&lt;42461),IF(Table1[Date of Last Assessment]="",Table1[Managing Money and Personal Administration],Table1[Managing Money and Personal Administration2]),"")))</f>
        <v/>
      </c>
      <c r="FN348" s="44" t="str">
        <f>IF(Table1[Leaving Date]="","",IF(Table1[Date of Initial Assessment]="","",IF(AND(Table1[Leaving Date]&gt;42094,Table1[Leaving Date]&lt;42461),IF(Table1[Date of Last Assessment]="",Table1[Social Networks and Relationships],Table1[Social Networks and Relationships2]),"")))</f>
        <v/>
      </c>
      <c r="FO348" s="44" t="str">
        <f>IF(Table1[Leaving Date]="","",IF(Table1[Date of Initial Assessment]="","",IF(AND(Table1[Leaving Date]&gt;42094,Table1[Leaving Date]&lt;42461),IF(Table1[Date of Last Assessment]="",Table1[Drug and Alcohol Misuse],Table1[Drug and Alcohol Misuse2]),"")))</f>
        <v/>
      </c>
      <c r="FP348" s="44" t="str">
        <f>IF(Table1[Leaving Date]="","",IF(Table1[Date of Initial Assessment]="","",IF(AND(Table1[Leaving Date]&gt;42094,Table1[Leaving Date]&lt;42461),IF(Table1[Date of Last Assessment]="",Table1[Physical Health],Table1[Physical Health2]),"")))</f>
        <v/>
      </c>
      <c r="FQ348" s="44" t="str">
        <f>IF(Table1[Leaving Date]="","",IF(Table1[Date of Initial Assessment]="","",IF(AND(Table1[Leaving Date]&gt;42094,Table1[Leaving Date]&lt;42461),IF(Table1[Date of Last Assessment]="",Table1[Emotional and Mental Health],Table1[Emotional and Mental Health2]),"")))</f>
        <v/>
      </c>
      <c r="FR348" s="44" t="str">
        <f>IF(Table1[Leaving Date]="","",IF(Table1[Date of Initial Assessment]="","",IF(AND(Table1[Leaving Date]&gt;42094,Table1[Leaving Date]&lt;42461),IF(Table1[Date of Last Assessment]="",Table1[Meaningful Use of Time],Table1[Meaningful Use of Time2]),"")))</f>
        <v/>
      </c>
      <c r="FS348" s="44" t="str">
        <f>IF(Table1[Leaving Date]="","",IF(Table1[Date of Initial Assessment]="","",IF(AND(Table1[Leaving Date]&gt;42094,Table1[Leaving Date]&lt;42461),IF(Table1[Date of Last Assessment]="",Table1[Managing Tenancy and Accommodation],Table1[Managing Tenancy and Accommodation2]),"")))</f>
        <v/>
      </c>
      <c r="FT348" s="44" t="str">
        <f>IF(Table1[Leaving Date]="","",IF(Table1[Date of Initial Assessment]="","",IF(AND(Table1[Leaving Date]&gt;42094,Table1[Leaving Date]&lt;42461),IF(Table1[Date of Last Assessment]="",Table1[Offending],Table1[Offending2]),"")))</f>
        <v/>
      </c>
      <c r="FU348" s="44" t="str">
        <f>IF(Table1[Date of Initial Assessment]="","",IF(AND(Table1[Start Date]&gt;42460,Table1[Start Date]&lt;42826),Table1[Motivation and Taking Responsibility],""))</f>
        <v/>
      </c>
      <c r="FV348" s="44" t="str">
        <f>IF(Table1[Date of Initial Assessment]="","",IF(AND(Table1[Start Date]&gt;42460,Table1[Start Date]&lt;42826),Table1[Self-Care and Living Skills],""))</f>
        <v/>
      </c>
      <c r="FW348" s="44" t="str">
        <f>IF(Table1[Date of Initial Assessment]="","",IF(AND(Table1[Start Date]&gt;42460,Table1[Start Date]&lt;42826),Table1[Managing Money and Personal Administration],""))</f>
        <v/>
      </c>
      <c r="FX348" s="44" t="str">
        <f>IF(Table1[Date of Initial Assessment]="","",IF(AND(Table1[Start Date]&gt;42460,Table1[Start Date]&lt;42826),Table1[Social Networks and Relationships],""))</f>
        <v/>
      </c>
      <c r="FY348" s="44" t="str">
        <f>IF(Table1[Date of Initial Assessment]="","",IF(AND(Table1[Start Date]&gt;42460,Table1[Start Date]&lt;42826),Table1[Drug and Alcohol Misuse],""))</f>
        <v/>
      </c>
      <c r="FZ348" s="44" t="str">
        <f>IF(Table1[Date of Initial Assessment]="","",IF(AND(Table1[Start Date]&gt;42460,Table1[Start Date]&lt;42826),Table1[Physical Health],""))</f>
        <v/>
      </c>
      <c r="GA348" s="44" t="str">
        <f>IF(Table1[Date of Initial Assessment]="","",IF(AND(Table1[Start Date]&gt;42460,Table1[Start Date]&lt;42826),Table1[Emotional and Mental Health],""))</f>
        <v/>
      </c>
      <c r="GB348" s="44" t="str">
        <f>IF(Table1[Date of Initial Assessment]="","",IF(AND(Table1[Start Date]&gt;42460,Table1[Start Date]&lt;42826),Table1[Meaningful Use of Time],""))</f>
        <v/>
      </c>
      <c r="GC348" s="44" t="str">
        <f>IF(Table1[Date of Initial Assessment]="","",IF(AND(Table1[Start Date]&gt;42460,Table1[Start Date]&lt;42826),Table1[Managing Tenancy and Accommodation],""))</f>
        <v/>
      </c>
      <c r="GD348" s="44" t="str">
        <f>IF(Table1[Date of Initial Assessment]="","",IF(AND(Table1[Start Date]&gt;42460,Table1[Start Date]&lt;42826),Table1[Offending],""))</f>
        <v/>
      </c>
      <c r="GE348" s="44" t="str">
        <f>IF(Table1[Leaving Date]="","",IF(AND(Table1[Leaving Date]&gt;42460,Table1[Leaving Date]&lt;42826),IF(Table1[Date of Last Assessment]="",Table1[Motivation and Taking Responsibility],Table1[Motivation and Taking Responsibility2]),""))</f>
        <v/>
      </c>
      <c r="GF348" s="44" t="str">
        <f>IF(Table1[Leaving Date]="","",IF(AND(Table1[Leaving Date]&gt;42460,Table1[Leaving Date]&lt;42826),IF(Table1[Date of Last Assessment]="",Table1[Self-Care and Living Skills],Table1[Self-Care and Living Skills2]),""))</f>
        <v/>
      </c>
      <c r="GG348" s="44" t="str">
        <f>IF(Table1[Leaving Date]="","",IF(AND(Table1[Leaving Date]&gt;42460,Table1[Leaving Date]&lt;42826),IF(Table1[Date of Last Assessment]="",Table1[Managing Money and Personal Administration],Table1[Managing Money and Personal Administration2]),""))</f>
        <v/>
      </c>
      <c r="GH348" s="44" t="str">
        <f>IF(Table1[Leaving Date]="","",IF(AND(Table1[Leaving Date]&gt;42460,Table1[Leaving Date]&lt;42826),IF(Table1[Date of Last Assessment]="",Table1[Social Networks and Relationships],Table1[Social Networks and Relationships2]),""))</f>
        <v/>
      </c>
      <c r="GI348" s="44" t="str">
        <f>IF(Table1[Leaving Date]="","",IF(AND(Table1[Leaving Date]&gt;42460,Table1[Leaving Date]&lt;42826),IF(Table1[Date of Last Assessment]="",Table1[Drug and Alcohol Misuse],Table1[Drug and Alcohol Misuse2]),""))</f>
        <v/>
      </c>
      <c r="GJ348" s="44" t="str">
        <f>IF(Table1[Leaving Date]="","",IF(AND(Table1[Leaving Date]&gt;42460,Table1[Leaving Date]&lt;42826),IF(Table1[Date of Last Assessment]="",Table1[Physical Health],Table1[Physical Health2]),""))</f>
        <v/>
      </c>
      <c r="GK348" s="44" t="str">
        <f>IF(Table1[Leaving Date]="","",IF(AND(Table1[Leaving Date]&gt;42460,Table1[Leaving Date]&lt;42826),IF(Table1[Date of Last Assessment]="",Table1[Emotional and Mental Health],Table1[Emotional and Mental Health2]),""))</f>
        <v/>
      </c>
      <c r="GL348" s="44" t="str">
        <f>IF(Table1[Leaving Date]="","",IF(AND(Table1[Leaving Date]&gt;42460,Table1[Leaving Date]&lt;42826),IF(Table1[Date of Last Assessment]="",Table1[Meaningful Use of Time],Table1[Meaningful Use of Time2]),""))</f>
        <v/>
      </c>
      <c r="GM348" s="44" t="str">
        <f>IF(Table1[Leaving Date]="","",IF(AND(Table1[Leaving Date]&gt;42460,Table1[Leaving Date]&lt;42826),IF(Table1[Date of Last Assessment]="",Table1[Managing Tenancy and Accommodation],Table1[Managing Tenancy and Accommodation2]),""))</f>
        <v/>
      </c>
      <c r="GN348" s="44" t="str">
        <f>IF(Table1[Leaving Date]="","",IF(AND(Table1[Leaving Date]&gt;42460,Table1[Leaving Date]&lt;42826),IF(Table1[Date of Last Assessment]="",Table1[Offending],Table1[Offending2]),""))</f>
        <v/>
      </c>
    </row>
    <row r="349" spans="2:196" ht="20.100000000000001" customHeight="1" x14ac:dyDescent="0.2">
      <c r="B349" s="86">
        <f>+'Service Data'!$C$5:$C$5</f>
        <v>0</v>
      </c>
      <c r="C349" s="86"/>
      <c r="D349" s="86"/>
      <c r="E349" s="86"/>
      <c r="F349" s="86"/>
      <c r="G349" s="86"/>
      <c r="H349" s="6"/>
      <c r="I349" s="99" t="str">
        <f ca="1">IF(Table1[[#This Row],[Date of Birth]]="","",SUM(TODAY()-Table1[[#This Row],[Date of Birth]])/365)</f>
        <v/>
      </c>
      <c r="L349" s="86"/>
      <c r="M349" s="77"/>
      <c r="N349" s="86"/>
      <c r="O349" s="86"/>
      <c r="P349" s="91"/>
      <c r="Q349" s="86"/>
      <c r="R349" s="77"/>
      <c r="S349" s="77"/>
      <c r="T349" s="68"/>
      <c r="U349" s="68"/>
      <c r="V349" s="67"/>
      <c r="W349" s="67"/>
      <c r="X349" s="67"/>
      <c r="Y349" s="67"/>
      <c r="Z349" s="67"/>
      <c r="AA349" s="67"/>
      <c r="AB349" s="67"/>
      <c r="AC349" s="67"/>
      <c r="AD349" s="67"/>
      <c r="AE349" s="67"/>
      <c r="AF349" s="67"/>
      <c r="AG349" s="67"/>
      <c r="AH349" s="67"/>
      <c r="AI349" s="67"/>
      <c r="AJ349" s="67"/>
      <c r="AK349" s="67"/>
      <c r="AL349" s="67"/>
      <c r="AM349" s="67"/>
      <c r="AN349" s="77"/>
      <c r="AO349" s="76"/>
      <c r="AP349" s="77"/>
      <c r="AQ349" s="76"/>
      <c r="AR349" s="76"/>
      <c r="AS349" s="76"/>
      <c r="AT349" s="76"/>
      <c r="AU349" s="76"/>
      <c r="AV349" s="77"/>
      <c r="AW349" s="76"/>
      <c r="AX349" s="77"/>
      <c r="AY349" s="76"/>
      <c r="AZ349" s="76"/>
      <c r="BA349" s="76"/>
      <c r="BB349" s="76"/>
      <c r="BC349" s="76"/>
      <c r="BD349" s="77"/>
      <c r="BE349" s="76"/>
      <c r="BF349" s="77"/>
      <c r="BG349" s="76"/>
      <c r="BH349" s="76"/>
      <c r="BI349" s="76"/>
      <c r="BJ349" s="76"/>
      <c r="BK349" s="76"/>
      <c r="BL349" s="77"/>
      <c r="BM349" s="76"/>
      <c r="BN349" s="77"/>
      <c r="BO349" s="76"/>
      <c r="BP349" s="76"/>
      <c r="BQ349" s="76"/>
      <c r="BR349" s="76"/>
      <c r="BS349" s="76"/>
      <c r="BT349" s="77"/>
      <c r="BU349" s="76"/>
      <c r="BV349" s="77"/>
      <c r="BW349" s="76"/>
      <c r="BX349" s="76"/>
      <c r="BY349" s="76"/>
      <c r="BZ349" s="76"/>
      <c r="CA349" s="76"/>
      <c r="CB349" s="77"/>
      <c r="CC349" s="76"/>
      <c r="CD349" s="77"/>
      <c r="CE349" s="76"/>
      <c r="CF349" s="76"/>
      <c r="CG349" s="76"/>
      <c r="CH349" s="76"/>
      <c r="CI349" s="76"/>
      <c r="CJ349" s="77"/>
      <c r="CK349" s="76"/>
      <c r="CL349" s="77"/>
      <c r="CM349" s="76"/>
      <c r="CN349" s="76"/>
      <c r="CO349" s="76"/>
      <c r="CP349" s="76"/>
      <c r="CQ349" s="76"/>
      <c r="CR349" s="78" t="str">
        <f t="shared" si="95"/>
        <v/>
      </c>
      <c r="CS349" s="79" t="str">
        <f t="shared" si="96"/>
        <v/>
      </c>
      <c r="CT349" s="79" t="str">
        <f t="shared" si="97"/>
        <v/>
      </c>
      <c r="CU349" s="79" t="str">
        <f t="shared" si="98"/>
        <v/>
      </c>
      <c r="CV349" s="79" t="str">
        <f t="shared" si="99"/>
        <v/>
      </c>
      <c r="CW349" s="79" t="str">
        <f t="shared" si="100"/>
        <v/>
      </c>
      <c r="CX349" s="79" t="str">
        <f t="shared" si="101"/>
        <v/>
      </c>
      <c r="CY349" s="79" t="str">
        <f t="shared" si="102"/>
        <v/>
      </c>
      <c r="CZ349" s="79" t="str">
        <f t="shared" si="103"/>
        <v/>
      </c>
      <c r="DA349" s="79" t="str">
        <f t="shared" si="104"/>
        <v/>
      </c>
      <c r="DB349" s="79" t="str">
        <f t="shared" si="105"/>
        <v/>
      </c>
      <c r="DC349" s="79" t="str">
        <f t="shared" si="106"/>
        <v/>
      </c>
      <c r="DD349" s="79" t="str">
        <f t="shared" si="107"/>
        <v/>
      </c>
      <c r="DE349" s="79" t="str">
        <f t="shared" si="108"/>
        <v/>
      </c>
      <c r="DF349" s="79" t="str">
        <f t="shared" si="109"/>
        <v/>
      </c>
      <c r="DG349" s="79" t="str">
        <f t="shared" si="110"/>
        <v/>
      </c>
      <c r="DH349" s="76"/>
      <c r="DI349" s="78"/>
      <c r="DJ349" s="76"/>
      <c r="DK349" s="77"/>
      <c r="DL349" s="77"/>
      <c r="DM349" s="77"/>
      <c r="DN349" s="80"/>
      <c r="DO349" s="80"/>
      <c r="DP349" s="92" t="str">
        <f>IF(Table1[Start Date]="","",IF(Table1[Start Date]&gt;42185,"",IF(AND(Table1[Leaving Date]&gt;1,Table1[Leaving Date]&lt;42095),"",1)))</f>
        <v/>
      </c>
      <c r="DQ349" s="92" t="str">
        <f>IF(Table1[Start Date]="","",IF(Table1[Start Date]&gt;42277,"",IF(AND(Table1[Leaving Date]&gt;1,Table1[Leaving Date]&lt;42186),"",1)))</f>
        <v/>
      </c>
      <c r="DR349" s="92" t="str">
        <f>IF(Table1[Start Date]="","",IF(Table1[Start Date]&gt;42369,"",IF(AND(Table1[Leaving Date]&gt;1,Table1[Leaving Date]&lt;42278),"",1)))</f>
        <v/>
      </c>
      <c r="DS349" s="92" t="str">
        <f>IF(Table1[Start Date]="","",IF(Table1[Start Date]&gt;42460,"",IF(AND(Table1[Leaving Date]&gt;1,Table1[Leaving Date]&lt;42370),"",1)))</f>
        <v/>
      </c>
      <c r="DT349" s="92" t="str">
        <f>IF(Table1[Start Date]="","",IF(Table1[Start Date]&gt;42551,"",IF(AND(Table1[Leaving Date]&gt;1,Table1[Leaving Date]&lt;42461),"",1)))</f>
        <v/>
      </c>
      <c r="DU349" s="92" t="str">
        <f>IF(Table1[Start Date]="","",IF(Table1[Start Date]&gt;42643,"",IF(AND(Table1[Leaving Date]&gt;1,Table1[Leaving Date]&lt;42552),"",1)))</f>
        <v/>
      </c>
      <c r="DV349" s="92" t="str">
        <f>IF(Table1[Start Date]="","",IF(Table1[Start Date]&gt;42735,"",IF(AND(Table1[Leaving Date]&gt;1,Table1[Leaving Date]&lt;42644),"",1)))</f>
        <v/>
      </c>
      <c r="DW349" s="92" t="str">
        <f>IF(Table1[Start Date]="","",IF(Table1[Start Date]&gt;42825,"",IF(AND(Table1[Leaving Date]&gt;1,Table1[Leaving Date]&lt;42736),"",1)))</f>
        <v/>
      </c>
      <c r="DX349"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349" s="44" t="e">
        <f>VLOOKUP(Table1[Referral Source],Lists!$G$2:$H$20,2,FALSE)</f>
        <v>#N/A</v>
      </c>
      <c r="DZ349" s="93" t="e">
        <f>SUM(Table1[Data Referral Quarter]+Table1[Data Referral Source])</f>
        <v>#N/A</v>
      </c>
      <c r="EA349" s="44" t="b">
        <f>IF(Table1[Referral Decision]="Accepted",100,IF(Table1[Referral Decision]="Rejected by Provider",200,IF(Table1[Referral Decision]="Rejected by Applicant",300)))</f>
        <v>0</v>
      </c>
      <c r="EB349" s="44">
        <f>SUM(Table1[Data Referral Quarter]+Table1[Data Referral Decision])</f>
        <v>0</v>
      </c>
      <c r="EC349" s="44" t="b">
        <f>IF(Table1[Start Date]&gt;42735,8000,IF(Table1[Start Date]&gt;42643,7000,IF(Table1[Start Date]&gt;42551,6000,IF(Table1[Start Date]&gt;42460,5000,IF(Table1[Start Date]&gt;42369,4000,IF(Table1[Start Date]&gt;42277,3000,IF(Table1[Start Date]&gt;42185,2000,IF(Table1[Start Date]&gt;42094,1000))))))))</f>
        <v>0</v>
      </c>
      <c r="ED349" s="44" t="str">
        <f>IF(Table1[Start Date]="","",IF(Table1[Current Local Authority]="Swindon",1,"2"))</f>
        <v/>
      </c>
      <c r="EE349" s="44" t="e">
        <f>SUM(Table1[Data Start Date]+Table1[Data Local Authority])</f>
        <v>#VALUE!</v>
      </c>
      <c r="EF349" s="44">
        <f>IF(Table1[Registered with GP]="Yes",1,0)</f>
        <v>0</v>
      </c>
      <c r="EG349" s="44">
        <f>SUM(Table1[Data Start Date]+Table1[Data GP Start])</f>
        <v>0</v>
      </c>
      <c r="EH349" s="44" t="str">
        <f>IF(Table1[EET]="NEET",1,IF(Table1[EET]="Education",2,IF(Table1[EET]="Employment",2,IF(Table1[EET]="Training",2,IF(Table1[EET]="Retired",3,"")))))</f>
        <v/>
      </c>
      <c r="EI349" s="44" t="e">
        <f>Table1[Data Start Date]+Table1[Data EET Start]</f>
        <v>#VALUE!</v>
      </c>
      <c r="EJ349" s="44" t="b">
        <f>IF(Table1[Leaving Date]&gt;42735,8000,IF(Table1[Leaving Date]&gt;42643,7000,IF(Table1[Leaving Date]&gt;42551,6000,IF(Table1[Leaving Date]&gt;42460,5000,IF(Table1[Leaving Date]&gt;42369,4000,IF(Table1[Leaving Date]&gt;42277,3000,IF(Table1[Leaving Date]&gt;42185,2000,IF(Table1[Leaving Date]&gt;42094,1000))))))))</f>
        <v>0</v>
      </c>
      <c r="EK349" s="44" t="e">
        <f>VLOOKUP(Table1[Reason for Leaving],Lists!$T$2:$U$15,2,FALSE)</f>
        <v>#N/A</v>
      </c>
      <c r="EL349" s="44" t="e">
        <f>SUM(Table1[Data Leavers Date]+Table1[Data Move On])</f>
        <v>#N/A</v>
      </c>
      <c r="EM349" s="44" t="b">
        <f>IF(Table1[Registered with GP2]="Yes",1,IF(Table1[Registered with GP2]="No",0,IF(Table1[Registered with GP]="Yes",1,IF(Table1[Registered with GP]="No",0))))</f>
        <v>0</v>
      </c>
      <c r="EN349" s="44">
        <f>SUM(Table1[Data Leavers Date]+Table1[Data GP End])</f>
        <v>0</v>
      </c>
      <c r="EO349" s="44" t="str">
        <f>IF(Table1[EET2]="NEET",1,IF(Table1[EET2]="Employment",2,IF(Table1[EET2]="Education",2,IF(Table1[EET2]="Training",2,IF(Table1[EET2]="Retired",3,IF(Table1[EET]="NEET",1,IF(Table1[EET]="Employment",2,IF(Table1[EET]="Education",2,IF(Table1[EET]="Training",2,IF(Table1[EET]="Retired",3,""))))))))))</f>
        <v/>
      </c>
      <c r="EP349" s="44" t="e">
        <f>+Table1[[#This Row],[Data Leavers Date]]+Table1[[#This Row],[Data EET End]]</f>
        <v>#VALUE!</v>
      </c>
      <c r="EQ349" s="44">
        <f>IF(Table1[Exit Form Received]="Yes",1,0)</f>
        <v>0</v>
      </c>
      <c r="ER349" s="44">
        <f>+Table1[[#This Row],[Data Leavers Date]]+Table1[[#This Row],[Data Exit Forms]]</f>
        <v>0</v>
      </c>
      <c r="ES349" s="44" t="str">
        <f>IF(Table1[Data Leavers Date]=1000,SUM(Table1[Leaving Date]-Table1[Start Date]),"")</f>
        <v/>
      </c>
      <c r="ET349" s="44" t="str">
        <f>IF(Table1[Data Leavers Date]=2000,SUM(Table1[Leaving Date]-Table1[Start Date]),"")</f>
        <v/>
      </c>
      <c r="EU349" s="44" t="str">
        <f>IF(Table1[Data Leavers Date]=3000,SUM(Table1[Leaving Date]-Table1[Start Date]),"")</f>
        <v/>
      </c>
      <c r="EV349" s="44" t="str">
        <f>IF(Table1[Data Leavers Date]=4000,SUM(Table1[Leaving Date]-Table1[Start Date]),"")</f>
        <v/>
      </c>
      <c r="EW349" s="44" t="str">
        <f>IF(Table1[Data Leavers Date]=5000,SUM(Table1[Leaving Date]-Table1[Start Date]),"")</f>
        <v/>
      </c>
      <c r="EX349" s="44" t="str">
        <f>IF(Table1[Data Leavers Date]=6000,SUM(Table1[Leaving Date]-Table1[Start Date]),"")</f>
        <v/>
      </c>
      <c r="EY349" s="44" t="str">
        <f>IF(Table1[Data Leavers Date]=7000,SUM(Table1[Leaving Date]-Table1[Start Date]),"")</f>
        <v/>
      </c>
      <c r="EZ349" s="44" t="str">
        <f>IF(Table1[Data Leavers Date]=8000,SUM(Table1[Leaving Date]-Table1[Start Date]),"")</f>
        <v/>
      </c>
      <c r="FA349" s="44" t="str">
        <f>IF(Table1[Date of Initial Assessment]="","",IF(AND(Table1[Start Date]&gt;42094,Table1[Start Date]&lt;42461),Table1[Motivation and Taking Responsibility],""))</f>
        <v/>
      </c>
      <c r="FB349" s="44" t="str">
        <f>IF(Table1[Date of Initial Assessment]="","",IF(AND(Table1[Start Date]&gt;42094,Table1[Start Date]&lt;42461),Table1[Self-Care and Living Skills],""))</f>
        <v/>
      </c>
      <c r="FC349" s="44" t="str">
        <f>IF(Table1[Date of Initial Assessment]="","",IF(AND(Table1[Start Date]&gt;42094,Table1[Start Date]&lt;42461),Table1[Managing Money and Personal Administration],""))</f>
        <v/>
      </c>
      <c r="FD349" s="44" t="str">
        <f>IF(Table1[Date of Initial Assessment]="","",IF(AND(Table1[Start Date]&gt;42094,Table1[Start Date]&lt;42461),Table1[Social Networks and Relationships],""))</f>
        <v/>
      </c>
      <c r="FE349" s="44" t="str">
        <f>IF(Table1[Date of Initial Assessment]="","",IF(AND(Table1[Start Date]&gt;42094,Table1[Start Date]&lt;42461),Table1[Drug and Alcohol Misuse],""))</f>
        <v/>
      </c>
      <c r="FF349" s="44" t="str">
        <f>IF(Table1[Date of Initial Assessment]="","",IF(AND(Table1[Start Date]&gt;42094,Table1[Start Date]&lt;42461),Table1[Physical Health],""))</f>
        <v/>
      </c>
      <c r="FG349" s="44" t="str">
        <f>IF(Table1[Date of Initial Assessment]="","",IF(AND(Table1[Start Date]&gt;42094,Table1[Start Date]&lt;42461),Table1[Emotional and Mental Health],""))</f>
        <v/>
      </c>
      <c r="FH349" s="44" t="str">
        <f>IF(Table1[Date of Initial Assessment]="","",IF(AND(Table1[Start Date]&gt;42094,Table1[Start Date]&lt;42461),Table1[Meaningful Use of Time],""))</f>
        <v/>
      </c>
      <c r="FI349" s="44" t="str">
        <f>IF(Table1[Date of Initial Assessment]="","",IF(AND(Table1[Start Date]&gt;42094,Table1[Start Date]&lt;42461),Table1[Managing Tenancy and Accommodation],""))</f>
        <v/>
      </c>
      <c r="FJ349" s="44" t="str">
        <f>IF(Table1[Date of Initial Assessment]="","",IF(AND(Table1[Start Date]&gt;42094,Table1[Start Date]&lt;42461),Table1[Offending],""))</f>
        <v/>
      </c>
      <c r="FK349" s="44" t="str">
        <f>IF(Table1[Leaving Date]="","",IF(Table1[Date of Initial Assessment]="","",IF(AND(Table1[Leaving Date]&gt;42094,Table1[Leaving Date]&lt;42461),IF(Table1[Date of Last Assessment]="",Table1[Motivation and Taking Responsibility],Table1[Motivation and Taking Responsibility2]),"")))</f>
        <v/>
      </c>
      <c r="FL349" s="44" t="str">
        <f>IF(Table1[Leaving Date]="","",IF(Table1[Date of Initial Assessment]="","",IF(AND(Table1[Leaving Date]&gt;42094,Table1[Leaving Date]&lt;42461),IF(Table1[Date of Last Assessment]="",Table1[Self-Care and Living Skills],Table1[Self-Care and Living Skills2]),"")))</f>
        <v/>
      </c>
      <c r="FM349" s="44" t="str">
        <f>IF(Table1[Leaving Date]="","",IF(Table1[Date of Initial Assessment]="","",IF(AND(Table1[Leaving Date]&gt;42094,Table1[Leaving Date]&lt;42461),IF(Table1[Date of Last Assessment]="",Table1[Managing Money and Personal Administration],Table1[Managing Money and Personal Administration2]),"")))</f>
        <v/>
      </c>
      <c r="FN349" s="44" t="str">
        <f>IF(Table1[Leaving Date]="","",IF(Table1[Date of Initial Assessment]="","",IF(AND(Table1[Leaving Date]&gt;42094,Table1[Leaving Date]&lt;42461),IF(Table1[Date of Last Assessment]="",Table1[Social Networks and Relationships],Table1[Social Networks and Relationships2]),"")))</f>
        <v/>
      </c>
      <c r="FO349" s="44" t="str">
        <f>IF(Table1[Leaving Date]="","",IF(Table1[Date of Initial Assessment]="","",IF(AND(Table1[Leaving Date]&gt;42094,Table1[Leaving Date]&lt;42461),IF(Table1[Date of Last Assessment]="",Table1[Drug and Alcohol Misuse],Table1[Drug and Alcohol Misuse2]),"")))</f>
        <v/>
      </c>
      <c r="FP349" s="44" t="str">
        <f>IF(Table1[Leaving Date]="","",IF(Table1[Date of Initial Assessment]="","",IF(AND(Table1[Leaving Date]&gt;42094,Table1[Leaving Date]&lt;42461),IF(Table1[Date of Last Assessment]="",Table1[Physical Health],Table1[Physical Health2]),"")))</f>
        <v/>
      </c>
      <c r="FQ349" s="44" t="str">
        <f>IF(Table1[Leaving Date]="","",IF(Table1[Date of Initial Assessment]="","",IF(AND(Table1[Leaving Date]&gt;42094,Table1[Leaving Date]&lt;42461),IF(Table1[Date of Last Assessment]="",Table1[Emotional and Mental Health],Table1[Emotional and Mental Health2]),"")))</f>
        <v/>
      </c>
      <c r="FR349" s="44" t="str">
        <f>IF(Table1[Leaving Date]="","",IF(Table1[Date of Initial Assessment]="","",IF(AND(Table1[Leaving Date]&gt;42094,Table1[Leaving Date]&lt;42461),IF(Table1[Date of Last Assessment]="",Table1[Meaningful Use of Time],Table1[Meaningful Use of Time2]),"")))</f>
        <v/>
      </c>
      <c r="FS349" s="44" t="str">
        <f>IF(Table1[Leaving Date]="","",IF(Table1[Date of Initial Assessment]="","",IF(AND(Table1[Leaving Date]&gt;42094,Table1[Leaving Date]&lt;42461),IF(Table1[Date of Last Assessment]="",Table1[Managing Tenancy and Accommodation],Table1[Managing Tenancy and Accommodation2]),"")))</f>
        <v/>
      </c>
      <c r="FT349" s="44" t="str">
        <f>IF(Table1[Leaving Date]="","",IF(Table1[Date of Initial Assessment]="","",IF(AND(Table1[Leaving Date]&gt;42094,Table1[Leaving Date]&lt;42461),IF(Table1[Date of Last Assessment]="",Table1[Offending],Table1[Offending2]),"")))</f>
        <v/>
      </c>
      <c r="FU349" s="44" t="str">
        <f>IF(Table1[Date of Initial Assessment]="","",IF(AND(Table1[Start Date]&gt;42460,Table1[Start Date]&lt;42826),Table1[Motivation and Taking Responsibility],""))</f>
        <v/>
      </c>
      <c r="FV349" s="44" t="str">
        <f>IF(Table1[Date of Initial Assessment]="","",IF(AND(Table1[Start Date]&gt;42460,Table1[Start Date]&lt;42826),Table1[Self-Care and Living Skills],""))</f>
        <v/>
      </c>
      <c r="FW349" s="44" t="str">
        <f>IF(Table1[Date of Initial Assessment]="","",IF(AND(Table1[Start Date]&gt;42460,Table1[Start Date]&lt;42826),Table1[Managing Money and Personal Administration],""))</f>
        <v/>
      </c>
      <c r="FX349" s="44" t="str">
        <f>IF(Table1[Date of Initial Assessment]="","",IF(AND(Table1[Start Date]&gt;42460,Table1[Start Date]&lt;42826),Table1[Social Networks and Relationships],""))</f>
        <v/>
      </c>
      <c r="FY349" s="44" t="str">
        <f>IF(Table1[Date of Initial Assessment]="","",IF(AND(Table1[Start Date]&gt;42460,Table1[Start Date]&lt;42826),Table1[Drug and Alcohol Misuse],""))</f>
        <v/>
      </c>
      <c r="FZ349" s="44" t="str">
        <f>IF(Table1[Date of Initial Assessment]="","",IF(AND(Table1[Start Date]&gt;42460,Table1[Start Date]&lt;42826),Table1[Physical Health],""))</f>
        <v/>
      </c>
      <c r="GA349" s="44" t="str">
        <f>IF(Table1[Date of Initial Assessment]="","",IF(AND(Table1[Start Date]&gt;42460,Table1[Start Date]&lt;42826),Table1[Emotional and Mental Health],""))</f>
        <v/>
      </c>
      <c r="GB349" s="44" t="str">
        <f>IF(Table1[Date of Initial Assessment]="","",IF(AND(Table1[Start Date]&gt;42460,Table1[Start Date]&lt;42826),Table1[Meaningful Use of Time],""))</f>
        <v/>
      </c>
      <c r="GC349" s="44" t="str">
        <f>IF(Table1[Date of Initial Assessment]="","",IF(AND(Table1[Start Date]&gt;42460,Table1[Start Date]&lt;42826),Table1[Managing Tenancy and Accommodation],""))</f>
        <v/>
      </c>
      <c r="GD349" s="44" t="str">
        <f>IF(Table1[Date of Initial Assessment]="","",IF(AND(Table1[Start Date]&gt;42460,Table1[Start Date]&lt;42826),Table1[Offending],""))</f>
        <v/>
      </c>
      <c r="GE349" s="44" t="str">
        <f>IF(Table1[Leaving Date]="","",IF(AND(Table1[Leaving Date]&gt;42460,Table1[Leaving Date]&lt;42826),IF(Table1[Date of Last Assessment]="",Table1[Motivation and Taking Responsibility],Table1[Motivation and Taking Responsibility2]),""))</f>
        <v/>
      </c>
      <c r="GF349" s="44" t="str">
        <f>IF(Table1[Leaving Date]="","",IF(AND(Table1[Leaving Date]&gt;42460,Table1[Leaving Date]&lt;42826),IF(Table1[Date of Last Assessment]="",Table1[Self-Care and Living Skills],Table1[Self-Care and Living Skills2]),""))</f>
        <v/>
      </c>
      <c r="GG349" s="44" t="str">
        <f>IF(Table1[Leaving Date]="","",IF(AND(Table1[Leaving Date]&gt;42460,Table1[Leaving Date]&lt;42826),IF(Table1[Date of Last Assessment]="",Table1[Managing Money and Personal Administration],Table1[Managing Money and Personal Administration2]),""))</f>
        <v/>
      </c>
      <c r="GH349" s="44" t="str">
        <f>IF(Table1[Leaving Date]="","",IF(AND(Table1[Leaving Date]&gt;42460,Table1[Leaving Date]&lt;42826),IF(Table1[Date of Last Assessment]="",Table1[Social Networks and Relationships],Table1[Social Networks and Relationships2]),""))</f>
        <v/>
      </c>
      <c r="GI349" s="44" t="str">
        <f>IF(Table1[Leaving Date]="","",IF(AND(Table1[Leaving Date]&gt;42460,Table1[Leaving Date]&lt;42826),IF(Table1[Date of Last Assessment]="",Table1[Drug and Alcohol Misuse],Table1[Drug and Alcohol Misuse2]),""))</f>
        <v/>
      </c>
      <c r="GJ349" s="44" t="str">
        <f>IF(Table1[Leaving Date]="","",IF(AND(Table1[Leaving Date]&gt;42460,Table1[Leaving Date]&lt;42826),IF(Table1[Date of Last Assessment]="",Table1[Physical Health],Table1[Physical Health2]),""))</f>
        <v/>
      </c>
      <c r="GK349" s="44" t="str">
        <f>IF(Table1[Leaving Date]="","",IF(AND(Table1[Leaving Date]&gt;42460,Table1[Leaving Date]&lt;42826),IF(Table1[Date of Last Assessment]="",Table1[Emotional and Mental Health],Table1[Emotional and Mental Health2]),""))</f>
        <v/>
      </c>
      <c r="GL349" s="44" t="str">
        <f>IF(Table1[Leaving Date]="","",IF(AND(Table1[Leaving Date]&gt;42460,Table1[Leaving Date]&lt;42826),IF(Table1[Date of Last Assessment]="",Table1[Meaningful Use of Time],Table1[Meaningful Use of Time2]),""))</f>
        <v/>
      </c>
      <c r="GM349" s="44" t="str">
        <f>IF(Table1[Leaving Date]="","",IF(AND(Table1[Leaving Date]&gt;42460,Table1[Leaving Date]&lt;42826),IF(Table1[Date of Last Assessment]="",Table1[Managing Tenancy and Accommodation],Table1[Managing Tenancy and Accommodation2]),""))</f>
        <v/>
      </c>
      <c r="GN349" s="44" t="str">
        <f>IF(Table1[Leaving Date]="","",IF(AND(Table1[Leaving Date]&gt;42460,Table1[Leaving Date]&lt;42826),IF(Table1[Date of Last Assessment]="",Table1[Offending],Table1[Offending2]),""))</f>
        <v/>
      </c>
    </row>
    <row r="350" spans="2:196" ht="20.100000000000001" customHeight="1" x14ac:dyDescent="0.2">
      <c r="B350" s="86">
        <f>+'Service Data'!$C$5:$C$5</f>
        <v>0</v>
      </c>
      <c r="C350" s="86"/>
      <c r="D350" s="86"/>
      <c r="E350" s="86"/>
      <c r="F350" s="86"/>
      <c r="G350" s="86"/>
      <c r="H350" s="6"/>
      <c r="I350" s="99" t="str">
        <f ca="1">IF(Table1[[#This Row],[Date of Birth]]="","",SUM(TODAY()-Table1[[#This Row],[Date of Birth]])/365)</f>
        <v/>
      </c>
      <c r="L350" s="86"/>
      <c r="M350" s="77"/>
      <c r="N350" s="86"/>
      <c r="O350" s="86"/>
      <c r="P350" s="91"/>
      <c r="Q350" s="86"/>
      <c r="R350" s="77"/>
      <c r="S350" s="77"/>
      <c r="T350" s="68"/>
      <c r="U350" s="68"/>
      <c r="V350" s="67"/>
      <c r="W350" s="67"/>
      <c r="X350" s="67"/>
      <c r="Y350" s="67"/>
      <c r="Z350" s="67"/>
      <c r="AA350" s="67"/>
      <c r="AB350" s="67"/>
      <c r="AC350" s="67"/>
      <c r="AD350" s="67"/>
      <c r="AE350" s="67"/>
      <c r="AF350" s="67"/>
      <c r="AG350" s="67"/>
      <c r="AH350" s="67"/>
      <c r="AI350" s="67"/>
      <c r="AJ350" s="67"/>
      <c r="AK350" s="67"/>
      <c r="AL350" s="67"/>
      <c r="AM350" s="67"/>
      <c r="AN350" s="77"/>
      <c r="AO350" s="76"/>
      <c r="AP350" s="77"/>
      <c r="AQ350" s="76"/>
      <c r="AR350" s="76"/>
      <c r="AS350" s="76"/>
      <c r="AT350" s="76"/>
      <c r="AU350" s="76"/>
      <c r="AV350" s="77"/>
      <c r="AW350" s="76"/>
      <c r="AX350" s="77"/>
      <c r="AY350" s="76"/>
      <c r="AZ350" s="76"/>
      <c r="BA350" s="76"/>
      <c r="BB350" s="76"/>
      <c r="BC350" s="76"/>
      <c r="BD350" s="77"/>
      <c r="BE350" s="76"/>
      <c r="BF350" s="77"/>
      <c r="BG350" s="76"/>
      <c r="BH350" s="76"/>
      <c r="BI350" s="76"/>
      <c r="BJ350" s="76"/>
      <c r="BK350" s="76"/>
      <c r="BL350" s="77"/>
      <c r="BM350" s="76"/>
      <c r="BN350" s="77"/>
      <c r="BO350" s="76"/>
      <c r="BP350" s="76"/>
      <c r="BQ350" s="76"/>
      <c r="BR350" s="76"/>
      <c r="BS350" s="76"/>
      <c r="BT350" s="77"/>
      <c r="BU350" s="76"/>
      <c r="BV350" s="77"/>
      <c r="BW350" s="76"/>
      <c r="BX350" s="76"/>
      <c r="BY350" s="76"/>
      <c r="BZ350" s="76"/>
      <c r="CA350" s="76"/>
      <c r="CB350" s="77"/>
      <c r="CC350" s="76"/>
      <c r="CD350" s="77"/>
      <c r="CE350" s="76"/>
      <c r="CF350" s="76"/>
      <c r="CG350" s="76"/>
      <c r="CH350" s="76"/>
      <c r="CI350" s="76"/>
      <c r="CJ350" s="77"/>
      <c r="CK350" s="76"/>
      <c r="CL350" s="77"/>
      <c r="CM350" s="76"/>
      <c r="CN350" s="76"/>
      <c r="CO350" s="76"/>
      <c r="CP350" s="76"/>
      <c r="CQ350" s="76"/>
      <c r="CR350" s="78" t="str">
        <f t="shared" si="95"/>
        <v/>
      </c>
      <c r="CS350" s="79" t="str">
        <f t="shared" si="96"/>
        <v/>
      </c>
      <c r="CT350" s="79" t="str">
        <f t="shared" si="97"/>
        <v/>
      </c>
      <c r="CU350" s="79" t="str">
        <f t="shared" si="98"/>
        <v/>
      </c>
      <c r="CV350" s="79" t="str">
        <f t="shared" si="99"/>
        <v/>
      </c>
      <c r="CW350" s="79" t="str">
        <f t="shared" si="100"/>
        <v/>
      </c>
      <c r="CX350" s="79" t="str">
        <f t="shared" si="101"/>
        <v/>
      </c>
      <c r="CY350" s="79" t="str">
        <f t="shared" si="102"/>
        <v/>
      </c>
      <c r="CZ350" s="79" t="str">
        <f t="shared" si="103"/>
        <v/>
      </c>
      <c r="DA350" s="79" t="str">
        <f t="shared" si="104"/>
        <v/>
      </c>
      <c r="DB350" s="79" t="str">
        <f t="shared" si="105"/>
        <v/>
      </c>
      <c r="DC350" s="79" t="str">
        <f t="shared" si="106"/>
        <v/>
      </c>
      <c r="DD350" s="79" t="str">
        <f t="shared" si="107"/>
        <v/>
      </c>
      <c r="DE350" s="79" t="str">
        <f t="shared" si="108"/>
        <v/>
      </c>
      <c r="DF350" s="79" t="str">
        <f t="shared" si="109"/>
        <v/>
      </c>
      <c r="DG350" s="79" t="str">
        <f t="shared" si="110"/>
        <v/>
      </c>
      <c r="DH350" s="76"/>
      <c r="DI350" s="78"/>
      <c r="DJ350" s="76"/>
      <c r="DK350" s="77"/>
      <c r="DL350" s="77"/>
      <c r="DM350" s="77"/>
      <c r="DN350" s="80"/>
      <c r="DO350" s="80"/>
      <c r="DP350" s="92" t="str">
        <f>IF(Table1[Start Date]="","",IF(Table1[Start Date]&gt;42185,"",IF(AND(Table1[Leaving Date]&gt;1,Table1[Leaving Date]&lt;42095),"",1)))</f>
        <v/>
      </c>
      <c r="DQ350" s="92" t="str">
        <f>IF(Table1[Start Date]="","",IF(Table1[Start Date]&gt;42277,"",IF(AND(Table1[Leaving Date]&gt;1,Table1[Leaving Date]&lt;42186),"",1)))</f>
        <v/>
      </c>
      <c r="DR350" s="92" t="str">
        <f>IF(Table1[Start Date]="","",IF(Table1[Start Date]&gt;42369,"",IF(AND(Table1[Leaving Date]&gt;1,Table1[Leaving Date]&lt;42278),"",1)))</f>
        <v/>
      </c>
      <c r="DS350" s="92" t="str">
        <f>IF(Table1[Start Date]="","",IF(Table1[Start Date]&gt;42460,"",IF(AND(Table1[Leaving Date]&gt;1,Table1[Leaving Date]&lt;42370),"",1)))</f>
        <v/>
      </c>
      <c r="DT350" s="92" t="str">
        <f>IF(Table1[Start Date]="","",IF(Table1[Start Date]&gt;42551,"",IF(AND(Table1[Leaving Date]&gt;1,Table1[Leaving Date]&lt;42461),"",1)))</f>
        <v/>
      </c>
      <c r="DU350" s="92" t="str">
        <f>IF(Table1[Start Date]="","",IF(Table1[Start Date]&gt;42643,"",IF(AND(Table1[Leaving Date]&gt;1,Table1[Leaving Date]&lt;42552),"",1)))</f>
        <v/>
      </c>
      <c r="DV350" s="92" t="str">
        <f>IF(Table1[Start Date]="","",IF(Table1[Start Date]&gt;42735,"",IF(AND(Table1[Leaving Date]&gt;1,Table1[Leaving Date]&lt;42644),"",1)))</f>
        <v/>
      </c>
      <c r="DW350" s="92" t="str">
        <f>IF(Table1[Start Date]="","",IF(Table1[Start Date]&gt;42825,"",IF(AND(Table1[Leaving Date]&gt;1,Table1[Leaving Date]&lt;42736),"",1)))</f>
        <v/>
      </c>
      <c r="DX350"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350" s="44" t="e">
        <f>VLOOKUP(Table1[Referral Source],Lists!$G$2:$H$20,2,FALSE)</f>
        <v>#N/A</v>
      </c>
      <c r="DZ350" s="93" t="e">
        <f>SUM(Table1[Data Referral Quarter]+Table1[Data Referral Source])</f>
        <v>#N/A</v>
      </c>
      <c r="EA350" s="44" t="b">
        <f>IF(Table1[Referral Decision]="Accepted",100,IF(Table1[Referral Decision]="Rejected by Provider",200,IF(Table1[Referral Decision]="Rejected by Applicant",300)))</f>
        <v>0</v>
      </c>
      <c r="EB350" s="44">
        <f>SUM(Table1[Data Referral Quarter]+Table1[Data Referral Decision])</f>
        <v>0</v>
      </c>
      <c r="EC350" s="44" t="b">
        <f>IF(Table1[Start Date]&gt;42735,8000,IF(Table1[Start Date]&gt;42643,7000,IF(Table1[Start Date]&gt;42551,6000,IF(Table1[Start Date]&gt;42460,5000,IF(Table1[Start Date]&gt;42369,4000,IF(Table1[Start Date]&gt;42277,3000,IF(Table1[Start Date]&gt;42185,2000,IF(Table1[Start Date]&gt;42094,1000))))))))</f>
        <v>0</v>
      </c>
      <c r="ED350" s="44" t="str">
        <f>IF(Table1[Start Date]="","",IF(Table1[Current Local Authority]="Swindon",1,"2"))</f>
        <v/>
      </c>
      <c r="EE350" s="44" t="e">
        <f>SUM(Table1[Data Start Date]+Table1[Data Local Authority])</f>
        <v>#VALUE!</v>
      </c>
      <c r="EF350" s="44">
        <f>IF(Table1[Registered with GP]="Yes",1,0)</f>
        <v>0</v>
      </c>
      <c r="EG350" s="44">
        <f>SUM(Table1[Data Start Date]+Table1[Data GP Start])</f>
        <v>0</v>
      </c>
      <c r="EH350" s="44" t="str">
        <f>IF(Table1[EET]="NEET",1,IF(Table1[EET]="Education",2,IF(Table1[EET]="Employment",2,IF(Table1[EET]="Training",2,IF(Table1[EET]="Retired",3,"")))))</f>
        <v/>
      </c>
      <c r="EI350" s="44" t="e">
        <f>Table1[Data Start Date]+Table1[Data EET Start]</f>
        <v>#VALUE!</v>
      </c>
      <c r="EJ350" s="44" t="b">
        <f>IF(Table1[Leaving Date]&gt;42735,8000,IF(Table1[Leaving Date]&gt;42643,7000,IF(Table1[Leaving Date]&gt;42551,6000,IF(Table1[Leaving Date]&gt;42460,5000,IF(Table1[Leaving Date]&gt;42369,4000,IF(Table1[Leaving Date]&gt;42277,3000,IF(Table1[Leaving Date]&gt;42185,2000,IF(Table1[Leaving Date]&gt;42094,1000))))))))</f>
        <v>0</v>
      </c>
      <c r="EK350" s="44" t="e">
        <f>VLOOKUP(Table1[Reason for Leaving],Lists!$T$2:$U$15,2,FALSE)</f>
        <v>#N/A</v>
      </c>
      <c r="EL350" s="44" t="e">
        <f>SUM(Table1[Data Leavers Date]+Table1[Data Move On])</f>
        <v>#N/A</v>
      </c>
      <c r="EM350" s="44" t="b">
        <f>IF(Table1[Registered with GP2]="Yes",1,IF(Table1[Registered with GP2]="No",0,IF(Table1[Registered with GP]="Yes",1,IF(Table1[Registered with GP]="No",0))))</f>
        <v>0</v>
      </c>
      <c r="EN350" s="44">
        <f>SUM(Table1[Data Leavers Date]+Table1[Data GP End])</f>
        <v>0</v>
      </c>
      <c r="EO350" s="44" t="str">
        <f>IF(Table1[EET2]="NEET",1,IF(Table1[EET2]="Employment",2,IF(Table1[EET2]="Education",2,IF(Table1[EET2]="Training",2,IF(Table1[EET2]="Retired",3,IF(Table1[EET]="NEET",1,IF(Table1[EET]="Employment",2,IF(Table1[EET]="Education",2,IF(Table1[EET]="Training",2,IF(Table1[EET]="Retired",3,""))))))))))</f>
        <v/>
      </c>
      <c r="EP350" s="44" t="e">
        <f>+Table1[[#This Row],[Data Leavers Date]]+Table1[[#This Row],[Data EET End]]</f>
        <v>#VALUE!</v>
      </c>
      <c r="EQ350" s="44">
        <f>IF(Table1[Exit Form Received]="Yes",1,0)</f>
        <v>0</v>
      </c>
      <c r="ER350" s="44">
        <f>+Table1[[#This Row],[Data Leavers Date]]+Table1[[#This Row],[Data Exit Forms]]</f>
        <v>0</v>
      </c>
      <c r="ES350" s="44" t="str">
        <f>IF(Table1[Data Leavers Date]=1000,SUM(Table1[Leaving Date]-Table1[Start Date]),"")</f>
        <v/>
      </c>
      <c r="ET350" s="44" t="str">
        <f>IF(Table1[Data Leavers Date]=2000,SUM(Table1[Leaving Date]-Table1[Start Date]),"")</f>
        <v/>
      </c>
      <c r="EU350" s="44" t="str">
        <f>IF(Table1[Data Leavers Date]=3000,SUM(Table1[Leaving Date]-Table1[Start Date]),"")</f>
        <v/>
      </c>
      <c r="EV350" s="44" t="str">
        <f>IF(Table1[Data Leavers Date]=4000,SUM(Table1[Leaving Date]-Table1[Start Date]),"")</f>
        <v/>
      </c>
      <c r="EW350" s="44" t="str">
        <f>IF(Table1[Data Leavers Date]=5000,SUM(Table1[Leaving Date]-Table1[Start Date]),"")</f>
        <v/>
      </c>
      <c r="EX350" s="44" t="str">
        <f>IF(Table1[Data Leavers Date]=6000,SUM(Table1[Leaving Date]-Table1[Start Date]),"")</f>
        <v/>
      </c>
      <c r="EY350" s="44" t="str">
        <f>IF(Table1[Data Leavers Date]=7000,SUM(Table1[Leaving Date]-Table1[Start Date]),"")</f>
        <v/>
      </c>
      <c r="EZ350" s="44" t="str">
        <f>IF(Table1[Data Leavers Date]=8000,SUM(Table1[Leaving Date]-Table1[Start Date]),"")</f>
        <v/>
      </c>
      <c r="FA350" s="44" t="str">
        <f>IF(Table1[Date of Initial Assessment]="","",IF(AND(Table1[Start Date]&gt;42094,Table1[Start Date]&lt;42461),Table1[Motivation and Taking Responsibility],""))</f>
        <v/>
      </c>
      <c r="FB350" s="44" t="str">
        <f>IF(Table1[Date of Initial Assessment]="","",IF(AND(Table1[Start Date]&gt;42094,Table1[Start Date]&lt;42461),Table1[Self-Care and Living Skills],""))</f>
        <v/>
      </c>
      <c r="FC350" s="44" t="str">
        <f>IF(Table1[Date of Initial Assessment]="","",IF(AND(Table1[Start Date]&gt;42094,Table1[Start Date]&lt;42461),Table1[Managing Money and Personal Administration],""))</f>
        <v/>
      </c>
      <c r="FD350" s="44" t="str">
        <f>IF(Table1[Date of Initial Assessment]="","",IF(AND(Table1[Start Date]&gt;42094,Table1[Start Date]&lt;42461),Table1[Social Networks and Relationships],""))</f>
        <v/>
      </c>
      <c r="FE350" s="44" t="str">
        <f>IF(Table1[Date of Initial Assessment]="","",IF(AND(Table1[Start Date]&gt;42094,Table1[Start Date]&lt;42461),Table1[Drug and Alcohol Misuse],""))</f>
        <v/>
      </c>
      <c r="FF350" s="44" t="str">
        <f>IF(Table1[Date of Initial Assessment]="","",IF(AND(Table1[Start Date]&gt;42094,Table1[Start Date]&lt;42461),Table1[Physical Health],""))</f>
        <v/>
      </c>
      <c r="FG350" s="44" t="str">
        <f>IF(Table1[Date of Initial Assessment]="","",IF(AND(Table1[Start Date]&gt;42094,Table1[Start Date]&lt;42461),Table1[Emotional and Mental Health],""))</f>
        <v/>
      </c>
      <c r="FH350" s="44" t="str">
        <f>IF(Table1[Date of Initial Assessment]="","",IF(AND(Table1[Start Date]&gt;42094,Table1[Start Date]&lt;42461),Table1[Meaningful Use of Time],""))</f>
        <v/>
      </c>
      <c r="FI350" s="44" t="str">
        <f>IF(Table1[Date of Initial Assessment]="","",IF(AND(Table1[Start Date]&gt;42094,Table1[Start Date]&lt;42461),Table1[Managing Tenancy and Accommodation],""))</f>
        <v/>
      </c>
      <c r="FJ350" s="44" t="str">
        <f>IF(Table1[Date of Initial Assessment]="","",IF(AND(Table1[Start Date]&gt;42094,Table1[Start Date]&lt;42461),Table1[Offending],""))</f>
        <v/>
      </c>
      <c r="FK350" s="44" t="str">
        <f>IF(Table1[Leaving Date]="","",IF(Table1[Date of Initial Assessment]="","",IF(AND(Table1[Leaving Date]&gt;42094,Table1[Leaving Date]&lt;42461),IF(Table1[Date of Last Assessment]="",Table1[Motivation and Taking Responsibility],Table1[Motivation and Taking Responsibility2]),"")))</f>
        <v/>
      </c>
      <c r="FL350" s="44" t="str">
        <f>IF(Table1[Leaving Date]="","",IF(Table1[Date of Initial Assessment]="","",IF(AND(Table1[Leaving Date]&gt;42094,Table1[Leaving Date]&lt;42461),IF(Table1[Date of Last Assessment]="",Table1[Self-Care and Living Skills],Table1[Self-Care and Living Skills2]),"")))</f>
        <v/>
      </c>
      <c r="FM350" s="44" t="str">
        <f>IF(Table1[Leaving Date]="","",IF(Table1[Date of Initial Assessment]="","",IF(AND(Table1[Leaving Date]&gt;42094,Table1[Leaving Date]&lt;42461),IF(Table1[Date of Last Assessment]="",Table1[Managing Money and Personal Administration],Table1[Managing Money and Personal Administration2]),"")))</f>
        <v/>
      </c>
      <c r="FN350" s="44" t="str">
        <f>IF(Table1[Leaving Date]="","",IF(Table1[Date of Initial Assessment]="","",IF(AND(Table1[Leaving Date]&gt;42094,Table1[Leaving Date]&lt;42461),IF(Table1[Date of Last Assessment]="",Table1[Social Networks and Relationships],Table1[Social Networks and Relationships2]),"")))</f>
        <v/>
      </c>
      <c r="FO350" s="44" t="str">
        <f>IF(Table1[Leaving Date]="","",IF(Table1[Date of Initial Assessment]="","",IF(AND(Table1[Leaving Date]&gt;42094,Table1[Leaving Date]&lt;42461),IF(Table1[Date of Last Assessment]="",Table1[Drug and Alcohol Misuse],Table1[Drug and Alcohol Misuse2]),"")))</f>
        <v/>
      </c>
      <c r="FP350" s="44" t="str">
        <f>IF(Table1[Leaving Date]="","",IF(Table1[Date of Initial Assessment]="","",IF(AND(Table1[Leaving Date]&gt;42094,Table1[Leaving Date]&lt;42461),IF(Table1[Date of Last Assessment]="",Table1[Physical Health],Table1[Physical Health2]),"")))</f>
        <v/>
      </c>
      <c r="FQ350" s="44" t="str">
        <f>IF(Table1[Leaving Date]="","",IF(Table1[Date of Initial Assessment]="","",IF(AND(Table1[Leaving Date]&gt;42094,Table1[Leaving Date]&lt;42461),IF(Table1[Date of Last Assessment]="",Table1[Emotional and Mental Health],Table1[Emotional and Mental Health2]),"")))</f>
        <v/>
      </c>
      <c r="FR350" s="44" t="str">
        <f>IF(Table1[Leaving Date]="","",IF(Table1[Date of Initial Assessment]="","",IF(AND(Table1[Leaving Date]&gt;42094,Table1[Leaving Date]&lt;42461),IF(Table1[Date of Last Assessment]="",Table1[Meaningful Use of Time],Table1[Meaningful Use of Time2]),"")))</f>
        <v/>
      </c>
      <c r="FS350" s="44" t="str">
        <f>IF(Table1[Leaving Date]="","",IF(Table1[Date of Initial Assessment]="","",IF(AND(Table1[Leaving Date]&gt;42094,Table1[Leaving Date]&lt;42461),IF(Table1[Date of Last Assessment]="",Table1[Managing Tenancy and Accommodation],Table1[Managing Tenancy and Accommodation2]),"")))</f>
        <v/>
      </c>
      <c r="FT350" s="44" t="str">
        <f>IF(Table1[Leaving Date]="","",IF(Table1[Date of Initial Assessment]="","",IF(AND(Table1[Leaving Date]&gt;42094,Table1[Leaving Date]&lt;42461),IF(Table1[Date of Last Assessment]="",Table1[Offending],Table1[Offending2]),"")))</f>
        <v/>
      </c>
      <c r="FU350" s="44" t="str">
        <f>IF(Table1[Date of Initial Assessment]="","",IF(AND(Table1[Start Date]&gt;42460,Table1[Start Date]&lt;42826),Table1[Motivation and Taking Responsibility],""))</f>
        <v/>
      </c>
      <c r="FV350" s="44" t="str">
        <f>IF(Table1[Date of Initial Assessment]="","",IF(AND(Table1[Start Date]&gt;42460,Table1[Start Date]&lt;42826),Table1[Self-Care and Living Skills],""))</f>
        <v/>
      </c>
      <c r="FW350" s="44" t="str">
        <f>IF(Table1[Date of Initial Assessment]="","",IF(AND(Table1[Start Date]&gt;42460,Table1[Start Date]&lt;42826),Table1[Managing Money and Personal Administration],""))</f>
        <v/>
      </c>
      <c r="FX350" s="44" t="str">
        <f>IF(Table1[Date of Initial Assessment]="","",IF(AND(Table1[Start Date]&gt;42460,Table1[Start Date]&lt;42826),Table1[Social Networks and Relationships],""))</f>
        <v/>
      </c>
      <c r="FY350" s="44" t="str">
        <f>IF(Table1[Date of Initial Assessment]="","",IF(AND(Table1[Start Date]&gt;42460,Table1[Start Date]&lt;42826),Table1[Drug and Alcohol Misuse],""))</f>
        <v/>
      </c>
      <c r="FZ350" s="44" t="str">
        <f>IF(Table1[Date of Initial Assessment]="","",IF(AND(Table1[Start Date]&gt;42460,Table1[Start Date]&lt;42826),Table1[Physical Health],""))</f>
        <v/>
      </c>
      <c r="GA350" s="44" t="str">
        <f>IF(Table1[Date of Initial Assessment]="","",IF(AND(Table1[Start Date]&gt;42460,Table1[Start Date]&lt;42826),Table1[Emotional and Mental Health],""))</f>
        <v/>
      </c>
      <c r="GB350" s="44" t="str">
        <f>IF(Table1[Date of Initial Assessment]="","",IF(AND(Table1[Start Date]&gt;42460,Table1[Start Date]&lt;42826),Table1[Meaningful Use of Time],""))</f>
        <v/>
      </c>
      <c r="GC350" s="44" t="str">
        <f>IF(Table1[Date of Initial Assessment]="","",IF(AND(Table1[Start Date]&gt;42460,Table1[Start Date]&lt;42826),Table1[Managing Tenancy and Accommodation],""))</f>
        <v/>
      </c>
      <c r="GD350" s="44" t="str">
        <f>IF(Table1[Date of Initial Assessment]="","",IF(AND(Table1[Start Date]&gt;42460,Table1[Start Date]&lt;42826),Table1[Offending],""))</f>
        <v/>
      </c>
      <c r="GE350" s="44" t="str">
        <f>IF(Table1[Leaving Date]="","",IF(AND(Table1[Leaving Date]&gt;42460,Table1[Leaving Date]&lt;42826),IF(Table1[Date of Last Assessment]="",Table1[Motivation and Taking Responsibility],Table1[Motivation and Taking Responsibility2]),""))</f>
        <v/>
      </c>
      <c r="GF350" s="44" t="str">
        <f>IF(Table1[Leaving Date]="","",IF(AND(Table1[Leaving Date]&gt;42460,Table1[Leaving Date]&lt;42826),IF(Table1[Date of Last Assessment]="",Table1[Self-Care and Living Skills],Table1[Self-Care and Living Skills2]),""))</f>
        <v/>
      </c>
      <c r="GG350" s="44" t="str">
        <f>IF(Table1[Leaving Date]="","",IF(AND(Table1[Leaving Date]&gt;42460,Table1[Leaving Date]&lt;42826),IF(Table1[Date of Last Assessment]="",Table1[Managing Money and Personal Administration],Table1[Managing Money and Personal Administration2]),""))</f>
        <v/>
      </c>
      <c r="GH350" s="44" t="str">
        <f>IF(Table1[Leaving Date]="","",IF(AND(Table1[Leaving Date]&gt;42460,Table1[Leaving Date]&lt;42826),IF(Table1[Date of Last Assessment]="",Table1[Social Networks and Relationships],Table1[Social Networks and Relationships2]),""))</f>
        <v/>
      </c>
      <c r="GI350" s="44" t="str">
        <f>IF(Table1[Leaving Date]="","",IF(AND(Table1[Leaving Date]&gt;42460,Table1[Leaving Date]&lt;42826),IF(Table1[Date of Last Assessment]="",Table1[Drug and Alcohol Misuse],Table1[Drug and Alcohol Misuse2]),""))</f>
        <v/>
      </c>
      <c r="GJ350" s="44" t="str">
        <f>IF(Table1[Leaving Date]="","",IF(AND(Table1[Leaving Date]&gt;42460,Table1[Leaving Date]&lt;42826),IF(Table1[Date of Last Assessment]="",Table1[Physical Health],Table1[Physical Health2]),""))</f>
        <v/>
      </c>
      <c r="GK350" s="44" t="str">
        <f>IF(Table1[Leaving Date]="","",IF(AND(Table1[Leaving Date]&gt;42460,Table1[Leaving Date]&lt;42826),IF(Table1[Date of Last Assessment]="",Table1[Emotional and Mental Health],Table1[Emotional and Mental Health2]),""))</f>
        <v/>
      </c>
      <c r="GL350" s="44" t="str">
        <f>IF(Table1[Leaving Date]="","",IF(AND(Table1[Leaving Date]&gt;42460,Table1[Leaving Date]&lt;42826),IF(Table1[Date of Last Assessment]="",Table1[Meaningful Use of Time],Table1[Meaningful Use of Time2]),""))</f>
        <v/>
      </c>
      <c r="GM350" s="44" t="str">
        <f>IF(Table1[Leaving Date]="","",IF(AND(Table1[Leaving Date]&gt;42460,Table1[Leaving Date]&lt;42826),IF(Table1[Date of Last Assessment]="",Table1[Managing Tenancy and Accommodation],Table1[Managing Tenancy and Accommodation2]),""))</f>
        <v/>
      </c>
      <c r="GN350" s="44" t="str">
        <f>IF(Table1[Leaving Date]="","",IF(AND(Table1[Leaving Date]&gt;42460,Table1[Leaving Date]&lt;42826),IF(Table1[Date of Last Assessment]="",Table1[Offending],Table1[Offending2]),""))</f>
        <v/>
      </c>
    </row>
    <row r="351" spans="2:196" ht="20.100000000000001" customHeight="1" x14ac:dyDescent="0.2">
      <c r="B351" s="86">
        <f>+'Service Data'!$C$5:$C$5</f>
        <v>0</v>
      </c>
      <c r="C351" s="86"/>
      <c r="D351" s="86"/>
      <c r="E351" s="86"/>
      <c r="F351" s="86"/>
      <c r="G351" s="86"/>
      <c r="H351" s="6"/>
      <c r="I351" s="99" t="str">
        <f ca="1">IF(Table1[[#This Row],[Date of Birth]]="","",SUM(TODAY()-Table1[[#This Row],[Date of Birth]])/365)</f>
        <v/>
      </c>
      <c r="L351" s="86"/>
      <c r="M351" s="77"/>
      <c r="N351" s="86"/>
      <c r="O351" s="86"/>
      <c r="P351" s="91"/>
      <c r="Q351" s="86"/>
      <c r="R351" s="77"/>
      <c r="S351" s="77"/>
      <c r="T351" s="68"/>
      <c r="U351" s="68"/>
      <c r="V351" s="67"/>
      <c r="W351" s="67"/>
      <c r="X351" s="67"/>
      <c r="Y351" s="67"/>
      <c r="Z351" s="67"/>
      <c r="AA351" s="67"/>
      <c r="AB351" s="67"/>
      <c r="AC351" s="67"/>
      <c r="AD351" s="67"/>
      <c r="AE351" s="67"/>
      <c r="AF351" s="67"/>
      <c r="AG351" s="67"/>
      <c r="AH351" s="67"/>
      <c r="AI351" s="67"/>
      <c r="AJ351" s="67"/>
      <c r="AK351" s="67"/>
      <c r="AL351" s="67"/>
      <c r="AM351" s="67"/>
      <c r="AN351" s="77"/>
      <c r="AO351" s="76"/>
      <c r="AP351" s="77"/>
      <c r="AQ351" s="76"/>
      <c r="AR351" s="76"/>
      <c r="AS351" s="76"/>
      <c r="AT351" s="76"/>
      <c r="AU351" s="76"/>
      <c r="AV351" s="77"/>
      <c r="AW351" s="76"/>
      <c r="AX351" s="77"/>
      <c r="AY351" s="76"/>
      <c r="AZ351" s="76"/>
      <c r="BA351" s="76"/>
      <c r="BB351" s="76"/>
      <c r="BC351" s="76"/>
      <c r="BD351" s="77"/>
      <c r="BE351" s="76"/>
      <c r="BF351" s="77"/>
      <c r="BG351" s="76"/>
      <c r="BH351" s="76"/>
      <c r="BI351" s="76"/>
      <c r="BJ351" s="76"/>
      <c r="BK351" s="76"/>
      <c r="BL351" s="77"/>
      <c r="BM351" s="76"/>
      <c r="BN351" s="77"/>
      <c r="BO351" s="76"/>
      <c r="BP351" s="76"/>
      <c r="BQ351" s="76"/>
      <c r="BR351" s="76"/>
      <c r="BS351" s="76"/>
      <c r="BT351" s="77"/>
      <c r="BU351" s="76"/>
      <c r="BV351" s="77"/>
      <c r="BW351" s="76"/>
      <c r="BX351" s="76"/>
      <c r="BY351" s="76"/>
      <c r="BZ351" s="76"/>
      <c r="CA351" s="76"/>
      <c r="CB351" s="77"/>
      <c r="CC351" s="76"/>
      <c r="CD351" s="77"/>
      <c r="CE351" s="76"/>
      <c r="CF351" s="76"/>
      <c r="CG351" s="76"/>
      <c r="CH351" s="76"/>
      <c r="CI351" s="76"/>
      <c r="CJ351" s="77"/>
      <c r="CK351" s="76"/>
      <c r="CL351" s="77"/>
      <c r="CM351" s="76"/>
      <c r="CN351" s="76"/>
      <c r="CO351" s="76"/>
      <c r="CP351" s="76"/>
      <c r="CQ351" s="76"/>
      <c r="CR351" s="78" t="str">
        <f t="shared" si="95"/>
        <v/>
      </c>
      <c r="CS351" s="79" t="str">
        <f t="shared" si="96"/>
        <v/>
      </c>
      <c r="CT351" s="79" t="str">
        <f t="shared" si="97"/>
        <v/>
      </c>
      <c r="CU351" s="79" t="str">
        <f t="shared" si="98"/>
        <v/>
      </c>
      <c r="CV351" s="79" t="str">
        <f t="shared" si="99"/>
        <v/>
      </c>
      <c r="CW351" s="79" t="str">
        <f t="shared" si="100"/>
        <v/>
      </c>
      <c r="CX351" s="79" t="str">
        <f t="shared" si="101"/>
        <v/>
      </c>
      <c r="CY351" s="79" t="str">
        <f t="shared" si="102"/>
        <v/>
      </c>
      <c r="CZ351" s="79" t="str">
        <f t="shared" si="103"/>
        <v/>
      </c>
      <c r="DA351" s="79" t="str">
        <f t="shared" si="104"/>
        <v/>
      </c>
      <c r="DB351" s="79" t="str">
        <f t="shared" si="105"/>
        <v/>
      </c>
      <c r="DC351" s="79" t="str">
        <f t="shared" si="106"/>
        <v/>
      </c>
      <c r="DD351" s="79" t="str">
        <f t="shared" si="107"/>
        <v/>
      </c>
      <c r="DE351" s="79" t="str">
        <f t="shared" si="108"/>
        <v/>
      </c>
      <c r="DF351" s="79" t="str">
        <f t="shared" si="109"/>
        <v/>
      </c>
      <c r="DG351" s="79" t="str">
        <f t="shared" si="110"/>
        <v/>
      </c>
      <c r="DH351" s="76"/>
      <c r="DI351" s="78"/>
      <c r="DJ351" s="76"/>
      <c r="DK351" s="77"/>
      <c r="DL351" s="77"/>
      <c r="DM351" s="77"/>
      <c r="DN351" s="80"/>
      <c r="DO351" s="80"/>
      <c r="DP351" s="92" t="str">
        <f>IF(Table1[Start Date]="","",IF(Table1[Start Date]&gt;42185,"",IF(AND(Table1[Leaving Date]&gt;1,Table1[Leaving Date]&lt;42095),"",1)))</f>
        <v/>
      </c>
      <c r="DQ351" s="92" t="str">
        <f>IF(Table1[Start Date]="","",IF(Table1[Start Date]&gt;42277,"",IF(AND(Table1[Leaving Date]&gt;1,Table1[Leaving Date]&lt;42186),"",1)))</f>
        <v/>
      </c>
      <c r="DR351" s="92" t="str">
        <f>IF(Table1[Start Date]="","",IF(Table1[Start Date]&gt;42369,"",IF(AND(Table1[Leaving Date]&gt;1,Table1[Leaving Date]&lt;42278),"",1)))</f>
        <v/>
      </c>
      <c r="DS351" s="92" t="str">
        <f>IF(Table1[Start Date]="","",IF(Table1[Start Date]&gt;42460,"",IF(AND(Table1[Leaving Date]&gt;1,Table1[Leaving Date]&lt;42370),"",1)))</f>
        <v/>
      </c>
      <c r="DT351" s="92" t="str">
        <f>IF(Table1[Start Date]="","",IF(Table1[Start Date]&gt;42551,"",IF(AND(Table1[Leaving Date]&gt;1,Table1[Leaving Date]&lt;42461),"",1)))</f>
        <v/>
      </c>
      <c r="DU351" s="92" t="str">
        <f>IF(Table1[Start Date]="","",IF(Table1[Start Date]&gt;42643,"",IF(AND(Table1[Leaving Date]&gt;1,Table1[Leaving Date]&lt;42552),"",1)))</f>
        <v/>
      </c>
      <c r="DV351" s="92" t="str">
        <f>IF(Table1[Start Date]="","",IF(Table1[Start Date]&gt;42735,"",IF(AND(Table1[Leaving Date]&gt;1,Table1[Leaving Date]&lt;42644),"",1)))</f>
        <v/>
      </c>
      <c r="DW351" s="92" t="str">
        <f>IF(Table1[Start Date]="","",IF(Table1[Start Date]&gt;42825,"",IF(AND(Table1[Leaving Date]&gt;1,Table1[Leaving Date]&lt;42736),"",1)))</f>
        <v/>
      </c>
      <c r="DX351"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351" s="44" t="e">
        <f>VLOOKUP(Table1[Referral Source],Lists!$G$2:$H$20,2,FALSE)</f>
        <v>#N/A</v>
      </c>
      <c r="DZ351" s="93" t="e">
        <f>SUM(Table1[Data Referral Quarter]+Table1[Data Referral Source])</f>
        <v>#N/A</v>
      </c>
      <c r="EA351" s="44" t="b">
        <f>IF(Table1[Referral Decision]="Accepted",100,IF(Table1[Referral Decision]="Rejected by Provider",200,IF(Table1[Referral Decision]="Rejected by Applicant",300)))</f>
        <v>0</v>
      </c>
      <c r="EB351" s="44">
        <f>SUM(Table1[Data Referral Quarter]+Table1[Data Referral Decision])</f>
        <v>0</v>
      </c>
      <c r="EC351" s="44" t="b">
        <f>IF(Table1[Start Date]&gt;42735,8000,IF(Table1[Start Date]&gt;42643,7000,IF(Table1[Start Date]&gt;42551,6000,IF(Table1[Start Date]&gt;42460,5000,IF(Table1[Start Date]&gt;42369,4000,IF(Table1[Start Date]&gt;42277,3000,IF(Table1[Start Date]&gt;42185,2000,IF(Table1[Start Date]&gt;42094,1000))))))))</f>
        <v>0</v>
      </c>
      <c r="ED351" s="44" t="str">
        <f>IF(Table1[Start Date]="","",IF(Table1[Current Local Authority]="Swindon",1,"2"))</f>
        <v/>
      </c>
      <c r="EE351" s="44" t="e">
        <f>SUM(Table1[Data Start Date]+Table1[Data Local Authority])</f>
        <v>#VALUE!</v>
      </c>
      <c r="EF351" s="44">
        <f>IF(Table1[Registered with GP]="Yes",1,0)</f>
        <v>0</v>
      </c>
      <c r="EG351" s="44">
        <f>SUM(Table1[Data Start Date]+Table1[Data GP Start])</f>
        <v>0</v>
      </c>
      <c r="EH351" s="44" t="str">
        <f>IF(Table1[EET]="NEET",1,IF(Table1[EET]="Education",2,IF(Table1[EET]="Employment",2,IF(Table1[EET]="Training",2,IF(Table1[EET]="Retired",3,"")))))</f>
        <v/>
      </c>
      <c r="EI351" s="44" t="e">
        <f>Table1[Data Start Date]+Table1[Data EET Start]</f>
        <v>#VALUE!</v>
      </c>
      <c r="EJ351" s="44" t="b">
        <f>IF(Table1[Leaving Date]&gt;42735,8000,IF(Table1[Leaving Date]&gt;42643,7000,IF(Table1[Leaving Date]&gt;42551,6000,IF(Table1[Leaving Date]&gt;42460,5000,IF(Table1[Leaving Date]&gt;42369,4000,IF(Table1[Leaving Date]&gt;42277,3000,IF(Table1[Leaving Date]&gt;42185,2000,IF(Table1[Leaving Date]&gt;42094,1000))))))))</f>
        <v>0</v>
      </c>
      <c r="EK351" s="44" t="e">
        <f>VLOOKUP(Table1[Reason for Leaving],Lists!$T$2:$U$15,2,FALSE)</f>
        <v>#N/A</v>
      </c>
      <c r="EL351" s="44" t="e">
        <f>SUM(Table1[Data Leavers Date]+Table1[Data Move On])</f>
        <v>#N/A</v>
      </c>
      <c r="EM351" s="44" t="b">
        <f>IF(Table1[Registered with GP2]="Yes",1,IF(Table1[Registered with GP2]="No",0,IF(Table1[Registered with GP]="Yes",1,IF(Table1[Registered with GP]="No",0))))</f>
        <v>0</v>
      </c>
      <c r="EN351" s="44">
        <f>SUM(Table1[Data Leavers Date]+Table1[Data GP End])</f>
        <v>0</v>
      </c>
      <c r="EO351" s="44" t="str">
        <f>IF(Table1[EET2]="NEET",1,IF(Table1[EET2]="Employment",2,IF(Table1[EET2]="Education",2,IF(Table1[EET2]="Training",2,IF(Table1[EET2]="Retired",3,IF(Table1[EET]="NEET",1,IF(Table1[EET]="Employment",2,IF(Table1[EET]="Education",2,IF(Table1[EET]="Training",2,IF(Table1[EET]="Retired",3,""))))))))))</f>
        <v/>
      </c>
      <c r="EP351" s="44" t="e">
        <f>+Table1[[#This Row],[Data Leavers Date]]+Table1[[#This Row],[Data EET End]]</f>
        <v>#VALUE!</v>
      </c>
      <c r="EQ351" s="44">
        <f>IF(Table1[Exit Form Received]="Yes",1,0)</f>
        <v>0</v>
      </c>
      <c r="ER351" s="44">
        <f>+Table1[[#This Row],[Data Leavers Date]]+Table1[[#This Row],[Data Exit Forms]]</f>
        <v>0</v>
      </c>
      <c r="ES351" s="44" t="str">
        <f>IF(Table1[Data Leavers Date]=1000,SUM(Table1[Leaving Date]-Table1[Start Date]),"")</f>
        <v/>
      </c>
      <c r="ET351" s="44" t="str">
        <f>IF(Table1[Data Leavers Date]=2000,SUM(Table1[Leaving Date]-Table1[Start Date]),"")</f>
        <v/>
      </c>
      <c r="EU351" s="44" t="str">
        <f>IF(Table1[Data Leavers Date]=3000,SUM(Table1[Leaving Date]-Table1[Start Date]),"")</f>
        <v/>
      </c>
      <c r="EV351" s="44" t="str">
        <f>IF(Table1[Data Leavers Date]=4000,SUM(Table1[Leaving Date]-Table1[Start Date]),"")</f>
        <v/>
      </c>
      <c r="EW351" s="44" t="str">
        <f>IF(Table1[Data Leavers Date]=5000,SUM(Table1[Leaving Date]-Table1[Start Date]),"")</f>
        <v/>
      </c>
      <c r="EX351" s="44" t="str">
        <f>IF(Table1[Data Leavers Date]=6000,SUM(Table1[Leaving Date]-Table1[Start Date]),"")</f>
        <v/>
      </c>
      <c r="EY351" s="44" t="str">
        <f>IF(Table1[Data Leavers Date]=7000,SUM(Table1[Leaving Date]-Table1[Start Date]),"")</f>
        <v/>
      </c>
      <c r="EZ351" s="44" t="str">
        <f>IF(Table1[Data Leavers Date]=8000,SUM(Table1[Leaving Date]-Table1[Start Date]),"")</f>
        <v/>
      </c>
      <c r="FA351" s="44" t="str">
        <f>IF(Table1[Date of Initial Assessment]="","",IF(AND(Table1[Start Date]&gt;42094,Table1[Start Date]&lt;42461),Table1[Motivation and Taking Responsibility],""))</f>
        <v/>
      </c>
      <c r="FB351" s="44" t="str">
        <f>IF(Table1[Date of Initial Assessment]="","",IF(AND(Table1[Start Date]&gt;42094,Table1[Start Date]&lt;42461),Table1[Self-Care and Living Skills],""))</f>
        <v/>
      </c>
      <c r="FC351" s="44" t="str">
        <f>IF(Table1[Date of Initial Assessment]="","",IF(AND(Table1[Start Date]&gt;42094,Table1[Start Date]&lt;42461),Table1[Managing Money and Personal Administration],""))</f>
        <v/>
      </c>
      <c r="FD351" s="44" t="str">
        <f>IF(Table1[Date of Initial Assessment]="","",IF(AND(Table1[Start Date]&gt;42094,Table1[Start Date]&lt;42461),Table1[Social Networks and Relationships],""))</f>
        <v/>
      </c>
      <c r="FE351" s="44" t="str">
        <f>IF(Table1[Date of Initial Assessment]="","",IF(AND(Table1[Start Date]&gt;42094,Table1[Start Date]&lt;42461),Table1[Drug and Alcohol Misuse],""))</f>
        <v/>
      </c>
      <c r="FF351" s="44" t="str">
        <f>IF(Table1[Date of Initial Assessment]="","",IF(AND(Table1[Start Date]&gt;42094,Table1[Start Date]&lt;42461),Table1[Physical Health],""))</f>
        <v/>
      </c>
      <c r="FG351" s="44" t="str">
        <f>IF(Table1[Date of Initial Assessment]="","",IF(AND(Table1[Start Date]&gt;42094,Table1[Start Date]&lt;42461),Table1[Emotional and Mental Health],""))</f>
        <v/>
      </c>
      <c r="FH351" s="44" t="str">
        <f>IF(Table1[Date of Initial Assessment]="","",IF(AND(Table1[Start Date]&gt;42094,Table1[Start Date]&lt;42461),Table1[Meaningful Use of Time],""))</f>
        <v/>
      </c>
      <c r="FI351" s="44" t="str">
        <f>IF(Table1[Date of Initial Assessment]="","",IF(AND(Table1[Start Date]&gt;42094,Table1[Start Date]&lt;42461),Table1[Managing Tenancy and Accommodation],""))</f>
        <v/>
      </c>
      <c r="FJ351" s="44" t="str">
        <f>IF(Table1[Date of Initial Assessment]="","",IF(AND(Table1[Start Date]&gt;42094,Table1[Start Date]&lt;42461),Table1[Offending],""))</f>
        <v/>
      </c>
      <c r="FK351" s="44" t="str">
        <f>IF(Table1[Leaving Date]="","",IF(Table1[Date of Initial Assessment]="","",IF(AND(Table1[Leaving Date]&gt;42094,Table1[Leaving Date]&lt;42461),IF(Table1[Date of Last Assessment]="",Table1[Motivation and Taking Responsibility],Table1[Motivation and Taking Responsibility2]),"")))</f>
        <v/>
      </c>
      <c r="FL351" s="44" t="str">
        <f>IF(Table1[Leaving Date]="","",IF(Table1[Date of Initial Assessment]="","",IF(AND(Table1[Leaving Date]&gt;42094,Table1[Leaving Date]&lt;42461),IF(Table1[Date of Last Assessment]="",Table1[Self-Care and Living Skills],Table1[Self-Care and Living Skills2]),"")))</f>
        <v/>
      </c>
      <c r="FM351" s="44" t="str">
        <f>IF(Table1[Leaving Date]="","",IF(Table1[Date of Initial Assessment]="","",IF(AND(Table1[Leaving Date]&gt;42094,Table1[Leaving Date]&lt;42461),IF(Table1[Date of Last Assessment]="",Table1[Managing Money and Personal Administration],Table1[Managing Money and Personal Administration2]),"")))</f>
        <v/>
      </c>
      <c r="FN351" s="44" t="str">
        <f>IF(Table1[Leaving Date]="","",IF(Table1[Date of Initial Assessment]="","",IF(AND(Table1[Leaving Date]&gt;42094,Table1[Leaving Date]&lt;42461),IF(Table1[Date of Last Assessment]="",Table1[Social Networks and Relationships],Table1[Social Networks and Relationships2]),"")))</f>
        <v/>
      </c>
      <c r="FO351" s="44" t="str">
        <f>IF(Table1[Leaving Date]="","",IF(Table1[Date of Initial Assessment]="","",IF(AND(Table1[Leaving Date]&gt;42094,Table1[Leaving Date]&lt;42461),IF(Table1[Date of Last Assessment]="",Table1[Drug and Alcohol Misuse],Table1[Drug and Alcohol Misuse2]),"")))</f>
        <v/>
      </c>
      <c r="FP351" s="44" t="str">
        <f>IF(Table1[Leaving Date]="","",IF(Table1[Date of Initial Assessment]="","",IF(AND(Table1[Leaving Date]&gt;42094,Table1[Leaving Date]&lt;42461),IF(Table1[Date of Last Assessment]="",Table1[Physical Health],Table1[Physical Health2]),"")))</f>
        <v/>
      </c>
      <c r="FQ351" s="44" t="str">
        <f>IF(Table1[Leaving Date]="","",IF(Table1[Date of Initial Assessment]="","",IF(AND(Table1[Leaving Date]&gt;42094,Table1[Leaving Date]&lt;42461),IF(Table1[Date of Last Assessment]="",Table1[Emotional and Mental Health],Table1[Emotional and Mental Health2]),"")))</f>
        <v/>
      </c>
      <c r="FR351" s="44" t="str">
        <f>IF(Table1[Leaving Date]="","",IF(Table1[Date of Initial Assessment]="","",IF(AND(Table1[Leaving Date]&gt;42094,Table1[Leaving Date]&lt;42461),IF(Table1[Date of Last Assessment]="",Table1[Meaningful Use of Time],Table1[Meaningful Use of Time2]),"")))</f>
        <v/>
      </c>
      <c r="FS351" s="44" t="str">
        <f>IF(Table1[Leaving Date]="","",IF(Table1[Date of Initial Assessment]="","",IF(AND(Table1[Leaving Date]&gt;42094,Table1[Leaving Date]&lt;42461),IF(Table1[Date of Last Assessment]="",Table1[Managing Tenancy and Accommodation],Table1[Managing Tenancy and Accommodation2]),"")))</f>
        <v/>
      </c>
      <c r="FT351" s="44" t="str">
        <f>IF(Table1[Leaving Date]="","",IF(Table1[Date of Initial Assessment]="","",IF(AND(Table1[Leaving Date]&gt;42094,Table1[Leaving Date]&lt;42461),IF(Table1[Date of Last Assessment]="",Table1[Offending],Table1[Offending2]),"")))</f>
        <v/>
      </c>
      <c r="FU351" s="44" t="str">
        <f>IF(Table1[Date of Initial Assessment]="","",IF(AND(Table1[Start Date]&gt;42460,Table1[Start Date]&lt;42826),Table1[Motivation and Taking Responsibility],""))</f>
        <v/>
      </c>
      <c r="FV351" s="44" t="str">
        <f>IF(Table1[Date of Initial Assessment]="","",IF(AND(Table1[Start Date]&gt;42460,Table1[Start Date]&lt;42826),Table1[Self-Care and Living Skills],""))</f>
        <v/>
      </c>
      <c r="FW351" s="44" t="str">
        <f>IF(Table1[Date of Initial Assessment]="","",IF(AND(Table1[Start Date]&gt;42460,Table1[Start Date]&lt;42826),Table1[Managing Money and Personal Administration],""))</f>
        <v/>
      </c>
      <c r="FX351" s="44" t="str">
        <f>IF(Table1[Date of Initial Assessment]="","",IF(AND(Table1[Start Date]&gt;42460,Table1[Start Date]&lt;42826),Table1[Social Networks and Relationships],""))</f>
        <v/>
      </c>
      <c r="FY351" s="44" t="str">
        <f>IF(Table1[Date of Initial Assessment]="","",IF(AND(Table1[Start Date]&gt;42460,Table1[Start Date]&lt;42826),Table1[Drug and Alcohol Misuse],""))</f>
        <v/>
      </c>
      <c r="FZ351" s="44" t="str">
        <f>IF(Table1[Date of Initial Assessment]="","",IF(AND(Table1[Start Date]&gt;42460,Table1[Start Date]&lt;42826),Table1[Physical Health],""))</f>
        <v/>
      </c>
      <c r="GA351" s="44" t="str">
        <f>IF(Table1[Date of Initial Assessment]="","",IF(AND(Table1[Start Date]&gt;42460,Table1[Start Date]&lt;42826),Table1[Emotional and Mental Health],""))</f>
        <v/>
      </c>
      <c r="GB351" s="44" t="str">
        <f>IF(Table1[Date of Initial Assessment]="","",IF(AND(Table1[Start Date]&gt;42460,Table1[Start Date]&lt;42826),Table1[Meaningful Use of Time],""))</f>
        <v/>
      </c>
      <c r="GC351" s="44" t="str">
        <f>IF(Table1[Date of Initial Assessment]="","",IF(AND(Table1[Start Date]&gt;42460,Table1[Start Date]&lt;42826),Table1[Managing Tenancy and Accommodation],""))</f>
        <v/>
      </c>
      <c r="GD351" s="44" t="str">
        <f>IF(Table1[Date of Initial Assessment]="","",IF(AND(Table1[Start Date]&gt;42460,Table1[Start Date]&lt;42826),Table1[Offending],""))</f>
        <v/>
      </c>
      <c r="GE351" s="44" t="str">
        <f>IF(Table1[Leaving Date]="","",IF(AND(Table1[Leaving Date]&gt;42460,Table1[Leaving Date]&lt;42826),IF(Table1[Date of Last Assessment]="",Table1[Motivation and Taking Responsibility],Table1[Motivation and Taking Responsibility2]),""))</f>
        <v/>
      </c>
      <c r="GF351" s="44" t="str">
        <f>IF(Table1[Leaving Date]="","",IF(AND(Table1[Leaving Date]&gt;42460,Table1[Leaving Date]&lt;42826),IF(Table1[Date of Last Assessment]="",Table1[Self-Care and Living Skills],Table1[Self-Care and Living Skills2]),""))</f>
        <v/>
      </c>
      <c r="GG351" s="44" t="str">
        <f>IF(Table1[Leaving Date]="","",IF(AND(Table1[Leaving Date]&gt;42460,Table1[Leaving Date]&lt;42826),IF(Table1[Date of Last Assessment]="",Table1[Managing Money and Personal Administration],Table1[Managing Money and Personal Administration2]),""))</f>
        <v/>
      </c>
      <c r="GH351" s="44" t="str">
        <f>IF(Table1[Leaving Date]="","",IF(AND(Table1[Leaving Date]&gt;42460,Table1[Leaving Date]&lt;42826),IF(Table1[Date of Last Assessment]="",Table1[Social Networks and Relationships],Table1[Social Networks and Relationships2]),""))</f>
        <v/>
      </c>
      <c r="GI351" s="44" t="str">
        <f>IF(Table1[Leaving Date]="","",IF(AND(Table1[Leaving Date]&gt;42460,Table1[Leaving Date]&lt;42826),IF(Table1[Date of Last Assessment]="",Table1[Drug and Alcohol Misuse],Table1[Drug and Alcohol Misuse2]),""))</f>
        <v/>
      </c>
      <c r="GJ351" s="44" t="str">
        <f>IF(Table1[Leaving Date]="","",IF(AND(Table1[Leaving Date]&gt;42460,Table1[Leaving Date]&lt;42826),IF(Table1[Date of Last Assessment]="",Table1[Physical Health],Table1[Physical Health2]),""))</f>
        <v/>
      </c>
      <c r="GK351" s="44" t="str">
        <f>IF(Table1[Leaving Date]="","",IF(AND(Table1[Leaving Date]&gt;42460,Table1[Leaving Date]&lt;42826),IF(Table1[Date of Last Assessment]="",Table1[Emotional and Mental Health],Table1[Emotional and Mental Health2]),""))</f>
        <v/>
      </c>
      <c r="GL351" s="44" t="str">
        <f>IF(Table1[Leaving Date]="","",IF(AND(Table1[Leaving Date]&gt;42460,Table1[Leaving Date]&lt;42826),IF(Table1[Date of Last Assessment]="",Table1[Meaningful Use of Time],Table1[Meaningful Use of Time2]),""))</f>
        <v/>
      </c>
      <c r="GM351" s="44" t="str">
        <f>IF(Table1[Leaving Date]="","",IF(AND(Table1[Leaving Date]&gt;42460,Table1[Leaving Date]&lt;42826),IF(Table1[Date of Last Assessment]="",Table1[Managing Tenancy and Accommodation],Table1[Managing Tenancy and Accommodation2]),""))</f>
        <v/>
      </c>
      <c r="GN351" s="44" t="str">
        <f>IF(Table1[Leaving Date]="","",IF(AND(Table1[Leaving Date]&gt;42460,Table1[Leaving Date]&lt;42826),IF(Table1[Date of Last Assessment]="",Table1[Offending],Table1[Offending2]),""))</f>
        <v/>
      </c>
    </row>
    <row r="352" spans="2:196" ht="20.100000000000001" customHeight="1" x14ac:dyDescent="0.2">
      <c r="B352" s="86">
        <f>+'Service Data'!$C$5:$C$5</f>
        <v>0</v>
      </c>
      <c r="C352" s="86"/>
      <c r="D352" s="86"/>
      <c r="E352" s="86"/>
      <c r="F352" s="86"/>
      <c r="G352" s="86"/>
      <c r="H352" s="6"/>
      <c r="I352" s="99" t="str">
        <f ca="1">IF(Table1[[#This Row],[Date of Birth]]="","",SUM(TODAY()-Table1[[#This Row],[Date of Birth]])/365)</f>
        <v/>
      </c>
      <c r="L352" s="86"/>
      <c r="M352" s="77"/>
      <c r="N352" s="86"/>
      <c r="O352" s="86"/>
      <c r="P352" s="91"/>
      <c r="Q352" s="86"/>
      <c r="R352" s="77"/>
      <c r="S352" s="77"/>
      <c r="T352" s="68"/>
      <c r="U352" s="68"/>
      <c r="V352" s="67"/>
      <c r="W352" s="67"/>
      <c r="X352" s="67"/>
      <c r="Y352" s="67"/>
      <c r="Z352" s="67"/>
      <c r="AA352" s="67"/>
      <c r="AB352" s="67"/>
      <c r="AC352" s="67"/>
      <c r="AD352" s="67"/>
      <c r="AE352" s="67"/>
      <c r="AF352" s="67"/>
      <c r="AG352" s="67"/>
      <c r="AH352" s="67"/>
      <c r="AI352" s="67"/>
      <c r="AJ352" s="67"/>
      <c r="AK352" s="67"/>
      <c r="AL352" s="67"/>
      <c r="AM352" s="67"/>
      <c r="AN352" s="77"/>
      <c r="AO352" s="76"/>
      <c r="AP352" s="77"/>
      <c r="AQ352" s="76"/>
      <c r="AR352" s="76"/>
      <c r="AS352" s="76"/>
      <c r="AT352" s="76"/>
      <c r="AU352" s="76"/>
      <c r="AV352" s="77"/>
      <c r="AW352" s="76"/>
      <c r="AX352" s="77"/>
      <c r="AY352" s="76"/>
      <c r="AZ352" s="76"/>
      <c r="BA352" s="76"/>
      <c r="BB352" s="76"/>
      <c r="BC352" s="76"/>
      <c r="BD352" s="77"/>
      <c r="BE352" s="76"/>
      <c r="BF352" s="77"/>
      <c r="BG352" s="76"/>
      <c r="BH352" s="76"/>
      <c r="BI352" s="76"/>
      <c r="BJ352" s="76"/>
      <c r="BK352" s="76"/>
      <c r="BL352" s="77"/>
      <c r="BM352" s="76"/>
      <c r="BN352" s="77"/>
      <c r="BO352" s="76"/>
      <c r="BP352" s="76"/>
      <c r="BQ352" s="76"/>
      <c r="BR352" s="76"/>
      <c r="BS352" s="76"/>
      <c r="BT352" s="77"/>
      <c r="BU352" s="76"/>
      <c r="BV352" s="77"/>
      <c r="BW352" s="76"/>
      <c r="BX352" s="76"/>
      <c r="BY352" s="76"/>
      <c r="BZ352" s="76"/>
      <c r="CA352" s="76"/>
      <c r="CB352" s="77"/>
      <c r="CC352" s="76"/>
      <c r="CD352" s="77"/>
      <c r="CE352" s="76"/>
      <c r="CF352" s="76"/>
      <c r="CG352" s="76"/>
      <c r="CH352" s="76"/>
      <c r="CI352" s="76"/>
      <c r="CJ352" s="77"/>
      <c r="CK352" s="76"/>
      <c r="CL352" s="77"/>
      <c r="CM352" s="76"/>
      <c r="CN352" s="76"/>
      <c r="CO352" s="76"/>
      <c r="CP352" s="76"/>
      <c r="CQ352" s="76"/>
      <c r="CR352" s="78" t="str">
        <f t="shared" si="95"/>
        <v/>
      </c>
      <c r="CS352" s="79" t="str">
        <f t="shared" si="96"/>
        <v/>
      </c>
      <c r="CT352" s="79" t="str">
        <f t="shared" si="97"/>
        <v/>
      </c>
      <c r="CU352" s="79" t="str">
        <f t="shared" si="98"/>
        <v/>
      </c>
      <c r="CV352" s="79" t="str">
        <f t="shared" si="99"/>
        <v/>
      </c>
      <c r="CW352" s="79" t="str">
        <f t="shared" si="100"/>
        <v/>
      </c>
      <c r="CX352" s="79" t="str">
        <f t="shared" si="101"/>
        <v/>
      </c>
      <c r="CY352" s="79" t="str">
        <f t="shared" si="102"/>
        <v/>
      </c>
      <c r="CZ352" s="79" t="str">
        <f t="shared" si="103"/>
        <v/>
      </c>
      <c r="DA352" s="79" t="str">
        <f t="shared" si="104"/>
        <v/>
      </c>
      <c r="DB352" s="79" t="str">
        <f t="shared" si="105"/>
        <v/>
      </c>
      <c r="DC352" s="79" t="str">
        <f t="shared" si="106"/>
        <v/>
      </c>
      <c r="DD352" s="79" t="str">
        <f t="shared" si="107"/>
        <v/>
      </c>
      <c r="DE352" s="79" t="str">
        <f t="shared" si="108"/>
        <v/>
      </c>
      <c r="DF352" s="79" t="str">
        <f t="shared" si="109"/>
        <v/>
      </c>
      <c r="DG352" s="79" t="str">
        <f t="shared" si="110"/>
        <v/>
      </c>
      <c r="DH352" s="76"/>
      <c r="DI352" s="78"/>
      <c r="DJ352" s="76"/>
      <c r="DK352" s="77"/>
      <c r="DL352" s="77"/>
      <c r="DM352" s="77"/>
      <c r="DN352" s="80"/>
      <c r="DO352" s="80"/>
      <c r="DP352" s="92" t="str">
        <f>IF(Table1[Start Date]="","",IF(Table1[Start Date]&gt;42185,"",IF(AND(Table1[Leaving Date]&gt;1,Table1[Leaving Date]&lt;42095),"",1)))</f>
        <v/>
      </c>
      <c r="DQ352" s="92" t="str">
        <f>IF(Table1[Start Date]="","",IF(Table1[Start Date]&gt;42277,"",IF(AND(Table1[Leaving Date]&gt;1,Table1[Leaving Date]&lt;42186),"",1)))</f>
        <v/>
      </c>
      <c r="DR352" s="92" t="str">
        <f>IF(Table1[Start Date]="","",IF(Table1[Start Date]&gt;42369,"",IF(AND(Table1[Leaving Date]&gt;1,Table1[Leaving Date]&lt;42278),"",1)))</f>
        <v/>
      </c>
      <c r="DS352" s="92" t="str">
        <f>IF(Table1[Start Date]="","",IF(Table1[Start Date]&gt;42460,"",IF(AND(Table1[Leaving Date]&gt;1,Table1[Leaving Date]&lt;42370),"",1)))</f>
        <v/>
      </c>
      <c r="DT352" s="92" t="str">
        <f>IF(Table1[Start Date]="","",IF(Table1[Start Date]&gt;42551,"",IF(AND(Table1[Leaving Date]&gt;1,Table1[Leaving Date]&lt;42461),"",1)))</f>
        <v/>
      </c>
      <c r="DU352" s="92" t="str">
        <f>IF(Table1[Start Date]="","",IF(Table1[Start Date]&gt;42643,"",IF(AND(Table1[Leaving Date]&gt;1,Table1[Leaving Date]&lt;42552),"",1)))</f>
        <v/>
      </c>
      <c r="DV352" s="92" t="str">
        <f>IF(Table1[Start Date]="","",IF(Table1[Start Date]&gt;42735,"",IF(AND(Table1[Leaving Date]&gt;1,Table1[Leaving Date]&lt;42644),"",1)))</f>
        <v/>
      </c>
      <c r="DW352" s="92" t="str">
        <f>IF(Table1[Start Date]="","",IF(Table1[Start Date]&gt;42825,"",IF(AND(Table1[Leaving Date]&gt;1,Table1[Leaving Date]&lt;42736),"",1)))</f>
        <v/>
      </c>
      <c r="DX352"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352" s="44" t="e">
        <f>VLOOKUP(Table1[Referral Source],Lists!$G$2:$H$20,2,FALSE)</f>
        <v>#N/A</v>
      </c>
      <c r="DZ352" s="93" t="e">
        <f>SUM(Table1[Data Referral Quarter]+Table1[Data Referral Source])</f>
        <v>#N/A</v>
      </c>
      <c r="EA352" s="44" t="b">
        <f>IF(Table1[Referral Decision]="Accepted",100,IF(Table1[Referral Decision]="Rejected by Provider",200,IF(Table1[Referral Decision]="Rejected by Applicant",300)))</f>
        <v>0</v>
      </c>
      <c r="EB352" s="44">
        <f>SUM(Table1[Data Referral Quarter]+Table1[Data Referral Decision])</f>
        <v>0</v>
      </c>
      <c r="EC352" s="44" t="b">
        <f>IF(Table1[Start Date]&gt;42735,8000,IF(Table1[Start Date]&gt;42643,7000,IF(Table1[Start Date]&gt;42551,6000,IF(Table1[Start Date]&gt;42460,5000,IF(Table1[Start Date]&gt;42369,4000,IF(Table1[Start Date]&gt;42277,3000,IF(Table1[Start Date]&gt;42185,2000,IF(Table1[Start Date]&gt;42094,1000))))))))</f>
        <v>0</v>
      </c>
      <c r="ED352" s="44" t="str">
        <f>IF(Table1[Start Date]="","",IF(Table1[Current Local Authority]="Swindon",1,"2"))</f>
        <v/>
      </c>
      <c r="EE352" s="44" t="e">
        <f>SUM(Table1[Data Start Date]+Table1[Data Local Authority])</f>
        <v>#VALUE!</v>
      </c>
      <c r="EF352" s="44">
        <f>IF(Table1[Registered with GP]="Yes",1,0)</f>
        <v>0</v>
      </c>
      <c r="EG352" s="44">
        <f>SUM(Table1[Data Start Date]+Table1[Data GP Start])</f>
        <v>0</v>
      </c>
      <c r="EH352" s="44" t="str">
        <f>IF(Table1[EET]="NEET",1,IF(Table1[EET]="Education",2,IF(Table1[EET]="Employment",2,IF(Table1[EET]="Training",2,IF(Table1[EET]="Retired",3,"")))))</f>
        <v/>
      </c>
      <c r="EI352" s="44" t="e">
        <f>Table1[Data Start Date]+Table1[Data EET Start]</f>
        <v>#VALUE!</v>
      </c>
      <c r="EJ352" s="44" t="b">
        <f>IF(Table1[Leaving Date]&gt;42735,8000,IF(Table1[Leaving Date]&gt;42643,7000,IF(Table1[Leaving Date]&gt;42551,6000,IF(Table1[Leaving Date]&gt;42460,5000,IF(Table1[Leaving Date]&gt;42369,4000,IF(Table1[Leaving Date]&gt;42277,3000,IF(Table1[Leaving Date]&gt;42185,2000,IF(Table1[Leaving Date]&gt;42094,1000))))))))</f>
        <v>0</v>
      </c>
      <c r="EK352" s="44" t="e">
        <f>VLOOKUP(Table1[Reason for Leaving],Lists!$T$2:$U$15,2,FALSE)</f>
        <v>#N/A</v>
      </c>
      <c r="EL352" s="44" t="e">
        <f>SUM(Table1[Data Leavers Date]+Table1[Data Move On])</f>
        <v>#N/A</v>
      </c>
      <c r="EM352" s="44" t="b">
        <f>IF(Table1[Registered with GP2]="Yes",1,IF(Table1[Registered with GP2]="No",0,IF(Table1[Registered with GP]="Yes",1,IF(Table1[Registered with GP]="No",0))))</f>
        <v>0</v>
      </c>
      <c r="EN352" s="44">
        <f>SUM(Table1[Data Leavers Date]+Table1[Data GP End])</f>
        <v>0</v>
      </c>
      <c r="EO352" s="44" t="str">
        <f>IF(Table1[EET2]="NEET",1,IF(Table1[EET2]="Employment",2,IF(Table1[EET2]="Education",2,IF(Table1[EET2]="Training",2,IF(Table1[EET2]="Retired",3,IF(Table1[EET]="NEET",1,IF(Table1[EET]="Employment",2,IF(Table1[EET]="Education",2,IF(Table1[EET]="Training",2,IF(Table1[EET]="Retired",3,""))))))))))</f>
        <v/>
      </c>
      <c r="EP352" s="44" t="e">
        <f>+Table1[[#This Row],[Data Leavers Date]]+Table1[[#This Row],[Data EET End]]</f>
        <v>#VALUE!</v>
      </c>
      <c r="EQ352" s="44">
        <f>IF(Table1[Exit Form Received]="Yes",1,0)</f>
        <v>0</v>
      </c>
      <c r="ER352" s="44">
        <f>+Table1[[#This Row],[Data Leavers Date]]+Table1[[#This Row],[Data Exit Forms]]</f>
        <v>0</v>
      </c>
      <c r="ES352" s="44" t="str">
        <f>IF(Table1[Data Leavers Date]=1000,SUM(Table1[Leaving Date]-Table1[Start Date]),"")</f>
        <v/>
      </c>
      <c r="ET352" s="44" t="str">
        <f>IF(Table1[Data Leavers Date]=2000,SUM(Table1[Leaving Date]-Table1[Start Date]),"")</f>
        <v/>
      </c>
      <c r="EU352" s="44" t="str">
        <f>IF(Table1[Data Leavers Date]=3000,SUM(Table1[Leaving Date]-Table1[Start Date]),"")</f>
        <v/>
      </c>
      <c r="EV352" s="44" t="str">
        <f>IF(Table1[Data Leavers Date]=4000,SUM(Table1[Leaving Date]-Table1[Start Date]),"")</f>
        <v/>
      </c>
      <c r="EW352" s="44" t="str">
        <f>IF(Table1[Data Leavers Date]=5000,SUM(Table1[Leaving Date]-Table1[Start Date]),"")</f>
        <v/>
      </c>
      <c r="EX352" s="44" t="str">
        <f>IF(Table1[Data Leavers Date]=6000,SUM(Table1[Leaving Date]-Table1[Start Date]),"")</f>
        <v/>
      </c>
      <c r="EY352" s="44" t="str">
        <f>IF(Table1[Data Leavers Date]=7000,SUM(Table1[Leaving Date]-Table1[Start Date]),"")</f>
        <v/>
      </c>
      <c r="EZ352" s="44" t="str">
        <f>IF(Table1[Data Leavers Date]=8000,SUM(Table1[Leaving Date]-Table1[Start Date]),"")</f>
        <v/>
      </c>
      <c r="FA352" s="44" t="str">
        <f>IF(Table1[Date of Initial Assessment]="","",IF(AND(Table1[Start Date]&gt;42094,Table1[Start Date]&lt;42461),Table1[Motivation and Taking Responsibility],""))</f>
        <v/>
      </c>
      <c r="FB352" s="44" t="str">
        <f>IF(Table1[Date of Initial Assessment]="","",IF(AND(Table1[Start Date]&gt;42094,Table1[Start Date]&lt;42461),Table1[Self-Care and Living Skills],""))</f>
        <v/>
      </c>
      <c r="FC352" s="44" t="str">
        <f>IF(Table1[Date of Initial Assessment]="","",IF(AND(Table1[Start Date]&gt;42094,Table1[Start Date]&lt;42461),Table1[Managing Money and Personal Administration],""))</f>
        <v/>
      </c>
      <c r="FD352" s="44" t="str">
        <f>IF(Table1[Date of Initial Assessment]="","",IF(AND(Table1[Start Date]&gt;42094,Table1[Start Date]&lt;42461),Table1[Social Networks and Relationships],""))</f>
        <v/>
      </c>
      <c r="FE352" s="44" t="str">
        <f>IF(Table1[Date of Initial Assessment]="","",IF(AND(Table1[Start Date]&gt;42094,Table1[Start Date]&lt;42461),Table1[Drug and Alcohol Misuse],""))</f>
        <v/>
      </c>
      <c r="FF352" s="44" t="str">
        <f>IF(Table1[Date of Initial Assessment]="","",IF(AND(Table1[Start Date]&gt;42094,Table1[Start Date]&lt;42461),Table1[Physical Health],""))</f>
        <v/>
      </c>
      <c r="FG352" s="44" t="str">
        <f>IF(Table1[Date of Initial Assessment]="","",IF(AND(Table1[Start Date]&gt;42094,Table1[Start Date]&lt;42461),Table1[Emotional and Mental Health],""))</f>
        <v/>
      </c>
      <c r="FH352" s="44" t="str">
        <f>IF(Table1[Date of Initial Assessment]="","",IF(AND(Table1[Start Date]&gt;42094,Table1[Start Date]&lt;42461),Table1[Meaningful Use of Time],""))</f>
        <v/>
      </c>
      <c r="FI352" s="44" t="str">
        <f>IF(Table1[Date of Initial Assessment]="","",IF(AND(Table1[Start Date]&gt;42094,Table1[Start Date]&lt;42461),Table1[Managing Tenancy and Accommodation],""))</f>
        <v/>
      </c>
      <c r="FJ352" s="44" t="str">
        <f>IF(Table1[Date of Initial Assessment]="","",IF(AND(Table1[Start Date]&gt;42094,Table1[Start Date]&lt;42461),Table1[Offending],""))</f>
        <v/>
      </c>
      <c r="FK352" s="44" t="str">
        <f>IF(Table1[Leaving Date]="","",IF(Table1[Date of Initial Assessment]="","",IF(AND(Table1[Leaving Date]&gt;42094,Table1[Leaving Date]&lt;42461),IF(Table1[Date of Last Assessment]="",Table1[Motivation and Taking Responsibility],Table1[Motivation and Taking Responsibility2]),"")))</f>
        <v/>
      </c>
      <c r="FL352" s="44" t="str">
        <f>IF(Table1[Leaving Date]="","",IF(Table1[Date of Initial Assessment]="","",IF(AND(Table1[Leaving Date]&gt;42094,Table1[Leaving Date]&lt;42461),IF(Table1[Date of Last Assessment]="",Table1[Self-Care and Living Skills],Table1[Self-Care and Living Skills2]),"")))</f>
        <v/>
      </c>
      <c r="FM352" s="44" t="str">
        <f>IF(Table1[Leaving Date]="","",IF(Table1[Date of Initial Assessment]="","",IF(AND(Table1[Leaving Date]&gt;42094,Table1[Leaving Date]&lt;42461),IF(Table1[Date of Last Assessment]="",Table1[Managing Money and Personal Administration],Table1[Managing Money and Personal Administration2]),"")))</f>
        <v/>
      </c>
      <c r="FN352" s="44" t="str">
        <f>IF(Table1[Leaving Date]="","",IF(Table1[Date of Initial Assessment]="","",IF(AND(Table1[Leaving Date]&gt;42094,Table1[Leaving Date]&lt;42461),IF(Table1[Date of Last Assessment]="",Table1[Social Networks and Relationships],Table1[Social Networks and Relationships2]),"")))</f>
        <v/>
      </c>
      <c r="FO352" s="44" t="str">
        <f>IF(Table1[Leaving Date]="","",IF(Table1[Date of Initial Assessment]="","",IF(AND(Table1[Leaving Date]&gt;42094,Table1[Leaving Date]&lt;42461),IF(Table1[Date of Last Assessment]="",Table1[Drug and Alcohol Misuse],Table1[Drug and Alcohol Misuse2]),"")))</f>
        <v/>
      </c>
      <c r="FP352" s="44" t="str">
        <f>IF(Table1[Leaving Date]="","",IF(Table1[Date of Initial Assessment]="","",IF(AND(Table1[Leaving Date]&gt;42094,Table1[Leaving Date]&lt;42461),IF(Table1[Date of Last Assessment]="",Table1[Physical Health],Table1[Physical Health2]),"")))</f>
        <v/>
      </c>
      <c r="FQ352" s="44" t="str">
        <f>IF(Table1[Leaving Date]="","",IF(Table1[Date of Initial Assessment]="","",IF(AND(Table1[Leaving Date]&gt;42094,Table1[Leaving Date]&lt;42461),IF(Table1[Date of Last Assessment]="",Table1[Emotional and Mental Health],Table1[Emotional and Mental Health2]),"")))</f>
        <v/>
      </c>
      <c r="FR352" s="44" t="str">
        <f>IF(Table1[Leaving Date]="","",IF(Table1[Date of Initial Assessment]="","",IF(AND(Table1[Leaving Date]&gt;42094,Table1[Leaving Date]&lt;42461),IF(Table1[Date of Last Assessment]="",Table1[Meaningful Use of Time],Table1[Meaningful Use of Time2]),"")))</f>
        <v/>
      </c>
      <c r="FS352" s="44" t="str">
        <f>IF(Table1[Leaving Date]="","",IF(Table1[Date of Initial Assessment]="","",IF(AND(Table1[Leaving Date]&gt;42094,Table1[Leaving Date]&lt;42461),IF(Table1[Date of Last Assessment]="",Table1[Managing Tenancy and Accommodation],Table1[Managing Tenancy and Accommodation2]),"")))</f>
        <v/>
      </c>
      <c r="FT352" s="44" t="str">
        <f>IF(Table1[Leaving Date]="","",IF(Table1[Date of Initial Assessment]="","",IF(AND(Table1[Leaving Date]&gt;42094,Table1[Leaving Date]&lt;42461),IF(Table1[Date of Last Assessment]="",Table1[Offending],Table1[Offending2]),"")))</f>
        <v/>
      </c>
      <c r="FU352" s="44" t="str">
        <f>IF(Table1[Date of Initial Assessment]="","",IF(AND(Table1[Start Date]&gt;42460,Table1[Start Date]&lt;42826),Table1[Motivation and Taking Responsibility],""))</f>
        <v/>
      </c>
      <c r="FV352" s="44" t="str">
        <f>IF(Table1[Date of Initial Assessment]="","",IF(AND(Table1[Start Date]&gt;42460,Table1[Start Date]&lt;42826),Table1[Self-Care and Living Skills],""))</f>
        <v/>
      </c>
      <c r="FW352" s="44" t="str">
        <f>IF(Table1[Date of Initial Assessment]="","",IF(AND(Table1[Start Date]&gt;42460,Table1[Start Date]&lt;42826),Table1[Managing Money and Personal Administration],""))</f>
        <v/>
      </c>
      <c r="FX352" s="44" t="str">
        <f>IF(Table1[Date of Initial Assessment]="","",IF(AND(Table1[Start Date]&gt;42460,Table1[Start Date]&lt;42826),Table1[Social Networks and Relationships],""))</f>
        <v/>
      </c>
      <c r="FY352" s="44" t="str">
        <f>IF(Table1[Date of Initial Assessment]="","",IF(AND(Table1[Start Date]&gt;42460,Table1[Start Date]&lt;42826),Table1[Drug and Alcohol Misuse],""))</f>
        <v/>
      </c>
      <c r="FZ352" s="44" t="str">
        <f>IF(Table1[Date of Initial Assessment]="","",IF(AND(Table1[Start Date]&gt;42460,Table1[Start Date]&lt;42826),Table1[Physical Health],""))</f>
        <v/>
      </c>
      <c r="GA352" s="44" t="str">
        <f>IF(Table1[Date of Initial Assessment]="","",IF(AND(Table1[Start Date]&gt;42460,Table1[Start Date]&lt;42826),Table1[Emotional and Mental Health],""))</f>
        <v/>
      </c>
      <c r="GB352" s="44" t="str">
        <f>IF(Table1[Date of Initial Assessment]="","",IF(AND(Table1[Start Date]&gt;42460,Table1[Start Date]&lt;42826),Table1[Meaningful Use of Time],""))</f>
        <v/>
      </c>
      <c r="GC352" s="44" t="str">
        <f>IF(Table1[Date of Initial Assessment]="","",IF(AND(Table1[Start Date]&gt;42460,Table1[Start Date]&lt;42826),Table1[Managing Tenancy and Accommodation],""))</f>
        <v/>
      </c>
      <c r="GD352" s="44" t="str">
        <f>IF(Table1[Date of Initial Assessment]="","",IF(AND(Table1[Start Date]&gt;42460,Table1[Start Date]&lt;42826),Table1[Offending],""))</f>
        <v/>
      </c>
      <c r="GE352" s="44" t="str">
        <f>IF(Table1[Leaving Date]="","",IF(AND(Table1[Leaving Date]&gt;42460,Table1[Leaving Date]&lt;42826),IF(Table1[Date of Last Assessment]="",Table1[Motivation and Taking Responsibility],Table1[Motivation and Taking Responsibility2]),""))</f>
        <v/>
      </c>
      <c r="GF352" s="44" t="str">
        <f>IF(Table1[Leaving Date]="","",IF(AND(Table1[Leaving Date]&gt;42460,Table1[Leaving Date]&lt;42826),IF(Table1[Date of Last Assessment]="",Table1[Self-Care and Living Skills],Table1[Self-Care and Living Skills2]),""))</f>
        <v/>
      </c>
      <c r="GG352" s="44" t="str">
        <f>IF(Table1[Leaving Date]="","",IF(AND(Table1[Leaving Date]&gt;42460,Table1[Leaving Date]&lt;42826),IF(Table1[Date of Last Assessment]="",Table1[Managing Money and Personal Administration],Table1[Managing Money and Personal Administration2]),""))</f>
        <v/>
      </c>
      <c r="GH352" s="44" t="str">
        <f>IF(Table1[Leaving Date]="","",IF(AND(Table1[Leaving Date]&gt;42460,Table1[Leaving Date]&lt;42826),IF(Table1[Date of Last Assessment]="",Table1[Social Networks and Relationships],Table1[Social Networks and Relationships2]),""))</f>
        <v/>
      </c>
      <c r="GI352" s="44" t="str">
        <f>IF(Table1[Leaving Date]="","",IF(AND(Table1[Leaving Date]&gt;42460,Table1[Leaving Date]&lt;42826),IF(Table1[Date of Last Assessment]="",Table1[Drug and Alcohol Misuse],Table1[Drug and Alcohol Misuse2]),""))</f>
        <v/>
      </c>
      <c r="GJ352" s="44" t="str">
        <f>IF(Table1[Leaving Date]="","",IF(AND(Table1[Leaving Date]&gt;42460,Table1[Leaving Date]&lt;42826),IF(Table1[Date of Last Assessment]="",Table1[Physical Health],Table1[Physical Health2]),""))</f>
        <v/>
      </c>
      <c r="GK352" s="44" t="str">
        <f>IF(Table1[Leaving Date]="","",IF(AND(Table1[Leaving Date]&gt;42460,Table1[Leaving Date]&lt;42826),IF(Table1[Date of Last Assessment]="",Table1[Emotional and Mental Health],Table1[Emotional and Mental Health2]),""))</f>
        <v/>
      </c>
      <c r="GL352" s="44" t="str">
        <f>IF(Table1[Leaving Date]="","",IF(AND(Table1[Leaving Date]&gt;42460,Table1[Leaving Date]&lt;42826),IF(Table1[Date of Last Assessment]="",Table1[Meaningful Use of Time],Table1[Meaningful Use of Time2]),""))</f>
        <v/>
      </c>
      <c r="GM352" s="44" t="str">
        <f>IF(Table1[Leaving Date]="","",IF(AND(Table1[Leaving Date]&gt;42460,Table1[Leaving Date]&lt;42826),IF(Table1[Date of Last Assessment]="",Table1[Managing Tenancy and Accommodation],Table1[Managing Tenancy and Accommodation2]),""))</f>
        <v/>
      </c>
      <c r="GN352" s="44" t="str">
        <f>IF(Table1[Leaving Date]="","",IF(AND(Table1[Leaving Date]&gt;42460,Table1[Leaving Date]&lt;42826),IF(Table1[Date of Last Assessment]="",Table1[Offending],Table1[Offending2]),""))</f>
        <v/>
      </c>
    </row>
    <row r="353" spans="2:196" ht="20.100000000000001" customHeight="1" x14ac:dyDescent="0.2">
      <c r="B353" s="86">
        <f>+'Service Data'!$C$5:$C$5</f>
        <v>0</v>
      </c>
      <c r="C353" s="86"/>
      <c r="D353" s="86"/>
      <c r="E353" s="86"/>
      <c r="F353" s="86"/>
      <c r="G353" s="86"/>
      <c r="H353" s="6"/>
      <c r="I353" s="99" t="str">
        <f ca="1">IF(Table1[[#This Row],[Date of Birth]]="","",SUM(TODAY()-Table1[[#This Row],[Date of Birth]])/365)</f>
        <v/>
      </c>
      <c r="L353" s="86"/>
      <c r="M353" s="77"/>
      <c r="N353" s="86"/>
      <c r="O353" s="86"/>
      <c r="P353" s="91"/>
      <c r="Q353" s="86"/>
      <c r="R353" s="77"/>
      <c r="S353" s="77"/>
      <c r="T353" s="68"/>
      <c r="U353" s="68"/>
      <c r="V353" s="67"/>
      <c r="W353" s="67"/>
      <c r="X353" s="67"/>
      <c r="Y353" s="67"/>
      <c r="Z353" s="67"/>
      <c r="AA353" s="67"/>
      <c r="AB353" s="67"/>
      <c r="AC353" s="67"/>
      <c r="AD353" s="67"/>
      <c r="AE353" s="67"/>
      <c r="AF353" s="67"/>
      <c r="AG353" s="67"/>
      <c r="AH353" s="67"/>
      <c r="AI353" s="67"/>
      <c r="AJ353" s="67"/>
      <c r="AK353" s="67"/>
      <c r="AL353" s="67"/>
      <c r="AM353" s="67"/>
      <c r="AN353" s="77"/>
      <c r="AO353" s="76"/>
      <c r="AP353" s="77"/>
      <c r="AQ353" s="76"/>
      <c r="AR353" s="76"/>
      <c r="AS353" s="76"/>
      <c r="AT353" s="76"/>
      <c r="AU353" s="76"/>
      <c r="AV353" s="77"/>
      <c r="AW353" s="76"/>
      <c r="AX353" s="77"/>
      <c r="AY353" s="76"/>
      <c r="AZ353" s="76"/>
      <c r="BA353" s="76"/>
      <c r="BB353" s="76"/>
      <c r="BC353" s="76"/>
      <c r="BD353" s="77"/>
      <c r="BE353" s="76"/>
      <c r="BF353" s="77"/>
      <c r="BG353" s="76"/>
      <c r="BH353" s="76"/>
      <c r="BI353" s="76"/>
      <c r="BJ353" s="76"/>
      <c r="BK353" s="76"/>
      <c r="BL353" s="77"/>
      <c r="BM353" s="76"/>
      <c r="BN353" s="77"/>
      <c r="BO353" s="76"/>
      <c r="BP353" s="76"/>
      <c r="BQ353" s="76"/>
      <c r="BR353" s="76"/>
      <c r="BS353" s="76"/>
      <c r="BT353" s="77"/>
      <c r="BU353" s="76"/>
      <c r="BV353" s="77"/>
      <c r="BW353" s="76"/>
      <c r="BX353" s="76"/>
      <c r="BY353" s="76"/>
      <c r="BZ353" s="76"/>
      <c r="CA353" s="76"/>
      <c r="CB353" s="77"/>
      <c r="CC353" s="76"/>
      <c r="CD353" s="77"/>
      <c r="CE353" s="76"/>
      <c r="CF353" s="76"/>
      <c r="CG353" s="76"/>
      <c r="CH353" s="76"/>
      <c r="CI353" s="76"/>
      <c r="CJ353" s="77"/>
      <c r="CK353" s="76"/>
      <c r="CL353" s="77"/>
      <c r="CM353" s="76"/>
      <c r="CN353" s="76"/>
      <c r="CO353" s="76"/>
      <c r="CP353" s="76"/>
      <c r="CQ353" s="76"/>
      <c r="CR353" s="78" t="str">
        <f t="shared" si="95"/>
        <v/>
      </c>
      <c r="CS353" s="79" t="str">
        <f t="shared" si="96"/>
        <v/>
      </c>
      <c r="CT353" s="79" t="str">
        <f t="shared" si="97"/>
        <v/>
      </c>
      <c r="CU353" s="79" t="str">
        <f t="shared" si="98"/>
        <v/>
      </c>
      <c r="CV353" s="79" t="str">
        <f t="shared" si="99"/>
        <v/>
      </c>
      <c r="CW353" s="79" t="str">
        <f t="shared" si="100"/>
        <v/>
      </c>
      <c r="CX353" s="79" t="str">
        <f t="shared" si="101"/>
        <v/>
      </c>
      <c r="CY353" s="79" t="str">
        <f t="shared" si="102"/>
        <v/>
      </c>
      <c r="CZ353" s="79" t="str">
        <f t="shared" si="103"/>
        <v/>
      </c>
      <c r="DA353" s="79" t="str">
        <f t="shared" si="104"/>
        <v/>
      </c>
      <c r="DB353" s="79" t="str">
        <f t="shared" si="105"/>
        <v/>
      </c>
      <c r="DC353" s="79" t="str">
        <f t="shared" si="106"/>
        <v/>
      </c>
      <c r="DD353" s="79" t="str">
        <f t="shared" si="107"/>
        <v/>
      </c>
      <c r="DE353" s="79" t="str">
        <f t="shared" si="108"/>
        <v/>
      </c>
      <c r="DF353" s="79" t="str">
        <f t="shared" si="109"/>
        <v/>
      </c>
      <c r="DG353" s="79" t="str">
        <f t="shared" si="110"/>
        <v/>
      </c>
      <c r="DH353" s="76"/>
      <c r="DI353" s="78"/>
      <c r="DJ353" s="76"/>
      <c r="DK353" s="77"/>
      <c r="DL353" s="77"/>
      <c r="DM353" s="77"/>
      <c r="DN353" s="80"/>
      <c r="DO353" s="80"/>
      <c r="DP353" s="92" t="str">
        <f>IF(Table1[Start Date]="","",IF(Table1[Start Date]&gt;42185,"",IF(AND(Table1[Leaving Date]&gt;1,Table1[Leaving Date]&lt;42095),"",1)))</f>
        <v/>
      </c>
      <c r="DQ353" s="92" t="str">
        <f>IF(Table1[Start Date]="","",IF(Table1[Start Date]&gt;42277,"",IF(AND(Table1[Leaving Date]&gt;1,Table1[Leaving Date]&lt;42186),"",1)))</f>
        <v/>
      </c>
      <c r="DR353" s="92" t="str">
        <f>IF(Table1[Start Date]="","",IF(Table1[Start Date]&gt;42369,"",IF(AND(Table1[Leaving Date]&gt;1,Table1[Leaving Date]&lt;42278),"",1)))</f>
        <v/>
      </c>
      <c r="DS353" s="92" t="str">
        <f>IF(Table1[Start Date]="","",IF(Table1[Start Date]&gt;42460,"",IF(AND(Table1[Leaving Date]&gt;1,Table1[Leaving Date]&lt;42370),"",1)))</f>
        <v/>
      </c>
      <c r="DT353" s="92" t="str">
        <f>IF(Table1[Start Date]="","",IF(Table1[Start Date]&gt;42551,"",IF(AND(Table1[Leaving Date]&gt;1,Table1[Leaving Date]&lt;42461),"",1)))</f>
        <v/>
      </c>
      <c r="DU353" s="92" t="str">
        <f>IF(Table1[Start Date]="","",IF(Table1[Start Date]&gt;42643,"",IF(AND(Table1[Leaving Date]&gt;1,Table1[Leaving Date]&lt;42552),"",1)))</f>
        <v/>
      </c>
      <c r="DV353" s="92" t="str">
        <f>IF(Table1[Start Date]="","",IF(Table1[Start Date]&gt;42735,"",IF(AND(Table1[Leaving Date]&gt;1,Table1[Leaving Date]&lt;42644),"",1)))</f>
        <v/>
      </c>
      <c r="DW353" s="92" t="str">
        <f>IF(Table1[Start Date]="","",IF(Table1[Start Date]&gt;42825,"",IF(AND(Table1[Leaving Date]&gt;1,Table1[Leaving Date]&lt;42736),"",1)))</f>
        <v/>
      </c>
      <c r="DX353"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353" s="44" t="e">
        <f>VLOOKUP(Table1[Referral Source],Lists!$G$2:$H$20,2,FALSE)</f>
        <v>#N/A</v>
      </c>
      <c r="DZ353" s="93" t="e">
        <f>SUM(Table1[Data Referral Quarter]+Table1[Data Referral Source])</f>
        <v>#N/A</v>
      </c>
      <c r="EA353" s="44" t="b">
        <f>IF(Table1[Referral Decision]="Accepted",100,IF(Table1[Referral Decision]="Rejected by Provider",200,IF(Table1[Referral Decision]="Rejected by Applicant",300)))</f>
        <v>0</v>
      </c>
      <c r="EB353" s="44">
        <f>SUM(Table1[Data Referral Quarter]+Table1[Data Referral Decision])</f>
        <v>0</v>
      </c>
      <c r="EC353" s="44" t="b">
        <f>IF(Table1[Start Date]&gt;42735,8000,IF(Table1[Start Date]&gt;42643,7000,IF(Table1[Start Date]&gt;42551,6000,IF(Table1[Start Date]&gt;42460,5000,IF(Table1[Start Date]&gt;42369,4000,IF(Table1[Start Date]&gt;42277,3000,IF(Table1[Start Date]&gt;42185,2000,IF(Table1[Start Date]&gt;42094,1000))))))))</f>
        <v>0</v>
      </c>
      <c r="ED353" s="44" t="str">
        <f>IF(Table1[Start Date]="","",IF(Table1[Current Local Authority]="Swindon",1,"2"))</f>
        <v/>
      </c>
      <c r="EE353" s="44" t="e">
        <f>SUM(Table1[Data Start Date]+Table1[Data Local Authority])</f>
        <v>#VALUE!</v>
      </c>
      <c r="EF353" s="44">
        <f>IF(Table1[Registered with GP]="Yes",1,0)</f>
        <v>0</v>
      </c>
      <c r="EG353" s="44">
        <f>SUM(Table1[Data Start Date]+Table1[Data GP Start])</f>
        <v>0</v>
      </c>
      <c r="EH353" s="44" t="str">
        <f>IF(Table1[EET]="NEET",1,IF(Table1[EET]="Education",2,IF(Table1[EET]="Employment",2,IF(Table1[EET]="Training",2,IF(Table1[EET]="Retired",3,"")))))</f>
        <v/>
      </c>
      <c r="EI353" s="44" t="e">
        <f>Table1[Data Start Date]+Table1[Data EET Start]</f>
        <v>#VALUE!</v>
      </c>
      <c r="EJ353" s="44" t="b">
        <f>IF(Table1[Leaving Date]&gt;42735,8000,IF(Table1[Leaving Date]&gt;42643,7000,IF(Table1[Leaving Date]&gt;42551,6000,IF(Table1[Leaving Date]&gt;42460,5000,IF(Table1[Leaving Date]&gt;42369,4000,IF(Table1[Leaving Date]&gt;42277,3000,IF(Table1[Leaving Date]&gt;42185,2000,IF(Table1[Leaving Date]&gt;42094,1000))))))))</f>
        <v>0</v>
      </c>
      <c r="EK353" s="44" t="e">
        <f>VLOOKUP(Table1[Reason for Leaving],Lists!$T$2:$U$15,2,FALSE)</f>
        <v>#N/A</v>
      </c>
      <c r="EL353" s="44" t="e">
        <f>SUM(Table1[Data Leavers Date]+Table1[Data Move On])</f>
        <v>#N/A</v>
      </c>
      <c r="EM353" s="44" t="b">
        <f>IF(Table1[Registered with GP2]="Yes",1,IF(Table1[Registered with GP2]="No",0,IF(Table1[Registered with GP]="Yes",1,IF(Table1[Registered with GP]="No",0))))</f>
        <v>0</v>
      </c>
      <c r="EN353" s="44">
        <f>SUM(Table1[Data Leavers Date]+Table1[Data GP End])</f>
        <v>0</v>
      </c>
      <c r="EO353" s="44" t="str">
        <f>IF(Table1[EET2]="NEET",1,IF(Table1[EET2]="Employment",2,IF(Table1[EET2]="Education",2,IF(Table1[EET2]="Training",2,IF(Table1[EET2]="Retired",3,IF(Table1[EET]="NEET",1,IF(Table1[EET]="Employment",2,IF(Table1[EET]="Education",2,IF(Table1[EET]="Training",2,IF(Table1[EET]="Retired",3,""))))))))))</f>
        <v/>
      </c>
      <c r="EP353" s="44" t="e">
        <f>+Table1[[#This Row],[Data Leavers Date]]+Table1[[#This Row],[Data EET End]]</f>
        <v>#VALUE!</v>
      </c>
      <c r="EQ353" s="44">
        <f>IF(Table1[Exit Form Received]="Yes",1,0)</f>
        <v>0</v>
      </c>
      <c r="ER353" s="44">
        <f>+Table1[[#This Row],[Data Leavers Date]]+Table1[[#This Row],[Data Exit Forms]]</f>
        <v>0</v>
      </c>
      <c r="ES353" s="44" t="str">
        <f>IF(Table1[Data Leavers Date]=1000,SUM(Table1[Leaving Date]-Table1[Start Date]),"")</f>
        <v/>
      </c>
      <c r="ET353" s="44" t="str">
        <f>IF(Table1[Data Leavers Date]=2000,SUM(Table1[Leaving Date]-Table1[Start Date]),"")</f>
        <v/>
      </c>
      <c r="EU353" s="44" t="str">
        <f>IF(Table1[Data Leavers Date]=3000,SUM(Table1[Leaving Date]-Table1[Start Date]),"")</f>
        <v/>
      </c>
      <c r="EV353" s="44" t="str">
        <f>IF(Table1[Data Leavers Date]=4000,SUM(Table1[Leaving Date]-Table1[Start Date]),"")</f>
        <v/>
      </c>
      <c r="EW353" s="44" t="str">
        <f>IF(Table1[Data Leavers Date]=5000,SUM(Table1[Leaving Date]-Table1[Start Date]),"")</f>
        <v/>
      </c>
      <c r="EX353" s="44" t="str">
        <f>IF(Table1[Data Leavers Date]=6000,SUM(Table1[Leaving Date]-Table1[Start Date]),"")</f>
        <v/>
      </c>
      <c r="EY353" s="44" t="str">
        <f>IF(Table1[Data Leavers Date]=7000,SUM(Table1[Leaving Date]-Table1[Start Date]),"")</f>
        <v/>
      </c>
      <c r="EZ353" s="44" t="str">
        <f>IF(Table1[Data Leavers Date]=8000,SUM(Table1[Leaving Date]-Table1[Start Date]),"")</f>
        <v/>
      </c>
      <c r="FA353" s="44" t="str">
        <f>IF(Table1[Date of Initial Assessment]="","",IF(AND(Table1[Start Date]&gt;42094,Table1[Start Date]&lt;42461),Table1[Motivation and Taking Responsibility],""))</f>
        <v/>
      </c>
      <c r="FB353" s="44" t="str">
        <f>IF(Table1[Date of Initial Assessment]="","",IF(AND(Table1[Start Date]&gt;42094,Table1[Start Date]&lt;42461),Table1[Self-Care and Living Skills],""))</f>
        <v/>
      </c>
      <c r="FC353" s="44" t="str">
        <f>IF(Table1[Date of Initial Assessment]="","",IF(AND(Table1[Start Date]&gt;42094,Table1[Start Date]&lt;42461),Table1[Managing Money and Personal Administration],""))</f>
        <v/>
      </c>
      <c r="FD353" s="44" t="str">
        <f>IF(Table1[Date of Initial Assessment]="","",IF(AND(Table1[Start Date]&gt;42094,Table1[Start Date]&lt;42461),Table1[Social Networks and Relationships],""))</f>
        <v/>
      </c>
      <c r="FE353" s="44" t="str">
        <f>IF(Table1[Date of Initial Assessment]="","",IF(AND(Table1[Start Date]&gt;42094,Table1[Start Date]&lt;42461),Table1[Drug and Alcohol Misuse],""))</f>
        <v/>
      </c>
      <c r="FF353" s="44" t="str">
        <f>IF(Table1[Date of Initial Assessment]="","",IF(AND(Table1[Start Date]&gt;42094,Table1[Start Date]&lt;42461),Table1[Physical Health],""))</f>
        <v/>
      </c>
      <c r="FG353" s="44" t="str">
        <f>IF(Table1[Date of Initial Assessment]="","",IF(AND(Table1[Start Date]&gt;42094,Table1[Start Date]&lt;42461),Table1[Emotional and Mental Health],""))</f>
        <v/>
      </c>
      <c r="FH353" s="44" t="str">
        <f>IF(Table1[Date of Initial Assessment]="","",IF(AND(Table1[Start Date]&gt;42094,Table1[Start Date]&lt;42461),Table1[Meaningful Use of Time],""))</f>
        <v/>
      </c>
      <c r="FI353" s="44" t="str">
        <f>IF(Table1[Date of Initial Assessment]="","",IF(AND(Table1[Start Date]&gt;42094,Table1[Start Date]&lt;42461),Table1[Managing Tenancy and Accommodation],""))</f>
        <v/>
      </c>
      <c r="FJ353" s="44" t="str">
        <f>IF(Table1[Date of Initial Assessment]="","",IF(AND(Table1[Start Date]&gt;42094,Table1[Start Date]&lt;42461),Table1[Offending],""))</f>
        <v/>
      </c>
      <c r="FK353" s="44" t="str">
        <f>IF(Table1[Leaving Date]="","",IF(Table1[Date of Initial Assessment]="","",IF(AND(Table1[Leaving Date]&gt;42094,Table1[Leaving Date]&lt;42461),IF(Table1[Date of Last Assessment]="",Table1[Motivation and Taking Responsibility],Table1[Motivation and Taking Responsibility2]),"")))</f>
        <v/>
      </c>
      <c r="FL353" s="44" t="str">
        <f>IF(Table1[Leaving Date]="","",IF(Table1[Date of Initial Assessment]="","",IF(AND(Table1[Leaving Date]&gt;42094,Table1[Leaving Date]&lt;42461),IF(Table1[Date of Last Assessment]="",Table1[Self-Care and Living Skills],Table1[Self-Care and Living Skills2]),"")))</f>
        <v/>
      </c>
      <c r="FM353" s="44" t="str">
        <f>IF(Table1[Leaving Date]="","",IF(Table1[Date of Initial Assessment]="","",IF(AND(Table1[Leaving Date]&gt;42094,Table1[Leaving Date]&lt;42461),IF(Table1[Date of Last Assessment]="",Table1[Managing Money and Personal Administration],Table1[Managing Money and Personal Administration2]),"")))</f>
        <v/>
      </c>
      <c r="FN353" s="44" t="str">
        <f>IF(Table1[Leaving Date]="","",IF(Table1[Date of Initial Assessment]="","",IF(AND(Table1[Leaving Date]&gt;42094,Table1[Leaving Date]&lt;42461),IF(Table1[Date of Last Assessment]="",Table1[Social Networks and Relationships],Table1[Social Networks and Relationships2]),"")))</f>
        <v/>
      </c>
      <c r="FO353" s="44" t="str">
        <f>IF(Table1[Leaving Date]="","",IF(Table1[Date of Initial Assessment]="","",IF(AND(Table1[Leaving Date]&gt;42094,Table1[Leaving Date]&lt;42461),IF(Table1[Date of Last Assessment]="",Table1[Drug and Alcohol Misuse],Table1[Drug and Alcohol Misuse2]),"")))</f>
        <v/>
      </c>
      <c r="FP353" s="44" t="str">
        <f>IF(Table1[Leaving Date]="","",IF(Table1[Date of Initial Assessment]="","",IF(AND(Table1[Leaving Date]&gt;42094,Table1[Leaving Date]&lt;42461),IF(Table1[Date of Last Assessment]="",Table1[Physical Health],Table1[Physical Health2]),"")))</f>
        <v/>
      </c>
      <c r="FQ353" s="44" t="str">
        <f>IF(Table1[Leaving Date]="","",IF(Table1[Date of Initial Assessment]="","",IF(AND(Table1[Leaving Date]&gt;42094,Table1[Leaving Date]&lt;42461),IF(Table1[Date of Last Assessment]="",Table1[Emotional and Mental Health],Table1[Emotional and Mental Health2]),"")))</f>
        <v/>
      </c>
      <c r="FR353" s="44" t="str">
        <f>IF(Table1[Leaving Date]="","",IF(Table1[Date of Initial Assessment]="","",IF(AND(Table1[Leaving Date]&gt;42094,Table1[Leaving Date]&lt;42461),IF(Table1[Date of Last Assessment]="",Table1[Meaningful Use of Time],Table1[Meaningful Use of Time2]),"")))</f>
        <v/>
      </c>
      <c r="FS353" s="44" t="str">
        <f>IF(Table1[Leaving Date]="","",IF(Table1[Date of Initial Assessment]="","",IF(AND(Table1[Leaving Date]&gt;42094,Table1[Leaving Date]&lt;42461),IF(Table1[Date of Last Assessment]="",Table1[Managing Tenancy and Accommodation],Table1[Managing Tenancy and Accommodation2]),"")))</f>
        <v/>
      </c>
      <c r="FT353" s="44" t="str">
        <f>IF(Table1[Leaving Date]="","",IF(Table1[Date of Initial Assessment]="","",IF(AND(Table1[Leaving Date]&gt;42094,Table1[Leaving Date]&lt;42461),IF(Table1[Date of Last Assessment]="",Table1[Offending],Table1[Offending2]),"")))</f>
        <v/>
      </c>
      <c r="FU353" s="44" t="str">
        <f>IF(Table1[Date of Initial Assessment]="","",IF(AND(Table1[Start Date]&gt;42460,Table1[Start Date]&lt;42826),Table1[Motivation and Taking Responsibility],""))</f>
        <v/>
      </c>
      <c r="FV353" s="44" t="str">
        <f>IF(Table1[Date of Initial Assessment]="","",IF(AND(Table1[Start Date]&gt;42460,Table1[Start Date]&lt;42826),Table1[Self-Care and Living Skills],""))</f>
        <v/>
      </c>
      <c r="FW353" s="44" t="str">
        <f>IF(Table1[Date of Initial Assessment]="","",IF(AND(Table1[Start Date]&gt;42460,Table1[Start Date]&lt;42826),Table1[Managing Money and Personal Administration],""))</f>
        <v/>
      </c>
      <c r="FX353" s="44" t="str">
        <f>IF(Table1[Date of Initial Assessment]="","",IF(AND(Table1[Start Date]&gt;42460,Table1[Start Date]&lt;42826),Table1[Social Networks and Relationships],""))</f>
        <v/>
      </c>
      <c r="FY353" s="44" t="str">
        <f>IF(Table1[Date of Initial Assessment]="","",IF(AND(Table1[Start Date]&gt;42460,Table1[Start Date]&lt;42826),Table1[Drug and Alcohol Misuse],""))</f>
        <v/>
      </c>
      <c r="FZ353" s="44" t="str">
        <f>IF(Table1[Date of Initial Assessment]="","",IF(AND(Table1[Start Date]&gt;42460,Table1[Start Date]&lt;42826),Table1[Physical Health],""))</f>
        <v/>
      </c>
      <c r="GA353" s="44" t="str">
        <f>IF(Table1[Date of Initial Assessment]="","",IF(AND(Table1[Start Date]&gt;42460,Table1[Start Date]&lt;42826),Table1[Emotional and Mental Health],""))</f>
        <v/>
      </c>
      <c r="GB353" s="44" t="str">
        <f>IF(Table1[Date of Initial Assessment]="","",IF(AND(Table1[Start Date]&gt;42460,Table1[Start Date]&lt;42826),Table1[Meaningful Use of Time],""))</f>
        <v/>
      </c>
      <c r="GC353" s="44" t="str">
        <f>IF(Table1[Date of Initial Assessment]="","",IF(AND(Table1[Start Date]&gt;42460,Table1[Start Date]&lt;42826),Table1[Managing Tenancy and Accommodation],""))</f>
        <v/>
      </c>
      <c r="GD353" s="44" t="str">
        <f>IF(Table1[Date of Initial Assessment]="","",IF(AND(Table1[Start Date]&gt;42460,Table1[Start Date]&lt;42826),Table1[Offending],""))</f>
        <v/>
      </c>
      <c r="GE353" s="44" t="str">
        <f>IF(Table1[Leaving Date]="","",IF(AND(Table1[Leaving Date]&gt;42460,Table1[Leaving Date]&lt;42826),IF(Table1[Date of Last Assessment]="",Table1[Motivation and Taking Responsibility],Table1[Motivation and Taking Responsibility2]),""))</f>
        <v/>
      </c>
      <c r="GF353" s="44" t="str">
        <f>IF(Table1[Leaving Date]="","",IF(AND(Table1[Leaving Date]&gt;42460,Table1[Leaving Date]&lt;42826),IF(Table1[Date of Last Assessment]="",Table1[Self-Care and Living Skills],Table1[Self-Care and Living Skills2]),""))</f>
        <v/>
      </c>
      <c r="GG353" s="44" t="str">
        <f>IF(Table1[Leaving Date]="","",IF(AND(Table1[Leaving Date]&gt;42460,Table1[Leaving Date]&lt;42826),IF(Table1[Date of Last Assessment]="",Table1[Managing Money and Personal Administration],Table1[Managing Money and Personal Administration2]),""))</f>
        <v/>
      </c>
      <c r="GH353" s="44" t="str">
        <f>IF(Table1[Leaving Date]="","",IF(AND(Table1[Leaving Date]&gt;42460,Table1[Leaving Date]&lt;42826),IF(Table1[Date of Last Assessment]="",Table1[Social Networks and Relationships],Table1[Social Networks and Relationships2]),""))</f>
        <v/>
      </c>
      <c r="GI353" s="44" t="str">
        <f>IF(Table1[Leaving Date]="","",IF(AND(Table1[Leaving Date]&gt;42460,Table1[Leaving Date]&lt;42826),IF(Table1[Date of Last Assessment]="",Table1[Drug and Alcohol Misuse],Table1[Drug and Alcohol Misuse2]),""))</f>
        <v/>
      </c>
      <c r="GJ353" s="44" t="str">
        <f>IF(Table1[Leaving Date]="","",IF(AND(Table1[Leaving Date]&gt;42460,Table1[Leaving Date]&lt;42826),IF(Table1[Date of Last Assessment]="",Table1[Physical Health],Table1[Physical Health2]),""))</f>
        <v/>
      </c>
      <c r="GK353" s="44" t="str">
        <f>IF(Table1[Leaving Date]="","",IF(AND(Table1[Leaving Date]&gt;42460,Table1[Leaving Date]&lt;42826),IF(Table1[Date of Last Assessment]="",Table1[Emotional and Mental Health],Table1[Emotional and Mental Health2]),""))</f>
        <v/>
      </c>
      <c r="GL353" s="44" t="str">
        <f>IF(Table1[Leaving Date]="","",IF(AND(Table1[Leaving Date]&gt;42460,Table1[Leaving Date]&lt;42826),IF(Table1[Date of Last Assessment]="",Table1[Meaningful Use of Time],Table1[Meaningful Use of Time2]),""))</f>
        <v/>
      </c>
      <c r="GM353" s="44" t="str">
        <f>IF(Table1[Leaving Date]="","",IF(AND(Table1[Leaving Date]&gt;42460,Table1[Leaving Date]&lt;42826),IF(Table1[Date of Last Assessment]="",Table1[Managing Tenancy and Accommodation],Table1[Managing Tenancy and Accommodation2]),""))</f>
        <v/>
      </c>
      <c r="GN353" s="44" t="str">
        <f>IF(Table1[Leaving Date]="","",IF(AND(Table1[Leaving Date]&gt;42460,Table1[Leaving Date]&lt;42826),IF(Table1[Date of Last Assessment]="",Table1[Offending],Table1[Offending2]),""))</f>
        <v/>
      </c>
    </row>
    <row r="354" spans="2:196" ht="20.100000000000001" customHeight="1" x14ac:dyDescent="0.2">
      <c r="B354" s="86">
        <f>+'Service Data'!$C$5:$C$5</f>
        <v>0</v>
      </c>
      <c r="C354" s="86"/>
      <c r="D354" s="86"/>
      <c r="E354" s="86"/>
      <c r="F354" s="86"/>
      <c r="G354" s="86"/>
      <c r="H354" s="6"/>
      <c r="I354" s="99" t="str">
        <f ca="1">IF(Table1[[#This Row],[Date of Birth]]="","",SUM(TODAY()-Table1[[#This Row],[Date of Birth]])/365)</f>
        <v/>
      </c>
      <c r="L354" s="86"/>
      <c r="M354" s="77"/>
      <c r="N354" s="86"/>
      <c r="O354" s="86"/>
      <c r="P354" s="91"/>
      <c r="Q354" s="86"/>
      <c r="R354" s="77"/>
      <c r="S354" s="77"/>
      <c r="T354" s="68"/>
      <c r="U354" s="68"/>
      <c r="V354" s="67"/>
      <c r="W354" s="67"/>
      <c r="X354" s="67"/>
      <c r="Y354" s="67"/>
      <c r="Z354" s="67"/>
      <c r="AA354" s="67"/>
      <c r="AB354" s="67"/>
      <c r="AC354" s="67"/>
      <c r="AD354" s="67"/>
      <c r="AE354" s="67"/>
      <c r="AF354" s="67"/>
      <c r="AG354" s="67"/>
      <c r="AH354" s="67"/>
      <c r="AI354" s="67"/>
      <c r="AJ354" s="67"/>
      <c r="AK354" s="67"/>
      <c r="AL354" s="67"/>
      <c r="AM354" s="67"/>
      <c r="AN354" s="77"/>
      <c r="AO354" s="76"/>
      <c r="AP354" s="77"/>
      <c r="AQ354" s="76"/>
      <c r="AR354" s="76"/>
      <c r="AS354" s="76"/>
      <c r="AT354" s="76"/>
      <c r="AU354" s="76"/>
      <c r="AV354" s="77"/>
      <c r="AW354" s="76"/>
      <c r="AX354" s="77"/>
      <c r="AY354" s="76"/>
      <c r="AZ354" s="76"/>
      <c r="BA354" s="76"/>
      <c r="BB354" s="76"/>
      <c r="BC354" s="76"/>
      <c r="BD354" s="77"/>
      <c r="BE354" s="76"/>
      <c r="BF354" s="77"/>
      <c r="BG354" s="76"/>
      <c r="BH354" s="76"/>
      <c r="BI354" s="76"/>
      <c r="BJ354" s="76"/>
      <c r="BK354" s="76"/>
      <c r="BL354" s="77"/>
      <c r="BM354" s="76"/>
      <c r="BN354" s="77"/>
      <c r="BO354" s="76"/>
      <c r="BP354" s="76"/>
      <c r="BQ354" s="76"/>
      <c r="BR354" s="76"/>
      <c r="BS354" s="76"/>
      <c r="BT354" s="77"/>
      <c r="BU354" s="76"/>
      <c r="BV354" s="77"/>
      <c r="BW354" s="76"/>
      <c r="BX354" s="76"/>
      <c r="BY354" s="76"/>
      <c r="BZ354" s="76"/>
      <c r="CA354" s="76"/>
      <c r="CB354" s="77"/>
      <c r="CC354" s="76"/>
      <c r="CD354" s="77"/>
      <c r="CE354" s="76"/>
      <c r="CF354" s="76"/>
      <c r="CG354" s="76"/>
      <c r="CH354" s="76"/>
      <c r="CI354" s="76"/>
      <c r="CJ354" s="77"/>
      <c r="CK354" s="76"/>
      <c r="CL354" s="77"/>
      <c r="CM354" s="76"/>
      <c r="CN354" s="76"/>
      <c r="CO354" s="76"/>
      <c r="CP354" s="76"/>
      <c r="CQ354" s="76"/>
      <c r="CR354" s="78" t="str">
        <f t="shared" si="95"/>
        <v/>
      </c>
      <c r="CS354" s="79" t="str">
        <f t="shared" si="96"/>
        <v/>
      </c>
      <c r="CT354" s="79" t="str">
        <f t="shared" si="97"/>
        <v/>
      </c>
      <c r="CU354" s="79" t="str">
        <f t="shared" si="98"/>
        <v/>
      </c>
      <c r="CV354" s="79" t="str">
        <f t="shared" si="99"/>
        <v/>
      </c>
      <c r="CW354" s="79" t="str">
        <f t="shared" si="100"/>
        <v/>
      </c>
      <c r="CX354" s="79" t="str">
        <f t="shared" si="101"/>
        <v/>
      </c>
      <c r="CY354" s="79" t="str">
        <f t="shared" si="102"/>
        <v/>
      </c>
      <c r="CZ354" s="79" t="str">
        <f t="shared" si="103"/>
        <v/>
      </c>
      <c r="DA354" s="79" t="str">
        <f t="shared" si="104"/>
        <v/>
      </c>
      <c r="DB354" s="79" t="str">
        <f t="shared" si="105"/>
        <v/>
      </c>
      <c r="DC354" s="79" t="str">
        <f t="shared" si="106"/>
        <v/>
      </c>
      <c r="DD354" s="79" t="str">
        <f t="shared" si="107"/>
        <v/>
      </c>
      <c r="DE354" s="79" t="str">
        <f t="shared" si="108"/>
        <v/>
      </c>
      <c r="DF354" s="79" t="str">
        <f t="shared" si="109"/>
        <v/>
      </c>
      <c r="DG354" s="79" t="str">
        <f t="shared" si="110"/>
        <v/>
      </c>
      <c r="DH354" s="76"/>
      <c r="DI354" s="78"/>
      <c r="DJ354" s="76"/>
      <c r="DK354" s="77"/>
      <c r="DL354" s="77"/>
      <c r="DM354" s="77"/>
      <c r="DN354" s="80"/>
      <c r="DO354" s="80"/>
      <c r="DP354" s="92" t="str">
        <f>IF(Table1[Start Date]="","",IF(Table1[Start Date]&gt;42185,"",IF(AND(Table1[Leaving Date]&gt;1,Table1[Leaving Date]&lt;42095),"",1)))</f>
        <v/>
      </c>
      <c r="DQ354" s="92" t="str">
        <f>IF(Table1[Start Date]="","",IF(Table1[Start Date]&gt;42277,"",IF(AND(Table1[Leaving Date]&gt;1,Table1[Leaving Date]&lt;42186),"",1)))</f>
        <v/>
      </c>
      <c r="DR354" s="92" t="str">
        <f>IF(Table1[Start Date]="","",IF(Table1[Start Date]&gt;42369,"",IF(AND(Table1[Leaving Date]&gt;1,Table1[Leaving Date]&lt;42278),"",1)))</f>
        <v/>
      </c>
      <c r="DS354" s="92" t="str">
        <f>IF(Table1[Start Date]="","",IF(Table1[Start Date]&gt;42460,"",IF(AND(Table1[Leaving Date]&gt;1,Table1[Leaving Date]&lt;42370),"",1)))</f>
        <v/>
      </c>
      <c r="DT354" s="92" t="str">
        <f>IF(Table1[Start Date]="","",IF(Table1[Start Date]&gt;42551,"",IF(AND(Table1[Leaving Date]&gt;1,Table1[Leaving Date]&lt;42461),"",1)))</f>
        <v/>
      </c>
      <c r="DU354" s="92" t="str">
        <f>IF(Table1[Start Date]="","",IF(Table1[Start Date]&gt;42643,"",IF(AND(Table1[Leaving Date]&gt;1,Table1[Leaving Date]&lt;42552),"",1)))</f>
        <v/>
      </c>
      <c r="DV354" s="92" t="str">
        <f>IF(Table1[Start Date]="","",IF(Table1[Start Date]&gt;42735,"",IF(AND(Table1[Leaving Date]&gt;1,Table1[Leaving Date]&lt;42644),"",1)))</f>
        <v/>
      </c>
      <c r="DW354" s="92" t="str">
        <f>IF(Table1[Start Date]="","",IF(Table1[Start Date]&gt;42825,"",IF(AND(Table1[Leaving Date]&gt;1,Table1[Leaving Date]&lt;42736),"",1)))</f>
        <v/>
      </c>
      <c r="DX354"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354" s="44" t="e">
        <f>VLOOKUP(Table1[Referral Source],Lists!$G$2:$H$20,2,FALSE)</f>
        <v>#N/A</v>
      </c>
      <c r="DZ354" s="93" t="e">
        <f>SUM(Table1[Data Referral Quarter]+Table1[Data Referral Source])</f>
        <v>#N/A</v>
      </c>
      <c r="EA354" s="44" t="b">
        <f>IF(Table1[Referral Decision]="Accepted",100,IF(Table1[Referral Decision]="Rejected by Provider",200,IF(Table1[Referral Decision]="Rejected by Applicant",300)))</f>
        <v>0</v>
      </c>
      <c r="EB354" s="44">
        <f>SUM(Table1[Data Referral Quarter]+Table1[Data Referral Decision])</f>
        <v>0</v>
      </c>
      <c r="EC354" s="44" t="b">
        <f>IF(Table1[Start Date]&gt;42735,8000,IF(Table1[Start Date]&gt;42643,7000,IF(Table1[Start Date]&gt;42551,6000,IF(Table1[Start Date]&gt;42460,5000,IF(Table1[Start Date]&gt;42369,4000,IF(Table1[Start Date]&gt;42277,3000,IF(Table1[Start Date]&gt;42185,2000,IF(Table1[Start Date]&gt;42094,1000))))))))</f>
        <v>0</v>
      </c>
      <c r="ED354" s="44" t="str">
        <f>IF(Table1[Start Date]="","",IF(Table1[Current Local Authority]="Swindon",1,"2"))</f>
        <v/>
      </c>
      <c r="EE354" s="44" t="e">
        <f>SUM(Table1[Data Start Date]+Table1[Data Local Authority])</f>
        <v>#VALUE!</v>
      </c>
      <c r="EF354" s="44">
        <f>IF(Table1[Registered with GP]="Yes",1,0)</f>
        <v>0</v>
      </c>
      <c r="EG354" s="44">
        <f>SUM(Table1[Data Start Date]+Table1[Data GP Start])</f>
        <v>0</v>
      </c>
      <c r="EH354" s="44" t="str">
        <f>IF(Table1[EET]="NEET",1,IF(Table1[EET]="Education",2,IF(Table1[EET]="Employment",2,IF(Table1[EET]="Training",2,IF(Table1[EET]="Retired",3,"")))))</f>
        <v/>
      </c>
      <c r="EI354" s="44" t="e">
        <f>Table1[Data Start Date]+Table1[Data EET Start]</f>
        <v>#VALUE!</v>
      </c>
      <c r="EJ354" s="44" t="b">
        <f>IF(Table1[Leaving Date]&gt;42735,8000,IF(Table1[Leaving Date]&gt;42643,7000,IF(Table1[Leaving Date]&gt;42551,6000,IF(Table1[Leaving Date]&gt;42460,5000,IF(Table1[Leaving Date]&gt;42369,4000,IF(Table1[Leaving Date]&gt;42277,3000,IF(Table1[Leaving Date]&gt;42185,2000,IF(Table1[Leaving Date]&gt;42094,1000))))))))</f>
        <v>0</v>
      </c>
      <c r="EK354" s="44" t="e">
        <f>VLOOKUP(Table1[Reason for Leaving],Lists!$T$2:$U$15,2,FALSE)</f>
        <v>#N/A</v>
      </c>
      <c r="EL354" s="44" t="e">
        <f>SUM(Table1[Data Leavers Date]+Table1[Data Move On])</f>
        <v>#N/A</v>
      </c>
      <c r="EM354" s="44" t="b">
        <f>IF(Table1[Registered with GP2]="Yes",1,IF(Table1[Registered with GP2]="No",0,IF(Table1[Registered with GP]="Yes",1,IF(Table1[Registered with GP]="No",0))))</f>
        <v>0</v>
      </c>
      <c r="EN354" s="44">
        <f>SUM(Table1[Data Leavers Date]+Table1[Data GP End])</f>
        <v>0</v>
      </c>
      <c r="EO354" s="44" t="str">
        <f>IF(Table1[EET2]="NEET",1,IF(Table1[EET2]="Employment",2,IF(Table1[EET2]="Education",2,IF(Table1[EET2]="Training",2,IF(Table1[EET2]="Retired",3,IF(Table1[EET]="NEET",1,IF(Table1[EET]="Employment",2,IF(Table1[EET]="Education",2,IF(Table1[EET]="Training",2,IF(Table1[EET]="Retired",3,""))))))))))</f>
        <v/>
      </c>
      <c r="EP354" s="44" t="e">
        <f>+Table1[[#This Row],[Data Leavers Date]]+Table1[[#This Row],[Data EET End]]</f>
        <v>#VALUE!</v>
      </c>
      <c r="EQ354" s="44">
        <f>IF(Table1[Exit Form Received]="Yes",1,0)</f>
        <v>0</v>
      </c>
      <c r="ER354" s="44">
        <f>+Table1[[#This Row],[Data Leavers Date]]+Table1[[#This Row],[Data Exit Forms]]</f>
        <v>0</v>
      </c>
      <c r="ES354" s="44" t="str">
        <f>IF(Table1[Data Leavers Date]=1000,SUM(Table1[Leaving Date]-Table1[Start Date]),"")</f>
        <v/>
      </c>
      <c r="ET354" s="44" t="str">
        <f>IF(Table1[Data Leavers Date]=2000,SUM(Table1[Leaving Date]-Table1[Start Date]),"")</f>
        <v/>
      </c>
      <c r="EU354" s="44" t="str">
        <f>IF(Table1[Data Leavers Date]=3000,SUM(Table1[Leaving Date]-Table1[Start Date]),"")</f>
        <v/>
      </c>
      <c r="EV354" s="44" t="str">
        <f>IF(Table1[Data Leavers Date]=4000,SUM(Table1[Leaving Date]-Table1[Start Date]),"")</f>
        <v/>
      </c>
      <c r="EW354" s="44" t="str">
        <f>IF(Table1[Data Leavers Date]=5000,SUM(Table1[Leaving Date]-Table1[Start Date]),"")</f>
        <v/>
      </c>
      <c r="EX354" s="44" t="str">
        <f>IF(Table1[Data Leavers Date]=6000,SUM(Table1[Leaving Date]-Table1[Start Date]),"")</f>
        <v/>
      </c>
      <c r="EY354" s="44" t="str">
        <f>IF(Table1[Data Leavers Date]=7000,SUM(Table1[Leaving Date]-Table1[Start Date]),"")</f>
        <v/>
      </c>
      <c r="EZ354" s="44" t="str">
        <f>IF(Table1[Data Leavers Date]=8000,SUM(Table1[Leaving Date]-Table1[Start Date]),"")</f>
        <v/>
      </c>
      <c r="FA354" s="44" t="str">
        <f>IF(Table1[Date of Initial Assessment]="","",IF(AND(Table1[Start Date]&gt;42094,Table1[Start Date]&lt;42461),Table1[Motivation and Taking Responsibility],""))</f>
        <v/>
      </c>
      <c r="FB354" s="44" t="str">
        <f>IF(Table1[Date of Initial Assessment]="","",IF(AND(Table1[Start Date]&gt;42094,Table1[Start Date]&lt;42461),Table1[Self-Care and Living Skills],""))</f>
        <v/>
      </c>
      <c r="FC354" s="44" t="str">
        <f>IF(Table1[Date of Initial Assessment]="","",IF(AND(Table1[Start Date]&gt;42094,Table1[Start Date]&lt;42461),Table1[Managing Money and Personal Administration],""))</f>
        <v/>
      </c>
      <c r="FD354" s="44" t="str">
        <f>IF(Table1[Date of Initial Assessment]="","",IF(AND(Table1[Start Date]&gt;42094,Table1[Start Date]&lt;42461),Table1[Social Networks and Relationships],""))</f>
        <v/>
      </c>
      <c r="FE354" s="44" t="str">
        <f>IF(Table1[Date of Initial Assessment]="","",IF(AND(Table1[Start Date]&gt;42094,Table1[Start Date]&lt;42461),Table1[Drug and Alcohol Misuse],""))</f>
        <v/>
      </c>
      <c r="FF354" s="44" t="str">
        <f>IF(Table1[Date of Initial Assessment]="","",IF(AND(Table1[Start Date]&gt;42094,Table1[Start Date]&lt;42461),Table1[Physical Health],""))</f>
        <v/>
      </c>
      <c r="FG354" s="44" t="str">
        <f>IF(Table1[Date of Initial Assessment]="","",IF(AND(Table1[Start Date]&gt;42094,Table1[Start Date]&lt;42461),Table1[Emotional and Mental Health],""))</f>
        <v/>
      </c>
      <c r="FH354" s="44" t="str">
        <f>IF(Table1[Date of Initial Assessment]="","",IF(AND(Table1[Start Date]&gt;42094,Table1[Start Date]&lt;42461),Table1[Meaningful Use of Time],""))</f>
        <v/>
      </c>
      <c r="FI354" s="44" t="str">
        <f>IF(Table1[Date of Initial Assessment]="","",IF(AND(Table1[Start Date]&gt;42094,Table1[Start Date]&lt;42461),Table1[Managing Tenancy and Accommodation],""))</f>
        <v/>
      </c>
      <c r="FJ354" s="44" t="str">
        <f>IF(Table1[Date of Initial Assessment]="","",IF(AND(Table1[Start Date]&gt;42094,Table1[Start Date]&lt;42461),Table1[Offending],""))</f>
        <v/>
      </c>
      <c r="FK354" s="44" t="str">
        <f>IF(Table1[Leaving Date]="","",IF(Table1[Date of Initial Assessment]="","",IF(AND(Table1[Leaving Date]&gt;42094,Table1[Leaving Date]&lt;42461),IF(Table1[Date of Last Assessment]="",Table1[Motivation and Taking Responsibility],Table1[Motivation and Taking Responsibility2]),"")))</f>
        <v/>
      </c>
      <c r="FL354" s="44" t="str">
        <f>IF(Table1[Leaving Date]="","",IF(Table1[Date of Initial Assessment]="","",IF(AND(Table1[Leaving Date]&gt;42094,Table1[Leaving Date]&lt;42461),IF(Table1[Date of Last Assessment]="",Table1[Self-Care and Living Skills],Table1[Self-Care and Living Skills2]),"")))</f>
        <v/>
      </c>
      <c r="FM354" s="44" t="str">
        <f>IF(Table1[Leaving Date]="","",IF(Table1[Date of Initial Assessment]="","",IF(AND(Table1[Leaving Date]&gt;42094,Table1[Leaving Date]&lt;42461),IF(Table1[Date of Last Assessment]="",Table1[Managing Money and Personal Administration],Table1[Managing Money and Personal Administration2]),"")))</f>
        <v/>
      </c>
      <c r="FN354" s="44" t="str">
        <f>IF(Table1[Leaving Date]="","",IF(Table1[Date of Initial Assessment]="","",IF(AND(Table1[Leaving Date]&gt;42094,Table1[Leaving Date]&lt;42461),IF(Table1[Date of Last Assessment]="",Table1[Social Networks and Relationships],Table1[Social Networks and Relationships2]),"")))</f>
        <v/>
      </c>
      <c r="FO354" s="44" t="str">
        <f>IF(Table1[Leaving Date]="","",IF(Table1[Date of Initial Assessment]="","",IF(AND(Table1[Leaving Date]&gt;42094,Table1[Leaving Date]&lt;42461),IF(Table1[Date of Last Assessment]="",Table1[Drug and Alcohol Misuse],Table1[Drug and Alcohol Misuse2]),"")))</f>
        <v/>
      </c>
      <c r="FP354" s="44" t="str">
        <f>IF(Table1[Leaving Date]="","",IF(Table1[Date of Initial Assessment]="","",IF(AND(Table1[Leaving Date]&gt;42094,Table1[Leaving Date]&lt;42461),IF(Table1[Date of Last Assessment]="",Table1[Physical Health],Table1[Physical Health2]),"")))</f>
        <v/>
      </c>
      <c r="FQ354" s="44" t="str">
        <f>IF(Table1[Leaving Date]="","",IF(Table1[Date of Initial Assessment]="","",IF(AND(Table1[Leaving Date]&gt;42094,Table1[Leaving Date]&lt;42461),IF(Table1[Date of Last Assessment]="",Table1[Emotional and Mental Health],Table1[Emotional and Mental Health2]),"")))</f>
        <v/>
      </c>
      <c r="FR354" s="44" t="str">
        <f>IF(Table1[Leaving Date]="","",IF(Table1[Date of Initial Assessment]="","",IF(AND(Table1[Leaving Date]&gt;42094,Table1[Leaving Date]&lt;42461),IF(Table1[Date of Last Assessment]="",Table1[Meaningful Use of Time],Table1[Meaningful Use of Time2]),"")))</f>
        <v/>
      </c>
      <c r="FS354" s="44" t="str">
        <f>IF(Table1[Leaving Date]="","",IF(Table1[Date of Initial Assessment]="","",IF(AND(Table1[Leaving Date]&gt;42094,Table1[Leaving Date]&lt;42461),IF(Table1[Date of Last Assessment]="",Table1[Managing Tenancy and Accommodation],Table1[Managing Tenancy and Accommodation2]),"")))</f>
        <v/>
      </c>
      <c r="FT354" s="44" t="str">
        <f>IF(Table1[Leaving Date]="","",IF(Table1[Date of Initial Assessment]="","",IF(AND(Table1[Leaving Date]&gt;42094,Table1[Leaving Date]&lt;42461),IF(Table1[Date of Last Assessment]="",Table1[Offending],Table1[Offending2]),"")))</f>
        <v/>
      </c>
      <c r="FU354" s="44" t="str">
        <f>IF(Table1[Date of Initial Assessment]="","",IF(AND(Table1[Start Date]&gt;42460,Table1[Start Date]&lt;42826),Table1[Motivation and Taking Responsibility],""))</f>
        <v/>
      </c>
      <c r="FV354" s="44" t="str">
        <f>IF(Table1[Date of Initial Assessment]="","",IF(AND(Table1[Start Date]&gt;42460,Table1[Start Date]&lt;42826),Table1[Self-Care and Living Skills],""))</f>
        <v/>
      </c>
      <c r="FW354" s="44" t="str">
        <f>IF(Table1[Date of Initial Assessment]="","",IF(AND(Table1[Start Date]&gt;42460,Table1[Start Date]&lt;42826),Table1[Managing Money and Personal Administration],""))</f>
        <v/>
      </c>
      <c r="FX354" s="44" t="str">
        <f>IF(Table1[Date of Initial Assessment]="","",IF(AND(Table1[Start Date]&gt;42460,Table1[Start Date]&lt;42826),Table1[Social Networks and Relationships],""))</f>
        <v/>
      </c>
      <c r="FY354" s="44" t="str">
        <f>IF(Table1[Date of Initial Assessment]="","",IF(AND(Table1[Start Date]&gt;42460,Table1[Start Date]&lt;42826),Table1[Drug and Alcohol Misuse],""))</f>
        <v/>
      </c>
      <c r="FZ354" s="44" t="str">
        <f>IF(Table1[Date of Initial Assessment]="","",IF(AND(Table1[Start Date]&gt;42460,Table1[Start Date]&lt;42826),Table1[Physical Health],""))</f>
        <v/>
      </c>
      <c r="GA354" s="44" t="str">
        <f>IF(Table1[Date of Initial Assessment]="","",IF(AND(Table1[Start Date]&gt;42460,Table1[Start Date]&lt;42826),Table1[Emotional and Mental Health],""))</f>
        <v/>
      </c>
      <c r="GB354" s="44" t="str">
        <f>IF(Table1[Date of Initial Assessment]="","",IF(AND(Table1[Start Date]&gt;42460,Table1[Start Date]&lt;42826),Table1[Meaningful Use of Time],""))</f>
        <v/>
      </c>
      <c r="GC354" s="44" t="str">
        <f>IF(Table1[Date of Initial Assessment]="","",IF(AND(Table1[Start Date]&gt;42460,Table1[Start Date]&lt;42826),Table1[Managing Tenancy and Accommodation],""))</f>
        <v/>
      </c>
      <c r="GD354" s="44" t="str">
        <f>IF(Table1[Date of Initial Assessment]="","",IF(AND(Table1[Start Date]&gt;42460,Table1[Start Date]&lt;42826),Table1[Offending],""))</f>
        <v/>
      </c>
      <c r="GE354" s="44" t="str">
        <f>IF(Table1[Leaving Date]="","",IF(AND(Table1[Leaving Date]&gt;42460,Table1[Leaving Date]&lt;42826),IF(Table1[Date of Last Assessment]="",Table1[Motivation and Taking Responsibility],Table1[Motivation and Taking Responsibility2]),""))</f>
        <v/>
      </c>
      <c r="GF354" s="44" t="str">
        <f>IF(Table1[Leaving Date]="","",IF(AND(Table1[Leaving Date]&gt;42460,Table1[Leaving Date]&lt;42826),IF(Table1[Date of Last Assessment]="",Table1[Self-Care and Living Skills],Table1[Self-Care and Living Skills2]),""))</f>
        <v/>
      </c>
      <c r="GG354" s="44" t="str">
        <f>IF(Table1[Leaving Date]="","",IF(AND(Table1[Leaving Date]&gt;42460,Table1[Leaving Date]&lt;42826),IF(Table1[Date of Last Assessment]="",Table1[Managing Money and Personal Administration],Table1[Managing Money and Personal Administration2]),""))</f>
        <v/>
      </c>
      <c r="GH354" s="44" t="str">
        <f>IF(Table1[Leaving Date]="","",IF(AND(Table1[Leaving Date]&gt;42460,Table1[Leaving Date]&lt;42826),IF(Table1[Date of Last Assessment]="",Table1[Social Networks and Relationships],Table1[Social Networks and Relationships2]),""))</f>
        <v/>
      </c>
      <c r="GI354" s="44" t="str">
        <f>IF(Table1[Leaving Date]="","",IF(AND(Table1[Leaving Date]&gt;42460,Table1[Leaving Date]&lt;42826),IF(Table1[Date of Last Assessment]="",Table1[Drug and Alcohol Misuse],Table1[Drug and Alcohol Misuse2]),""))</f>
        <v/>
      </c>
      <c r="GJ354" s="44" t="str">
        <f>IF(Table1[Leaving Date]="","",IF(AND(Table1[Leaving Date]&gt;42460,Table1[Leaving Date]&lt;42826),IF(Table1[Date of Last Assessment]="",Table1[Physical Health],Table1[Physical Health2]),""))</f>
        <v/>
      </c>
      <c r="GK354" s="44" t="str">
        <f>IF(Table1[Leaving Date]="","",IF(AND(Table1[Leaving Date]&gt;42460,Table1[Leaving Date]&lt;42826),IF(Table1[Date of Last Assessment]="",Table1[Emotional and Mental Health],Table1[Emotional and Mental Health2]),""))</f>
        <v/>
      </c>
      <c r="GL354" s="44" t="str">
        <f>IF(Table1[Leaving Date]="","",IF(AND(Table1[Leaving Date]&gt;42460,Table1[Leaving Date]&lt;42826),IF(Table1[Date of Last Assessment]="",Table1[Meaningful Use of Time],Table1[Meaningful Use of Time2]),""))</f>
        <v/>
      </c>
      <c r="GM354" s="44" t="str">
        <f>IF(Table1[Leaving Date]="","",IF(AND(Table1[Leaving Date]&gt;42460,Table1[Leaving Date]&lt;42826),IF(Table1[Date of Last Assessment]="",Table1[Managing Tenancy and Accommodation],Table1[Managing Tenancy and Accommodation2]),""))</f>
        <v/>
      </c>
      <c r="GN354" s="44" t="str">
        <f>IF(Table1[Leaving Date]="","",IF(AND(Table1[Leaving Date]&gt;42460,Table1[Leaving Date]&lt;42826),IF(Table1[Date of Last Assessment]="",Table1[Offending],Table1[Offending2]),""))</f>
        <v/>
      </c>
    </row>
    <row r="355" spans="2:196" ht="20.100000000000001" customHeight="1" x14ac:dyDescent="0.2">
      <c r="B355" s="86">
        <f>+'Service Data'!$C$5:$C$5</f>
        <v>0</v>
      </c>
      <c r="C355" s="86"/>
      <c r="D355" s="86"/>
      <c r="E355" s="86"/>
      <c r="F355" s="86"/>
      <c r="G355" s="86"/>
      <c r="H355" s="6"/>
      <c r="I355" s="99" t="str">
        <f ca="1">IF(Table1[[#This Row],[Date of Birth]]="","",SUM(TODAY()-Table1[[#This Row],[Date of Birth]])/365)</f>
        <v/>
      </c>
      <c r="L355" s="86"/>
      <c r="M355" s="77"/>
      <c r="N355" s="86"/>
      <c r="O355" s="86"/>
      <c r="P355" s="91"/>
      <c r="Q355" s="86"/>
      <c r="R355" s="77"/>
      <c r="S355" s="77"/>
      <c r="T355" s="68"/>
      <c r="U355" s="68"/>
      <c r="V355" s="67"/>
      <c r="W355" s="67"/>
      <c r="X355" s="67"/>
      <c r="Y355" s="67"/>
      <c r="Z355" s="67"/>
      <c r="AA355" s="67"/>
      <c r="AB355" s="67"/>
      <c r="AC355" s="67"/>
      <c r="AD355" s="67"/>
      <c r="AE355" s="67"/>
      <c r="AF355" s="67"/>
      <c r="AG355" s="67"/>
      <c r="AH355" s="67"/>
      <c r="AI355" s="67"/>
      <c r="AJ355" s="67"/>
      <c r="AK355" s="67"/>
      <c r="AL355" s="67"/>
      <c r="AM355" s="67"/>
      <c r="AN355" s="77"/>
      <c r="AO355" s="76"/>
      <c r="AP355" s="77"/>
      <c r="AQ355" s="76"/>
      <c r="AR355" s="76"/>
      <c r="AS355" s="76"/>
      <c r="AT355" s="76"/>
      <c r="AU355" s="76"/>
      <c r="AV355" s="77"/>
      <c r="AW355" s="76"/>
      <c r="AX355" s="77"/>
      <c r="AY355" s="76"/>
      <c r="AZ355" s="76"/>
      <c r="BA355" s="76"/>
      <c r="BB355" s="76"/>
      <c r="BC355" s="76"/>
      <c r="BD355" s="77"/>
      <c r="BE355" s="76"/>
      <c r="BF355" s="77"/>
      <c r="BG355" s="76"/>
      <c r="BH355" s="76"/>
      <c r="BI355" s="76"/>
      <c r="BJ355" s="76"/>
      <c r="BK355" s="76"/>
      <c r="BL355" s="77"/>
      <c r="BM355" s="76"/>
      <c r="BN355" s="77"/>
      <c r="BO355" s="76"/>
      <c r="BP355" s="76"/>
      <c r="BQ355" s="76"/>
      <c r="BR355" s="76"/>
      <c r="BS355" s="76"/>
      <c r="BT355" s="77"/>
      <c r="BU355" s="76"/>
      <c r="BV355" s="77"/>
      <c r="BW355" s="76"/>
      <c r="BX355" s="76"/>
      <c r="BY355" s="76"/>
      <c r="BZ355" s="76"/>
      <c r="CA355" s="76"/>
      <c r="CB355" s="77"/>
      <c r="CC355" s="76"/>
      <c r="CD355" s="77"/>
      <c r="CE355" s="76"/>
      <c r="CF355" s="76"/>
      <c r="CG355" s="76"/>
      <c r="CH355" s="76"/>
      <c r="CI355" s="76"/>
      <c r="CJ355" s="77"/>
      <c r="CK355" s="76"/>
      <c r="CL355" s="77"/>
      <c r="CM355" s="76"/>
      <c r="CN355" s="76"/>
      <c r="CO355" s="76"/>
      <c r="CP355" s="76"/>
      <c r="CQ355" s="76"/>
      <c r="CR355" s="78" t="str">
        <f t="shared" si="95"/>
        <v/>
      </c>
      <c r="CS355" s="79" t="str">
        <f t="shared" si="96"/>
        <v/>
      </c>
      <c r="CT355" s="79" t="str">
        <f t="shared" si="97"/>
        <v/>
      </c>
      <c r="CU355" s="79" t="str">
        <f t="shared" si="98"/>
        <v/>
      </c>
      <c r="CV355" s="79" t="str">
        <f t="shared" si="99"/>
        <v/>
      </c>
      <c r="CW355" s="79" t="str">
        <f t="shared" si="100"/>
        <v/>
      </c>
      <c r="CX355" s="79" t="str">
        <f t="shared" si="101"/>
        <v/>
      </c>
      <c r="CY355" s="79" t="str">
        <f t="shared" si="102"/>
        <v/>
      </c>
      <c r="CZ355" s="79" t="str">
        <f t="shared" si="103"/>
        <v/>
      </c>
      <c r="DA355" s="79" t="str">
        <f t="shared" si="104"/>
        <v/>
      </c>
      <c r="DB355" s="79" t="str">
        <f t="shared" si="105"/>
        <v/>
      </c>
      <c r="DC355" s="79" t="str">
        <f t="shared" si="106"/>
        <v/>
      </c>
      <c r="DD355" s="79" t="str">
        <f t="shared" si="107"/>
        <v/>
      </c>
      <c r="DE355" s="79" t="str">
        <f t="shared" si="108"/>
        <v/>
      </c>
      <c r="DF355" s="79" t="str">
        <f t="shared" si="109"/>
        <v/>
      </c>
      <c r="DG355" s="79" t="str">
        <f t="shared" si="110"/>
        <v/>
      </c>
      <c r="DH355" s="76"/>
      <c r="DI355" s="78"/>
      <c r="DJ355" s="76"/>
      <c r="DK355" s="77"/>
      <c r="DL355" s="77"/>
      <c r="DM355" s="77"/>
      <c r="DN355" s="80"/>
      <c r="DO355" s="80"/>
      <c r="DP355" s="92" t="str">
        <f>IF(Table1[Start Date]="","",IF(Table1[Start Date]&gt;42185,"",IF(AND(Table1[Leaving Date]&gt;1,Table1[Leaving Date]&lt;42095),"",1)))</f>
        <v/>
      </c>
      <c r="DQ355" s="92" t="str">
        <f>IF(Table1[Start Date]="","",IF(Table1[Start Date]&gt;42277,"",IF(AND(Table1[Leaving Date]&gt;1,Table1[Leaving Date]&lt;42186),"",1)))</f>
        <v/>
      </c>
      <c r="DR355" s="92" t="str">
        <f>IF(Table1[Start Date]="","",IF(Table1[Start Date]&gt;42369,"",IF(AND(Table1[Leaving Date]&gt;1,Table1[Leaving Date]&lt;42278),"",1)))</f>
        <v/>
      </c>
      <c r="DS355" s="92" t="str">
        <f>IF(Table1[Start Date]="","",IF(Table1[Start Date]&gt;42460,"",IF(AND(Table1[Leaving Date]&gt;1,Table1[Leaving Date]&lt;42370),"",1)))</f>
        <v/>
      </c>
      <c r="DT355" s="92" t="str">
        <f>IF(Table1[Start Date]="","",IF(Table1[Start Date]&gt;42551,"",IF(AND(Table1[Leaving Date]&gt;1,Table1[Leaving Date]&lt;42461),"",1)))</f>
        <v/>
      </c>
      <c r="DU355" s="92" t="str">
        <f>IF(Table1[Start Date]="","",IF(Table1[Start Date]&gt;42643,"",IF(AND(Table1[Leaving Date]&gt;1,Table1[Leaving Date]&lt;42552),"",1)))</f>
        <v/>
      </c>
      <c r="DV355" s="92" t="str">
        <f>IF(Table1[Start Date]="","",IF(Table1[Start Date]&gt;42735,"",IF(AND(Table1[Leaving Date]&gt;1,Table1[Leaving Date]&lt;42644),"",1)))</f>
        <v/>
      </c>
      <c r="DW355" s="92" t="str">
        <f>IF(Table1[Start Date]="","",IF(Table1[Start Date]&gt;42825,"",IF(AND(Table1[Leaving Date]&gt;1,Table1[Leaving Date]&lt;42736),"",1)))</f>
        <v/>
      </c>
      <c r="DX355"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355" s="44" t="e">
        <f>VLOOKUP(Table1[Referral Source],Lists!$G$2:$H$20,2,FALSE)</f>
        <v>#N/A</v>
      </c>
      <c r="DZ355" s="93" t="e">
        <f>SUM(Table1[Data Referral Quarter]+Table1[Data Referral Source])</f>
        <v>#N/A</v>
      </c>
      <c r="EA355" s="44" t="b">
        <f>IF(Table1[Referral Decision]="Accepted",100,IF(Table1[Referral Decision]="Rejected by Provider",200,IF(Table1[Referral Decision]="Rejected by Applicant",300)))</f>
        <v>0</v>
      </c>
      <c r="EB355" s="44">
        <f>SUM(Table1[Data Referral Quarter]+Table1[Data Referral Decision])</f>
        <v>0</v>
      </c>
      <c r="EC355" s="44" t="b">
        <f>IF(Table1[Start Date]&gt;42735,8000,IF(Table1[Start Date]&gt;42643,7000,IF(Table1[Start Date]&gt;42551,6000,IF(Table1[Start Date]&gt;42460,5000,IF(Table1[Start Date]&gt;42369,4000,IF(Table1[Start Date]&gt;42277,3000,IF(Table1[Start Date]&gt;42185,2000,IF(Table1[Start Date]&gt;42094,1000))))))))</f>
        <v>0</v>
      </c>
      <c r="ED355" s="44" t="str">
        <f>IF(Table1[Start Date]="","",IF(Table1[Current Local Authority]="Swindon",1,"2"))</f>
        <v/>
      </c>
      <c r="EE355" s="44" t="e">
        <f>SUM(Table1[Data Start Date]+Table1[Data Local Authority])</f>
        <v>#VALUE!</v>
      </c>
      <c r="EF355" s="44">
        <f>IF(Table1[Registered with GP]="Yes",1,0)</f>
        <v>0</v>
      </c>
      <c r="EG355" s="44">
        <f>SUM(Table1[Data Start Date]+Table1[Data GP Start])</f>
        <v>0</v>
      </c>
      <c r="EH355" s="44" t="str">
        <f>IF(Table1[EET]="NEET",1,IF(Table1[EET]="Education",2,IF(Table1[EET]="Employment",2,IF(Table1[EET]="Training",2,IF(Table1[EET]="Retired",3,"")))))</f>
        <v/>
      </c>
      <c r="EI355" s="44" t="e">
        <f>Table1[Data Start Date]+Table1[Data EET Start]</f>
        <v>#VALUE!</v>
      </c>
      <c r="EJ355" s="44" t="b">
        <f>IF(Table1[Leaving Date]&gt;42735,8000,IF(Table1[Leaving Date]&gt;42643,7000,IF(Table1[Leaving Date]&gt;42551,6000,IF(Table1[Leaving Date]&gt;42460,5000,IF(Table1[Leaving Date]&gt;42369,4000,IF(Table1[Leaving Date]&gt;42277,3000,IF(Table1[Leaving Date]&gt;42185,2000,IF(Table1[Leaving Date]&gt;42094,1000))))))))</f>
        <v>0</v>
      </c>
      <c r="EK355" s="44" t="e">
        <f>VLOOKUP(Table1[Reason for Leaving],Lists!$T$2:$U$15,2,FALSE)</f>
        <v>#N/A</v>
      </c>
      <c r="EL355" s="44" t="e">
        <f>SUM(Table1[Data Leavers Date]+Table1[Data Move On])</f>
        <v>#N/A</v>
      </c>
      <c r="EM355" s="44" t="b">
        <f>IF(Table1[Registered with GP2]="Yes",1,IF(Table1[Registered with GP2]="No",0,IF(Table1[Registered with GP]="Yes",1,IF(Table1[Registered with GP]="No",0))))</f>
        <v>0</v>
      </c>
      <c r="EN355" s="44">
        <f>SUM(Table1[Data Leavers Date]+Table1[Data GP End])</f>
        <v>0</v>
      </c>
      <c r="EO355" s="44" t="str">
        <f>IF(Table1[EET2]="NEET",1,IF(Table1[EET2]="Employment",2,IF(Table1[EET2]="Education",2,IF(Table1[EET2]="Training",2,IF(Table1[EET2]="Retired",3,IF(Table1[EET]="NEET",1,IF(Table1[EET]="Employment",2,IF(Table1[EET]="Education",2,IF(Table1[EET]="Training",2,IF(Table1[EET]="Retired",3,""))))))))))</f>
        <v/>
      </c>
      <c r="EP355" s="44" t="e">
        <f>+Table1[[#This Row],[Data Leavers Date]]+Table1[[#This Row],[Data EET End]]</f>
        <v>#VALUE!</v>
      </c>
      <c r="EQ355" s="44">
        <f>IF(Table1[Exit Form Received]="Yes",1,0)</f>
        <v>0</v>
      </c>
      <c r="ER355" s="44">
        <f>+Table1[[#This Row],[Data Leavers Date]]+Table1[[#This Row],[Data Exit Forms]]</f>
        <v>0</v>
      </c>
      <c r="ES355" s="44" t="str">
        <f>IF(Table1[Data Leavers Date]=1000,SUM(Table1[Leaving Date]-Table1[Start Date]),"")</f>
        <v/>
      </c>
      <c r="ET355" s="44" t="str">
        <f>IF(Table1[Data Leavers Date]=2000,SUM(Table1[Leaving Date]-Table1[Start Date]),"")</f>
        <v/>
      </c>
      <c r="EU355" s="44" t="str">
        <f>IF(Table1[Data Leavers Date]=3000,SUM(Table1[Leaving Date]-Table1[Start Date]),"")</f>
        <v/>
      </c>
      <c r="EV355" s="44" t="str">
        <f>IF(Table1[Data Leavers Date]=4000,SUM(Table1[Leaving Date]-Table1[Start Date]),"")</f>
        <v/>
      </c>
      <c r="EW355" s="44" t="str">
        <f>IF(Table1[Data Leavers Date]=5000,SUM(Table1[Leaving Date]-Table1[Start Date]),"")</f>
        <v/>
      </c>
      <c r="EX355" s="44" t="str">
        <f>IF(Table1[Data Leavers Date]=6000,SUM(Table1[Leaving Date]-Table1[Start Date]),"")</f>
        <v/>
      </c>
      <c r="EY355" s="44" t="str">
        <f>IF(Table1[Data Leavers Date]=7000,SUM(Table1[Leaving Date]-Table1[Start Date]),"")</f>
        <v/>
      </c>
      <c r="EZ355" s="44" t="str">
        <f>IF(Table1[Data Leavers Date]=8000,SUM(Table1[Leaving Date]-Table1[Start Date]),"")</f>
        <v/>
      </c>
      <c r="FA355" s="44" t="str">
        <f>IF(Table1[Date of Initial Assessment]="","",IF(AND(Table1[Start Date]&gt;42094,Table1[Start Date]&lt;42461),Table1[Motivation and Taking Responsibility],""))</f>
        <v/>
      </c>
      <c r="FB355" s="44" t="str">
        <f>IF(Table1[Date of Initial Assessment]="","",IF(AND(Table1[Start Date]&gt;42094,Table1[Start Date]&lt;42461),Table1[Self-Care and Living Skills],""))</f>
        <v/>
      </c>
      <c r="FC355" s="44" t="str">
        <f>IF(Table1[Date of Initial Assessment]="","",IF(AND(Table1[Start Date]&gt;42094,Table1[Start Date]&lt;42461),Table1[Managing Money and Personal Administration],""))</f>
        <v/>
      </c>
      <c r="FD355" s="44" t="str">
        <f>IF(Table1[Date of Initial Assessment]="","",IF(AND(Table1[Start Date]&gt;42094,Table1[Start Date]&lt;42461),Table1[Social Networks and Relationships],""))</f>
        <v/>
      </c>
      <c r="FE355" s="44" t="str">
        <f>IF(Table1[Date of Initial Assessment]="","",IF(AND(Table1[Start Date]&gt;42094,Table1[Start Date]&lt;42461),Table1[Drug and Alcohol Misuse],""))</f>
        <v/>
      </c>
      <c r="FF355" s="44" t="str">
        <f>IF(Table1[Date of Initial Assessment]="","",IF(AND(Table1[Start Date]&gt;42094,Table1[Start Date]&lt;42461),Table1[Physical Health],""))</f>
        <v/>
      </c>
      <c r="FG355" s="44" t="str">
        <f>IF(Table1[Date of Initial Assessment]="","",IF(AND(Table1[Start Date]&gt;42094,Table1[Start Date]&lt;42461),Table1[Emotional and Mental Health],""))</f>
        <v/>
      </c>
      <c r="FH355" s="44" t="str">
        <f>IF(Table1[Date of Initial Assessment]="","",IF(AND(Table1[Start Date]&gt;42094,Table1[Start Date]&lt;42461),Table1[Meaningful Use of Time],""))</f>
        <v/>
      </c>
      <c r="FI355" s="44" t="str">
        <f>IF(Table1[Date of Initial Assessment]="","",IF(AND(Table1[Start Date]&gt;42094,Table1[Start Date]&lt;42461),Table1[Managing Tenancy and Accommodation],""))</f>
        <v/>
      </c>
      <c r="FJ355" s="44" t="str">
        <f>IF(Table1[Date of Initial Assessment]="","",IF(AND(Table1[Start Date]&gt;42094,Table1[Start Date]&lt;42461),Table1[Offending],""))</f>
        <v/>
      </c>
      <c r="FK355" s="44" t="str">
        <f>IF(Table1[Leaving Date]="","",IF(Table1[Date of Initial Assessment]="","",IF(AND(Table1[Leaving Date]&gt;42094,Table1[Leaving Date]&lt;42461),IF(Table1[Date of Last Assessment]="",Table1[Motivation and Taking Responsibility],Table1[Motivation and Taking Responsibility2]),"")))</f>
        <v/>
      </c>
      <c r="FL355" s="44" t="str">
        <f>IF(Table1[Leaving Date]="","",IF(Table1[Date of Initial Assessment]="","",IF(AND(Table1[Leaving Date]&gt;42094,Table1[Leaving Date]&lt;42461),IF(Table1[Date of Last Assessment]="",Table1[Self-Care and Living Skills],Table1[Self-Care and Living Skills2]),"")))</f>
        <v/>
      </c>
      <c r="FM355" s="44" t="str">
        <f>IF(Table1[Leaving Date]="","",IF(Table1[Date of Initial Assessment]="","",IF(AND(Table1[Leaving Date]&gt;42094,Table1[Leaving Date]&lt;42461),IF(Table1[Date of Last Assessment]="",Table1[Managing Money and Personal Administration],Table1[Managing Money and Personal Administration2]),"")))</f>
        <v/>
      </c>
      <c r="FN355" s="44" t="str">
        <f>IF(Table1[Leaving Date]="","",IF(Table1[Date of Initial Assessment]="","",IF(AND(Table1[Leaving Date]&gt;42094,Table1[Leaving Date]&lt;42461),IF(Table1[Date of Last Assessment]="",Table1[Social Networks and Relationships],Table1[Social Networks and Relationships2]),"")))</f>
        <v/>
      </c>
      <c r="FO355" s="44" t="str">
        <f>IF(Table1[Leaving Date]="","",IF(Table1[Date of Initial Assessment]="","",IF(AND(Table1[Leaving Date]&gt;42094,Table1[Leaving Date]&lt;42461),IF(Table1[Date of Last Assessment]="",Table1[Drug and Alcohol Misuse],Table1[Drug and Alcohol Misuse2]),"")))</f>
        <v/>
      </c>
      <c r="FP355" s="44" t="str">
        <f>IF(Table1[Leaving Date]="","",IF(Table1[Date of Initial Assessment]="","",IF(AND(Table1[Leaving Date]&gt;42094,Table1[Leaving Date]&lt;42461),IF(Table1[Date of Last Assessment]="",Table1[Physical Health],Table1[Physical Health2]),"")))</f>
        <v/>
      </c>
      <c r="FQ355" s="44" t="str">
        <f>IF(Table1[Leaving Date]="","",IF(Table1[Date of Initial Assessment]="","",IF(AND(Table1[Leaving Date]&gt;42094,Table1[Leaving Date]&lt;42461),IF(Table1[Date of Last Assessment]="",Table1[Emotional and Mental Health],Table1[Emotional and Mental Health2]),"")))</f>
        <v/>
      </c>
      <c r="FR355" s="44" t="str">
        <f>IF(Table1[Leaving Date]="","",IF(Table1[Date of Initial Assessment]="","",IF(AND(Table1[Leaving Date]&gt;42094,Table1[Leaving Date]&lt;42461),IF(Table1[Date of Last Assessment]="",Table1[Meaningful Use of Time],Table1[Meaningful Use of Time2]),"")))</f>
        <v/>
      </c>
      <c r="FS355" s="44" t="str">
        <f>IF(Table1[Leaving Date]="","",IF(Table1[Date of Initial Assessment]="","",IF(AND(Table1[Leaving Date]&gt;42094,Table1[Leaving Date]&lt;42461),IF(Table1[Date of Last Assessment]="",Table1[Managing Tenancy and Accommodation],Table1[Managing Tenancy and Accommodation2]),"")))</f>
        <v/>
      </c>
      <c r="FT355" s="44" t="str">
        <f>IF(Table1[Leaving Date]="","",IF(Table1[Date of Initial Assessment]="","",IF(AND(Table1[Leaving Date]&gt;42094,Table1[Leaving Date]&lt;42461),IF(Table1[Date of Last Assessment]="",Table1[Offending],Table1[Offending2]),"")))</f>
        <v/>
      </c>
      <c r="FU355" s="44" t="str">
        <f>IF(Table1[Date of Initial Assessment]="","",IF(AND(Table1[Start Date]&gt;42460,Table1[Start Date]&lt;42826),Table1[Motivation and Taking Responsibility],""))</f>
        <v/>
      </c>
      <c r="FV355" s="44" t="str">
        <f>IF(Table1[Date of Initial Assessment]="","",IF(AND(Table1[Start Date]&gt;42460,Table1[Start Date]&lt;42826),Table1[Self-Care and Living Skills],""))</f>
        <v/>
      </c>
      <c r="FW355" s="44" t="str">
        <f>IF(Table1[Date of Initial Assessment]="","",IF(AND(Table1[Start Date]&gt;42460,Table1[Start Date]&lt;42826),Table1[Managing Money and Personal Administration],""))</f>
        <v/>
      </c>
      <c r="FX355" s="44" t="str">
        <f>IF(Table1[Date of Initial Assessment]="","",IF(AND(Table1[Start Date]&gt;42460,Table1[Start Date]&lt;42826),Table1[Social Networks and Relationships],""))</f>
        <v/>
      </c>
      <c r="FY355" s="44" t="str">
        <f>IF(Table1[Date of Initial Assessment]="","",IF(AND(Table1[Start Date]&gt;42460,Table1[Start Date]&lt;42826),Table1[Drug and Alcohol Misuse],""))</f>
        <v/>
      </c>
      <c r="FZ355" s="44" t="str">
        <f>IF(Table1[Date of Initial Assessment]="","",IF(AND(Table1[Start Date]&gt;42460,Table1[Start Date]&lt;42826),Table1[Physical Health],""))</f>
        <v/>
      </c>
      <c r="GA355" s="44" t="str">
        <f>IF(Table1[Date of Initial Assessment]="","",IF(AND(Table1[Start Date]&gt;42460,Table1[Start Date]&lt;42826),Table1[Emotional and Mental Health],""))</f>
        <v/>
      </c>
      <c r="GB355" s="44" t="str">
        <f>IF(Table1[Date of Initial Assessment]="","",IF(AND(Table1[Start Date]&gt;42460,Table1[Start Date]&lt;42826),Table1[Meaningful Use of Time],""))</f>
        <v/>
      </c>
      <c r="GC355" s="44" t="str">
        <f>IF(Table1[Date of Initial Assessment]="","",IF(AND(Table1[Start Date]&gt;42460,Table1[Start Date]&lt;42826),Table1[Managing Tenancy and Accommodation],""))</f>
        <v/>
      </c>
      <c r="GD355" s="44" t="str">
        <f>IF(Table1[Date of Initial Assessment]="","",IF(AND(Table1[Start Date]&gt;42460,Table1[Start Date]&lt;42826),Table1[Offending],""))</f>
        <v/>
      </c>
      <c r="GE355" s="44" t="str">
        <f>IF(Table1[Leaving Date]="","",IF(AND(Table1[Leaving Date]&gt;42460,Table1[Leaving Date]&lt;42826),IF(Table1[Date of Last Assessment]="",Table1[Motivation and Taking Responsibility],Table1[Motivation and Taking Responsibility2]),""))</f>
        <v/>
      </c>
      <c r="GF355" s="44" t="str">
        <f>IF(Table1[Leaving Date]="","",IF(AND(Table1[Leaving Date]&gt;42460,Table1[Leaving Date]&lt;42826),IF(Table1[Date of Last Assessment]="",Table1[Self-Care and Living Skills],Table1[Self-Care and Living Skills2]),""))</f>
        <v/>
      </c>
      <c r="GG355" s="44" t="str">
        <f>IF(Table1[Leaving Date]="","",IF(AND(Table1[Leaving Date]&gt;42460,Table1[Leaving Date]&lt;42826),IF(Table1[Date of Last Assessment]="",Table1[Managing Money and Personal Administration],Table1[Managing Money and Personal Administration2]),""))</f>
        <v/>
      </c>
      <c r="GH355" s="44" t="str">
        <f>IF(Table1[Leaving Date]="","",IF(AND(Table1[Leaving Date]&gt;42460,Table1[Leaving Date]&lt;42826),IF(Table1[Date of Last Assessment]="",Table1[Social Networks and Relationships],Table1[Social Networks and Relationships2]),""))</f>
        <v/>
      </c>
      <c r="GI355" s="44" t="str">
        <f>IF(Table1[Leaving Date]="","",IF(AND(Table1[Leaving Date]&gt;42460,Table1[Leaving Date]&lt;42826),IF(Table1[Date of Last Assessment]="",Table1[Drug and Alcohol Misuse],Table1[Drug and Alcohol Misuse2]),""))</f>
        <v/>
      </c>
      <c r="GJ355" s="44" t="str">
        <f>IF(Table1[Leaving Date]="","",IF(AND(Table1[Leaving Date]&gt;42460,Table1[Leaving Date]&lt;42826),IF(Table1[Date of Last Assessment]="",Table1[Physical Health],Table1[Physical Health2]),""))</f>
        <v/>
      </c>
      <c r="GK355" s="44" t="str">
        <f>IF(Table1[Leaving Date]="","",IF(AND(Table1[Leaving Date]&gt;42460,Table1[Leaving Date]&lt;42826),IF(Table1[Date of Last Assessment]="",Table1[Emotional and Mental Health],Table1[Emotional and Mental Health2]),""))</f>
        <v/>
      </c>
      <c r="GL355" s="44" t="str">
        <f>IF(Table1[Leaving Date]="","",IF(AND(Table1[Leaving Date]&gt;42460,Table1[Leaving Date]&lt;42826),IF(Table1[Date of Last Assessment]="",Table1[Meaningful Use of Time],Table1[Meaningful Use of Time2]),""))</f>
        <v/>
      </c>
      <c r="GM355" s="44" t="str">
        <f>IF(Table1[Leaving Date]="","",IF(AND(Table1[Leaving Date]&gt;42460,Table1[Leaving Date]&lt;42826),IF(Table1[Date of Last Assessment]="",Table1[Managing Tenancy and Accommodation],Table1[Managing Tenancy and Accommodation2]),""))</f>
        <v/>
      </c>
      <c r="GN355" s="44" t="str">
        <f>IF(Table1[Leaving Date]="","",IF(AND(Table1[Leaving Date]&gt;42460,Table1[Leaving Date]&lt;42826),IF(Table1[Date of Last Assessment]="",Table1[Offending],Table1[Offending2]),""))</f>
        <v/>
      </c>
    </row>
    <row r="356" spans="2:196" ht="20.100000000000001" customHeight="1" x14ac:dyDescent="0.2">
      <c r="B356" s="86">
        <f>+'Service Data'!$C$5:$C$5</f>
        <v>0</v>
      </c>
      <c r="C356" s="86"/>
      <c r="D356" s="86"/>
      <c r="E356" s="86"/>
      <c r="F356" s="86"/>
      <c r="G356" s="86"/>
      <c r="H356" s="6"/>
      <c r="I356" s="99" t="str">
        <f ca="1">IF(Table1[[#This Row],[Date of Birth]]="","",SUM(TODAY()-Table1[[#This Row],[Date of Birth]])/365)</f>
        <v/>
      </c>
      <c r="L356" s="86"/>
      <c r="M356" s="77"/>
      <c r="N356" s="86"/>
      <c r="O356" s="86"/>
      <c r="P356" s="91"/>
      <c r="Q356" s="86"/>
      <c r="R356" s="77"/>
      <c r="S356" s="77"/>
      <c r="T356" s="68"/>
      <c r="U356" s="68"/>
      <c r="V356" s="67"/>
      <c r="W356" s="67"/>
      <c r="X356" s="67"/>
      <c r="Y356" s="67"/>
      <c r="Z356" s="67"/>
      <c r="AA356" s="67"/>
      <c r="AB356" s="67"/>
      <c r="AC356" s="67"/>
      <c r="AD356" s="67"/>
      <c r="AE356" s="67"/>
      <c r="AF356" s="67"/>
      <c r="AG356" s="67"/>
      <c r="AH356" s="67"/>
      <c r="AI356" s="67"/>
      <c r="AJ356" s="67"/>
      <c r="AK356" s="67"/>
      <c r="AL356" s="67"/>
      <c r="AM356" s="67"/>
      <c r="AN356" s="77"/>
      <c r="AO356" s="76"/>
      <c r="AP356" s="77"/>
      <c r="AQ356" s="76"/>
      <c r="AR356" s="76"/>
      <c r="AS356" s="76"/>
      <c r="AT356" s="76"/>
      <c r="AU356" s="76"/>
      <c r="AV356" s="77"/>
      <c r="AW356" s="76"/>
      <c r="AX356" s="77"/>
      <c r="AY356" s="76"/>
      <c r="AZ356" s="76"/>
      <c r="BA356" s="76"/>
      <c r="BB356" s="76"/>
      <c r="BC356" s="76"/>
      <c r="BD356" s="77"/>
      <c r="BE356" s="76"/>
      <c r="BF356" s="77"/>
      <c r="BG356" s="76"/>
      <c r="BH356" s="76"/>
      <c r="BI356" s="76"/>
      <c r="BJ356" s="76"/>
      <c r="BK356" s="76"/>
      <c r="BL356" s="77"/>
      <c r="BM356" s="76"/>
      <c r="BN356" s="77"/>
      <c r="BO356" s="76"/>
      <c r="BP356" s="76"/>
      <c r="BQ356" s="76"/>
      <c r="BR356" s="76"/>
      <c r="BS356" s="76"/>
      <c r="BT356" s="77"/>
      <c r="BU356" s="76"/>
      <c r="BV356" s="77"/>
      <c r="BW356" s="76"/>
      <c r="BX356" s="76"/>
      <c r="BY356" s="76"/>
      <c r="BZ356" s="76"/>
      <c r="CA356" s="76"/>
      <c r="CB356" s="77"/>
      <c r="CC356" s="76"/>
      <c r="CD356" s="77"/>
      <c r="CE356" s="76"/>
      <c r="CF356" s="76"/>
      <c r="CG356" s="76"/>
      <c r="CH356" s="76"/>
      <c r="CI356" s="76"/>
      <c r="CJ356" s="77"/>
      <c r="CK356" s="76"/>
      <c r="CL356" s="77"/>
      <c r="CM356" s="76"/>
      <c r="CN356" s="76"/>
      <c r="CO356" s="76"/>
      <c r="CP356" s="76"/>
      <c r="CQ356" s="76"/>
      <c r="CR356" s="78" t="str">
        <f t="shared" si="95"/>
        <v/>
      </c>
      <c r="CS356" s="79" t="str">
        <f t="shared" si="96"/>
        <v/>
      </c>
      <c r="CT356" s="79" t="str">
        <f t="shared" si="97"/>
        <v/>
      </c>
      <c r="CU356" s="79" t="str">
        <f t="shared" si="98"/>
        <v/>
      </c>
      <c r="CV356" s="79" t="str">
        <f t="shared" si="99"/>
        <v/>
      </c>
      <c r="CW356" s="79" t="str">
        <f t="shared" si="100"/>
        <v/>
      </c>
      <c r="CX356" s="79" t="str">
        <f t="shared" si="101"/>
        <v/>
      </c>
      <c r="CY356" s="79" t="str">
        <f t="shared" si="102"/>
        <v/>
      </c>
      <c r="CZ356" s="79" t="str">
        <f t="shared" si="103"/>
        <v/>
      </c>
      <c r="DA356" s="79" t="str">
        <f t="shared" si="104"/>
        <v/>
      </c>
      <c r="DB356" s="79" t="str">
        <f t="shared" si="105"/>
        <v/>
      </c>
      <c r="DC356" s="79" t="str">
        <f t="shared" si="106"/>
        <v/>
      </c>
      <c r="DD356" s="79" t="str">
        <f t="shared" si="107"/>
        <v/>
      </c>
      <c r="DE356" s="79" t="str">
        <f t="shared" si="108"/>
        <v/>
      </c>
      <c r="DF356" s="79" t="str">
        <f t="shared" si="109"/>
        <v/>
      </c>
      <c r="DG356" s="79" t="str">
        <f t="shared" si="110"/>
        <v/>
      </c>
      <c r="DH356" s="76"/>
      <c r="DI356" s="78"/>
      <c r="DJ356" s="76"/>
      <c r="DK356" s="77"/>
      <c r="DL356" s="77"/>
      <c r="DM356" s="77"/>
      <c r="DN356" s="80"/>
      <c r="DO356" s="80"/>
      <c r="DP356" s="92" t="str">
        <f>IF(Table1[Start Date]="","",IF(Table1[Start Date]&gt;42185,"",IF(AND(Table1[Leaving Date]&gt;1,Table1[Leaving Date]&lt;42095),"",1)))</f>
        <v/>
      </c>
      <c r="DQ356" s="92" t="str">
        <f>IF(Table1[Start Date]="","",IF(Table1[Start Date]&gt;42277,"",IF(AND(Table1[Leaving Date]&gt;1,Table1[Leaving Date]&lt;42186),"",1)))</f>
        <v/>
      </c>
      <c r="DR356" s="92" t="str">
        <f>IF(Table1[Start Date]="","",IF(Table1[Start Date]&gt;42369,"",IF(AND(Table1[Leaving Date]&gt;1,Table1[Leaving Date]&lt;42278),"",1)))</f>
        <v/>
      </c>
      <c r="DS356" s="92" t="str">
        <f>IF(Table1[Start Date]="","",IF(Table1[Start Date]&gt;42460,"",IF(AND(Table1[Leaving Date]&gt;1,Table1[Leaving Date]&lt;42370),"",1)))</f>
        <v/>
      </c>
      <c r="DT356" s="92" t="str">
        <f>IF(Table1[Start Date]="","",IF(Table1[Start Date]&gt;42551,"",IF(AND(Table1[Leaving Date]&gt;1,Table1[Leaving Date]&lt;42461),"",1)))</f>
        <v/>
      </c>
      <c r="DU356" s="92" t="str">
        <f>IF(Table1[Start Date]="","",IF(Table1[Start Date]&gt;42643,"",IF(AND(Table1[Leaving Date]&gt;1,Table1[Leaving Date]&lt;42552),"",1)))</f>
        <v/>
      </c>
      <c r="DV356" s="92" t="str">
        <f>IF(Table1[Start Date]="","",IF(Table1[Start Date]&gt;42735,"",IF(AND(Table1[Leaving Date]&gt;1,Table1[Leaving Date]&lt;42644),"",1)))</f>
        <v/>
      </c>
      <c r="DW356" s="92" t="str">
        <f>IF(Table1[Start Date]="","",IF(Table1[Start Date]&gt;42825,"",IF(AND(Table1[Leaving Date]&gt;1,Table1[Leaving Date]&lt;42736),"",1)))</f>
        <v/>
      </c>
      <c r="DX356"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356" s="44" t="e">
        <f>VLOOKUP(Table1[Referral Source],Lists!$G$2:$H$20,2,FALSE)</f>
        <v>#N/A</v>
      </c>
      <c r="DZ356" s="93" t="e">
        <f>SUM(Table1[Data Referral Quarter]+Table1[Data Referral Source])</f>
        <v>#N/A</v>
      </c>
      <c r="EA356" s="44" t="b">
        <f>IF(Table1[Referral Decision]="Accepted",100,IF(Table1[Referral Decision]="Rejected by Provider",200,IF(Table1[Referral Decision]="Rejected by Applicant",300)))</f>
        <v>0</v>
      </c>
      <c r="EB356" s="44">
        <f>SUM(Table1[Data Referral Quarter]+Table1[Data Referral Decision])</f>
        <v>0</v>
      </c>
      <c r="EC356" s="44" t="b">
        <f>IF(Table1[Start Date]&gt;42735,8000,IF(Table1[Start Date]&gt;42643,7000,IF(Table1[Start Date]&gt;42551,6000,IF(Table1[Start Date]&gt;42460,5000,IF(Table1[Start Date]&gt;42369,4000,IF(Table1[Start Date]&gt;42277,3000,IF(Table1[Start Date]&gt;42185,2000,IF(Table1[Start Date]&gt;42094,1000))))))))</f>
        <v>0</v>
      </c>
      <c r="ED356" s="44" t="str">
        <f>IF(Table1[Start Date]="","",IF(Table1[Current Local Authority]="Swindon",1,"2"))</f>
        <v/>
      </c>
      <c r="EE356" s="44" t="e">
        <f>SUM(Table1[Data Start Date]+Table1[Data Local Authority])</f>
        <v>#VALUE!</v>
      </c>
      <c r="EF356" s="44">
        <f>IF(Table1[Registered with GP]="Yes",1,0)</f>
        <v>0</v>
      </c>
      <c r="EG356" s="44">
        <f>SUM(Table1[Data Start Date]+Table1[Data GP Start])</f>
        <v>0</v>
      </c>
      <c r="EH356" s="44" t="str">
        <f>IF(Table1[EET]="NEET",1,IF(Table1[EET]="Education",2,IF(Table1[EET]="Employment",2,IF(Table1[EET]="Training",2,IF(Table1[EET]="Retired",3,"")))))</f>
        <v/>
      </c>
      <c r="EI356" s="44" t="e">
        <f>Table1[Data Start Date]+Table1[Data EET Start]</f>
        <v>#VALUE!</v>
      </c>
      <c r="EJ356" s="44" t="b">
        <f>IF(Table1[Leaving Date]&gt;42735,8000,IF(Table1[Leaving Date]&gt;42643,7000,IF(Table1[Leaving Date]&gt;42551,6000,IF(Table1[Leaving Date]&gt;42460,5000,IF(Table1[Leaving Date]&gt;42369,4000,IF(Table1[Leaving Date]&gt;42277,3000,IF(Table1[Leaving Date]&gt;42185,2000,IF(Table1[Leaving Date]&gt;42094,1000))))))))</f>
        <v>0</v>
      </c>
      <c r="EK356" s="44" t="e">
        <f>VLOOKUP(Table1[Reason for Leaving],Lists!$T$2:$U$15,2,FALSE)</f>
        <v>#N/A</v>
      </c>
      <c r="EL356" s="44" t="e">
        <f>SUM(Table1[Data Leavers Date]+Table1[Data Move On])</f>
        <v>#N/A</v>
      </c>
      <c r="EM356" s="44" t="b">
        <f>IF(Table1[Registered with GP2]="Yes",1,IF(Table1[Registered with GP2]="No",0,IF(Table1[Registered with GP]="Yes",1,IF(Table1[Registered with GP]="No",0))))</f>
        <v>0</v>
      </c>
      <c r="EN356" s="44">
        <f>SUM(Table1[Data Leavers Date]+Table1[Data GP End])</f>
        <v>0</v>
      </c>
      <c r="EO356" s="44" t="str">
        <f>IF(Table1[EET2]="NEET",1,IF(Table1[EET2]="Employment",2,IF(Table1[EET2]="Education",2,IF(Table1[EET2]="Training",2,IF(Table1[EET2]="Retired",3,IF(Table1[EET]="NEET",1,IF(Table1[EET]="Employment",2,IF(Table1[EET]="Education",2,IF(Table1[EET]="Training",2,IF(Table1[EET]="Retired",3,""))))))))))</f>
        <v/>
      </c>
      <c r="EP356" s="44" t="e">
        <f>+Table1[[#This Row],[Data Leavers Date]]+Table1[[#This Row],[Data EET End]]</f>
        <v>#VALUE!</v>
      </c>
      <c r="EQ356" s="44">
        <f>IF(Table1[Exit Form Received]="Yes",1,0)</f>
        <v>0</v>
      </c>
      <c r="ER356" s="44">
        <f>+Table1[[#This Row],[Data Leavers Date]]+Table1[[#This Row],[Data Exit Forms]]</f>
        <v>0</v>
      </c>
      <c r="ES356" s="44" t="str">
        <f>IF(Table1[Data Leavers Date]=1000,SUM(Table1[Leaving Date]-Table1[Start Date]),"")</f>
        <v/>
      </c>
      <c r="ET356" s="44" t="str">
        <f>IF(Table1[Data Leavers Date]=2000,SUM(Table1[Leaving Date]-Table1[Start Date]),"")</f>
        <v/>
      </c>
      <c r="EU356" s="44" t="str">
        <f>IF(Table1[Data Leavers Date]=3000,SUM(Table1[Leaving Date]-Table1[Start Date]),"")</f>
        <v/>
      </c>
      <c r="EV356" s="44" t="str">
        <f>IF(Table1[Data Leavers Date]=4000,SUM(Table1[Leaving Date]-Table1[Start Date]),"")</f>
        <v/>
      </c>
      <c r="EW356" s="44" t="str">
        <f>IF(Table1[Data Leavers Date]=5000,SUM(Table1[Leaving Date]-Table1[Start Date]),"")</f>
        <v/>
      </c>
      <c r="EX356" s="44" t="str">
        <f>IF(Table1[Data Leavers Date]=6000,SUM(Table1[Leaving Date]-Table1[Start Date]),"")</f>
        <v/>
      </c>
      <c r="EY356" s="44" t="str">
        <f>IF(Table1[Data Leavers Date]=7000,SUM(Table1[Leaving Date]-Table1[Start Date]),"")</f>
        <v/>
      </c>
      <c r="EZ356" s="44" t="str">
        <f>IF(Table1[Data Leavers Date]=8000,SUM(Table1[Leaving Date]-Table1[Start Date]),"")</f>
        <v/>
      </c>
      <c r="FA356" s="44" t="str">
        <f>IF(Table1[Date of Initial Assessment]="","",IF(AND(Table1[Start Date]&gt;42094,Table1[Start Date]&lt;42461),Table1[Motivation and Taking Responsibility],""))</f>
        <v/>
      </c>
      <c r="FB356" s="44" t="str">
        <f>IF(Table1[Date of Initial Assessment]="","",IF(AND(Table1[Start Date]&gt;42094,Table1[Start Date]&lt;42461),Table1[Self-Care and Living Skills],""))</f>
        <v/>
      </c>
      <c r="FC356" s="44" t="str">
        <f>IF(Table1[Date of Initial Assessment]="","",IF(AND(Table1[Start Date]&gt;42094,Table1[Start Date]&lt;42461),Table1[Managing Money and Personal Administration],""))</f>
        <v/>
      </c>
      <c r="FD356" s="44" t="str">
        <f>IF(Table1[Date of Initial Assessment]="","",IF(AND(Table1[Start Date]&gt;42094,Table1[Start Date]&lt;42461),Table1[Social Networks and Relationships],""))</f>
        <v/>
      </c>
      <c r="FE356" s="44" t="str">
        <f>IF(Table1[Date of Initial Assessment]="","",IF(AND(Table1[Start Date]&gt;42094,Table1[Start Date]&lt;42461),Table1[Drug and Alcohol Misuse],""))</f>
        <v/>
      </c>
      <c r="FF356" s="44" t="str">
        <f>IF(Table1[Date of Initial Assessment]="","",IF(AND(Table1[Start Date]&gt;42094,Table1[Start Date]&lt;42461),Table1[Physical Health],""))</f>
        <v/>
      </c>
      <c r="FG356" s="44" t="str">
        <f>IF(Table1[Date of Initial Assessment]="","",IF(AND(Table1[Start Date]&gt;42094,Table1[Start Date]&lt;42461),Table1[Emotional and Mental Health],""))</f>
        <v/>
      </c>
      <c r="FH356" s="44" t="str">
        <f>IF(Table1[Date of Initial Assessment]="","",IF(AND(Table1[Start Date]&gt;42094,Table1[Start Date]&lt;42461),Table1[Meaningful Use of Time],""))</f>
        <v/>
      </c>
      <c r="FI356" s="44" t="str">
        <f>IF(Table1[Date of Initial Assessment]="","",IF(AND(Table1[Start Date]&gt;42094,Table1[Start Date]&lt;42461),Table1[Managing Tenancy and Accommodation],""))</f>
        <v/>
      </c>
      <c r="FJ356" s="44" t="str">
        <f>IF(Table1[Date of Initial Assessment]="","",IF(AND(Table1[Start Date]&gt;42094,Table1[Start Date]&lt;42461),Table1[Offending],""))</f>
        <v/>
      </c>
      <c r="FK356" s="44" t="str">
        <f>IF(Table1[Leaving Date]="","",IF(Table1[Date of Initial Assessment]="","",IF(AND(Table1[Leaving Date]&gt;42094,Table1[Leaving Date]&lt;42461),IF(Table1[Date of Last Assessment]="",Table1[Motivation and Taking Responsibility],Table1[Motivation and Taking Responsibility2]),"")))</f>
        <v/>
      </c>
      <c r="FL356" s="44" t="str">
        <f>IF(Table1[Leaving Date]="","",IF(Table1[Date of Initial Assessment]="","",IF(AND(Table1[Leaving Date]&gt;42094,Table1[Leaving Date]&lt;42461),IF(Table1[Date of Last Assessment]="",Table1[Self-Care and Living Skills],Table1[Self-Care and Living Skills2]),"")))</f>
        <v/>
      </c>
      <c r="FM356" s="44" t="str">
        <f>IF(Table1[Leaving Date]="","",IF(Table1[Date of Initial Assessment]="","",IF(AND(Table1[Leaving Date]&gt;42094,Table1[Leaving Date]&lt;42461),IF(Table1[Date of Last Assessment]="",Table1[Managing Money and Personal Administration],Table1[Managing Money and Personal Administration2]),"")))</f>
        <v/>
      </c>
      <c r="FN356" s="44" t="str">
        <f>IF(Table1[Leaving Date]="","",IF(Table1[Date of Initial Assessment]="","",IF(AND(Table1[Leaving Date]&gt;42094,Table1[Leaving Date]&lt;42461),IF(Table1[Date of Last Assessment]="",Table1[Social Networks and Relationships],Table1[Social Networks and Relationships2]),"")))</f>
        <v/>
      </c>
      <c r="FO356" s="44" t="str">
        <f>IF(Table1[Leaving Date]="","",IF(Table1[Date of Initial Assessment]="","",IF(AND(Table1[Leaving Date]&gt;42094,Table1[Leaving Date]&lt;42461),IF(Table1[Date of Last Assessment]="",Table1[Drug and Alcohol Misuse],Table1[Drug and Alcohol Misuse2]),"")))</f>
        <v/>
      </c>
      <c r="FP356" s="44" t="str">
        <f>IF(Table1[Leaving Date]="","",IF(Table1[Date of Initial Assessment]="","",IF(AND(Table1[Leaving Date]&gt;42094,Table1[Leaving Date]&lt;42461),IF(Table1[Date of Last Assessment]="",Table1[Physical Health],Table1[Physical Health2]),"")))</f>
        <v/>
      </c>
      <c r="FQ356" s="44" t="str">
        <f>IF(Table1[Leaving Date]="","",IF(Table1[Date of Initial Assessment]="","",IF(AND(Table1[Leaving Date]&gt;42094,Table1[Leaving Date]&lt;42461),IF(Table1[Date of Last Assessment]="",Table1[Emotional and Mental Health],Table1[Emotional and Mental Health2]),"")))</f>
        <v/>
      </c>
      <c r="FR356" s="44" t="str">
        <f>IF(Table1[Leaving Date]="","",IF(Table1[Date of Initial Assessment]="","",IF(AND(Table1[Leaving Date]&gt;42094,Table1[Leaving Date]&lt;42461),IF(Table1[Date of Last Assessment]="",Table1[Meaningful Use of Time],Table1[Meaningful Use of Time2]),"")))</f>
        <v/>
      </c>
      <c r="FS356" s="44" t="str">
        <f>IF(Table1[Leaving Date]="","",IF(Table1[Date of Initial Assessment]="","",IF(AND(Table1[Leaving Date]&gt;42094,Table1[Leaving Date]&lt;42461),IF(Table1[Date of Last Assessment]="",Table1[Managing Tenancy and Accommodation],Table1[Managing Tenancy and Accommodation2]),"")))</f>
        <v/>
      </c>
      <c r="FT356" s="44" t="str">
        <f>IF(Table1[Leaving Date]="","",IF(Table1[Date of Initial Assessment]="","",IF(AND(Table1[Leaving Date]&gt;42094,Table1[Leaving Date]&lt;42461),IF(Table1[Date of Last Assessment]="",Table1[Offending],Table1[Offending2]),"")))</f>
        <v/>
      </c>
      <c r="FU356" s="44" t="str">
        <f>IF(Table1[Date of Initial Assessment]="","",IF(AND(Table1[Start Date]&gt;42460,Table1[Start Date]&lt;42826),Table1[Motivation and Taking Responsibility],""))</f>
        <v/>
      </c>
      <c r="FV356" s="44" t="str">
        <f>IF(Table1[Date of Initial Assessment]="","",IF(AND(Table1[Start Date]&gt;42460,Table1[Start Date]&lt;42826),Table1[Self-Care and Living Skills],""))</f>
        <v/>
      </c>
      <c r="FW356" s="44" t="str">
        <f>IF(Table1[Date of Initial Assessment]="","",IF(AND(Table1[Start Date]&gt;42460,Table1[Start Date]&lt;42826),Table1[Managing Money and Personal Administration],""))</f>
        <v/>
      </c>
      <c r="FX356" s="44" t="str">
        <f>IF(Table1[Date of Initial Assessment]="","",IF(AND(Table1[Start Date]&gt;42460,Table1[Start Date]&lt;42826),Table1[Social Networks and Relationships],""))</f>
        <v/>
      </c>
      <c r="FY356" s="44" t="str">
        <f>IF(Table1[Date of Initial Assessment]="","",IF(AND(Table1[Start Date]&gt;42460,Table1[Start Date]&lt;42826),Table1[Drug and Alcohol Misuse],""))</f>
        <v/>
      </c>
      <c r="FZ356" s="44" t="str">
        <f>IF(Table1[Date of Initial Assessment]="","",IF(AND(Table1[Start Date]&gt;42460,Table1[Start Date]&lt;42826),Table1[Physical Health],""))</f>
        <v/>
      </c>
      <c r="GA356" s="44" t="str">
        <f>IF(Table1[Date of Initial Assessment]="","",IF(AND(Table1[Start Date]&gt;42460,Table1[Start Date]&lt;42826),Table1[Emotional and Mental Health],""))</f>
        <v/>
      </c>
      <c r="GB356" s="44" t="str">
        <f>IF(Table1[Date of Initial Assessment]="","",IF(AND(Table1[Start Date]&gt;42460,Table1[Start Date]&lt;42826),Table1[Meaningful Use of Time],""))</f>
        <v/>
      </c>
      <c r="GC356" s="44" t="str">
        <f>IF(Table1[Date of Initial Assessment]="","",IF(AND(Table1[Start Date]&gt;42460,Table1[Start Date]&lt;42826),Table1[Managing Tenancy and Accommodation],""))</f>
        <v/>
      </c>
      <c r="GD356" s="44" t="str">
        <f>IF(Table1[Date of Initial Assessment]="","",IF(AND(Table1[Start Date]&gt;42460,Table1[Start Date]&lt;42826),Table1[Offending],""))</f>
        <v/>
      </c>
      <c r="GE356" s="44" t="str">
        <f>IF(Table1[Leaving Date]="","",IF(AND(Table1[Leaving Date]&gt;42460,Table1[Leaving Date]&lt;42826),IF(Table1[Date of Last Assessment]="",Table1[Motivation and Taking Responsibility],Table1[Motivation and Taking Responsibility2]),""))</f>
        <v/>
      </c>
      <c r="GF356" s="44" t="str">
        <f>IF(Table1[Leaving Date]="","",IF(AND(Table1[Leaving Date]&gt;42460,Table1[Leaving Date]&lt;42826),IF(Table1[Date of Last Assessment]="",Table1[Self-Care and Living Skills],Table1[Self-Care and Living Skills2]),""))</f>
        <v/>
      </c>
      <c r="GG356" s="44" t="str">
        <f>IF(Table1[Leaving Date]="","",IF(AND(Table1[Leaving Date]&gt;42460,Table1[Leaving Date]&lt;42826),IF(Table1[Date of Last Assessment]="",Table1[Managing Money and Personal Administration],Table1[Managing Money and Personal Administration2]),""))</f>
        <v/>
      </c>
      <c r="GH356" s="44" t="str">
        <f>IF(Table1[Leaving Date]="","",IF(AND(Table1[Leaving Date]&gt;42460,Table1[Leaving Date]&lt;42826),IF(Table1[Date of Last Assessment]="",Table1[Social Networks and Relationships],Table1[Social Networks and Relationships2]),""))</f>
        <v/>
      </c>
      <c r="GI356" s="44" t="str">
        <f>IF(Table1[Leaving Date]="","",IF(AND(Table1[Leaving Date]&gt;42460,Table1[Leaving Date]&lt;42826),IF(Table1[Date of Last Assessment]="",Table1[Drug and Alcohol Misuse],Table1[Drug and Alcohol Misuse2]),""))</f>
        <v/>
      </c>
      <c r="GJ356" s="44" t="str">
        <f>IF(Table1[Leaving Date]="","",IF(AND(Table1[Leaving Date]&gt;42460,Table1[Leaving Date]&lt;42826),IF(Table1[Date of Last Assessment]="",Table1[Physical Health],Table1[Physical Health2]),""))</f>
        <v/>
      </c>
      <c r="GK356" s="44" t="str">
        <f>IF(Table1[Leaving Date]="","",IF(AND(Table1[Leaving Date]&gt;42460,Table1[Leaving Date]&lt;42826),IF(Table1[Date of Last Assessment]="",Table1[Emotional and Mental Health],Table1[Emotional and Mental Health2]),""))</f>
        <v/>
      </c>
      <c r="GL356" s="44" t="str">
        <f>IF(Table1[Leaving Date]="","",IF(AND(Table1[Leaving Date]&gt;42460,Table1[Leaving Date]&lt;42826),IF(Table1[Date of Last Assessment]="",Table1[Meaningful Use of Time],Table1[Meaningful Use of Time2]),""))</f>
        <v/>
      </c>
      <c r="GM356" s="44" t="str">
        <f>IF(Table1[Leaving Date]="","",IF(AND(Table1[Leaving Date]&gt;42460,Table1[Leaving Date]&lt;42826),IF(Table1[Date of Last Assessment]="",Table1[Managing Tenancy and Accommodation],Table1[Managing Tenancy and Accommodation2]),""))</f>
        <v/>
      </c>
      <c r="GN356" s="44" t="str">
        <f>IF(Table1[Leaving Date]="","",IF(AND(Table1[Leaving Date]&gt;42460,Table1[Leaving Date]&lt;42826),IF(Table1[Date of Last Assessment]="",Table1[Offending],Table1[Offending2]),""))</f>
        <v/>
      </c>
    </row>
    <row r="357" spans="2:196" ht="20.100000000000001" customHeight="1" x14ac:dyDescent="0.2">
      <c r="B357" s="86">
        <f>+'Service Data'!$C$5:$C$5</f>
        <v>0</v>
      </c>
      <c r="C357" s="86"/>
      <c r="D357" s="86"/>
      <c r="E357" s="86"/>
      <c r="F357" s="86"/>
      <c r="G357" s="86"/>
      <c r="H357" s="6"/>
      <c r="I357" s="99" t="str">
        <f ca="1">IF(Table1[[#This Row],[Date of Birth]]="","",SUM(TODAY()-Table1[[#This Row],[Date of Birth]])/365)</f>
        <v/>
      </c>
      <c r="L357" s="86"/>
      <c r="M357" s="77"/>
      <c r="N357" s="86"/>
      <c r="O357" s="86"/>
      <c r="P357" s="91"/>
      <c r="Q357" s="86"/>
      <c r="R357" s="77"/>
      <c r="S357" s="77"/>
      <c r="T357" s="68"/>
      <c r="U357" s="68"/>
      <c r="V357" s="67"/>
      <c r="W357" s="67"/>
      <c r="X357" s="67"/>
      <c r="Y357" s="67"/>
      <c r="Z357" s="67"/>
      <c r="AA357" s="67"/>
      <c r="AB357" s="67"/>
      <c r="AC357" s="67"/>
      <c r="AD357" s="67"/>
      <c r="AE357" s="67"/>
      <c r="AF357" s="67"/>
      <c r="AG357" s="67"/>
      <c r="AH357" s="67"/>
      <c r="AI357" s="67"/>
      <c r="AJ357" s="67"/>
      <c r="AK357" s="67"/>
      <c r="AL357" s="67"/>
      <c r="AM357" s="67"/>
      <c r="AN357" s="77"/>
      <c r="AO357" s="76"/>
      <c r="AP357" s="77"/>
      <c r="AQ357" s="76"/>
      <c r="AR357" s="76"/>
      <c r="AS357" s="76"/>
      <c r="AT357" s="76"/>
      <c r="AU357" s="76"/>
      <c r="AV357" s="77"/>
      <c r="AW357" s="76"/>
      <c r="AX357" s="77"/>
      <c r="AY357" s="76"/>
      <c r="AZ357" s="76"/>
      <c r="BA357" s="76"/>
      <c r="BB357" s="76"/>
      <c r="BC357" s="76"/>
      <c r="BD357" s="77"/>
      <c r="BE357" s="76"/>
      <c r="BF357" s="77"/>
      <c r="BG357" s="76"/>
      <c r="BH357" s="76"/>
      <c r="BI357" s="76"/>
      <c r="BJ357" s="76"/>
      <c r="BK357" s="76"/>
      <c r="BL357" s="77"/>
      <c r="BM357" s="76"/>
      <c r="BN357" s="77"/>
      <c r="BO357" s="76"/>
      <c r="BP357" s="76"/>
      <c r="BQ357" s="76"/>
      <c r="BR357" s="76"/>
      <c r="BS357" s="76"/>
      <c r="BT357" s="77"/>
      <c r="BU357" s="76"/>
      <c r="BV357" s="77"/>
      <c r="BW357" s="76"/>
      <c r="BX357" s="76"/>
      <c r="BY357" s="76"/>
      <c r="BZ357" s="76"/>
      <c r="CA357" s="76"/>
      <c r="CB357" s="77"/>
      <c r="CC357" s="76"/>
      <c r="CD357" s="77"/>
      <c r="CE357" s="76"/>
      <c r="CF357" s="76"/>
      <c r="CG357" s="76"/>
      <c r="CH357" s="76"/>
      <c r="CI357" s="76"/>
      <c r="CJ357" s="77"/>
      <c r="CK357" s="76"/>
      <c r="CL357" s="77"/>
      <c r="CM357" s="76"/>
      <c r="CN357" s="76"/>
      <c r="CO357" s="76"/>
      <c r="CP357" s="76"/>
      <c r="CQ357" s="76"/>
      <c r="CR357" s="78" t="str">
        <f t="shared" si="95"/>
        <v/>
      </c>
      <c r="CS357" s="79" t="str">
        <f t="shared" si="96"/>
        <v/>
      </c>
      <c r="CT357" s="79" t="str">
        <f t="shared" si="97"/>
        <v/>
      </c>
      <c r="CU357" s="79" t="str">
        <f t="shared" si="98"/>
        <v/>
      </c>
      <c r="CV357" s="79" t="str">
        <f t="shared" si="99"/>
        <v/>
      </c>
      <c r="CW357" s="79" t="str">
        <f t="shared" si="100"/>
        <v/>
      </c>
      <c r="CX357" s="79" t="str">
        <f t="shared" si="101"/>
        <v/>
      </c>
      <c r="CY357" s="79" t="str">
        <f t="shared" si="102"/>
        <v/>
      </c>
      <c r="CZ357" s="79" t="str">
        <f t="shared" si="103"/>
        <v/>
      </c>
      <c r="DA357" s="79" t="str">
        <f t="shared" si="104"/>
        <v/>
      </c>
      <c r="DB357" s="79" t="str">
        <f t="shared" si="105"/>
        <v/>
      </c>
      <c r="DC357" s="79" t="str">
        <f t="shared" si="106"/>
        <v/>
      </c>
      <c r="DD357" s="79" t="str">
        <f t="shared" si="107"/>
        <v/>
      </c>
      <c r="DE357" s="79" t="str">
        <f t="shared" si="108"/>
        <v/>
      </c>
      <c r="DF357" s="79" t="str">
        <f t="shared" si="109"/>
        <v/>
      </c>
      <c r="DG357" s="79" t="str">
        <f t="shared" si="110"/>
        <v/>
      </c>
      <c r="DH357" s="76"/>
      <c r="DI357" s="78"/>
      <c r="DJ357" s="76"/>
      <c r="DK357" s="77"/>
      <c r="DL357" s="77"/>
      <c r="DM357" s="77"/>
      <c r="DN357" s="80"/>
      <c r="DO357" s="80"/>
      <c r="DP357" s="92" t="str">
        <f>IF(Table1[Start Date]="","",IF(Table1[Start Date]&gt;42185,"",IF(AND(Table1[Leaving Date]&gt;1,Table1[Leaving Date]&lt;42095),"",1)))</f>
        <v/>
      </c>
      <c r="DQ357" s="92" t="str">
        <f>IF(Table1[Start Date]="","",IF(Table1[Start Date]&gt;42277,"",IF(AND(Table1[Leaving Date]&gt;1,Table1[Leaving Date]&lt;42186),"",1)))</f>
        <v/>
      </c>
      <c r="DR357" s="92" t="str">
        <f>IF(Table1[Start Date]="","",IF(Table1[Start Date]&gt;42369,"",IF(AND(Table1[Leaving Date]&gt;1,Table1[Leaving Date]&lt;42278),"",1)))</f>
        <v/>
      </c>
      <c r="DS357" s="92" t="str">
        <f>IF(Table1[Start Date]="","",IF(Table1[Start Date]&gt;42460,"",IF(AND(Table1[Leaving Date]&gt;1,Table1[Leaving Date]&lt;42370),"",1)))</f>
        <v/>
      </c>
      <c r="DT357" s="92" t="str">
        <f>IF(Table1[Start Date]="","",IF(Table1[Start Date]&gt;42551,"",IF(AND(Table1[Leaving Date]&gt;1,Table1[Leaving Date]&lt;42461),"",1)))</f>
        <v/>
      </c>
      <c r="DU357" s="92" t="str">
        <f>IF(Table1[Start Date]="","",IF(Table1[Start Date]&gt;42643,"",IF(AND(Table1[Leaving Date]&gt;1,Table1[Leaving Date]&lt;42552),"",1)))</f>
        <v/>
      </c>
      <c r="DV357" s="92" t="str">
        <f>IF(Table1[Start Date]="","",IF(Table1[Start Date]&gt;42735,"",IF(AND(Table1[Leaving Date]&gt;1,Table1[Leaving Date]&lt;42644),"",1)))</f>
        <v/>
      </c>
      <c r="DW357" s="92" t="str">
        <f>IF(Table1[Start Date]="","",IF(Table1[Start Date]&gt;42825,"",IF(AND(Table1[Leaving Date]&gt;1,Table1[Leaving Date]&lt;42736),"",1)))</f>
        <v/>
      </c>
      <c r="DX357"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357" s="44" t="e">
        <f>VLOOKUP(Table1[Referral Source],Lists!$G$2:$H$20,2,FALSE)</f>
        <v>#N/A</v>
      </c>
      <c r="DZ357" s="93" t="e">
        <f>SUM(Table1[Data Referral Quarter]+Table1[Data Referral Source])</f>
        <v>#N/A</v>
      </c>
      <c r="EA357" s="44" t="b">
        <f>IF(Table1[Referral Decision]="Accepted",100,IF(Table1[Referral Decision]="Rejected by Provider",200,IF(Table1[Referral Decision]="Rejected by Applicant",300)))</f>
        <v>0</v>
      </c>
      <c r="EB357" s="44">
        <f>SUM(Table1[Data Referral Quarter]+Table1[Data Referral Decision])</f>
        <v>0</v>
      </c>
      <c r="EC357" s="44" t="b">
        <f>IF(Table1[Start Date]&gt;42735,8000,IF(Table1[Start Date]&gt;42643,7000,IF(Table1[Start Date]&gt;42551,6000,IF(Table1[Start Date]&gt;42460,5000,IF(Table1[Start Date]&gt;42369,4000,IF(Table1[Start Date]&gt;42277,3000,IF(Table1[Start Date]&gt;42185,2000,IF(Table1[Start Date]&gt;42094,1000))))))))</f>
        <v>0</v>
      </c>
      <c r="ED357" s="44" t="str">
        <f>IF(Table1[Start Date]="","",IF(Table1[Current Local Authority]="Swindon",1,"2"))</f>
        <v/>
      </c>
      <c r="EE357" s="44" t="e">
        <f>SUM(Table1[Data Start Date]+Table1[Data Local Authority])</f>
        <v>#VALUE!</v>
      </c>
      <c r="EF357" s="44">
        <f>IF(Table1[Registered with GP]="Yes",1,0)</f>
        <v>0</v>
      </c>
      <c r="EG357" s="44">
        <f>SUM(Table1[Data Start Date]+Table1[Data GP Start])</f>
        <v>0</v>
      </c>
      <c r="EH357" s="44" t="str">
        <f>IF(Table1[EET]="NEET",1,IF(Table1[EET]="Education",2,IF(Table1[EET]="Employment",2,IF(Table1[EET]="Training",2,IF(Table1[EET]="Retired",3,"")))))</f>
        <v/>
      </c>
      <c r="EI357" s="44" t="e">
        <f>Table1[Data Start Date]+Table1[Data EET Start]</f>
        <v>#VALUE!</v>
      </c>
      <c r="EJ357" s="44" t="b">
        <f>IF(Table1[Leaving Date]&gt;42735,8000,IF(Table1[Leaving Date]&gt;42643,7000,IF(Table1[Leaving Date]&gt;42551,6000,IF(Table1[Leaving Date]&gt;42460,5000,IF(Table1[Leaving Date]&gt;42369,4000,IF(Table1[Leaving Date]&gt;42277,3000,IF(Table1[Leaving Date]&gt;42185,2000,IF(Table1[Leaving Date]&gt;42094,1000))))))))</f>
        <v>0</v>
      </c>
      <c r="EK357" s="44" t="e">
        <f>VLOOKUP(Table1[Reason for Leaving],Lists!$T$2:$U$15,2,FALSE)</f>
        <v>#N/A</v>
      </c>
      <c r="EL357" s="44" t="e">
        <f>SUM(Table1[Data Leavers Date]+Table1[Data Move On])</f>
        <v>#N/A</v>
      </c>
      <c r="EM357" s="44" t="b">
        <f>IF(Table1[Registered with GP2]="Yes",1,IF(Table1[Registered with GP2]="No",0,IF(Table1[Registered with GP]="Yes",1,IF(Table1[Registered with GP]="No",0))))</f>
        <v>0</v>
      </c>
      <c r="EN357" s="44">
        <f>SUM(Table1[Data Leavers Date]+Table1[Data GP End])</f>
        <v>0</v>
      </c>
      <c r="EO357" s="44" t="str">
        <f>IF(Table1[EET2]="NEET",1,IF(Table1[EET2]="Employment",2,IF(Table1[EET2]="Education",2,IF(Table1[EET2]="Training",2,IF(Table1[EET2]="Retired",3,IF(Table1[EET]="NEET",1,IF(Table1[EET]="Employment",2,IF(Table1[EET]="Education",2,IF(Table1[EET]="Training",2,IF(Table1[EET]="Retired",3,""))))))))))</f>
        <v/>
      </c>
      <c r="EP357" s="44" t="e">
        <f>+Table1[[#This Row],[Data Leavers Date]]+Table1[[#This Row],[Data EET End]]</f>
        <v>#VALUE!</v>
      </c>
      <c r="EQ357" s="44">
        <f>IF(Table1[Exit Form Received]="Yes",1,0)</f>
        <v>0</v>
      </c>
      <c r="ER357" s="44">
        <f>+Table1[[#This Row],[Data Leavers Date]]+Table1[[#This Row],[Data Exit Forms]]</f>
        <v>0</v>
      </c>
      <c r="ES357" s="44" t="str">
        <f>IF(Table1[Data Leavers Date]=1000,SUM(Table1[Leaving Date]-Table1[Start Date]),"")</f>
        <v/>
      </c>
      <c r="ET357" s="44" t="str">
        <f>IF(Table1[Data Leavers Date]=2000,SUM(Table1[Leaving Date]-Table1[Start Date]),"")</f>
        <v/>
      </c>
      <c r="EU357" s="44" t="str">
        <f>IF(Table1[Data Leavers Date]=3000,SUM(Table1[Leaving Date]-Table1[Start Date]),"")</f>
        <v/>
      </c>
      <c r="EV357" s="44" t="str">
        <f>IF(Table1[Data Leavers Date]=4000,SUM(Table1[Leaving Date]-Table1[Start Date]),"")</f>
        <v/>
      </c>
      <c r="EW357" s="44" t="str">
        <f>IF(Table1[Data Leavers Date]=5000,SUM(Table1[Leaving Date]-Table1[Start Date]),"")</f>
        <v/>
      </c>
      <c r="EX357" s="44" t="str">
        <f>IF(Table1[Data Leavers Date]=6000,SUM(Table1[Leaving Date]-Table1[Start Date]),"")</f>
        <v/>
      </c>
      <c r="EY357" s="44" t="str">
        <f>IF(Table1[Data Leavers Date]=7000,SUM(Table1[Leaving Date]-Table1[Start Date]),"")</f>
        <v/>
      </c>
      <c r="EZ357" s="44" t="str">
        <f>IF(Table1[Data Leavers Date]=8000,SUM(Table1[Leaving Date]-Table1[Start Date]),"")</f>
        <v/>
      </c>
      <c r="FA357" s="44" t="str">
        <f>IF(Table1[Date of Initial Assessment]="","",IF(AND(Table1[Start Date]&gt;42094,Table1[Start Date]&lt;42461),Table1[Motivation and Taking Responsibility],""))</f>
        <v/>
      </c>
      <c r="FB357" s="44" t="str">
        <f>IF(Table1[Date of Initial Assessment]="","",IF(AND(Table1[Start Date]&gt;42094,Table1[Start Date]&lt;42461),Table1[Self-Care and Living Skills],""))</f>
        <v/>
      </c>
      <c r="FC357" s="44" t="str">
        <f>IF(Table1[Date of Initial Assessment]="","",IF(AND(Table1[Start Date]&gt;42094,Table1[Start Date]&lt;42461),Table1[Managing Money and Personal Administration],""))</f>
        <v/>
      </c>
      <c r="FD357" s="44" t="str">
        <f>IF(Table1[Date of Initial Assessment]="","",IF(AND(Table1[Start Date]&gt;42094,Table1[Start Date]&lt;42461),Table1[Social Networks and Relationships],""))</f>
        <v/>
      </c>
      <c r="FE357" s="44" t="str">
        <f>IF(Table1[Date of Initial Assessment]="","",IF(AND(Table1[Start Date]&gt;42094,Table1[Start Date]&lt;42461),Table1[Drug and Alcohol Misuse],""))</f>
        <v/>
      </c>
      <c r="FF357" s="44" t="str">
        <f>IF(Table1[Date of Initial Assessment]="","",IF(AND(Table1[Start Date]&gt;42094,Table1[Start Date]&lt;42461),Table1[Physical Health],""))</f>
        <v/>
      </c>
      <c r="FG357" s="44" t="str">
        <f>IF(Table1[Date of Initial Assessment]="","",IF(AND(Table1[Start Date]&gt;42094,Table1[Start Date]&lt;42461),Table1[Emotional and Mental Health],""))</f>
        <v/>
      </c>
      <c r="FH357" s="44" t="str">
        <f>IF(Table1[Date of Initial Assessment]="","",IF(AND(Table1[Start Date]&gt;42094,Table1[Start Date]&lt;42461),Table1[Meaningful Use of Time],""))</f>
        <v/>
      </c>
      <c r="FI357" s="44" t="str">
        <f>IF(Table1[Date of Initial Assessment]="","",IF(AND(Table1[Start Date]&gt;42094,Table1[Start Date]&lt;42461),Table1[Managing Tenancy and Accommodation],""))</f>
        <v/>
      </c>
      <c r="FJ357" s="44" t="str">
        <f>IF(Table1[Date of Initial Assessment]="","",IF(AND(Table1[Start Date]&gt;42094,Table1[Start Date]&lt;42461),Table1[Offending],""))</f>
        <v/>
      </c>
      <c r="FK357" s="44" t="str">
        <f>IF(Table1[Leaving Date]="","",IF(Table1[Date of Initial Assessment]="","",IF(AND(Table1[Leaving Date]&gt;42094,Table1[Leaving Date]&lt;42461),IF(Table1[Date of Last Assessment]="",Table1[Motivation and Taking Responsibility],Table1[Motivation and Taking Responsibility2]),"")))</f>
        <v/>
      </c>
      <c r="FL357" s="44" t="str">
        <f>IF(Table1[Leaving Date]="","",IF(Table1[Date of Initial Assessment]="","",IF(AND(Table1[Leaving Date]&gt;42094,Table1[Leaving Date]&lt;42461),IF(Table1[Date of Last Assessment]="",Table1[Self-Care and Living Skills],Table1[Self-Care and Living Skills2]),"")))</f>
        <v/>
      </c>
      <c r="FM357" s="44" t="str">
        <f>IF(Table1[Leaving Date]="","",IF(Table1[Date of Initial Assessment]="","",IF(AND(Table1[Leaving Date]&gt;42094,Table1[Leaving Date]&lt;42461),IF(Table1[Date of Last Assessment]="",Table1[Managing Money and Personal Administration],Table1[Managing Money and Personal Administration2]),"")))</f>
        <v/>
      </c>
      <c r="FN357" s="44" t="str">
        <f>IF(Table1[Leaving Date]="","",IF(Table1[Date of Initial Assessment]="","",IF(AND(Table1[Leaving Date]&gt;42094,Table1[Leaving Date]&lt;42461),IF(Table1[Date of Last Assessment]="",Table1[Social Networks and Relationships],Table1[Social Networks and Relationships2]),"")))</f>
        <v/>
      </c>
      <c r="FO357" s="44" t="str">
        <f>IF(Table1[Leaving Date]="","",IF(Table1[Date of Initial Assessment]="","",IF(AND(Table1[Leaving Date]&gt;42094,Table1[Leaving Date]&lt;42461),IF(Table1[Date of Last Assessment]="",Table1[Drug and Alcohol Misuse],Table1[Drug and Alcohol Misuse2]),"")))</f>
        <v/>
      </c>
      <c r="FP357" s="44" t="str">
        <f>IF(Table1[Leaving Date]="","",IF(Table1[Date of Initial Assessment]="","",IF(AND(Table1[Leaving Date]&gt;42094,Table1[Leaving Date]&lt;42461),IF(Table1[Date of Last Assessment]="",Table1[Physical Health],Table1[Physical Health2]),"")))</f>
        <v/>
      </c>
      <c r="FQ357" s="44" t="str">
        <f>IF(Table1[Leaving Date]="","",IF(Table1[Date of Initial Assessment]="","",IF(AND(Table1[Leaving Date]&gt;42094,Table1[Leaving Date]&lt;42461),IF(Table1[Date of Last Assessment]="",Table1[Emotional and Mental Health],Table1[Emotional and Mental Health2]),"")))</f>
        <v/>
      </c>
      <c r="FR357" s="44" t="str">
        <f>IF(Table1[Leaving Date]="","",IF(Table1[Date of Initial Assessment]="","",IF(AND(Table1[Leaving Date]&gt;42094,Table1[Leaving Date]&lt;42461),IF(Table1[Date of Last Assessment]="",Table1[Meaningful Use of Time],Table1[Meaningful Use of Time2]),"")))</f>
        <v/>
      </c>
      <c r="FS357" s="44" t="str">
        <f>IF(Table1[Leaving Date]="","",IF(Table1[Date of Initial Assessment]="","",IF(AND(Table1[Leaving Date]&gt;42094,Table1[Leaving Date]&lt;42461),IF(Table1[Date of Last Assessment]="",Table1[Managing Tenancy and Accommodation],Table1[Managing Tenancy and Accommodation2]),"")))</f>
        <v/>
      </c>
      <c r="FT357" s="44" t="str">
        <f>IF(Table1[Leaving Date]="","",IF(Table1[Date of Initial Assessment]="","",IF(AND(Table1[Leaving Date]&gt;42094,Table1[Leaving Date]&lt;42461),IF(Table1[Date of Last Assessment]="",Table1[Offending],Table1[Offending2]),"")))</f>
        <v/>
      </c>
      <c r="FU357" s="44" t="str">
        <f>IF(Table1[Date of Initial Assessment]="","",IF(AND(Table1[Start Date]&gt;42460,Table1[Start Date]&lt;42826),Table1[Motivation and Taking Responsibility],""))</f>
        <v/>
      </c>
      <c r="FV357" s="44" t="str">
        <f>IF(Table1[Date of Initial Assessment]="","",IF(AND(Table1[Start Date]&gt;42460,Table1[Start Date]&lt;42826),Table1[Self-Care and Living Skills],""))</f>
        <v/>
      </c>
      <c r="FW357" s="44" t="str">
        <f>IF(Table1[Date of Initial Assessment]="","",IF(AND(Table1[Start Date]&gt;42460,Table1[Start Date]&lt;42826),Table1[Managing Money and Personal Administration],""))</f>
        <v/>
      </c>
      <c r="FX357" s="44" t="str">
        <f>IF(Table1[Date of Initial Assessment]="","",IF(AND(Table1[Start Date]&gt;42460,Table1[Start Date]&lt;42826),Table1[Social Networks and Relationships],""))</f>
        <v/>
      </c>
      <c r="FY357" s="44" t="str">
        <f>IF(Table1[Date of Initial Assessment]="","",IF(AND(Table1[Start Date]&gt;42460,Table1[Start Date]&lt;42826),Table1[Drug and Alcohol Misuse],""))</f>
        <v/>
      </c>
      <c r="FZ357" s="44" t="str">
        <f>IF(Table1[Date of Initial Assessment]="","",IF(AND(Table1[Start Date]&gt;42460,Table1[Start Date]&lt;42826),Table1[Physical Health],""))</f>
        <v/>
      </c>
      <c r="GA357" s="44" t="str">
        <f>IF(Table1[Date of Initial Assessment]="","",IF(AND(Table1[Start Date]&gt;42460,Table1[Start Date]&lt;42826),Table1[Emotional and Mental Health],""))</f>
        <v/>
      </c>
      <c r="GB357" s="44" t="str">
        <f>IF(Table1[Date of Initial Assessment]="","",IF(AND(Table1[Start Date]&gt;42460,Table1[Start Date]&lt;42826),Table1[Meaningful Use of Time],""))</f>
        <v/>
      </c>
      <c r="GC357" s="44" t="str">
        <f>IF(Table1[Date of Initial Assessment]="","",IF(AND(Table1[Start Date]&gt;42460,Table1[Start Date]&lt;42826),Table1[Managing Tenancy and Accommodation],""))</f>
        <v/>
      </c>
      <c r="GD357" s="44" t="str">
        <f>IF(Table1[Date of Initial Assessment]="","",IF(AND(Table1[Start Date]&gt;42460,Table1[Start Date]&lt;42826),Table1[Offending],""))</f>
        <v/>
      </c>
      <c r="GE357" s="44" t="str">
        <f>IF(Table1[Leaving Date]="","",IF(AND(Table1[Leaving Date]&gt;42460,Table1[Leaving Date]&lt;42826),IF(Table1[Date of Last Assessment]="",Table1[Motivation and Taking Responsibility],Table1[Motivation and Taking Responsibility2]),""))</f>
        <v/>
      </c>
      <c r="GF357" s="44" t="str">
        <f>IF(Table1[Leaving Date]="","",IF(AND(Table1[Leaving Date]&gt;42460,Table1[Leaving Date]&lt;42826),IF(Table1[Date of Last Assessment]="",Table1[Self-Care and Living Skills],Table1[Self-Care and Living Skills2]),""))</f>
        <v/>
      </c>
      <c r="GG357" s="44" t="str">
        <f>IF(Table1[Leaving Date]="","",IF(AND(Table1[Leaving Date]&gt;42460,Table1[Leaving Date]&lt;42826),IF(Table1[Date of Last Assessment]="",Table1[Managing Money and Personal Administration],Table1[Managing Money and Personal Administration2]),""))</f>
        <v/>
      </c>
      <c r="GH357" s="44" t="str">
        <f>IF(Table1[Leaving Date]="","",IF(AND(Table1[Leaving Date]&gt;42460,Table1[Leaving Date]&lt;42826),IF(Table1[Date of Last Assessment]="",Table1[Social Networks and Relationships],Table1[Social Networks and Relationships2]),""))</f>
        <v/>
      </c>
      <c r="GI357" s="44" t="str">
        <f>IF(Table1[Leaving Date]="","",IF(AND(Table1[Leaving Date]&gt;42460,Table1[Leaving Date]&lt;42826),IF(Table1[Date of Last Assessment]="",Table1[Drug and Alcohol Misuse],Table1[Drug and Alcohol Misuse2]),""))</f>
        <v/>
      </c>
      <c r="GJ357" s="44" t="str">
        <f>IF(Table1[Leaving Date]="","",IF(AND(Table1[Leaving Date]&gt;42460,Table1[Leaving Date]&lt;42826),IF(Table1[Date of Last Assessment]="",Table1[Physical Health],Table1[Physical Health2]),""))</f>
        <v/>
      </c>
      <c r="GK357" s="44" t="str">
        <f>IF(Table1[Leaving Date]="","",IF(AND(Table1[Leaving Date]&gt;42460,Table1[Leaving Date]&lt;42826),IF(Table1[Date of Last Assessment]="",Table1[Emotional and Mental Health],Table1[Emotional and Mental Health2]),""))</f>
        <v/>
      </c>
      <c r="GL357" s="44" t="str">
        <f>IF(Table1[Leaving Date]="","",IF(AND(Table1[Leaving Date]&gt;42460,Table1[Leaving Date]&lt;42826),IF(Table1[Date of Last Assessment]="",Table1[Meaningful Use of Time],Table1[Meaningful Use of Time2]),""))</f>
        <v/>
      </c>
      <c r="GM357" s="44" t="str">
        <f>IF(Table1[Leaving Date]="","",IF(AND(Table1[Leaving Date]&gt;42460,Table1[Leaving Date]&lt;42826),IF(Table1[Date of Last Assessment]="",Table1[Managing Tenancy and Accommodation],Table1[Managing Tenancy and Accommodation2]),""))</f>
        <v/>
      </c>
      <c r="GN357" s="44" t="str">
        <f>IF(Table1[Leaving Date]="","",IF(AND(Table1[Leaving Date]&gt;42460,Table1[Leaving Date]&lt;42826),IF(Table1[Date of Last Assessment]="",Table1[Offending],Table1[Offending2]),""))</f>
        <v/>
      </c>
    </row>
    <row r="358" spans="2:196" ht="20.100000000000001" customHeight="1" x14ac:dyDescent="0.2">
      <c r="B358" s="86">
        <f>+'Service Data'!$C$5:$C$5</f>
        <v>0</v>
      </c>
      <c r="C358" s="86"/>
      <c r="D358" s="86"/>
      <c r="E358" s="86"/>
      <c r="F358" s="86"/>
      <c r="G358" s="86"/>
      <c r="H358" s="6"/>
      <c r="I358" s="99" t="str">
        <f ca="1">IF(Table1[[#This Row],[Date of Birth]]="","",SUM(TODAY()-Table1[[#This Row],[Date of Birth]])/365)</f>
        <v/>
      </c>
      <c r="L358" s="86"/>
      <c r="M358" s="77"/>
      <c r="N358" s="86"/>
      <c r="O358" s="86"/>
      <c r="P358" s="91"/>
      <c r="Q358" s="86"/>
      <c r="R358" s="77"/>
      <c r="S358" s="77"/>
      <c r="T358" s="68"/>
      <c r="U358" s="68"/>
      <c r="V358" s="67"/>
      <c r="W358" s="67"/>
      <c r="X358" s="67"/>
      <c r="Y358" s="67"/>
      <c r="Z358" s="67"/>
      <c r="AA358" s="67"/>
      <c r="AB358" s="67"/>
      <c r="AC358" s="67"/>
      <c r="AD358" s="67"/>
      <c r="AE358" s="67"/>
      <c r="AF358" s="67"/>
      <c r="AG358" s="67"/>
      <c r="AH358" s="67"/>
      <c r="AI358" s="67"/>
      <c r="AJ358" s="67"/>
      <c r="AK358" s="67"/>
      <c r="AL358" s="67"/>
      <c r="AM358" s="67"/>
      <c r="AN358" s="77"/>
      <c r="AO358" s="76"/>
      <c r="AP358" s="77"/>
      <c r="AQ358" s="76"/>
      <c r="AR358" s="76"/>
      <c r="AS358" s="76"/>
      <c r="AT358" s="76"/>
      <c r="AU358" s="76"/>
      <c r="AV358" s="77"/>
      <c r="AW358" s="76"/>
      <c r="AX358" s="77"/>
      <c r="AY358" s="76"/>
      <c r="AZ358" s="76"/>
      <c r="BA358" s="76"/>
      <c r="BB358" s="76"/>
      <c r="BC358" s="76"/>
      <c r="BD358" s="77"/>
      <c r="BE358" s="76"/>
      <c r="BF358" s="77"/>
      <c r="BG358" s="76"/>
      <c r="BH358" s="76"/>
      <c r="BI358" s="76"/>
      <c r="BJ358" s="76"/>
      <c r="BK358" s="76"/>
      <c r="BL358" s="77"/>
      <c r="BM358" s="76"/>
      <c r="BN358" s="77"/>
      <c r="BO358" s="76"/>
      <c r="BP358" s="76"/>
      <c r="BQ358" s="76"/>
      <c r="BR358" s="76"/>
      <c r="BS358" s="76"/>
      <c r="BT358" s="77"/>
      <c r="BU358" s="76"/>
      <c r="BV358" s="77"/>
      <c r="BW358" s="76"/>
      <c r="BX358" s="76"/>
      <c r="BY358" s="76"/>
      <c r="BZ358" s="76"/>
      <c r="CA358" s="76"/>
      <c r="CB358" s="77"/>
      <c r="CC358" s="76"/>
      <c r="CD358" s="77"/>
      <c r="CE358" s="76"/>
      <c r="CF358" s="76"/>
      <c r="CG358" s="76"/>
      <c r="CH358" s="76"/>
      <c r="CI358" s="76"/>
      <c r="CJ358" s="77"/>
      <c r="CK358" s="76"/>
      <c r="CL358" s="77"/>
      <c r="CM358" s="76"/>
      <c r="CN358" s="76"/>
      <c r="CO358" s="76"/>
      <c r="CP358" s="76"/>
      <c r="CQ358" s="76"/>
      <c r="CR358" s="78" t="str">
        <f t="shared" si="95"/>
        <v/>
      </c>
      <c r="CS358" s="79" t="str">
        <f t="shared" si="96"/>
        <v/>
      </c>
      <c r="CT358" s="79" t="str">
        <f t="shared" si="97"/>
        <v/>
      </c>
      <c r="CU358" s="79" t="str">
        <f t="shared" si="98"/>
        <v/>
      </c>
      <c r="CV358" s="79" t="str">
        <f t="shared" si="99"/>
        <v/>
      </c>
      <c r="CW358" s="79" t="str">
        <f t="shared" si="100"/>
        <v/>
      </c>
      <c r="CX358" s="79" t="str">
        <f t="shared" si="101"/>
        <v/>
      </c>
      <c r="CY358" s="79" t="str">
        <f t="shared" si="102"/>
        <v/>
      </c>
      <c r="CZ358" s="79" t="str">
        <f t="shared" si="103"/>
        <v/>
      </c>
      <c r="DA358" s="79" t="str">
        <f t="shared" si="104"/>
        <v/>
      </c>
      <c r="DB358" s="79" t="str">
        <f t="shared" si="105"/>
        <v/>
      </c>
      <c r="DC358" s="79" t="str">
        <f t="shared" si="106"/>
        <v/>
      </c>
      <c r="DD358" s="79" t="str">
        <f t="shared" si="107"/>
        <v/>
      </c>
      <c r="DE358" s="79" t="str">
        <f t="shared" si="108"/>
        <v/>
      </c>
      <c r="DF358" s="79" t="str">
        <f t="shared" si="109"/>
        <v/>
      </c>
      <c r="DG358" s="79" t="str">
        <f t="shared" si="110"/>
        <v/>
      </c>
      <c r="DH358" s="76"/>
      <c r="DI358" s="78"/>
      <c r="DJ358" s="76"/>
      <c r="DK358" s="77"/>
      <c r="DL358" s="77"/>
      <c r="DM358" s="77"/>
      <c r="DN358" s="80"/>
      <c r="DO358" s="80"/>
      <c r="DP358" s="92" t="str">
        <f>IF(Table1[Start Date]="","",IF(Table1[Start Date]&gt;42185,"",IF(AND(Table1[Leaving Date]&gt;1,Table1[Leaving Date]&lt;42095),"",1)))</f>
        <v/>
      </c>
      <c r="DQ358" s="92" t="str">
        <f>IF(Table1[Start Date]="","",IF(Table1[Start Date]&gt;42277,"",IF(AND(Table1[Leaving Date]&gt;1,Table1[Leaving Date]&lt;42186),"",1)))</f>
        <v/>
      </c>
      <c r="DR358" s="92" t="str">
        <f>IF(Table1[Start Date]="","",IF(Table1[Start Date]&gt;42369,"",IF(AND(Table1[Leaving Date]&gt;1,Table1[Leaving Date]&lt;42278),"",1)))</f>
        <v/>
      </c>
      <c r="DS358" s="92" t="str">
        <f>IF(Table1[Start Date]="","",IF(Table1[Start Date]&gt;42460,"",IF(AND(Table1[Leaving Date]&gt;1,Table1[Leaving Date]&lt;42370),"",1)))</f>
        <v/>
      </c>
      <c r="DT358" s="92" t="str">
        <f>IF(Table1[Start Date]="","",IF(Table1[Start Date]&gt;42551,"",IF(AND(Table1[Leaving Date]&gt;1,Table1[Leaving Date]&lt;42461),"",1)))</f>
        <v/>
      </c>
      <c r="DU358" s="92" t="str">
        <f>IF(Table1[Start Date]="","",IF(Table1[Start Date]&gt;42643,"",IF(AND(Table1[Leaving Date]&gt;1,Table1[Leaving Date]&lt;42552),"",1)))</f>
        <v/>
      </c>
      <c r="DV358" s="92" t="str">
        <f>IF(Table1[Start Date]="","",IF(Table1[Start Date]&gt;42735,"",IF(AND(Table1[Leaving Date]&gt;1,Table1[Leaving Date]&lt;42644),"",1)))</f>
        <v/>
      </c>
      <c r="DW358" s="92" t="str">
        <f>IF(Table1[Start Date]="","",IF(Table1[Start Date]&gt;42825,"",IF(AND(Table1[Leaving Date]&gt;1,Table1[Leaving Date]&lt;42736),"",1)))</f>
        <v/>
      </c>
      <c r="DX358"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358" s="44" t="e">
        <f>VLOOKUP(Table1[Referral Source],Lists!$G$2:$H$20,2,FALSE)</f>
        <v>#N/A</v>
      </c>
      <c r="DZ358" s="93" t="e">
        <f>SUM(Table1[Data Referral Quarter]+Table1[Data Referral Source])</f>
        <v>#N/A</v>
      </c>
      <c r="EA358" s="44" t="b">
        <f>IF(Table1[Referral Decision]="Accepted",100,IF(Table1[Referral Decision]="Rejected by Provider",200,IF(Table1[Referral Decision]="Rejected by Applicant",300)))</f>
        <v>0</v>
      </c>
      <c r="EB358" s="44">
        <f>SUM(Table1[Data Referral Quarter]+Table1[Data Referral Decision])</f>
        <v>0</v>
      </c>
      <c r="EC358" s="44" t="b">
        <f>IF(Table1[Start Date]&gt;42735,8000,IF(Table1[Start Date]&gt;42643,7000,IF(Table1[Start Date]&gt;42551,6000,IF(Table1[Start Date]&gt;42460,5000,IF(Table1[Start Date]&gt;42369,4000,IF(Table1[Start Date]&gt;42277,3000,IF(Table1[Start Date]&gt;42185,2000,IF(Table1[Start Date]&gt;42094,1000))))))))</f>
        <v>0</v>
      </c>
      <c r="ED358" s="44" t="str">
        <f>IF(Table1[Start Date]="","",IF(Table1[Current Local Authority]="Swindon",1,"2"))</f>
        <v/>
      </c>
      <c r="EE358" s="44" t="e">
        <f>SUM(Table1[Data Start Date]+Table1[Data Local Authority])</f>
        <v>#VALUE!</v>
      </c>
      <c r="EF358" s="44">
        <f>IF(Table1[Registered with GP]="Yes",1,0)</f>
        <v>0</v>
      </c>
      <c r="EG358" s="44">
        <f>SUM(Table1[Data Start Date]+Table1[Data GP Start])</f>
        <v>0</v>
      </c>
      <c r="EH358" s="44" t="str">
        <f>IF(Table1[EET]="NEET",1,IF(Table1[EET]="Education",2,IF(Table1[EET]="Employment",2,IF(Table1[EET]="Training",2,IF(Table1[EET]="Retired",3,"")))))</f>
        <v/>
      </c>
      <c r="EI358" s="44" t="e">
        <f>Table1[Data Start Date]+Table1[Data EET Start]</f>
        <v>#VALUE!</v>
      </c>
      <c r="EJ358" s="44" t="b">
        <f>IF(Table1[Leaving Date]&gt;42735,8000,IF(Table1[Leaving Date]&gt;42643,7000,IF(Table1[Leaving Date]&gt;42551,6000,IF(Table1[Leaving Date]&gt;42460,5000,IF(Table1[Leaving Date]&gt;42369,4000,IF(Table1[Leaving Date]&gt;42277,3000,IF(Table1[Leaving Date]&gt;42185,2000,IF(Table1[Leaving Date]&gt;42094,1000))))))))</f>
        <v>0</v>
      </c>
      <c r="EK358" s="44" t="e">
        <f>VLOOKUP(Table1[Reason for Leaving],Lists!$T$2:$U$15,2,FALSE)</f>
        <v>#N/A</v>
      </c>
      <c r="EL358" s="44" t="e">
        <f>SUM(Table1[Data Leavers Date]+Table1[Data Move On])</f>
        <v>#N/A</v>
      </c>
      <c r="EM358" s="44" t="b">
        <f>IF(Table1[Registered with GP2]="Yes",1,IF(Table1[Registered with GP2]="No",0,IF(Table1[Registered with GP]="Yes",1,IF(Table1[Registered with GP]="No",0))))</f>
        <v>0</v>
      </c>
      <c r="EN358" s="44">
        <f>SUM(Table1[Data Leavers Date]+Table1[Data GP End])</f>
        <v>0</v>
      </c>
      <c r="EO358" s="44" t="str">
        <f>IF(Table1[EET2]="NEET",1,IF(Table1[EET2]="Employment",2,IF(Table1[EET2]="Education",2,IF(Table1[EET2]="Training",2,IF(Table1[EET2]="Retired",3,IF(Table1[EET]="NEET",1,IF(Table1[EET]="Employment",2,IF(Table1[EET]="Education",2,IF(Table1[EET]="Training",2,IF(Table1[EET]="Retired",3,""))))))))))</f>
        <v/>
      </c>
      <c r="EP358" s="44" t="e">
        <f>+Table1[[#This Row],[Data Leavers Date]]+Table1[[#This Row],[Data EET End]]</f>
        <v>#VALUE!</v>
      </c>
      <c r="EQ358" s="44">
        <f>IF(Table1[Exit Form Received]="Yes",1,0)</f>
        <v>0</v>
      </c>
      <c r="ER358" s="44">
        <f>+Table1[[#This Row],[Data Leavers Date]]+Table1[[#This Row],[Data Exit Forms]]</f>
        <v>0</v>
      </c>
      <c r="ES358" s="44" t="str">
        <f>IF(Table1[Data Leavers Date]=1000,SUM(Table1[Leaving Date]-Table1[Start Date]),"")</f>
        <v/>
      </c>
      <c r="ET358" s="44" t="str">
        <f>IF(Table1[Data Leavers Date]=2000,SUM(Table1[Leaving Date]-Table1[Start Date]),"")</f>
        <v/>
      </c>
      <c r="EU358" s="44" t="str">
        <f>IF(Table1[Data Leavers Date]=3000,SUM(Table1[Leaving Date]-Table1[Start Date]),"")</f>
        <v/>
      </c>
      <c r="EV358" s="44" t="str">
        <f>IF(Table1[Data Leavers Date]=4000,SUM(Table1[Leaving Date]-Table1[Start Date]),"")</f>
        <v/>
      </c>
      <c r="EW358" s="44" t="str">
        <f>IF(Table1[Data Leavers Date]=5000,SUM(Table1[Leaving Date]-Table1[Start Date]),"")</f>
        <v/>
      </c>
      <c r="EX358" s="44" t="str">
        <f>IF(Table1[Data Leavers Date]=6000,SUM(Table1[Leaving Date]-Table1[Start Date]),"")</f>
        <v/>
      </c>
      <c r="EY358" s="44" t="str">
        <f>IF(Table1[Data Leavers Date]=7000,SUM(Table1[Leaving Date]-Table1[Start Date]),"")</f>
        <v/>
      </c>
      <c r="EZ358" s="44" t="str">
        <f>IF(Table1[Data Leavers Date]=8000,SUM(Table1[Leaving Date]-Table1[Start Date]),"")</f>
        <v/>
      </c>
      <c r="FA358" s="44" t="str">
        <f>IF(Table1[Date of Initial Assessment]="","",IF(AND(Table1[Start Date]&gt;42094,Table1[Start Date]&lt;42461),Table1[Motivation and Taking Responsibility],""))</f>
        <v/>
      </c>
      <c r="FB358" s="44" t="str">
        <f>IF(Table1[Date of Initial Assessment]="","",IF(AND(Table1[Start Date]&gt;42094,Table1[Start Date]&lt;42461),Table1[Self-Care and Living Skills],""))</f>
        <v/>
      </c>
      <c r="FC358" s="44" t="str">
        <f>IF(Table1[Date of Initial Assessment]="","",IF(AND(Table1[Start Date]&gt;42094,Table1[Start Date]&lt;42461),Table1[Managing Money and Personal Administration],""))</f>
        <v/>
      </c>
      <c r="FD358" s="44" t="str">
        <f>IF(Table1[Date of Initial Assessment]="","",IF(AND(Table1[Start Date]&gt;42094,Table1[Start Date]&lt;42461),Table1[Social Networks and Relationships],""))</f>
        <v/>
      </c>
      <c r="FE358" s="44" t="str">
        <f>IF(Table1[Date of Initial Assessment]="","",IF(AND(Table1[Start Date]&gt;42094,Table1[Start Date]&lt;42461),Table1[Drug and Alcohol Misuse],""))</f>
        <v/>
      </c>
      <c r="FF358" s="44" t="str">
        <f>IF(Table1[Date of Initial Assessment]="","",IF(AND(Table1[Start Date]&gt;42094,Table1[Start Date]&lt;42461),Table1[Physical Health],""))</f>
        <v/>
      </c>
      <c r="FG358" s="44" t="str">
        <f>IF(Table1[Date of Initial Assessment]="","",IF(AND(Table1[Start Date]&gt;42094,Table1[Start Date]&lt;42461),Table1[Emotional and Mental Health],""))</f>
        <v/>
      </c>
      <c r="FH358" s="44" t="str">
        <f>IF(Table1[Date of Initial Assessment]="","",IF(AND(Table1[Start Date]&gt;42094,Table1[Start Date]&lt;42461),Table1[Meaningful Use of Time],""))</f>
        <v/>
      </c>
      <c r="FI358" s="44" t="str">
        <f>IF(Table1[Date of Initial Assessment]="","",IF(AND(Table1[Start Date]&gt;42094,Table1[Start Date]&lt;42461),Table1[Managing Tenancy and Accommodation],""))</f>
        <v/>
      </c>
      <c r="FJ358" s="44" t="str">
        <f>IF(Table1[Date of Initial Assessment]="","",IF(AND(Table1[Start Date]&gt;42094,Table1[Start Date]&lt;42461),Table1[Offending],""))</f>
        <v/>
      </c>
      <c r="FK358" s="44" t="str">
        <f>IF(Table1[Leaving Date]="","",IF(Table1[Date of Initial Assessment]="","",IF(AND(Table1[Leaving Date]&gt;42094,Table1[Leaving Date]&lt;42461),IF(Table1[Date of Last Assessment]="",Table1[Motivation and Taking Responsibility],Table1[Motivation and Taking Responsibility2]),"")))</f>
        <v/>
      </c>
      <c r="FL358" s="44" t="str">
        <f>IF(Table1[Leaving Date]="","",IF(Table1[Date of Initial Assessment]="","",IF(AND(Table1[Leaving Date]&gt;42094,Table1[Leaving Date]&lt;42461),IF(Table1[Date of Last Assessment]="",Table1[Self-Care and Living Skills],Table1[Self-Care and Living Skills2]),"")))</f>
        <v/>
      </c>
      <c r="FM358" s="44" t="str">
        <f>IF(Table1[Leaving Date]="","",IF(Table1[Date of Initial Assessment]="","",IF(AND(Table1[Leaving Date]&gt;42094,Table1[Leaving Date]&lt;42461),IF(Table1[Date of Last Assessment]="",Table1[Managing Money and Personal Administration],Table1[Managing Money and Personal Administration2]),"")))</f>
        <v/>
      </c>
      <c r="FN358" s="44" t="str">
        <f>IF(Table1[Leaving Date]="","",IF(Table1[Date of Initial Assessment]="","",IF(AND(Table1[Leaving Date]&gt;42094,Table1[Leaving Date]&lt;42461),IF(Table1[Date of Last Assessment]="",Table1[Social Networks and Relationships],Table1[Social Networks and Relationships2]),"")))</f>
        <v/>
      </c>
      <c r="FO358" s="44" t="str">
        <f>IF(Table1[Leaving Date]="","",IF(Table1[Date of Initial Assessment]="","",IF(AND(Table1[Leaving Date]&gt;42094,Table1[Leaving Date]&lt;42461),IF(Table1[Date of Last Assessment]="",Table1[Drug and Alcohol Misuse],Table1[Drug and Alcohol Misuse2]),"")))</f>
        <v/>
      </c>
      <c r="FP358" s="44" t="str">
        <f>IF(Table1[Leaving Date]="","",IF(Table1[Date of Initial Assessment]="","",IF(AND(Table1[Leaving Date]&gt;42094,Table1[Leaving Date]&lt;42461),IF(Table1[Date of Last Assessment]="",Table1[Physical Health],Table1[Physical Health2]),"")))</f>
        <v/>
      </c>
      <c r="FQ358" s="44" t="str">
        <f>IF(Table1[Leaving Date]="","",IF(Table1[Date of Initial Assessment]="","",IF(AND(Table1[Leaving Date]&gt;42094,Table1[Leaving Date]&lt;42461),IF(Table1[Date of Last Assessment]="",Table1[Emotional and Mental Health],Table1[Emotional and Mental Health2]),"")))</f>
        <v/>
      </c>
      <c r="FR358" s="44" t="str">
        <f>IF(Table1[Leaving Date]="","",IF(Table1[Date of Initial Assessment]="","",IF(AND(Table1[Leaving Date]&gt;42094,Table1[Leaving Date]&lt;42461),IF(Table1[Date of Last Assessment]="",Table1[Meaningful Use of Time],Table1[Meaningful Use of Time2]),"")))</f>
        <v/>
      </c>
      <c r="FS358" s="44" t="str">
        <f>IF(Table1[Leaving Date]="","",IF(Table1[Date of Initial Assessment]="","",IF(AND(Table1[Leaving Date]&gt;42094,Table1[Leaving Date]&lt;42461),IF(Table1[Date of Last Assessment]="",Table1[Managing Tenancy and Accommodation],Table1[Managing Tenancy and Accommodation2]),"")))</f>
        <v/>
      </c>
      <c r="FT358" s="44" t="str">
        <f>IF(Table1[Leaving Date]="","",IF(Table1[Date of Initial Assessment]="","",IF(AND(Table1[Leaving Date]&gt;42094,Table1[Leaving Date]&lt;42461),IF(Table1[Date of Last Assessment]="",Table1[Offending],Table1[Offending2]),"")))</f>
        <v/>
      </c>
      <c r="FU358" s="44" t="str">
        <f>IF(Table1[Date of Initial Assessment]="","",IF(AND(Table1[Start Date]&gt;42460,Table1[Start Date]&lt;42826),Table1[Motivation and Taking Responsibility],""))</f>
        <v/>
      </c>
      <c r="FV358" s="44" t="str">
        <f>IF(Table1[Date of Initial Assessment]="","",IF(AND(Table1[Start Date]&gt;42460,Table1[Start Date]&lt;42826),Table1[Self-Care and Living Skills],""))</f>
        <v/>
      </c>
      <c r="FW358" s="44" t="str">
        <f>IF(Table1[Date of Initial Assessment]="","",IF(AND(Table1[Start Date]&gt;42460,Table1[Start Date]&lt;42826),Table1[Managing Money and Personal Administration],""))</f>
        <v/>
      </c>
      <c r="FX358" s="44" t="str">
        <f>IF(Table1[Date of Initial Assessment]="","",IF(AND(Table1[Start Date]&gt;42460,Table1[Start Date]&lt;42826),Table1[Social Networks and Relationships],""))</f>
        <v/>
      </c>
      <c r="FY358" s="44" t="str">
        <f>IF(Table1[Date of Initial Assessment]="","",IF(AND(Table1[Start Date]&gt;42460,Table1[Start Date]&lt;42826),Table1[Drug and Alcohol Misuse],""))</f>
        <v/>
      </c>
      <c r="FZ358" s="44" t="str">
        <f>IF(Table1[Date of Initial Assessment]="","",IF(AND(Table1[Start Date]&gt;42460,Table1[Start Date]&lt;42826),Table1[Physical Health],""))</f>
        <v/>
      </c>
      <c r="GA358" s="44" t="str">
        <f>IF(Table1[Date of Initial Assessment]="","",IF(AND(Table1[Start Date]&gt;42460,Table1[Start Date]&lt;42826),Table1[Emotional and Mental Health],""))</f>
        <v/>
      </c>
      <c r="GB358" s="44" t="str">
        <f>IF(Table1[Date of Initial Assessment]="","",IF(AND(Table1[Start Date]&gt;42460,Table1[Start Date]&lt;42826),Table1[Meaningful Use of Time],""))</f>
        <v/>
      </c>
      <c r="GC358" s="44" t="str">
        <f>IF(Table1[Date of Initial Assessment]="","",IF(AND(Table1[Start Date]&gt;42460,Table1[Start Date]&lt;42826),Table1[Managing Tenancy and Accommodation],""))</f>
        <v/>
      </c>
      <c r="GD358" s="44" t="str">
        <f>IF(Table1[Date of Initial Assessment]="","",IF(AND(Table1[Start Date]&gt;42460,Table1[Start Date]&lt;42826),Table1[Offending],""))</f>
        <v/>
      </c>
      <c r="GE358" s="44" t="str">
        <f>IF(Table1[Leaving Date]="","",IF(AND(Table1[Leaving Date]&gt;42460,Table1[Leaving Date]&lt;42826),IF(Table1[Date of Last Assessment]="",Table1[Motivation and Taking Responsibility],Table1[Motivation and Taking Responsibility2]),""))</f>
        <v/>
      </c>
      <c r="GF358" s="44" t="str">
        <f>IF(Table1[Leaving Date]="","",IF(AND(Table1[Leaving Date]&gt;42460,Table1[Leaving Date]&lt;42826),IF(Table1[Date of Last Assessment]="",Table1[Self-Care and Living Skills],Table1[Self-Care and Living Skills2]),""))</f>
        <v/>
      </c>
      <c r="GG358" s="44" t="str">
        <f>IF(Table1[Leaving Date]="","",IF(AND(Table1[Leaving Date]&gt;42460,Table1[Leaving Date]&lt;42826),IF(Table1[Date of Last Assessment]="",Table1[Managing Money and Personal Administration],Table1[Managing Money and Personal Administration2]),""))</f>
        <v/>
      </c>
      <c r="GH358" s="44" t="str">
        <f>IF(Table1[Leaving Date]="","",IF(AND(Table1[Leaving Date]&gt;42460,Table1[Leaving Date]&lt;42826),IF(Table1[Date of Last Assessment]="",Table1[Social Networks and Relationships],Table1[Social Networks and Relationships2]),""))</f>
        <v/>
      </c>
      <c r="GI358" s="44" t="str">
        <f>IF(Table1[Leaving Date]="","",IF(AND(Table1[Leaving Date]&gt;42460,Table1[Leaving Date]&lt;42826),IF(Table1[Date of Last Assessment]="",Table1[Drug and Alcohol Misuse],Table1[Drug and Alcohol Misuse2]),""))</f>
        <v/>
      </c>
      <c r="GJ358" s="44" t="str">
        <f>IF(Table1[Leaving Date]="","",IF(AND(Table1[Leaving Date]&gt;42460,Table1[Leaving Date]&lt;42826),IF(Table1[Date of Last Assessment]="",Table1[Physical Health],Table1[Physical Health2]),""))</f>
        <v/>
      </c>
      <c r="GK358" s="44" t="str">
        <f>IF(Table1[Leaving Date]="","",IF(AND(Table1[Leaving Date]&gt;42460,Table1[Leaving Date]&lt;42826),IF(Table1[Date of Last Assessment]="",Table1[Emotional and Mental Health],Table1[Emotional and Mental Health2]),""))</f>
        <v/>
      </c>
      <c r="GL358" s="44" t="str">
        <f>IF(Table1[Leaving Date]="","",IF(AND(Table1[Leaving Date]&gt;42460,Table1[Leaving Date]&lt;42826),IF(Table1[Date of Last Assessment]="",Table1[Meaningful Use of Time],Table1[Meaningful Use of Time2]),""))</f>
        <v/>
      </c>
      <c r="GM358" s="44" t="str">
        <f>IF(Table1[Leaving Date]="","",IF(AND(Table1[Leaving Date]&gt;42460,Table1[Leaving Date]&lt;42826),IF(Table1[Date of Last Assessment]="",Table1[Managing Tenancy and Accommodation],Table1[Managing Tenancy and Accommodation2]),""))</f>
        <v/>
      </c>
      <c r="GN358" s="44" t="str">
        <f>IF(Table1[Leaving Date]="","",IF(AND(Table1[Leaving Date]&gt;42460,Table1[Leaving Date]&lt;42826),IF(Table1[Date of Last Assessment]="",Table1[Offending],Table1[Offending2]),""))</f>
        <v/>
      </c>
    </row>
    <row r="359" spans="2:196" ht="20.100000000000001" customHeight="1" x14ac:dyDescent="0.2">
      <c r="B359" s="86">
        <f>+'Service Data'!$C$5:$C$5</f>
        <v>0</v>
      </c>
      <c r="C359" s="86"/>
      <c r="D359" s="86"/>
      <c r="E359" s="86"/>
      <c r="F359" s="86"/>
      <c r="G359" s="86"/>
      <c r="H359" s="6"/>
      <c r="I359" s="99" t="str">
        <f ca="1">IF(Table1[[#This Row],[Date of Birth]]="","",SUM(TODAY()-Table1[[#This Row],[Date of Birth]])/365)</f>
        <v/>
      </c>
      <c r="L359" s="86"/>
      <c r="M359" s="77"/>
      <c r="N359" s="86"/>
      <c r="O359" s="86"/>
      <c r="P359" s="91"/>
      <c r="Q359" s="86"/>
      <c r="R359" s="77"/>
      <c r="S359" s="77"/>
      <c r="T359" s="68"/>
      <c r="U359" s="68"/>
      <c r="V359" s="67"/>
      <c r="W359" s="67"/>
      <c r="X359" s="67"/>
      <c r="Y359" s="67"/>
      <c r="Z359" s="67"/>
      <c r="AA359" s="67"/>
      <c r="AB359" s="67"/>
      <c r="AC359" s="67"/>
      <c r="AD359" s="67"/>
      <c r="AE359" s="67"/>
      <c r="AF359" s="67"/>
      <c r="AG359" s="67"/>
      <c r="AH359" s="67"/>
      <c r="AI359" s="67"/>
      <c r="AJ359" s="67"/>
      <c r="AK359" s="67"/>
      <c r="AL359" s="67"/>
      <c r="AM359" s="67"/>
      <c r="AN359" s="77"/>
      <c r="AO359" s="76"/>
      <c r="AP359" s="77"/>
      <c r="AQ359" s="76"/>
      <c r="AR359" s="76"/>
      <c r="AS359" s="76"/>
      <c r="AT359" s="76"/>
      <c r="AU359" s="76"/>
      <c r="AV359" s="77"/>
      <c r="AW359" s="76"/>
      <c r="AX359" s="77"/>
      <c r="AY359" s="76"/>
      <c r="AZ359" s="76"/>
      <c r="BA359" s="76"/>
      <c r="BB359" s="76"/>
      <c r="BC359" s="76"/>
      <c r="BD359" s="77"/>
      <c r="BE359" s="76"/>
      <c r="BF359" s="77"/>
      <c r="BG359" s="76"/>
      <c r="BH359" s="76"/>
      <c r="BI359" s="76"/>
      <c r="BJ359" s="76"/>
      <c r="BK359" s="76"/>
      <c r="BL359" s="77"/>
      <c r="BM359" s="76"/>
      <c r="BN359" s="77"/>
      <c r="BO359" s="76"/>
      <c r="BP359" s="76"/>
      <c r="BQ359" s="76"/>
      <c r="BR359" s="76"/>
      <c r="BS359" s="76"/>
      <c r="BT359" s="77"/>
      <c r="BU359" s="76"/>
      <c r="BV359" s="77"/>
      <c r="BW359" s="76"/>
      <c r="BX359" s="76"/>
      <c r="BY359" s="76"/>
      <c r="BZ359" s="76"/>
      <c r="CA359" s="76"/>
      <c r="CB359" s="77"/>
      <c r="CC359" s="76"/>
      <c r="CD359" s="77"/>
      <c r="CE359" s="76"/>
      <c r="CF359" s="76"/>
      <c r="CG359" s="76"/>
      <c r="CH359" s="76"/>
      <c r="CI359" s="76"/>
      <c r="CJ359" s="77"/>
      <c r="CK359" s="76"/>
      <c r="CL359" s="77"/>
      <c r="CM359" s="76"/>
      <c r="CN359" s="76"/>
      <c r="CO359" s="76"/>
      <c r="CP359" s="76"/>
      <c r="CQ359" s="76"/>
      <c r="CR359" s="78" t="str">
        <f t="shared" si="95"/>
        <v/>
      </c>
      <c r="CS359" s="79" t="str">
        <f t="shared" si="96"/>
        <v/>
      </c>
      <c r="CT359" s="79" t="str">
        <f t="shared" si="97"/>
        <v/>
      </c>
      <c r="CU359" s="79" t="str">
        <f t="shared" si="98"/>
        <v/>
      </c>
      <c r="CV359" s="79" t="str">
        <f t="shared" si="99"/>
        <v/>
      </c>
      <c r="CW359" s="79" t="str">
        <f t="shared" si="100"/>
        <v/>
      </c>
      <c r="CX359" s="79" t="str">
        <f t="shared" si="101"/>
        <v/>
      </c>
      <c r="CY359" s="79" t="str">
        <f t="shared" si="102"/>
        <v/>
      </c>
      <c r="CZ359" s="79" t="str">
        <f t="shared" si="103"/>
        <v/>
      </c>
      <c r="DA359" s="79" t="str">
        <f t="shared" si="104"/>
        <v/>
      </c>
      <c r="DB359" s="79" t="str">
        <f t="shared" si="105"/>
        <v/>
      </c>
      <c r="DC359" s="79" t="str">
        <f t="shared" si="106"/>
        <v/>
      </c>
      <c r="DD359" s="79" t="str">
        <f t="shared" si="107"/>
        <v/>
      </c>
      <c r="DE359" s="79" t="str">
        <f t="shared" si="108"/>
        <v/>
      </c>
      <c r="DF359" s="79" t="str">
        <f t="shared" si="109"/>
        <v/>
      </c>
      <c r="DG359" s="79" t="str">
        <f t="shared" si="110"/>
        <v/>
      </c>
      <c r="DH359" s="76"/>
      <c r="DI359" s="78"/>
      <c r="DJ359" s="76"/>
      <c r="DK359" s="77"/>
      <c r="DL359" s="77"/>
      <c r="DM359" s="77"/>
      <c r="DN359" s="80"/>
      <c r="DO359" s="80"/>
      <c r="DP359" s="92" t="str">
        <f>IF(Table1[Start Date]="","",IF(Table1[Start Date]&gt;42185,"",IF(AND(Table1[Leaving Date]&gt;1,Table1[Leaving Date]&lt;42095),"",1)))</f>
        <v/>
      </c>
      <c r="DQ359" s="92" t="str">
        <f>IF(Table1[Start Date]="","",IF(Table1[Start Date]&gt;42277,"",IF(AND(Table1[Leaving Date]&gt;1,Table1[Leaving Date]&lt;42186),"",1)))</f>
        <v/>
      </c>
      <c r="DR359" s="92" t="str">
        <f>IF(Table1[Start Date]="","",IF(Table1[Start Date]&gt;42369,"",IF(AND(Table1[Leaving Date]&gt;1,Table1[Leaving Date]&lt;42278),"",1)))</f>
        <v/>
      </c>
      <c r="DS359" s="92" t="str">
        <f>IF(Table1[Start Date]="","",IF(Table1[Start Date]&gt;42460,"",IF(AND(Table1[Leaving Date]&gt;1,Table1[Leaving Date]&lt;42370),"",1)))</f>
        <v/>
      </c>
      <c r="DT359" s="92" t="str">
        <f>IF(Table1[Start Date]="","",IF(Table1[Start Date]&gt;42551,"",IF(AND(Table1[Leaving Date]&gt;1,Table1[Leaving Date]&lt;42461),"",1)))</f>
        <v/>
      </c>
      <c r="DU359" s="92" t="str">
        <f>IF(Table1[Start Date]="","",IF(Table1[Start Date]&gt;42643,"",IF(AND(Table1[Leaving Date]&gt;1,Table1[Leaving Date]&lt;42552),"",1)))</f>
        <v/>
      </c>
      <c r="DV359" s="92" t="str">
        <f>IF(Table1[Start Date]="","",IF(Table1[Start Date]&gt;42735,"",IF(AND(Table1[Leaving Date]&gt;1,Table1[Leaving Date]&lt;42644),"",1)))</f>
        <v/>
      </c>
      <c r="DW359" s="92" t="str">
        <f>IF(Table1[Start Date]="","",IF(Table1[Start Date]&gt;42825,"",IF(AND(Table1[Leaving Date]&gt;1,Table1[Leaving Date]&lt;42736),"",1)))</f>
        <v/>
      </c>
      <c r="DX359"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359" s="44" t="e">
        <f>VLOOKUP(Table1[Referral Source],Lists!$G$2:$H$20,2,FALSE)</f>
        <v>#N/A</v>
      </c>
      <c r="DZ359" s="93" t="e">
        <f>SUM(Table1[Data Referral Quarter]+Table1[Data Referral Source])</f>
        <v>#N/A</v>
      </c>
      <c r="EA359" s="44" t="b">
        <f>IF(Table1[Referral Decision]="Accepted",100,IF(Table1[Referral Decision]="Rejected by Provider",200,IF(Table1[Referral Decision]="Rejected by Applicant",300)))</f>
        <v>0</v>
      </c>
      <c r="EB359" s="44">
        <f>SUM(Table1[Data Referral Quarter]+Table1[Data Referral Decision])</f>
        <v>0</v>
      </c>
      <c r="EC359" s="44" t="b">
        <f>IF(Table1[Start Date]&gt;42735,8000,IF(Table1[Start Date]&gt;42643,7000,IF(Table1[Start Date]&gt;42551,6000,IF(Table1[Start Date]&gt;42460,5000,IF(Table1[Start Date]&gt;42369,4000,IF(Table1[Start Date]&gt;42277,3000,IF(Table1[Start Date]&gt;42185,2000,IF(Table1[Start Date]&gt;42094,1000))))))))</f>
        <v>0</v>
      </c>
      <c r="ED359" s="44" t="str">
        <f>IF(Table1[Start Date]="","",IF(Table1[Current Local Authority]="Swindon",1,"2"))</f>
        <v/>
      </c>
      <c r="EE359" s="44" t="e">
        <f>SUM(Table1[Data Start Date]+Table1[Data Local Authority])</f>
        <v>#VALUE!</v>
      </c>
      <c r="EF359" s="44">
        <f>IF(Table1[Registered with GP]="Yes",1,0)</f>
        <v>0</v>
      </c>
      <c r="EG359" s="44">
        <f>SUM(Table1[Data Start Date]+Table1[Data GP Start])</f>
        <v>0</v>
      </c>
      <c r="EH359" s="44" t="str">
        <f>IF(Table1[EET]="NEET",1,IF(Table1[EET]="Education",2,IF(Table1[EET]="Employment",2,IF(Table1[EET]="Training",2,IF(Table1[EET]="Retired",3,"")))))</f>
        <v/>
      </c>
      <c r="EI359" s="44" t="e">
        <f>Table1[Data Start Date]+Table1[Data EET Start]</f>
        <v>#VALUE!</v>
      </c>
      <c r="EJ359" s="44" t="b">
        <f>IF(Table1[Leaving Date]&gt;42735,8000,IF(Table1[Leaving Date]&gt;42643,7000,IF(Table1[Leaving Date]&gt;42551,6000,IF(Table1[Leaving Date]&gt;42460,5000,IF(Table1[Leaving Date]&gt;42369,4000,IF(Table1[Leaving Date]&gt;42277,3000,IF(Table1[Leaving Date]&gt;42185,2000,IF(Table1[Leaving Date]&gt;42094,1000))))))))</f>
        <v>0</v>
      </c>
      <c r="EK359" s="44" t="e">
        <f>VLOOKUP(Table1[Reason for Leaving],Lists!$T$2:$U$15,2,FALSE)</f>
        <v>#N/A</v>
      </c>
      <c r="EL359" s="44" t="e">
        <f>SUM(Table1[Data Leavers Date]+Table1[Data Move On])</f>
        <v>#N/A</v>
      </c>
      <c r="EM359" s="44" t="b">
        <f>IF(Table1[Registered with GP2]="Yes",1,IF(Table1[Registered with GP2]="No",0,IF(Table1[Registered with GP]="Yes",1,IF(Table1[Registered with GP]="No",0))))</f>
        <v>0</v>
      </c>
      <c r="EN359" s="44">
        <f>SUM(Table1[Data Leavers Date]+Table1[Data GP End])</f>
        <v>0</v>
      </c>
      <c r="EO359" s="44" t="str">
        <f>IF(Table1[EET2]="NEET",1,IF(Table1[EET2]="Employment",2,IF(Table1[EET2]="Education",2,IF(Table1[EET2]="Training",2,IF(Table1[EET2]="Retired",3,IF(Table1[EET]="NEET",1,IF(Table1[EET]="Employment",2,IF(Table1[EET]="Education",2,IF(Table1[EET]="Training",2,IF(Table1[EET]="Retired",3,""))))))))))</f>
        <v/>
      </c>
      <c r="EP359" s="44" t="e">
        <f>+Table1[[#This Row],[Data Leavers Date]]+Table1[[#This Row],[Data EET End]]</f>
        <v>#VALUE!</v>
      </c>
      <c r="EQ359" s="44">
        <f>IF(Table1[Exit Form Received]="Yes",1,0)</f>
        <v>0</v>
      </c>
      <c r="ER359" s="44">
        <f>+Table1[[#This Row],[Data Leavers Date]]+Table1[[#This Row],[Data Exit Forms]]</f>
        <v>0</v>
      </c>
      <c r="ES359" s="44" t="str">
        <f>IF(Table1[Data Leavers Date]=1000,SUM(Table1[Leaving Date]-Table1[Start Date]),"")</f>
        <v/>
      </c>
      <c r="ET359" s="44" t="str">
        <f>IF(Table1[Data Leavers Date]=2000,SUM(Table1[Leaving Date]-Table1[Start Date]),"")</f>
        <v/>
      </c>
      <c r="EU359" s="44" t="str">
        <f>IF(Table1[Data Leavers Date]=3000,SUM(Table1[Leaving Date]-Table1[Start Date]),"")</f>
        <v/>
      </c>
      <c r="EV359" s="44" t="str">
        <f>IF(Table1[Data Leavers Date]=4000,SUM(Table1[Leaving Date]-Table1[Start Date]),"")</f>
        <v/>
      </c>
      <c r="EW359" s="44" t="str">
        <f>IF(Table1[Data Leavers Date]=5000,SUM(Table1[Leaving Date]-Table1[Start Date]),"")</f>
        <v/>
      </c>
      <c r="EX359" s="44" t="str">
        <f>IF(Table1[Data Leavers Date]=6000,SUM(Table1[Leaving Date]-Table1[Start Date]),"")</f>
        <v/>
      </c>
      <c r="EY359" s="44" t="str">
        <f>IF(Table1[Data Leavers Date]=7000,SUM(Table1[Leaving Date]-Table1[Start Date]),"")</f>
        <v/>
      </c>
      <c r="EZ359" s="44" t="str">
        <f>IF(Table1[Data Leavers Date]=8000,SUM(Table1[Leaving Date]-Table1[Start Date]),"")</f>
        <v/>
      </c>
      <c r="FA359" s="44" t="str">
        <f>IF(Table1[Date of Initial Assessment]="","",IF(AND(Table1[Start Date]&gt;42094,Table1[Start Date]&lt;42461),Table1[Motivation and Taking Responsibility],""))</f>
        <v/>
      </c>
      <c r="FB359" s="44" t="str">
        <f>IF(Table1[Date of Initial Assessment]="","",IF(AND(Table1[Start Date]&gt;42094,Table1[Start Date]&lt;42461),Table1[Self-Care and Living Skills],""))</f>
        <v/>
      </c>
      <c r="FC359" s="44" t="str">
        <f>IF(Table1[Date of Initial Assessment]="","",IF(AND(Table1[Start Date]&gt;42094,Table1[Start Date]&lt;42461),Table1[Managing Money and Personal Administration],""))</f>
        <v/>
      </c>
      <c r="FD359" s="44" t="str">
        <f>IF(Table1[Date of Initial Assessment]="","",IF(AND(Table1[Start Date]&gt;42094,Table1[Start Date]&lt;42461),Table1[Social Networks and Relationships],""))</f>
        <v/>
      </c>
      <c r="FE359" s="44" t="str">
        <f>IF(Table1[Date of Initial Assessment]="","",IF(AND(Table1[Start Date]&gt;42094,Table1[Start Date]&lt;42461),Table1[Drug and Alcohol Misuse],""))</f>
        <v/>
      </c>
      <c r="FF359" s="44" t="str">
        <f>IF(Table1[Date of Initial Assessment]="","",IF(AND(Table1[Start Date]&gt;42094,Table1[Start Date]&lt;42461),Table1[Physical Health],""))</f>
        <v/>
      </c>
      <c r="FG359" s="44" t="str">
        <f>IF(Table1[Date of Initial Assessment]="","",IF(AND(Table1[Start Date]&gt;42094,Table1[Start Date]&lt;42461),Table1[Emotional and Mental Health],""))</f>
        <v/>
      </c>
      <c r="FH359" s="44" t="str">
        <f>IF(Table1[Date of Initial Assessment]="","",IF(AND(Table1[Start Date]&gt;42094,Table1[Start Date]&lt;42461),Table1[Meaningful Use of Time],""))</f>
        <v/>
      </c>
      <c r="FI359" s="44" t="str">
        <f>IF(Table1[Date of Initial Assessment]="","",IF(AND(Table1[Start Date]&gt;42094,Table1[Start Date]&lt;42461),Table1[Managing Tenancy and Accommodation],""))</f>
        <v/>
      </c>
      <c r="FJ359" s="44" t="str">
        <f>IF(Table1[Date of Initial Assessment]="","",IF(AND(Table1[Start Date]&gt;42094,Table1[Start Date]&lt;42461),Table1[Offending],""))</f>
        <v/>
      </c>
      <c r="FK359" s="44" t="str">
        <f>IF(Table1[Leaving Date]="","",IF(Table1[Date of Initial Assessment]="","",IF(AND(Table1[Leaving Date]&gt;42094,Table1[Leaving Date]&lt;42461),IF(Table1[Date of Last Assessment]="",Table1[Motivation and Taking Responsibility],Table1[Motivation and Taking Responsibility2]),"")))</f>
        <v/>
      </c>
      <c r="FL359" s="44" t="str">
        <f>IF(Table1[Leaving Date]="","",IF(Table1[Date of Initial Assessment]="","",IF(AND(Table1[Leaving Date]&gt;42094,Table1[Leaving Date]&lt;42461),IF(Table1[Date of Last Assessment]="",Table1[Self-Care and Living Skills],Table1[Self-Care and Living Skills2]),"")))</f>
        <v/>
      </c>
      <c r="FM359" s="44" t="str">
        <f>IF(Table1[Leaving Date]="","",IF(Table1[Date of Initial Assessment]="","",IF(AND(Table1[Leaving Date]&gt;42094,Table1[Leaving Date]&lt;42461),IF(Table1[Date of Last Assessment]="",Table1[Managing Money and Personal Administration],Table1[Managing Money and Personal Administration2]),"")))</f>
        <v/>
      </c>
      <c r="FN359" s="44" t="str">
        <f>IF(Table1[Leaving Date]="","",IF(Table1[Date of Initial Assessment]="","",IF(AND(Table1[Leaving Date]&gt;42094,Table1[Leaving Date]&lt;42461),IF(Table1[Date of Last Assessment]="",Table1[Social Networks and Relationships],Table1[Social Networks and Relationships2]),"")))</f>
        <v/>
      </c>
      <c r="FO359" s="44" t="str">
        <f>IF(Table1[Leaving Date]="","",IF(Table1[Date of Initial Assessment]="","",IF(AND(Table1[Leaving Date]&gt;42094,Table1[Leaving Date]&lt;42461),IF(Table1[Date of Last Assessment]="",Table1[Drug and Alcohol Misuse],Table1[Drug and Alcohol Misuse2]),"")))</f>
        <v/>
      </c>
      <c r="FP359" s="44" t="str">
        <f>IF(Table1[Leaving Date]="","",IF(Table1[Date of Initial Assessment]="","",IF(AND(Table1[Leaving Date]&gt;42094,Table1[Leaving Date]&lt;42461),IF(Table1[Date of Last Assessment]="",Table1[Physical Health],Table1[Physical Health2]),"")))</f>
        <v/>
      </c>
      <c r="FQ359" s="44" t="str">
        <f>IF(Table1[Leaving Date]="","",IF(Table1[Date of Initial Assessment]="","",IF(AND(Table1[Leaving Date]&gt;42094,Table1[Leaving Date]&lt;42461),IF(Table1[Date of Last Assessment]="",Table1[Emotional and Mental Health],Table1[Emotional and Mental Health2]),"")))</f>
        <v/>
      </c>
      <c r="FR359" s="44" t="str">
        <f>IF(Table1[Leaving Date]="","",IF(Table1[Date of Initial Assessment]="","",IF(AND(Table1[Leaving Date]&gt;42094,Table1[Leaving Date]&lt;42461),IF(Table1[Date of Last Assessment]="",Table1[Meaningful Use of Time],Table1[Meaningful Use of Time2]),"")))</f>
        <v/>
      </c>
      <c r="FS359" s="44" t="str">
        <f>IF(Table1[Leaving Date]="","",IF(Table1[Date of Initial Assessment]="","",IF(AND(Table1[Leaving Date]&gt;42094,Table1[Leaving Date]&lt;42461),IF(Table1[Date of Last Assessment]="",Table1[Managing Tenancy and Accommodation],Table1[Managing Tenancy and Accommodation2]),"")))</f>
        <v/>
      </c>
      <c r="FT359" s="44" t="str">
        <f>IF(Table1[Leaving Date]="","",IF(Table1[Date of Initial Assessment]="","",IF(AND(Table1[Leaving Date]&gt;42094,Table1[Leaving Date]&lt;42461),IF(Table1[Date of Last Assessment]="",Table1[Offending],Table1[Offending2]),"")))</f>
        <v/>
      </c>
      <c r="FU359" s="44" t="str">
        <f>IF(Table1[Date of Initial Assessment]="","",IF(AND(Table1[Start Date]&gt;42460,Table1[Start Date]&lt;42826),Table1[Motivation and Taking Responsibility],""))</f>
        <v/>
      </c>
      <c r="FV359" s="44" t="str">
        <f>IF(Table1[Date of Initial Assessment]="","",IF(AND(Table1[Start Date]&gt;42460,Table1[Start Date]&lt;42826),Table1[Self-Care and Living Skills],""))</f>
        <v/>
      </c>
      <c r="FW359" s="44" t="str">
        <f>IF(Table1[Date of Initial Assessment]="","",IF(AND(Table1[Start Date]&gt;42460,Table1[Start Date]&lt;42826),Table1[Managing Money and Personal Administration],""))</f>
        <v/>
      </c>
      <c r="FX359" s="44" t="str">
        <f>IF(Table1[Date of Initial Assessment]="","",IF(AND(Table1[Start Date]&gt;42460,Table1[Start Date]&lt;42826),Table1[Social Networks and Relationships],""))</f>
        <v/>
      </c>
      <c r="FY359" s="44" t="str">
        <f>IF(Table1[Date of Initial Assessment]="","",IF(AND(Table1[Start Date]&gt;42460,Table1[Start Date]&lt;42826),Table1[Drug and Alcohol Misuse],""))</f>
        <v/>
      </c>
      <c r="FZ359" s="44" t="str">
        <f>IF(Table1[Date of Initial Assessment]="","",IF(AND(Table1[Start Date]&gt;42460,Table1[Start Date]&lt;42826),Table1[Physical Health],""))</f>
        <v/>
      </c>
      <c r="GA359" s="44" t="str">
        <f>IF(Table1[Date of Initial Assessment]="","",IF(AND(Table1[Start Date]&gt;42460,Table1[Start Date]&lt;42826),Table1[Emotional and Mental Health],""))</f>
        <v/>
      </c>
      <c r="GB359" s="44" t="str">
        <f>IF(Table1[Date of Initial Assessment]="","",IF(AND(Table1[Start Date]&gt;42460,Table1[Start Date]&lt;42826),Table1[Meaningful Use of Time],""))</f>
        <v/>
      </c>
      <c r="GC359" s="44" t="str">
        <f>IF(Table1[Date of Initial Assessment]="","",IF(AND(Table1[Start Date]&gt;42460,Table1[Start Date]&lt;42826),Table1[Managing Tenancy and Accommodation],""))</f>
        <v/>
      </c>
      <c r="GD359" s="44" t="str">
        <f>IF(Table1[Date of Initial Assessment]="","",IF(AND(Table1[Start Date]&gt;42460,Table1[Start Date]&lt;42826),Table1[Offending],""))</f>
        <v/>
      </c>
      <c r="GE359" s="44" t="str">
        <f>IF(Table1[Leaving Date]="","",IF(AND(Table1[Leaving Date]&gt;42460,Table1[Leaving Date]&lt;42826),IF(Table1[Date of Last Assessment]="",Table1[Motivation and Taking Responsibility],Table1[Motivation and Taking Responsibility2]),""))</f>
        <v/>
      </c>
      <c r="GF359" s="44" t="str">
        <f>IF(Table1[Leaving Date]="","",IF(AND(Table1[Leaving Date]&gt;42460,Table1[Leaving Date]&lt;42826),IF(Table1[Date of Last Assessment]="",Table1[Self-Care and Living Skills],Table1[Self-Care and Living Skills2]),""))</f>
        <v/>
      </c>
      <c r="GG359" s="44" t="str">
        <f>IF(Table1[Leaving Date]="","",IF(AND(Table1[Leaving Date]&gt;42460,Table1[Leaving Date]&lt;42826),IF(Table1[Date of Last Assessment]="",Table1[Managing Money and Personal Administration],Table1[Managing Money and Personal Administration2]),""))</f>
        <v/>
      </c>
      <c r="GH359" s="44" t="str">
        <f>IF(Table1[Leaving Date]="","",IF(AND(Table1[Leaving Date]&gt;42460,Table1[Leaving Date]&lt;42826),IF(Table1[Date of Last Assessment]="",Table1[Social Networks and Relationships],Table1[Social Networks and Relationships2]),""))</f>
        <v/>
      </c>
      <c r="GI359" s="44" t="str">
        <f>IF(Table1[Leaving Date]="","",IF(AND(Table1[Leaving Date]&gt;42460,Table1[Leaving Date]&lt;42826),IF(Table1[Date of Last Assessment]="",Table1[Drug and Alcohol Misuse],Table1[Drug and Alcohol Misuse2]),""))</f>
        <v/>
      </c>
      <c r="GJ359" s="44" t="str">
        <f>IF(Table1[Leaving Date]="","",IF(AND(Table1[Leaving Date]&gt;42460,Table1[Leaving Date]&lt;42826),IF(Table1[Date of Last Assessment]="",Table1[Physical Health],Table1[Physical Health2]),""))</f>
        <v/>
      </c>
      <c r="GK359" s="44" t="str">
        <f>IF(Table1[Leaving Date]="","",IF(AND(Table1[Leaving Date]&gt;42460,Table1[Leaving Date]&lt;42826),IF(Table1[Date of Last Assessment]="",Table1[Emotional and Mental Health],Table1[Emotional and Mental Health2]),""))</f>
        <v/>
      </c>
      <c r="GL359" s="44" t="str">
        <f>IF(Table1[Leaving Date]="","",IF(AND(Table1[Leaving Date]&gt;42460,Table1[Leaving Date]&lt;42826),IF(Table1[Date of Last Assessment]="",Table1[Meaningful Use of Time],Table1[Meaningful Use of Time2]),""))</f>
        <v/>
      </c>
      <c r="GM359" s="44" t="str">
        <f>IF(Table1[Leaving Date]="","",IF(AND(Table1[Leaving Date]&gt;42460,Table1[Leaving Date]&lt;42826),IF(Table1[Date of Last Assessment]="",Table1[Managing Tenancy and Accommodation],Table1[Managing Tenancy and Accommodation2]),""))</f>
        <v/>
      </c>
      <c r="GN359" s="44" t="str">
        <f>IF(Table1[Leaving Date]="","",IF(AND(Table1[Leaving Date]&gt;42460,Table1[Leaving Date]&lt;42826),IF(Table1[Date of Last Assessment]="",Table1[Offending],Table1[Offending2]),""))</f>
        <v/>
      </c>
    </row>
    <row r="360" spans="2:196" ht="20.100000000000001" customHeight="1" x14ac:dyDescent="0.2">
      <c r="B360" s="86">
        <f>+'Service Data'!$C$5:$C$5</f>
        <v>0</v>
      </c>
      <c r="C360" s="86"/>
      <c r="D360" s="86"/>
      <c r="E360" s="86"/>
      <c r="F360" s="86"/>
      <c r="G360" s="86"/>
      <c r="H360" s="6"/>
      <c r="I360" s="99" t="str">
        <f ca="1">IF(Table1[[#This Row],[Date of Birth]]="","",SUM(TODAY()-Table1[[#This Row],[Date of Birth]])/365)</f>
        <v/>
      </c>
      <c r="L360" s="86"/>
      <c r="M360" s="77"/>
      <c r="N360" s="86"/>
      <c r="O360" s="86"/>
      <c r="P360" s="91"/>
      <c r="Q360" s="86"/>
      <c r="R360" s="77"/>
      <c r="S360" s="77"/>
      <c r="T360" s="68"/>
      <c r="U360" s="68"/>
      <c r="V360" s="67"/>
      <c r="W360" s="67"/>
      <c r="X360" s="67"/>
      <c r="Y360" s="67"/>
      <c r="Z360" s="67"/>
      <c r="AA360" s="67"/>
      <c r="AB360" s="67"/>
      <c r="AC360" s="67"/>
      <c r="AD360" s="67"/>
      <c r="AE360" s="67"/>
      <c r="AF360" s="67"/>
      <c r="AG360" s="67"/>
      <c r="AH360" s="67"/>
      <c r="AI360" s="67"/>
      <c r="AJ360" s="67"/>
      <c r="AK360" s="67"/>
      <c r="AL360" s="67"/>
      <c r="AM360" s="67"/>
      <c r="AN360" s="77"/>
      <c r="AO360" s="76"/>
      <c r="AP360" s="77"/>
      <c r="AQ360" s="76"/>
      <c r="AR360" s="76"/>
      <c r="AS360" s="76"/>
      <c r="AT360" s="76"/>
      <c r="AU360" s="76"/>
      <c r="AV360" s="77"/>
      <c r="AW360" s="76"/>
      <c r="AX360" s="77"/>
      <c r="AY360" s="76"/>
      <c r="AZ360" s="76"/>
      <c r="BA360" s="76"/>
      <c r="BB360" s="76"/>
      <c r="BC360" s="76"/>
      <c r="BD360" s="77"/>
      <c r="BE360" s="76"/>
      <c r="BF360" s="77"/>
      <c r="BG360" s="76"/>
      <c r="BH360" s="76"/>
      <c r="BI360" s="76"/>
      <c r="BJ360" s="76"/>
      <c r="BK360" s="76"/>
      <c r="BL360" s="77"/>
      <c r="BM360" s="76"/>
      <c r="BN360" s="77"/>
      <c r="BO360" s="76"/>
      <c r="BP360" s="76"/>
      <c r="BQ360" s="76"/>
      <c r="BR360" s="76"/>
      <c r="BS360" s="76"/>
      <c r="BT360" s="77"/>
      <c r="BU360" s="76"/>
      <c r="BV360" s="77"/>
      <c r="BW360" s="76"/>
      <c r="BX360" s="76"/>
      <c r="BY360" s="76"/>
      <c r="BZ360" s="76"/>
      <c r="CA360" s="76"/>
      <c r="CB360" s="77"/>
      <c r="CC360" s="76"/>
      <c r="CD360" s="77"/>
      <c r="CE360" s="76"/>
      <c r="CF360" s="76"/>
      <c r="CG360" s="76"/>
      <c r="CH360" s="76"/>
      <c r="CI360" s="76"/>
      <c r="CJ360" s="77"/>
      <c r="CK360" s="76"/>
      <c r="CL360" s="77"/>
      <c r="CM360" s="76"/>
      <c r="CN360" s="76"/>
      <c r="CO360" s="76"/>
      <c r="CP360" s="76"/>
      <c r="CQ360" s="76"/>
      <c r="CR360" s="78" t="str">
        <f t="shared" si="95"/>
        <v/>
      </c>
      <c r="CS360" s="79" t="str">
        <f t="shared" si="96"/>
        <v/>
      </c>
      <c r="CT360" s="79" t="str">
        <f t="shared" si="97"/>
        <v/>
      </c>
      <c r="CU360" s="79" t="str">
        <f t="shared" si="98"/>
        <v/>
      </c>
      <c r="CV360" s="79" t="str">
        <f t="shared" si="99"/>
        <v/>
      </c>
      <c r="CW360" s="79" t="str">
        <f t="shared" si="100"/>
        <v/>
      </c>
      <c r="CX360" s="79" t="str">
        <f t="shared" si="101"/>
        <v/>
      </c>
      <c r="CY360" s="79" t="str">
        <f t="shared" si="102"/>
        <v/>
      </c>
      <c r="CZ360" s="79" t="str">
        <f t="shared" si="103"/>
        <v/>
      </c>
      <c r="DA360" s="79" t="str">
        <f t="shared" si="104"/>
        <v/>
      </c>
      <c r="DB360" s="79" t="str">
        <f t="shared" si="105"/>
        <v/>
      </c>
      <c r="DC360" s="79" t="str">
        <f t="shared" si="106"/>
        <v/>
      </c>
      <c r="DD360" s="79" t="str">
        <f t="shared" si="107"/>
        <v/>
      </c>
      <c r="DE360" s="79" t="str">
        <f t="shared" si="108"/>
        <v/>
      </c>
      <c r="DF360" s="79" t="str">
        <f t="shared" si="109"/>
        <v/>
      </c>
      <c r="DG360" s="79" t="str">
        <f t="shared" si="110"/>
        <v/>
      </c>
      <c r="DH360" s="76"/>
      <c r="DI360" s="78"/>
      <c r="DJ360" s="76"/>
      <c r="DK360" s="77"/>
      <c r="DL360" s="77"/>
      <c r="DM360" s="77"/>
      <c r="DN360" s="80"/>
      <c r="DO360" s="80"/>
      <c r="DP360" s="92" t="str">
        <f>IF(Table1[Start Date]="","",IF(Table1[Start Date]&gt;42185,"",IF(AND(Table1[Leaving Date]&gt;1,Table1[Leaving Date]&lt;42095),"",1)))</f>
        <v/>
      </c>
      <c r="DQ360" s="92" t="str">
        <f>IF(Table1[Start Date]="","",IF(Table1[Start Date]&gt;42277,"",IF(AND(Table1[Leaving Date]&gt;1,Table1[Leaving Date]&lt;42186),"",1)))</f>
        <v/>
      </c>
      <c r="DR360" s="92" t="str">
        <f>IF(Table1[Start Date]="","",IF(Table1[Start Date]&gt;42369,"",IF(AND(Table1[Leaving Date]&gt;1,Table1[Leaving Date]&lt;42278),"",1)))</f>
        <v/>
      </c>
      <c r="DS360" s="92" t="str">
        <f>IF(Table1[Start Date]="","",IF(Table1[Start Date]&gt;42460,"",IF(AND(Table1[Leaving Date]&gt;1,Table1[Leaving Date]&lt;42370),"",1)))</f>
        <v/>
      </c>
      <c r="DT360" s="92" t="str">
        <f>IF(Table1[Start Date]="","",IF(Table1[Start Date]&gt;42551,"",IF(AND(Table1[Leaving Date]&gt;1,Table1[Leaving Date]&lt;42461),"",1)))</f>
        <v/>
      </c>
      <c r="DU360" s="92" t="str">
        <f>IF(Table1[Start Date]="","",IF(Table1[Start Date]&gt;42643,"",IF(AND(Table1[Leaving Date]&gt;1,Table1[Leaving Date]&lt;42552),"",1)))</f>
        <v/>
      </c>
      <c r="DV360" s="92" t="str">
        <f>IF(Table1[Start Date]="","",IF(Table1[Start Date]&gt;42735,"",IF(AND(Table1[Leaving Date]&gt;1,Table1[Leaving Date]&lt;42644),"",1)))</f>
        <v/>
      </c>
      <c r="DW360" s="92" t="str">
        <f>IF(Table1[Start Date]="","",IF(Table1[Start Date]&gt;42825,"",IF(AND(Table1[Leaving Date]&gt;1,Table1[Leaving Date]&lt;42736),"",1)))</f>
        <v/>
      </c>
      <c r="DX360"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360" s="44" t="e">
        <f>VLOOKUP(Table1[Referral Source],Lists!$G$2:$H$20,2,FALSE)</f>
        <v>#N/A</v>
      </c>
      <c r="DZ360" s="93" t="e">
        <f>SUM(Table1[Data Referral Quarter]+Table1[Data Referral Source])</f>
        <v>#N/A</v>
      </c>
      <c r="EA360" s="44" t="b">
        <f>IF(Table1[Referral Decision]="Accepted",100,IF(Table1[Referral Decision]="Rejected by Provider",200,IF(Table1[Referral Decision]="Rejected by Applicant",300)))</f>
        <v>0</v>
      </c>
      <c r="EB360" s="44">
        <f>SUM(Table1[Data Referral Quarter]+Table1[Data Referral Decision])</f>
        <v>0</v>
      </c>
      <c r="EC360" s="44" t="b">
        <f>IF(Table1[Start Date]&gt;42735,8000,IF(Table1[Start Date]&gt;42643,7000,IF(Table1[Start Date]&gt;42551,6000,IF(Table1[Start Date]&gt;42460,5000,IF(Table1[Start Date]&gt;42369,4000,IF(Table1[Start Date]&gt;42277,3000,IF(Table1[Start Date]&gt;42185,2000,IF(Table1[Start Date]&gt;42094,1000))))))))</f>
        <v>0</v>
      </c>
      <c r="ED360" s="44" t="str">
        <f>IF(Table1[Start Date]="","",IF(Table1[Current Local Authority]="Swindon",1,"2"))</f>
        <v/>
      </c>
      <c r="EE360" s="44" t="e">
        <f>SUM(Table1[Data Start Date]+Table1[Data Local Authority])</f>
        <v>#VALUE!</v>
      </c>
      <c r="EF360" s="44">
        <f>IF(Table1[Registered with GP]="Yes",1,0)</f>
        <v>0</v>
      </c>
      <c r="EG360" s="44">
        <f>SUM(Table1[Data Start Date]+Table1[Data GP Start])</f>
        <v>0</v>
      </c>
      <c r="EH360" s="44" t="str">
        <f>IF(Table1[EET]="NEET",1,IF(Table1[EET]="Education",2,IF(Table1[EET]="Employment",2,IF(Table1[EET]="Training",2,IF(Table1[EET]="Retired",3,"")))))</f>
        <v/>
      </c>
      <c r="EI360" s="44" t="e">
        <f>Table1[Data Start Date]+Table1[Data EET Start]</f>
        <v>#VALUE!</v>
      </c>
      <c r="EJ360" s="44" t="b">
        <f>IF(Table1[Leaving Date]&gt;42735,8000,IF(Table1[Leaving Date]&gt;42643,7000,IF(Table1[Leaving Date]&gt;42551,6000,IF(Table1[Leaving Date]&gt;42460,5000,IF(Table1[Leaving Date]&gt;42369,4000,IF(Table1[Leaving Date]&gt;42277,3000,IF(Table1[Leaving Date]&gt;42185,2000,IF(Table1[Leaving Date]&gt;42094,1000))))))))</f>
        <v>0</v>
      </c>
      <c r="EK360" s="44" t="e">
        <f>VLOOKUP(Table1[Reason for Leaving],Lists!$T$2:$U$15,2,FALSE)</f>
        <v>#N/A</v>
      </c>
      <c r="EL360" s="44" t="e">
        <f>SUM(Table1[Data Leavers Date]+Table1[Data Move On])</f>
        <v>#N/A</v>
      </c>
      <c r="EM360" s="44" t="b">
        <f>IF(Table1[Registered with GP2]="Yes",1,IF(Table1[Registered with GP2]="No",0,IF(Table1[Registered with GP]="Yes",1,IF(Table1[Registered with GP]="No",0))))</f>
        <v>0</v>
      </c>
      <c r="EN360" s="44">
        <f>SUM(Table1[Data Leavers Date]+Table1[Data GP End])</f>
        <v>0</v>
      </c>
      <c r="EO360" s="44" t="str">
        <f>IF(Table1[EET2]="NEET",1,IF(Table1[EET2]="Employment",2,IF(Table1[EET2]="Education",2,IF(Table1[EET2]="Training",2,IF(Table1[EET2]="Retired",3,IF(Table1[EET]="NEET",1,IF(Table1[EET]="Employment",2,IF(Table1[EET]="Education",2,IF(Table1[EET]="Training",2,IF(Table1[EET]="Retired",3,""))))))))))</f>
        <v/>
      </c>
      <c r="EP360" s="44" t="e">
        <f>+Table1[[#This Row],[Data Leavers Date]]+Table1[[#This Row],[Data EET End]]</f>
        <v>#VALUE!</v>
      </c>
      <c r="EQ360" s="44">
        <f>IF(Table1[Exit Form Received]="Yes",1,0)</f>
        <v>0</v>
      </c>
      <c r="ER360" s="44">
        <f>+Table1[[#This Row],[Data Leavers Date]]+Table1[[#This Row],[Data Exit Forms]]</f>
        <v>0</v>
      </c>
      <c r="ES360" s="44" t="str">
        <f>IF(Table1[Data Leavers Date]=1000,SUM(Table1[Leaving Date]-Table1[Start Date]),"")</f>
        <v/>
      </c>
      <c r="ET360" s="44" t="str">
        <f>IF(Table1[Data Leavers Date]=2000,SUM(Table1[Leaving Date]-Table1[Start Date]),"")</f>
        <v/>
      </c>
      <c r="EU360" s="44" t="str">
        <f>IF(Table1[Data Leavers Date]=3000,SUM(Table1[Leaving Date]-Table1[Start Date]),"")</f>
        <v/>
      </c>
      <c r="EV360" s="44" t="str">
        <f>IF(Table1[Data Leavers Date]=4000,SUM(Table1[Leaving Date]-Table1[Start Date]),"")</f>
        <v/>
      </c>
      <c r="EW360" s="44" t="str">
        <f>IF(Table1[Data Leavers Date]=5000,SUM(Table1[Leaving Date]-Table1[Start Date]),"")</f>
        <v/>
      </c>
      <c r="EX360" s="44" t="str">
        <f>IF(Table1[Data Leavers Date]=6000,SUM(Table1[Leaving Date]-Table1[Start Date]),"")</f>
        <v/>
      </c>
      <c r="EY360" s="44" t="str">
        <f>IF(Table1[Data Leavers Date]=7000,SUM(Table1[Leaving Date]-Table1[Start Date]),"")</f>
        <v/>
      </c>
      <c r="EZ360" s="44" t="str">
        <f>IF(Table1[Data Leavers Date]=8000,SUM(Table1[Leaving Date]-Table1[Start Date]),"")</f>
        <v/>
      </c>
      <c r="FA360" s="44" t="str">
        <f>IF(Table1[Date of Initial Assessment]="","",IF(AND(Table1[Start Date]&gt;42094,Table1[Start Date]&lt;42461),Table1[Motivation and Taking Responsibility],""))</f>
        <v/>
      </c>
      <c r="FB360" s="44" t="str">
        <f>IF(Table1[Date of Initial Assessment]="","",IF(AND(Table1[Start Date]&gt;42094,Table1[Start Date]&lt;42461),Table1[Self-Care and Living Skills],""))</f>
        <v/>
      </c>
      <c r="FC360" s="44" t="str">
        <f>IF(Table1[Date of Initial Assessment]="","",IF(AND(Table1[Start Date]&gt;42094,Table1[Start Date]&lt;42461),Table1[Managing Money and Personal Administration],""))</f>
        <v/>
      </c>
      <c r="FD360" s="44" t="str">
        <f>IF(Table1[Date of Initial Assessment]="","",IF(AND(Table1[Start Date]&gt;42094,Table1[Start Date]&lt;42461),Table1[Social Networks and Relationships],""))</f>
        <v/>
      </c>
      <c r="FE360" s="44" t="str">
        <f>IF(Table1[Date of Initial Assessment]="","",IF(AND(Table1[Start Date]&gt;42094,Table1[Start Date]&lt;42461),Table1[Drug and Alcohol Misuse],""))</f>
        <v/>
      </c>
      <c r="FF360" s="44" t="str">
        <f>IF(Table1[Date of Initial Assessment]="","",IF(AND(Table1[Start Date]&gt;42094,Table1[Start Date]&lt;42461),Table1[Physical Health],""))</f>
        <v/>
      </c>
      <c r="FG360" s="44" t="str">
        <f>IF(Table1[Date of Initial Assessment]="","",IF(AND(Table1[Start Date]&gt;42094,Table1[Start Date]&lt;42461),Table1[Emotional and Mental Health],""))</f>
        <v/>
      </c>
      <c r="FH360" s="44" t="str">
        <f>IF(Table1[Date of Initial Assessment]="","",IF(AND(Table1[Start Date]&gt;42094,Table1[Start Date]&lt;42461),Table1[Meaningful Use of Time],""))</f>
        <v/>
      </c>
      <c r="FI360" s="44" t="str">
        <f>IF(Table1[Date of Initial Assessment]="","",IF(AND(Table1[Start Date]&gt;42094,Table1[Start Date]&lt;42461),Table1[Managing Tenancy and Accommodation],""))</f>
        <v/>
      </c>
      <c r="FJ360" s="44" t="str">
        <f>IF(Table1[Date of Initial Assessment]="","",IF(AND(Table1[Start Date]&gt;42094,Table1[Start Date]&lt;42461),Table1[Offending],""))</f>
        <v/>
      </c>
      <c r="FK360" s="44" t="str">
        <f>IF(Table1[Leaving Date]="","",IF(Table1[Date of Initial Assessment]="","",IF(AND(Table1[Leaving Date]&gt;42094,Table1[Leaving Date]&lt;42461),IF(Table1[Date of Last Assessment]="",Table1[Motivation and Taking Responsibility],Table1[Motivation and Taking Responsibility2]),"")))</f>
        <v/>
      </c>
      <c r="FL360" s="44" t="str">
        <f>IF(Table1[Leaving Date]="","",IF(Table1[Date of Initial Assessment]="","",IF(AND(Table1[Leaving Date]&gt;42094,Table1[Leaving Date]&lt;42461),IF(Table1[Date of Last Assessment]="",Table1[Self-Care and Living Skills],Table1[Self-Care and Living Skills2]),"")))</f>
        <v/>
      </c>
      <c r="FM360" s="44" t="str">
        <f>IF(Table1[Leaving Date]="","",IF(Table1[Date of Initial Assessment]="","",IF(AND(Table1[Leaving Date]&gt;42094,Table1[Leaving Date]&lt;42461),IF(Table1[Date of Last Assessment]="",Table1[Managing Money and Personal Administration],Table1[Managing Money and Personal Administration2]),"")))</f>
        <v/>
      </c>
      <c r="FN360" s="44" t="str">
        <f>IF(Table1[Leaving Date]="","",IF(Table1[Date of Initial Assessment]="","",IF(AND(Table1[Leaving Date]&gt;42094,Table1[Leaving Date]&lt;42461),IF(Table1[Date of Last Assessment]="",Table1[Social Networks and Relationships],Table1[Social Networks and Relationships2]),"")))</f>
        <v/>
      </c>
      <c r="FO360" s="44" t="str">
        <f>IF(Table1[Leaving Date]="","",IF(Table1[Date of Initial Assessment]="","",IF(AND(Table1[Leaving Date]&gt;42094,Table1[Leaving Date]&lt;42461),IF(Table1[Date of Last Assessment]="",Table1[Drug and Alcohol Misuse],Table1[Drug and Alcohol Misuse2]),"")))</f>
        <v/>
      </c>
      <c r="FP360" s="44" t="str">
        <f>IF(Table1[Leaving Date]="","",IF(Table1[Date of Initial Assessment]="","",IF(AND(Table1[Leaving Date]&gt;42094,Table1[Leaving Date]&lt;42461),IF(Table1[Date of Last Assessment]="",Table1[Physical Health],Table1[Physical Health2]),"")))</f>
        <v/>
      </c>
      <c r="FQ360" s="44" t="str">
        <f>IF(Table1[Leaving Date]="","",IF(Table1[Date of Initial Assessment]="","",IF(AND(Table1[Leaving Date]&gt;42094,Table1[Leaving Date]&lt;42461),IF(Table1[Date of Last Assessment]="",Table1[Emotional and Mental Health],Table1[Emotional and Mental Health2]),"")))</f>
        <v/>
      </c>
      <c r="FR360" s="44" t="str">
        <f>IF(Table1[Leaving Date]="","",IF(Table1[Date of Initial Assessment]="","",IF(AND(Table1[Leaving Date]&gt;42094,Table1[Leaving Date]&lt;42461),IF(Table1[Date of Last Assessment]="",Table1[Meaningful Use of Time],Table1[Meaningful Use of Time2]),"")))</f>
        <v/>
      </c>
      <c r="FS360" s="44" t="str">
        <f>IF(Table1[Leaving Date]="","",IF(Table1[Date of Initial Assessment]="","",IF(AND(Table1[Leaving Date]&gt;42094,Table1[Leaving Date]&lt;42461),IF(Table1[Date of Last Assessment]="",Table1[Managing Tenancy and Accommodation],Table1[Managing Tenancy and Accommodation2]),"")))</f>
        <v/>
      </c>
      <c r="FT360" s="44" t="str">
        <f>IF(Table1[Leaving Date]="","",IF(Table1[Date of Initial Assessment]="","",IF(AND(Table1[Leaving Date]&gt;42094,Table1[Leaving Date]&lt;42461),IF(Table1[Date of Last Assessment]="",Table1[Offending],Table1[Offending2]),"")))</f>
        <v/>
      </c>
      <c r="FU360" s="44" t="str">
        <f>IF(Table1[Date of Initial Assessment]="","",IF(AND(Table1[Start Date]&gt;42460,Table1[Start Date]&lt;42826),Table1[Motivation and Taking Responsibility],""))</f>
        <v/>
      </c>
      <c r="FV360" s="44" t="str">
        <f>IF(Table1[Date of Initial Assessment]="","",IF(AND(Table1[Start Date]&gt;42460,Table1[Start Date]&lt;42826),Table1[Self-Care and Living Skills],""))</f>
        <v/>
      </c>
      <c r="FW360" s="44" t="str">
        <f>IF(Table1[Date of Initial Assessment]="","",IF(AND(Table1[Start Date]&gt;42460,Table1[Start Date]&lt;42826),Table1[Managing Money and Personal Administration],""))</f>
        <v/>
      </c>
      <c r="FX360" s="44" t="str">
        <f>IF(Table1[Date of Initial Assessment]="","",IF(AND(Table1[Start Date]&gt;42460,Table1[Start Date]&lt;42826),Table1[Social Networks and Relationships],""))</f>
        <v/>
      </c>
      <c r="FY360" s="44" t="str">
        <f>IF(Table1[Date of Initial Assessment]="","",IF(AND(Table1[Start Date]&gt;42460,Table1[Start Date]&lt;42826),Table1[Drug and Alcohol Misuse],""))</f>
        <v/>
      </c>
      <c r="FZ360" s="44" t="str">
        <f>IF(Table1[Date of Initial Assessment]="","",IF(AND(Table1[Start Date]&gt;42460,Table1[Start Date]&lt;42826),Table1[Physical Health],""))</f>
        <v/>
      </c>
      <c r="GA360" s="44" t="str">
        <f>IF(Table1[Date of Initial Assessment]="","",IF(AND(Table1[Start Date]&gt;42460,Table1[Start Date]&lt;42826),Table1[Emotional and Mental Health],""))</f>
        <v/>
      </c>
      <c r="GB360" s="44" t="str">
        <f>IF(Table1[Date of Initial Assessment]="","",IF(AND(Table1[Start Date]&gt;42460,Table1[Start Date]&lt;42826),Table1[Meaningful Use of Time],""))</f>
        <v/>
      </c>
      <c r="GC360" s="44" t="str">
        <f>IF(Table1[Date of Initial Assessment]="","",IF(AND(Table1[Start Date]&gt;42460,Table1[Start Date]&lt;42826),Table1[Managing Tenancy and Accommodation],""))</f>
        <v/>
      </c>
      <c r="GD360" s="44" t="str">
        <f>IF(Table1[Date of Initial Assessment]="","",IF(AND(Table1[Start Date]&gt;42460,Table1[Start Date]&lt;42826),Table1[Offending],""))</f>
        <v/>
      </c>
      <c r="GE360" s="44" t="str">
        <f>IF(Table1[Leaving Date]="","",IF(AND(Table1[Leaving Date]&gt;42460,Table1[Leaving Date]&lt;42826),IF(Table1[Date of Last Assessment]="",Table1[Motivation and Taking Responsibility],Table1[Motivation and Taking Responsibility2]),""))</f>
        <v/>
      </c>
      <c r="GF360" s="44" t="str">
        <f>IF(Table1[Leaving Date]="","",IF(AND(Table1[Leaving Date]&gt;42460,Table1[Leaving Date]&lt;42826),IF(Table1[Date of Last Assessment]="",Table1[Self-Care and Living Skills],Table1[Self-Care and Living Skills2]),""))</f>
        <v/>
      </c>
      <c r="GG360" s="44" t="str">
        <f>IF(Table1[Leaving Date]="","",IF(AND(Table1[Leaving Date]&gt;42460,Table1[Leaving Date]&lt;42826),IF(Table1[Date of Last Assessment]="",Table1[Managing Money and Personal Administration],Table1[Managing Money and Personal Administration2]),""))</f>
        <v/>
      </c>
      <c r="GH360" s="44" t="str">
        <f>IF(Table1[Leaving Date]="","",IF(AND(Table1[Leaving Date]&gt;42460,Table1[Leaving Date]&lt;42826),IF(Table1[Date of Last Assessment]="",Table1[Social Networks and Relationships],Table1[Social Networks and Relationships2]),""))</f>
        <v/>
      </c>
      <c r="GI360" s="44" t="str">
        <f>IF(Table1[Leaving Date]="","",IF(AND(Table1[Leaving Date]&gt;42460,Table1[Leaving Date]&lt;42826),IF(Table1[Date of Last Assessment]="",Table1[Drug and Alcohol Misuse],Table1[Drug and Alcohol Misuse2]),""))</f>
        <v/>
      </c>
      <c r="GJ360" s="44" t="str">
        <f>IF(Table1[Leaving Date]="","",IF(AND(Table1[Leaving Date]&gt;42460,Table1[Leaving Date]&lt;42826),IF(Table1[Date of Last Assessment]="",Table1[Physical Health],Table1[Physical Health2]),""))</f>
        <v/>
      </c>
      <c r="GK360" s="44" t="str">
        <f>IF(Table1[Leaving Date]="","",IF(AND(Table1[Leaving Date]&gt;42460,Table1[Leaving Date]&lt;42826),IF(Table1[Date of Last Assessment]="",Table1[Emotional and Mental Health],Table1[Emotional and Mental Health2]),""))</f>
        <v/>
      </c>
      <c r="GL360" s="44" t="str">
        <f>IF(Table1[Leaving Date]="","",IF(AND(Table1[Leaving Date]&gt;42460,Table1[Leaving Date]&lt;42826),IF(Table1[Date of Last Assessment]="",Table1[Meaningful Use of Time],Table1[Meaningful Use of Time2]),""))</f>
        <v/>
      </c>
      <c r="GM360" s="44" t="str">
        <f>IF(Table1[Leaving Date]="","",IF(AND(Table1[Leaving Date]&gt;42460,Table1[Leaving Date]&lt;42826),IF(Table1[Date of Last Assessment]="",Table1[Managing Tenancy and Accommodation],Table1[Managing Tenancy and Accommodation2]),""))</f>
        <v/>
      </c>
      <c r="GN360" s="44" t="str">
        <f>IF(Table1[Leaving Date]="","",IF(AND(Table1[Leaving Date]&gt;42460,Table1[Leaving Date]&lt;42826),IF(Table1[Date of Last Assessment]="",Table1[Offending],Table1[Offending2]),""))</f>
        <v/>
      </c>
    </row>
    <row r="361" spans="2:196" ht="20.100000000000001" customHeight="1" x14ac:dyDescent="0.2">
      <c r="B361" s="86">
        <f>+'Service Data'!$C$5:$C$5</f>
        <v>0</v>
      </c>
      <c r="C361" s="86"/>
      <c r="D361" s="86"/>
      <c r="E361" s="86"/>
      <c r="F361" s="86"/>
      <c r="G361" s="86"/>
      <c r="H361" s="6"/>
      <c r="I361" s="99" t="str">
        <f ca="1">IF(Table1[[#This Row],[Date of Birth]]="","",SUM(TODAY()-Table1[[#This Row],[Date of Birth]])/365)</f>
        <v/>
      </c>
      <c r="L361" s="86"/>
      <c r="M361" s="77"/>
      <c r="N361" s="86"/>
      <c r="O361" s="86"/>
      <c r="P361" s="91"/>
      <c r="Q361" s="86"/>
      <c r="R361" s="77"/>
      <c r="S361" s="77"/>
      <c r="T361" s="68"/>
      <c r="U361" s="68"/>
      <c r="V361" s="67"/>
      <c r="W361" s="67"/>
      <c r="X361" s="67"/>
      <c r="Y361" s="67"/>
      <c r="Z361" s="67"/>
      <c r="AA361" s="67"/>
      <c r="AB361" s="67"/>
      <c r="AC361" s="67"/>
      <c r="AD361" s="67"/>
      <c r="AE361" s="67"/>
      <c r="AF361" s="67"/>
      <c r="AG361" s="67"/>
      <c r="AH361" s="67"/>
      <c r="AI361" s="67"/>
      <c r="AJ361" s="67"/>
      <c r="AK361" s="67"/>
      <c r="AL361" s="67"/>
      <c r="AM361" s="67"/>
      <c r="AN361" s="77"/>
      <c r="AO361" s="76"/>
      <c r="AP361" s="77"/>
      <c r="AQ361" s="76"/>
      <c r="AR361" s="76"/>
      <c r="AS361" s="76"/>
      <c r="AT361" s="76"/>
      <c r="AU361" s="76"/>
      <c r="AV361" s="77"/>
      <c r="AW361" s="76"/>
      <c r="AX361" s="77"/>
      <c r="AY361" s="76"/>
      <c r="AZ361" s="76"/>
      <c r="BA361" s="76"/>
      <c r="BB361" s="76"/>
      <c r="BC361" s="76"/>
      <c r="BD361" s="77"/>
      <c r="BE361" s="76"/>
      <c r="BF361" s="77"/>
      <c r="BG361" s="76"/>
      <c r="BH361" s="76"/>
      <c r="BI361" s="76"/>
      <c r="BJ361" s="76"/>
      <c r="BK361" s="76"/>
      <c r="BL361" s="77"/>
      <c r="BM361" s="76"/>
      <c r="BN361" s="77"/>
      <c r="BO361" s="76"/>
      <c r="BP361" s="76"/>
      <c r="BQ361" s="76"/>
      <c r="BR361" s="76"/>
      <c r="BS361" s="76"/>
      <c r="BT361" s="77"/>
      <c r="BU361" s="76"/>
      <c r="BV361" s="77"/>
      <c r="BW361" s="76"/>
      <c r="BX361" s="76"/>
      <c r="BY361" s="76"/>
      <c r="BZ361" s="76"/>
      <c r="CA361" s="76"/>
      <c r="CB361" s="77"/>
      <c r="CC361" s="76"/>
      <c r="CD361" s="77"/>
      <c r="CE361" s="76"/>
      <c r="CF361" s="76"/>
      <c r="CG361" s="76"/>
      <c r="CH361" s="76"/>
      <c r="CI361" s="76"/>
      <c r="CJ361" s="77"/>
      <c r="CK361" s="76"/>
      <c r="CL361" s="77"/>
      <c r="CM361" s="76"/>
      <c r="CN361" s="76"/>
      <c r="CO361" s="76"/>
      <c r="CP361" s="76"/>
      <c r="CQ361" s="76"/>
      <c r="CR361" s="78" t="str">
        <f t="shared" si="95"/>
        <v/>
      </c>
      <c r="CS361" s="79" t="str">
        <f t="shared" si="96"/>
        <v/>
      </c>
      <c r="CT361" s="79" t="str">
        <f t="shared" si="97"/>
        <v/>
      </c>
      <c r="CU361" s="79" t="str">
        <f t="shared" si="98"/>
        <v/>
      </c>
      <c r="CV361" s="79" t="str">
        <f t="shared" si="99"/>
        <v/>
      </c>
      <c r="CW361" s="79" t="str">
        <f t="shared" si="100"/>
        <v/>
      </c>
      <c r="CX361" s="79" t="str">
        <f t="shared" si="101"/>
        <v/>
      </c>
      <c r="CY361" s="79" t="str">
        <f t="shared" si="102"/>
        <v/>
      </c>
      <c r="CZ361" s="79" t="str">
        <f t="shared" si="103"/>
        <v/>
      </c>
      <c r="DA361" s="79" t="str">
        <f t="shared" si="104"/>
        <v/>
      </c>
      <c r="DB361" s="79" t="str">
        <f t="shared" si="105"/>
        <v/>
      </c>
      <c r="DC361" s="79" t="str">
        <f t="shared" si="106"/>
        <v/>
      </c>
      <c r="DD361" s="79" t="str">
        <f t="shared" si="107"/>
        <v/>
      </c>
      <c r="DE361" s="79" t="str">
        <f t="shared" si="108"/>
        <v/>
      </c>
      <c r="DF361" s="79" t="str">
        <f t="shared" si="109"/>
        <v/>
      </c>
      <c r="DG361" s="79" t="str">
        <f t="shared" si="110"/>
        <v/>
      </c>
      <c r="DH361" s="76"/>
      <c r="DI361" s="78"/>
      <c r="DJ361" s="76"/>
      <c r="DK361" s="77"/>
      <c r="DL361" s="77"/>
      <c r="DM361" s="77"/>
      <c r="DN361" s="80"/>
      <c r="DO361" s="80"/>
      <c r="DP361" s="92" t="str">
        <f>IF(Table1[Start Date]="","",IF(Table1[Start Date]&gt;42185,"",IF(AND(Table1[Leaving Date]&gt;1,Table1[Leaving Date]&lt;42095),"",1)))</f>
        <v/>
      </c>
      <c r="DQ361" s="92" t="str">
        <f>IF(Table1[Start Date]="","",IF(Table1[Start Date]&gt;42277,"",IF(AND(Table1[Leaving Date]&gt;1,Table1[Leaving Date]&lt;42186),"",1)))</f>
        <v/>
      </c>
      <c r="DR361" s="92" t="str">
        <f>IF(Table1[Start Date]="","",IF(Table1[Start Date]&gt;42369,"",IF(AND(Table1[Leaving Date]&gt;1,Table1[Leaving Date]&lt;42278),"",1)))</f>
        <v/>
      </c>
      <c r="DS361" s="92" t="str">
        <f>IF(Table1[Start Date]="","",IF(Table1[Start Date]&gt;42460,"",IF(AND(Table1[Leaving Date]&gt;1,Table1[Leaving Date]&lt;42370),"",1)))</f>
        <v/>
      </c>
      <c r="DT361" s="92" t="str">
        <f>IF(Table1[Start Date]="","",IF(Table1[Start Date]&gt;42551,"",IF(AND(Table1[Leaving Date]&gt;1,Table1[Leaving Date]&lt;42461),"",1)))</f>
        <v/>
      </c>
      <c r="DU361" s="92" t="str">
        <f>IF(Table1[Start Date]="","",IF(Table1[Start Date]&gt;42643,"",IF(AND(Table1[Leaving Date]&gt;1,Table1[Leaving Date]&lt;42552),"",1)))</f>
        <v/>
      </c>
      <c r="DV361" s="92" t="str">
        <f>IF(Table1[Start Date]="","",IF(Table1[Start Date]&gt;42735,"",IF(AND(Table1[Leaving Date]&gt;1,Table1[Leaving Date]&lt;42644),"",1)))</f>
        <v/>
      </c>
      <c r="DW361" s="92" t="str">
        <f>IF(Table1[Start Date]="","",IF(Table1[Start Date]&gt;42825,"",IF(AND(Table1[Leaving Date]&gt;1,Table1[Leaving Date]&lt;42736),"",1)))</f>
        <v/>
      </c>
      <c r="DX361"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361" s="44" t="e">
        <f>VLOOKUP(Table1[Referral Source],Lists!$G$2:$H$20,2,FALSE)</f>
        <v>#N/A</v>
      </c>
      <c r="DZ361" s="93" t="e">
        <f>SUM(Table1[Data Referral Quarter]+Table1[Data Referral Source])</f>
        <v>#N/A</v>
      </c>
      <c r="EA361" s="44" t="b">
        <f>IF(Table1[Referral Decision]="Accepted",100,IF(Table1[Referral Decision]="Rejected by Provider",200,IF(Table1[Referral Decision]="Rejected by Applicant",300)))</f>
        <v>0</v>
      </c>
      <c r="EB361" s="44">
        <f>SUM(Table1[Data Referral Quarter]+Table1[Data Referral Decision])</f>
        <v>0</v>
      </c>
      <c r="EC361" s="44" t="b">
        <f>IF(Table1[Start Date]&gt;42735,8000,IF(Table1[Start Date]&gt;42643,7000,IF(Table1[Start Date]&gt;42551,6000,IF(Table1[Start Date]&gt;42460,5000,IF(Table1[Start Date]&gt;42369,4000,IF(Table1[Start Date]&gt;42277,3000,IF(Table1[Start Date]&gt;42185,2000,IF(Table1[Start Date]&gt;42094,1000))))))))</f>
        <v>0</v>
      </c>
      <c r="ED361" s="44" t="str">
        <f>IF(Table1[Start Date]="","",IF(Table1[Current Local Authority]="Swindon",1,"2"))</f>
        <v/>
      </c>
      <c r="EE361" s="44" t="e">
        <f>SUM(Table1[Data Start Date]+Table1[Data Local Authority])</f>
        <v>#VALUE!</v>
      </c>
      <c r="EF361" s="44">
        <f>IF(Table1[Registered with GP]="Yes",1,0)</f>
        <v>0</v>
      </c>
      <c r="EG361" s="44">
        <f>SUM(Table1[Data Start Date]+Table1[Data GP Start])</f>
        <v>0</v>
      </c>
      <c r="EH361" s="44" t="str">
        <f>IF(Table1[EET]="NEET",1,IF(Table1[EET]="Education",2,IF(Table1[EET]="Employment",2,IF(Table1[EET]="Training",2,IF(Table1[EET]="Retired",3,"")))))</f>
        <v/>
      </c>
      <c r="EI361" s="44" t="e">
        <f>Table1[Data Start Date]+Table1[Data EET Start]</f>
        <v>#VALUE!</v>
      </c>
      <c r="EJ361" s="44" t="b">
        <f>IF(Table1[Leaving Date]&gt;42735,8000,IF(Table1[Leaving Date]&gt;42643,7000,IF(Table1[Leaving Date]&gt;42551,6000,IF(Table1[Leaving Date]&gt;42460,5000,IF(Table1[Leaving Date]&gt;42369,4000,IF(Table1[Leaving Date]&gt;42277,3000,IF(Table1[Leaving Date]&gt;42185,2000,IF(Table1[Leaving Date]&gt;42094,1000))))))))</f>
        <v>0</v>
      </c>
      <c r="EK361" s="44" t="e">
        <f>VLOOKUP(Table1[Reason for Leaving],Lists!$T$2:$U$15,2,FALSE)</f>
        <v>#N/A</v>
      </c>
      <c r="EL361" s="44" t="e">
        <f>SUM(Table1[Data Leavers Date]+Table1[Data Move On])</f>
        <v>#N/A</v>
      </c>
      <c r="EM361" s="44" t="b">
        <f>IF(Table1[Registered with GP2]="Yes",1,IF(Table1[Registered with GP2]="No",0,IF(Table1[Registered with GP]="Yes",1,IF(Table1[Registered with GP]="No",0))))</f>
        <v>0</v>
      </c>
      <c r="EN361" s="44">
        <f>SUM(Table1[Data Leavers Date]+Table1[Data GP End])</f>
        <v>0</v>
      </c>
      <c r="EO361" s="44" t="str">
        <f>IF(Table1[EET2]="NEET",1,IF(Table1[EET2]="Employment",2,IF(Table1[EET2]="Education",2,IF(Table1[EET2]="Training",2,IF(Table1[EET2]="Retired",3,IF(Table1[EET]="NEET",1,IF(Table1[EET]="Employment",2,IF(Table1[EET]="Education",2,IF(Table1[EET]="Training",2,IF(Table1[EET]="Retired",3,""))))))))))</f>
        <v/>
      </c>
      <c r="EP361" s="44" t="e">
        <f>+Table1[[#This Row],[Data Leavers Date]]+Table1[[#This Row],[Data EET End]]</f>
        <v>#VALUE!</v>
      </c>
      <c r="EQ361" s="44">
        <f>IF(Table1[Exit Form Received]="Yes",1,0)</f>
        <v>0</v>
      </c>
      <c r="ER361" s="44">
        <f>+Table1[[#This Row],[Data Leavers Date]]+Table1[[#This Row],[Data Exit Forms]]</f>
        <v>0</v>
      </c>
      <c r="ES361" s="44" t="str">
        <f>IF(Table1[Data Leavers Date]=1000,SUM(Table1[Leaving Date]-Table1[Start Date]),"")</f>
        <v/>
      </c>
      <c r="ET361" s="44" t="str">
        <f>IF(Table1[Data Leavers Date]=2000,SUM(Table1[Leaving Date]-Table1[Start Date]),"")</f>
        <v/>
      </c>
      <c r="EU361" s="44" t="str">
        <f>IF(Table1[Data Leavers Date]=3000,SUM(Table1[Leaving Date]-Table1[Start Date]),"")</f>
        <v/>
      </c>
      <c r="EV361" s="44" t="str">
        <f>IF(Table1[Data Leavers Date]=4000,SUM(Table1[Leaving Date]-Table1[Start Date]),"")</f>
        <v/>
      </c>
      <c r="EW361" s="44" t="str">
        <f>IF(Table1[Data Leavers Date]=5000,SUM(Table1[Leaving Date]-Table1[Start Date]),"")</f>
        <v/>
      </c>
      <c r="EX361" s="44" t="str">
        <f>IF(Table1[Data Leavers Date]=6000,SUM(Table1[Leaving Date]-Table1[Start Date]),"")</f>
        <v/>
      </c>
      <c r="EY361" s="44" t="str">
        <f>IF(Table1[Data Leavers Date]=7000,SUM(Table1[Leaving Date]-Table1[Start Date]),"")</f>
        <v/>
      </c>
      <c r="EZ361" s="44" t="str">
        <f>IF(Table1[Data Leavers Date]=8000,SUM(Table1[Leaving Date]-Table1[Start Date]),"")</f>
        <v/>
      </c>
      <c r="FA361" s="44" t="str">
        <f>IF(Table1[Date of Initial Assessment]="","",IF(AND(Table1[Start Date]&gt;42094,Table1[Start Date]&lt;42461),Table1[Motivation and Taking Responsibility],""))</f>
        <v/>
      </c>
      <c r="FB361" s="44" t="str">
        <f>IF(Table1[Date of Initial Assessment]="","",IF(AND(Table1[Start Date]&gt;42094,Table1[Start Date]&lt;42461),Table1[Self-Care and Living Skills],""))</f>
        <v/>
      </c>
      <c r="FC361" s="44" t="str">
        <f>IF(Table1[Date of Initial Assessment]="","",IF(AND(Table1[Start Date]&gt;42094,Table1[Start Date]&lt;42461),Table1[Managing Money and Personal Administration],""))</f>
        <v/>
      </c>
      <c r="FD361" s="44" t="str">
        <f>IF(Table1[Date of Initial Assessment]="","",IF(AND(Table1[Start Date]&gt;42094,Table1[Start Date]&lt;42461),Table1[Social Networks and Relationships],""))</f>
        <v/>
      </c>
      <c r="FE361" s="44" t="str">
        <f>IF(Table1[Date of Initial Assessment]="","",IF(AND(Table1[Start Date]&gt;42094,Table1[Start Date]&lt;42461),Table1[Drug and Alcohol Misuse],""))</f>
        <v/>
      </c>
      <c r="FF361" s="44" t="str">
        <f>IF(Table1[Date of Initial Assessment]="","",IF(AND(Table1[Start Date]&gt;42094,Table1[Start Date]&lt;42461),Table1[Physical Health],""))</f>
        <v/>
      </c>
      <c r="FG361" s="44" t="str">
        <f>IF(Table1[Date of Initial Assessment]="","",IF(AND(Table1[Start Date]&gt;42094,Table1[Start Date]&lt;42461),Table1[Emotional and Mental Health],""))</f>
        <v/>
      </c>
      <c r="FH361" s="44" t="str">
        <f>IF(Table1[Date of Initial Assessment]="","",IF(AND(Table1[Start Date]&gt;42094,Table1[Start Date]&lt;42461),Table1[Meaningful Use of Time],""))</f>
        <v/>
      </c>
      <c r="FI361" s="44" t="str">
        <f>IF(Table1[Date of Initial Assessment]="","",IF(AND(Table1[Start Date]&gt;42094,Table1[Start Date]&lt;42461),Table1[Managing Tenancy and Accommodation],""))</f>
        <v/>
      </c>
      <c r="FJ361" s="44" t="str">
        <f>IF(Table1[Date of Initial Assessment]="","",IF(AND(Table1[Start Date]&gt;42094,Table1[Start Date]&lt;42461),Table1[Offending],""))</f>
        <v/>
      </c>
      <c r="FK361" s="44" t="str">
        <f>IF(Table1[Leaving Date]="","",IF(Table1[Date of Initial Assessment]="","",IF(AND(Table1[Leaving Date]&gt;42094,Table1[Leaving Date]&lt;42461),IF(Table1[Date of Last Assessment]="",Table1[Motivation and Taking Responsibility],Table1[Motivation and Taking Responsibility2]),"")))</f>
        <v/>
      </c>
      <c r="FL361" s="44" t="str">
        <f>IF(Table1[Leaving Date]="","",IF(Table1[Date of Initial Assessment]="","",IF(AND(Table1[Leaving Date]&gt;42094,Table1[Leaving Date]&lt;42461),IF(Table1[Date of Last Assessment]="",Table1[Self-Care and Living Skills],Table1[Self-Care and Living Skills2]),"")))</f>
        <v/>
      </c>
      <c r="FM361" s="44" t="str">
        <f>IF(Table1[Leaving Date]="","",IF(Table1[Date of Initial Assessment]="","",IF(AND(Table1[Leaving Date]&gt;42094,Table1[Leaving Date]&lt;42461),IF(Table1[Date of Last Assessment]="",Table1[Managing Money and Personal Administration],Table1[Managing Money and Personal Administration2]),"")))</f>
        <v/>
      </c>
      <c r="FN361" s="44" t="str">
        <f>IF(Table1[Leaving Date]="","",IF(Table1[Date of Initial Assessment]="","",IF(AND(Table1[Leaving Date]&gt;42094,Table1[Leaving Date]&lt;42461),IF(Table1[Date of Last Assessment]="",Table1[Social Networks and Relationships],Table1[Social Networks and Relationships2]),"")))</f>
        <v/>
      </c>
      <c r="FO361" s="44" t="str">
        <f>IF(Table1[Leaving Date]="","",IF(Table1[Date of Initial Assessment]="","",IF(AND(Table1[Leaving Date]&gt;42094,Table1[Leaving Date]&lt;42461),IF(Table1[Date of Last Assessment]="",Table1[Drug and Alcohol Misuse],Table1[Drug and Alcohol Misuse2]),"")))</f>
        <v/>
      </c>
      <c r="FP361" s="44" t="str">
        <f>IF(Table1[Leaving Date]="","",IF(Table1[Date of Initial Assessment]="","",IF(AND(Table1[Leaving Date]&gt;42094,Table1[Leaving Date]&lt;42461),IF(Table1[Date of Last Assessment]="",Table1[Physical Health],Table1[Physical Health2]),"")))</f>
        <v/>
      </c>
      <c r="FQ361" s="44" t="str">
        <f>IF(Table1[Leaving Date]="","",IF(Table1[Date of Initial Assessment]="","",IF(AND(Table1[Leaving Date]&gt;42094,Table1[Leaving Date]&lt;42461),IF(Table1[Date of Last Assessment]="",Table1[Emotional and Mental Health],Table1[Emotional and Mental Health2]),"")))</f>
        <v/>
      </c>
      <c r="FR361" s="44" t="str">
        <f>IF(Table1[Leaving Date]="","",IF(Table1[Date of Initial Assessment]="","",IF(AND(Table1[Leaving Date]&gt;42094,Table1[Leaving Date]&lt;42461),IF(Table1[Date of Last Assessment]="",Table1[Meaningful Use of Time],Table1[Meaningful Use of Time2]),"")))</f>
        <v/>
      </c>
      <c r="FS361" s="44" t="str">
        <f>IF(Table1[Leaving Date]="","",IF(Table1[Date of Initial Assessment]="","",IF(AND(Table1[Leaving Date]&gt;42094,Table1[Leaving Date]&lt;42461),IF(Table1[Date of Last Assessment]="",Table1[Managing Tenancy and Accommodation],Table1[Managing Tenancy and Accommodation2]),"")))</f>
        <v/>
      </c>
      <c r="FT361" s="44" t="str">
        <f>IF(Table1[Leaving Date]="","",IF(Table1[Date of Initial Assessment]="","",IF(AND(Table1[Leaving Date]&gt;42094,Table1[Leaving Date]&lt;42461),IF(Table1[Date of Last Assessment]="",Table1[Offending],Table1[Offending2]),"")))</f>
        <v/>
      </c>
      <c r="FU361" s="44" t="str">
        <f>IF(Table1[Date of Initial Assessment]="","",IF(AND(Table1[Start Date]&gt;42460,Table1[Start Date]&lt;42826),Table1[Motivation and Taking Responsibility],""))</f>
        <v/>
      </c>
      <c r="FV361" s="44" t="str">
        <f>IF(Table1[Date of Initial Assessment]="","",IF(AND(Table1[Start Date]&gt;42460,Table1[Start Date]&lt;42826),Table1[Self-Care and Living Skills],""))</f>
        <v/>
      </c>
      <c r="FW361" s="44" t="str">
        <f>IF(Table1[Date of Initial Assessment]="","",IF(AND(Table1[Start Date]&gt;42460,Table1[Start Date]&lt;42826),Table1[Managing Money and Personal Administration],""))</f>
        <v/>
      </c>
      <c r="FX361" s="44" t="str">
        <f>IF(Table1[Date of Initial Assessment]="","",IF(AND(Table1[Start Date]&gt;42460,Table1[Start Date]&lt;42826),Table1[Social Networks and Relationships],""))</f>
        <v/>
      </c>
      <c r="FY361" s="44" t="str">
        <f>IF(Table1[Date of Initial Assessment]="","",IF(AND(Table1[Start Date]&gt;42460,Table1[Start Date]&lt;42826),Table1[Drug and Alcohol Misuse],""))</f>
        <v/>
      </c>
      <c r="FZ361" s="44" t="str">
        <f>IF(Table1[Date of Initial Assessment]="","",IF(AND(Table1[Start Date]&gt;42460,Table1[Start Date]&lt;42826),Table1[Physical Health],""))</f>
        <v/>
      </c>
      <c r="GA361" s="44" t="str">
        <f>IF(Table1[Date of Initial Assessment]="","",IF(AND(Table1[Start Date]&gt;42460,Table1[Start Date]&lt;42826),Table1[Emotional and Mental Health],""))</f>
        <v/>
      </c>
      <c r="GB361" s="44" t="str">
        <f>IF(Table1[Date of Initial Assessment]="","",IF(AND(Table1[Start Date]&gt;42460,Table1[Start Date]&lt;42826),Table1[Meaningful Use of Time],""))</f>
        <v/>
      </c>
      <c r="GC361" s="44" t="str">
        <f>IF(Table1[Date of Initial Assessment]="","",IF(AND(Table1[Start Date]&gt;42460,Table1[Start Date]&lt;42826),Table1[Managing Tenancy and Accommodation],""))</f>
        <v/>
      </c>
      <c r="GD361" s="44" t="str">
        <f>IF(Table1[Date of Initial Assessment]="","",IF(AND(Table1[Start Date]&gt;42460,Table1[Start Date]&lt;42826),Table1[Offending],""))</f>
        <v/>
      </c>
      <c r="GE361" s="44" t="str">
        <f>IF(Table1[Leaving Date]="","",IF(AND(Table1[Leaving Date]&gt;42460,Table1[Leaving Date]&lt;42826),IF(Table1[Date of Last Assessment]="",Table1[Motivation and Taking Responsibility],Table1[Motivation and Taking Responsibility2]),""))</f>
        <v/>
      </c>
      <c r="GF361" s="44" t="str">
        <f>IF(Table1[Leaving Date]="","",IF(AND(Table1[Leaving Date]&gt;42460,Table1[Leaving Date]&lt;42826),IF(Table1[Date of Last Assessment]="",Table1[Self-Care and Living Skills],Table1[Self-Care and Living Skills2]),""))</f>
        <v/>
      </c>
      <c r="GG361" s="44" t="str">
        <f>IF(Table1[Leaving Date]="","",IF(AND(Table1[Leaving Date]&gt;42460,Table1[Leaving Date]&lt;42826),IF(Table1[Date of Last Assessment]="",Table1[Managing Money and Personal Administration],Table1[Managing Money and Personal Administration2]),""))</f>
        <v/>
      </c>
      <c r="GH361" s="44" t="str">
        <f>IF(Table1[Leaving Date]="","",IF(AND(Table1[Leaving Date]&gt;42460,Table1[Leaving Date]&lt;42826),IF(Table1[Date of Last Assessment]="",Table1[Social Networks and Relationships],Table1[Social Networks and Relationships2]),""))</f>
        <v/>
      </c>
      <c r="GI361" s="44" t="str">
        <f>IF(Table1[Leaving Date]="","",IF(AND(Table1[Leaving Date]&gt;42460,Table1[Leaving Date]&lt;42826),IF(Table1[Date of Last Assessment]="",Table1[Drug and Alcohol Misuse],Table1[Drug and Alcohol Misuse2]),""))</f>
        <v/>
      </c>
      <c r="GJ361" s="44" t="str">
        <f>IF(Table1[Leaving Date]="","",IF(AND(Table1[Leaving Date]&gt;42460,Table1[Leaving Date]&lt;42826),IF(Table1[Date of Last Assessment]="",Table1[Physical Health],Table1[Physical Health2]),""))</f>
        <v/>
      </c>
      <c r="GK361" s="44" t="str">
        <f>IF(Table1[Leaving Date]="","",IF(AND(Table1[Leaving Date]&gt;42460,Table1[Leaving Date]&lt;42826),IF(Table1[Date of Last Assessment]="",Table1[Emotional and Mental Health],Table1[Emotional and Mental Health2]),""))</f>
        <v/>
      </c>
      <c r="GL361" s="44" t="str">
        <f>IF(Table1[Leaving Date]="","",IF(AND(Table1[Leaving Date]&gt;42460,Table1[Leaving Date]&lt;42826),IF(Table1[Date of Last Assessment]="",Table1[Meaningful Use of Time],Table1[Meaningful Use of Time2]),""))</f>
        <v/>
      </c>
      <c r="GM361" s="44" t="str">
        <f>IF(Table1[Leaving Date]="","",IF(AND(Table1[Leaving Date]&gt;42460,Table1[Leaving Date]&lt;42826),IF(Table1[Date of Last Assessment]="",Table1[Managing Tenancy and Accommodation],Table1[Managing Tenancy and Accommodation2]),""))</f>
        <v/>
      </c>
      <c r="GN361" s="44" t="str">
        <f>IF(Table1[Leaving Date]="","",IF(AND(Table1[Leaving Date]&gt;42460,Table1[Leaving Date]&lt;42826),IF(Table1[Date of Last Assessment]="",Table1[Offending],Table1[Offending2]),""))</f>
        <v/>
      </c>
    </row>
    <row r="362" spans="2:196" ht="20.100000000000001" customHeight="1" x14ac:dyDescent="0.2">
      <c r="B362" s="86">
        <f>+'Service Data'!$C$5:$C$5</f>
        <v>0</v>
      </c>
      <c r="C362" s="86"/>
      <c r="D362" s="86"/>
      <c r="E362" s="86"/>
      <c r="F362" s="86"/>
      <c r="G362" s="86"/>
      <c r="H362" s="6"/>
      <c r="I362" s="99" t="str">
        <f ca="1">IF(Table1[[#This Row],[Date of Birth]]="","",SUM(TODAY()-Table1[[#This Row],[Date of Birth]])/365)</f>
        <v/>
      </c>
      <c r="L362" s="86"/>
      <c r="M362" s="77"/>
      <c r="N362" s="86"/>
      <c r="O362" s="86"/>
      <c r="P362" s="91"/>
      <c r="Q362" s="86"/>
      <c r="R362" s="77"/>
      <c r="S362" s="77"/>
      <c r="T362" s="68"/>
      <c r="U362" s="68"/>
      <c r="V362" s="67"/>
      <c r="W362" s="67"/>
      <c r="X362" s="67"/>
      <c r="Y362" s="67"/>
      <c r="Z362" s="67"/>
      <c r="AA362" s="67"/>
      <c r="AB362" s="67"/>
      <c r="AC362" s="67"/>
      <c r="AD362" s="67"/>
      <c r="AE362" s="67"/>
      <c r="AF362" s="67"/>
      <c r="AG362" s="67"/>
      <c r="AH362" s="67"/>
      <c r="AI362" s="67"/>
      <c r="AJ362" s="67"/>
      <c r="AK362" s="67"/>
      <c r="AL362" s="67"/>
      <c r="AM362" s="67"/>
      <c r="AN362" s="77"/>
      <c r="AO362" s="76"/>
      <c r="AP362" s="77"/>
      <c r="AQ362" s="76"/>
      <c r="AR362" s="76"/>
      <c r="AS362" s="76"/>
      <c r="AT362" s="76"/>
      <c r="AU362" s="76"/>
      <c r="AV362" s="77"/>
      <c r="AW362" s="76"/>
      <c r="AX362" s="77"/>
      <c r="AY362" s="76"/>
      <c r="AZ362" s="76"/>
      <c r="BA362" s="76"/>
      <c r="BB362" s="76"/>
      <c r="BC362" s="76"/>
      <c r="BD362" s="77"/>
      <c r="BE362" s="76"/>
      <c r="BF362" s="77"/>
      <c r="BG362" s="76"/>
      <c r="BH362" s="76"/>
      <c r="BI362" s="76"/>
      <c r="BJ362" s="76"/>
      <c r="BK362" s="76"/>
      <c r="BL362" s="77"/>
      <c r="BM362" s="76"/>
      <c r="BN362" s="77"/>
      <c r="BO362" s="76"/>
      <c r="BP362" s="76"/>
      <c r="BQ362" s="76"/>
      <c r="BR362" s="76"/>
      <c r="BS362" s="76"/>
      <c r="BT362" s="77"/>
      <c r="BU362" s="76"/>
      <c r="BV362" s="77"/>
      <c r="BW362" s="76"/>
      <c r="BX362" s="76"/>
      <c r="BY362" s="76"/>
      <c r="BZ362" s="76"/>
      <c r="CA362" s="76"/>
      <c r="CB362" s="77"/>
      <c r="CC362" s="76"/>
      <c r="CD362" s="77"/>
      <c r="CE362" s="76"/>
      <c r="CF362" s="76"/>
      <c r="CG362" s="76"/>
      <c r="CH362" s="76"/>
      <c r="CI362" s="76"/>
      <c r="CJ362" s="77"/>
      <c r="CK362" s="76"/>
      <c r="CL362" s="77"/>
      <c r="CM362" s="76"/>
      <c r="CN362" s="76"/>
      <c r="CO362" s="76"/>
      <c r="CP362" s="76"/>
      <c r="CQ362" s="76"/>
      <c r="CR362" s="78" t="str">
        <f t="shared" si="95"/>
        <v/>
      </c>
      <c r="CS362" s="79" t="str">
        <f t="shared" si="96"/>
        <v/>
      </c>
      <c r="CT362" s="79" t="str">
        <f t="shared" si="97"/>
        <v/>
      </c>
      <c r="CU362" s="79" t="str">
        <f t="shared" si="98"/>
        <v/>
      </c>
      <c r="CV362" s="79" t="str">
        <f t="shared" si="99"/>
        <v/>
      </c>
      <c r="CW362" s="79" t="str">
        <f t="shared" si="100"/>
        <v/>
      </c>
      <c r="CX362" s="79" t="str">
        <f t="shared" si="101"/>
        <v/>
      </c>
      <c r="CY362" s="79" t="str">
        <f t="shared" si="102"/>
        <v/>
      </c>
      <c r="CZ362" s="79" t="str">
        <f t="shared" si="103"/>
        <v/>
      </c>
      <c r="DA362" s="79" t="str">
        <f t="shared" si="104"/>
        <v/>
      </c>
      <c r="DB362" s="79" t="str">
        <f t="shared" si="105"/>
        <v/>
      </c>
      <c r="DC362" s="79" t="str">
        <f t="shared" si="106"/>
        <v/>
      </c>
      <c r="DD362" s="79" t="str">
        <f t="shared" si="107"/>
        <v/>
      </c>
      <c r="DE362" s="79" t="str">
        <f t="shared" si="108"/>
        <v/>
      </c>
      <c r="DF362" s="79" t="str">
        <f t="shared" si="109"/>
        <v/>
      </c>
      <c r="DG362" s="79" t="str">
        <f t="shared" si="110"/>
        <v/>
      </c>
      <c r="DH362" s="76"/>
      <c r="DI362" s="78"/>
      <c r="DJ362" s="76"/>
      <c r="DK362" s="77"/>
      <c r="DL362" s="77"/>
      <c r="DM362" s="77"/>
      <c r="DN362" s="80"/>
      <c r="DO362" s="80"/>
      <c r="DP362" s="92" t="str">
        <f>IF(Table1[Start Date]="","",IF(Table1[Start Date]&gt;42185,"",IF(AND(Table1[Leaving Date]&gt;1,Table1[Leaving Date]&lt;42095),"",1)))</f>
        <v/>
      </c>
      <c r="DQ362" s="92" t="str">
        <f>IF(Table1[Start Date]="","",IF(Table1[Start Date]&gt;42277,"",IF(AND(Table1[Leaving Date]&gt;1,Table1[Leaving Date]&lt;42186),"",1)))</f>
        <v/>
      </c>
      <c r="DR362" s="92" t="str">
        <f>IF(Table1[Start Date]="","",IF(Table1[Start Date]&gt;42369,"",IF(AND(Table1[Leaving Date]&gt;1,Table1[Leaving Date]&lt;42278),"",1)))</f>
        <v/>
      </c>
      <c r="DS362" s="92" t="str">
        <f>IF(Table1[Start Date]="","",IF(Table1[Start Date]&gt;42460,"",IF(AND(Table1[Leaving Date]&gt;1,Table1[Leaving Date]&lt;42370),"",1)))</f>
        <v/>
      </c>
      <c r="DT362" s="92" t="str">
        <f>IF(Table1[Start Date]="","",IF(Table1[Start Date]&gt;42551,"",IF(AND(Table1[Leaving Date]&gt;1,Table1[Leaving Date]&lt;42461),"",1)))</f>
        <v/>
      </c>
      <c r="DU362" s="92" t="str">
        <f>IF(Table1[Start Date]="","",IF(Table1[Start Date]&gt;42643,"",IF(AND(Table1[Leaving Date]&gt;1,Table1[Leaving Date]&lt;42552),"",1)))</f>
        <v/>
      </c>
      <c r="DV362" s="92" t="str">
        <f>IF(Table1[Start Date]="","",IF(Table1[Start Date]&gt;42735,"",IF(AND(Table1[Leaving Date]&gt;1,Table1[Leaving Date]&lt;42644),"",1)))</f>
        <v/>
      </c>
      <c r="DW362" s="92" t="str">
        <f>IF(Table1[Start Date]="","",IF(Table1[Start Date]&gt;42825,"",IF(AND(Table1[Leaving Date]&gt;1,Table1[Leaving Date]&lt;42736),"",1)))</f>
        <v/>
      </c>
      <c r="DX362"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362" s="44" t="e">
        <f>VLOOKUP(Table1[Referral Source],Lists!$G$2:$H$20,2,FALSE)</f>
        <v>#N/A</v>
      </c>
      <c r="DZ362" s="93" t="e">
        <f>SUM(Table1[Data Referral Quarter]+Table1[Data Referral Source])</f>
        <v>#N/A</v>
      </c>
      <c r="EA362" s="44" t="b">
        <f>IF(Table1[Referral Decision]="Accepted",100,IF(Table1[Referral Decision]="Rejected by Provider",200,IF(Table1[Referral Decision]="Rejected by Applicant",300)))</f>
        <v>0</v>
      </c>
      <c r="EB362" s="44">
        <f>SUM(Table1[Data Referral Quarter]+Table1[Data Referral Decision])</f>
        <v>0</v>
      </c>
      <c r="EC362" s="44" t="b">
        <f>IF(Table1[Start Date]&gt;42735,8000,IF(Table1[Start Date]&gt;42643,7000,IF(Table1[Start Date]&gt;42551,6000,IF(Table1[Start Date]&gt;42460,5000,IF(Table1[Start Date]&gt;42369,4000,IF(Table1[Start Date]&gt;42277,3000,IF(Table1[Start Date]&gt;42185,2000,IF(Table1[Start Date]&gt;42094,1000))))))))</f>
        <v>0</v>
      </c>
      <c r="ED362" s="44" t="str">
        <f>IF(Table1[Start Date]="","",IF(Table1[Current Local Authority]="Swindon",1,"2"))</f>
        <v/>
      </c>
      <c r="EE362" s="44" t="e">
        <f>SUM(Table1[Data Start Date]+Table1[Data Local Authority])</f>
        <v>#VALUE!</v>
      </c>
      <c r="EF362" s="44">
        <f>IF(Table1[Registered with GP]="Yes",1,0)</f>
        <v>0</v>
      </c>
      <c r="EG362" s="44">
        <f>SUM(Table1[Data Start Date]+Table1[Data GP Start])</f>
        <v>0</v>
      </c>
      <c r="EH362" s="44" t="str">
        <f>IF(Table1[EET]="NEET",1,IF(Table1[EET]="Education",2,IF(Table1[EET]="Employment",2,IF(Table1[EET]="Training",2,IF(Table1[EET]="Retired",3,"")))))</f>
        <v/>
      </c>
      <c r="EI362" s="44" t="e">
        <f>Table1[Data Start Date]+Table1[Data EET Start]</f>
        <v>#VALUE!</v>
      </c>
      <c r="EJ362" s="44" t="b">
        <f>IF(Table1[Leaving Date]&gt;42735,8000,IF(Table1[Leaving Date]&gt;42643,7000,IF(Table1[Leaving Date]&gt;42551,6000,IF(Table1[Leaving Date]&gt;42460,5000,IF(Table1[Leaving Date]&gt;42369,4000,IF(Table1[Leaving Date]&gt;42277,3000,IF(Table1[Leaving Date]&gt;42185,2000,IF(Table1[Leaving Date]&gt;42094,1000))))))))</f>
        <v>0</v>
      </c>
      <c r="EK362" s="44" t="e">
        <f>VLOOKUP(Table1[Reason for Leaving],Lists!$T$2:$U$15,2,FALSE)</f>
        <v>#N/A</v>
      </c>
      <c r="EL362" s="44" t="e">
        <f>SUM(Table1[Data Leavers Date]+Table1[Data Move On])</f>
        <v>#N/A</v>
      </c>
      <c r="EM362" s="44" t="b">
        <f>IF(Table1[Registered with GP2]="Yes",1,IF(Table1[Registered with GP2]="No",0,IF(Table1[Registered with GP]="Yes",1,IF(Table1[Registered with GP]="No",0))))</f>
        <v>0</v>
      </c>
      <c r="EN362" s="44">
        <f>SUM(Table1[Data Leavers Date]+Table1[Data GP End])</f>
        <v>0</v>
      </c>
      <c r="EO362" s="44" t="str">
        <f>IF(Table1[EET2]="NEET",1,IF(Table1[EET2]="Employment",2,IF(Table1[EET2]="Education",2,IF(Table1[EET2]="Training",2,IF(Table1[EET2]="Retired",3,IF(Table1[EET]="NEET",1,IF(Table1[EET]="Employment",2,IF(Table1[EET]="Education",2,IF(Table1[EET]="Training",2,IF(Table1[EET]="Retired",3,""))))))))))</f>
        <v/>
      </c>
      <c r="EP362" s="44" t="e">
        <f>+Table1[[#This Row],[Data Leavers Date]]+Table1[[#This Row],[Data EET End]]</f>
        <v>#VALUE!</v>
      </c>
      <c r="EQ362" s="44">
        <f>IF(Table1[Exit Form Received]="Yes",1,0)</f>
        <v>0</v>
      </c>
      <c r="ER362" s="44">
        <f>+Table1[[#This Row],[Data Leavers Date]]+Table1[[#This Row],[Data Exit Forms]]</f>
        <v>0</v>
      </c>
      <c r="ES362" s="44" t="str">
        <f>IF(Table1[Data Leavers Date]=1000,SUM(Table1[Leaving Date]-Table1[Start Date]),"")</f>
        <v/>
      </c>
      <c r="ET362" s="44" t="str">
        <f>IF(Table1[Data Leavers Date]=2000,SUM(Table1[Leaving Date]-Table1[Start Date]),"")</f>
        <v/>
      </c>
      <c r="EU362" s="44" t="str">
        <f>IF(Table1[Data Leavers Date]=3000,SUM(Table1[Leaving Date]-Table1[Start Date]),"")</f>
        <v/>
      </c>
      <c r="EV362" s="44" t="str">
        <f>IF(Table1[Data Leavers Date]=4000,SUM(Table1[Leaving Date]-Table1[Start Date]),"")</f>
        <v/>
      </c>
      <c r="EW362" s="44" t="str">
        <f>IF(Table1[Data Leavers Date]=5000,SUM(Table1[Leaving Date]-Table1[Start Date]),"")</f>
        <v/>
      </c>
      <c r="EX362" s="44" t="str">
        <f>IF(Table1[Data Leavers Date]=6000,SUM(Table1[Leaving Date]-Table1[Start Date]),"")</f>
        <v/>
      </c>
      <c r="EY362" s="44" t="str">
        <f>IF(Table1[Data Leavers Date]=7000,SUM(Table1[Leaving Date]-Table1[Start Date]),"")</f>
        <v/>
      </c>
      <c r="EZ362" s="44" t="str">
        <f>IF(Table1[Data Leavers Date]=8000,SUM(Table1[Leaving Date]-Table1[Start Date]),"")</f>
        <v/>
      </c>
      <c r="FA362" s="44" t="str">
        <f>IF(Table1[Date of Initial Assessment]="","",IF(AND(Table1[Start Date]&gt;42094,Table1[Start Date]&lt;42461),Table1[Motivation and Taking Responsibility],""))</f>
        <v/>
      </c>
      <c r="FB362" s="44" t="str">
        <f>IF(Table1[Date of Initial Assessment]="","",IF(AND(Table1[Start Date]&gt;42094,Table1[Start Date]&lt;42461),Table1[Self-Care and Living Skills],""))</f>
        <v/>
      </c>
      <c r="FC362" s="44" t="str">
        <f>IF(Table1[Date of Initial Assessment]="","",IF(AND(Table1[Start Date]&gt;42094,Table1[Start Date]&lt;42461),Table1[Managing Money and Personal Administration],""))</f>
        <v/>
      </c>
      <c r="FD362" s="44" t="str">
        <f>IF(Table1[Date of Initial Assessment]="","",IF(AND(Table1[Start Date]&gt;42094,Table1[Start Date]&lt;42461),Table1[Social Networks and Relationships],""))</f>
        <v/>
      </c>
      <c r="FE362" s="44" t="str">
        <f>IF(Table1[Date of Initial Assessment]="","",IF(AND(Table1[Start Date]&gt;42094,Table1[Start Date]&lt;42461),Table1[Drug and Alcohol Misuse],""))</f>
        <v/>
      </c>
      <c r="FF362" s="44" t="str">
        <f>IF(Table1[Date of Initial Assessment]="","",IF(AND(Table1[Start Date]&gt;42094,Table1[Start Date]&lt;42461),Table1[Physical Health],""))</f>
        <v/>
      </c>
      <c r="FG362" s="44" t="str">
        <f>IF(Table1[Date of Initial Assessment]="","",IF(AND(Table1[Start Date]&gt;42094,Table1[Start Date]&lt;42461),Table1[Emotional and Mental Health],""))</f>
        <v/>
      </c>
      <c r="FH362" s="44" t="str">
        <f>IF(Table1[Date of Initial Assessment]="","",IF(AND(Table1[Start Date]&gt;42094,Table1[Start Date]&lt;42461),Table1[Meaningful Use of Time],""))</f>
        <v/>
      </c>
      <c r="FI362" s="44" t="str">
        <f>IF(Table1[Date of Initial Assessment]="","",IF(AND(Table1[Start Date]&gt;42094,Table1[Start Date]&lt;42461),Table1[Managing Tenancy and Accommodation],""))</f>
        <v/>
      </c>
      <c r="FJ362" s="44" t="str">
        <f>IF(Table1[Date of Initial Assessment]="","",IF(AND(Table1[Start Date]&gt;42094,Table1[Start Date]&lt;42461),Table1[Offending],""))</f>
        <v/>
      </c>
      <c r="FK362" s="44" t="str">
        <f>IF(Table1[Leaving Date]="","",IF(Table1[Date of Initial Assessment]="","",IF(AND(Table1[Leaving Date]&gt;42094,Table1[Leaving Date]&lt;42461),IF(Table1[Date of Last Assessment]="",Table1[Motivation and Taking Responsibility],Table1[Motivation and Taking Responsibility2]),"")))</f>
        <v/>
      </c>
      <c r="FL362" s="44" t="str">
        <f>IF(Table1[Leaving Date]="","",IF(Table1[Date of Initial Assessment]="","",IF(AND(Table1[Leaving Date]&gt;42094,Table1[Leaving Date]&lt;42461),IF(Table1[Date of Last Assessment]="",Table1[Self-Care and Living Skills],Table1[Self-Care and Living Skills2]),"")))</f>
        <v/>
      </c>
      <c r="FM362" s="44" t="str">
        <f>IF(Table1[Leaving Date]="","",IF(Table1[Date of Initial Assessment]="","",IF(AND(Table1[Leaving Date]&gt;42094,Table1[Leaving Date]&lt;42461),IF(Table1[Date of Last Assessment]="",Table1[Managing Money and Personal Administration],Table1[Managing Money and Personal Administration2]),"")))</f>
        <v/>
      </c>
      <c r="FN362" s="44" t="str">
        <f>IF(Table1[Leaving Date]="","",IF(Table1[Date of Initial Assessment]="","",IF(AND(Table1[Leaving Date]&gt;42094,Table1[Leaving Date]&lt;42461),IF(Table1[Date of Last Assessment]="",Table1[Social Networks and Relationships],Table1[Social Networks and Relationships2]),"")))</f>
        <v/>
      </c>
      <c r="FO362" s="44" t="str">
        <f>IF(Table1[Leaving Date]="","",IF(Table1[Date of Initial Assessment]="","",IF(AND(Table1[Leaving Date]&gt;42094,Table1[Leaving Date]&lt;42461),IF(Table1[Date of Last Assessment]="",Table1[Drug and Alcohol Misuse],Table1[Drug and Alcohol Misuse2]),"")))</f>
        <v/>
      </c>
      <c r="FP362" s="44" t="str">
        <f>IF(Table1[Leaving Date]="","",IF(Table1[Date of Initial Assessment]="","",IF(AND(Table1[Leaving Date]&gt;42094,Table1[Leaving Date]&lt;42461),IF(Table1[Date of Last Assessment]="",Table1[Physical Health],Table1[Physical Health2]),"")))</f>
        <v/>
      </c>
      <c r="FQ362" s="44" t="str">
        <f>IF(Table1[Leaving Date]="","",IF(Table1[Date of Initial Assessment]="","",IF(AND(Table1[Leaving Date]&gt;42094,Table1[Leaving Date]&lt;42461),IF(Table1[Date of Last Assessment]="",Table1[Emotional and Mental Health],Table1[Emotional and Mental Health2]),"")))</f>
        <v/>
      </c>
      <c r="FR362" s="44" t="str">
        <f>IF(Table1[Leaving Date]="","",IF(Table1[Date of Initial Assessment]="","",IF(AND(Table1[Leaving Date]&gt;42094,Table1[Leaving Date]&lt;42461),IF(Table1[Date of Last Assessment]="",Table1[Meaningful Use of Time],Table1[Meaningful Use of Time2]),"")))</f>
        <v/>
      </c>
      <c r="FS362" s="44" t="str">
        <f>IF(Table1[Leaving Date]="","",IF(Table1[Date of Initial Assessment]="","",IF(AND(Table1[Leaving Date]&gt;42094,Table1[Leaving Date]&lt;42461),IF(Table1[Date of Last Assessment]="",Table1[Managing Tenancy and Accommodation],Table1[Managing Tenancy and Accommodation2]),"")))</f>
        <v/>
      </c>
      <c r="FT362" s="44" t="str">
        <f>IF(Table1[Leaving Date]="","",IF(Table1[Date of Initial Assessment]="","",IF(AND(Table1[Leaving Date]&gt;42094,Table1[Leaving Date]&lt;42461),IF(Table1[Date of Last Assessment]="",Table1[Offending],Table1[Offending2]),"")))</f>
        <v/>
      </c>
      <c r="FU362" s="44" t="str">
        <f>IF(Table1[Date of Initial Assessment]="","",IF(AND(Table1[Start Date]&gt;42460,Table1[Start Date]&lt;42826),Table1[Motivation and Taking Responsibility],""))</f>
        <v/>
      </c>
      <c r="FV362" s="44" t="str">
        <f>IF(Table1[Date of Initial Assessment]="","",IF(AND(Table1[Start Date]&gt;42460,Table1[Start Date]&lt;42826),Table1[Self-Care and Living Skills],""))</f>
        <v/>
      </c>
      <c r="FW362" s="44" t="str">
        <f>IF(Table1[Date of Initial Assessment]="","",IF(AND(Table1[Start Date]&gt;42460,Table1[Start Date]&lt;42826),Table1[Managing Money and Personal Administration],""))</f>
        <v/>
      </c>
      <c r="FX362" s="44" t="str">
        <f>IF(Table1[Date of Initial Assessment]="","",IF(AND(Table1[Start Date]&gt;42460,Table1[Start Date]&lt;42826),Table1[Social Networks and Relationships],""))</f>
        <v/>
      </c>
      <c r="FY362" s="44" t="str">
        <f>IF(Table1[Date of Initial Assessment]="","",IF(AND(Table1[Start Date]&gt;42460,Table1[Start Date]&lt;42826),Table1[Drug and Alcohol Misuse],""))</f>
        <v/>
      </c>
      <c r="FZ362" s="44" t="str">
        <f>IF(Table1[Date of Initial Assessment]="","",IF(AND(Table1[Start Date]&gt;42460,Table1[Start Date]&lt;42826),Table1[Physical Health],""))</f>
        <v/>
      </c>
      <c r="GA362" s="44" t="str">
        <f>IF(Table1[Date of Initial Assessment]="","",IF(AND(Table1[Start Date]&gt;42460,Table1[Start Date]&lt;42826),Table1[Emotional and Mental Health],""))</f>
        <v/>
      </c>
      <c r="GB362" s="44" t="str">
        <f>IF(Table1[Date of Initial Assessment]="","",IF(AND(Table1[Start Date]&gt;42460,Table1[Start Date]&lt;42826),Table1[Meaningful Use of Time],""))</f>
        <v/>
      </c>
      <c r="GC362" s="44" t="str">
        <f>IF(Table1[Date of Initial Assessment]="","",IF(AND(Table1[Start Date]&gt;42460,Table1[Start Date]&lt;42826),Table1[Managing Tenancy and Accommodation],""))</f>
        <v/>
      </c>
      <c r="GD362" s="44" t="str">
        <f>IF(Table1[Date of Initial Assessment]="","",IF(AND(Table1[Start Date]&gt;42460,Table1[Start Date]&lt;42826),Table1[Offending],""))</f>
        <v/>
      </c>
      <c r="GE362" s="44" t="str">
        <f>IF(Table1[Leaving Date]="","",IF(AND(Table1[Leaving Date]&gt;42460,Table1[Leaving Date]&lt;42826),IF(Table1[Date of Last Assessment]="",Table1[Motivation and Taking Responsibility],Table1[Motivation and Taking Responsibility2]),""))</f>
        <v/>
      </c>
      <c r="GF362" s="44" t="str">
        <f>IF(Table1[Leaving Date]="","",IF(AND(Table1[Leaving Date]&gt;42460,Table1[Leaving Date]&lt;42826),IF(Table1[Date of Last Assessment]="",Table1[Self-Care and Living Skills],Table1[Self-Care and Living Skills2]),""))</f>
        <v/>
      </c>
      <c r="GG362" s="44" t="str">
        <f>IF(Table1[Leaving Date]="","",IF(AND(Table1[Leaving Date]&gt;42460,Table1[Leaving Date]&lt;42826),IF(Table1[Date of Last Assessment]="",Table1[Managing Money and Personal Administration],Table1[Managing Money and Personal Administration2]),""))</f>
        <v/>
      </c>
      <c r="GH362" s="44" t="str">
        <f>IF(Table1[Leaving Date]="","",IF(AND(Table1[Leaving Date]&gt;42460,Table1[Leaving Date]&lt;42826),IF(Table1[Date of Last Assessment]="",Table1[Social Networks and Relationships],Table1[Social Networks and Relationships2]),""))</f>
        <v/>
      </c>
      <c r="GI362" s="44" t="str">
        <f>IF(Table1[Leaving Date]="","",IF(AND(Table1[Leaving Date]&gt;42460,Table1[Leaving Date]&lt;42826),IF(Table1[Date of Last Assessment]="",Table1[Drug and Alcohol Misuse],Table1[Drug and Alcohol Misuse2]),""))</f>
        <v/>
      </c>
      <c r="GJ362" s="44" t="str">
        <f>IF(Table1[Leaving Date]="","",IF(AND(Table1[Leaving Date]&gt;42460,Table1[Leaving Date]&lt;42826),IF(Table1[Date of Last Assessment]="",Table1[Physical Health],Table1[Physical Health2]),""))</f>
        <v/>
      </c>
      <c r="GK362" s="44" t="str">
        <f>IF(Table1[Leaving Date]="","",IF(AND(Table1[Leaving Date]&gt;42460,Table1[Leaving Date]&lt;42826),IF(Table1[Date of Last Assessment]="",Table1[Emotional and Mental Health],Table1[Emotional and Mental Health2]),""))</f>
        <v/>
      </c>
      <c r="GL362" s="44" t="str">
        <f>IF(Table1[Leaving Date]="","",IF(AND(Table1[Leaving Date]&gt;42460,Table1[Leaving Date]&lt;42826),IF(Table1[Date of Last Assessment]="",Table1[Meaningful Use of Time],Table1[Meaningful Use of Time2]),""))</f>
        <v/>
      </c>
      <c r="GM362" s="44" t="str">
        <f>IF(Table1[Leaving Date]="","",IF(AND(Table1[Leaving Date]&gt;42460,Table1[Leaving Date]&lt;42826),IF(Table1[Date of Last Assessment]="",Table1[Managing Tenancy and Accommodation],Table1[Managing Tenancy and Accommodation2]),""))</f>
        <v/>
      </c>
      <c r="GN362" s="44" t="str">
        <f>IF(Table1[Leaving Date]="","",IF(AND(Table1[Leaving Date]&gt;42460,Table1[Leaving Date]&lt;42826),IF(Table1[Date of Last Assessment]="",Table1[Offending],Table1[Offending2]),""))</f>
        <v/>
      </c>
    </row>
    <row r="363" spans="2:196" ht="20.100000000000001" customHeight="1" x14ac:dyDescent="0.2">
      <c r="B363" s="86">
        <f>+'Service Data'!$C$5:$C$5</f>
        <v>0</v>
      </c>
      <c r="C363" s="86"/>
      <c r="D363" s="86"/>
      <c r="E363" s="86"/>
      <c r="F363" s="86"/>
      <c r="G363" s="86"/>
      <c r="H363" s="6"/>
      <c r="I363" s="99" t="str">
        <f ca="1">IF(Table1[[#This Row],[Date of Birth]]="","",SUM(TODAY()-Table1[[#This Row],[Date of Birth]])/365)</f>
        <v/>
      </c>
      <c r="L363" s="86"/>
      <c r="M363" s="77"/>
      <c r="N363" s="86"/>
      <c r="O363" s="86"/>
      <c r="P363" s="91"/>
      <c r="Q363" s="86"/>
      <c r="R363" s="77"/>
      <c r="S363" s="77"/>
      <c r="T363" s="68"/>
      <c r="U363" s="68"/>
      <c r="V363" s="67"/>
      <c r="W363" s="67"/>
      <c r="X363" s="67"/>
      <c r="Y363" s="67"/>
      <c r="Z363" s="67"/>
      <c r="AA363" s="67"/>
      <c r="AB363" s="67"/>
      <c r="AC363" s="67"/>
      <c r="AD363" s="67"/>
      <c r="AE363" s="67"/>
      <c r="AF363" s="67"/>
      <c r="AG363" s="67"/>
      <c r="AH363" s="67"/>
      <c r="AI363" s="67"/>
      <c r="AJ363" s="67"/>
      <c r="AK363" s="67"/>
      <c r="AL363" s="67"/>
      <c r="AM363" s="67"/>
      <c r="AN363" s="77"/>
      <c r="AO363" s="76"/>
      <c r="AP363" s="77"/>
      <c r="AQ363" s="76"/>
      <c r="AR363" s="76"/>
      <c r="AS363" s="76"/>
      <c r="AT363" s="76"/>
      <c r="AU363" s="76"/>
      <c r="AV363" s="77"/>
      <c r="AW363" s="76"/>
      <c r="AX363" s="77"/>
      <c r="AY363" s="76"/>
      <c r="AZ363" s="76"/>
      <c r="BA363" s="76"/>
      <c r="BB363" s="76"/>
      <c r="BC363" s="76"/>
      <c r="BD363" s="77"/>
      <c r="BE363" s="76"/>
      <c r="BF363" s="77"/>
      <c r="BG363" s="76"/>
      <c r="BH363" s="76"/>
      <c r="BI363" s="76"/>
      <c r="BJ363" s="76"/>
      <c r="BK363" s="76"/>
      <c r="BL363" s="77"/>
      <c r="BM363" s="76"/>
      <c r="BN363" s="77"/>
      <c r="BO363" s="76"/>
      <c r="BP363" s="76"/>
      <c r="BQ363" s="76"/>
      <c r="BR363" s="76"/>
      <c r="BS363" s="76"/>
      <c r="BT363" s="77"/>
      <c r="BU363" s="76"/>
      <c r="BV363" s="77"/>
      <c r="BW363" s="76"/>
      <c r="BX363" s="76"/>
      <c r="BY363" s="76"/>
      <c r="BZ363" s="76"/>
      <c r="CA363" s="76"/>
      <c r="CB363" s="77"/>
      <c r="CC363" s="76"/>
      <c r="CD363" s="77"/>
      <c r="CE363" s="76"/>
      <c r="CF363" s="76"/>
      <c r="CG363" s="76"/>
      <c r="CH363" s="76"/>
      <c r="CI363" s="76"/>
      <c r="CJ363" s="77"/>
      <c r="CK363" s="76"/>
      <c r="CL363" s="77"/>
      <c r="CM363" s="76"/>
      <c r="CN363" s="76"/>
      <c r="CO363" s="76"/>
      <c r="CP363" s="76"/>
      <c r="CQ363" s="76"/>
      <c r="CR363" s="78" t="str">
        <f t="shared" si="95"/>
        <v/>
      </c>
      <c r="CS363" s="79" t="str">
        <f t="shared" si="96"/>
        <v/>
      </c>
      <c r="CT363" s="79" t="str">
        <f t="shared" si="97"/>
        <v/>
      </c>
      <c r="CU363" s="79" t="str">
        <f t="shared" si="98"/>
        <v/>
      </c>
      <c r="CV363" s="79" t="str">
        <f t="shared" si="99"/>
        <v/>
      </c>
      <c r="CW363" s="79" t="str">
        <f t="shared" si="100"/>
        <v/>
      </c>
      <c r="CX363" s="79" t="str">
        <f t="shared" si="101"/>
        <v/>
      </c>
      <c r="CY363" s="79" t="str">
        <f t="shared" si="102"/>
        <v/>
      </c>
      <c r="CZ363" s="79" t="str">
        <f t="shared" si="103"/>
        <v/>
      </c>
      <c r="DA363" s="79" t="str">
        <f t="shared" si="104"/>
        <v/>
      </c>
      <c r="DB363" s="79" t="str">
        <f t="shared" si="105"/>
        <v/>
      </c>
      <c r="DC363" s="79" t="str">
        <f t="shared" si="106"/>
        <v/>
      </c>
      <c r="DD363" s="79" t="str">
        <f t="shared" si="107"/>
        <v/>
      </c>
      <c r="DE363" s="79" t="str">
        <f t="shared" si="108"/>
        <v/>
      </c>
      <c r="DF363" s="79" t="str">
        <f t="shared" si="109"/>
        <v/>
      </c>
      <c r="DG363" s="79" t="str">
        <f t="shared" si="110"/>
        <v/>
      </c>
      <c r="DH363" s="76"/>
      <c r="DI363" s="78"/>
      <c r="DJ363" s="76"/>
      <c r="DK363" s="77"/>
      <c r="DL363" s="77"/>
      <c r="DM363" s="77"/>
      <c r="DN363" s="80"/>
      <c r="DO363" s="80"/>
      <c r="DP363" s="92" t="str">
        <f>IF(Table1[Start Date]="","",IF(Table1[Start Date]&gt;42185,"",IF(AND(Table1[Leaving Date]&gt;1,Table1[Leaving Date]&lt;42095),"",1)))</f>
        <v/>
      </c>
      <c r="DQ363" s="92" t="str">
        <f>IF(Table1[Start Date]="","",IF(Table1[Start Date]&gt;42277,"",IF(AND(Table1[Leaving Date]&gt;1,Table1[Leaving Date]&lt;42186),"",1)))</f>
        <v/>
      </c>
      <c r="DR363" s="92" t="str">
        <f>IF(Table1[Start Date]="","",IF(Table1[Start Date]&gt;42369,"",IF(AND(Table1[Leaving Date]&gt;1,Table1[Leaving Date]&lt;42278),"",1)))</f>
        <v/>
      </c>
      <c r="DS363" s="92" t="str">
        <f>IF(Table1[Start Date]="","",IF(Table1[Start Date]&gt;42460,"",IF(AND(Table1[Leaving Date]&gt;1,Table1[Leaving Date]&lt;42370),"",1)))</f>
        <v/>
      </c>
      <c r="DT363" s="92" t="str">
        <f>IF(Table1[Start Date]="","",IF(Table1[Start Date]&gt;42551,"",IF(AND(Table1[Leaving Date]&gt;1,Table1[Leaving Date]&lt;42461),"",1)))</f>
        <v/>
      </c>
      <c r="DU363" s="92" t="str">
        <f>IF(Table1[Start Date]="","",IF(Table1[Start Date]&gt;42643,"",IF(AND(Table1[Leaving Date]&gt;1,Table1[Leaving Date]&lt;42552),"",1)))</f>
        <v/>
      </c>
      <c r="DV363" s="92" t="str">
        <f>IF(Table1[Start Date]="","",IF(Table1[Start Date]&gt;42735,"",IF(AND(Table1[Leaving Date]&gt;1,Table1[Leaving Date]&lt;42644),"",1)))</f>
        <v/>
      </c>
      <c r="DW363" s="92" t="str">
        <f>IF(Table1[Start Date]="","",IF(Table1[Start Date]&gt;42825,"",IF(AND(Table1[Leaving Date]&gt;1,Table1[Leaving Date]&lt;42736),"",1)))</f>
        <v/>
      </c>
      <c r="DX363"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363" s="44" t="e">
        <f>VLOOKUP(Table1[Referral Source],Lists!$G$2:$H$20,2,FALSE)</f>
        <v>#N/A</v>
      </c>
      <c r="DZ363" s="93" t="e">
        <f>SUM(Table1[Data Referral Quarter]+Table1[Data Referral Source])</f>
        <v>#N/A</v>
      </c>
      <c r="EA363" s="44" t="b">
        <f>IF(Table1[Referral Decision]="Accepted",100,IF(Table1[Referral Decision]="Rejected by Provider",200,IF(Table1[Referral Decision]="Rejected by Applicant",300)))</f>
        <v>0</v>
      </c>
      <c r="EB363" s="44">
        <f>SUM(Table1[Data Referral Quarter]+Table1[Data Referral Decision])</f>
        <v>0</v>
      </c>
      <c r="EC363" s="44" t="b">
        <f>IF(Table1[Start Date]&gt;42735,8000,IF(Table1[Start Date]&gt;42643,7000,IF(Table1[Start Date]&gt;42551,6000,IF(Table1[Start Date]&gt;42460,5000,IF(Table1[Start Date]&gt;42369,4000,IF(Table1[Start Date]&gt;42277,3000,IF(Table1[Start Date]&gt;42185,2000,IF(Table1[Start Date]&gt;42094,1000))))))))</f>
        <v>0</v>
      </c>
      <c r="ED363" s="44" t="str">
        <f>IF(Table1[Start Date]="","",IF(Table1[Current Local Authority]="Swindon",1,"2"))</f>
        <v/>
      </c>
      <c r="EE363" s="44" t="e">
        <f>SUM(Table1[Data Start Date]+Table1[Data Local Authority])</f>
        <v>#VALUE!</v>
      </c>
      <c r="EF363" s="44">
        <f>IF(Table1[Registered with GP]="Yes",1,0)</f>
        <v>0</v>
      </c>
      <c r="EG363" s="44">
        <f>SUM(Table1[Data Start Date]+Table1[Data GP Start])</f>
        <v>0</v>
      </c>
      <c r="EH363" s="44" t="str">
        <f>IF(Table1[EET]="NEET",1,IF(Table1[EET]="Education",2,IF(Table1[EET]="Employment",2,IF(Table1[EET]="Training",2,IF(Table1[EET]="Retired",3,"")))))</f>
        <v/>
      </c>
      <c r="EI363" s="44" t="e">
        <f>Table1[Data Start Date]+Table1[Data EET Start]</f>
        <v>#VALUE!</v>
      </c>
      <c r="EJ363" s="44" t="b">
        <f>IF(Table1[Leaving Date]&gt;42735,8000,IF(Table1[Leaving Date]&gt;42643,7000,IF(Table1[Leaving Date]&gt;42551,6000,IF(Table1[Leaving Date]&gt;42460,5000,IF(Table1[Leaving Date]&gt;42369,4000,IF(Table1[Leaving Date]&gt;42277,3000,IF(Table1[Leaving Date]&gt;42185,2000,IF(Table1[Leaving Date]&gt;42094,1000))))))))</f>
        <v>0</v>
      </c>
      <c r="EK363" s="44" t="e">
        <f>VLOOKUP(Table1[Reason for Leaving],Lists!$T$2:$U$15,2,FALSE)</f>
        <v>#N/A</v>
      </c>
      <c r="EL363" s="44" t="e">
        <f>SUM(Table1[Data Leavers Date]+Table1[Data Move On])</f>
        <v>#N/A</v>
      </c>
      <c r="EM363" s="44" t="b">
        <f>IF(Table1[Registered with GP2]="Yes",1,IF(Table1[Registered with GP2]="No",0,IF(Table1[Registered with GP]="Yes",1,IF(Table1[Registered with GP]="No",0))))</f>
        <v>0</v>
      </c>
      <c r="EN363" s="44">
        <f>SUM(Table1[Data Leavers Date]+Table1[Data GP End])</f>
        <v>0</v>
      </c>
      <c r="EO363" s="44" t="str">
        <f>IF(Table1[EET2]="NEET",1,IF(Table1[EET2]="Employment",2,IF(Table1[EET2]="Education",2,IF(Table1[EET2]="Training",2,IF(Table1[EET2]="Retired",3,IF(Table1[EET]="NEET",1,IF(Table1[EET]="Employment",2,IF(Table1[EET]="Education",2,IF(Table1[EET]="Training",2,IF(Table1[EET]="Retired",3,""))))))))))</f>
        <v/>
      </c>
      <c r="EP363" s="44" t="e">
        <f>+Table1[[#This Row],[Data Leavers Date]]+Table1[[#This Row],[Data EET End]]</f>
        <v>#VALUE!</v>
      </c>
      <c r="EQ363" s="44">
        <f>IF(Table1[Exit Form Received]="Yes",1,0)</f>
        <v>0</v>
      </c>
      <c r="ER363" s="44">
        <f>+Table1[[#This Row],[Data Leavers Date]]+Table1[[#This Row],[Data Exit Forms]]</f>
        <v>0</v>
      </c>
      <c r="ES363" s="44" t="str">
        <f>IF(Table1[Data Leavers Date]=1000,SUM(Table1[Leaving Date]-Table1[Start Date]),"")</f>
        <v/>
      </c>
      <c r="ET363" s="44" t="str">
        <f>IF(Table1[Data Leavers Date]=2000,SUM(Table1[Leaving Date]-Table1[Start Date]),"")</f>
        <v/>
      </c>
      <c r="EU363" s="44" t="str">
        <f>IF(Table1[Data Leavers Date]=3000,SUM(Table1[Leaving Date]-Table1[Start Date]),"")</f>
        <v/>
      </c>
      <c r="EV363" s="44" t="str">
        <f>IF(Table1[Data Leavers Date]=4000,SUM(Table1[Leaving Date]-Table1[Start Date]),"")</f>
        <v/>
      </c>
      <c r="EW363" s="44" t="str">
        <f>IF(Table1[Data Leavers Date]=5000,SUM(Table1[Leaving Date]-Table1[Start Date]),"")</f>
        <v/>
      </c>
      <c r="EX363" s="44" t="str">
        <f>IF(Table1[Data Leavers Date]=6000,SUM(Table1[Leaving Date]-Table1[Start Date]),"")</f>
        <v/>
      </c>
      <c r="EY363" s="44" t="str">
        <f>IF(Table1[Data Leavers Date]=7000,SUM(Table1[Leaving Date]-Table1[Start Date]),"")</f>
        <v/>
      </c>
      <c r="EZ363" s="44" t="str">
        <f>IF(Table1[Data Leavers Date]=8000,SUM(Table1[Leaving Date]-Table1[Start Date]),"")</f>
        <v/>
      </c>
      <c r="FA363" s="44" t="str">
        <f>IF(Table1[Date of Initial Assessment]="","",IF(AND(Table1[Start Date]&gt;42094,Table1[Start Date]&lt;42461),Table1[Motivation and Taking Responsibility],""))</f>
        <v/>
      </c>
      <c r="FB363" s="44" t="str">
        <f>IF(Table1[Date of Initial Assessment]="","",IF(AND(Table1[Start Date]&gt;42094,Table1[Start Date]&lt;42461),Table1[Self-Care and Living Skills],""))</f>
        <v/>
      </c>
      <c r="FC363" s="44" t="str">
        <f>IF(Table1[Date of Initial Assessment]="","",IF(AND(Table1[Start Date]&gt;42094,Table1[Start Date]&lt;42461),Table1[Managing Money and Personal Administration],""))</f>
        <v/>
      </c>
      <c r="FD363" s="44" t="str">
        <f>IF(Table1[Date of Initial Assessment]="","",IF(AND(Table1[Start Date]&gt;42094,Table1[Start Date]&lt;42461),Table1[Social Networks and Relationships],""))</f>
        <v/>
      </c>
      <c r="FE363" s="44" t="str">
        <f>IF(Table1[Date of Initial Assessment]="","",IF(AND(Table1[Start Date]&gt;42094,Table1[Start Date]&lt;42461),Table1[Drug and Alcohol Misuse],""))</f>
        <v/>
      </c>
      <c r="FF363" s="44" t="str">
        <f>IF(Table1[Date of Initial Assessment]="","",IF(AND(Table1[Start Date]&gt;42094,Table1[Start Date]&lt;42461),Table1[Physical Health],""))</f>
        <v/>
      </c>
      <c r="FG363" s="44" t="str">
        <f>IF(Table1[Date of Initial Assessment]="","",IF(AND(Table1[Start Date]&gt;42094,Table1[Start Date]&lt;42461),Table1[Emotional and Mental Health],""))</f>
        <v/>
      </c>
      <c r="FH363" s="44" t="str">
        <f>IF(Table1[Date of Initial Assessment]="","",IF(AND(Table1[Start Date]&gt;42094,Table1[Start Date]&lt;42461),Table1[Meaningful Use of Time],""))</f>
        <v/>
      </c>
      <c r="FI363" s="44" t="str">
        <f>IF(Table1[Date of Initial Assessment]="","",IF(AND(Table1[Start Date]&gt;42094,Table1[Start Date]&lt;42461),Table1[Managing Tenancy and Accommodation],""))</f>
        <v/>
      </c>
      <c r="FJ363" s="44" t="str">
        <f>IF(Table1[Date of Initial Assessment]="","",IF(AND(Table1[Start Date]&gt;42094,Table1[Start Date]&lt;42461),Table1[Offending],""))</f>
        <v/>
      </c>
      <c r="FK363" s="44" t="str">
        <f>IF(Table1[Leaving Date]="","",IF(Table1[Date of Initial Assessment]="","",IF(AND(Table1[Leaving Date]&gt;42094,Table1[Leaving Date]&lt;42461),IF(Table1[Date of Last Assessment]="",Table1[Motivation and Taking Responsibility],Table1[Motivation and Taking Responsibility2]),"")))</f>
        <v/>
      </c>
      <c r="FL363" s="44" t="str">
        <f>IF(Table1[Leaving Date]="","",IF(Table1[Date of Initial Assessment]="","",IF(AND(Table1[Leaving Date]&gt;42094,Table1[Leaving Date]&lt;42461),IF(Table1[Date of Last Assessment]="",Table1[Self-Care and Living Skills],Table1[Self-Care and Living Skills2]),"")))</f>
        <v/>
      </c>
      <c r="FM363" s="44" t="str">
        <f>IF(Table1[Leaving Date]="","",IF(Table1[Date of Initial Assessment]="","",IF(AND(Table1[Leaving Date]&gt;42094,Table1[Leaving Date]&lt;42461),IF(Table1[Date of Last Assessment]="",Table1[Managing Money and Personal Administration],Table1[Managing Money and Personal Administration2]),"")))</f>
        <v/>
      </c>
      <c r="FN363" s="44" t="str">
        <f>IF(Table1[Leaving Date]="","",IF(Table1[Date of Initial Assessment]="","",IF(AND(Table1[Leaving Date]&gt;42094,Table1[Leaving Date]&lt;42461),IF(Table1[Date of Last Assessment]="",Table1[Social Networks and Relationships],Table1[Social Networks and Relationships2]),"")))</f>
        <v/>
      </c>
      <c r="FO363" s="44" t="str">
        <f>IF(Table1[Leaving Date]="","",IF(Table1[Date of Initial Assessment]="","",IF(AND(Table1[Leaving Date]&gt;42094,Table1[Leaving Date]&lt;42461),IF(Table1[Date of Last Assessment]="",Table1[Drug and Alcohol Misuse],Table1[Drug and Alcohol Misuse2]),"")))</f>
        <v/>
      </c>
      <c r="FP363" s="44" t="str">
        <f>IF(Table1[Leaving Date]="","",IF(Table1[Date of Initial Assessment]="","",IF(AND(Table1[Leaving Date]&gt;42094,Table1[Leaving Date]&lt;42461),IF(Table1[Date of Last Assessment]="",Table1[Physical Health],Table1[Physical Health2]),"")))</f>
        <v/>
      </c>
      <c r="FQ363" s="44" t="str">
        <f>IF(Table1[Leaving Date]="","",IF(Table1[Date of Initial Assessment]="","",IF(AND(Table1[Leaving Date]&gt;42094,Table1[Leaving Date]&lt;42461),IF(Table1[Date of Last Assessment]="",Table1[Emotional and Mental Health],Table1[Emotional and Mental Health2]),"")))</f>
        <v/>
      </c>
      <c r="FR363" s="44" t="str">
        <f>IF(Table1[Leaving Date]="","",IF(Table1[Date of Initial Assessment]="","",IF(AND(Table1[Leaving Date]&gt;42094,Table1[Leaving Date]&lt;42461),IF(Table1[Date of Last Assessment]="",Table1[Meaningful Use of Time],Table1[Meaningful Use of Time2]),"")))</f>
        <v/>
      </c>
      <c r="FS363" s="44" t="str">
        <f>IF(Table1[Leaving Date]="","",IF(Table1[Date of Initial Assessment]="","",IF(AND(Table1[Leaving Date]&gt;42094,Table1[Leaving Date]&lt;42461),IF(Table1[Date of Last Assessment]="",Table1[Managing Tenancy and Accommodation],Table1[Managing Tenancy and Accommodation2]),"")))</f>
        <v/>
      </c>
      <c r="FT363" s="44" t="str">
        <f>IF(Table1[Leaving Date]="","",IF(Table1[Date of Initial Assessment]="","",IF(AND(Table1[Leaving Date]&gt;42094,Table1[Leaving Date]&lt;42461),IF(Table1[Date of Last Assessment]="",Table1[Offending],Table1[Offending2]),"")))</f>
        <v/>
      </c>
      <c r="FU363" s="44" t="str">
        <f>IF(Table1[Date of Initial Assessment]="","",IF(AND(Table1[Start Date]&gt;42460,Table1[Start Date]&lt;42826),Table1[Motivation and Taking Responsibility],""))</f>
        <v/>
      </c>
      <c r="FV363" s="44" t="str">
        <f>IF(Table1[Date of Initial Assessment]="","",IF(AND(Table1[Start Date]&gt;42460,Table1[Start Date]&lt;42826),Table1[Self-Care and Living Skills],""))</f>
        <v/>
      </c>
      <c r="FW363" s="44" t="str">
        <f>IF(Table1[Date of Initial Assessment]="","",IF(AND(Table1[Start Date]&gt;42460,Table1[Start Date]&lt;42826),Table1[Managing Money and Personal Administration],""))</f>
        <v/>
      </c>
      <c r="FX363" s="44" t="str">
        <f>IF(Table1[Date of Initial Assessment]="","",IF(AND(Table1[Start Date]&gt;42460,Table1[Start Date]&lt;42826),Table1[Social Networks and Relationships],""))</f>
        <v/>
      </c>
      <c r="FY363" s="44" t="str">
        <f>IF(Table1[Date of Initial Assessment]="","",IF(AND(Table1[Start Date]&gt;42460,Table1[Start Date]&lt;42826),Table1[Drug and Alcohol Misuse],""))</f>
        <v/>
      </c>
      <c r="FZ363" s="44" t="str">
        <f>IF(Table1[Date of Initial Assessment]="","",IF(AND(Table1[Start Date]&gt;42460,Table1[Start Date]&lt;42826),Table1[Physical Health],""))</f>
        <v/>
      </c>
      <c r="GA363" s="44" t="str">
        <f>IF(Table1[Date of Initial Assessment]="","",IF(AND(Table1[Start Date]&gt;42460,Table1[Start Date]&lt;42826),Table1[Emotional and Mental Health],""))</f>
        <v/>
      </c>
      <c r="GB363" s="44" t="str">
        <f>IF(Table1[Date of Initial Assessment]="","",IF(AND(Table1[Start Date]&gt;42460,Table1[Start Date]&lt;42826),Table1[Meaningful Use of Time],""))</f>
        <v/>
      </c>
      <c r="GC363" s="44" t="str">
        <f>IF(Table1[Date of Initial Assessment]="","",IF(AND(Table1[Start Date]&gt;42460,Table1[Start Date]&lt;42826),Table1[Managing Tenancy and Accommodation],""))</f>
        <v/>
      </c>
      <c r="GD363" s="44" t="str">
        <f>IF(Table1[Date of Initial Assessment]="","",IF(AND(Table1[Start Date]&gt;42460,Table1[Start Date]&lt;42826),Table1[Offending],""))</f>
        <v/>
      </c>
      <c r="GE363" s="44" t="str">
        <f>IF(Table1[Leaving Date]="","",IF(AND(Table1[Leaving Date]&gt;42460,Table1[Leaving Date]&lt;42826),IF(Table1[Date of Last Assessment]="",Table1[Motivation and Taking Responsibility],Table1[Motivation and Taking Responsibility2]),""))</f>
        <v/>
      </c>
      <c r="GF363" s="44" t="str">
        <f>IF(Table1[Leaving Date]="","",IF(AND(Table1[Leaving Date]&gt;42460,Table1[Leaving Date]&lt;42826),IF(Table1[Date of Last Assessment]="",Table1[Self-Care and Living Skills],Table1[Self-Care and Living Skills2]),""))</f>
        <v/>
      </c>
      <c r="GG363" s="44" t="str">
        <f>IF(Table1[Leaving Date]="","",IF(AND(Table1[Leaving Date]&gt;42460,Table1[Leaving Date]&lt;42826),IF(Table1[Date of Last Assessment]="",Table1[Managing Money and Personal Administration],Table1[Managing Money and Personal Administration2]),""))</f>
        <v/>
      </c>
      <c r="GH363" s="44" t="str">
        <f>IF(Table1[Leaving Date]="","",IF(AND(Table1[Leaving Date]&gt;42460,Table1[Leaving Date]&lt;42826),IF(Table1[Date of Last Assessment]="",Table1[Social Networks and Relationships],Table1[Social Networks and Relationships2]),""))</f>
        <v/>
      </c>
      <c r="GI363" s="44" t="str">
        <f>IF(Table1[Leaving Date]="","",IF(AND(Table1[Leaving Date]&gt;42460,Table1[Leaving Date]&lt;42826),IF(Table1[Date of Last Assessment]="",Table1[Drug and Alcohol Misuse],Table1[Drug and Alcohol Misuse2]),""))</f>
        <v/>
      </c>
      <c r="GJ363" s="44" t="str">
        <f>IF(Table1[Leaving Date]="","",IF(AND(Table1[Leaving Date]&gt;42460,Table1[Leaving Date]&lt;42826),IF(Table1[Date of Last Assessment]="",Table1[Physical Health],Table1[Physical Health2]),""))</f>
        <v/>
      </c>
      <c r="GK363" s="44" t="str">
        <f>IF(Table1[Leaving Date]="","",IF(AND(Table1[Leaving Date]&gt;42460,Table1[Leaving Date]&lt;42826),IF(Table1[Date of Last Assessment]="",Table1[Emotional and Mental Health],Table1[Emotional and Mental Health2]),""))</f>
        <v/>
      </c>
      <c r="GL363" s="44" t="str">
        <f>IF(Table1[Leaving Date]="","",IF(AND(Table1[Leaving Date]&gt;42460,Table1[Leaving Date]&lt;42826),IF(Table1[Date of Last Assessment]="",Table1[Meaningful Use of Time],Table1[Meaningful Use of Time2]),""))</f>
        <v/>
      </c>
      <c r="GM363" s="44" t="str">
        <f>IF(Table1[Leaving Date]="","",IF(AND(Table1[Leaving Date]&gt;42460,Table1[Leaving Date]&lt;42826),IF(Table1[Date of Last Assessment]="",Table1[Managing Tenancy and Accommodation],Table1[Managing Tenancy and Accommodation2]),""))</f>
        <v/>
      </c>
      <c r="GN363" s="44" t="str">
        <f>IF(Table1[Leaving Date]="","",IF(AND(Table1[Leaving Date]&gt;42460,Table1[Leaving Date]&lt;42826),IF(Table1[Date of Last Assessment]="",Table1[Offending],Table1[Offending2]),""))</f>
        <v/>
      </c>
    </row>
    <row r="364" spans="2:196" ht="20.100000000000001" customHeight="1" x14ac:dyDescent="0.2">
      <c r="B364" s="86">
        <f>+'Service Data'!$C$5:$C$5</f>
        <v>0</v>
      </c>
      <c r="C364" s="86"/>
      <c r="D364" s="86"/>
      <c r="E364" s="86"/>
      <c r="F364" s="86"/>
      <c r="G364" s="86"/>
      <c r="H364" s="6"/>
      <c r="I364" s="99" t="str">
        <f ca="1">IF(Table1[[#This Row],[Date of Birth]]="","",SUM(TODAY()-Table1[[#This Row],[Date of Birth]])/365)</f>
        <v/>
      </c>
      <c r="L364" s="86"/>
      <c r="M364" s="77"/>
      <c r="N364" s="86"/>
      <c r="O364" s="86"/>
      <c r="P364" s="91"/>
      <c r="Q364" s="86"/>
      <c r="R364" s="77"/>
      <c r="S364" s="77"/>
      <c r="T364" s="68"/>
      <c r="U364" s="68"/>
      <c r="V364" s="67"/>
      <c r="W364" s="67"/>
      <c r="X364" s="67"/>
      <c r="Y364" s="67"/>
      <c r="Z364" s="67"/>
      <c r="AA364" s="67"/>
      <c r="AB364" s="67"/>
      <c r="AC364" s="67"/>
      <c r="AD364" s="67"/>
      <c r="AE364" s="67"/>
      <c r="AF364" s="67"/>
      <c r="AG364" s="67"/>
      <c r="AH364" s="67"/>
      <c r="AI364" s="67"/>
      <c r="AJ364" s="67"/>
      <c r="AK364" s="67"/>
      <c r="AL364" s="67"/>
      <c r="AM364" s="67"/>
      <c r="AN364" s="77"/>
      <c r="AO364" s="76"/>
      <c r="AP364" s="77"/>
      <c r="AQ364" s="76"/>
      <c r="AR364" s="76"/>
      <c r="AS364" s="76"/>
      <c r="AT364" s="76"/>
      <c r="AU364" s="76"/>
      <c r="AV364" s="77"/>
      <c r="AW364" s="76"/>
      <c r="AX364" s="77"/>
      <c r="AY364" s="76"/>
      <c r="AZ364" s="76"/>
      <c r="BA364" s="76"/>
      <c r="BB364" s="76"/>
      <c r="BC364" s="76"/>
      <c r="BD364" s="77"/>
      <c r="BE364" s="76"/>
      <c r="BF364" s="77"/>
      <c r="BG364" s="76"/>
      <c r="BH364" s="76"/>
      <c r="BI364" s="76"/>
      <c r="BJ364" s="76"/>
      <c r="BK364" s="76"/>
      <c r="BL364" s="77"/>
      <c r="BM364" s="76"/>
      <c r="BN364" s="77"/>
      <c r="BO364" s="76"/>
      <c r="BP364" s="76"/>
      <c r="BQ364" s="76"/>
      <c r="BR364" s="76"/>
      <c r="BS364" s="76"/>
      <c r="BT364" s="77"/>
      <c r="BU364" s="76"/>
      <c r="BV364" s="77"/>
      <c r="BW364" s="76"/>
      <c r="BX364" s="76"/>
      <c r="BY364" s="76"/>
      <c r="BZ364" s="76"/>
      <c r="CA364" s="76"/>
      <c r="CB364" s="77"/>
      <c r="CC364" s="76"/>
      <c r="CD364" s="77"/>
      <c r="CE364" s="76"/>
      <c r="CF364" s="76"/>
      <c r="CG364" s="76"/>
      <c r="CH364" s="76"/>
      <c r="CI364" s="76"/>
      <c r="CJ364" s="77"/>
      <c r="CK364" s="76"/>
      <c r="CL364" s="77"/>
      <c r="CM364" s="76"/>
      <c r="CN364" s="76"/>
      <c r="CO364" s="76"/>
      <c r="CP364" s="76"/>
      <c r="CQ364" s="76"/>
      <c r="CR364" s="78" t="str">
        <f t="shared" si="95"/>
        <v/>
      </c>
      <c r="CS364" s="79" t="str">
        <f t="shared" si="96"/>
        <v/>
      </c>
      <c r="CT364" s="79" t="str">
        <f t="shared" si="97"/>
        <v/>
      </c>
      <c r="CU364" s="79" t="str">
        <f t="shared" si="98"/>
        <v/>
      </c>
      <c r="CV364" s="79" t="str">
        <f t="shared" si="99"/>
        <v/>
      </c>
      <c r="CW364" s="79" t="str">
        <f t="shared" si="100"/>
        <v/>
      </c>
      <c r="CX364" s="79" t="str">
        <f t="shared" si="101"/>
        <v/>
      </c>
      <c r="CY364" s="79" t="str">
        <f t="shared" si="102"/>
        <v/>
      </c>
      <c r="CZ364" s="79" t="str">
        <f t="shared" si="103"/>
        <v/>
      </c>
      <c r="DA364" s="79" t="str">
        <f t="shared" si="104"/>
        <v/>
      </c>
      <c r="DB364" s="79" t="str">
        <f t="shared" si="105"/>
        <v/>
      </c>
      <c r="DC364" s="79" t="str">
        <f t="shared" si="106"/>
        <v/>
      </c>
      <c r="DD364" s="79" t="str">
        <f t="shared" si="107"/>
        <v/>
      </c>
      <c r="DE364" s="79" t="str">
        <f t="shared" si="108"/>
        <v/>
      </c>
      <c r="DF364" s="79" t="str">
        <f t="shared" si="109"/>
        <v/>
      </c>
      <c r="DG364" s="79" t="str">
        <f t="shared" si="110"/>
        <v/>
      </c>
      <c r="DH364" s="76"/>
      <c r="DI364" s="78"/>
      <c r="DJ364" s="76"/>
      <c r="DK364" s="77"/>
      <c r="DL364" s="77"/>
      <c r="DM364" s="77"/>
      <c r="DN364" s="80"/>
      <c r="DO364" s="80"/>
      <c r="DP364" s="92" t="str">
        <f>IF(Table1[Start Date]="","",IF(Table1[Start Date]&gt;42185,"",IF(AND(Table1[Leaving Date]&gt;1,Table1[Leaving Date]&lt;42095),"",1)))</f>
        <v/>
      </c>
      <c r="DQ364" s="92" t="str">
        <f>IF(Table1[Start Date]="","",IF(Table1[Start Date]&gt;42277,"",IF(AND(Table1[Leaving Date]&gt;1,Table1[Leaving Date]&lt;42186),"",1)))</f>
        <v/>
      </c>
      <c r="DR364" s="92" t="str">
        <f>IF(Table1[Start Date]="","",IF(Table1[Start Date]&gt;42369,"",IF(AND(Table1[Leaving Date]&gt;1,Table1[Leaving Date]&lt;42278),"",1)))</f>
        <v/>
      </c>
      <c r="DS364" s="92" t="str">
        <f>IF(Table1[Start Date]="","",IF(Table1[Start Date]&gt;42460,"",IF(AND(Table1[Leaving Date]&gt;1,Table1[Leaving Date]&lt;42370),"",1)))</f>
        <v/>
      </c>
      <c r="DT364" s="92" t="str">
        <f>IF(Table1[Start Date]="","",IF(Table1[Start Date]&gt;42551,"",IF(AND(Table1[Leaving Date]&gt;1,Table1[Leaving Date]&lt;42461),"",1)))</f>
        <v/>
      </c>
      <c r="DU364" s="92" t="str">
        <f>IF(Table1[Start Date]="","",IF(Table1[Start Date]&gt;42643,"",IF(AND(Table1[Leaving Date]&gt;1,Table1[Leaving Date]&lt;42552),"",1)))</f>
        <v/>
      </c>
      <c r="DV364" s="92" t="str">
        <f>IF(Table1[Start Date]="","",IF(Table1[Start Date]&gt;42735,"",IF(AND(Table1[Leaving Date]&gt;1,Table1[Leaving Date]&lt;42644),"",1)))</f>
        <v/>
      </c>
      <c r="DW364" s="92" t="str">
        <f>IF(Table1[Start Date]="","",IF(Table1[Start Date]&gt;42825,"",IF(AND(Table1[Leaving Date]&gt;1,Table1[Leaving Date]&lt;42736),"",1)))</f>
        <v/>
      </c>
      <c r="DX364"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364" s="44" t="e">
        <f>VLOOKUP(Table1[Referral Source],Lists!$G$2:$H$20,2,FALSE)</f>
        <v>#N/A</v>
      </c>
      <c r="DZ364" s="93" t="e">
        <f>SUM(Table1[Data Referral Quarter]+Table1[Data Referral Source])</f>
        <v>#N/A</v>
      </c>
      <c r="EA364" s="44" t="b">
        <f>IF(Table1[Referral Decision]="Accepted",100,IF(Table1[Referral Decision]="Rejected by Provider",200,IF(Table1[Referral Decision]="Rejected by Applicant",300)))</f>
        <v>0</v>
      </c>
      <c r="EB364" s="44">
        <f>SUM(Table1[Data Referral Quarter]+Table1[Data Referral Decision])</f>
        <v>0</v>
      </c>
      <c r="EC364" s="44" t="b">
        <f>IF(Table1[Start Date]&gt;42735,8000,IF(Table1[Start Date]&gt;42643,7000,IF(Table1[Start Date]&gt;42551,6000,IF(Table1[Start Date]&gt;42460,5000,IF(Table1[Start Date]&gt;42369,4000,IF(Table1[Start Date]&gt;42277,3000,IF(Table1[Start Date]&gt;42185,2000,IF(Table1[Start Date]&gt;42094,1000))))))))</f>
        <v>0</v>
      </c>
      <c r="ED364" s="44" t="str">
        <f>IF(Table1[Start Date]="","",IF(Table1[Current Local Authority]="Swindon",1,"2"))</f>
        <v/>
      </c>
      <c r="EE364" s="44" t="e">
        <f>SUM(Table1[Data Start Date]+Table1[Data Local Authority])</f>
        <v>#VALUE!</v>
      </c>
      <c r="EF364" s="44">
        <f>IF(Table1[Registered with GP]="Yes",1,0)</f>
        <v>0</v>
      </c>
      <c r="EG364" s="44">
        <f>SUM(Table1[Data Start Date]+Table1[Data GP Start])</f>
        <v>0</v>
      </c>
      <c r="EH364" s="44" t="str">
        <f>IF(Table1[EET]="NEET",1,IF(Table1[EET]="Education",2,IF(Table1[EET]="Employment",2,IF(Table1[EET]="Training",2,IF(Table1[EET]="Retired",3,"")))))</f>
        <v/>
      </c>
      <c r="EI364" s="44" t="e">
        <f>Table1[Data Start Date]+Table1[Data EET Start]</f>
        <v>#VALUE!</v>
      </c>
      <c r="EJ364" s="44" t="b">
        <f>IF(Table1[Leaving Date]&gt;42735,8000,IF(Table1[Leaving Date]&gt;42643,7000,IF(Table1[Leaving Date]&gt;42551,6000,IF(Table1[Leaving Date]&gt;42460,5000,IF(Table1[Leaving Date]&gt;42369,4000,IF(Table1[Leaving Date]&gt;42277,3000,IF(Table1[Leaving Date]&gt;42185,2000,IF(Table1[Leaving Date]&gt;42094,1000))))))))</f>
        <v>0</v>
      </c>
      <c r="EK364" s="44" t="e">
        <f>VLOOKUP(Table1[Reason for Leaving],Lists!$T$2:$U$15,2,FALSE)</f>
        <v>#N/A</v>
      </c>
      <c r="EL364" s="44" t="e">
        <f>SUM(Table1[Data Leavers Date]+Table1[Data Move On])</f>
        <v>#N/A</v>
      </c>
      <c r="EM364" s="44" t="b">
        <f>IF(Table1[Registered with GP2]="Yes",1,IF(Table1[Registered with GP2]="No",0,IF(Table1[Registered with GP]="Yes",1,IF(Table1[Registered with GP]="No",0))))</f>
        <v>0</v>
      </c>
      <c r="EN364" s="44">
        <f>SUM(Table1[Data Leavers Date]+Table1[Data GP End])</f>
        <v>0</v>
      </c>
      <c r="EO364" s="44" t="str">
        <f>IF(Table1[EET2]="NEET",1,IF(Table1[EET2]="Employment",2,IF(Table1[EET2]="Education",2,IF(Table1[EET2]="Training",2,IF(Table1[EET2]="Retired",3,IF(Table1[EET]="NEET",1,IF(Table1[EET]="Employment",2,IF(Table1[EET]="Education",2,IF(Table1[EET]="Training",2,IF(Table1[EET]="Retired",3,""))))))))))</f>
        <v/>
      </c>
      <c r="EP364" s="44" t="e">
        <f>+Table1[[#This Row],[Data Leavers Date]]+Table1[[#This Row],[Data EET End]]</f>
        <v>#VALUE!</v>
      </c>
      <c r="EQ364" s="44">
        <f>IF(Table1[Exit Form Received]="Yes",1,0)</f>
        <v>0</v>
      </c>
      <c r="ER364" s="44">
        <f>+Table1[[#This Row],[Data Leavers Date]]+Table1[[#This Row],[Data Exit Forms]]</f>
        <v>0</v>
      </c>
      <c r="ES364" s="44" t="str">
        <f>IF(Table1[Data Leavers Date]=1000,SUM(Table1[Leaving Date]-Table1[Start Date]),"")</f>
        <v/>
      </c>
      <c r="ET364" s="44" t="str">
        <f>IF(Table1[Data Leavers Date]=2000,SUM(Table1[Leaving Date]-Table1[Start Date]),"")</f>
        <v/>
      </c>
      <c r="EU364" s="44" t="str">
        <f>IF(Table1[Data Leavers Date]=3000,SUM(Table1[Leaving Date]-Table1[Start Date]),"")</f>
        <v/>
      </c>
      <c r="EV364" s="44" t="str">
        <f>IF(Table1[Data Leavers Date]=4000,SUM(Table1[Leaving Date]-Table1[Start Date]),"")</f>
        <v/>
      </c>
      <c r="EW364" s="44" t="str">
        <f>IF(Table1[Data Leavers Date]=5000,SUM(Table1[Leaving Date]-Table1[Start Date]),"")</f>
        <v/>
      </c>
      <c r="EX364" s="44" t="str">
        <f>IF(Table1[Data Leavers Date]=6000,SUM(Table1[Leaving Date]-Table1[Start Date]),"")</f>
        <v/>
      </c>
      <c r="EY364" s="44" t="str">
        <f>IF(Table1[Data Leavers Date]=7000,SUM(Table1[Leaving Date]-Table1[Start Date]),"")</f>
        <v/>
      </c>
      <c r="EZ364" s="44" t="str">
        <f>IF(Table1[Data Leavers Date]=8000,SUM(Table1[Leaving Date]-Table1[Start Date]),"")</f>
        <v/>
      </c>
      <c r="FA364" s="44" t="str">
        <f>IF(Table1[Date of Initial Assessment]="","",IF(AND(Table1[Start Date]&gt;42094,Table1[Start Date]&lt;42461),Table1[Motivation and Taking Responsibility],""))</f>
        <v/>
      </c>
      <c r="FB364" s="44" t="str">
        <f>IF(Table1[Date of Initial Assessment]="","",IF(AND(Table1[Start Date]&gt;42094,Table1[Start Date]&lt;42461),Table1[Self-Care and Living Skills],""))</f>
        <v/>
      </c>
      <c r="FC364" s="44" t="str">
        <f>IF(Table1[Date of Initial Assessment]="","",IF(AND(Table1[Start Date]&gt;42094,Table1[Start Date]&lt;42461),Table1[Managing Money and Personal Administration],""))</f>
        <v/>
      </c>
      <c r="FD364" s="44" t="str">
        <f>IF(Table1[Date of Initial Assessment]="","",IF(AND(Table1[Start Date]&gt;42094,Table1[Start Date]&lt;42461),Table1[Social Networks and Relationships],""))</f>
        <v/>
      </c>
      <c r="FE364" s="44" t="str">
        <f>IF(Table1[Date of Initial Assessment]="","",IF(AND(Table1[Start Date]&gt;42094,Table1[Start Date]&lt;42461),Table1[Drug and Alcohol Misuse],""))</f>
        <v/>
      </c>
      <c r="FF364" s="44" t="str">
        <f>IF(Table1[Date of Initial Assessment]="","",IF(AND(Table1[Start Date]&gt;42094,Table1[Start Date]&lt;42461),Table1[Physical Health],""))</f>
        <v/>
      </c>
      <c r="FG364" s="44" t="str">
        <f>IF(Table1[Date of Initial Assessment]="","",IF(AND(Table1[Start Date]&gt;42094,Table1[Start Date]&lt;42461),Table1[Emotional and Mental Health],""))</f>
        <v/>
      </c>
      <c r="FH364" s="44" t="str">
        <f>IF(Table1[Date of Initial Assessment]="","",IF(AND(Table1[Start Date]&gt;42094,Table1[Start Date]&lt;42461),Table1[Meaningful Use of Time],""))</f>
        <v/>
      </c>
      <c r="FI364" s="44" t="str">
        <f>IF(Table1[Date of Initial Assessment]="","",IF(AND(Table1[Start Date]&gt;42094,Table1[Start Date]&lt;42461),Table1[Managing Tenancy and Accommodation],""))</f>
        <v/>
      </c>
      <c r="FJ364" s="44" t="str">
        <f>IF(Table1[Date of Initial Assessment]="","",IF(AND(Table1[Start Date]&gt;42094,Table1[Start Date]&lt;42461),Table1[Offending],""))</f>
        <v/>
      </c>
      <c r="FK364" s="44" t="str">
        <f>IF(Table1[Leaving Date]="","",IF(Table1[Date of Initial Assessment]="","",IF(AND(Table1[Leaving Date]&gt;42094,Table1[Leaving Date]&lt;42461),IF(Table1[Date of Last Assessment]="",Table1[Motivation and Taking Responsibility],Table1[Motivation and Taking Responsibility2]),"")))</f>
        <v/>
      </c>
      <c r="FL364" s="44" t="str">
        <f>IF(Table1[Leaving Date]="","",IF(Table1[Date of Initial Assessment]="","",IF(AND(Table1[Leaving Date]&gt;42094,Table1[Leaving Date]&lt;42461),IF(Table1[Date of Last Assessment]="",Table1[Self-Care and Living Skills],Table1[Self-Care and Living Skills2]),"")))</f>
        <v/>
      </c>
      <c r="FM364" s="44" t="str">
        <f>IF(Table1[Leaving Date]="","",IF(Table1[Date of Initial Assessment]="","",IF(AND(Table1[Leaving Date]&gt;42094,Table1[Leaving Date]&lt;42461),IF(Table1[Date of Last Assessment]="",Table1[Managing Money and Personal Administration],Table1[Managing Money and Personal Administration2]),"")))</f>
        <v/>
      </c>
      <c r="FN364" s="44" t="str">
        <f>IF(Table1[Leaving Date]="","",IF(Table1[Date of Initial Assessment]="","",IF(AND(Table1[Leaving Date]&gt;42094,Table1[Leaving Date]&lt;42461),IF(Table1[Date of Last Assessment]="",Table1[Social Networks and Relationships],Table1[Social Networks and Relationships2]),"")))</f>
        <v/>
      </c>
      <c r="FO364" s="44" t="str">
        <f>IF(Table1[Leaving Date]="","",IF(Table1[Date of Initial Assessment]="","",IF(AND(Table1[Leaving Date]&gt;42094,Table1[Leaving Date]&lt;42461),IF(Table1[Date of Last Assessment]="",Table1[Drug and Alcohol Misuse],Table1[Drug and Alcohol Misuse2]),"")))</f>
        <v/>
      </c>
      <c r="FP364" s="44" t="str">
        <f>IF(Table1[Leaving Date]="","",IF(Table1[Date of Initial Assessment]="","",IF(AND(Table1[Leaving Date]&gt;42094,Table1[Leaving Date]&lt;42461),IF(Table1[Date of Last Assessment]="",Table1[Physical Health],Table1[Physical Health2]),"")))</f>
        <v/>
      </c>
      <c r="FQ364" s="44" t="str">
        <f>IF(Table1[Leaving Date]="","",IF(Table1[Date of Initial Assessment]="","",IF(AND(Table1[Leaving Date]&gt;42094,Table1[Leaving Date]&lt;42461),IF(Table1[Date of Last Assessment]="",Table1[Emotional and Mental Health],Table1[Emotional and Mental Health2]),"")))</f>
        <v/>
      </c>
      <c r="FR364" s="44" t="str">
        <f>IF(Table1[Leaving Date]="","",IF(Table1[Date of Initial Assessment]="","",IF(AND(Table1[Leaving Date]&gt;42094,Table1[Leaving Date]&lt;42461),IF(Table1[Date of Last Assessment]="",Table1[Meaningful Use of Time],Table1[Meaningful Use of Time2]),"")))</f>
        <v/>
      </c>
      <c r="FS364" s="44" t="str">
        <f>IF(Table1[Leaving Date]="","",IF(Table1[Date of Initial Assessment]="","",IF(AND(Table1[Leaving Date]&gt;42094,Table1[Leaving Date]&lt;42461),IF(Table1[Date of Last Assessment]="",Table1[Managing Tenancy and Accommodation],Table1[Managing Tenancy and Accommodation2]),"")))</f>
        <v/>
      </c>
      <c r="FT364" s="44" t="str">
        <f>IF(Table1[Leaving Date]="","",IF(Table1[Date of Initial Assessment]="","",IF(AND(Table1[Leaving Date]&gt;42094,Table1[Leaving Date]&lt;42461),IF(Table1[Date of Last Assessment]="",Table1[Offending],Table1[Offending2]),"")))</f>
        <v/>
      </c>
      <c r="FU364" s="44" t="str">
        <f>IF(Table1[Date of Initial Assessment]="","",IF(AND(Table1[Start Date]&gt;42460,Table1[Start Date]&lt;42826),Table1[Motivation and Taking Responsibility],""))</f>
        <v/>
      </c>
      <c r="FV364" s="44" t="str">
        <f>IF(Table1[Date of Initial Assessment]="","",IF(AND(Table1[Start Date]&gt;42460,Table1[Start Date]&lt;42826),Table1[Self-Care and Living Skills],""))</f>
        <v/>
      </c>
      <c r="FW364" s="44" t="str">
        <f>IF(Table1[Date of Initial Assessment]="","",IF(AND(Table1[Start Date]&gt;42460,Table1[Start Date]&lt;42826),Table1[Managing Money and Personal Administration],""))</f>
        <v/>
      </c>
      <c r="FX364" s="44" t="str">
        <f>IF(Table1[Date of Initial Assessment]="","",IF(AND(Table1[Start Date]&gt;42460,Table1[Start Date]&lt;42826),Table1[Social Networks and Relationships],""))</f>
        <v/>
      </c>
      <c r="FY364" s="44" t="str">
        <f>IF(Table1[Date of Initial Assessment]="","",IF(AND(Table1[Start Date]&gt;42460,Table1[Start Date]&lt;42826),Table1[Drug and Alcohol Misuse],""))</f>
        <v/>
      </c>
      <c r="FZ364" s="44" t="str">
        <f>IF(Table1[Date of Initial Assessment]="","",IF(AND(Table1[Start Date]&gt;42460,Table1[Start Date]&lt;42826),Table1[Physical Health],""))</f>
        <v/>
      </c>
      <c r="GA364" s="44" t="str">
        <f>IF(Table1[Date of Initial Assessment]="","",IF(AND(Table1[Start Date]&gt;42460,Table1[Start Date]&lt;42826),Table1[Emotional and Mental Health],""))</f>
        <v/>
      </c>
      <c r="GB364" s="44" t="str">
        <f>IF(Table1[Date of Initial Assessment]="","",IF(AND(Table1[Start Date]&gt;42460,Table1[Start Date]&lt;42826),Table1[Meaningful Use of Time],""))</f>
        <v/>
      </c>
      <c r="GC364" s="44" t="str">
        <f>IF(Table1[Date of Initial Assessment]="","",IF(AND(Table1[Start Date]&gt;42460,Table1[Start Date]&lt;42826),Table1[Managing Tenancy and Accommodation],""))</f>
        <v/>
      </c>
      <c r="GD364" s="44" t="str">
        <f>IF(Table1[Date of Initial Assessment]="","",IF(AND(Table1[Start Date]&gt;42460,Table1[Start Date]&lt;42826),Table1[Offending],""))</f>
        <v/>
      </c>
      <c r="GE364" s="44" t="str">
        <f>IF(Table1[Leaving Date]="","",IF(AND(Table1[Leaving Date]&gt;42460,Table1[Leaving Date]&lt;42826),IF(Table1[Date of Last Assessment]="",Table1[Motivation and Taking Responsibility],Table1[Motivation and Taking Responsibility2]),""))</f>
        <v/>
      </c>
      <c r="GF364" s="44" t="str">
        <f>IF(Table1[Leaving Date]="","",IF(AND(Table1[Leaving Date]&gt;42460,Table1[Leaving Date]&lt;42826),IF(Table1[Date of Last Assessment]="",Table1[Self-Care and Living Skills],Table1[Self-Care and Living Skills2]),""))</f>
        <v/>
      </c>
      <c r="GG364" s="44" t="str">
        <f>IF(Table1[Leaving Date]="","",IF(AND(Table1[Leaving Date]&gt;42460,Table1[Leaving Date]&lt;42826),IF(Table1[Date of Last Assessment]="",Table1[Managing Money and Personal Administration],Table1[Managing Money and Personal Administration2]),""))</f>
        <v/>
      </c>
      <c r="GH364" s="44" t="str">
        <f>IF(Table1[Leaving Date]="","",IF(AND(Table1[Leaving Date]&gt;42460,Table1[Leaving Date]&lt;42826),IF(Table1[Date of Last Assessment]="",Table1[Social Networks and Relationships],Table1[Social Networks and Relationships2]),""))</f>
        <v/>
      </c>
      <c r="GI364" s="44" t="str">
        <f>IF(Table1[Leaving Date]="","",IF(AND(Table1[Leaving Date]&gt;42460,Table1[Leaving Date]&lt;42826),IF(Table1[Date of Last Assessment]="",Table1[Drug and Alcohol Misuse],Table1[Drug and Alcohol Misuse2]),""))</f>
        <v/>
      </c>
      <c r="GJ364" s="44" t="str">
        <f>IF(Table1[Leaving Date]="","",IF(AND(Table1[Leaving Date]&gt;42460,Table1[Leaving Date]&lt;42826),IF(Table1[Date of Last Assessment]="",Table1[Physical Health],Table1[Physical Health2]),""))</f>
        <v/>
      </c>
      <c r="GK364" s="44" t="str">
        <f>IF(Table1[Leaving Date]="","",IF(AND(Table1[Leaving Date]&gt;42460,Table1[Leaving Date]&lt;42826),IF(Table1[Date of Last Assessment]="",Table1[Emotional and Mental Health],Table1[Emotional and Mental Health2]),""))</f>
        <v/>
      </c>
      <c r="GL364" s="44" t="str">
        <f>IF(Table1[Leaving Date]="","",IF(AND(Table1[Leaving Date]&gt;42460,Table1[Leaving Date]&lt;42826),IF(Table1[Date of Last Assessment]="",Table1[Meaningful Use of Time],Table1[Meaningful Use of Time2]),""))</f>
        <v/>
      </c>
      <c r="GM364" s="44" t="str">
        <f>IF(Table1[Leaving Date]="","",IF(AND(Table1[Leaving Date]&gt;42460,Table1[Leaving Date]&lt;42826),IF(Table1[Date of Last Assessment]="",Table1[Managing Tenancy and Accommodation],Table1[Managing Tenancy and Accommodation2]),""))</f>
        <v/>
      </c>
      <c r="GN364" s="44" t="str">
        <f>IF(Table1[Leaving Date]="","",IF(AND(Table1[Leaving Date]&gt;42460,Table1[Leaving Date]&lt;42826),IF(Table1[Date of Last Assessment]="",Table1[Offending],Table1[Offending2]),""))</f>
        <v/>
      </c>
    </row>
    <row r="365" spans="2:196" ht="20.100000000000001" customHeight="1" x14ac:dyDescent="0.2">
      <c r="B365" s="86">
        <f>+'Service Data'!$C$5:$C$5</f>
        <v>0</v>
      </c>
      <c r="C365" s="86"/>
      <c r="D365" s="86"/>
      <c r="E365" s="86"/>
      <c r="F365" s="86"/>
      <c r="G365" s="86"/>
      <c r="H365" s="6"/>
      <c r="I365" s="99" t="str">
        <f ca="1">IF(Table1[[#This Row],[Date of Birth]]="","",SUM(TODAY()-Table1[[#This Row],[Date of Birth]])/365)</f>
        <v/>
      </c>
      <c r="L365" s="86"/>
      <c r="M365" s="77"/>
      <c r="N365" s="86"/>
      <c r="O365" s="86"/>
      <c r="P365" s="91"/>
      <c r="Q365" s="86"/>
      <c r="R365" s="77"/>
      <c r="S365" s="77"/>
      <c r="T365" s="68"/>
      <c r="U365" s="68"/>
      <c r="V365" s="67"/>
      <c r="W365" s="67"/>
      <c r="X365" s="67"/>
      <c r="Y365" s="67"/>
      <c r="Z365" s="67"/>
      <c r="AA365" s="67"/>
      <c r="AB365" s="67"/>
      <c r="AC365" s="67"/>
      <c r="AD365" s="67"/>
      <c r="AE365" s="67"/>
      <c r="AF365" s="67"/>
      <c r="AG365" s="67"/>
      <c r="AH365" s="67"/>
      <c r="AI365" s="67"/>
      <c r="AJ365" s="67"/>
      <c r="AK365" s="67"/>
      <c r="AL365" s="67"/>
      <c r="AM365" s="67"/>
      <c r="AN365" s="77"/>
      <c r="AO365" s="76"/>
      <c r="AP365" s="77"/>
      <c r="AQ365" s="76"/>
      <c r="AR365" s="76"/>
      <c r="AS365" s="76"/>
      <c r="AT365" s="76"/>
      <c r="AU365" s="76"/>
      <c r="AV365" s="77"/>
      <c r="AW365" s="76"/>
      <c r="AX365" s="77"/>
      <c r="AY365" s="76"/>
      <c r="AZ365" s="76"/>
      <c r="BA365" s="76"/>
      <c r="BB365" s="76"/>
      <c r="BC365" s="76"/>
      <c r="BD365" s="77"/>
      <c r="BE365" s="76"/>
      <c r="BF365" s="77"/>
      <c r="BG365" s="76"/>
      <c r="BH365" s="76"/>
      <c r="BI365" s="76"/>
      <c r="BJ365" s="76"/>
      <c r="BK365" s="76"/>
      <c r="BL365" s="77"/>
      <c r="BM365" s="76"/>
      <c r="BN365" s="77"/>
      <c r="BO365" s="76"/>
      <c r="BP365" s="76"/>
      <c r="BQ365" s="76"/>
      <c r="BR365" s="76"/>
      <c r="BS365" s="76"/>
      <c r="BT365" s="77"/>
      <c r="BU365" s="76"/>
      <c r="BV365" s="77"/>
      <c r="BW365" s="76"/>
      <c r="BX365" s="76"/>
      <c r="BY365" s="76"/>
      <c r="BZ365" s="76"/>
      <c r="CA365" s="76"/>
      <c r="CB365" s="77"/>
      <c r="CC365" s="76"/>
      <c r="CD365" s="77"/>
      <c r="CE365" s="76"/>
      <c r="CF365" s="76"/>
      <c r="CG365" s="76"/>
      <c r="CH365" s="76"/>
      <c r="CI365" s="76"/>
      <c r="CJ365" s="77"/>
      <c r="CK365" s="76"/>
      <c r="CL365" s="77"/>
      <c r="CM365" s="76"/>
      <c r="CN365" s="76"/>
      <c r="CO365" s="76"/>
      <c r="CP365" s="76"/>
      <c r="CQ365" s="76"/>
      <c r="CR365" s="78" t="str">
        <f t="shared" si="95"/>
        <v/>
      </c>
      <c r="CS365" s="79" t="str">
        <f t="shared" si="96"/>
        <v/>
      </c>
      <c r="CT365" s="79" t="str">
        <f t="shared" si="97"/>
        <v/>
      </c>
      <c r="CU365" s="79" t="str">
        <f t="shared" si="98"/>
        <v/>
      </c>
      <c r="CV365" s="79" t="str">
        <f t="shared" si="99"/>
        <v/>
      </c>
      <c r="CW365" s="79" t="str">
        <f t="shared" si="100"/>
        <v/>
      </c>
      <c r="CX365" s="79" t="str">
        <f t="shared" si="101"/>
        <v/>
      </c>
      <c r="CY365" s="79" t="str">
        <f t="shared" si="102"/>
        <v/>
      </c>
      <c r="CZ365" s="79" t="str">
        <f t="shared" si="103"/>
        <v/>
      </c>
      <c r="DA365" s="79" t="str">
        <f t="shared" si="104"/>
        <v/>
      </c>
      <c r="DB365" s="79" t="str">
        <f t="shared" si="105"/>
        <v/>
      </c>
      <c r="DC365" s="79" t="str">
        <f t="shared" si="106"/>
        <v/>
      </c>
      <c r="DD365" s="79" t="str">
        <f t="shared" si="107"/>
        <v/>
      </c>
      <c r="DE365" s="79" t="str">
        <f t="shared" si="108"/>
        <v/>
      </c>
      <c r="DF365" s="79" t="str">
        <f t="shared" si="109"/>
        <v/>
      </c>
      <c r="DG365" s="79" t="str">
        <f t="shared" si="110"/>
        <v/>
      </c>
      <c r="DH365" s="76"/>
      <c r="DI365" s="78"/>
      <c r="DJ365" s="76"/>
      <c r="DK365" s="77"/>
      <c r="DL365" s="77"/>
      <c r="DM365" s="77"/>
      <c r="DN365" s="80"/>
      <c r="DO365" s="80"/>
      <c r="DP365" s="92" t="str">
        <f>IF(Table1[Start Date]="","",IF(Table1[Start Date]&gt;42185,"",IF(AND(Table1[Leaving Date]&gt;1,Table1[Leaving Date]&lt;42095),"",1)))</f>
        <v/>
      </c>
      <c r="DQ365" s="92" t="str">
        <f>IF(Table1[Start Date]="","",IF(Table1[Start Date]&gt;42277,"",IF(AND(Table1[Leaving Date]&gt;1,Table1[Leaving Date]&lt;42186),"",1)))</f>
        <v/>
      </c>
      <c r="DR365" s="92" t="str">
        <f>IF(Table1[Start Date]="","",IF(Table1[Start Date]&gt;42369,"",IF(AND(Table1[Leaving Date]&gt;1,Table1[Leaving Date]&lt;42278),"",1)))</f>
        <v/>
      </c>
      <c r="DS365" s="92" t="str">
        <f>IF(Table1[Start Date]="","",IF(Table1[Start Date]&gt;42460,"",IF(AND(Table1[Leaving Date]&gt;1,Table1[Leaving Date]&lt;42370),"",1)))</f>
        <v/>
      </c>
      <c r="DT365" s="92" t="str">
        <f>IF(Table1[Start Date]="","",IF(Table1[Start Date]&gt;42551,"",IF(AND(Table1[Leaving Date]&gt;1,Table1[Leaving Date]&lt;42461),"",1)))</f>
        <v/>
      </c>
      <c r="DU365" s="92" t="str">
        <f>IF(Table1[Start Date]="","",IF(Table1[Start Date]&gt;42643,"",IF(AND(Table1[Leaving Date]&gt;1,Table1[Leaving Date]&lt;42552),"",1)))</f>
        <v/>
      </c>
      <c r="DV365" s="92" t="str">
        <f>IF(Table1[Start Date]="","",IF(Table1[Start Date]&gt;42735,"",IF(AND(Table1[Leaving Date]&gt;1,Table1[Leaving Date]&lt;42644),"",1)))</f>
        <v/>
      </c>
      <c r="DW365" s="92" t="str">
        <f>IF(Table1[Start Date]="","",IF(Table1[Start Date]&gt;42825,"",IF(AND(Table1[Leaving Date]&gt;1,Table1[Leaving Date]&lt;42736),"",1)))</f>
        <v/>
      </c>
      <c r="DX365"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365" s="44" t="e">
        <f>VLOOKUP(Table1[Referral Source],Lists!$G$2:$H$20,2,FALSE)</f>
        <v>#N/A</v>
      </c>
      <c r="DZ365" s="93" t="e">
        <f>SUM(Table1[Data Referral Quarter]+Table1[Data Referral Source])</f>
        <v>#N/A</v>
      </c>
      <c r="EA365" s="44" t="b">
        <f>IF(Table1[Referral Decision]="Accepted",100,IF(Table1[Referral Decision]="Rejected by Provider",200,IF(Table1[Referral Decision]="Rejected by Applicant",300)))</f>
        <v>0</v>
      </c>
      <c r="EB365" s="44">
        <f>SUM(Table1[Data Referral Quarter]+Table1[Data Referral Decision])</f>
        <v>0</v>
      </c>
      <c r="EC365" s="44" t="b">
        <f>IF(Table1[Start Date]&gt;42735,8000,IF(Table1[Start Date]&gt;42643,7000,IF(Table1[Start Date]&gt;42551,6000,IF(Table1[Start Date]&gt;42460,5000,IF(Table1[Start Date]&gt;42369,4000,IF(Table1[Start Date]&gt;42277,3000,IF(Table1[Start Date]&gt;42185,2000,IF(Table1[Start Date]&gt;42094,1000))))))))</f>
        <v>0</v>
      </c>
      <c r="ED365" s="44" t="str">
        <f>IF(Table1[Start Date]="","",IF(Table1[Current Local Authority]="Swindon",1,"2"))</f>
        <v/>
      </c>
      <c r="EE365" s="44" t="e">
        <f>SUM(Table1[Data Start Date]+Table1[Data Local Authority])</f>
        <v>#VALUE!</v>
      </c>
      <c r="EF365" s="44">
        <f>IF(Table1[Registered with GP]="Yes",1,0)</f>
        <v>0</v>
      </c>
      <c r="EG365" s="44">
        <f>SUM(Table1[Data Start Date]+Table1[Data GP Start])</f>
        <v>0</v>
      </c>
      <c r="EH365" s="44" t="str">
        <f>IF(Table1[EET]="NEET",1,IF(Table1[EET]="Education",2,IF(Table1[EET]="Employment",2,IF(Table1[EET]="Training",2,IF(Table1[EET]="Retired",3,"")))))</f>
        <v/>
      </c>
      <c r="EI365" s="44" t="e">
        <f>Table1[Data Start Date]+Table1[Data EET Start]</f>
        <v>#VALUE!</v>
      </c>
      <c r="EJ365" s="44" t="b">
        <f>IF(Table1[Leaving Date]&gt;42735,8000,IF(Table1[Leaving Date]&gt;42643,7000,IF(Table1[Leaving Date]&gt;42551,6000,IF(Table1[Leaving Date]&gt;42460,5000,IF(Table1[Leaving Date]&gt;42369,4000,IF(Table1[Leaving Date]&gt;42277,3000,IF(Table1[Leaving Date]&gt;42185,2000,IF(Table1[Leaving Date]&gt;42094,1000))))))))</f>
        <v>0</v>
      </c>
      <c r="EK365" s="44" t="e">
        <f>VLOOKUP(Table1[Reason for Leaving],Lists!$T$2:$U$15,2,FALSE)</f>
        <v>#N/A</v>
      </c>
      <c r="EL365" s="44" t="e">
        <f>SUM(Table1[Data Leavers Date]+Table1[Data Move On])</f>
        <v>#N/A</v>
      </c>
      <c r="EM365" s="44" t="b">
        <f>IF(Table1[Registered with GP2]="Yes",1,IF(Table1[Registered with GP2]="No",0,IF(Table1[Registered with GP]="Yes",1,IF(Table1[Registered with GP]="No",0))))</f>
        <v>0</v>
      </c>
      <c r="EN365" s="44">
        <f>SUM(Table1[Data Leavers Date]+Table1[Data GP End])</f>
        <v>0</v>
      </c>
      <c r="EO365" s="44" t="str">
        <f>IF(Table1[EET2]="NEET",1,IF(Table1[EET2]="Employment",2,IF(Table1[EET2]="Education",2,IF(Table1[EET2]="Training",2,IF(Table1[EET2]="Retired",3,IF(Table1[EET]="NEET",1,IF(Table1[EET]="Employment",2,IF(Table1[EET]="Education",2,IF(Table1[EET]="Training",2,IF(Table1[EET]="Retired",3,""))))))))))</f>
        <v/>
      </c>
      <c r="EP365" s="44" t="e">
        <f>+Table1[[#This Row],[Data Leavers Date]]+Table1[[#This Row],[Data EET End]]</f>
        <v>#VALUE!</v>
      </c>
      <c r="EQ365" s="44">
        <f>IF(Table1[Exit Form Received]="Yes",1,0)</f>
        <v>0</v>
      </c>
      <c r="ER365" s="44">
        <f>+Table1[[#This Row],[Data Leavers Date]]+Table1[[#This Row],[Data Exit Forms]]</f>
        <v>0</v>
      </c>
      <c r="ES365" s="44" t="str">
        <f>IF(Table1[Data Leavers Date]=1000,SUM(Table1[Leaving Date]-Table1[Start Date]),"")</f>
        <v/>
      </c>
      <c r="ET365" s="44" t="str">
        <f>IF(Table1[Data Leavers Date]=2000,SUM(Table1[Leaving Date]-Table1[Start Date]),"")</f>
        <v/>
      </c>
      <c r="EU365" s="44" t="str">
        <f>IF(Table1[Data Leavers Date]=3000,SUM(Table1[Leaving Date]-Table1[Start Date]),"")</f>
        <v/>
      </c>
      <c r="EV365" s="44" t="str">
        <f>IF(Table1[Data Leavers Date]=4000,SUM(Table1[Leaving Date]-Table1[Start Date]),"")</f>
        <v/>
      </c>
      <c r="EW365" s="44" t="str">
        <f>IF(Table1[Data Leavers Date]=5000,SUM(Table1[Leaving Date]-Table1[Start Date]),"")</f>
        <v/>
      </c>
      <c r="EX365" s="44" t="str">
        <f>IF(Table1[Data Leavers Date]=6000,SUM(Table1[Leaving Date]-Table1[Start Date]),"")</f>
        <v/>
      </c>
      <c r="EY365" s="44" t="str">
        <f>IF(Table1[Data Leavers Date]=7000,SUM(Table1[Leaving Date]-Table1[Start Date]),"")</f>
        <v/>
      </c>
      <c r="EZ365" s="44" t="str">
        <f>IF(Table1[Data Leavers Date]=8000,SUM(Table1[Leaving Date]-Table1[Start Date]),"")</f>
        <v/>
      </c>
      <c r="FA365" s="44" t="str">
        <f>IF(Table1[Date of Initial Assessment]="","",IF(AND(Table1[Start Date]&gt;42094,Table1[Start Date]&lt;42461),Table1[Motivation and Taking Responsibility],""))</f>
        <v/>
      </c>
      <c r="FB365" s="44" t="str">
        <f>IF(Table1[Date of Initial Assessment]="","",IF(AND(Table1[Start Date]&gt;42094,Table1[Start Date]&lt;42461),Table1[Self-Care and Living Skills],""))</f>
        <v/>
      </c>
      <c r="FC365" s="44" t="str">
        <f>IF(Table1[Date of Initial Assessment]="","",IF(AND(Table1[Start Date]&gt;42094,Table1[Start Date]&lt;42461),Table1[Managing Money and Personal Administration],""))</f>
        <v/>
      </c>
      <c r="FD365" s="44" t="str">
        <f>IF(Table1[Date of Initial Assessment]="","",IF(AND(Table1[Start Date]&gt;42094,Table1[Start Date]&lt;42461),Table1[Social Networks and Relationships],""))</f>
        <v/>
      </c>
      <c r="FE365" s="44" t="str">
        <f>IF(Table1[Date of Initial Assessment]="","",IF(AND(Table1[Start Date]&gt;42094,Table1[Start Date]&lt;42461),Table1[Drug and Alcohol Misuse],""))</f>
        <v/>
      </c>
      <c r="FF365" s="44" t="str">
        <f>IF(Table1[Date of Initial Assessment]="","",IF(AND(Table1[Start Date]&gt;42094,Table1[Start Date]&lt;42461),Table1[Physical Health],""))</f>
        <v/>
      </c>
      <c r="FG365" s="44" t="str">
        <f>IF(Table1[Date of Initial Assessment]="","",IF(AND(Table1[Start Date]&gt;42094,Table1[Start Date]&lt;42461),Table1[Emotional and Mental Health],""))</f>
        <v/>
      </c>
      <c r="FH365" s="44" t="str">
        <f>IF(Table1[Date of Initial Assessment]="","",IF(AND(Table1[Start Date]&gt;42094,Table1[Start Date]&lt;42461),Table1[Meaningful Use of Time],""))</f>
        <v/>
      </c>
      <c r="FI365" s="44" t="str">
        <f>IF(Table1[Date of Initial Assessment]="","",IF(AND(Table1[Start Date]&gt;42094,Table1[Start Date]&lt;42461),Table1[Managing Tenancy and Accommodation],""))</f>
        <v/>
      </c>
      <c r="FJ365" s="44" t="str">
        <f>IF(Table1[Date of Initial Assessment]="","",IF(AND(Table1[Start Date]&gt;42094,Table1[Start Date]&lt;42461),Table1[Offending],""))</f>
        <v/>
      </c>
      <c r="FK365" s="44" t="str">
        <f>IF(Table1[Leaving Date]="","",IF(Table1[Date of Initial Assessment]="","",IF(AND(Table1[Leaving Date]&gt;42094,Table1[Leaving Date]&lt;42461),IF(Table1[Date of Last Assessment]="",Table1[Motivation and Taking Responsibility],Table1[Motivation and Taking Responsibility2]),"")))</f>
        <v/>
      </c>
      <c r="FL365" s="44" t="str">
        <f>IF(Table1[Leaving Date]="","",IF(Table1[Date of Initial Assessment]="","",IF(AND(Table1[Leaving Date]&gt;42094,Table1[Leaving Date]&lt;42461),IF(Table1[Date of Last Assessment]="",Table1[Self-Care and Living Skills],Table1[Self-Care and Living Skills2]),"")))</f>
        <v/>
      </c>
      <c r="FM365" s="44" t="str">
        <f>IF(Table1[Leaving Date]="","",IF(Table1[Date of Initial Assessment]="","",IF(AND(Table1[Leaving Date]&gt;42094,Table1[Leaving Date]&lt;42461),IF(Table1[Date of Last Assessment]="",Table1[Managing Money and Personal Administration],Table1[Managing Money and Personal Administration2]),"")))</f>
        <v/>
      </c>
      <c r="FN365" s="44" t="str">
        <f>IF(Table1[Leaving Date]="","",IF(Table1[Date of Initial Assessment]="","",IF(AND(Table1[Leaving Date]&gt;42094,Table1[Leaving Date]&lt;42461),IF(Table1[Date of Last Assessment]="",Table1[Social Networks and Relationships],Table1[Social Networks and Relationships2]),"")))</f>
        <v/>
      </c>
      <c r="FO365" s="44" t="str">
        <f>IF(Table1[Leaving Date]="","",IF(Table1[Date of Initial Assessment]="","",IF(AND(Table1[Leaving Date]&gt;42094,Table1[Leaving Date]&lt;42461),IF(Table1[Date of Last Assessment]="",Table1[Drug and Alcohol Misuse],Table1[Drug and Alcohol Misuse2]),"")))</f>
        <v/>
      </c>
      <c r="FP365" s="44" t="str">
        <f>IF(Table1[Leaving Date]="","",IF(Table1[Date of Initial Assessment]="","",IF(AND(Table1[Leaving Date]&gt;42094,Table1[Leaving Date]&lt;42461),IF(Table1[Date of Last Assessment]="",Table1[Physical Health],Table1[Physical Health2]),"")))</f>
        <v/>
      </c>
      <c r="FQ365" s="44" t="str">
        <f>IF(Table1[Leaving Date]="","",IF(Table1[Date of Initial Assessment]="","",IF(AND(Table1[Leaving Date]&gt;42094,Table1[Leaving Date]&lt;42461),IF(Table1[Date of Last Assessment]="",Table1[Emotional and Mental Health],Table1[Emotional and Mental Health2]),"")))</f>
        <v/>
      </c>
      <c r="FR365" s="44" t="str">
        <f>IF(Table1[Leaving Date]="","",IF(Table1[Date of Initial Assessment]="","",IF(AND(Table1[Leaving Date]&gt;42094,Table1[Leaving Date]&lt;42461),IF(Table1[Date of Last Assessment]="",Table1[Meaningful Use of Time],Table1[Meaningful Use of Time2]),"")))</f>
        <v/>
      </c>
      <c r="FS365" s="44" t="str">
        <f>IF(Table1[Leaving Date]="","",IF(Table1[Date of Initial Assessment]="","",IF(AND(Table1[Leaving Date]&gt;42094,Table1[Leaving Date]&lt;42461),IF(Table1[Date of Last Assessment]="",Table1[Managing Tenancy and Accommodation],Table1[Managing Tenancy and Accommodation2]),"")))</f>
        <v/>
      </c>
      <c r="FT365" s="44" t="str">
        <f>IF(Table1[Leaving Date]="","",IF(Table1[Date of Initial Assessment]="","",IF(AND(Table1[Leaving Date]&gt;42094,Table1[Leaving Date]&lt;42461),IF(Table1[Date of Last Assessment]="",Table1[Offending],Table1[Offending2]),"")))</f>
        <v/>
      </c>
      <c r="FU365" s="44" t="str">
        <f>IF(Table1[Date of Initial Assessment]="","",IF(AND(Table1[Start Date]&gt;42460,Table1[Start Date]&lt;42826),Table1[Motivation and Taking Responsibility],""))</f>
        <v/>
      </c>
      <c r="FV365" s="44" t="str">
        <f>IF(Table1[Date of Initial Assessment]="","",IF(AND(Table1[Start Date]&gt;42460,Table1[Start Date]&lt;42826),Table1[Self-Care and Living Skills],""))</f>
        <v/>
      </c>
      <c r="FW365" s="44" t="str">
        <f>IF(Table1[Date of Initial Assessment]="","",IF(AND(Table1[Start Date]&gt;42460,Table1[Start Date]&lt;42826),Table1[Managing Money and Personal Administration],""))</f>
        <v/>
      </c>
      <c r="FX365" s="44" t="str">
        <f>IF(Table1[Date of Initial Assessment]="","",IF(AND(Table1[Start Date]&gt;42460,Table1[Start Date]&lt;42826),Table1[Social Networks and Relationships],""))</f>
        <v/>
      </c>
      <c r="FY365" s="44" t="str">
        <f>IF(Table1[Date of Initial Assessment]="","",IF(AND(Table1[Start Date]&gt;42460,Table1[Start Date]&lt;42826),Table1[Drug and Alcohol Misuse],""))</f>
        <v/>
      </c>
      <c r="FZ365" s="44" t="str">
        <f>IF(Table1[Date of Initial Assessment]="","",IF(AND(Table1[Start Date]&gt;42460,Table1[Start Date]&lt;42826),Table1[Physical Health],""))</f>
        <v/>
      </c>
      <c r="GA365" s="44" t="str">
        <f>IF(Table1[Date of Initial Assessment]="","",IF(AND(Table1[Start Date]&gt;42460,Table1[Start Date]&lt;42826),Table1[Emotional and Mental Health],""))</f>
        <v/>
      </c>
      <c r="GB365" s="44" t="str">
        <f>IF(Table1[Date of Initial Assessment]="","",IF(AND(Table1[Start Date]&gt;42460,Table1[Start Date]&lt;42826),Table1[Meaningful Use of Time],""))</f>
        <v/>
      </c>
      <c r="GC365" s="44" t="str">
        <f>IF(Table1[Date of Initial Assessment]="","",IF(AND(Table1[Start Date]&gt;42460,Table1[Start Date]&lt;42826),Table1[Managing Tenancy and Accommodation],""))</f>
        <v/>
      </c>
      <c r="GD365" s="44" t="str">
        <f>IF(Table1[Date of Initial Assessment]="","",IF(AND(Table1[Start Date]&gt;42460,Table1[Start Date]&lt;42826),Table1[Offending],""))</f>
        <v/>
      </c>
      <c r="GE365" s="44" t="str">
        <f>IF(Table1[Leaving Date]="","",IF(AND(Table1[Leaving Date]&gt;42460,Table1[Leaving Date]&lt;42826),IF(Table1[Date of Last Assessment]="",Table1[Motivation and Taking Responsibility],Table1[Motivation and Taking Responsibility2]),""))</f>
        <v/>
      </c>
      <c r="GF365" s="44" t="str">
        <f>IF(Table1[Leaving Date]="","",IF(AND(Table1[Leaving Date]&gt;42460,Table1[Leaving Date]&lt;42826),IF(Table1[Date of Last Assessment]="",Table1[Self-Care and Living Skills],Table1[Self-Care and Living Skills2]),""))</f>
        <v/>
      </c>
      <c r="GG365" s="44" t="str">
        <f>IF(Table1[Leaving Date]="","",IF(AND(Table1[Leaving Date]&gt;42460,Table1[Leaving Date]&lt;42826),IF(Table1[Date of Last Assessment]="",Table1[Managing Money and Personal Administration],Table1[Managing Money and Personal Administration2]),""))</f>
        <v/>
      </c>
      <c r="GH365" s="44" t="str">
        <f>IF(Table1[Leaving Date]="","",IF(AND(Table1[Leaving Date]&gt;42460,Table1[Leaving Date]&lt;42826),IF(Table1[Date of Last Assessment]="",Table1[Social Networks and Relationships],Table1[Social Networks and Relationships2]),""))</f>
        <v/>
      </c>
      <c r="GI365" s="44" t="str">
        <f>IF(Table1[Leaving Date]="","",IF(AND(Table1[Leaving Date]&gt;42460,Table1[Leaving Date]&lt;42826),IF(Table1[Date of Last Assessment]="",Table1[Drug and Alcohol Misuse],Table1[Drug and Alcohol Misuse2]),""))</f>
        <v/>
      </c>
      <c r="GJ365" s="44" t="str">
        <f>IF(Table1[Leaving Date]="","",IF(AND(Table1[Leaving Date]&gt;42460,Table1[Leaving Date]&lt;42826),IF(Table1[Date of Last Assessment]="",Table1[Physical Health],Table1[Physical Health2]),""))</f>
        <v/>
      </c>
      <c r="GK365" s="44" t="str">
        <f>IF(Table1[Leaving Date]="","",IF(AND(Table1[Leaving Date]&gt;42460,Table1[Leaving Date]&lt;42826),IF(Table1[Date of Last Assessment]="",Table1[Emotional and Mental Health],Table1[Emotional and Mental Health2]),""))</f>
        <v/>
      </c>
      <c r="GL365" s="44" t="str">
        <f>IF(Table1[Leaving Date]="","",IF(AND(Table1[Leaving Date]&gt;42460,Table1[Leaving Date]&lt;42826),IF(Table1[Date of Last Assessment]="",Table1[Meaningful Use of Time],Table1[Meaningful Use of Time2]),""))</f>
        <v/>
      </c>
      <c r="GM365" s="44" t="str">
        <f>IF(Table1[Leaving Date]="","",IF(AND(Table1[Leaving Date]&gt;42460,Table1[Leaving Date]&lt;42826),IF(Table1[Date of Last Assessment]="",Table1[Managing Tenancy and Accommodation],Table1[Managing Tenancy and Accommodation2]),""))</f>
        <v/>
      </c>
      <c r="GN365" s="44" t="str">
        <f>IF(Table1[Leaving Date]="","",IF(AND(Table1[Leaving Date]&gt;42460,Table1[Leaving Date]&lt;42826),IF(Table1[Date of Last Assessment]="",Table1[Offending],Table1[Offending2]),""))</f>
        <v/>
      </c>
    </row>
    <row r="366" spans="2:196" ht="20.100000000000001" customHeight="1" x14ac:dyDescent="0.2">
      <c r="B366" s="86">
        <f>+'Service Data'!$C$5:$C$5</f>
        <v>0</v>
      </c>
      <c r="C366" s="86"/>
      <c r="D366" s="86"/>
      <c r="E366" s="86"/>
      <c r="F366" s="86"/>
      <c r="G366" s="86"/>
      <c r="H366" s="6"/>
      <c r="I366" s="99" t="str">
        <f ca="1">IF(Table1[[#This Row],[Date of Birth]]="","",SUM(TODAY()-Table1[[#This Row],[Date of Birth]])/365)</f>
        <v/>
      </c>
      <c r="L366" s="86"/>
      <c r="M366" s="77"/>
      <c r="N366" s="86"/>
      <c r="O366" s="86"/>
      <c r="P366" s="91"/>
      <c r="Q366" s="86"/>
      <c r="R366" s="77"/>
      <c r="S366" s="77"/>
      <c r="T366" s="68"/>
      <c r="U366" s="68"/>
      <c r="V366" s="67"/>
      <c r="W366" s="67"/>
      <c r="X366" s="67"/>
      <c r="Y366" s="67"/>
      <c r="Z366" s="67"/>
      <c r="AA366" s="67"/>
      <c r="AB366" s="67"/>
      <c r="AC366" s="67"/>
      <c r="AD366" s="67"/>
      <c r="AE366" s="67"/>
      <c r="AF366" s="67"/>
      <c r="AG366" s="67"/>
      <c r="AH366" s="67"/>
      <c r="AI366" s="67"/>
      <c r="AJ366" s="67"/>
      <c r="AK366" s="67"/>
      <c r="AL366" s="67"/>
      <c r="AM366" s="67"/>
      <c r="AN366" s="77"/>
      <c r="AO366" s="76"/>
      <c r="AP366" s="77"/>
      <c r="AQ366" s="76"/>
      <c r="AR366" s="76"/>
      <c r="AS366" s="76"/>
      <c r="AT366" s="76"/>
      <c r="AU366" s="76"/>
      <c r="AV366" s="77"/>
      <c r="AW366" s="76"/>
      <c r="AX366" s="77"/>
      <c r="AY366" s="76"/>
      <c r="AZ366" s="76"/>
      <c r="BA366" s="76"/>
      <c r="BB366" s="76"/>
      <c r="BC366" s="76"/>
      <c r="BD366" s="77"/>
      <c r="BE366" s="76"/>
      <c r="BF366" s="77"/>
      <c r="BG366" s="76"/>
      <c r="BH366" s="76"/>
      <c r="BI366" s="76"/>
      <c r="BJ366" s="76"/>
      <c r="BK366" s="76"/>
      <c r="BL366" s="77"/>
      <c r="BM366" s="76"/>
      <c r="BN366" s="77"/>
      <c r="BO366" s="76"/>
      <c r="BP366" s="76"/>
      <c r="BQ366" s="76"/>
      <c r="BR366" s="76"/>
      <c r="BS366" s="76"/>
      <c r="BT366" s="77"/>
      <c r="BU366" s="76"/>
      <c r="BV366" s="77"/>
      <c r="BW366" s="76"/>
      <c r="BX366" s="76"/>
      <c r="BY366" s="76"/>
      <c r="BZ366" s="76"/>
      <c r="CA366" s="76"/>
      <c r="CB366" s="77"/>
      <c r="CC366" s="76"/>
      <c r="CD366" s="77"/>
      <c r="CE366" s="76"/>
      <c r="CF366" s="76"/>
      <c r="CG366" s="76"/>
      <c r="CH366" s="76"/>
      <c r="CI366" s="76"/>
      <c r="CJ366" s="77"/>
      <c r="CK366" s="76"/>
      <c r="CL366" s="77"/>
      <c r="CM366" s="76"/>
      <c r="CN366" s="76"/>
      <c r="CO366" s="76"/>
      <c r="CP366" s="76"/>
      <c r="CQ366" s="76"/>
      <c r="CR366" s="78" t="str">
        <f t="shared" si="95"/>
        <v/>
      </c>
      <c r="CS366" s="79" t="str">
        <f t="shared" si="96"/>
        <v/>
      </c>
      <c r="CT366" s="79" t="str">
        <f t="shared" si="97"/>
        <v/>
      </c>
      <c r="CU366" s="79" t="str">
        <f t="shared" si="98"/>
        <v/>
      </c>
      <c r="CV366" s="79" t="str">
        <f t="shared" si="99"/>
        <v/>
      </c>
      <c r="CW366" s="79" t="str">
        <f t="shared" si="100"/>
        <v/>
      </c>
      <c r="CX366" s="79" t="str">
        <f t="shared" si="101"/>
        <v/>
      </c>
      <c r="CY366" s="79" t="str">
        <f t="shared" si="102"/>
        <v/>
      </c>
      <c r="CZ366" s="79" t="str">
        <f t="shared" si="103"/>
        <v/>
      </c>
      <c r="DA366" s="79" t="str">
        <f t="shared" si="104"/>
        <v/>
      </c>
      <c r="DB366" s="79" t="str">
        <f t="shared" si="105"/>
        <v/>
      </c>
      <c r="DC366" s="79" t="str">
        <f t="shared" si="106"/>
        <v/>
      </c>
      <c r="DD366" s="79" t="str">
        <f t="shared" si="107"/>
        <v/>
      </c>
      <c r="DE366" s="79" t="str">
        <f t="shared" si="108"/>
        <v/>
      </c>
      <c r="DF366" s="79" t="str">
        <f t="shared" si="109"/>
        <v/>
      </c>
      <c r="DG366" s="79" t="str">
        <f t="shared" si="110"/>
        <v/>
      </c>
      <c r="DH366" s="76"/>
      <c r="DI366" s="78"/>
      <c r="DJ366" s="76"/>
      <c r="DK366" s="77"/>
      <c r="DL366" s="77"/>
      <c r="DM366" s="77"/>
      <c r="DN366" s="80"/>
      <c r="DO366" s="80"/>
      <c r="DP366" s="92" t="str">
        <f>IF(Table1[Start Date]="","",IF(Table1[Start Date]&gt;42185,"",IF(AND(Table1[Leaving Date]&gt;1,Table1[Leaving Date]&lt;42095),"",1)))</f>
        <v/>
      </c>
      <c r="DQ366" s="92" t="str">
        <f>IF(Table1[Start Date]="","",IF(Table1[Start Date]&gt;42277,"",IF(AND(Table1[Leaving Date]&gt;1,Table1[Leaving Date]&lt;42186),"",1)))</f>
        <v/>
      </c>
      <c r="DR366" s="92" t="str">
        <f>IF(Table1[Start Date]="","",IF(Table1[Start Date]&gt;42369,"",IF(AND(Table1[Leaving Date]&gt;1,Table1[Leaving Date]&lt;42278),"",1)))</f>
        <v/>
      </c>
      <c r="DS366" s="92" t="str">
        <f>IF(Table1[Start Date]="","",IF(Table1[Start Date]&gt;42460,"",IF(AND(Table1[Leaving Date]&gt;1,Table1[Leaving Date]&lt;42370),"",1)))</f>
        <v/>
      </c>
      <c r="DT366" s="92" t="str">
        <f>IF(Table1[Start Date]="","",IF(Table1[Start Date]&gt;42551,"",IF(AND(Table1[Leaving Date]&gt;1,Table1[Leaving Date]&lt;42461),"",1)))</f>
        <v/>
      </c>
      <c r="DU366" s="92" t="str">
        <f>IF(Table1[Start Date]="","",IF(Table1[Start Date]&gt;42643,"",IF(AND(Table1[Leaving Date]&gt;1,Table1[Leaving Date]&lt;42552),"",1)))</f>
        <v/>
      </c>
      <c r="DV366" s="92" t="str">
        <f>IF(Table1[Start Date]="","",IF(Table1[Start Date]&gt;42735,"",IF(AND(Table1[Leaving Date]&gt;1,Table1[Leaving Date]&lt;42644),"",1)))</f>
        <v/>
      </c>
      <c r="DW366" s="92" t="str">
        <f>IF(Table1[Start Date]="","",IF(Table1[Start Date]&gt;42825,"",IF(AND(Table1[Leaving Date]&gt;1,Table1[Leaving Date]&lt;42736),"",1)))</f>
        <v/>
      </c>
      <c r="DX366"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366" s="44" t="e">
        <f>VLOOKUP(Table1[Referral Source],Lists!$G$2:$H$20,2,FALSE)</f>
        <v>#N/A</v>
      </c>
      <c r="DZ366" s="93" t="e">
        <f>SUM(Table1[Data Referral Quarter]+Table1[Data Referral Source])</f>
        <v>#N/A</v>
      </c>
      <c r="EA366" s="44" t="b">
        <f>IF(Table1[Referral Decision]="Accepted",100,IF(Table1[Referral Decision]="Rejected by Provider",200,IF(Table1[Referral Decision]="Rejected by Applicant",300)))</f>
        <v>0</v>
      </c>
      <c r="EB366" s="44">
        <f>SUM(Table1[Data Referral Quarter]+Table1[Data Referral Decision])</f>
        <v>0</v>
      </c>
      <c r="EC366" s="44" t="b">
        <f>IF(Table1[Start Date]&gt;42735,8000,IF(Table1[Start Date]&gt;42643,7000,IF(Table1[Start Date]&gt;42551,6000,IF(Table1[Start Date]&gt;42460,5000,IF(Table1[Start Date]&gt;42369,4000,IF(Table1[Start Date]&gt;42277,3000,IF(Table1[Start Date]&gt;42185,2000,IF(Table1[Start Date]&gt;42094,1000))))))))</f>
        <v>0</v>
      </c>
      <c r="ED366" s="44" t="str">
        <f>IF(Table1[Start Date]="","",IF(Table1[Current Local Authority]="Swindon",1,"2"))</f>
        <v/>
      </c>
      <c r="EE366" s="44" t="e">
        <f>SUM(Table1[Data Start Date]+Table1[Data Local Authority])</f>
        <v>#VALUE!</v>
      </c>
      <c r="EF366" s="44">
        <f>IF(Table1[Registered with GP]="Yes",1,0)</f>
        <v>0</v>
      </c>
      <c r="EG366" s="44">
        <f>SUM(Table1[Data Start Date]+Table1[Data GP Start])</f>
        <v>0</v>
      </c>
      <c r="EH366" s="44" t="str">
        <f>IF(Table1[EET]="NEET",1,IF(Table1[EET]="Education",2,IF(Table1[EET]="Employment",2,IF(Table1[EET]="Training",2,IF(Table1[EET]="Retired",3,"")))))</f>
        <v/>
      </c>
      <c r="EI366" s="44" t="e">
        <f>Table1[Data Start Date]+Table1[Data EET Start]</f>
        <v>#VALUE!</v>
      </c>
      <c r="EJ366" s="44" t="b">
        <f>IF(Table1[Leaving Date]&gt;42735,8000,IF(Table1[Leaving Date]&gt;42643,7000,IF(Table1[Leaving Date]&gt;42551,6000,IF(Table1[Leaving Date]&gt;42460,5000,IF(Table1[Leaving Date]&gt;42369,4000,IF(Table1[Leaving Date]&gt;42277,3000,IF(Table1[Leaving Date]&gt;42185,2000,IF(Table1[Leaving Date]&gt;42094,1000))))))))</f>
        <v>0</v>
      </c>
      <c r="EK366" s="44" t="e">
        <f>VLOOKUP(Table1[Reason for Leaving],Lists!$T$2:$U$15,2,FALSE)</f>
        <v>#N/A</v>
      </c>
      <c r="EL366" s="44" t="e">
        <f>SUM(Table1[Data Leavers Date]+Table1[Data Move On])</f>
        <v>#N/A</v>
      </c>
      <c r="EM366" s="44" t="b">
        <f>IF(Table1[Registered with GP2]="Yes",1,IF(Table1[Registered with GP2]="No",0,IF(Table1[Registered with GP]="Yes",1,IF(Table1[Registered with GP]="No",0))))</f>
        <v>0</v>
      </c>
      <c r="EN366" s="44">
        <f>SUM(Table1[Data Leavers Date]+Table1[Data GP End])</f>
        <v>0</v>
      </c>
      <c r="EO366" s="44" t="str">
        <f>IF(Table1[EET2]="NEET",1,IF(Table1[EET2]="Employment",2,IF(Table1[EET2]="Education",2,IF(Table1[EET2]="Training",2,IF(Table1[EET2]="Retired",3,IF(Table1[EET]="NEET",1,IF(Table1[EET]="Employment",2,IF(Table1[EET]="Education",2,IF(Table1[EET]="Training",2,IF(Table1[EET]="Retired",3,""))))))))))</f>
        <v/>
      </c>
      <c r="EP366" s="44" t="e">
        <f>+Table1[[#This Row],[Data Leavers Date]]+Table1[[#This Row],[Data EET End]]</f>
        <v>#VALUE!</v>
      </c>
      <c r="EQ366" s="44">
        <f>IF(Table1[Exit Form Received]="Yes",1,0)</f>
        <v>0</v>
      </c>
      <c r="ER366" s="44">
        <f>+Table1[[#This Row],[Data Leavers Date]]+Table1[[#This Row],[Data Exit Forms]]</f>
        <v>0</v>
      </c>
      <c r="ES366" s="44" t="str">
        <f>IF(Table1[Data Leavers Date]=1000,SUM(Table1[Leaving Date]-Table1[Start Date]),"")</f>
        <v/>
      </c>
      <c r="ET366" s="44" t="str">
        <f>IF(Table1[Data Leavers Date]=2000,SUM(Table1[Leaving Date]-Table1[Start Date]),"")</f>
        <v/>
      </c>
      <c r="EU366" s="44" t="str">
        <f>IF(Table1[Data Leavers Date]=3000,SUM(Table1[Leaving Date]-Table1[Start Date]),"")</f>
        <v/>
      </c>
      <c r="EV366" s="44" t="str">
        <f>IF(Table1[Data Leavers Date]=4000,SUM(Table1[Leaving Date]-Table1[Start Date]),"")</f>
        <v/>
      </c>
      <c r="EW366" s="44" t="str">
        <f>IF(Table1[Data Leavers Date]=5000,SUM(Table1[Leaving Date]-Table1[Start Date]),"")</f>
        <v/>
      </c>
      <c r="EX366" s="44" t="str">
        <f>IF(Table1[Data Leavers Date]=6000,SUM(Table1[Leaving Date]-Table1[Start Date]),"")</f>
        <v/>
      </c>
      <c r="EY366" s="44" t="str">
        <f>IF(Table1[Data Leavers Date]=7000,SUM(Table1[Leaving Date]-Table1[Start Date]),"")</f>
        <v/>
      </c>
      <c r="EZ366" s="44" t="str">
        <f>IF(Table1[Data Leavers Date]=8000,SUM(Table1[Leaving Date]-Table1[Start Date]),"")</f>
        <v/>
      </c>
      <c r="FA366" s="44" t="str">
        <f>IF(Table1[Date of Initial Assessment]="","",IF(AND(Table1[Start Date]&gt;42094,Table1[Start Date]&lt;42461),Table1[Motivation and Taking Responsibility],""))</f>
        <v/>
      </c>
      <c r="FB366" s="44" t="str">
        <f>IF(Table1[Date of Initial Assessment]="","",IF(AND(Table1[Start Date]&gt;42094,Table1[Start Date]&lt;42461),Table1[Self-Care and Living Skills],""))</f>
        <v/>
      </c>
      <c r="FC366" s="44" t="str">
        <f>IF(Table1[Date of Initial Assessment]="","",IF(AND(Table1[Start Date]&gt;42094,Table1[Start Date]&lt;42461),Table1[Managing Money and Personal Administration],""))</f>
        <v/>
      </c>
      <c r="FD366" s="44" t="str">
        <f>IF(Table1[Date of Initial Assessment]="","",IF(AND(Table1[Start Date]&gt;42094,Table1[Start Date]&lt;42461),Table1[Social Networks and Relationships],""))</f>
        <v/>
      </c>
      <c r="FE366" s="44" t="str">
        <f>IF(Table1[Date of Initial Assessment]="","",IF(AND(Table1[Start Date]&gt;42094,Table1[Start Date]&lt;42461),Table1[Drug and Alcohol Misuse],""))</f>
        <v/>
      </c>
      <c r="FF366" s="44" t="str">
        <f>IF(Table1[Date of Initial Assessment]="","",IF(AND(Table1[Start Date]&gt;42094,Table1[Start Date]&lt;42461),Table1[Physical Health],""))</f>
        <v/>
      </c>
      <c r="FG366" s="44" t="str">
        <f>IF(Table1[Date of Initial Assessment]="","",IF(AND(Table1[Start Date]&gt;42094,Table1[Start Date]&lt;42461),Table1[Emotional and Mental Health],""))</f>
        <v/>
      </c>
      <c r="FH366" s="44" t="str">
        <f>IF(Table1[Date of Initial Assessment]="","",IF(AND(Table1[Start Date]&gt;42094,Table1[Start Date]&lt;42461),Table1[Meaningful Use of Time],""))</f>
        <v/>
      </c>
      <c r="FI366" s="44" t="str">
        <f>IF(Table1[Date of Initial Assessment]="","",IF(AND(Table1[Start Date]&gt;42094,Table1[Start Date]&lt;42461),Table1[Managing Tenancy and Accommodation],""))</f>
        <v/>
      </c>
      <c r="FJ366" s="44" t="str">
        <f>IF(Table1[Date of Initial Assessment]="","",IF(AND(Table1[Start Date]&gt;42094,Table1[Start Date]&lt;42461),Table1[Offending],""))</f>
        <v/>
      </c>
      <c r="FK366" s="44" t="str">
        <f>IF(Table1[Leaving Date]="","",IF(Table1[Date of Initial Assessment]="","",IF(AND(Table1[Leaving Date]&gt;42094,Table1[Leaving Date]&lt;42461),IF(Table1[Date of Last Assessment]="",Table1[Motivation and Taking Responsibility],Table1[Motivation and Taking Responsibility2]),"")))</f>
        <v/>
      </c>
      <c r="FL366" s="44" t="str">
        <f>IF(Table1[Leaving Date]="","",IF(Table1[Date of Initial Assessment]="","",IF(AND(Table1[Leaving Date]&gt;42094,Table1[Leaving Date]&lt;42461),IF(Table1[Date of Last Assessment]="",Table1[Self-Care and Living Skills],Table1[Self-Care and Living Skills2]),"")))</f>
        <v/>
      </c>
      <c r="FM366" s="44" t="str">
        <f>IF(Table1[Leaving Date]="","",IF(Table1[Date of Initial Assessment]="","",IF(AND(Table1[Leaving Date]&gt;42094,Table1[Leaving Date]&lt;42461),IF(Table1[Date of Last Assessment]="",Table1[Managing Money and Personal Administration],Table1[Managing Money and Personal Administration2]),"")))</f>
        <v/>
      </c>
      <c r="FN366" s="44" t="str">
        <f>IF(Table1[Leaving Date]="","",IF(Table1[Date of Initial Assessment]="","",IF(AND(Table1[Leaving Date]&gt;42094,Table1[Leaving Date]&lt;42461),IF(Table1[Date of Last Assessment]="",Table1[Social Networks and Relationships],Table1[Social Networks and Relationships2]),"")))</f>
        <v/>
      </c>
      <c r="FO366" s="44" t="str">
        <f>IF(Table1[Leaving Date]="","",IF(Table1[Date of Initial Assessment]="","",IF(AND(Table1[Leaving Date]&gt;42094,Table1[Leaving Date]&lt;42461),IF(Table1[Date of Last Assessment]="",Table1[Drug and Alcohol Misuse],Table1[Drug and Alcohol Misuse2]),"")))</f>
        <v/>
      </c>
      <c r="FP366" s="44" t="str">
        <f>IF(Table1[Leaving Date]="","",IF(Table1[Date of Initial Assessment]="","",IF(AND(Table1[Leaving Date]&gt;42094,Table1[Leaving Date]&lt;42461),IF(Table1[Date of Last Assessment]="",Table1[Physical Health],Table1[Physical Health2]),"")))</f>
        <v/>
      </c>
      <c r="FQ366" s="44" t="str">
        <f>IF(Table1[Leaving Date]="","",IF(Table1[Date of Initial Assessment]="","",IF(AND(Table1[Leaving Date]&gt;42094,Table1[Leaving Date]&lt;42461),IF(Table1[Date of Last Assessment]="",Table1[Emotional and Mental Health],Table1[Emotional and Mental Health2]),"")))</f>
        <v/>
      </c>
      <c r="FR366" s="44" t="str">
        <f>IF(Table1[Leaving Date]="","",IF(Table1[Date of Initial Assessment]="","",IF(AND(Table1[Leaving Date]&gt;42094,Table1[Leaving Date]&lt;42461),IF(Table1[Date of Last Assessment]="",Table1[Meaningful Use of Time],Table1[Meaningful Use of Time2]),"")))</f>
        <v/>
      </c>
      <c r="FS366" s="44" t="str">
        <f>IF(Table1[Leaving Date]="","",IF(Table1[Date of Initial Assessment]="","",IF(AND(Table1[Leaving Date]&gt;42094,Table1[Leaving Date]&lt;42461),IF(Table1[Date of Last Assessment]="",Table1[Managing Tenancy and Accommodation],Table1[Managing Tenancy and Accommodation2]),"")))</f>
        <v/>
      </c>
      <c r="FT366" s="44" t="str">
        <f>IF(Table1[Leaving Date]="","",IF(Table1[Date of Initial Assessment]="","",IF(AND(Table1[Leaving Date]&gt;42094,Table1[Leaving Date]&lt;42461),IF(Table1[Date of Last Assessment]="",Table1[Offending],Table1[Offending2]),"")))</f>
        <v/>
      </c>
      <c r="FU366" s="44" t="str">
        <f>IF(Table1[Date of Initial Assessment]="","",IF(AND(Table1[Start Date]&gt;42460,Table1[Start Date]&lt;42826),Table1[Motivation and Taking Responsibility],""))</f>
        <v/>
      </c>
      <c r="FV366" s="44" t="str">
        <f>IF(Table1[Date of Initial Assessment]="","",IF(AND(Table1[Start Date]&gt;42460,Table1[Start Date]&lt;42826),Table1[Self-Care and Living Skills],""))</f>
        <v/>
      </c>
      <c r="FW366" s="44" t="str">
        <f>IF(Table1[Date of Initial Assessment]="","",IF(AND(Table1[Start Date]&gt;42460,Table1[Start Date]&lt;42826),Table1[Managing Money and Personal Administration],""))</f>
        <v/>
      </c>
      <c r="FX366" s="44" t="str">
        <f>IF(Table1[Date of Initial Assessment]="","",IF(AND(Table1[Start Date]&gt;42460,Table1[Start Date]&lt;42826),Table1[Social Networks and Relationships],""))</f>
        <v/>
      </c>
      <c r="FY366" s="44" t="str">
        <f>IF(Table1[Date of Initial Assessment]="","",IF(AND(Table1[Start Date]&gt;42460,Table1[Start Date]&lt;42826),Table1[Drug and Alcohol Misuse],""))</f>
        <v/>
      </c>
      <c r="FZ366" s="44" t="str">
        <f>IF(Table1[Date of Initial Assessment]="","",IF(AND(Table1[Start Date]&gt;42460,Table1[Start Date]&lt;42826),Table1[Physical Health],""))</f>
        <v/>
      </c>
      <c r="GA366" s="44" t="str">
        <f>IF(Table1[Date of Initial Assessment]="","",IF(AND(Table1[Start Date]&gt;42460,Table1[Start Date]&lt;42826),Table1[Emotional and Mental Health],""))</f>
        <v/>
      </c>
      <c r="GB366" s="44" t="str">
        <f>IF(Table1[Date of Initial Assessment]="","",IF(AND(Table1[Start Date]&gt;42460,Table1[Start Date]&lt;42826),Table1[Meaningful Use of Time],""))</f>
        <v/>
      </c>
      <c r="GC366" s="44" t="str">
        <f>IF(Table1[Date of Initial Assessment]="","",IF(AND(Table1[Start Date]&gt;42460,Table1[Start Date]&lt;42826),Table1[Managing Tenancy and Accommodation],""))</f>
        <v/>
      </c>
      <c r="GD366" s="44" t="str">
        <f>IF(Table1[Date of Initial Assessment]="","",IF(AND(Table1[Start Date]&gt;42460,Table1[Start Date]&lt;42826),Table1[Offending],""))</f>
        <v/>
      </c>
      <c r="GE366" s="44" t="str">
        <f>IF(Table1[Leaving Date]="","",IF(AND(Table1[Leaving Date]&gt;42460,Table1[Leaving Date]&lt;42826),IF(Table1[Date of Last Assessment]="",Table1[Motivation and Taking Responsibility],Table1[Motivation and Taking Responsibility2]),""))</f>
        <v/>
      </c>
      <c r="GF366" s="44" t="str">
        <f>IF(Table1[Leaving Date]="","",IF(AND(Table1[Leaving Date]&gt;42460,Table1[Leaving Date]&lt;42826),IF(Table1[Date of Last Assessment]="",Table1[Self-Care and Living Skills],Table1[Self-Care and Living Skills2]),""))</f>
        <v/>
      </c>
      <c r="GG366" s="44" t="str">
        <f>IF(Table1[Leaving Date]="","",IF(AND(Table1[Leaving Date]&gt;42460,Table1[Leaving Date]&lt;42826),IF(Table1[Date of Last Assessment]="",Table1[Managing Money and Personal Administration],Table1[Managing Money and Personal Administration2]),""))</f>
        <v/>
      </c>
      <c r="GH366" s="44" t="str">
        <f>IF(Table1[Leaving Date]="","",IF(AND(Table1[Leaving Date]&gt;42460,Table1[Leaving Date]&lt;42826),IF(Table1[Date of Last Assessment]="",Table1[Social Networks and Relationships],Table1[Social Networks and Relationships2]),""))</f>
        <v/>
      </c>
      <c r="GI366" s="44" t="str">
        <f>IF(Table1[Leaving Date]="","",IF(AND(Table1[Leaving Date]&gt;42460,Table1[Leaving Date]&lt;42826),IF(Table1[Date of Last Assessment]="",Table1[Drug and Alcohol Misuse],Table1[Drug and Alcohol Misuse2]),""))</f>
        <v/>
      </c>
      <c r="GJ366" s="44" t="str">
        <f>IF(Table1[Leaving Date]="","",IF(AND(Table1[Leaving Date]&gt;42460,Table1[Leaving Date]&lt;42826),IF(Table1[Date of Last Assessment]="",Table1[Physical Health],Table1[Physical Health2]),""))</f>
        <v/>
      </c>
      <c r="GK366" s="44" t="str">
        <f>IF(Table1[Leaving Date]="","",IF(AND(Table1[Leaving Date]&gt;42460,Table1[Leaving Date]&lt;42826),IF(Table1[Date of Last Assessment]="",Table1[Emotional and Mental Health],Table1[Emotional and Mental Health2]),""))</f>
        <v/>
      </c>
      <c r="GL366" s="44" t="str">
        <f>IF(Table1[Leaving Date]="","",IF(AND(Table1[Leaving Date]&gt;42460,Table1[Leaving Date]&lt;42826),IF(Table1[Date of Last Assessment]="",Table1[Meaningful Use of Time],Table1[Meaningful Use of Time2]),""))</f>
        <v/>
      </c>
      <c r="GM366" s="44" t="str">
        <f>IF(Table1[Leaving Date]="","",IF(AND(Table1[Leaving Date]&gt;42460,Table1[Leaving Date]&lt;42826),IF(Table1[Date of Last Assessment]="",Table1[Managing Tenancy and Accommodation],Table1[Managing Tenancy and Accommodation2]),""))</f>
        <v/>
      </c>
      <c r="GN366" s="44" t="str">
        <f>IF(Table1[Leaving Date]="","",IF(AND(Table1[Leaving Date]&gt;42460,Table1[Leaving Date]&lt;42826),IF(Table1[Date of Last Assessment]="",Table1[Offending],Table1[Offending2]),""))</f>
        <v/>
      </c>
    </row>
    <row r="367" spans="2:196" ht="20.100000000000001" customHeight="1" x14ac:dyDescent="0.2">
      <c r="B367" s="86">
        <f>+'Service Data'!$C$5:$C$5</f>
        <v>0</v>
      </c>
      <c r="C367" s="86"/>
      <c r="D367" s="86"/>
      <c r="E367" s="86"/>
      <c r="F367" s="86"/>
      <c r="G367" s="86"/>
      <c r="H367" s="6"/>
      <c r="I367" s="99" t="str">
        <f ca="1">IF(Table1[[#This Row],[Date of Birth]]="","",SUM(TODAY()-Table1[[#This Row],[Date of Birth]])/365)</f>
        <v/>
      </c>
      <c r="L367" s="86"/>
      <c r="M367" s="77"/>
      <c r="N367" s="86"/>
      <c r="O367" s="86"/>
      <c r="P367" s="91"/>
      <c r="Q367" s="86"/>
      <c r="R367" s="77"/>
      <c r="S367" s="77"/>
      <c r="T367" s="68"/>
      <c r="U367" s="68"/>
      <c r="V367" s="67"/>
      <c r="W367" s="67"/>
      <c r="X367" s="67"/>
      <c r="Y367" s="67"/>
      <c r="Z367" s="67"/>
      <c r="AA367" s="67"/>
      <c r="AB367" s="67"/>
      <c r="AC367" s="67"/>
      <c r="AD367" s="67"/>
      <c r="AE367" s="67"/>
      <c r="AF367" s="67"/>
      <c r="AG367" s="67"/>
      <c r="AH367" s="67"/>
      <c r="AI367" s="67"/>
      <c r="AJ367" s="67"/>
      <c r="AK367" s="67"/>
      <c r="AL367" s="67"/>
      <c r="AM367" s="67"/>
      <c r="AN367" s="77"/>
      <c r="AO367" s="76"/>
      <c r="AP367" s="77"/>
      <c r="AQ367" s="76"/>
      <c r="AR367" s="76"/>
      <c r="AS367" s="76"/>
      <c r="AT367" s="76"/>
      <c r="AU367" s="76"/>
      <c r="AV367" s="77"/>
      <c r="AW367" s="76"/>
      <c r="AX367" s="77"/>
      <c r="AY367" s="76"/>
      <c r="AZ367" s="76"/>
      <c r="BA367" s="76"/>
      <c r="BB367" s="76"/>
      <c r="BC367" s="76"/>
      <c r="BD367" s="77"/>
      <c r="BE367" s="76"/>
      <c r="BF367" s="77"/>
      <c r="BG367" s="76"/>
      <c r="BH367" s="76"/>
      <c r="BI367" s="76"/>
      <c r="BJ367" s="76"/>
      <c r="BK367" s="76"/>
      <c r="BL367" s="77"/>
      <c r="BM367" s="76"/>
      <c r="BN367" s="77"/>
      <c r="BO367" s="76"/>
      <c r="BP367" s="76"/>
      <c r="BQ367" s="76"/>
      <c r="BR367" s="76"/>
      <c r="BS367" s="76"/>
      <c r="BT367" s="77"/>
      <c r="BU367" s="76"/>
      <c r="BV367" s="77"/>
      <c r="BW367" s="76"/>
      <c r="BX367" s="76"/>
      <c r="BY367" s="76"/>
      <c r="BZ367" s="76"/>
      <c r="CA367" s="76"/>
      <c r="CB367" s="77"/>
      <c r="CC367" s="76"/>
      <c r="CD367" s="77"/>
      <c r="CE367" s="76"/>
      <c r="CF367" s="76"/>
      <c r="CG367" s="76"/>
      <c r="CH367" s="76"/>
      <c r="CI367" s="76"/>
      <c r="CJ367" s="77"/>
      <c r="CK367" s="76"/>
      <c r="CL367" s="77"/>
      <c r="CM367" s="76"/>
      <c r="CN367" s="76"/>
      <c r="CO367" s="76"/>
      <c r="CP367" s="76"/>
      <c r="CQ367" s="76"/>
      <c r="CR367" s="78" t="str">
        <f t="shared" si="95"/>
        <v/>
      </c>
      <c r="CS367" s="79" t="str">
        <f t="shared" si="96"/>
        <v/>
      </c>
      <c r="CT367" s="79" t="str">
        <f t="shared" si="97"/>
        <v/>
      </c>
      <c r="CU367" s="79" t="str">
        <f t="shared" si="98"/>
        <v/>
      </c>
      <c r="CV367" s="79" t="str">
        <f t="shared" si="99"/>
        <v/>
      </c>
      <c r="CW367" s="79" t="str">
        <f t="shared" si="100"/>
        <v/>
      </c>
      <c r="CX367" s="79" t="str">
        <f t="shared" si="101"/>
        <v/>
      </c>
      <c r="CY367" s="79" t="str">
        <f t="shared" si="102"/>
        <v/>
      </c>
      <c r="CZ367" s="79" t="str">
        <f t="shared" si="103"/>
        <v/>
      </c>
      <c r="DA367" s="79" t="str">
        <f t="shared" si="104"/>
        <v/>
      </c>
      <c r="DB367" s="79" t="str">
        <f t="shared" si="105"/>
        <v/>
      </c>
      <c r="DC367" s="79" t="str">
        <f t="shared" si="106"/>
        <v/>
      </c>
      <c r="DD367" s="79" t="str">
        <f t="shared" si="107"/>
        <v/>
      </c>
      <c r="DE367" s="79" t="str">
        <f t="shared" si="108"/>
        <v/>
      </c>
      <c r="DF367" s="79" t="str">
        <f t="shared" si="109"/>
        <v/>
      </c>
      <c r="DG367" s="79" t="str">
        <f t="shared" si="110"/>
        <v/>
      </c>
      <c r="DH367" s="76"/>
      <c r="DI367" s="78"/>
      <c r="DJ367" s="76"/>
      <c r="DK367" s="77"/>
      <c r="DL367" s="77"/>
      <c r="DM367" s="77"/>
      <c r="DN367" s="80"/>
      <c r="DO367" s="80"/>
      <c r="DP367" s="92" t="str">
        <f>IF(Table1[Start Date]="","",IF(Table1[Start Date]&gt;42185,"",IF(AND(Table1[Leaving Date]&gt;1,Table1[Leaving Date]&lt;42095),"",1)))</f>
        <v/>
      </c>
      <c r="DQ367" s="92" t="str">
        <f>IF(Table1[Start Date]="","",IF(Table1[Start Date]&gt;42277,"",IF(AND(Table1[Leaving Date]&gt;1,Table1[Leaving Date]&lt;42186),"",1)))</f>
        <v/>
      </c>
      <c r="DR367" s="92" t="str">
        <f>IF(Table1[Start Date]="","",IF(Table1[Start Date]&gt;42369,"",IF(AND(Table1[Leaving Date]&gt;1,Table1[Leaving Date]&lt;42278),"",1)))</f>
        <v/>
      </c>
      <c r="DS367" s="92" t="str">
        <f>IF(Table1[Start Date]="","",IF(Table1[Start Date]&gt;42460,"",IF(AND(Table1[Leaving Date]&gt;1,Table1[Leaving Date]&lt;42370),"",1)))</f>
        <v/>
      </c>
      <c r="DT367" s="92" t="str">
        <f>IF(Table1[Start Date]="","",IF(Table1[Start Date]&gt;42551,"",IF(AND(Table1[Leaving Date]&gt;1,Table1[Leaving Date]&lt;42461),"",1)))</f>
        <v/>
      </c>
      <c r="DU367" s="92" t="str">
        <f>IF(Table1[Start Date]="","",IF(Table1[Start Date]&gt;42643,"",IF(AND(Table1[Leaving Date]&gt;1,Table1[Leaving Date]&lt;42552),"",1)))</f>
        <v/>
      </c>
      <c r="DV367" s="92" t="str">
        <f>IF(Table1[Start Date]="","",IF(Table1[Start Date]&gt;42735,"",IF(AND(Table1[Leaving Date]&gt;1,Table1[Leaving Date]&lt;42644),"",1)))</f>
        <v/>
      </c>
      <c r="DW367" s="92" t="str">
        <f>IF(Table1[Start Date]="","",IF(Table1[Start Date]&gt;42825,"",IF(AND(Table1[Leaving Date]&gt;1,Table1[Leaving Date]&lt;42736),"",1)))</f>
        <v/>
      </c>
      <c r="DX367"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367" s="44" t="e">
        <f>VLOOKUP(Table1[Referral Source],Lists!$G$2:$H$20,2,FALSE)</f>
        <v>#N/A</v>
      </c>
      <c r="DZ367" s="93" t="e">
        <f>SUM(Table1[Data Referral Quarter]+Table1[Data Referral Source])</f>
        <v>#N/A</v>
      </c>
      <c r="EA367" s="44" t="b">
        <f>IF(Table1[Referral Decision]="Accepted",100,IF(Table1[Referral Decision]="Rejected by Provider",200,IF(Table1[Referral Decision]="Rejected by Applicant",300)))</f>
        <v>0</v>
      </c>
      <c r="EB367" s="44">
        <f>SUM(Table1[Data Referral Quarter]+Table1[Data Referral Decision])</f>
        <v>0</v>
      </c>
      <c r="EC367" s="44" t="b">
        <f>IF(Table1[Start Date]&gt;42735,8000,IF(Table1[Start Date]&gt;42643,7000,IF(Table1[Start Date]&gt;42551,6000,IF(Table1[Start Date]&gt;42460,5000,IF(Table1[Start Date]&gt;42369,4000,IF(Table1[Start Date]&gt;42277,3000,IF(Table1[Start Date]&gt;42185,2000,IF(Table1[Start Date]&gt;42094,1000))))))))</f>
        <v>0</v>
      </c>
      <c r="ED367" s="44" t="str">
        <f>IF(Table1[Start Date]="","",IF(Table1[Current Local Authority]="Swindon",1,"2"))</f>
        <v/>
      </c>
      <c r="EE367" s="44" t="e">
        <f>SUM(Table1[Data Start Date]+Table1[Data Local Authority])</f>
        <v>#VALUE!</v>
      </c>
      <c r="EF367" s="44">
        <f>IF(Table1[Registered with GP]="Yes",1,0)</f>
        <v>0</v>
      </c>
      <c r="EG367" s="44">
        <f>SUM(Table1[Data Start Date]+Table1[Data GP Start])</f>
        <v>0</v>
      </c>
      <c r="EH367" s="44" t="str">
        <f>IF(Table1[EET]="NEET",1,IF(Table1[EET]="Education",2,IF(Table1[EET]="Employment",2,IF(Table1[EET]="Training",2,IF(Table1[EET]="Retired",3,"")))))</f>
        <v/>
      </c>
      <c r="EI367" s="44" t="e">
        <f>Table1[Data Start Date]+Table1[Data EET Start]</f>
        <v>#VALUE!</v>
      </c>
      <c r="EJ367" s="44" t="b">
        <f>IF(Table1[Leaving Date]&gt;42735,8000,IF(Table1[Leaving Date]&gt;42643,7000,IF(Table1[Leaving Date]&gt;42551,6000,IF(Table1[Leaving Date]&gt;42460,5000,IF(Table1[Leaving Date]&gt;42369,4000,IF(Table1[Leaving Date]&gt;42277,3000,IF(Table1[Leaving Date]&gt;42185,2000,IF(Table1[Leaving Date]&gt;42094,1000))))))))</f>
        <v>0</v>
      </c>
      <c r="EK367" s="44" t="e">
        <f>VLOOKUP(Table1[Reason for Leaving],Lists!$T$2:$U$15,2,FALSE)</f>
        <v>#N/A</v>
      </c>
      <c r="EL367" s="44" t="e">
        <f>SUM(Table1[Data Leavers Date]+Table1[Data Move On])</f>
        <v>#N/A</v>
      </c>
      <c r="EM367" s="44" t="b">
        <f>IF(Table1[Registered with GP2]="Yes",1,IF(Table1[Registered with GP2]="No",0,IF(Table1[Registered with GP]="Yes",1,IF(Table1[Registered with GP]="No",0))))</f>
        <v>0</v>
      </c>
      <c r="EN367" s="44">
        <f>SUM(Table1[Data Leavers Date]+Table1[Data GP End])</f>
        <v>0</v>
      </c>
      <c r="EO367" s="44" t="str">
        <f>IF(Table1[EET2]="NEET",1,IF(Table1[EET2]="Employment",2,IF(Table1[EET2]="Education",2,IF(Table1[EET2]="Training",2,IF(Table1[EET2]="Retired",3,IF(Table1[EET]="NEET",1,IF(Table1[EET]="Employment",2,IF(Table1[EET]="Education",2,IF(Table1[EET]="Training",2,IF(Table1[EET]="Retired",3,""))))))))))</f>
        <v/>
      </c>
      <c r="EP367" s="44" t="e">
        <f>+Table1[[#This Row],[Data Leavers Date]]+Table1[[#This Row],[Data EET End]]</f>
        <v>#VALUE!</v>
      </c>
      <c r="EQ367" s="44">
        <f>IF(Table1[Exit Form Received]="Yes",1,0)</f>
        <v>0</v>
      </c>
      <c r="ER367" s="44">
        <f>+Table1[[#This Row],[Data Leavers Date]]+Table1[[#This Row],[Data Exit Forms]]</f>
        <v>0</v>
      </c>
      <c r="ES367" s="44" t="str">
        <f>IF(Table1[Data Leavers Date]=1000,SUM(Table1[Leaving Date]-Table1[Start Date]),"")</f>
        <v/>
      </c>
      <c r="ET367" s="44" t="str">
        <f>IF(Table1[Data Leavers Date]=2000,SUM(Table1[Leaving Date]-Table1[Start Date]),"")</f>
        <v/>
      </c>
      <c r="EU367" s="44" t="str">
        <f>IF(Table1[Data Leavers Date]=3000,SUM(Table1[Leaving Date]-Table1[Start Date]),"")</f>
        <v/>
      </c>
      <c r="EV367" s="44" t="str">
        <f>IF(Table1[Data Leavers Date]=4000,SUM(Table1[Leaving Date]-Table1[Start Date]),"")</f>
        <v/>
      </c>
      <c r="EW367" s="44" t="str">
        <f>IF(Table1[Data Leavers Date]=5000,SUM(Table1[Leaving Date]-Table1[Start Date]),"")</f>
        <v/>
      </c>
      <c r="EX367" s="44" t="str">
        <f>IF(Table1[Data Leavers Date]=6000,SUM(Table1[Leaving Date]-Table1[Start Date]),"")</f>
        <v/>
      </c>
      <c r="EY367" s="44" t="str">
        <f>IF(Table1[Data Leavers Date]=7000,SUM(Table1[Leaving Date]-Table1[Start Date]),"")</f>
        <v/>
      </c>
      <c r="EZ367" s="44" t="str">
        <f>IF(Table1[Data Leavers Date]=8000,SUM(Table1[Leaving Date]-Table1[Start Date]),"")</f>
        <v/>
      </c>
      <c r="FA367" s="44" t="str">
        <f>IF(Table1[Date of Initial Assessment]="","",IF(AND(Table1[Start Date]&gt;42094,Table1[Start Date]&lt;42461),Table1[Motivation and Taking Responsibility],""))</f>
        <v/>
      </c>
      <c r="FB367" s="44" t="str">
        <f>IF(Table1[Date of Initial Assessment]="","",IF(AND(Table1[Start Date]&gt;42094,Table1[Start Date]&lt;42461),Table1[Self-Care and Living Skills],""))</f>
        <v/>
      </c>
      <c r="FC367" s="44" t="str">
        <f>IF(Table1[Date of Initial Assessment]="","",IF(AND(Table1[Start Date]&gt;42094,Table1[Start Date]&lt;42461),Table1[Managing Money and Personal Administration],""))</f>
        <v/>
      </c>
      <c r="FD367" s="44" t="str">
        <f>IF(Table1[Date of Initial Assessment]="","",IF(AND(Table1[Start Date]&gt;42094,Table1[Start Date]&lt;42461),Table1[Social Networks and Relationships],""))</f>
        <v/>
      </c>
      <c r="FE367" s="44" t="str">
        <f>IF(Table1[Date of Initial Assessment]="","",IF(AND(Table1[Start Date]&gt;42094,Table1[Start Date]&lt;42461),Table1[Drug and Alcohol Misuse],""))</f>
        <v/>
      </c>
      <c r="FF367" s="44" t="str">
        <f>IF(Table1[Date of Initial Assessment]="","",IF(AND(Table1[Start Date]&gt;42094,Table1[Start Date]&lt;42461),Table1[Physical Health],""))</f>
        <v/>
      </c>
      <c r="FG367" s="44" t="str">
        <f>IF(Table1[Date of Initial Assessment]="","",IF(AND(Table1[Start Date]&gt;42094,Table1[Start Date]&lt;42461),Table1[Emotional and Mental Health],""))</f>
        <v/>
      </c>
      <c r="FH367" s="44" t="str">
        <f>IF(Table1[Date of Initial Assessment]="","",IF(AND(Table1[Start Date]&gt;42094,Table1[Start Date]&lt;42461),Table1[Meaningful Use of Time],""))</f>
        <v/>
      </c>
      <c r="FI367" s="44" t="str">
        <f>IF(Table1[Date of Initial Assessment]="","",IF(AND(Table1[Start Date]&gt;42094,Table1[Start Date]&lt;42461),Table1[Managing Tenancy and Accommodation],""))</f>
        <v/>
      </c>
      <c r="FJ367" s="44" t="str">
        <f>IF(Table1[Date of Initial Assessment]="","",IF(AND(Table1[Start Date]&gt;42094,Table1[Start Date]&lt;42461),Table1[Offending],""))</f>
        <v/>
      </c>
      <c r="FK367" s="44" t="str">
        <f>IF(Table1[Leaving Date]="","",IF(Table1[Date of Initial Assessment]="","",IF(AND(Table1[Leaving Date]&gt;42094,Table1[Leaving Date]&lt;42461),IF(Table1[Date of Last Assessment]="",Table1[Motivation and Taking Responsibility],Table1[Motivation and Taking Responsibility2]),"")))</f>
        <v/>
      </c>
      <c r="FL367" s="44" t="str">
        <f>IF(Table1[Leaving Date]="","",IF(Table1[Date of Initial Assessment]="","",IF(AND(Table1[Leaving Date]&gt;42094,Table1[Leaving Date]&lt;42461),IF(Table1[Date of Last Assessment]="",Table1[Self-Care and Living Skills],Table1[Self-Care and Living Skills2]),"")))</f>
        <v/>
      </c>
      <c r="FM367" s="44" t="str">
        <f>IF(Table1[Leaving Date]="","",IF(Table1[Date of Initial Assessment]="","",IF(AND(Table1[Leaving Date]&gt;42094,Table1[Leaving Date]&lt;42461),IF(Table1[Date of Last Assessment]="",Table1[Managing Money and Personal Administration],Table1[Managing Money and Personal Administration2]),"")))</f>
        <v/>
      </c>
      <c r="FN367" s="44" t="str">
        <f>IF(Table1[Leaving Date]="","",IF(Table1[Date of Initial Assessment]="","",IF(AND(Table1[Leaving Date]&gt;42094,Table1[Leaving Date]&lt;42461),IF(Table1[Date of Last Assessment]="",Table1[Social Networks and Relationships],Table1[Social Networks and Relationships2]),"")))</f>
        <v/>
      </c>
      <c r="FO367" s="44" t="str">
        <f>IF(Table1[Leaving Date]="","",IF(Table1[Date of Initial Assessment]="","",IF(AND(Table1[Leaving Date]&gt;42094,Table1[Leaving Date]&lt;42461),IF(Table1[Date of Last Assessment]="",Table1[Drug and Alcohol Misuse],Table1[Drug and Alcohol Misuse2]),"")))</f>
        <v/>
      </c>
      <c r="FP367" s="44" t="str">
        <f>IF(Table1[Leaving Date]="","",IF(Table1[Date of Initial Assessment]="","",IF(AND(Table1[Leaving Date]&gt;42094,Table1[Leaving Date]&lt;42461),IF(Table1[Date of Last Assessment]="",Table1[Physical Health],Table1[Physical Health2]),"")))</f>
        <v/>
      </c>
      <c r="FQ367" s="44" t="str">
        <f>IF(Table1[Leaving Date]="","",IF(Table1[Date of Initial Assessment]="","",IF(AND(Table1[Leaving Date]&gt;42094,Table1[Leaving Date]&lt;42461),IF(Table1[Date of Last Assessment]="",Table1[Emotional and Mental Health],Table1[Emotional and Mental Health2]),"")))</f>
        <v/>
      </c>
      <c r="FR367" s="44" t="str">
        <f>IF(Table1[Leaving Date]="","",IF(Table1[Date of Initial Assessment]="","",IF(AND(Table1[Leaving Date]&gt;42094,Table1[Leaving Date]&lt;42461),IF(Table1[Date of Last Assessment]="",Table1[Meaningful Use of Time],Table1[Meaningful Use of Time2]),"")))</f>
        <v/>
      </c>
      <c r="FS367" s="44" t="str">
        <f>IF(Table1[Leaving Date]="","",IF(Table1[Date of Initial Assessment]="","",IF(AND(Table1[Leaving Date]&gt;42094,Table1[Leaving Date]&lt;42461),IF(Table1[Date of Last Assessment]="",Table1[Managing Tenancy and Accommodation],Table1[Managing Tenancy and Accommodation2]),"")))</f>
        <v/>
      </c>
      <c r="FT367" s="44" t="str">
        <f>IF(Table1[Leaving Date]="","",IF(Table1[Date of Initial Assessment]="","",IF(AND(Table1[Leaving Date]&gt;42094,Table1[Leaving Date]&lt;42461),IF(Table1[Date of Last Assessment]="",Table1[Offending],Table1[Offending2]),"")))</f>
        <v/>
      </c>
      <c r="FU367" s="44" t="str">
        <f>IF(Table1[Date of Initial Assessment]="","",IF(AND(Table1[Start Date]&gt;42460,Table1[Start Date]&lt;42826),Table1[Motivation and Taking Responsibility],""))</f>
        <v/>
      </c>
      <c r="FV367" s="44" t="str">
        <f>IF(Table1[Date of Initial Assessment]="","",IF(AND(Table1[Start Date]&gt;42460,Table1[Start Date]&lt;42826),Table1[Self-Care and Living Skills],""))</f>
        <v/>
      </c>
      <c r="FW367" s="44" t="str">
        <f>IF(Table1[Date of Initial Assessment]="","",IF(AND(Table1[Start Date]&gt;42460,Table1[Start Date]&lt;42826),Table1[Managing Money and Personal Administration],""))</f>
        <v/>
      </c>
      <c r="FX367" s="44" t="str">
        <f>IF(Table1[Date of Initial Assessment]="","",IF(AND(Table1[Start Date]&gt;42460,Table1[Start Date]&lt;42826),Table1[Social Networks and Relationships],""))</f>
        <v/>
      </c>
      <c r="FY367" s="44" t="str">
        <f>IF(Table1[Date of Initial Assessment]="","",IF(AND(Table1[Start Date]&gt;42460,Table1[Start Date]&lt;42826),Table1[Drug and Alcohol Misuse],""))</f>
        <v/>
      </c>
      <c r="FZ367" s="44" t="str">
        <f>IF(Table1[Date of Initial Assessment]="","",IF(AND(Table1[Start Date]&gt;42460,Table1[Start Date]&lt;42826),Table1[Physical Health],""))</f>
        <v/>
      </c>
      <c r="GA367" s="44" t="str">
        <f>IF(Table1[Date of Initial Assessment]="","",IF(AND(Table1[Start Date]&gt;42460,Table1[Start Date]&lt;42826),Table1[Emotional and Mental Health],""))</f>
        <v/>
      </c>
      <c r="GB367" s="44" t="str">
        <f>IF(Table1[Date of Initial Assessment]="","",IF(AND(Table1[Start Date]&gt;42460,Table1[Start Date]&lt;42826),Table1[Meaningful Use of Time],""))</f>
        <v/>
      </c>
      <c r="GC367" s="44" t="str">
        <f>IF(Table1[Date of Initial Assessment]="","",IF(AND(Table1[Start Date]&gt;42460,Table1[Start Date]&lt;42826),Table1[Managing Tenancy and Accommodation],""))</f>
        <v/>
      </c>
      <c r="GD367" s="44" t="str">
        <f>IF(Table1[Date of Initial Assessment]="","",IF(AND(Table1[Start Date]&gt;42460,Table1[Start Date]&lt;42826),Table1[Offending],""))</f>
        <v/>
      </c>
      <c r="GE367" s="44" t="str">
        <f>IF(Table1[Leaving Date]="","",IF(AND(Table1[Leaving Date]&gt;42460,Table1[Leaving Date]&lt;42826),IF(Table1[Date of Last Assessment]="",Table1[Motivation and Taking Responsibility],Table1[Motivation and Taking Responsibility2]),""))</f>
        <v/>
      </c>
      <c r="GF367" s="44" t="str">
        <f>IF(Table1[Leaving Date]="","",IF(AND(Table1[Leaving Date]&gt;42460,Table1[Leaving Date]&lt;42826),IF(Table1[Date of Last Assessment]="",Table1[Self-Care and Living Skills],Table1[Self-Care and Living Skills2]),""))</f>
        <v/>
      </c>
      <c r="GG367" s="44" t="str">
        <f>IF(Table1[Leaving Date]="","",IF(AND(Table1[Leaving Date]&gt;42460,Table1[Leaving Date]&lt;42826),IF(Table1[Date of Last Assessment]="",Table1[Managing Money and Personal Administration],Table1[Managing Money and Personal Administration2]),""))</f>
        <v/>
      </c>
      <c r="GH367" s="44" t="str">
        <f>IF(Table1[Leaving Date]="","",IF(AND(Table1[Leaving Date]&gt;42460,Table1[Leaving Date]&lt;42826),IF(Table1[Date of Last Assessment]="",Table1[Social Networks and Relationships],Table1[Social Networks and Relationships2]),""))</f>
        <v/>
      </c>
      <c r="GI367" s="44" t="str">
        <f>IF(Table1[Leaving Date]="","",IF(AND(Table1[Leaving Date]&gt;42460,Table1[Leaving Date]&lt;42826),IF(Table1[Date of Last Assessment]="",Table1[Drug and Alcohol Misuse],Table1[Drug and Alcohol Misuse2]),""))</f>
        <v/>
      </c>
      <c r="GJ367" s="44" t="str">
        <f>IF(Table1[Leaving Date]="","",IF(AND(Table1[Leaving Date]&gt;42460,Table1[Leaving Date]&lt;42826),IF(Table1[Date of Last Assessment]="",Table1[Physical Health],Table1[Physical Health2]),""))</f>
        <v/>
      </c>
      <c r="GK367" s="44" t="str">
        <f>IF(Table1[Leaving Date]="","",IF(AND(Table1[Leaving Date]&gt;42460,Table1[Leaving Date]&lt;42826),IF(Table1[Date of Last Assessment]="",Table1[Emotional and Mental Health],Table1[Emotional and Mental Health2]),""))</f>
        <v/>
      </c>
      <c r="GL367" s="44" t="str">
        <f>IF(Table1[Leaving Date]="","",IF(AND(Table1[Leaving Date]&gt;42460,Table1[Leaving Date]&lt;42826),IF(Table1[Date of Last Assessment]="",Table1[Meaningful Use of Time],Table1[Meaningful Use of Time2]),""))</f>
        <v/>
      </c>
      <c r="GM367" s="44" t="str">
        <f>IF(Table1[Leaving Date]="","",IF(AND(Table1[Leaving Date]&gt;42460,Table1[Leaving Date]&lt;42826),IF(Table1[Date of Last Assessment]="",Table1[Managing Tenancy and Accommodation],Table1[Managing Tenancy and Accommodation2]),""))</f>
        <v/>
      </c>
      <c r="GN367" s="44" t="str">
        <f>IF(Table1[Leaving Date]="","",IF(AND(Table1[Leaving Date]&gt;42460,Table1[Leaving Date]&lt;42826),IF(Table1[Date of Last Assessment]="",Table1[Offending],Table1[Offending2]),""))</f>
        <v/>
      </c>
    </row>
    <row r="368" spans="2:196" ht="20.100000000000001" customHeight="1" x14ac:dyDescent="0.2">
      <c r="B368" s="86">
        <f>+'Service Data'!$C$5:$C$5</f>
        <v>0</v>
      </c>
      <c r="C368" s="86"/>
      <c r="D368" s="86"/>
      <c r="E368" s="86"/>
      <c r="F368" s="86"/>
      <c r="G368" s="86"/>
      <c r="H368" s="6"/>
      <c r="I368" s="99" t="str">
        <f ca="1">IF(Table1[[#This Row],[Date of Birth]]="","",SUM(TODAY()-Table1[[#This Row],[Date of Birth]])/365)</f>
        <v/>
      </c>
      <c r="L368" s="86"/>
      <c r="M368" s="77"/>
      <c r="N368" s="86"/>
      <c r="O368" s="86"/>
      <c r="P368" s="91"/>
      <c r="Q368" s="86"/>
      <c r="R368" s="77"/>
      <c r="S368" s="77"/>
      <c r="T368" s="68"/>
      <c r="U368" s="68"/>
      <c r="V368" s="67"/>
      <c r="W368" s="67"/>
      <c r="X368" s="67"/>
      <c r="Y368" s="67"/>
      <c r="Z368" s="67"/>
      <c r="AA368" s="67"/>
      <c r="AB368" s="67"/>
      <c r="AC368" s="67"/>
      <c r="AD368" s="67"/>
      <c r="AE368" s="67"/>
      <c r="AF368" s="67"/>
      <c r="AG368" s="67"/>
      <c r="AH368" s="67"/>
      <c r="AI368" s="67"/>
      <c r="AJ368" s="67"/>
      <c r="AK368" s="67"/>
      <c r="AL368" s="67"/>
      <c r="AM368" s="67"/>
      <c r="AN368" s="77"/>
      <c r="AO368" s="76"/>
      <c r="AP368" s="77"/>
      <c r="AQ368" s="76"/>
      <c r="AR368" s="76"/>
      <c r="AS368" s="76"/>
      <c r="AT368" s="76"/>
      <c r="AU368" s="76"/>
      <c r="AV368" s="77"/>
      <c r="AW368" s="76"/>
      <c r="AX368" s="77"/>
      <c r="AY368" s="76"/>
      <c r="AZ368" s="76"/>
      <c r="BA368" s="76"/>
      <c r="BB368" s="76"/>
      <c r="BC368" s="76"/>
      <c r="BD368" s="77"/>
      <c r="BE368" s="76"/>
      <c r="BF368" s="77"/>
      <c r="BG368" s="76"/>
      <c r="BH368" s="76"/>
      <c r="BI368" s="76"/>
      <c r="BJ368" s="76"/>
      <c r="BK368" s="76"/>
      <c r="BL368" s="77"/>
      <c r="BM368" s="76"/>
      <c r="BN368" s="77"/>
      <c r="BO368" s="76"/>
      <c r="BP368" s="76"/>
      <c r="BQ368" s="76"/>
      <c r="BR368" s="76"/>
      <c r="BS368" s="76"/>
      <c r="BT368" s="77"/>
      <c r="BU368" s="76"/>
      <c r="BV368" s="77"/>
      <c r="BW368" s="76"/>
      <c r="BX368" s="76"/>
      <c r="BY368" s="76"/>
      <c r="BZ368" s="76"/>
      <c r="CA368" s="76"/>
      <c r="CB368" s="77"/>
      <c r="CC368" s="76"/>
      <c r="CD368" s="77"/>
      <c r="CE368" s="76"/>
      <c r="CF368" s="76"/>
      <c r="CG368" s="76"/>
      <c r="CH368" s="76"/>
      <c r="CI368" s="76"/>
      <c r="CJ368" s="77"/>
      <c r="CK368" s="76"/>
      <c r="CL368" s="77"/>
      <c r="CM368" s="76"/>
      <c r="CN368" s="76"/>
      <c r="CO368" s="76"/>
      <c r="CP368" s="76"/>
      <c r="CQ368" s="76"/>
      <c r="CR368" s="78" t="str">
        <f t="shared" si="95"/>
        <v/>
      </c>
      <c r="CS368" s="79" t="str">
        <f t="shared" si="96"/>
        <v/>
      </c>
      <c r="CT368" s="79" t="str">
        <f t="shared" si="97"/>
        <v/>
      </c>
      <c r="CU368" s="79" t="str">
        <f t="shared" si="98"/>
        <v/>
      </c>
      <c r="CV368" s="79" t="str">
        <f t="shared" si="99"/>
        <v/>
      </c>
      <c r="CW368" s="79" t="str">
        <f t="shared" si="100"/>
        <v/>
      </c>
      <c r="CX368" s="79" t="str">
        <f t="shared" si="101"/>
        <v/>
      </c>
      <c r="CY368" s="79" t="str">
        <f t="shared" si="102"/>
        <v/>
      </c>
      <c r="CZ368" s="79" t="str">
        <f t="shared" si="103"/>
        <v/>
      </c>
      <c r="DA368" s="79" t="str">
        <f t="shared" si="104"/>
        <v/>
      </c>
      <c r="DB368" s="79" t="str">
        <f t="shared" si="105"/>
        <v/>
      </c>
      <c r="DC368" s="79" t="str">
        <f t="shared" si="106"/>
        <v/>
      </c>
      <c r="DD368" s="79" t="str">
        <f t="shared" si="107"/>
        <v/>
      </c>
      <c r="DE368" s="79" t="str">
        <f t="shared" si="108"/>
        <v/>
      </c>
      <c r="DF368" s="79" t="str">
        <f t="shared" si="109"/>
        <v/>
      </c>
      <c r="DG368" s="79" t="str">
        <f t="shared" si="110"/>
        <v/>
      </c>
      <c r="DH368" s="76"/>
      <c r="DI368" s="78"/>
      <c r="DJ368" s="76"/>
      <c r="DK368" s="77"/>
      <c r="DL368" s="77"/>
      <c r="DM368" s="77"/>
      <c r="DN368" s="80"/>
      <c r="DO368" s="80"/>
      <c r="DP368" s="92" t="str">
        <f>IF(Table1[Start Date]="","",IF(Table1[Start Date]&gt;42185,"",IF(AND(Table1[Leaving Date]&gt;1,Table1[Leaving Date]&lt;42095),"",1)))</f>
        <v/>
      </c>
      <c r="DQ368" s="92" t="str">
        <f>IF(Table1[Start Date]="","",IF(Table1[Start Date]&gt;42277,"",IF(AND(Table1[Leaving Date]&gt;1,Table1[Leaving Date]&lt;42186),"",1)))</f>
        <v/>
      </c>
      <c r="DR368" s="92" t="str">
        <f>IF(Table1[Start Date]="","",IF(Table1[Start Date]&gt;42369,"",IF(AND(Table1[Leaving Date]&gt;1,Table1[Leaving Date]&lt;42278),"",1)))</f>
        <v/>
      </c>
      <c r="DS368" s="92" t="str">
        <f>IF(Table1[Start Date]="","",IF(Table1[Start Date]&gt;42460,"",IF(AND(Table1[Leaving Date]&gt;1,Table1[Leaving Date]&lt;42370),"",1)))</f>
        <v/>
      </c>
      <c r="DT368" s="92" t="str">
        <f>IF(Table1[Start Date]="","",IF(Table1[Start Date]&gt;42551,"",IF(AND(Table1[Leaving Date]&gt;1,Table1[Leaving Date]&lt;42461),"",1)))</f>
        <v/>
      </c>
      <c r="DU368" s="92" t="str">
        <f>IF(Table1[Start Date]="","",IF(Table1[Start Date]&gt;42643,"",IF(AND(Table1[Leaving Date]&gt;1,Table1[Leaving Date]&lt;42552),"",1)))</f>
        <v/>
      </c>
      <c r="DV368" s="92" t="str">
        <f>IF(Table1[Start Date]="","",IF(Table1[Start Date]&gt;42735,"",IF(AND(Table1[Leaving Date]&gt;1,Table1[Leaving Date]&lt;42644),"",1)))</f>
        <v/>
      </c>
      <c r="DW368" s="92" t="str">
        <f>IF(Table1[Start Date]="","",IF(Table1[Start Date]&gt;42825,"",IF(AND(Table1[Leaving Date]&gt;1,Table1[Leaving Date]&lt;42736),"",1)))</f>
        <v/>
      </c>
      <c r="DX368"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368" s="44" t="e">
        <f>VLOOKUP(Table1[Referral Source],Lists!$G$2:$H$20,2,FALSE)</f>
        <v>#N/A</v>
      </c>
      <c r="DZ368" s="93" t="e">
        <f>SUM(Table1[Data Referral Quarter]+Table1[Data Referral Source])</f>
        <v>#N/A</v>
      </c>
      <c r="EA368" s="44" t="b">
        <f>IF(Table1[Referral Decision]="Accepted",100,IF(Table1[Referral Decision]="Rejected by Provider",200,IF(Table1[Referral Decision]="Rejected by Applicant",300)))</f>
        <v>0</v>
      </c>
      <c r="EB368" s="44">
        <f>SUM(Table1[Data Referral Quarter]+Table1[Data Referral Decision])</f>
        <v>0</v>
      </c>
      <c r="EC368" s="44" t="b">
        <f>IF(Table1[Start Date]&gt;42735,8000,IF(Table1[Start Date]&gt;42643,7000,IF(Table1[Start Date]&gt;42551,6000,IF(Table1[Start Date]&gt;42460,5000,IF(Table1[Start Date]&gt;42369,4000,IF(Table1[Start Date]&gt;42277,3000,IF(Table1[Start Date]&gt;42185,2000,IF(Table1[Start Date]&gt;42094,1000))))))))</f>
        <v>0</v>
      </c>
      <c r="ED368" s="44" t="str">
        <f>IF(Table1[Start Date]="","",IF(Table1[Current Local Authority]="Swindon",1,"2"))</f>
        <v/>
      </c>
      <c r="EE368" s="44" t="e">
        <f>SUM(Table1[Data Start Date]+Table1[Data Local Authority])</f>
        <v>#VALUE!</v>
      </c>
      <c r="EF368" s="44">
        <f>IF(Table1[Registered with GP]="Yes",1,0)</f>
        <v>0</v>
      </c>
      <c r="EG368" s="44">
        <f>SUM(Table1[Data Start Date]+Table1[Data GP Start])</f>
        <v>0</v>
      </c>
      <c r="EH368" s="44" t="str">
        <f>IF(Table1[EET]="NEET",1,IF(Table1[EET]="Education",2,IF(Table1[EET]="Employment",2,IF(Table1[EET]="Training",2,IF(Table1[EET]="Retired",3,"")))))</f>
        <v/>
      </c>
      <c r="EI368" s="44" t="e">
        <f>Table1[Data Start Date]+Table1[Data EET Start]</f>
        <v>#VALUE!</v>
      </c>
      <c r="EJ368" s="44" t="b">
        <f>IF(Table1[Leaving Date]&gt;42735,8000,IF(Table1[Leaving Date]&gt;42643,7000,IF(Table1[Leaving Date]&gt;42551,6000,IF(Table1[Leaving Date]&gt;42460,5000,IF(Table1[Leaving Date]&gt;42369,4000,IF(Table1[Leaving Date]&gt;42277,3000,IF(Table1[Leaving Date]&gt;42185,2000,IF(Table1[Leaving Date]&gt;42094,1000))))))))</f>
        <v>0</v>
      </c>
      <c r="EK368" s="44" t="e">
        <f>VLOOKUP(Table1[Reason for Leaving],Lists!$T$2:$U$15,2,FALSE)</f>
        <v>#N/A</v>
      </c>
      <c r="EL368" s="44" t="e">
        <f>SUM(Table1[Data Leavers Date]+Table1[Data Move On])</f>
        <v>#N/A</v>
      </c>
      <c r="EM368" s="44" t="b">
        <f>IF(Table1[Registered with GP2]="Yes",1,IF(Table1[Registered with GP2]="No",0,IF(Table1[Registered with GP]="Yes",1,IF(Table1[Registered with GP]="No",0))))</f>
        <v>0</v>
      </c>
      <c r="EN368" s="44">
        <f>SUM(Table1[Data Leavers Date]+Table1[Data GP End])</f>
        <v>0</v>
      </c>
      <c r="EO368" s="44" t="str">
        <f>IF(Table1[EET2]="NEET",1,IF(Table1[EET2]="Employment",2,IF(Table1[EET2]="Education",2,IF(Table1[EET2]="Training",2,IF(Table1[EET2]="Retired",3,IF(Table1[EET]="NEET",1,IF(Table1[EET]="Employment",2,IF(Table1[EET]="Education",2,IF(Table1[EET]="Training",2,IF(Table1[EET]="Retired",3,""))))))))))</f>
        <v/>
      </c>
      <c r="EP368" s="44" t="e">
        <f>+Table1[[#This Row],[Data Leavers Date]]+Table1[[#This Row],[Data EET End]]</f>
        <v>#VALUE!</v>
      </c>
      <c r="EQ368" s="44">
        <f>IF(Table1[Exit Form Received]="Yes",1,0)</f>
        <v>0</v>
      </c>
      <c r="ER368" s="44">
        <f>+Table1[[#This Row],[Data Leavers Date]]+Table1[[#This Row],[Data Exit Forms]]</f>
        <v>0</v>
      </c>
      <c r="ES368" s="44" t="str">
        <f>IF(Table1[Data Leavers Date]=1000,SUM(Table1[Leaving Date]-Table1[Start Date]),"")</f>
        <v/>
      </c>
      <c r="ET368" s="44" t="str">
        <f>IF(Table1[Data Leavers Date]=2000,SUM(Table1[Leaving Date]-Table1[Start Date]),"")</f>
        <v/>
      </c>
      <c r="EU368" s="44" t="str">
        <f>IF(Table1[Data Leavers Date]=3000,SUM(Table1[Leaving Date]-Table1[Start Date]),"")</f>
        <v/>
      </c>
      <c r="EV368" s="44" t="str">
        <f>IF(Table1[Data Leavers Date]=4000,SUM(Table1[Leaving Date]-Table1[Start Date]),"")</f>
        <v/>
      </c>
      <c r="EW368" s="44" t="str">
        <f>IF(Table1[Data Leavers Date]=5000,SUM(Table1[Leaving Date]-Table1[Start Date]),"")</f>
        <v/>
      </c>
      <c r="EX368" s="44" t="str">
        <f>IF(Table1[Data Leavers Date]=6000,SUM(Table1[Leaving Date]-Table1[Start Date]),"")</f>
        <v/>
      </c>
      <c r="EY368" s="44" t="str">
        <f>IF(Table1[Data Leavers Date]=7000,SUM(Table1[Leaving Date]-Table1[Start Date]),"")</f>
        <v/>
      </c>
      <c r="EZ368" s="44" t="str">
        <f>IF(Table1[Data Leavers Date]=8000,SUM(Table1[Leaving Date]-Table1[Start Date]),"")</f>
        <v/>
      </c>
      <c r="FA368" s="44" t="str">
        <f>IF(Table1[Date of Initial Assessment]="","",IF(AND(Table1[Start Date]&gt;42094,Table1[Start Date]&lt;42461),Table1[Motivation and Taking Responsibility],""))</f>
        <v/>
      </c>
      <c r="FB368" s="44" t="str">
        <f>IF(Table1[Date of Initial Assessment]="","",IF(AND(Table1[Start Date]&gt;42094,Table1[Start Date]&lt;42461),Table1[Self-Care and Living Skills],""))</f>
        <v/>
      </c>
      <c r="FC368" s="44" t="str">
        <f>IF(Table1[Date of Initial Assessment]="","",IF(AND(Table1[Start Date]&gt;42094,Table1[Start Date]&lt;42461),Table1[Managing Money and Personal Administration],""))</f>
        <v/>
      </c>
      <c r="FD368" s="44" t="str">
        <f>IF(Table1[Date of Initial Assessment]="","",IF(AND(Table1[Start Date]&gt;42094,Table1[Start Date]&lt;42461),Table1[Social Networks and Relationships],""))</f>
        <v/>
      </c>
      <c r="FE368" s="44" t="str">
        <f>IF(Table1[Date of Initial Assessment]="","",IF(AND(Table1[Start Date]&gt;42094,Table1[Start Date]&lt;42461),Table1[Drug and Alcohol Misuse],""))</f>
        <v/>
      </c>
      <c r="FF368" s="44" t="str">
        <f>IF(Table1[Date of Initial Assessment]="","",IF(AND(Table1[Start Date]&gt;42094,Table1[Start Date]&lt;42461),Table1[Physical Health],""))</f>
        <v/>
      </c>
      <c r="FG368" s="44" t="str">
        <f>IF(Table1[Date of Initial Assessment]="","",IF(AND(Table1[Start Date]&gt;42094,Table1[Start Date]&lt;42461),Table1[Emotional and Mental Health],""))</f>
        <v/>
      </c>
      <c r="FH368" s="44" t="str">
        <f>IF(Table1[Date of Initial Assessment]="","",IF(AND(Table1[Start Date]&gt;42094,Table1[Start Date]&lt;42461),Table1[Meaningful Use of Time],""))</f>
        <v/>
      </c>
      <c r="FI368" s="44" t="str">
        <f>IF(Table1[Date of Initial Assessment]="","",IF(AND(Table1[Start Date]&gt;42094,Table1[Start Date]&lt;42461),Table1[Managing Tenancy and Accommodation],""))</f>
        <v/>
      </c>
      <c r="FJ368" s="44" t="str">
        <f>IF(Table1[Date of Initial Assessment]="","",IF(AND(Table1[Start Date]&gt;42094,Table1[Start Date]&lt;42461),Table1[Offending],""))</f>
        <v/>
      </c>
      <c r="FK368" s="44" t="str">
        <f>IF(Table1[Leaving Date]="","",IF(Table1[Date of Initial Assessment]="","",IF(AND(Table1[Leaving Date]&gt;42094,Table1[Leaving Date]&lt;42461),IF(Table1[Date of Last Assessment]="",Table1[Motivation and Taking Responsibility],Table1[Motivation and Taking Responsibility2]),"")))</f>
        <v/>
      </c>
      <c r="FL368" s="44" t="str">
        <f>IF(Table1[Leaving Date]="","",IF(Table1[Date of Initial Assessment]="","",IF(AND(Table1[Leaving Date]&gt;42094,Table1[Leaving Date]&lt;42461),IF(Table1[Date of Last Assessment]="",Table1[Self-Care and Living Skills],Table1[Self-Care and Living Skills2]),"")))</f>
        <v/>
      </c>
      <c r="FM368" s="44" t="str">
        <f>IF(Table1[Leaving Date]="","",IF(Table1[Date of Initial Assessment]="","",IF(AND(Table1[Leaving Date]&gt;42094,Table1[Leaving Date]&lt;42461),IF(Table1[Date of Last Assessment]="",Table1[Managing Money and Personal Administration],Table1[Managing Money and Personal Administration2]),"")))</f>
        <v/>
      </c>
      <c r="FN368" s="44" t="str">
        <f>IF(Table1[Leaving Date]="","",IF(Table1[Date of Initial Assessment]="","",IF(AND(Table1[Leaving Date]&gt;42094,Table1[Leaving Date]&lt;42461),IF(Table1[Date of Last Assessment]="",Table1[Social Networks and Relationships],Table1[Social Networks and Relationships2]),"")))</f>
        <v/>
      </c>
      <c r="FO368" s="44" t="str">
        <f>IF(Table1[Leaving Date]="","",IF(Table1[Date of Initial Assessment]="","",IF(AND(Table1[Leaving Date]&gt;42094,Table1[Leaving Date]&lt;42461),IF(Table1[Date of Last Assessment]="",Table1[Drug and Alcohol Misuse],Table1[Drug and Alcohol Misuse2]),"")))</f>
        <v/>
      </c>
      <c r="FP368" s="44" t="str">
        <f>IF(Table1[Leaving Date]="","",IF(Table1[Date of Initial Assessment]="","",IF(AND(Table1[Leaving Date]&gt;42094,Table1[Leaving Date]&lt;42461),IF(Table1[Date of Last Assessment]="",Table1[Physical Health],Table1[Physical Health2]),"")))</f>
        <v/>
      </c>
      <c r="FQ368" s="44" t="str">
        <f>IF(Table1[Leaving Date]="","",IF(Table1[Date of Initial Assessment]="","",IF(AND(Table1[Leaving Date]&gt;42094,Table1[Leaving Date]&lt;42461),IF(Table1[Date of Last Assessment]="",Table1[Emotional and Mental Health],Table1[Emotional and Mental Health2]),"")))</f>
        <v/>
      </c>
      <c r="FR368" s="44" t="str">
        <f>IF(Table1[Leaving Date]="","",IF(Table1[Date of Initial Assessment]="","",IF(AND(Table1[Leaving Date]&gt;42094,Table1[Leaving Date]&lt;42461),IF(Table1[Date of Last Assessment]="",Table1[Meaningful Use of Time],Table1[Meaningful Use of Time2]),"")))</f>
        <v/>
      </c>
      <c r="FS368" s="44" t="str">
        <f>IF(Table1[Leaving Date]="","",IF(Table1[Date of Initial Assessment]="","",IF(AND(Table1[Leaving Date]&gt;42094,Table1[Leaving Date]&lt;42461),IF(Table1[Date of Last Assessment]="",Table1[Managing Tenancy and Accommodation],Table1[Managing Tenancy and Accommodation2]),"")))</f>
        <v/>
      </c>
      <c r="FT368" s="44" t="str">
        <f>IF(Table1[Leaving Date]="","",IF(Table1[Date of Initial Assessment]="","",IF(AND(Table1[Leaving Date]&gt;42094,Table1[Leaving Date]&lt;42461),IF(Table1[Date of Last Assessment]="",Table1[Offending],Table1[Offending2]),"")))</f>
        <v/>
      </c>
      <c r="FU368" s="44" t="str">
        <f>IF(Table1[Date of Initial Assessment]="","",IF(AND(Table1[Start Date]&gt;42460,Table1[Start Date]&lt;42826),Table1[Motivation and Taking Responsibility],""))</f>
        <v/>
      </c>
      <c r="FV368" s="44" t="str">
        <f>IF(Table1[Date of Initial Assessment]="","",IF(AND(Table1[Start Date]&gt;42460,Table1[Start Date]&lt;42826),Table1[Self-Care and Living Skills],""))</f>
        <v/>
      </c>
      <c r="FW368" s="44" t="str">
        <f>IF(Table1[Date of Initial Assessment]="","",IF(AND(Table1[Start Date]&gt;42460,Table1[Start Date]&lt;42826),Table1[Managing Money and Personal Administration],""))</f>
        <v/>
      </c>
      <c r="FX368" s="44" t="str">
        <f>IF(Table1[Date of Initial Assessment]="","",IF(AND(Table1[Start Date]&gt;42460,Table1[Start Date]&lt;42826),Table1[Social Networks and Relationships],""))</f>
        <v/>
      </c>
      <c r="FY368" s="44" t="str">
        <f>IF(Table1[Date of Initial Assessment]="","",IF(AND(Table1[Start Date]&gt;42460,Table1[Start Date]&lt;42826),Table1[Drug and Alcohol Misuse],""))</f>
        <v/>
      </c>
      <c r="FZ368" s="44" t="str">
        <f>IF(Table1[Date of Initial Assessment]="","",IF(AND(Table1[Start Date]&gt;42460,Table1[Start Date]&lt;42826),Table1[Physical Health],""))</f>
        <v/>
      </c>
      <c r="GA368" s="44" t="str">
        <f>IF(Table1[Date of Initial Assessment]="","",IF(AND(Table1[Start Date]&gt;42460,Table1[Start Date]&lt;42826),Table1[Emotional and Mental Health],""))</f>
        <v/>
      </c>
      <c r="GB368" s="44" t="str">
        <f>IF(Table1[Date of Initial Assessment]="","",IF(AND(Table1[Start Date]&gt;42460,Table1[Start Date]&lt;42826),Table1[Meaningful Use of Time],""))</f>
        <v/>
      </c>
      <c r="GC368" s="44" t="str">
        <f>IF(Table1[Date of Initial Assessment]="","",IF(AND(Table1[Start Date]&gt;42460,Table1[Start Date]&lt;42826),Table1[Managing Tenancy and Accommodation],""))</f>
        <v/>
      </c>
      <c r="GD368" s="44" t="str">
        <f>IF(Table1[Date of Initial Assessment]="","",IF(AND(Table1[Start Date]&gt;42460,Table1[Start Date]&lt;42826),Table1[Offending],""))</f>
        <v/>
      </c>
      <c r="GE368" s="44" t="str">
        <f>IF(Table1[Leaving Date]="","",IF(AND(Table1[Leaving Date]&gt;42460,Table1[Leaving Date]&lt;42826),IF(Table1[Date of Last Assessment]="",Table1[Motivation and Taking Responsibility],Table1[Motivation and Taking Responsibility2]),""))</f>
        <v/>
      </c>
      <c r="GF368" s="44" t="str">
        <f>IF(Table1[Leaving Date]="","",IF(AND(Table1[Leaving Date]&gt;42460,Table1[Leaving Date]&lt;42826),IF(Table1[Date of Last Assessment]="",Table1[Self-Care and Living Skills],Table1[Self-Care and Living Skills2]),""))</f>
        <v/>
      </c>
      <c r="GG368" s="44" t="str">
        <f>IF(Table1[Leaving Date]="","",IF(AND(Table1[Leaving Date]&gt;42460,Table1[Leaving Date]&lt;42826),IF(Table1[Date of Last Assessment]="",Table1[Managing Money and Personal Administration],Table1[Managing Money and Personal Administration2]),""))</f>
        <v/>
      </c>
      <c r="GH368" s="44" t="str">
        <f>IF(Table1[Leaving Date]="","",IF(AND(Table1[Leaving Date]&gt;42460,Table1[Leaving Date]&lt;42826),IF(Table1[Date of Last Assessment]="",Table1[Social Networks and Relationships],Table1[Social Networks and Relationships2]),""))</f>
        <v/>
      </c>
      <c r="GI368" s="44" t="str">
        <f>IF(Table1[Leaving Date]="","",IF(AND(Table1[Leaving Date]&gt;42460,Table1[Leaving Date]&lt;42826),IF(Table1[Date of Last Assessment]="",Table1[Drug and Alcohol Misuse],Table1[Drug and Alcohol Misuse2]),""))</f>
        <v/>
      </c>
      <c r="GJ368" s="44" t="str">
        <f>IF(Table1[Leaving Date]="","",IF(AND(Table1[Leaving Date]&gt;42460,Table1[Leaving Date]&lt;42826),IF(Table1[Date of Last Assessment]="",Table1[Physical Health],Table1[Physical Health2]),""))</f>
        <v/>
      </c>
      <c r="GK368" s="44" t="str">
        <f>IF(Table1[Leaving Date]="","",IF(AND(Table1[Leaving Date]&gt;42460,Table1[Leaving Date]&lt;42826),IF(Table1[Date of Last Assessment]="",Table1[Emotional and Mental Health],Table1[Emotional and Mental Health2]),""))</f>
        <v/>
      </c>
      <c r="GL368" s="44" t="str">
        <f>IF(Table1[Leaving Date]="","",IF(AND(Table1[Leaving Date]&gt;42460,Table1[Leaving Date]&lt;42826),IF(Table1[Date of Last Assessment]="",Table1[Meaningful Use of Time],Table1[Meaningful Use of Time2]),""))</f>
        <v/>
      </c>
      <c r="GM368" s="44" t="str">
        <f>IF(Table1[Leaving Date]="","",IF(AND(Table1[Leaving Date]&gt;42460,Table1[Leaving Date]&lt;42826),IF(Table1[Date of Last Assessment]="",Table1[Managing Tenancy and Accommodation],Table1[Managing Tenancy and Accommodation2]),""))</f>
        <v/>
      </c>
      <c r="GN368" s="44" t="str">
        <f>IF(Table1[Leaving Date]="","",IF(AND(Table1[Leaving Date]&gt;42460,Table1[Leaving Date]&lt;42826),IF(Table1[Date of Last Assessment]="",Table1[Offending],Table1[Offending2]),""))</f>
        <v/>
      </c>
    </row>
    <row r="369" spans="2:196" ht="20.100000000000001" customHeight="1" x14ac:dyDescent="0.2">
      <c r="B369" s="86">
        <f>+'Service Data'!$C$5:$C$5</f>
        <v>0</v>
      </c>
      <c r="C369" s="86"/>
      <c r="D369" s="86"/>
      <c r="E369" s="86"/>
      <c r="F369" s="86"/>
      <c r="G369" s="86"/>
      <c r="H369" s="6"/>
      <c r="I369" s="99" t="str">
        <f ca="1">IF(Table1[[#This Row],[Date of Birth]]="","",SUM(TODAY()-Table1[[#This Row],[Date of Birth]])/365)</f>
        <v/>
      </c>
      <c r="L369" s="86"/>
      <c r="M369" s="77"/>
      <c r="N369" s="86"/>
      <c r="O369" s="86"/>
      <c r="P369" s="91"/>
      <c r="Q369" s="86"/>
      <c r="R369" s="77"/>
      <c r="S369" s="77"/>
      <c r="T369" s="68"/>
      <c r="U369" s="68"/>
      <c r="V369" s="67"/>
      <c r="W369" s="67"/>
      <c r="X369" s="67"/>
      <c r="Y369" s="67"/>
      <c r="Z369" s="67"/>
      <c r="AA369" s="67"/>
      <c r="AB369" s="67"/>
      <c r="AC369" s="67"/>
      <c r="AD369" s="67"/>
      <c r="AE369" s="67"/>
      <c r="AF369" s="67"/>
      <c r="AG369" s="67"/>
      <c r="AH369" s="67"/>
      <c r="AI369" s="67"/>
      <c r="AJ369" s="67"/>
      <c r="AK369" s="67"/>
      <c r="AL369" s="67"/>
      <c r="AM369" s="67"/>
      <c r="AN369" s="77"/>
      <c r="AO369" s="76"/>
      <c r="AP369" s="77"/>
      <c r="AQ369" s="76"/>
      <c r="AR369" s="76"/>
      <c r="AS369" s="76"/>
      <c r="AT369" s="76"/>
      <c r="AU369" s="76"/>
      <c r="AV369" s="77"/>
      <c r="AW369" s="76"/>
      <c r="AX369" s="77"/>
      <c r="AY369" s="76"/>
      <c r="AZ369" s="76"/>
      <c r="BA369" s="76"/>
      <c r="BB369" s="76"/>
      <c r="BC369" s="76"/>
      <c r="BD369" s="77"/>
      <c r="BE369" s="76"/>
      <c r="BF369" s="77"/>
      <c r="BG369" s="76"/>
      <c r="BH369" s="76"/>
      <c r="BI369" s="76"/>
      <c r="BJ369" s="76"/>
      <c r="BK369" s="76"/>
      <c r="BL369" s="77"/>
      <c r="BM369" s="76"/>
      <c r="BN369" s="77"/>
      <c r="BO369" s="76"/>
      <c r="BP369" s="76"/>
      <c r="BQ369" s="76"/>
      <c r="BR369" s="76"/>
      <c r="BS369" s="76"/>
      <c r="BT369" s="77"/>
      <c r="BU369" s="76"/>
      <c r="BV369" s="77"/>
      <c r="BW369" s="76"/>
      <c r="BX369" s="76"/>
      <c r="BY369" s="76"/>
      <c r="BZ369" s="76"/>
      <c r="CA369" s="76"/>
      <c r="CB369" s="77"/>
      <c r="CC369" s="76"/>
      <c r="CD369" s="77"/>
      <c r="CE369" s="76"/>
      <c r="CF369" s="76"/>
      <c r="CG369" s="76"/>
      <c r="CH369" s="76"/>
      <c r="CI369" s="76"/>
      <c r="CJ369" s="77"/>
      <c r="CK369" s="76"/>
      <c r="CL369" s="77"/>
      <c r="CM369" s="76"/>
      <c r="CN369" s="76"/>
      <c r="CO369" s="76"/>
      <c r="CP369" s="76"/>
      <c r="CQ369" s="76"/>
      <c r="CR369" s="78" t="str">
        <f t="shared" si="95"/>
        <v/>
      </c>
      <c r="CS369" s="79" t="str">
        <f t="shared" si="96"/>
        <v/>
      </c>
      <c r="CT369" s="79" t="str">
        <f t="shared" si="97"/>
        <v/>
      </c>
      <c r="CU369" s="79" t="str">
        <f t="shared" si="98"/>
        <v/>
      </c>
      <c r="CV369" s="79" t="str">
        <f t="shared" si="99"/>
        <v/>
      </c>
      <c r="CW369" s="79" t="str">
        <f t="shared" si="100"/>
        <v/>
      </c>
      <c r="CX369" s="79" t="str">
        <f t="shared" si="101"/>
        <v/>
      </c>
      <c r="CY369" s="79" t="str">
        <f t="shared" si="102"/>
        <v/>
      </c>
      <c r="CZ369" s="79" t="str">
        <f t="shared" si="103"/>
        <v/>
      </c>
      <c r="DA369" s="79" t="str">
        <f t="shared" si="104"/>
        <v/>
      </c>
      <c r="DB369" s="79" t="str">
        <f t="shared" si="105"/>
        <v/>
      </c>
      <c r="DC369" s="79" t="str">
        <f t="shared" si="106"/>
        <v/>
      </c>
      <c r="DD369" s="79" t="str">
        <f t="shared" si="107"/>
        <v/>
      </c>
      <c r="DE369" s="79" t="str">
        <f t="shared" si="108"/>
        <v/>
      </c>
      <c r="DF369" s="79" t="str">
        <f t="shared" si="109"/>
        <v/>
      </c>
      <c r="DG369" s="79" t="str">
        <f t="shared" si="110"/>
        <v/>
      </c>
      <c r="DH369" s="76"/>
      <c r="DI369" s="78"/>
      <c r="DJ369" s="76"/>
      <c r="DK369" s="77"/>
      <c r="DL369" s="77"/>
      <c r="DM369" s="77"/>
      <c r="DN369" s="80"/>
      <c r="DO369" s="80"/>
      <c r="DP369" s="92" t="str">
        <f>IF(Table1[Start Date]="","",IF(Table1[Start Date]&gt;42185,"",IF(AND(Table1[Leaving Date]&gt;1,Table1[Leaving Date]&lt;42095),"",1)))</f>
        <v/>
      </c>
      <c r="DQ369" s="92" t="str">
        <f>IF(Table1[Start Date]="","",IF(Table1[Start Date]&gt;42277,"",IF(AND(Table1[Leaving Date]&gt;1,Table1[Leaving Date]&lt;42186),"",1)))</f>
        <v/>
      </c>
      <c r="DR369" s="92" t="str">
        <f>IF(Table1[Start Date]="","",IF(Table1[Start Date]&gt;42369,"",IF(AND(Table1[Leaving Date]&gt;1,Table1[Leaving Date]&lt;42278),"",1)))</f>
        <v/>
      </c>
      <c r="DS369" s="92" t="str">
        <f>IF(Table1[Start Date]="","",IF(Table1[Start Date]&gt;42460,"",IF(AND(Table1[Leaving Date]&gt;1,Table1[Leaving Date]&lt;42370),"",1)))</f>
        <v/>
      </c>
      <c r="DT369" s="92" t="str">
        <f>IF(Table1[Start Date]="","",IF(Table1[Start Date]&gt;42551,"",IF(AND(Table1[Leaving Date]&gt;1,Table1[Leaving Date]&lt;42461),"",1)))</f>
        <v/>
      </c>
      <c r="DU369" s="92" t="str">
        <f>IF(Table1[Start Date]="","",IF(Table1[Start Date]&gt;42643,"",IF(AND(Table1[Leaving Date]&gt;1,Table1[Leaving Date]&lt;42552),"",1)))</f>
        <v/>
      </c>
      <c r="DV369" s="92" t="str">
        <f>IF(Table1[Start Date]="","",IF(Table1[Start Date]&gt;42735,"",IF(AND(Table1[Leaving Date]&gt;1,Table1[Leaving Date]&lt;42644),"",1)))</f>
        <v/>
      </c>
      <c r="DW369" s="92" t="str">
        <f>IF(Table1[Start Date]="","",IF(Table1[Start Date]&gt;42825,"",IF(AND(Table1[Leaving Date]&gt;1,Table1[Leaving Date]&lt;42736),"",1)))</f>
        <v/>
      </c>
      <c r="DX369"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369" s="44" t="e">
        <f>VLOOKUP(Table1[Referral Source],Lists!$G$2:$H$20,2,FALSE)</f>
        <v>#N/A</v>
      </c>
      <c r="DZ369" s="93" t="e">
        <f>SUM(Table1[Data Referral Quarter]+Table1[Data Referral Source])</f>
        <v>#N/A</v>
      </c>
      <c r="EA369" s="44" t="b">
        <f>IF(Table1[Referral Decision]="Accepted",100,IF(Table1[Referral Decision]="Rejected by Provider",200,IF(Table1[Referral Decision]="Rejected by Applicant",300)))</f>
        <v>0</v>
      </c>
      <c r="EB369" s="44">
        <f>SUM(Table1[Data Referral Quarter]+Table1[Data Referral Decision])</f>
        <v>0</v>
      </c>
      <c r="EC369" s="44" t="b">
        <f>IF(Table1[Start Date]&gt;42735,8000,IF(Table1[Start Date]&gt;42643,7000,IF(Table1[Start Date]&gt;42551,6000,IF(Table1[Start Date]&gt;42460,5000,IF(Table1[Start Date]&gt;42369,4000,IF(Table1[Start Date]&gt;42277,3000,IF(Table1[Start Date]&gt;42185,2000,IF(Table1[Start Date]&gt;42094,1000))))))))</f>
        <v>0</v>
      </c>
      <c r="ED369" s="44" t="str">
        <f>IF(Table1[Start Date]="","",IF(Table1[Current Local Authority]="Swindon",1,"2"))</f>
        <v/>
      </c>
      <c r="EE369" s="44" t="e">
        <f>SUM(Table1[Data Start Date]+Table1[Data Local Authority])</f>
        <v>#VALUE!</v>
      </c>
      <c r="EF369" s="44">
        <f>IF(Table1[Registered with GP]="Yes",1,0)</f>
        <v>0</v>
      </c>
      <c r="EG369" s="44">
        <f>SUM(Table1[Data Start Date]+Table1[Data GP Start])</f>
        <v>0</v>
      </c>
      <c r="EH369" s="44" t="str">
        <f>IF(Table1[EET]="NEET",1,IF(Table1[EET]="Education",2,IF(Table1[EET]="Employment",2,IF(Table1[EET]="Training",2,IF(Table1[EET]="Retired",3,"")))))</f>
        <v/>
      </c>
      <c r="EI369" s="44" t="e">
        <f>Table1[Data Start Date]+Table1[Data EET Start]</f>
        <v>#VALUE!</v>
      </c>
      <c r="EJ369" s="44" t="b">
        <f>IF(Table1[Leaving Date]&gt;42735,8000,IF(Table1[Leaving Date]&gt;42643,7000,IF(Table1[Leaving Date]&gt;42551,6000,IF(Table1[Leaving Date]&gt;42460,5000,IF(Table1[Leaving Date]&gt;42369,4000,IF(Table1[Leaving Date]&gt;42277,3000,IF(Table1[Leaving Date]&gt;42185,2000,IF(Table1[Leaving Date]&gt;42094,1000))))))))</f>
        <v>0</v>
      </c>
      <c r="EK369" s="44" t="e">
        <f>VLOOKUP(Table1[Reason for Leaving],Lists!$T$2:$U$15,2,FALSE)</f>
        <v>#N/A</v>
      </c>
      <c r="EL369" s="44" t="e">
        <f>SUM(Table1[Data Leavers Date]+Table1[Data Move On])</f>
        <v>#N/A</v>
      </c>
      <c r="EM369" s="44" t="b">
        <f>IF(Table1[Registered with GP2]="Yes",1,IF(Table1[Registered with GP2]="No",0,IF(Table1[Registered with GP]="Yes",1,IF(Table1[Registered with GP]="No",0))))</f>
        <v>0</v>
      </c>
      <c r="EN369" s="44">
        <f>SUM(Table1[Data Leavers Date]+Table1[Data GP End])</f>
        <v>0</v>
      </c>
      <c r="EO369" s="44" t="str">
        <f>IF(Table1[EET2]="NEET",1,IF(Table1[EET2]="Employment",2,IF(Table1[EET2]="Education",2,IF(Table1[EET2]="Training",2,IF(Table1[EET2]="Retired",3,IF(Table1[EET]="NEET",1,IF(Table1[EET]="Employment",2,IF(Table1[EET]="Education",2,IF(Table1[EET]="Training",2,IF(Table1[EET]="Retired",3,""))))))))))</f>
        <v/>
      </c>
      <c r="EP369" s="44" t="e">
        <f>+Table1[[#This Row],[Data Leavers Date]]+Table1[[#This Row],[Data EET End]]</f>
        <v>#VALUE!</v>
      </c>
      <c r="EQ369" s="44">
        <f>IF(Table1[Exit Form Received]="Yes",1,0)</f>
        <v>0</v>
      </c>
      <c r="ER369" s="44">
        <f>+Table1[[#This Row],[Data Leavers Date]]+Table1[[#This Row],[Data Exit Forms]]</f>
        <v>0</v>
      </c>
      <c r="ES369" s="44" t="str">
        <f>IF(Table1[Data Leavers Date]=1000,SUM(Table1[Leaving Date]-Table1[Start Date]),"")</f>
        <v/>
      </c>
      <c r="ET369" s="44" t="str">
        <f>IF(Table1[Data Leavers Date]=2000,SUM(Table1[Leaving Date]-Table1[Start Date]),"")</f>
        <v/>
      </c>
      <c r="EU369" s="44" t="str">
        <f>IF(Table1[Data Leavers Date]=3000,SUM(Table1[Leaving Date]-Table1[Start Date]),"")</f>
        <v/>
      </c>
      <c r="EV369" s="44" t="str">
        <f>IF(Table1[Data Leavers Date]=4000,SUM(Table1[Leaving Date]-Table1[Start Date]),"")</f>
        <v/>
      </c>
      <c r="EW369" s="44" t="str">
        <f>IF(Table1[Data Leavers Date]=5000,SUM(Table1[Leaving Date]-Table1[Start Date]),"")</f>
        <v/>
      </c>
      <c r="EX369" s="44" t="str">
        <f>IF(Table1[Data Leavers Date]=6000,SUM(Table1[Leaving Date]-Table1[Start Date]),"")</f>
        <v/>
      </c>
      <c r="EY369" s="44" t="str">
        <f>IF(Table1[Data Leavers Date]=7000,SUM(Table1[Leaving Date]-Table1[Start Date]),"")</f>
        <v/>
      </c>
      <c r="EZ369" s="44" t="str">
        <f>IF(Table1[Data Leavers Date]=8000,SUM(Table1[Leaving Date]-Table1[Start Date]),"")</f>
        <v/>
      </c>
      <c r="FA369" s="44" t="str">
        <f>IF(Table1[Date of Initial Assessment]="","",IF(AND(Table1[Start Date]&gt;42094,Table1[Start Date]&lt;42461),Table1[Motivation and Taking Responsibility],""))</f>
        <v/>
      </c>
      <c r="FB369" s="44" t="str">
        <f>IF(Table1[Date of Initial Assessment]="","",IF(AND(Table1[Start Date]&gt;42094,Table1[Start Date]&lt;42461),Table1[Self-Care and Living Skills],""))</f>
        <v/>
      </c>
      <c r="FC369" s="44" t="str">
        <f>IF(Table1[Date of Initial Assessment]="","",IF(AND(Table1[Start Date]&gt;42094,Table1[Start Date]&lt;42461),Table1[Managing Money and Personal Administration],""))</f>
        <v/>
      </c>
      <c r="FD369" s="44" t="str">
        <f>IF(Table1[Date of Initial Assessment]="","",IF(AND(Table1[Start Date]&gt;42094,Table1[Start Date]&lt;42461),Table1[Social Networks and Relationships],""))</f>
        <v/>
      </c>
      <c r="FE369" s="44" t="str">
        <f>IF(Table1[Date of Initial Assessment]="","",IF(AND(Table1[Start Date]&gt;42094,Table1[Start Date]&lt;42461),Table1[Drug and Alcohol Misuse],""))</f>
        <v/>
      </c>
      <c r="FF369" s="44" t="str">
        <f>IF(Table1[Date of Initial Assessment]="","",IF(AND(Table1[Start Date]&gt;42094,Table1[Start Date]&lt;42461),Table1[Physical Health],""))</f>
        <v/>
      </c>
      <c r="FG369" s="44" t="str">
        <f>IF(Table1[Date of Initial Assessment]="","",IF(AND(Table1[Start Date]&gt;42094,Table1[Start Date]&lt;42461),Table1[Emotional and Mental Health],""))</f>
        <v/>
      </c>
      <c r="FH369" s="44" t="str">
        <f>IF(Table1[Date of Initial Assessment]="","",IF(AND(Table1[Start Date]&gt;42094,Table1[Start Date]&lt;42461),Table1[Meaningful Use of Time],""))</f>
        <v/>
      </c>
      <c r="FI369" s="44" t="str">
        <f>IF(Table1[Date of Initial Assessment]="","",IF(AND(Table1[Start Date]&gt;42094,Table1[Start Date]&lt;42461),Table1[Managing Tenancy and Accommodation],""))</f>
        <v/>
      </c>
      <c r="FJ369" s="44" t="str">
        <f>IF(Table1[Date of Initial Assessment]="","",IF(AND(Table1[Start Date]&gt;42094,Table1[Start Date]&lt;42461),Table1[Offending],""))</f>
        <v/>
      </c>
      <c r="FK369" s="44" t="str">
        <f>IF(Table1[Leaving Date]="","",IF(Table1[Date of Initial Assessment]="","",IF(AND(Table1[Leaving Date]&gt;42094,Table1[Leaving Date]&lt;42461),IF(Table1[Date of Last Assessment]="",Table1[Motivation and Taking Responsibility],Table1[Motivation and Taking Responsibility2]),"")))</f>
        <v/>
      </c>
      <c r="FL369" s="44" t="str">
        <f>IF(Table1[Leaving Date]="","",IF(Table1[Date of Initial Assessment]="","",IF(AND(Table1[Leaving Date]&gt;42094,Table1[Leaving Date]&lt;42461),IF(Table1[Date of Last Assessment]="",Table1[Self-Care and Living Skills],Table1[Self-Care and Living Skills2]),"")))</f>
        <v/>
      </c>
      <c r="FM369" s="44" t="str">
        <f>IF(Table1[Leaving Date]="","",IF(Table1[Date of Initial Assessment]="","",IF(AND(Table1[Leaving Date]&gt;42094,Table1[Leaving Date]&lt;42461),IF(Table1[Date of Last Assessment]="",Table1[Managing Money and Personal Administration],Table1[Managing Money and Personal Administration2]),"")))</f>
        <v/>
      </c>
      <c r="FN369" s="44" t="str">
        <f>IF(Table1[Leaving Date]="","",IF(Table1[Date of Initial Assessment]="","",IF(AND(Table1[Leaving Date]&gt;42094,Table1[Leaving Date]&lt;42461),IF(Table1[Date of Last Assessment]="",Table1[Social Networks and Relationships],Table1[Social Networks and Relationships2]),"")))</f>
        <v/>
      </c>
      <c r="FO369" s="44" t="str">
        <f>IF(Table1[Leaving Date]="","",IF(Table1[Date of Initial Assessment]="","",IF(AND(Table1[Leaving Date]&gt;42094,Table1[Leaving Date]&lt;42461),IF(Table1[Date of Last Assessment]="",Table1[Drug and Alcohol Misuse],Table1[Drug and Alcohol Misuse2]),"")))</f>
        <v/>
      </c>
      <c r="FP369" s="44" t="str">
        <f>IF(Table1[Leaving Date]="","",IF(Table1[Date of Initial Assessment]="","",IF(AND(Table1[Leaving Date]&gt;42094,Table1[Leaving Date]&lt;42461),IF(Table1[Date of Last Assessment]="",Table1[Physical Health],Table1[Physical Health2]),"")))</f>
        <v/>
      </c>
      <c r="FQ369" s="44" t="str">
        <f>IF(Table1[Leaving Date]="","",IF(Table1[Date of Initial Assessment]="","",IF(AND(Table1[Leaving Date]&gt;42094,Table1[Leaving Date]&lt;42461),IF(Table1[Date of Last Assessment]="",Table1[Emotional and Mental Health],Table1[Emotional and Mental Health2]),"")))</f>
        <v/>
      </c>
      <c r="FR369" s="44" t="str">
        <f>IF(Table1[Leaving Date]="","",IF(Table1[Date of Initial Assessment]="","",IF(AND(Table1[Leaving Date]&gt;42094,Table1[Leaving Date]&lt;42461),IF(Table1[Date of Last Assessment]="",Table1[Meaningful Use of Time],Table1[Meaningful Use of Time2]),"")))</f>
        <v/>
      </c>
      <c r="FS369" s="44" t="str">
        <f>IF(Table1[Leaving Date]="","",IF(Table1[Date of Initial Assessment]="","",IF(AND(Table1[Leaving Date]&gt;42094,Table1[Leaving Date]&lt;42461),IF(Table1[Date of Last Assessment]="",Table1[Managing Tenancy and Accommodation],Table1[Managing Tenancy and Accommodation2]),"")))</f>
        <v/>
      </c>
      <c r="FT369" s="44" t="str">
        <f>IF(Table1[Leaving Date]="","",IF(Table1[Date of Initial Assessment]="","",IF(AND(Table1[Leaving Date]&gt;42094,Table1[Leaving Date]&lt;42461),IF(Table1[Date of Last Assessment]="",Table1[Offending],Table1[Offending2]),"")))</f>
        <v/>
      </c>
      <c r="FU369" s="44" t="str">
        <f>IF(Table1[Date of Initial Assessment]="","",IF(AND(Table1[Start Date]&gt;42460,Table1[Start Date]&lt;42826),Table1[Motivation and Taking Responsibility],""))</f>
        <v/>
      </c>
      <c r="FV369" s="44" t="str">
        <f>IF(Table1[Date of Initial Assessment]="","",IF(AND(Table1[Start Date]&gt;42460,Table1[Start Date]&lt;42826),Table1[Self-Care and Living Skills],""))</f>
        <v/>
      </c>
      <c r="FW369" s="44" t="str">
        <f>IF(Table1[Date of Initial Assessment]="","",IF(AND(Table1[Start Date]&gt;42460,Table1[Start Date]&lt;42826),Table1[Managing Money and Personal Administration],""))</f>
        <v/>
      </c>
      <c r="FX369" s="44" t="str">
        <f>IF(Table1[Date of Initial Assessment]="","",IF(AND(Table1[Start Date]&gt;42460,Table1[Start Date]&lt;42826),Table1[Social Networks and Relationships],""))</f>
        <v/>
      </c>
      <c r="FY369" s="44" t="str">
        <f>IF(Table1[Date of Initial Assessment]="","",IF(AND(Table1[Start Date]&gt;42460,Table1[Start Date]&lt;42826),Table1[Drug and Alcohol Misuse],""))</f>
        <v/>
      </c>
      <c r="FZ369" s="44" t="str">
        <f>IF(Table1[Date of Initial Assessment]="","",IF(AND(Table1[Start Date]&gt;42460,Table1[Start Date]&lt;42826),Table1[Physical Health],""))</f>
        <v/>
      </c>
      <c r="GA369" s="44" t="str">
        <f>IF(Table1[Date of Initial Assessment]="","",IF(AND(Table1[Start Date]&gt;42460,Table1[Start Date]&lt;42826),Table1[Emotional and Mental Health],""))</f>
        <v/>
      </c>
      <c r="GB369" s="44" t="str">
        <f>IF(Table1[Date of Initial Assessment]="","",IF(AND(Table1[Start Date]&gt;42460,Table1[Start Date]&lt;42826),Table1[Meaningful Use of Time],""))</f>
        <v/>
      </c>
      <c r="GC369" s="44" t="str">
        <f>IF(Table1[Date of Initial Assessment]="","",IF(AND(Table1[Start Date]&gt;42460,Table1[Start Date]&lt;42826),Table1[Managing Tenancy and Accommodation],""))</f>
        <v/>
      </c>
      <c r="GD369" s="44" t="str">
        <f>IF(Table1[Date of Initial Assessment]="","",IF(AND(Table1[Start Date]&gt;42460,Table1[Start Date]&lt;42826),Table1[Offending],""))</f>
        <v/>
      </c>
      <c r="GE369" s="44" t="str">
        <f>IF(Table1[Leaving Date]="","",IF(AND(Table1[Leaving Date]&gt;42460,Table1[Leaving Date]&lt;42826),IF(Table1[Date of Last Assessment]="",Table1[Motivation and Taking Responsibility],Table1[Motivation and Taking Responsibility2]),""))</f>
        <v/>
      </c>
      <c r="GF369" s="44" t="str">
        <f>IF(Table1[Leaving Date]="","",IF(AND(Table1[Leaving Date]&gt;42460,Table1[Leaving Date]&lt;42826),IF(Table1[Date of Last Assessment]="",Table1[Self-Care and Living Skills],Table1[Self-Care and Living Skills2]),""))</f>
        <v/>
      </c>
      <c r="GG369" s="44" t="str">
        <f>IF(Table1[Leaving Date]="","",IF(AND(Table1[Leaving Date]&gt;42460,Table1[Leaving Date]&lt;42826),IF(Table1[Date of Last Assessment]="",Table1[Managing Money and Personal Administration],Table1[Managing Money and Personal Administration2]),""))</f>
        <v/>
      </c>
      <c r="GH369" s="44" t="str">
        <f>IF(Table1[Leaving Date]="","",IF(AND(Table1[Leaving Date]&gt;42460,Table1[Leaving Date]&lt;42826),IF(Table1[Date of Last Assessment]="",Table1[Social Networks and Relationships],Table1[Social Networks and Relationships2]),""))</f>
        <v/>
      </c>
      <c r="GI369" s="44" t="str">
        <f>IF(Table1[Leaving Date]="","",IF(AND(Table1[Leaving Date]&gt;42460,Table1[Leaving Date]&lt;42826),IF(Table1[Date of Last Assessment]="",Table1[Drug and Alcohol Misuse],Table1[Drug and Alcohol Misuse2]),""))</f>
        <v/>
      </c>
      <c r="GJ369" s="44" t="str">
        <f>IF(Table1[Leaving Date]="","",IF(AND(Table1[Leaving Date]&gt;42460,Table1[Leaving Date]&lt;42826),IF(Table1[Date of Last Assessment]="",Table1[Physical Health],Table1[Physical Health2]),""))</f>
        <v/>
      </c>
      <c r="GK369" s="44" t="str">
        <f>IF(Table1[Leaving Date]="","",IF(AND(Table1[Leaving Date]&gt;42460,Table1[Leaving Date]&lt;42826),IF(Table1[Date of Last Assessment]="",Table1[Emotional and Mental Health],Table1[Emotional and Mental Health2]),""))</f>
        <v/>
      </c>
      <c r="GL369" s="44" t="str">
        <f>IF(Table1[Leaving Date]="","",IF(AND(Table1[Leaving Date]&gt;42460,Table1[Leaving Date]&lt;42826),IF(Table1[Date of Last Assessment]="",Table1[Meaningful Use of Time],Table1[Meaningful Use of Time2]),""))</f>
        <v/>
      </c>
      <c r="GM369" s="44" t="str">
        <f>IF(Table1[Leaving Date]="","",IF(AND(Table1[Leaving Date]&gt;42460,Table1[Leaving Date]&lt;42826),IF(Table1[Date of Last Assessment]="",Table1[Managing Tenancy and Accommodation],Table1[Managing Tenancy and Accommodation2]),""))</f>
        <v/>
      </c>
      <c r="GN369" s="44" t="str">
        <f>IF(Table1[Leaving Date]="","",IF(AND(Table1[Leaving Date]&gt;42460,Table1[Leaving Date]&lt;42826),IF(Table1[Date of Last Assessment]="",Table1[Offending],Table1[Offending2]),""))</f>
        <v/>
      </c>
    </row>
    <row r="370" spans="2:196" ht="20.100000000000001" customHeight="1" x14ac:dyDescent="0.2">
      <c r="B370" s="86">
        <f>+'Service Data'!$C$5:$C$5</f>
        <v>0</v>
      </c>
      <c r="C370" s="86"/>
      <c r="D370" s="86"/>
      <c r="E370" s="86"/>
      <c r="F370" s="86"/>
      <c r="G370" s="86"/>
      <c r="H370" s="6"/>
      <c r="I370" s="99" t="str">
        <f ca="1">IF(Table1[[#This Row],[Date of Birth]]="","",SUM(TODAY()-Table1[[#This Row],[Date of Birth]])/365)</f>
        <v/>
      </c>
      <c r="L370" s="86"/>
      <c r="M370" s="77"/>
      <c r="N370" s="86"/>
      <c r="O370" s="86"/>
      <c r="P370" s="91"/>
      <c r="Q370" s="86"/>
      <c r="R370" s="77"/>
      <c r="S370" s="77"/>
      <c r="T370" s="68"/>
      <c r="U370" s="68"/>
      <c r="V370" s="67"/>
      <c r="W370" s="67"/>
      <c r="X370" s="67"/>
      <c r="Y370" s="67"/>
      <c r="Z370" s="67"/>
      <c r="AA370" s="67"/>
      <c r="AB370" s="67"/>
      <c r="AC370" s="67"/>
      <c r="AD370" s="67"/>
      <c r="AE370" s="67"/>
      <c r="AF370" s="67"/>
      <c r="AG370" s="67"/>
      <c r="AH370" s="67"/>
      <c r="AI370" s="67"/>
      <c r="AJ370" s="67"/>
      <c r="AK370" s="67"/>
      <c r="AL370" s="67"/>
      <c r="AM370" s="67"/>
      <c r="AN370" s="77"/>
      <c r="AO370" s="76"/>
      <c r="AP370" s="77"/>
      <c r="AQ370" s="76"/>
      <c r="AR370" s="76"/>
      <c r="AS370" s="76"/>
      <c r="AT370" s="76"/>
      <c r="AU370" s="76"/>
      <c r="AV370" s="77"/>
      <c r="AW370" s="76"/>
      <c r="AX370" s="77"/>
      <c r="AY370" s="76"/>
      <c r="AZ370" s="76"/>
      <c r="BA370" s="76"/>
      <c r="BB370" s="76"/>
      <c r="BC370" s="76"/>
      <c r="BD370" s="77"/>
      <c r="BE370" s="76"/>
      <c r="BF370" s="77"/>
      <c r="BG370" s="76"/>
      <c r="BH370" s="76"/>
      <c r="BI370" s="76"/>
      <c r="BJ370" s="76"/>
      <c r="BK370" s="76"/>
      <c r="BL370" s="77"/>
      <c r="BM370" s="76"/>
      <c r="BN370" s="77"/>
      <c r="BO370" s="76"/>
      <c r="BP370" s="76"/>
      <c r="BQ370" s="76"/>
      <c r="BR370" s="76"/>
      <c r="BS370" s="76"/>
      <c r="BT370" s="77"/>
      <c r="BU370" s="76"/>
      <c r="BV370" s="77"/>
      <c r="BW370" s="76"/>
      <c r="BX370" s="76"/>
      <c r="BY370" s="76"/>
      <c r="BZ370" s="76"/>
      <c r="CA370" s="76"/>
      <c r="CB370" s="77"/>
      <c r="CC370" s="76"/>
      <c r="CD370" s="77"/>
      <c r="CE370" s="76"/>
      <c r="CF370" s="76"/>
      <c r="CG370" s="76"/>
      <c r="CH370" s="76"/>
      <c r="CI370" s="76"/>
      <c r="CJ370" s="77"/>
      <c r="CK370" s="76"/>
      <c r="CL370" s="77"/>
      <c r="CM370" s="76"/>
      <c r="CN370" s="76"/>
      <c r="CO370" s="76"/>
      <c r="CP370" s="76"/>
      <c r="CQ370" s="76"/>
      <c r="CR370" s="78" t="str">
        <f t="shared" si="95"/>
        <v/>
      </c>
      <c r="CS370" s="79" t="str">
        <f t="shared" si="96"/>
        <v/>
      </c>
      <c r="CT370" s="79" t="str">
        <f t="shared" si="97"/>
        <v/>
      </c>
      <c r="CU370" s="79" t="str">
        <f t="shared" si="98"/>
        <v/>
      </c>
      <c r="CV370" s="79" t="str">
        <f t="shared" si="99"/>
        <v/>
      </c>
      <c r="CW370" s="79" t="str">
        <f t="shared" si="100"/>
        <v/>
      </c>
      <c r="CX370" s="79" t="str">
        <f t="shared" si="101"/>
        <v/>
      </c>
      <c r="CY370" s="79" t="str">
        <f t="shared" si="102"/>
        <v/>
      </c>
      <c r="CZ370" s="79" t="str">
        <f t="shared" si="103"/>
        <v/>
      </c>
      <c r="DA370" s="79" t="str">
        <f t="shared" si="104"/>
        <v/>
      </c>
      <c r="DB370" s="79" t="str">
        <f t="shared" si="105"/>
        <v/>
      </c>
      <c r="DC370" s="79" t="str">
        <f t="shared" si="106"/>
        <v/>
      </c>
      <c r="DD370" s="79" t="str">
        <f t="shared" si="107"/>
        <v/>
      </c>
      <c r="DE370" s="79" t="str">
        <f t="shared" si="108"/>
        <v/>
      </c>
      <c r="DF370" s="79" t="str">
        <f t="shared" si="109"/>
        <v/>
      </c>
      <c r="DG370" s="79" t="str">
        <f t="shared" si="110"/>
        <v/>
      </c>
      <c r="DH370" s="76"/>
      <c r="DI370" s="78"/>
      <c r="DJ370" s="76"/>
      <c r="DK370" s="77"/>
      <c r="DL370" s="77"/>
      <c r="DM370" s="77"/>
      <c r="DN370" s="80"/>
      <c r="DO370" s="80"/>
      <c r="DP370" s="92" t="str">
        <f>IF(Table1[Start Date]="","",IF(Table1[Start Date]&gt;42185,"",IF(AND(Table1[Leaving Date]&gt;1,Table1[Leaving Date]&lt;42095),"",1)))</f>
        <v/>
      </c>
      <c r="DQ370" s="92" t="str">
        <f>IF(Table1[Start Date]="","",IF(Table1[Start Date]&gt;42277,"",IF(AND(Table1[Leaving Date]&gt;1,Table1[Leaving Date]&lt;42186),"",1)))</f>
        <v/>
      </c>
      <c r="DR370" s="92" t="str">
        <f>IF(Table1[Start Date]="","",IF(Table1[Start Date]&gt;42369,"",IF(AND(Table1[Leaving Date]&gt;1,Table1[Leaving Date]&lt;42278),"",1)))</f>
        <v/>
      </c>
      <c r="DS370" s="92" t="str">
        <f>IF(Table1[Start Date]="","",IF(Table1[Start Date]&gt;42460,"",IF(AND(Table1[Leaving Date]&gt;1,Table1[Leaving Date]&lt;42370),"",1)))</f>
        <v/>
      </c>
      <c r="DT370" s="92" t="str">
        <f>IF(Table1[Start Date]="","",IF(Table1[Start Date]&gt;42551,"",IF(AND(Table1[Leaving Date]&gt;1,Table1[Leaving Date]&lt;42461),"",1)))</f>
        <v/>
      </c>
      <c r="DU370" s="92" t="str">
        <f>IF(Table1[Start Date]="","",IF(Table1[Start Date]&gt;42643,"",IF(AND(Table1[Leaving Date]&gt;1,Table1[Leaving Date]&lt;42552),"",1)))</f>
        <v/>
      </c>
      <c r="DV370" s="92" t="str">
        <f>IF(Table1[Start Date]="","",IF(Table1[Start Date]&gt;42735,"",IF(AND(Table1[Leaving Date]&gt;1,Table1[Leaving Date]&lt;42644),"",1)))</f>
        <v/>
      </c>
      <c r="DW370" s="92" t="str">
        <f>IF(Table1[Start Date]="","",IF(Table1[Start Date]&gt;42825,"",IF(AND(Table1[Leaving Date]&gt;1,Table1[Leaving Date]&lt;42736),"",1)))</f>
        <v/>
      </c>
      <c r="DX370"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370" s="44" t="e">
        <f>VLOOKUP(Table1[Referral Source],Lists!$G$2:$H$20,2,FALSE)</f>
        <v>#N/A</v>
      </c>
      <c r="DZ370" s="93" t="e">
        <f>SUM(Table1[Data Referral Quarter]+Table1[Data Referral Source])</f>
        <v>#N/A</v>
      </c>
      <c r="EA370" s="44" t="b">
        <f>IF(Table1[Referral Decision]="Accepted",100,IF(Table1[Referral Decision]="Rejected by Provider",200,IF(Table1[Referral Decision]="Rejected by Applicant",300)))</f>
        <v>0</v>
      </c>
      <c r="EB370" s="44">
        <f>SUM(Table1[Data Referral Quarter]+Table1[Data Referral Decision])</f>
        <v>0</v>
      </c>
      <c r="EC370" s="44" t="b">
        <f>IF(Table1[Start Date]&gt;42735,8000,IF(Table1[Start Date]&gt;42643,7000,IF(Table1[Start Date]&gt;42551,6000,IF(Table1[Start Date]&gt;42460,5000,IF(Table1[Start Date]&gt;42369,4000,IF(Table1[Start Date]&gt;42277,3000,IF(Table1[Start Date]&gt;42185,2000,IF(Table1[Start Date]&gt;42094,1000))))))))</f>
        <v>0</v>
      </c>
      <c r="ED370" s="44" t="str">
        <f>IF(Table1[Start Date]="","",IF(Table1[Current Local Authority]="Swindon",1,"2"))</f>
        <v/>
      </c>
      <c r="EE370" s="44" t="e">
        <f>SUM(Table1[Data Start Date]+Table1[Data Local Authority])</f>
        <v>#VALUE!</v>
      </c>
      <c r="EF370" s="44">
        <f>IF(Table1[Registered with GP]="Yes",1,0)</f>
        <v>0</v>
      </c>
      <c r="EG370" s="44">
        <f>SUM(Table1[Data Start Date]+Table1[Data GP Start])</f>
        <v>0</v>
      </c>
      <c r="EH370" s="44" t="str">
        <f>IF(Table1[EET]="NEET",1,IF(Table1[EET]="Education",2,IF(Table1[EET]="Employment",2,IF(Table1[EET]="Training",2,IF(Table1[EET]="Retired",3,"")))))</f>
        <v/>
      </c>
      <c r="EI370" s="44" t="e">
        <f>Table1[Data Start Date]+Table1[Data EET Start]</f>
        <v>#VALUE!</v>
      </c>
      <c r="EJ370" s="44" t="b">
        <f>IF(Table1[Leaving Date]&gt;42735,8000,IF(Table1[Leaving Date]&gt;42643,7000,IF(Table1[Leaving Date]&gt;42551,6000,IF(Table1[Leaving Date]&gt;42460,5000,IF(Table1[Leaving Date]&gt;42369,4000,IF(Table1[Leaving Date]&gt;42277,3000,IF(Table1[Leaving Date]&gt;42185,2000,IF(Table1[Leaving Date]&gt;42094,1000))))))))</f>
        <v>0</v>
      </c>
      <c r="EK370" s="44" t="e">
        <f>VLOOKUP(Table1[Reason for Leaving],Lists!$T$2:$U$15,2,FALSE)</f>
        <v>#N/A</v>
      </c>
      <c r="EL370" s="44" t="e">
        <f>SUM(Table1[Data Leavers Date]+Table1[Data Move On])</f>
        <v>#N/A</v>
      </c>
      <c r="EM370" s="44" t="b">
        <f>IF(Table1[Registered with GP2]="Yes",1,IF(Table1[Registered with GP2]="No",0,IF(Table1[Registered with GP]="Yes",1,IF(Table1[Registered with GP]="No",0))))</f>
        <v>0</v>
      </c>
      <c r="EN370" s="44">
        <f>SUM(Table1[Data Leavers Date]+Table1[Data GP End])</f>
        <v>0</v>
      </c>
      <c r="EO370" s="44" t="str">
        <f>IF(Table1[EET2]="NEET",1,IF(Table1[EET2]="Employment",2,IF(Table1[EET2]="Education",2,IF(Table1[EET2]="Training",2,IF(Table1[EET2]="Retired",3,IF(Table1[EET]="NEET",1,IF(Table1[EET]="Employment",2,IF(Table1[EET]="Education",2,IF(Table1[EET]="Training",2,IF(Table1[EET]="Retired",3,""))))))))))</f>
        <v/>
      </c>
      <c r="EP370" s="44" t="e">
        <f>+Table1[[#This Row],[Data Leavers Date]]+Table1[[#This Row],[Data EET End]]</f>
        <v>#VALUE!</v>
      </c>
      <c r="EQ370" s="44">
        <f>IF(Table1[Exit Form Received]="Yes",1,0)</f>
        <v>0</v>
      </c>
      <c r="ER370" s="44">
        <f>+Table1[[#This Row],[Data Leavers Date]]+Table1[[#This Row],[Data Exit Forms]]</f>
        <v>0</v>
      </c>
      <c r="ES370" s="44" t="str">
        <f>IF(Table1[Data Leavers Date]=1000,SUM(Table1[Leaving Date]-Table1[Start Date]),"")</f>
        <v/>
      </c>
      <c r="ET370" s="44" t="str">
        <f>IF(Table1[Data Leavers Date]=2000,SUM(Table1[Leaving Date]-Table1[Start Date]),"")</f>
        <v/>
      </c>
      <c r="EU370" s="44" t="str">
        <f>IF(Table1[Data Leavers Date]=3000,SUM(Table1[Leaving Date]-Table1[Start Date]),"")</f>
        <v/>
      </c>
      <c r="EV370" s="44" t="str">
        <f>IF(Table1[Data Leavers Date]=4000,SUM(Table1[Leaving Date]-Table1[Start Date]),"")</f>
        <v/>
      </c>
      <c r="EW370" s="44" t="str">
        <f>IF(Table1[Data Leavers Date]=5000,SUM(Table1[Leaving Date]-Table1[Start Date]),"")</f>
        <v/>
      </c>
      <c r="EX370" s="44" t="str">
        <f>IF(Table1[Data Leavers Date]=6000,SUM(Table1[Leaving Date]-Table1[Start Date]),"")</f>
        <v/>
      </c>
      <c r="EY370" s="44" t="str">
        <f>IF(Table1[Data Leavers Date]=7000,SUM(Table1[Leaving Date]-Table1[Start Date]),"")</f>
        <v/>
      </c>
      <c r="EZ370" s="44" t="str">
        <f>IF(Table1[Data Leavers Date]=8000,SUM(Table1[Leaving Date]-Table1[Start Date]),"")</f>
        <v/>
      </c>
      <c r="FA370" s="44" t="str">
        <f>IF(Table1[Date of Initial Assessment]="","",IF(AND(Table1[Start Date]&gt;42094,Table1[Start Date]&lt;42461),Table1[Motivation and Taking Responsibility],""))</f>
        <v/>
      </c>
      <c r="FB370" s="44" t="str">
        <f>IF(Table1[Date of Initial Assessment]="","",IF(AND(Table1[Start Date]&gt;42094,Table1[Start Date]&lt;42461),Table1[Self-Care and Living Skills],""))</f>
        <v/>
      </c>
      <c r="FC370" s="44" t="str">
        <f>IF(Table1[Date of Initial Assessment]="","",IF(AND(Table1[Start Date]&gt;42094,Table1[Start Date]&lt;42461),Table1[Managing Money and Personal Administration],""))</f>
        <v/>
      </c>
      <c r="FD370" s="44" t="str">
        <f>IF(Table1[Date of Initial Assessment]="","",IF(AND(Table1[Start Date]&gt;42094,Table1[Start Date]&lt;42461),Table1[Social Networks and Relationships],""))</f>
        <v/>
      </c>
      <c r="FE370" s="44" t="str">
        <f>IF(Table1[Date of Initial Assessment]="","",IF(AND(Table1[Start Date]&gt;42094,Table1[Start Date]&lt;42461),Table1[Drug and Alcohol Misuse],""))</f>
        <v/>
      </c>
      <c r="FF370" s="44" t="str">
        <f>IF(Table1[Date of Initial Assessment]="","",IF(AND(Table1[Start Date]&gt;42094,Table1[Start Date]&lt;42461),Table1[Physical Health],""))</f>
        <v/>
      </c>
      <c r="FG370" s="44" t="str">
        <f>IF(Table1[Date of Initial Assessment]="","",IF(AND(Table1[Start Date]&gt;42094,Table1[Start Date]&lt;42461),Table1[Emotional and Mental Health],""))</f>
        <v/>
      </c>
      <c r="FH370" s="44" t="str">
        <f>IF(Table1[Date of Initial Assessment]="","",IF(AND(Table1[Start Date]&gt;42094,Table1[Start Date]&lt;42461),Table1[Meaningful Use of Time],""))</f>
        <v/>
      </c>
      <c r="FI370" s="44" t="str">
        <f>IF(Table1[Date of Initial Assessment]="","",IF(AND(Table1[Start Date]&gt;42094,Table1[Start Date]&lt;42461),Table1[Managing Tenancy and Accommodation],""))</f>
        <v/>
      </c>
      <c r="FJ370" s="44" t="str">
        <f>IF(Table1[Date of Initial Assessment]="","",IF(AND(Table1[Start Date]&gt;42094,Table1[Start Date]&lt;42461),Table1[Offending],""))</f>
        <v/>
      </c>
      <c r="FK370" s="44" t="str">
        <f>IF(Table1[Leaving Date]="","",IF(Table1[Date of Initial Assessment]="","",IF(AND(Table1[Leaving Date]&gt;42094,Table1[Leaving Date]&lt;42461),IF(Table1[Date of Last Assessment]="",Table1[Motivation and Taking Responsibility],Table1[Motivation and Taking Responsibility2]),"")))</f>
        <v/>
      </c>
      <c r="FL370" s="44" t="str">
        <f>IF(Table1[Leaving Date]="","",IF(Table1[Date of Initial Assessment]="","",IF(AND(Table1[Leaving Date]&gt;42094,Table1[Leaving Date]&lt;42461),IF(Table1[Date of Last Assessment]="",Table1[Self-Care and Living Skills],Table1[Self-Care and Living Skills2]),"")))</f>
        <v/>
      </c>
      <c r="FM370" s="44" t="str">
        <f>IF(Table1[Leaving Date]="","",IF(Table1[Date of Initial Assessment]="","",IF(AND(Table1[Leaving Date]&gt;42094,Table1[Leaving Date]&lt;42461),IF(Table1[Date of Last Assessment]="",Table1[Managing Money and Personal Administration],Table1[Managing Money and Personal Administration2]),"")))</f>
        <v/>
      </c>
      <c r="FN370" s="44" t="str">
        <f>IF(Table1[Leaving Date]="","",IF(Table1[Date of Initial Assessment]="","",IF(AND(Table1[Leaving Date]&gt;42094,Table1[Leaving Date]&lt;42461),IF(Table1[Date of Last Assessment]="",Table1[Social Networks and Relationships],Table1[Social Networks and Relationships2]),"")))</f>
        <v/>
      </c>
      <c r="FO370" s="44" t="str">
        <f>IF(Table1[Leaving Date]="","",IF(Table1[Date of Initial Assessment]="","",IF(AND(Table1[Leaving Date]&gt;42094,Table1[Leaving Date]&lt;42461),IF(Table1[Date of Last Assessment]="",Table1[Drug and Alcohol Misuse],Table1[Drug and Alcohol Misuse2]),"")))</f>
        <v/>
      </c>
      <c r="FP370" s="44" t="str">
        <f>IF(Table1[Leaving Date]="","",IF(Table1[Date of Initial Assessment]="","",IF(AND(Table1[Leaving Date]&gt;42094,Table1[Leaving Date]&lt;42461),IF(Table1[Date of Last Assessment]="",Table1[Physical Health],Table1[Physical Health2]),"")))</f>
        <v/>
      </c>
      <c r="FQ370" s="44" t="str">
        <f>IF(Table1[Leaving Date]="","",IF(Table1[Date of Initial Assessment]="","",IF(AND(Table1[Leaving Date]&gt;42094,Table1[Leaving Date]&lt;42461),IF(Table1[Date of Last Assessment]="",Table1[Emotional and Mental Health],Table1[Emotional and Mental Health2]),"")))</f>
        <v/>
      </c>
      <c r="FR370" s="44" t="str">
        <f>IF(Table1[Leaving Date]="","",IF(Table1[Date of Initial Assessment]="","",IF(AND(Table1[Leaving Date]&gt;42094,Table1[Leaving Date]&lt;42461),IF(Table1[Date of Last Assessment]="",Table1[Meaningful Use of Time],Table1[Meaningful Use of Time2]),"")))</f>
        <v/>
      </c>
      <c r="FS370" s="44" t="str">
        <f>IF(Table1[Leaving Date]="","",IF(Table1[Date of Initial Assessment]="","",IF(AND(Table1[Leaving Date]&gt;42094,Table1[Leaving Date]&lt;42461),IF(Table1[Date of Last Assessment]="",Table1[Managing Tenancy and Accommodation],Table1[Managing Tenancy and Accommodation2]),"")))</f>
        <v/>
      </c>
      <c r="FT370" s="44" t="str">
        <f>IF(Table1[Leaving Date]="","",IF(Table1[Date of Initial Assessment]="","",IF(AND(Table1[Leaving Date]&gt;42094,Table1[Leaving Date]&lt;42461),IF(Table1[Date of Last Assessment]="",Table1[Offending],Table1[Offending2]),"")))</f>
        <v/>
      </c>
      <c r="FU370" s="44" t="str">
        <f>IF(Table1[Date of Initial Assessment]="","",IF(AND(Table1[Start Date]&gt;42460,Table1[Start Date]&lt;42826),Table1[Motivation and Taking Responsibility],""))</f>
        <v/>
      </c>
      <c r="FV370" s="44" t="str">
        <f>IF(Table1[Date of Initial Assessment]="","",IF(AND(Table1[Start Date]&gt;42460,Table1[Start Date]&lt;42826),Table1[Self-Care and Living Skills],""))</f>
        <v/>
      </c>
      <c r="FW370" s="44" t="str">
        <f>IF(Table1[Date of Initial Assessment]="","",IF(AND(Table1[Start Date]&gt;42460,Table1[Start Date]&lt;42826),Table1[Managing Money and Personal Administration],""))</f>
        <v/>
      </c>
      <c r="FX370" s="44" t="str">
        <f>IF(Table1[Date of Initial Assessment]="","",IF(AND(Table1[Start Date]&gt;42460,Table1[Start Date]&lt;42826),Table1[Social Networks and Relationships],""))</f>
        <v/>
      </c>
      <c r="FY370" s="44" t="str">
        <f>IF(Table1[Date of Initial Assessment]="","",IF(AND(Table1[Start Date]&gt;42460,Table1[Start Date]&lt;42826),Table1[Drug and Alcohol Misuse],""))</f>
        <v/>
      </c>
      <c r="FZ370" s="44" t="str">
        <f>IF(Table1[Date of Initial Assessment]="","",IF(AND(Table1[Start Date]&gt;42460,Table1[Start Date]&lt;42826),Table1[Physical Health],""))</f>
        <v/>
      </c>
      <c r="GA370" s="44" t="str">
        <f>IF(Table1[Date of Initial Assessment]="","",IF(AND(Table1[Start Date]&gt;42460,Table1[Start Date]&lt;42826),Table1[Emotional and Mental Health],""))</f>
        <v/>
      </c>
      <c r="GB370" s="44" t="str">
        <f>IF(Table1[Date of Initial Assessment]="","",IF(AND(Table1[Start Date]&gt;42460,Table1[Start Date]&lt;42826),Table1[Meaningful Use of Time],""))</f>
        <v/>
      </c>
      <c r="GC370" s="44" t="str">
        <f>IF(Table1[Date of Initial Assessment]="","",IF(AND(Table1[Start Date]&gt;42460,Table1[Start Date]&lt;42826),Table1[Managing Tenancy and Accommodation],""))</f>
        <v/>
      </c>
      <c r="GD370" s="44" t="str">
        <f>IF(Table1[Date of Initial Assessment]="","",IF(AND(Table1[Start Date]&gt;42460,Table1[Start Date]&lt;42826),Table1[Offending],""))</f>
        <v/>
      </c>
      <c r="GE370" s="44" t="str">
        <f>IF(Table1[Leaving Date]="","",IF(AND(Table1[Leaving Date]&gt;42460,Table1[Leaving Date]&lt;42826),IF(Table1[Date of Last Assessment]="",Table1[Motivation and Taking Responsibility],Table1[Motivation and Taking Responsibility2]),""))</f>
        <v/>
      </c>
      <c r="GF370" s="44" t="str">
        <f>IF(Table1[Leaving Date]="","",IF(AND(Table1[Leaving Date]&gt;42460,Table1[Leaving Date]&lt;42826),IF(Table1[Date of Last Assessment]="",Table1[Self-Care and Living Skills],Table1[Self-Care and Living Skills2]),""))</f>
        <v/>
      </c>
      <c r="GG370" s="44" t="str">
        <f>IF(Table1[Leaving Date]="","",IF(AND(Table1[Leaving Date]&gt;42460,Table1[Leaving Date]&lt;42826),IF(Table1[Date of Last Assessment]="",Table1[Managing Money and Personal Administration],Table1[Managing Money and Personal Administration2]),""))</f>
        <v/>
      </c>
      <c r="GH370" s="44" t="str">
        <f>IF(Table1[Leaving Date]="","",IF(AND(Table1[Leaving Date]&gt;42460,Table1[Leaving Date]&lt;42826),IF(Table1[Date of Last Assessment]="",Table1[Social Networks and Relationships],Table1[Social Networks and Relationships2]),""))</f>
        <v/>
      </c>
      <c r="GI370" s="44" t="str">
        <f>IF(Table1[Leaving Date]="","",IF(AND(Table1[Leaving Date]&gt;42460,Table1[Leaving Date]&lt;42826),IF(Table1[Date of Last Assessment]="",Table1[Drug and Alcohol Misuse],Table1[Drug and Alcohol Misuse2]),""))</f>
        <v/>
      </c>
      <c r="GJ370" s="44" t="str">
        <f>IF(Table1[Leaving Date]="","",IF(AND(Table1[Leaving Date]&gt;42460,Table1[Leaving Date]&lt;42826),IF(Table1[Date of Last Assessment]="",Table1[Physical Health],Table1[Physical Health2]),""))</f>
        <v/>
      </c>
      <c r="GK370" s="44" t="str">
        <f>IF(Table1[Leaving Date]="","",IF(AND(Table1[Leaving Date]&gt;42460,Table1[Leaving Date]&lt;42826),IF(Table1[Date of Last Assessment]="",Table1[Emotional and Mental Health],Table1[Emotional and Mental Health2]),""))</f>
        <v/>
      </c>
      <c r="GL370" s="44" t="str">
        <f>IF(Table1[Leaving Date]="","",IF(AND(Table1[Leaving Date]&gt;42460,Table1[Leaving Date]&lt;42826),IF(Table1[Date of Last Assessment]="",Table1[Meaningful Use of Time],Table1[Meaningful Use of Time2]),""))</f>
        <v/>
      </c>
      <c r="GM370" s="44" t="str">
        <f>IF(Table1[Leaving Date]="","",IF(AND(Table1[Leaving Date]&gt;42460,Table1[Leaving Date]&lt;42826),IF(Table1[Date of Last Assessment]="",Table1[Managing Tenancy and Accommodation],Table1[Managing Tenancy and Accommodation2]),""))</f>
        <v/>
      </c>
      <c r="GN370" s="44" t="str">
        <f>IF(Table1[Leaving Date]="","",IF(AND(Table1[Leaving Date]&gt;42460,Table1[Leaving Date]&lt;42826),IF(Table1[Date of Last Assessment]="",Table1[Offending],Table1[Offending2]),""))</f>
        <v/>
      </c>
    </row>
    <row r="371" spans="2:196" ht="20.100000000000001" customHeight="1" x14ac:dyDescent="0.2">
      <c r="B371" s="86">
        <f>+'Service Data'!$C$5:$C$5</f>
        <v>0</v>
      </c>
      <c r="C371" s="86"/>
      <c r="D371" s="86"/>
      <c r="E371" s="86"/>
      <c r="F371" s="86"/>
      <c r="G371" s="86"/>
      <c r="H371" s="6"/>
      <c r="I371" s="99" t="str">
        <f ca="1">IF(Table1[[#This Row],[Date of Birth]]="","",SUM(TODAY()-Table1[[#This Row],[Date of Birth]])/365)</f>
        <v/>
      </c>
      <c r="L371" s="86"/>
      <c r="M371" s="77"/>
      <c r="N371" s="86"/>
      <c r="O371" s="86"/>
      <c r="P371" s="91"/>
      <c r="Q371" s="86"/>
      <c r="R371" s="77"/>
      <c r="S371" s="77"/>
      <c r="T371" s="68"/>
      <c r="U371" s="68"/>
      <c r="V371" s="67"/>
      <c r="W371" s="67"/>
      <c r="X371" s="67"/>
      <c r="Y371" s="67"/>
      <c r="Z371" s="67"/>
      <c r="AA371" s="67"/>
      <c r="AB371" s="67"/>
      <c r="AC371" s="67"/>
      <c r="AD371" s="67"/>
      <c r="AE371" s="67"/>
      <c r="AF371" s="67"/>
      <c r="AG371" s="67"/>
      <c r="AH371" s="67"/>
      <c r="AI371" s="67"/>
      <c r="AJ371" s="67"/>
      <c r="AK371" s="67"/>
      <c r="AL371" s="67"/>
      <c r="AM371" s="67"/>
      <c r="AN371" s="77"/>
      <c r="AO371" s="76"/>
      <c r="AP371" s="77"/>
      <c r="AQ371" s="76"/>
      <c r="AR371" s="76"/>
      <c r="AS371" s="76"/>
      <c r="AT371" s="76"/>
      <c r="AU371" s="76"/>
      <c r="AV371" s="77"/>
      <c r="AW371" s="76"/>
      <c r="AX371" s="77"/>
      <c r="AY371" s="76"/>
      <c r="AZ371" s="76"/>
      <c r="BA371" s="76"/>
      <c r="BB371" s="76"/>
      <c r="BC371" s="76"/>
      <c r="BD371" s="77"/>
      <c r="BE371" s="76"/>
      <c r="BF371" s="77"/>
      <c r="BG371" s="76"/>
      <c r="BH371" s="76"/>
      <c r="BI371" s="76"/>
      <c r="BJ371" s="76"/>
      <c r="BK371" s="76"/>
      <c r="BL371" s="77"/>
      <c r="BM371" s="76"/>
      <c r="BN371" s="77"/>
      <c r="BO371" s="76"/>
      <c r="BP371" s="76"/>
      <c r="BQ371" s="76"/>
      <c r="BR371" s="76"/>
      <c r="BS371" s="76"/>
      <c r="BT371" s="77"/>
      <c r="BU371" s="76"/>
      <c r="BV371" s="77"/>
      <c r="BW371" s="76"/>
      <c r="BX371" s="76"/>
      <c r="BY371" s="76"/>
      <c r="BZ371" s="76"/>
      <c r="CA371" s="76"/>
      <c r="CB371" s="77"/>
      <c r="CC371" s="76"/>
      <c r="CD371" s="77"/>
      <c r="CE371" s="76"/>
      <c r="CF371" s="76"/>
      <c r="CG371" s="76"/>
      <c r="CH371" s="76"/>
      <c r="CI371" s="76"/>
      <c r="CJ371" s="77"/>
      <c r="CK371" s="76"/>
      <c r="CL371" s="77"/>
      <c r="CM371" s="76"/>
      <c r="CN371" s="76"/>
      <c r="CO371" s="76"/>
      <c r="CP371" s="76"/>
      <c r="CQ371" s="76"/>
      <c r="CR371" s="78" t="str">
        <f t="shared" si="95"/>
        <v/>
      </c>
      <c r="CS371" s="79" t="str">
        <f t="shared" si="96"/>
        <v/>
      </c>
      <c r="CT371" s="79" t="str">
        <f t="shared" si="97"/>
        <v/>
      </c>
      <c r="CU371" s="79" t="str">
        <f t="shared" si="98"/>
        <v/>
      </c>
      <c r="CV371" s="79" t="str">
        <f t="shared" si="99"/>
        <v/>
      </c>
      <c r="CW371" s="79" t="str">
        <f t="shared" si="100"/>
        <v/>
      </c>
      <c r="CX371" s="79" t="str">
        <f t="shared" si="101"/>
        <v/>
      </c>
      <c r="CY371" s="79" t="str">
        <f t="shared" si="102"/>
        <v/>
      </c>
      <c r="CZ371" s="79" t="str">
        <f t="shared" si="103"/>
        <v/>
      </c>
      <c r="DA371" s="79" t="str">
        <f t="shared" si="104"/>
        <v/>
      </c>
      <c r="DB371" s="79" t="str">
        <f t="shared" si="105"/>
        <v/>
      </c>
      <c r="DC371" s="79" t="str">
        <f t="shared" si="106"/>
        <v/>
      </c>
      <c r="DD371" s="79" t="str">
        <f t="shared" si="107"/>
        <v/>
      </c>
      <c r="DE371" s="79" t="str">
        <f t="shared" si="108"/>
        <v/>
      </c>
      <c r="DF371" s="79" t="str">
        <f t="shared" si="109"/>
        <v/>
      </c>
      <c r="DG371" s="79" t="str">
        <f t="shared" si="110"/>
        <v/>
      </c>
      <c r="DH371" s="76"/>
      <c r="DI371" s="78"/>
      <c r="DJ371" s="76"/>
      <c r="DK371" s="77"/>
      <c r="DL371" s="77"/>
      <c r="DM371" s="77"/>
      <c r="DN371" s="80"/>
      <c r="DO371" s="80"/>
      <c r="DP371" s="92" t="str">
        <f>IF(Table1[Start Date]="","",IF(Table1[Start Date]&gt;42185,"",IF(AND(Table1[Leaving Date]&gt;1,Table1[Leaving Date]&lt;42095),"",1)))</f>
        <v/>
      </c>
      <c r="DQ371" s="92" t="str">
        <f>IF(Table1[Start Date]="","",IF(Table1[Start Date]&gt;42277,"",IF(AND(Table1[Leaving Date]&gt;1,Table1[Leaving Date]&lt;42186),"",1)))</f>
        <v/>
      </c>
      <c r="DR371" s="92" t="str">
        <f>IF(Table1[Start Date]="","",IF(Table1[Start Date]&gt;42369,"",IF(AND(Table1[Leaving Date]&gt;1,Table1[Leaving Date]&lt;42278),"",1)))</f>
        <v/>
      </c>
      <c r="DS371" s="92" t="str">
        <f>IF(Table1[Start Date]="","",IF(Table1[Start Date]&gt;42460,"",IF(AND(Table1[Leaving Date]&gt;1,Table1[Leaving Date]&lt;42370),"",1)))</f>
        <v/>
      </c>
      <c r="DT371" s="92" t="str">
        <f>IF(Table1[Start Date]="","",IF(Table1[Start Date]&gt;42551,"",IF(AND(Table1[Leaving Date]&gt;1,Table1[Leaving Date]&lt;42461),"",1)))</f>
        <v/>
      </c>
      <c r="DU371" s="92" t="str">
        <f>IF(Table1[Start Date]="","",IF(Table1[Start Date]&gt;42643,"",IF(AND(Table1[Leaving Date]&gt;1,Table1[Leaving Date]&lt;42552),"",1)))</f>
        <v/>
      </c>
      <c r="DV371" s="92" t="str">
        <f>IF(Table1[Start Date]="","",IF(Table1[Start Date]&gt;42735,"",IF(AND(Table1[Leaving Date]&gt;1,Table1[Leaving Date]&lt;42644),"",1)))</f>
        <v/>
      </c>
      <c r="DW371" s="92" t="str">
        <f>IF(Table1[Start Date]="","",IF(Table1[Start Date]&gt;42825,"",IF(AND(Table1[Leaving Date]&gt;1,Table1[Leaving Date]&lt;42736),"",1)))</f>
        <v/>
      </c>
      <c r="DX371"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371" s="44" t="e">
        <f>VLOOKUP(Table1[Referral Source],Lists!$G$2:$H$20,2,FALSE)</f>
        <v>#N/A</v>
      </c>
      <c r="DZ371" s="93" t="e">
        <f>SUM(Table1[Data Referral Quarter]+Table1[Data Referral Source])</f>
        <v>#N/A</v>
      </c>
      <c r="EA371" s="44" t="b">
        <f>IF(Table1[Referral Decision]="Accepted",100,IF(Table1[Referral Decision]="Rejected by Provider",200,IF(Table1[Referral Decision]="Rejected by Applicant",300)))</f>
        <v>0</v>
      </c>
      <c r="EB371" s="44">
        <f>SUM(Table1[Data Referral Quarter]+Table1[Data Referral Decision])</f>
        <v>0</v>
      </c>
      <c r="EC371" s="44" t="b">
        <f>IF(Table1[Start Date]&gt;42735,8000,IF(Table1[Start Date]&gt;42643,7000,IF(Table1[Start Date]&gt;42551,6000,IF(Table1[Start Date]&gt;42460,5000,IF(Table1[Start Date]&gt;42369,4000,IF(Table1[Start Date]&gt;42277,3000,IF(Table1[Start Date]&gt;42185,2000,IF(Table1[Start Date]&gt;42094,1000))))))))</f>
        <v>0</v>
      </c>
      <c r="ED371" s="44" t="str">
        <f>IF(Table1[Start Date]="","",IF(Table1[Current Local Authority]="Swindon",1,"2"))</f>
        <v/>
      </c>
      <c r="EE371" s="44" t="e">
        <f>SUM(Table1[Data Start Date]+Table1[Data Local Authority])</f>
        <v>#VALUE!</v>
      </c>
      <c r="EF371" s="44">
        <f>IF(Table1[Registered with GP]="Yes",1,0)</f>
        <v>0</v>
      </c>
      <c r="EG371" s="44">
        <f>SUM(Table1[Data Start Date]+Table1[Data GP Start])</f>
        <v>0</v>
      </c>
      <c r="EH371" s="44" t="str">
        <f>IF(Table1[EET]="NEET",1,IF(Table1[EET]="Education",2,IF(Table1[EET]="Employment",2,IF(Table1[EET]="Training",2,IF(Table1[EET]="Retired",3,"")))))</f>
        <v/>
      </c>
      <c r="EI371" s="44" t="e">
        <f>Table1[Data Start Date]+Table1[Data EET Start]</f>
        <v>#VALUE!</v>
      </c>
      <c r="EJ371" s="44" t="b">
        <f>IF(Table1[Leaving Date]&gt;42735,8000,IF(Table1[Leaving Date]&gt;42643,7000,IF(Table1[Leaving Date]&gt;42551,6000,IF(Table1[Leaving Date]&gt;42460,5000,IF(Table1[Leaving Date]&gt;42369,4000,IF(Table1[Leaving Date]&gt;42277,3000,IF(Table1[Leaving Date]&gt;42185,2000,IF(Table1[Leaving Date]&gt;42094,1000))))))))</f>
        <v>0</v>
      </c>
      <c r="EK371" s="44" t="e">
        <f>VLOOKUP(Table1[Reason for Leaving],Lists!$T$2:$U$15,2,FALSE)</f>
        <v>#N/A</v>
      </c>
      <c r="EL371" s="44" t="e">
        <f>SUM(Table1[Data Leavers Date]+Table1[Data Move On])</f>
        <v>#N/A</v>
      </c>
      <c r="EM371" s="44" t="b">
        <f>IF(Table1[Registered with GP2]="Yes",1,IF(Table1[Registered with GP2]="No",0,IF(Table1[Registered with GP]="Yes",1,IF(Table1[Registered with GP]="No",0))))</f>
        <v>0</v>
      </c>
      <c r="EN371" s="44">
        <f>SUM(Table1[Data Leavers Date]+Table1[Data GP End])</f>
        <v>0</v>
      </c>
      <c r="EO371" s="44" t="str">
        <f>IF(Table1[EET2]="NEET",1,IF(Table1[EET2]="Employment",2,IF(Table1[EET2]="Education",2,IF(Table1[EET2]="Training",2,IF(Table1[EET2]="Retired",3,IF(Table1[EET]="NEET",1,IF(Table1[EET]="Employment",2,IF(Table1[EET]="Education",2,IF(Table1[EET]="Training",2,IF(Table1[EET]="Retired",3,""))))))))))</f>
        <v/>
      </c>
      <c r="EP371" s="44" t="e">
        <f>+Table1[[#This Row],[Data Leavers Date]]+Table1[[#This Row],[Data EET End]]</f>
        <v>#VALUE!</v>
      </c>
      <c r="EQ371" s="44">
        <f>IF(Table1[Exit Form Received]="Yes",1,0)</f>
        <v>0</v>
      </c>
      <c r="ER371" s="44">
        <f>+Table1[[#This Row],[Data Leavers Date]]+Table1[[#This Row],[Data Exit Forms]]</f>
        <v>0</v>
      </c>
      <c r="ES371" s="44" t="str">
        <f>IF(Table1[Data Leavers Date]=1000,SUM(Table1[Leaving Date]-Table1[Start Date]),"")</f>
        <v/>
      </c>
      <c r="ET371" s="44" t="str">
        <f>IF(Table1[Data Leavers Date]=2000,SUM(Table1[Leaving Date]-Table1[Start Date]),"")</f>
        <v/>
      </c>
      <c r="EU371" s="44" t="str">
        <f>IF(Table1[Data Leavers Date]=3000,SUM(Table1[Leaving Date]-Table1[Start Date]),"")</f>
        <v/>
      </c>
      <c r="EV371" s="44" t="str">
        <f>IF(Table1[Data Leavers Date]=4000,SUM(Table1[Leaving Date]-Table1[Start Date]),"")</f>
        <v/>
      </c>
      <c r="EW371" s="44" t="str">
        <f>IF(Table1[Data Leavers Date]=5000,SUM(Table1[Leaving Date]-Table1[Start Date]),"")</f>
        <v/>
      </c>
      <c r="EX371" s="44" t="str">
        <f>IF(Table1[Data Leavers Date]=6000,SUM(Table1[Leaving Date]-Table1[Start Date]),"")</f>
        <v/>
      </c>
      <c r="EY371" s="44" t="str">
        <f>IF(Table1[Data Leavers Date]=7000,SUM(Table1[Leaving Date]-Table1[Start Date]),"")</f>
        <v/>
      </c>
      <c r="EZ371" s="44" t="str">
        <f>IF(Table1[Data Leavers Date]=8000,SUM(Table1[Leaving Date]-Table1[Start Date]),"")</f>
        <v/>
      </c>
      <c r="FA371" s="44" t="str">
        <f>IF(Table1[Date of Initial Assessment]="","",IF(AND(Table1[Start Date]&gt;42094,Table1[Start Date]&lt;42461),Table1[Motivation and Taking Responsibility],""))</f>
        <v/>
      </c>
      <c r="FB371" s="44" t="str">
        <f>IF(Table1[Date of Initial Assessment]="","",IF(AND(Table1[Start Date]&gt;42094,Table1[Start Date]&lt;42461),Table1[Self-Care and Living Skills],""))</f>
        <v/>
      </c>
      <c r="FC371" s="44" t="str">
        <f>IF(Table1[Date of Initial Assessment]="","",IF(AND(Table1[Start Date]&gt;42094,Table1[Start Date]&lt;42461),Table1[Managing Money and Personal Administration],""))</f>
        <v/>
      </c>
      <c r="FD371" s="44" t="str">
        <f>IF(Table1[Date of Initial Assessment]="","",IF(AND(Table1[Start Date]&gt;42094,Table1[Start Date]&lt;42461),Table1[Social Networks and Relationships],""))</f>
        <v/>
      </c>
      <c r="FE371" s="44" t="str">
        <f>IF(Table1[Date of Initial Assessment]="","",IF(AND(Table1[Start Date]&gt;42094,Table1[Start Date]&lt;42461),Table1[Drug and Alcohol Misuse],""))</f>
        <v/>
      </c>
      <c r="FF371" s="44" t="str">
        <f>IF(Table1[Date of Initial Assessment]="","",IF(AND(Table1[Start Date]&gt;42094,Table1[Start Date]&lt;42461),Table1[Physical Health],""))</f>
        <v/>
      </c>
      <c r="FG371" s="44" t="str">
        <f>IF(Table1[Date of Initial Assessment]="","",IF(AND(Table1[Start Date]&gt;42094,Table1[Start Date]&lt;42461),Table1[Emotional and Mental Health],""))</f>
        <v/>
      </c>
      <c r="FH371" s="44" t="str">
        <f>IF(Table1[Date of Initial Assessment]="","",IF(AND(Table1[Start Date]&gt;42094,Table1[Start Date]&lt;42461),Table1[Meaningful Use of Time],""))</f>
        <v/>
      </c>
      <c r="FI371" s="44" t="str">
        <f>IF(Table1[Date of Initial Assessment]="","",IF(AND(Table1[Start Date]&gt;42094,Table1[Start Date]&lt;42461),Table1[Managing Tenancy and Accommodation],""))</f>
        <v/>
      </c>
      <c r="FJ371" s="44" t="str">
        <f>IF(Table1[Date of Initial Assessment]="","",IF(AND(Table1[Start Date]&gt;42094,Table1[Start Date]&lt;42461),Table1[Offending],""))</f>
        <v/>
      </c>
      <c r="FK371" s="44" t="str">
        <f>IF(Table1[Leaving Date]="","",IF(Table1[Date of Initial Assessment]="","",IF(AND(Table1[Leaving Date]&gt;42094,Table1[Leaving Date]&lt;42461),IF(Table1[Date of Last Assessment]="",Table1[Motivation and Taking Responsibility],Table1[Motivation and Taking Responsibility2]),"")))</f>
        <v/>
      </c>
      <c r="FL371" s="44" t="str">
        <f>IF(Table1[Leaving Date]="","",IF(Table1[Date of Initial Assessment]="","",IF(AND(Table1[Leaving Date]&gt;42094,Table1[Leaving Date]&lt;42461),IF(Table1[Date of Last Assessment]="",Table1[Self-Care and Living Skills],Table1[Self-Care and Living Skills2]),"")))</f>
        <v/>
      </c>
      <c r="FM371" s="44" t="str">
        <f>IF(Table1[Leaving Date]="","",IF(Table1[Date of Initial Assessment]="","",IF(AND(Table1[Leaving Date]&gt;42094,Table1[Leaving Date]&lt;42461),IF(Table1[Date of Last Assessment]="",Table1[Managing Money and Personal Administration],Table1[Managing Money and Personal Administration2]),"")))</f>
        <v/>
      </c>
      <c r="FN371" s="44" t="str">
        <f>IF(Table1[Leaving Date]="","",IF(Table1[Date of Initial Assessment]="","",IF(AND(Table1[Leaving Date]&gt;42094,Table1[Leaving Date]&lt;42461),IF(Table1[Date of Last Assessment]="",Table1[Social Networks and Relationships],Table1[Social Networks and Relationships2]),"")))</f>
        <v/>
      </c>
      <c r="FO371" s="44" t="str">
        <f>IF(Table1[Leaving Date]="","",IF(Table1[Date of Initial Assessment]="","",IF(AND(Table1[Leaving Date]&gt;42094,Table1[Leaving Date]&lt;42461),IF(Table1[Date of Last Assessment]="",Table1[Drug and Alcohol Misuse],Table1[Drug and Alcohol Misuse2]),"")))</f>
        <v/>
      </c>
      <c r="FP371" s="44" t="str">
        <f>IF(Table1[Leaving Date]="","",IF(Table1[Date of Initial Assessment]="","",IF(AND(Table1[Leaving Date]&gt;42094,Table1[Leaving Date]&lt;42461),IF(Table1[Date of Last Assessment]="",Table1[Physical Health],Table1[Physical Health2]),"")))</f>
        <v/>
      </c>
      <c r="FQ371" s="44" t="str">
        <f>IF(Table1[Leaving Date]="","",IF(Table1[Date of Initial Assessment]="","",IF(AND(Table1[Leaving Date]&gt;42094,Table1[Leaving Date]&lt;42461),IF(Table1[Date of Last Assessment]="",Table1[Emotional and Mental Health],Table1[Emotional and Mental Health2]),"")))</f>
        <v/>
      </c>
      <c r="FR371" s="44" t="str">
        <f>IF(Table1[Leaving Date]="","",IF(Table1[Date of Initial Assessment]="","",IF(AND(Table1[Leaving Date]&gt;42094,Table1[Leaving Date]&lt;42461),IF(Table1[Date of Last Assessment]="",Table1[Meaningful Use of Time],Table1[Meaningful Use of Time2]),"")))</f>
        <v/>
      </c>
      <c r="FS371" s="44" t="str">
        <f>IF(Table1[Leaving Date]="","",IF(Table1[Date of Initial Assessment]="","",IF(AND(Table1[Leaving Date]&gt;42094,Table1[Leaving Date]&lt;42461),IF(Table1[Date of Last Assessment]="",Table1[Managing Tenancy and Accommodation],Table1[Managing Tenancy and Accommodation2]),"")))</f>
        <v/>
      </c>
      <c r="FT371" s="44" t="str">
        <f>IF(Table1[Leaving Date]="","",IF(Table1[Date of Initial Assessment]="","",IF(AND(Table1[Leaving Date]&gt;42094,Table1[Leaving Date]&lt;42461),IF(Table1[Date of Last Assessment]="",Table1[Offending],Table1[Offending2]),"")))</f>
        <v/>
      </c>
      <c r="FU371" s="44" t="str">
        <f>IF(Table1[Date of Initial Assessment]="","",IF(AND(Table1[Start Date]&gt;42460,Table1[Start Date]&lt;42826),Table1[Motivation and Taking Responsibility],""))</f>
        <v/>
      </c>
      <c r="FV371" s="44" t="str">
        <f>IF(Table1[Date of Initial Assessment]="","",IF(AND(Table1[Start Date]&gt;42460,Table1[Start Date]&lt;42826),Table1[Self-Care and Living Skills],""))</f>
        <v/>
      </c>
      <c r="FW371" s="44" t="str">
        <f>IF(Table1[Date of Initial Assessment]="","",IF(AND(Table1[Start Date]&gt;42460,Table1[Start Date]&lt;42826),Table1[Managing Money and Personal Administration],""))</f>
        <v/>
      </c>
      <c r="FX371" s="44" t="str">
        <f>IF(Table1[Date of Initial Assessment]="","",IF(AND(Table1[Start Date]&gt;42460,Table1[Start Date]&lt;42826),Table1[Social Networks and Relationships],""))</f>
        <v/>
      </c>
      <c r="FY371" s="44" t="str">
        <f>IF(Table1[Date of Initial Assessment]="","",IF(AND(Table1[Start Date]&gt;42460,Table1[Start Date]&lt;42826),Table1[Drug and Alcohol Misuse],""))</f>
        <v/>
      </c>
      <c r="FZ371" s="44" t="str">
        <f>IF(Table1[Date of Initial Assessment]="","",IF(AND(Table1[Start Date]&gt;42460,Table1[Start Date]&lt;42826),Table1[Physical Health],""))</f>
        <v/>
      </c>
      <c r="GA371" s="44" t="str">
        <f>IF(Table1[Date of Initial Assessment]="","",IF(AND(Table1[Start Date]&gt;42460,Table1[Start Date]&lt;42826),Table1[Emotional and Mental Health],""))</f>
        <v/>
      </c>
      <c r="GB371" s="44" t="str">
        <f>IF(Table1[Date of Initial Assessment]="","",IF(AND(Table1[Start Date]&gt;42460,Table1[Start Date]&lt;42826),Table1[Meaningful Use of Time],""))</f>
        <v/>
      </c>
      <c r="GC371" s="44" t="str">
        <f>IF(Table1[Date of Initial Assessment]="","",IF(AND(Table1[Start Date]&gt;42460,Table1[Start Date]&lt;42826),Table1[Managing Tenancy and Accommodation],""))</f>
        <v/>
      </c>
      <c r="GD371" s="44" t="str">
        <f>IF(Table1[Date of Initial Assessment]="","",IF(AND(Table1[Start Date]&gt;42460,Table1[Start Date]&lt;42826),Table1[Offending],""))</f>
        <v/>
      </c>
      <c r="GE371" s="44" t="str">
        <f>IF(Table1[Leaving Date]="","",IF(AND(Table1[Leaving Date]&gt;42460,Table1[Leaving Date]&lt;42826),IF(Table1[Date of Last Assessment]="",Table1[Motivation and Taking Responsibility],Table1[Motivation and Taking Responsibility2]),""))</f>
        <v/>
      </c>
      <c r="GF371" s="44" t="str">
        <f>IF(Table1[Leaving Date]="","",IF(AND(Table1[Leaving Date]&gt;42460,Table1[Leaving Date]&lt;42826),IF(Table1[Date of Last Assessment]="",Table1[Self-Care and Living Skills],Table1[Self-Care and Living Skills2]),""))</f>
        <v/>
      </c>
      <c r="GG371" s="44" t="str">
        <f>IF(Table1[Leaving Date]="","",IF(AND(Table1[Leaving Date]&gt;42460,Table1[Leaving Date]&lt;42826),IF(Table1[Date of Last Assessment]="",Table1[Managing Money and Personal Administration],Table1[Managing Money and Personal Administration2]),""))</f>
        <v/>
      </c>
      <c r="GH371" s="44" t="str">
        <f>IF(Table1[Leaving Date]="","",IF(AND(Table1[Leaving Date]&gt;42460,Table1[Leaving Date]&lt;42826),IF(Table1[Date of Last Assessment]="",Table1[Social Networks and Relationships],Table1[Social Networks and Relationships2]),""))</f>
        <v/>
      </c>
      <c r="GI371" s="44" t="str">
        <f>IF(Table1[Leaving Date]="","",IF(AND(Table1[Leaving Date]&gt;42460,Table1[Leaving Date]&lt;42826),IF(Table1[Date of Last Assessment]="",Table1[Drug and Alcohol Misuse],Table1[Drug and Alcohol Misuse2]),""))</f>
        <v/>
      </c>
      <c r="GJ371" s="44" t="str">
        <f>IF(Table1[Leaving Date]="","",IF(AND(Table1[Leaving Date]&gt;42460,Table1[Leaving Date]&lt;42826),IF(Table1[Date of Last Assessment]="",Table1[Physical Health],Table1[Physical Health2]),""))</f>
        <v/>
      </c>
      <c r="GK371" s="44" t="str">
        <f>IF(Table1[Leaving Date]="","",IF(AND(Table1[Leaving Date]&gt;42460,Table1[Leaving Date]&lt;42826),IF(Table1[Date of Last Assessment]="",Table1[Emotional and Mental Health],Table1[Emotional and Mental Health2]),""))</f>
        <v/>
      </c>
      <c r="GL371" s="44" t="str">
        <f>IF(Table1[Leaving Date]="","",IF(AND(Table1[Leaving Date]&gt;42460,Table1[Leaving Date]&lt;42826),IF(Table1[Date of Last Assessment]="",Table1[Meaningful Use of Time],Table1[Meaningful Use of Time2]),""))</f>
        <v/>
      </c>
      <c r="GM371" s="44" t="str">
        <f>IF(Table1[Leaving Date]="","",IF(AND(Table1[Leaving Date]&gt;42460,Table1[Leaving Date]&lt;42826),IF(Table1[Date of Last Assessment]="",Table1[Managing Tenancy and Accommodation],Table1[Managing Tenancy and Accommodation2]),""))</f>
        <v/>
      </c>
      <c r="GN371" s="44" t="str">
        <f>IF(Table1[Leaving Date]="","",IF(AND(Table1[Leaving Date]&gt;42460,Table1[Leaving Date]&lt;42826),IF(Table1[Date of Last Assessment]="",Table1[Offending],Table1[Offending2]),""))</f>
        <v/>
      </c>
    </row>
    <row r="372" spans="2:196" ht="20.100000000000001" customHeight="1" x14ac:dyDescent="0.2">
      <c r="B372" s="86">
        <f>+'Service Data'!$C$5:$C$5</f>
        <v>0</v>
      </c>
      <c r="C372" s="86"/>
      <c r="D372" s="86"/>
      <c r="E372" s="86"/>
      <c r="F372" s="86"/>
      <c r="G372" s="86"/>
      <c r="H372" s="6"/>
      <c r="I372" s="99" t="str">
        <f ca="1">IF(Table1[[#This Row],[Date of Birth]]="","",SUM(TODAY()-Table1[[#This Row],[Date of Birth]])/365)</f>
        <v/>
      </c>
      <c r="L372" s="86"/>
      <c r="M372" s="77"/>
      <c r="N372" s="86"/>
      <c r="O372" s="86"/>
      <c r="P372" s="91"/>
      <c r="Q372" s="86"/>
      <c r="R372" s="77"/>
      <c r="S372" s="77"/>
      <c r="T372" s="68"/>
      <c r="U372" s="68"/>
      <c r="V372" s="67"/>
      <c r="W372" s="67"/>
      <c r="X372" s="67"/>
      <c r="Y372" s="67"/>
      <c r="Z372" s="67"/>
      <c r="AA372" s="67"/>
      <c r="AB372" s="67"/>
      <c r="AC372" s="67"/>
      <c r="AD372" s="67"/>
      <c r="AE372" s="67"/>
      <c r="AF372" s="67"/>
      <c r="AG372" s="67"/>
      <c r="AH372" s="67"/>
      <c r="AI372" s="67"/>
      <c r="AJ372" s="67"/>
      <c r="AK372" s="67"/>
      <c r="AL372" s="67"/>
      <c r="AM372" s="67"/>
      <c r="AN372" s="77"/>
      <c r="AO372" s="76"/>
      <c r="AP372" s="77"/>
      <c r="AQ372" s="76"/>
      <c r="AR372" s="76"/>
      <c r="AS372" s="76"/>
      <c r="AT372" s="76"/>
      <c r="AU372" s="76"/>
      <c r="AV372" s="77"/>
      <c r="AW372" s="76"/>
      <c r="AX372" s="77"/>
      <c r="AY372" s="76"/>
      <c r="AZ372" s="76"/>
      <c r="BA372" s="76"/>
      <c r="BB372" s="76"/>
      <c r="BC372" s="76"/>
      <c r="BD372" s="77"/>
      <c r="BE372" s="76"/>
      <c r="BF372" s="77"/>
      <c r="BG372" s="76"/>
      <c r="BH372" s="76"/>
      <c r="BI372" s="76"/>
      <c r="BJ372" s="76"/>
      <c r="BK372" s="76"/>
      <c r="BL372" s="77"/>
      <c r="BM372" s="76"/>
      <c r="BN372" s="77"/>
      <c r="BO372" s="76"/>
      <c r="BP372" s="76"/>
      <c r="BQ372" s="76"/>
      <c r="BR372" s="76"/>
      <c r="BS372" s="76"/>
      <c r="BT372" s="77"/>
      <c r="BU372" s="76"/>
      <c r="BV372" s="77"/>
      <c r="BW372" s="76"/>
      <c r="BX372" s="76"/>
      <c r="BY372" s="76"/>
      <c r="BZ372" s="76"/>
      <c r="CA372" s="76"/>
      <c r="CB372" s="77"/>
      <c r="CC372" s="76"/>
      <c r="CD372" s="77"/>
      <c r="CE372" s="76"/>
      <c r="CF372" s="76"/>
      <c r="CG372" s="76"/>
      <c r="CH372" s="76"/>
      <c r="CI372" s="76"/>
      <c r="CJ372" s="77"/>
      <c r="CK372" s="76"/>
      <c r="CL372" s="77"/>
      <c r="CM372" s="76"/>
      <c r="CN372" s="76"/>
      <c r="CO372" s="76"/>
      <c r="CP372" s="76"/>
      <c r="CQ372" s="76"/>
      <c r="CR372" s="78" t="str">
        <f t="shared" si="95"/>
        <v/>
      </c>
      <c r="CS372" s="79" t="str">
        <f t="shared" si="96"/>
        <v/>
      </c>
      <c r="CT372" s="79" t="str">
        <f t="shared" si="97"/>
        <v/>
      </c>
      <c r="CU372" s="79" t="str">
        <f t="shared" si="98"/>
        <v/>
      </c>
      <c r="CV372" s="79" t="str">
        <f t="shared" si="99"/>
        <v/>
      </c>
      <c r="CW372" s="79" t="str">
        <f t="shared" si="100"/>
        <v/>
      </c>
      <c r="CX372" s="79" t="str">
        <f t="shared" si="101"/>
        <v/>
      </c>
      <c r="CY372" s="79" t="str">
        <f t="shared" si="102"/>
        <v/>
      </c>
      <c r="CZ372" s="79" t="str">
        <f t="shared" si="103"/>
        <v/>
      </c>
      <c r="DA372" s="79" t="str">
        <f t="shared" si="104"/>
        <v/>
      </c>
      <c r="DB372" s="79" t="str">
        <f t="shared" si="105"/>
        <v/>
      </c>
      <c r="DC372" s="79" t="str">
        <f t="shared" si="106"/>
        <v/>
      </c>
      <c r="DD372" s="79" t="str">
        <f t="shared" si="107"/>
        <v/>
      </c>
      <c r="DE372" s="79" t="str">
        <f t="shared" si="108"/>
        <v/>
      </c>
      <c r="DF372" s="79" t="str">
        <f t="shared" si="109"/>
        <v/>
      </c>
      <c r="DG372" s="79" t="str">
        <f t="shared" si="110"/>
        <v/>
      </c>
      <c r="DH372" s="76"/>
      <c r="DI372" s="78"/>
      <c r="DJ372" s="76"/>
      <c r="DK372" s="77"/>
      <c r="DL372" s="77"/>
      <c r="DM372" s="77"/>
      <c r="DN372" s="80"/>
      <c r="DO372" s="80"/>
      <c r="DP372" s="92" t="str">
        <f>IF(Table1[Start Date]="","",IF(Table1[Start Date]&gt;42185,"",IF(AND(Table1[Leaving Date]&gt;1,Table1[Leaving Date]&lt;42095),"",1)))</f>
        <v/>
      </c>
      <c r="DQ372" s="92" t="str">
        <f>IF(Table1[Start Date]="","",IF(Table1[Start Date]&gt;42277,"",IF(AND(Table1[Leaving Date]&gt;1,Table1[Leaving Date]&lt;42186),"",1)))</f>
        <v/>
      </c>
      <c r="DR372" s="92" t="str">
        <f>IF(Table1[Start Date]="","",IF(Table1[Start Date]&gt;42369,"",IF(AND(Table1[Leaving Date]&gt;1,Table1[Leaving Date]&lt;42278),"",1)))</f>
        <v/>
      </c>
      <c r="DS372" s="92" t="str">
        <f>IF(Table1[Start Date]="","",IF(Table1[Start Date]&gt;42460,"",IF(AND(Table1[Leaving Date]&gt;1,Table1[Leaving Date]&lt;42370),"",1)))</f>
        <v/>
      </c>
      <c r="DT372" s="92" t="str">
        <f>IF(Table1[Start Date]="","",IF(Table1[Start Date]&gt;42551,"",IF(AND(Table1[Leaving Date]&gt;1,Table1[Leaving Date]&lt;42461),"",1)))</f>
        <v/>
      </c>
      <c r="DU372" s="92" t="str">
        <f>IF(Table1[Start Date]="","",IF(Table1[Start Date]&gt;42643,"",IF(AND(Table1[Leaving Date]&gt;1,Table1[Leaving Date]&lt;42552),"",1)))</f>
        <v/>
      </c>
      <c r="DV372" s="92" t="str">
        <f>IF(Table1[Start Date]="","",IF(Table1[Start Date]&gt;42735,"",IF(AND(Table1[Leaving Date]&gt;1,Table1[Leaving Date]&lt;42644),"",1)))</f>
        <v/>
      </c>
      <c r="DW372" s="92" t="str">
        <f>IF(Table1[Start Date]="","",IF(Table1[Start Date]&gt;42825,"",IF(AND(Table1[Leaving Date]&gt;1,Table1[Leaving Date]&lt;42736),"",1)))</f>
        <v/>
      </c>
      <c r="DX372"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372" s="44" t="e">
        <f>VLOOKUP(Table1[Referral Source],Lists!$G$2:$H$20,2,FALSE)</f>
        <v>#N/A</v>
      </c>
      <c r="DZ372" s="93" t="e">
        <f>SUM(Table1[Data Referral Quarter]+Table1[Data Referral Source])</f>
        <v>#N/A</v>
      </c>
      <c r="EA372" s="44" t="b">
        <f>IF(Table1[Referral Decision]="Accepted",100,IF(Table1[Referral Decision]="Rejected by Provider",200,IF(Table1[Referral Decision]="Rejected by Applicant",300)))</f>
        <v>0</v>
      </c>
      <c r="EB372" s="44">
        <f>SUM(Table1[Data Referral Quarter]+Table1[Data Referral Decision])</f>
        <v>0</v>
      </c>
      <c r="EC372" s="44" t="b">
        <f>IF(Table1[Start Date]&gt;42735,8000,IF(Table1[Start Date]&gt;42643,7000,IF(Table1[Start Date]&gt;42551,6000,IF(Table1[Start Date]&gt;42460,5000,IF(Table1[Start Date]&gt;42369,4000,IF(Table1[Start Date]&gt;42277,3000,IF(Table1[Start Date]&gt;42185,2000,IF(Table1[Start Date]&gt;42094,1000))))))))</f>
        <v>0</v>
      </c>
      <c r="ED372" s="44" t="str">
        <f>IF(Table1[Start Date]="","",IF(Table1[Current Local Authority]="Swindon",1,"2"))</f>
        <v/>
      </c>
      <c r="EE372" s="44" t="e">
        <f>SUM(Table1[Data Start Date]+Table1[Data Local Authority])</f>
        <v>#VALUE!</v>
      </c>
      <c r="EF372" s="44">
        <f>IF(Table1[Registered with GP]="Yes",1,0)</f>
        <v>0</v>
      </c>
      <c r="EG372" s="44">
        <f>SUM(Table1[Data Start Date]+Table1[Data GP Start])</f>
        <v>0</v>
      </c>
      <c r="EH372" s="44" t="str">
        <f>IF(Table1[EET]="NEET",1,IF(Table1[EET]="Education",2,IF(Table1[EET]="Employment",2,IF(Table1[EET]="Training",2,IF(Table1[EET]="Retired",3,"")))))</f>
        <v/>
      </c>
      <c r="EI372" s="44" t="e">
        <f>Table1[Data Start Date]+Table1[Data EET Start]</f>
        <v>#VALUE!</v>
      </c>
      <c r="EJ372" s="44" t="b">
        <f>IF(Table1[Leaving Date]&gt;42735,8000,IF(Table1[Leaving Date]&gt;42643,7000,IF(Table1[Leaving Date]&gt;42551,6000,IF(Table1[Leaving Date]&gt;42460,5000,IF(Table1[Leaving Date]&gt;42369,4000,IF(Table1[Leaving Date]&gt;42277,3000,IF(Table1[Leaving Date]&gt;42185,2000,IF(Table1[Leaving Date]&gt;42094,1000))))))))</f>
        <v>0</v>
      </c>
      <c r="EK372" s="44" t="e">
        <f>VLOOKUP(Table1[Reason for Leaving],Lists!$T$2:$U$15,2,FALSE)</f>
        <v>#N/A</v>
      </c>
      <c r="EL372" s="44" t="e">
        <f>SUM(Table1[Data Leavers Date]+Table1[Data Move On])</f>
        <v>#N/A</v>
      </c>
      <c r="EM372" s="44" t="b">
        <f>IF(Table1[Registered with GP2]="Yes",1,IF(Table1[Registered with GP2]="No",0,IF(Table1[Registered with GP]="Yes",1,IF(Table1[Registered with GP]="No",0))))</f>
        <v>0</v>
      </c>
      <c r="EN372" s="44">
        <f>SUM(Table1[Data Leavers Date]+Table1[Data GP End])</f>
        <v>0</v>
      </c>
      <c r="EO372" s="44" t="str">
        <f>IF(Table1[EET2]="NEET",1,IF(Table1[EET2]="Employment",2,IF(Table1[EET2]="Education",2,IF(Table1[EET2]="Training",2,IF(Table1[EET2]="Retired",3,IF(Table1[EET]="NEET",1,IF(Table1[EET]="Employment",2,IF(Table1[EET]="Education",2,IF(Table1[EET]="Training",2,IF(Table1[EET]="Retired",3,""))))))))))</f>
        <v/>
      </c>
      <c r="EP372" s="44" t="e">
        <f>+Table1[[#This Row],[Data Leavers Date]]+Table1[[#This Row],[Data EET End]]</f>
        <v>#VALUE!</v>
      </c>
      <c r="EQ372" s="44">
        <f>IF(Table1[Exit Form Received]="Yes",1,0)</f>
        <v>0</v>
      </c>
      <c r="ER372" s="44">
        <f>+Table1[[#This Row],[Data Leavers Date]]+Table1[[#This Row],[Data Exit Forms]]</f>
        <v>0</v>
      </c>
      <c r="ES372" s="44" t="str">
        <f>IF(Table1[Data Leavers Date]=1000,SUM(Table1[Leaving Date]-Table1[Start Date]),"")</f>
        <v/>
      </c>
      <c r="ET372" s="44" t="str">
        <f>IF(Table1[Data Leavers Date]=2000,SUM(Table1[Leaving Date]-Table1[Start Date]),"")</f>
        <v/>
      </c>
      <c r="EU372" s="44" t="str">
        <f>IF(Table1[Data Leavers Date]=3000,SUM(Table1[Leaving Date]-Table1[Start Date]),"")</f>
        <v/>
      </c>
      <c r="EV372" s="44" t="str">
        <f>IF(Table1[Data Leavers Date]=4000,SUM(Table1[Leaving Date]-Table1[Start Date]),"")</f>
        <v/>
      </c>
      <c r="EW372" s="44" t="str">
        <f>IF(Table1[Data Leavers Date]=5000,SUM(Table1[Leaving Date]-Table1[Start Date]),"")</f>
        <v/>
      </c>
      <c r="EX372" s="44" t="str">
        <f>IF(Table1[Data Leavers Date]=6000,SUM(Table1[Leaving Date]-Table1[Start Date]),"")</f>
        <v/>
      </c>
      <c r="EY372" s="44" t="str">
        <f>IF(Table1[Data Leavers Date]=7000,SUM(Table1[Leaving Date]-Table1[Start Date]),"")</f>
        <v/>
      </c>
      <c r="EZ372" s="44" t="str">
        <f>IF(Table1[Data Leavers Date]=8000,SUM(Table1[Leaving Date]-Table1[Start Date]),"")</f>
        <v/>
      </c>
      <c r="FA372" s="44" t="str">
        <f>IF(Table1[Date of Initial Assessment]="","",IF(AND(Table1[Start Date]&gt;42094,Table1[Start Date]&lt;42461),Table1[Motivation and Taking Responsibility],""))</f>
        <v/>
      </c>
      <c r="FB372" s="44" t="str">
        <f>IF(Table1[Date of Initial Assessment]="","",IF(AND(Table1[Start Date]&gt;42094,Table1[Start Date]&lt;42461),Table1[Self-Care and Living Skills],""))</f>
        <v/>
      </c>
      <c r="FC372" s="44" t="str">
        <f>IF(Table1[Date of Initial Assessment]="","",IF(AND(Table1[Start Date]&gt;42094,Table1[Start Date]&lt;42461),Table1[Managing Money and Personal Administration],""))</f>
        <v/>
      </c>
      <c r="FD372" s="44" t="str">
        <f>IF(Table1[Date of Initial Assessment]="","",IF(AND(Table1[Start Date]&gt;42094,Table1[Start Date]&lt;42461),Table1[Social Networks and Relationships],""))</f>
        <v/>
      </c>
      <c r="FE372" s="44" t="str">
        <f>IF(Table1[Date of Initial Assessment]="","",IF(AND(Table1[Start Date]&gt;42094,Table1[Start Date]&lt;42461),Table1[Drug and Alcohol Misuse],""))</f>
        <v/>
      </c>
      <c r="FF372" s="44" t="str">
        <f>IF(Table1[Date of Initial Assessment]="","",IF(AND(Table1[Start Date]&gt;42094,Table1[Start Date]&lt;42461),Table1[Physical Health],""))</f>
        <v/>
      </c>
      <c r="FG372" s="44" t="str">
        <f>IF(Table1[Date of Initial Assessment]="","",IF(AND(Table1[Start Date]&gt;42094,Table1[Start Date]&lt;42461),Table1[Emotional and Mental Health],""))</f>
        <v/>
      </c>
      <c r="FH372" s="44" t="str">
        <f>IF(Table1[Date of Initial Assessment]="","",IF(AND(Table1[Start Date]&gt;42094,Table1[Start Date]&lt;42461),Table1[Meaningful Use of Time],""))</f>
        <v/>
      </c>
      <c r="FI372" s="44" t="str">
        <f>IF(Table1[Date of Initial Assessment]="","",IF(AND(Table1[Start Date]&gt;42094,Table1[Start Date]&lt;42461),Table1[Managing Tenancy and Accommodation],""))</f>
        <v/>
      </c>
      <c r="FJ372" s="44" t="str">
        <f>IF(Table1[Date of Initial Assessment]="","",IF(AND(Table1[Start Date]&gt;42094,Table1[Start Date]&lt;42461),Table1[Offending],""))</f>
        <v/>
      </c>
      <c r="FK372" s="44" t="str">
        <f>IF(Table1[Leaving Date]="","",IF(Table1[Date of Initial Assessment]="","",IF(AND(Table1[Leaving Date]&gt;42094,Table1[Leaving Date]&lt;42461),IF(Table1[Date of Last Assessment]="",Table1[Motivation and Taking Responsibility],Table1[Motivation and Taking Responsibility2]),"")))</f>
        <v/>
      </c>
      <c r="FL372" s="44" t="str">
        <f>IF(Table1[Leaving Date]="","",IF(Table1[Date of Initial Assessment]="","",IF(AND(Table1[Leaving Date]&gt;42094,Table1[Leaving Date]&lt;42461),IF(Table1[Date of Last Assessment]="",Table1[Self-Care and Living Skills],Table1[Self-Care and Living Skills2]),"")))</f>
        <v/>
      </c>
      <c r="FM372" s="44" t="str">
        <f>IF(Table1[Leaving Date]="","",IF(Table1[Date of Initial Assessment]="","",IF(AND(Table1[Leaving Date]&gt;42094,Table1[Leaving Date]&lt;42461),IF(Table1[Date of Last Assessment]="",Table1[Managing Money and Personal Administration],Table1[Managing Money and Personal Administration2]),"")))</f>
        <v/>
      </c>
      <c r="FN372" s="44" t="str">
        <f>IF(Table1[Leaving Date]="","",IF(Table1[Date of Initial Assessment]="","",IF(AND(Table1[Leaving Date]&gt;42094,Table1[Leaving Date]&lt;42461),IF(Table1[Date of Last Assessment]="",Table1[Social Networks and Relationships],Table1[Social Networks and Relationships2]),"")))</f>
        <v/>
      </c>
      <c r="FO372" s="44" t="str">
        <f>IF(Table1[Leaving Date]="","",IF(Table1[Date of Initial Assessment]="","",IF(AND(Table1[Leaving Date]&gt;42094,Table1[Leaving Date]&lt;42461),IF(Table1[Date of Last Assessment]="",Table1[Drug and Alcohol Misuse],Table1[Drug and Alcohol Misuse2]),"")))</f>
        <v/>
      </c>
      <c r="FP372" s="44" t="str">
        <f>IF(Table1[Leaving Date]="","",IF(Table1[Date of Initial Assessment]="","",IF(AND(Table1[Leaving Date]&gt;42094,Table1[Leaving Date]&lt;42461),IF(Table1[Date of Last Assessment]="",Table1[Physical Health],Table1[Physical Health2]),"")))</f>
        <v/>
      </c>
      <c r="FQ372" s="44" t="str">
        <f>IF(Table1[Leaving Date]="","",IF(Table1[Date of Initial Assessment]="","",IF(AND(Table1[Leaving Date]&gt;42094,Table1[Leaving Date]&lt;42461),IF(Table1[Date of Last Assessment]="",Table1[Emotional and Mental Health],Table1[Emotional and Mental Health2]),"")))</f>
        <v/>
      </c>
      <c r="FR372" s="44" t="str">
        <f>IF(Table1[Leaving Date]="","",IF(Table1[Date of Initial Assessment]="","",IF(AND(Table1[Leaving Date]&gt;42094,Table1[Leaving Date]&lt;42461),IF(Table1[Date of Last Assessment]="",Table1[Meaningful Use of Time],Table1[Meaningful Use of Time2]),"")))</f>
        <v/>
      </c>
      <c r="FS372" s="44" t="str">
        <f>IF(Table1[Leaving Date]="","",IF(Table1[Date of Initial Assessment]="","",IF(AND(Table1[Leaving Date]&gt;42094,Table1[Leaving Date]&lt;42461),IF(Table1[Date of Last Assessment]="",Table1[Managing Tenancy and Accommodation],Table1[Managing Tenancy and Accommodation2]),"")))</f>
        <v/>
      </c>
      <c r="FT372" s="44" t="str">
        <f>IF(Table1[Leaving Date]="","",IF(Table1[Date of Initial Assessment]="","",IF(AND(Table1[Leaving Date]&gt;42094,Table1[Leaving Date]&lt;42461),IF(Table1[Date of Last Assessment]="",Table1[Offending],Table1[Offending2]),"")))</f>
        <v/>
      </c>
      <c r="FU372" s="44" t="str">
        <f>IF(Table1[Date of Initial Assessment]="","",IF(AND(Table1[Start Date]&gt;42460,Table1[Start Date]&lt;42826),Table1[Motivation and Taking Responsibility],""))</f>
        <v/>
      </c>
      <c r="FV372" s="44" t="str">
        <f>IF(Table1[Date of Initial Assessment]="","",IF(AND(Table1[Start Date]&gt;42460,Table1[Start Date]&lt;42826),Table1[Self-Care and Living Skills],""))</f>
        <v/>
      </c>
      <c r="FW372" s="44" t="str">
        <f>IF(Table1[Date of Initial Assessment]="","",IF(AND(Table1[Start Date]&gt;42460,Table1[Start Date]&lt;42826),Table1[Managing Money and Personal Administration],""))</f>
        <v/>
      </c>
      <c r="FX372" s="44" t="str">
        <f>IF(Table1[Date of Initial Assessment]="","",IF(AND(Table1[Start Date]&gt;42460,Table1[Start Date]&lt;42826),Table1[Social Networks and Relationships],""))</f>
        <v/>
      </c>
      <c r="FY372" s="44" t="str">
        <f>IF(Table1[Date of Initial Assessment]="","",IF(AND(Table1[Start Date]&gt;42460,Table1[Start Date]&lt;42826),Table1[Drug and Alcohol Misuse],""))</f>
        <v/>
      </c>
      <c r="FZ372" s="44" t="str">
        <f>IF(Table1[Date of Initial Assessment]="","",IF(AND(Table1[Start Date]&gt;42460,Table1[Start Date]&lt;42826),Table1[Physical Health],""))</f>
        <v/>
      </c>
      <c r="GA372" s="44" t="str">
        <f>IF(Table1[Date of Initial Assessment]="","",IF(AND(Table1[Start Date]&gt;42460,Table1[Start Date]&lt;42826),Table1[Emotional and Mental Health],""))</f>
        <v/>
      </c>
      <c r="GB372" s="44" t="str">
        <f>IF(Table1[Date of Initial Assessment]="","",IF(AND(Table1[Start Date]&gt;42460,Table1[Start Date]&lt;42826),Table1[Meaningful Use of Time],""))</f>
        <v/>
      </c>
      <c r="GC372" s="44" t="str">
        <f>IF(Table1[Date of Initial Assessment]="","",IF(AND(Table1[Start Date]&gt;42460,Table1[Start Date]&lt;42826),Table1[Managing Tenancy and Accommodation],""))</f>
        <v/>
      </c>
      <c r="GD372" s="44" t="str">
        <f>IF(Table1[Date of Initial Assessment]="","",IF(AND(Table1[Start Date]&gt;42460,Table1[Start Date]&lt;42826),Table1[Offending],""))</f>
        <v/>
      </c>
      <c r="GE372" s="44" t="str">
        <f>IF(Table1[Leaving Date]="","",IF(AND(Table1[Leaving Date]&gt;42460,Table1[Leaving Date]&lt;42826),IF(Table1[Date of Last Assessment]="",Table1[Motivation and Taking Responsibility],Table1[Motivation and Taking Responsibility2]),""))</f>
        <v/>
      </c>
      <c r="GF372" s="44" t="str">
        <f>IF(Table1[Leaving Date]="","",IF(AND(Table1[Leaving Date]&gt;42460,Table1[Leaving Date]&lt;42826),IF(Table1[Date of Last Assessment]="",Table1[Self-Care and Living Skills],Table1[Self-Care and Living Skills2]),""))</f>
        <v/>
      </c>
      <c r="GG372" s="44" t="str">
        <f>IF(Table1[Leaving Date]="","",IF(AND(Table1[Leaving Date]&gt;42460,Table1[Leaving Date]&lt;42826),IF(Table1[Date of Last Assessment]="",Table1[Managing Money and Personal Administration],Table1[Managing Money and Personal Administration2]),""))</f>
        <v/>
      </c>
      <c r="GH372" s="44" t="str">
        <f>IF(Table1[Leaving Date]="","",IF(AND(Table1[Leaving Date]&gt;42460,Table1[Leaving Date]&lt;42826),IF(Table1[Date of Last Assessment]="",Table1[Social Networks and Relationships],Table1[Social Networks and Relationships2]),""))</f>
        <v/>
      </c>
      <c r="GI372" s="44" t="str">
        <f>IF(Table1[Leaving Date]="","",IF(AND(Table1[Leaving Date]&gt;42460,Table1[Leaving Date]&lt;42826),IF(Table1[Date of Last Assessment]="",Table1[Drug and Alcohol Misuse],Table1[Drug and Alcohol Misuse2]),""))</f>
        <v/>
      </c>
      <c r="GJ372" s="44" t="str">
        <f>IF(Table1[Leaving Date]="","",IF(AND(Table1[Leaving Date]&gt;42460,Table1[Leaving Date]&lt;42826),IF(Table1[Date of Last Assessment]="",Table1[Physical Health],Table1[Physical Health2]),""))</f>
        <v/>
      </c>
      <c r="GK372" s="44" t="str">
        <f>IF(Table1[Leaving Date]="","",IF(AND(Table1[Leaving Date]&gt;42460,Table1[Leaving Date]&lt;42826),IF(Table1[Date of Last Assessment]="",Table1[Emotional and Mental Health],Table1[Emotional and Mental Health2]),""))</f>
        <v/>
      </c>
      <c r="GL372" s="44" t="str">
        <f>IF(Table1[Leaving Date]="","",IF(AND(Table1[Leaving Date]&gt;42460,Table1[Leaving Date]&lt;42826),IF(Table1[Date of Last Assessment]="",Table1[Meaningful Use of Time],Table1[Meaningful Use of Time2]),""))</f>
        <v/>
      </c>
      <c r="GM372" s="44" t="str">
        <f>IF(Table1[Leaving Date]="","",IF(AND(Table1[Leaving Date]&gt;42460,Table1[Leaving Date]&lt;42826),IF(Table1[Date of Last Assessment]="",Table1[Managing Tenancy and Accommodation],Table1[Managing Tenancy and Accommodation2]),""))</f>
        <v/>
      </c>
      <c r="GN372" s="44" t="str">
        <f>IF(Table1[Leaving Date]="","",IF(AND(Table1[Leaving Date]&gt;42460,Table1[Leaving Date]&lt;42826),IF(Table1[Date of Last Assessment]="",Table1[Offending],Table1[Offending2]),""))</f>
        <v/>
      </c>
    </row>
    <row r="373" spans="2:196" ht="20.100000000000001" customHeight="1" x14ac:dyDescent="0.2">
      <c r="B373" s="86">
        <f>+'Service Data'!$C$5:$C$5</f>
        <v>0</v>
      </c>
      <c r="C373" s="86"/>
      <c r="D373" s="86"/>
      <c r="E373" s="86"/>
      <c r="F373" s="86"/>
      <c r="G373" s="86"/>
      <c r="H373" s="6"/>
      <c r="I373" s="99" t="str">
        <f ca="1">IF(Table1[[#This Row],[Date of Birth]]="","",SUM(TODAY()-Table1[[#This Row],[Date of Birth]])/365)</f>
        <v/>
      </c>
      <c r="L373" s="86"/>
      <c r="M373" s="77"/>
      <c r="N373" s="86"/>
      <c r="O373" s="86"/>
      <c r="P373" s="91"/>
      <c r="Q373" s="86"/>
      <c r="R373" s="77"/>
      <c r="S373" s="77"/>
      <c r="T373" s="68"/>
      <c r="U373" s="68"/>
      <c r="V373" s="67"/>
      <c r="W373" s="67"/>
      <c r="X373" s="67"/>
      <c r="Y373" s="67"/>
      <c r="Z373" s="67"/>
      <c r="AA373" s="67"/>
      <c r="AB373" s="67"/>
      <c r="AC373" s="67"/>
      <c r="AD373" s="67"/>
      <c r="AE373" s="67"/>
      <c r="AF373" s="67"/>
      <c r="AG373" s="67"/>
      <c r="AH373" s="67"/>
      <c r="AI373" s="67"/>
      <c r="AJ373" s="67"/>
      <c r="AK373" s="67"/>
      <c r="AL373" s="67"/>
      <c r="AM373" s="67"/>
      <c r="AN373" s="77"/>
      <c r="AO373" s="76"/>
      <c r="AP373" s="77"/>
      <c r="AQ373" s="76"/>
      <c r="AR373" s="76"/>
      <c r="AS373" s="76"/>
      <c r="AT373" s="76"/>
      <c r="AU373" s="76"/>
      <c r="AV373" s="77"/>
      <c r="AW373" s="76"/>
      <c r="AX373" s="77"/>
      <c r="AY373" s="76"/>
      <c r="AZ373" s="76"/>
      <c r="BA373" s="76"/>
      <c r="BB373" s="76"/>
      <c r="BC373" s="76"/>
      <c r="BD373" s="77"/>
      <c r="BE373" s="76"/>
      <c r="BF373" s="77"/>
      <c r="BG373" s="76"/>
      <c r="BH373" s="76"/>
      <c r="BI373" s="76"/>
      <c r="BJ373" s="76"/>
      <c r="BK373" s="76"/>
      <c r="BL373" s="77"/>
      <c r="BM373" s="76"/>
      <c r="BN373" s="77"/>
      <c r="BO373" s="76"/>
      <c r="BP373" s="76"/>
      <c r="BQ373" s="76"/>
      <c r="BR373" s="76"/>
      <c r="BS373" s="76"/>
      <c r="BT373" s="77"/>
      <c r="BU373" s="76"/>
      <c r="BV373" s="77"/>
      <c r="BW373" s="76"/>
      <c r="BX373" s="76"/>
      <c r="BY373" s="76"/>
      <c r="BZ373" s="76"/>
      <c r="CA373" s="76"/>
      <c r="CB373" s="77"/>
      <c r="CC373" s="76"/>
      <c r="CD373" s="77"/>
      <c r="CE373" s="76"/>
      <c r="CF373" s="76"/>
      <c r="CG373" s="76"/>
      <c r="CH373" s="76"/>
      <c r="CI373" s="76"/>
      <c r="CJ373" s="77"/>
      <c r="CK373" s="76"/>
      <c r="CL373" s="77"/>
      <c r="CM373" s="76"/>
      <c r="CN373" s="76"/>
      <c r="CO373" s="76"/>
      <c r="CP373" s="76"/>
      <c r="CQ373" s="76"/>
      <c r="CR373" s="78" t="str">
        <f t="shared" si="95"/>
        <v/>
      </c>
      <c r="CS373" s="79" t="str">
        <f t="shared" si="96"/>
        <v/>
      </c>
      <c r="CT373" s="79" t="str">
        <f t="shared" si="97"/>
        <v/>
      </c>
      <c r="CU373" s="79" t="str">
        <f t="shared" si="98"/>
        <v/>
      </c>
      <c r="CV373" s="79" t="str">
        <f t="shared" si="99"/>
        <v/>
      </c>
      <c r="CW373" s="79" t="str">
        <f t="shared" si="100"/>
        <v/>
      </c>
      <c r="CX373" s="79" t="str">
        <f t="shared" si="101"/>
        <v/>
      </c>
      <c r="CY373" s="79" t="str">
        <f t="shared" si="102"/>
        <v/>
      </c>
      <c r="CZ373" s="79" t="str">
        <f t="shared" si="103"/>
        <v/>
      </c>
      <c r="DA373" s="79" t="str">
        <f t="shared" si="104"/>
        <v/>
      </c>
      <c r="DB373" s="79" t="str">
        <f t="shared" si="105"/>
        <v/>
      </c>
      <c r="DC373" s="79" t="str">
        <f t="shared" si="106"/>
        <v/>
      </c>
      <c r="DD373" s="79" t="str">
        <f t="shared" si="107"/>
        <v/>
      </c>
      <c r="DE373" s="79" t="str">
        <f t="shared" si="108"/>
        <v/>
      </c>
      <c r="DF373" s="79" t="str">
        <f t="shared" si="109"/>
        <v/>
      </c>
      <c r="DG373" s="79" t="str">
        <f t="shared" si="110"/>
        <v/>
      </c>
      <c r="DH373" s="76"/>
      <c r="DI373" s="78"/>
      <c r="DJ373" s="76"/>
      <c r="DK373" s="77"/>
      <c r="DL373" s="77"/>
      <c r="DM373" s="77"/>
      <c r="DN373" s="80"/>
      <c r="DO373" s="80"/>
      <c r="DP373" s="92" t="str">
        <f>IF(Table1[Start Date]="","",IF(Table1[Start Date]&gt;42185,"",IF(AND(Table1[Leaving Date]&gt;1,Table1[Leaving Date]&lt;42095),"",1)))</f>
        <v/>
      </c>
      <c r="DQ373" s="92" t="str">
        <f>IF(Table1[Start Date]="","",IF(Table1[Start Date]&gt;42277,"",IF(AND(Table1[Leaving Date]&gt;1,Table1[Leaving Date]&lt;42186),"",1)))</f>
        <v/>
      </c>
      <c r="DR373" s="92" t="str">
        <f>IF(Table1[Start Date]="","",IF(Table1[Start Date]&gt;42369,"",IF(AND(Table1[Leaving Date]&gt;1,Table1[Leaving Date]&lt;42278),"",1)))</f>
        <v/>
      </c>
      <c r="DS373" s="92" t="str">
        <f>IF(Table1[Start Date]="","",IF(Table1[Start Date]&gt;42460,"",IF(AND(Table1[Leaving Date]&gt;1,Table1[Leaving Date]&lt;42370),"",1)))</f>
        <v/>
      </c>
      <c r="DT373" s="92" t="str">
        <f>IF(Table1[Start Date]="","",IF(Table1[Start Date]&gt;42551,"",IF(AND(Table1[Leaving Date]&gt;1,Table1[Leaving Date]&lt;42461),"",1)))</f>
        <v/>
      </c>
      <c r="DU373" s="92" t="str">
        <f>IF(Table1[Start Date]="","",IF(Table1[Start Date]&gt;42643,"",IF(AND(Table1[Leaving Date]&gt;1,Table1[Leaving Date]&lt;42552),"",1)))</f>
        <v/>
      </c>
      <c r="DV373" s="92" t="str">
        <f>IF(Table1[Start Date]="","",IF(Table1[Start Date]&gt;42735,"",IF(AND(Table1[Leaving Date]&gt;1,Table1[Leaving Date]&lt;42644),"",1)))</f>
        <v/>
      </c>
      <c r="DW373" s="92" t="str">
        <f>IF(Table1[Start Date]="","",IF(Table1[Start Date]&gt;42825,"",IF(AND(Table1[Leaving Date]&gt;1,Table1[Leaving Date]&lt;42736),"",1)))</f>
        <v/>
      </c>
      <c r="DX373"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373" s="44" t="e">
        <f>VLOOKUP(Table1[Referral Source],Lists!$G$2:$H$20,2,FALSE)</f>
        <v>#N/A</v>
      </c>
      <c r="DZ373" s="93" t="e">
        <f>SUM(Table1[Data Referral Quarter]+Table1[Data Referral Source])</f>
        <v>#N/A</v>
      </c>
      <c r="EA373" s="44" t="b">
        <f>IF(Table1[Referral Decision]="Accepted",100,IF(Table1[Referral Decision]="Rejected by Provider",200,IF(Table1[Referral Decision]="Rejected by Applicant",300)))</f>
        <v>0</v>
      </c>
      <c r="EB373" s="44">
        <f>SUM(Table1[Data Referral Quarter]+Table1[Data Referral Decision])</f>
        <v>0</v>
      </c>
      <c r="EC373" s="44" t="b">
        <f>IF(Table1[Start Date]&gt;42735,8000,IF(Table1[Start Date]&gt;42643,7000,IF(Table1[Start Date]&gt;42551,6000,IF(Table1[Start Date]&gt;42460,5000,IF(Table1[Start Date]&gt;42369,4000,IF(Table1[Start Date]&gt;42277,3000,IF(Table1[Start Date]&gt;42185,2000,IF(Table1[Start Date]&gt;42094,1000))))))))</f>
        <v>0</v>
      </c>
      <c r="ED373" s="44" t="str">
        <f>IF(Table1[Start Date]="","",IF(Table1[Current Local Authority]="Swindon",1,"2"))</f>
        <v/>
      </c>
      <c r="EE373" s="44" t="e">
        <f>SUM(Table1[Data Start Date]+Table1[Data Local Authority])</f>
        <v>#VALUE!</v>
      </c>
      <c r="EF373" s="44">
        <f>IF(Table1[Registered with GP]="Yes",1,0)</f>
        <v>0</v>
      </c>
      <c r="EG373" s="44">
        <f>SUM(Table1[Data Start Date]+Table1[Data GP Start])</f>
        <v>0</v>
      </c>
      <c r="EH373" s="44" t="str">
        <f>IF(Table1[EET]="NEET",1,IF(Table1[EET]="Education",2,IF(Table1[EET]="Employment",2,IF(Table1[EET]="Training",2,IF(Table1[EET]="Retired",3,"")))))</f>
        <v/>
      </c>
      <c r="EI373" s="44" t="e">
        <f>Table1[Data Start Date]+Table1[Data EET Start]</f>
        <v>#VALUE!</v>
      </c>
      <c r="EJ373" s="44" t="b">
        <f>IF(Table1[Leaving Date]&gt;42735,8000,IF(Table1[Leaving Date]&gt;42643,7000,IF(Table1[Leaving Date]&gt;42551,6000,IF(Table1[Leaving Date]&gt;42460,5000,IF(Table1[Leaving Date]&gt;42369,4000,IF(Table1[Leaving Date]&gt;42277,3000,IF(Table1[Leaving Date]&gt;42185,2000,IF(Table1[Leaving Date]&gt;42094,1000))))))))</f>
        <v>0</v>
      </c>
      <c r="EK373" s="44" t="e">
        <f>VLOOKUP(Table1[Reason for Leaving],Lists!$T$2:$U$15,2,FALSE)</f>
        <v>#N/A</v>
      </c>
      <c r="EL373" s="44" t="e">
        <f>SUM(Table1[Data Leavers Date]+Table1[Data Move On])</f>
        <v>#N/A</v>
      </c>
      <c r="EM373" s="44" t="b">
        <f>IF(Table1[Registered with GP2]="Yes",1,IF(Table1[Registered with GP2]="No",0,IF(Table1[Registered with GP]="Yes",1,IF(Table1[Registered with GP]="No",0))))</f>
        <v>0</v>
      </c>
      <c r="EN373" s="44">
        <f>SUM(Table1[Data Leavers Date]+Table1[Data GP End])</f>
        <v>0</v>
      </c>
      <c r="EO373" s="44" t="str">
        <f>IF(Table1[EET2]="NEET",1,IF(Table1[EET2]="Employment",2,IF(Table1[EET2]="Education",2,IF(Table1[EET2]="Training",2,IF(Table1[EET2]="Retired",3,IF(Table1[EET]="NEET",1,IF(Table1[EET]="Employment",2,IF(Table1[EET]="Education",2,IF(Table1[EET]="Training",2,IF(Table1[EET]="Retired",3,""))))))))))</f>
        <v/>
      </c>
      <c r="EP373" s="44" t="e">
        <f>+Table1[[#This Row],[Data Leavers Date]]+Table1[[#This Row],[Data EET End]]</f>
        <v>#VALUE!</v>
      </c>
      <c r="EQ373" s="44">
        <f>IF(Table1[Exit Form Received]="Yes",1,0)</f>
        <v>0</v>
      </c>
      <c r="ER373" s="44">
        <f>+Table1[[#This Row],[Data Leavers Date]]+Table1[[#This Row],[Data Exit Forms]]</f>
        <v>0</v>
      </c>
      <c r="ES373" s="44" t="str">
        <f>IF(Table1[Data Leavers Date]=1000,SUM(Table1[Leaving Date]-Table1[Start Date]),"")</f>
        <v/>
      </c>
      <c r="ET373" s="44" t="str">
        <f>IF(Table1[Data Leavers Date]=2000,SUM(Table1[Leaving Date]-Table1[Start Date]),"")</f>
        <v/>
      </c>
      <c r="EU373" s="44" t="str">
        <f>IF(Table1[Data Leavers Date]=3000,SUM(Table1[Leaving Date]-Table1[Start Date]),"")</f>
        <v/>
      </c>
      <c r="EV373" s="44" t="str">
        <f>IF(Table1[Data Leavers Date]=4000,SUM(Table1[Leaving Date]-Table1[Start Date]),"")</f>
        <v/>
      </c>
      <c r="EW373" s="44" t="str">
        <f>IF(Table1[Data Leavers Date]=5000,SUM(Table1[Leaving Date]-Table1[Start Date]),"")</f>
        <v/>
      </c>
      <c r="EX373" s="44" t="str">
        <f>IF(Table1[Data Leavers Date]=6000,SUM(Table1[Leaving Date]-Table1[Start Date]),"")</f>
        <v/>
      </c>
      <c r="EY373" s="44" t="str">
        <f>IF(Table1[Data Leavers Date]=7000,SUM(Table1[Leaving Date]-Table1[Start Date]),"")</f>
        <v/>
      </c>
      <c r="EZ373" s="44" t="str">
        <f>IF(Table1[Data Leavers Date]=8000,SUM(Table1[Leaving Date]-Table1[Start Date]),"")</f>
        <v/>
      </c>
      <c r="FA373" s="44" t="str">
        <f>IF(Table1[Date of Initial Assessment]="","",IF(AND(Table1[Start Date]&gt;42094,Table1[Start Date]&lt;42461),Table1[Motivation and Taking Responsibility],""))</f>
        <v/>
      </c>
      <c r="FB373" s="44" t="str">
        <f>IF(Table1[Date of Initial Assessment]="","",IF(AND(Table1[Start Date]&gt;42094,Table1[Start Date]&lt;42461),Table1[Self-Care and Living Skills],""))</f>
        <v/>
      </c>
      <c r="FC373" s="44" t="str">
        <f>IF(Table1[Date of Initial Assessment]="","",IF(AND(Table1[Start Date]&gt;42094,Table1[Start Date]&lt;42461),Table1[Managing Money and Personal Administration],""))</f>
        <v/>
      </c>
      <c r="FD373" s="44" t="str">
        <f>IF(Table1[Date of Initial Assessment]="","",IF(AND(Table1[Start Date]&gt;42094,Table1[Start Date]&lt;42461),Table1[Social Networks and Relationships],""))</f>
        <v/>
      </c>
      <c r="FE373" s="44" t="str">
        <f>IF(Table1[Date of Initial Assessment]="","",IF(AND(Table1[Start Date]&gt;42094,Table1[Start Date]&lt;42461),Table1[Drug and Alcohol Misuse],""))</f>
        <v/>
      </c>
      <c r="FF373" s="44" t="str">
        <f>IF(Table1[Date of Initial Assessment]="","",IF(AND(Table1[Start Date]&gt;42094,Table1[Start Date]&lt;42461),Table1[Physical Health],""))</f>
        <v/>
      </c>
      <c r="FG373" s="44" t="str">
        <f>IF(Table1[Date of Initial Assessment]="","",IF(AND(Table1[Start Date]&gt;42094,Table1[Start Date]&lt;42461),Table1[Emotional and Mental Health],""))</f>
        <v/>
      </c>
      <c r="FH373" s="44" t="str">
        <f>IF(Table1[Date of Initial Assessment]="","",IF(AND(Table1[Start Date]&gt;42094,Table1[Start Date]&lt;42461),Table1[Meaningful Use of Time],""))</f>
        <v/>
      </c>
      <c r="FI373" s="44" t="str">
        <f>IF(Table1[Date of Initial Assessment]="","",IF(AND(Table1[Start Date]&gt;42094,Table1[Start Date]&lt;42461),Table1[Managing Tenancy and Accommodation],""))</f>
        <v/>
      </c>
      <c r="FJ373" s="44" t="str">
        <f>IF(Table1[Date of Initial Assessment]="","",IF(AND(Table1[Start Date]&gt;42094,Table1[Start Date]&lt;42461),Table1[Offending],""))</f>
        <v/>
      </c>
      <c r="FK373" s="44" t="str">
        <f>IF(Table1[Leaving Date]="","",IF(Table1[Date of Initial Assessment]="","",IF(AND(Table1[Leaving Date]&gt;42094,Table1[Leaving Date]&lt;42461),IF(Table1[Date of Last Assessment]="",Table1[Motivation and Taking Responsibility],Table1[Motivation and Taking Responsibility2]),"")))</f>
        <v/>
      </c>
      <c r="FL373" s="44" t="str">
        <f>IF(Table1[Leaving Date]="","",IF(Table1[Date of Initial Assessment]="","",IF(AND(Table1[Leaving Date]&gt;42094,Table1[Leaving Date]&lt;42461),IF(Table1[Date of Last Assessment]="",Table1[Self-Care and Living Skills],Table1[Self-Care and Living Skills2]),"")))</f>
        <v/>
      </c>
      <c r="FM373" s="44" t="str">
        <f>IF(Table1[Leaving Date]="","",IF(Table1[Date of Initial Assessment]="","",IF(AND(Table1[Leaving Date]&gt;42094,Table1[Leaving Date]&lt;42461),IF(Table1[Date of Last Assessment]="",Table1[Managing Money and Personal Administration],Table1[Managing Money and Personal Administration2]),"")))</f>
        <v/>
      </c>
      <c r="FN373" s="44" t="str">
        <f>IF(Table1[Leaving Date]="","",IF(Table1[Date of Initial Assessment]="","",IF(AND(Table1[Leaving Date]&gt;42094,Table1[Leaving Date]&lt;42461),IF(Table1[Date of Last Assessment]="",Table1[Social Networks and Relationships],Table1[Social Networks and Relationships2]),"")))</f>
        <v/>
      </c>
      <c r="FO373" s="44" t="str">
        <f>IF(Table1[Leaving Date]="","",IF(Table1[Date of Initial Assessment]="","",IF(AND(Table1[Leaving Date]&gt;42094,Table1[Leaving Date]&lt;42461),IF(Table1[Date of Last Assessment]="",Table1[Drug and Alcohol Misuse],Table1[Drug and Alcohol Misuse2]),"")))</f>
        <v/>
      </c>
      <c r="FP373" s="44" t="str">
        <f>IF(Table1[Leaving Date]="","",IF(Table1[Date of Initial Assessment]="","",IF(AND(Table1[Leaving Date]&gt;42094,Table1[Leaving Date]&lt;42461),IF(Table1[Date of Last Assessment]="",Table1[Physical Health],Table1[Physical Health2]),"")))</f>
        <v/>
      </c>
      <c r="FQ373" s="44" t="str">
        <f>IF(Table1[Leaving Date]="","",IF(Table1[Date of Initial Assessment]="","",IF(AND(Table1[Leaving Date]&gt;42094,Table1[Leaving Date]&lt;42461),IF(Table1[Date of Last Assessment]="",Table1[Emotional and Mental Health],Table1[Emotional and Mental Health2]),"")))</f>
        <v/>
      </c>
      <c r="FR373" s="44" t="str">
        <f>IF(Table1[Leaving Date]="","",IF(Table1[Date of Initial Assessment]="","",IF(AND(Table1[Leaving Date]&gt;42094,Table1[Leaving Date]&lt;42461),IF(Table1[Date of Last Assessment]="",Table1[Meaningful Use of Time],Table1[Meaningful Use of Time2]),"")))</f>
        <v/>
      </c>
      <c r="FS373" s="44" t="str">
        <f>IF(Table1[Leaving Date]="","",IF(Table1[Date of Initial Assessment]="","",IF(AND(Table1[Leaving Date]&gt;42094,Table1[Leaving Date]&lt;42461),IF(Table1[Date of Last Assessment]="",Table1[Managing Tenancy and Accommodation],Table1[Managing Tenancy and Accommodation2]),"")))</f>
        <v/>
      </c>
      <c r="FT373" s="44" t="str">
        <f>IF(Table1[Leaving Date]="","",IF(Table1[Date of Initial Assessment]="","",IF(AND(Table1[Leaving Date]&gt;42094,Table1[Leaving Date]&lt;42461),IF(Table1[Date of Last Assessment]="",Table1[Offending],Table1[Offending2]),"")))</f>
        <v/>
      </c>
      <c r="FU373" s="44" t="str">
        <f>IF(Table1[Date of Initial Assessment]="","",IF(AND(Table1[Start Date]&gt;42460,Table1[Start Date]&lt;42826),Table1[Motivation and Taking Responsibility],""))</f>
        <v/>
      </c>
      <c r="FV373" s="44" t="str">
        <f>IF(Table1[Date of Initial Assessment]="","",IF(AND(Table1[Start Date]&gt;42460,Table1[Start Date]&lt;42826),Table1[Self-Care and Living Skills],""))</f>
        <v/>
      </c>
      <c r="FW373" s="44" t="str">
        <f>IF(Table1[Date of Initial Assessment]="","",IF(AND(Table1[Start Date]&gt;42460,Table1[Start Date]&lt;42826),Table1[Managing Money and Personal Administration],""))</f>
        <v/>
      </c>
      <c r="FX373" s="44" t="str">
        <f>IF(Table1[Date of Initial Assessment]="","",IF(AND(Table1[Start Date]&gt;42460,Table1[Start Date]&lt;42826),Table1[Social Networks and Relationships],""))</f>
        <v/>
      </c>
      <c r="FY373" s="44" t="str">
        <f>IF(Table1[Date of Initial Assessment]="","",IF(AND(Table1[Start Date]&gt;42460,Table1[Start Date]&lt;42826),Table1[Drug and Alcohol Misuse],""))</f>
        <v/>
      </c>
      <c r="FZ373" s="44" t="str">
        <f>IF(Table1[Date of Initial Assessment]="","",IF(AND(Table1[Start Date]&gt;42460,Table1[Start Date]&lt;42826),Table1[Physical Health],""))</f>
        <v/>
      </c>
      <c r="GA373" s="44" t="str">
        <f>IF(Table1[Date of Initial Assessment]="","",IF(AND(Table1[Start Date]&gt;42460,Table1[Start Date]&lt;42826),Table1[Emotional and Mental Health],""))</f>
        <v/>
      </c>
      <c r="GB373" s="44" t="str">
        <f>IF(Table1[Date of Initial Assessment]="","",IF(AND(Table1[Start Date]&gt;42460,Table1[Start Date]&lt;42826),Table1[Meaningful Use of Time],""))</f>
        <v/>
      </c>
      <c r="GC373" s="44" t="str">
        <f>IF(Table1[Date of Initial Assessment]="","",IF(AND(Table1[Start Date]&gt;42460,Table1[Start Date]&lt;42826),Table1[Managing Tenancy and Accommodation],""))</f>
        <v/>
      </c>
      <c r="GD373" s="44" t="str">
        <f>IF(Table1[Date of Initial Assessment]="","",IF(AND(Table1[Start Date]&gt;42460,Table1[Start Date]&lt;42826),Table1[Offending],""))</f>
        <v/>
      </c>
      <c r="GE373" s="44" t="str">
        <f>IF(Table1[Leaving Date]="","",IF(AND(Table1[Leaving Date]&gt;42460,Table1[Leaving Date]&lt;42826),IF(Table1[Date of Last Assessment]="",Table1[Motivation and Taking Responsibility],Table1[Motivation and Taking Responsibility2]),""))</f>
        <v/>
      </c>
      <c r="GF373" s="44" t="str">
        <f>IF(Table1[Leaving Date]="","",IF(AND(Table1[Leaving Date]&gt;42460,Table1[Leaving Date]&lt;42826),IF(Table1[Date of Last Assessment]="",Table1[Self-Care and Living Skills],Table1[Self-Care and Living Skills2]),""))</f>
        <v/>
      </c>
      <c r="GG373" s="44" t="str">
        <f>IF(Table1[Leaving Date]="","",IF(AND(Table1[Leaving Date]&gt;42460,Table1[Leaving Date]&lt;42826),IF(Table1[Date of Last Assessment]="",Table1[Managing Money and Personal Administration],Table1[Managing Money and Personal Administration2]),""))</f>
        <v/>
      </c>
      <c r="GH373" s="44" t="str">
        <f>IF(Table1[Leaving Date]="","",IF(AND(Table1[Leaving Date]&gt;42460,Table1[Leaving Date]&lt;42826),IF(Table1[Date of Last Assessment]="",Table1[Social Networks and Relationships],Table1[Social Networks and Relationships2]),""))</f>
        <v/>
      </c>
      <c r="GI373" s="44" t="str">
        <f>IF(Table1[Leaving Date]="","",IF(AND(Table1[Leaving Date]&gt;42460,Table1[Leaving Date]&lt;42826),IF(Table1[Date of Last Assessment]="",Table1[Drug and Alcohol Misuse],Table1[Drug and Alcohol Misuse2]),""))</f>
        <v/>
      </c>
      <c r="GJ373" s="44" t="str">
        <f>IF(Table1[Leaving Date]="","",IF(AND(Table1[Leaving Date]&gt;42460,Table1[Leaving Date]&lt;42826),IF(Table1[Date of Last Assessment]="",Table1[Physical Health],Table1[Physical Health2]),""))</f>
        <v/>
      </c>
      <c r="GK373" s="44" t="str">
        <f>IF(Table1[Leaving Date]="","",IF(AND(Table1[Leaving Date]&gt;42460,Table1[Leaving Date]&lt;42826),IF(Table1[Date of Last Assessment]="",Table1[Emotional and Mental Health],Table1[Emotional and Mental Health2]),""))</f>
        <v/>
      </c>
      <c r="GL373" s="44" t="str">
        <f>IF(Table1[Leaving Date]="","",IF(AND(Table1[Leaving Date]&gt;42460,Table1[Leaving Date]&lt;42826),IF(Table1[Date of Last Assessment]="",Table1[Meaningful Use of Time],Table1[Meaningful Use of Time2]),""))</f>
        <v/>
      </c>
      <c r="GM373" s="44" t="str">
        <f>IF(Table1[Leaving Date]="","",IF(AND(Table1[Leaving Date]&gt;42460,Table1[Leaving Date]&lt;42826),IF(Table1[Date of Last Assessment]="",Table1[Managing Tenancy and Accommodation],Table1[Managing Tenancy and Accommodation2]),""))</f>
        <v/>
      </c>
      <c r="GN373" s="44" t="str">
        <f>IF(Table1[Leaving Date]="","",IF(AND(Table1[Leaving Date]&gt;42460,Table1[Leaving Date]&lt;42826),IF(Table1[Date of Last Assessment]="",Table1[Offending],Table1[Offending2]),""))</f>
        <v/>
      </c>
    </row>
    <row r="374" spans="2:196" ht="20.100000000000001" customHeight="1" x14ac:dyDescent="0.2">
      <c r="B374" s="86">
        <f>+'Service Data'!$C$5:$C$5</f>
        <v>0</v>
      </c>
      <c r="C374" s="86"/>
      <c r="D374" s="86"/>
      <c r="E374" s="86"/>
      <c r="F374" s="86"/>
      <c r="G374" s="86"/>
      <c r="H374" s="6"/>
      <c r="I374" s="99" t="str">
        <f ca="1">IF(Table1[[#This Row],[Date of Birth]]="","",SUM(TODAY()-Table1[[#This Row],[Date of Birth]])/365)</f>
        <v/>
      </c>
      <c r="L374" s="86"/>
      <c r="M374" s="77"/>
      <c r="N374" s="86"/>
      <c r="O374" s="86"/>
      <c r="P374" s="91"/>
      <c r="Q374" s="86"/>
      <c r="R374" s="77"/>
      <c r="S374" s="77"/>
      <c r="T374" s="68"/>
      <c r="U374" s="68"/>
      <c r="V374" s="67"/>
      <c r="W374" s="67"/>
      <c r="X374" s="67"/>
      <c r="Y374" s="67"/>
      <c r="Z374" s="67"/>
      <c r="AA374" s="67"/>
      <c r="AB374" s="67"/>
      <c r="AC374" s="67"/>
      <c r="AD374" s="67"/>
      <c r="AE374" s="67"/>
      <c r="AF374" s="67"/>
      <c r="AG374" s="67"/>
      <c r="AH374" s="67"/>
      <c r="AI374" s="67"/>
      <c r="AJ374" s="67"/>
      <c r="AK374" s="67"/>
      <c r="AL374" s="67"/>
      <c r="AM374" s="67"/>
      <c r="AN374" s="77"/>
      <c r="AO374" s="76"/>
      <c r="AP374" s="77"/>
      <c r="AQ374" s="76"/>
      <c r="AR374" s="76"/>
      <c r="AS374" s="76"/>
      <c r="AT374" s="76"/>
      <c r="AU374" s="76"/>
      <c r="AV374" s="77"/>
      <c r="AW374" s="76"/>
      <c r="AX374" s="77"/>
      <c r="AY374" s="76"/>
      <c r="AZ374" s="76"/>
      <c r="BA374" s="76"/>
      <c r="BB374" s="76"/>
      <c r="BC374" s="76"/>
      <c r="BD374" s="77"/>
      <c r="BE374" s="76"/>
      <c r="BF374" s="77"/>
      <c r="BG374" s="76"/>
      <c r="BH374" s="76"/>
      <c r="BI374" s="76"/>
      <c r="BJ374" s="76"/>
      <c r="BK374" s="76"/>
      <c r="BL374" s="77"/>
      <c r="BM374" s="76"/>
      <c r="BN374" s="77"/>
      <c r="BO374" s="76"/>
      <c r="BP374" s="76"/>
      <c r="BQ374" s="76"/>
      <c r="BR374" s="76"/>
      <c r="BS374" s="76"/>
      <c r="BT374" s="77"/>
      <c r="BU374" s="76"/>
      <c r="BV374" s="77"/>
      <c r="BW374" s="76"/>
      <c r="BX374" s="76"/>
      <c r="BY374" s="76"/>
      <c r="BZ374" s="76"/>
      <c r="CA374" s="76"/>
      <c r="CB374" s="77"/>
      <c r="CC374" s="76"/>
      <c r="CD374" s="77"/>
      <c r="CE374" s="76"/>
      <c r="CF374" s="76"/>
      <c r="CG374" s="76"/>
      <c r="CH374" s="76"/>
      <c r="CI374" s="76"/>
      <c r="CJ374" s="77"/>
      <c r="CK374" s="76"/>
      <c r="CL374" s="77"/>
      <c r="CM374" s="76"/>
      <c r="CN374" s="76"/>
      <c r="CO374" s="76"/>
      <c r="CP374" s="76"/>
      <c r="CQ374" s="76"/>
      <c r="CR374" s="78" t="str">
        <f t="shared" si="95"/>
        <v/>
      </c>
      <c r="CS374" s="79" t="str">
        <f t="shared" si="96"/>
        <v/>
      </c>
      <c r="CT374" s="79" t="str">
        <f t="shared" si="97"/>
        <v/>
      </c>
      <c r="CU374" s="79" t="str">
        <f t="shared" si="98"/>
        <v/>
      </c>
      <c r="CV374" s="79" t="str">
        <f t="shared" si="99"/>
        <v/>
      </c>
      <c r="CW374" s="79" t="str">
        <f t="shared" si="100"/>
        <v/>
      </c>
      <c r="CX374" s="79" t="str">
        <f t="shared" si="101"/>
        <v/>
      </c>
      <c r="CY374" s="79" t="str">
        <f t="shared" si="102"/>
        <v/>
      </c>
      <c r="CZ374" s="79" t="str">
        <f t="shared" si="103"/>
        <v/>
      </c>
      <c r="DA374" s="79" t="str">
        <f t="shared" si="104"/>
        <v/>
      </c>
      <c r="DB374" s="79" t="str">
        <f t="shared" si="105"/>
        <v/>
      </c>
      <c r="DC374" s="79" t="str">
        <f t="shared" si="106"/>
        <v/>
      </c>
      <c r="DD374" s="79" t="str">
        <f t="shared" si="107"/>
        <v/>
      </c>
      <c r="DE374" s="79" t="str">
        <f t="shared" si="108"/>
        <v/>
      </c>
      <c r="DF374" s="79" t="str">
        <f t="shared" si="109"/>
        <v/>
      </c>
      <c r="DG374" s="79" t="str">
        <f t="shared" si="110"/>
        <v/>
      </c>
      <c r="DH374" s="76"/>
      <c r="DI374" s="78"/>
      <c r="DJ374" s="76"/>
      <c r="DK374" s="77"/>
      <c r="DL374" s="77"/>
      <c r="DM374" s="77"/>
      <c r="DN374" s="80"/>
      <c r="DO374" s="80"/>
      <c r="DP374" s="92" t="str">
        <f>IF(Table1[Start Date]="","",IF(Table1[Start Date]&gt;42185,"",IF(AND(Table1[Leaving Date]&gt;1,Table1[Leaving Date]&lt;42095),"",1)))</f>
        <v/>
      </c>
      <c r="DQ374" s="92" t="str">
        <f>IF(Table1[Start Date]="","",IF(Table1[Start Date]&gt;42277,"",IF(AND(Table1[Leaving Date]&gt;1,Table1[Leaving Date]&lt;42186),"",1)))</f>
        <v/>
      </c>
      <c r="DR374" s="92" t="str">
        <f>IF(Table1[Start Date]="","",IF(Table1[Start Date]&gt;42369,"",IF(AND(Table1[Leaving Date]&gt;1,Table1[Leaving Date]&lt;42278),"",1)))</f>
        <v/>
      </c>
      <c r="DS374" s="92" t="str">
        <f>IF(Table1[Start Date]="","",IF(Table1[Start Date]&gt;42460,"",IF(AND(Table1[Leaving Date]&gt;1,Table1[Leaving Date]&lt;42370),"",1)))</f>
        <v/>
      </c>
      <c r="DT374" s="92" t="str">
        <f>IF(Table1[Start Date]="","",IF(Table1[Start Date]&gt;42551,"",IF(AND(Table1[Leaving Date]&gt;1,Table1[Leaving Date]&lt;42461),"",1)))</f>
        <v/>
      </c>
      <c r="DU374" s="92" t="str">
        <f>IF(Table1[Start Date]="","",IF(Table1[Start Date]&gt;42643,"",IF(AND(Table1[Leaving Date]&gt;1,Table1[Leaving Date]&lt;42552),"",1)))</f>
        <v/>
      </c>
      <c r="DV374" s="92" t="str">
        <f>IF(Table1[Start Date]="","",IF(Table1[Start Date]&gt;42735,"",IF(AND(Table1[Leaving Date]&gt;1,Table1[Leaving Date]&lt;42644),"",1)))</f>
        <v/>
      </c>
      <c r="DW374" s="92" t="str">
        <f>IF(Table1[Start Date]="","",IF(Table1[Start Date]&gt;42825,"",IF(AND(Table1[Leaving Date]&gt;1,Table1[Leaving Date]&lt;42736),"",1)))</f>
        <v/>
      </c>
      <c r="DX374"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374" s="44" t="e">
        <f>VLOOKUP(Table1[Referral Source],Lists!$G$2:$H$20,2,FALSE)</f>
        <v>#N/A</v>
      </c>
      <c r="DZ374" s="93" t="e">
        <f>SUM(Table1[Data Referral Quarter]+Table1[Data Referral Source])</f>
        <v>#N/A</v>
      </c>
      <c r="EA374" s="44" t="b">
        <f>IF(Table1[Referral Decision]="Accepted",100,IF(Table1[Referral Decision]="Rejected by Provider",200,IF(Table1[Referral Decision]="Rejected by Applicant",300)))</f>
        <v>0</v>
      </c>
      <c r="EB374" s="44">
        <f>SUM(Table1[Data Referral Quarter]+Table1[Data Referral Decision])</f>
        <v>0</v>
      </c>
      <c r="EC374" s="44" t="b">
        <f>IF(Table1[Start Date]&gt;42735,8000,IF(Table1[Start Date]&gt;42643,7000,IF(Table1[Start Date]&gt;42551,6000,IF(Table1[Start Date]&gt;42460,5000,IF(Table1[Start Date]&gt;42369,4000,IF(Table1[Start Date]&gt;42277,3000,IF(Table1[Start Date]&gt;42185,2000,IF(Table1[Start Date]&gt;42094,1000))))))))</f>
        <v>0</v>
      </c>
      <c r="ED374" s="44" t="str">
        <f>IF(Table1[Start Date]="","",IF(Table1[Current Local Authority]="Swindon",1,"2"))</f>
        <v/>
      </c>
      <c r="EE374" s="44" t="e">
        <f>SUM(Table1[Data Start Date]+Table1[Data Local Authority])</f>
        <v>#VALUE!</v>
      </c>
      <c r="EF374" s="44">
        <f>IF(Table1[Registered with GP]="Yes",1,0)</f>
        <v>0</v>
      </c>
      <c r="EG374" s="44">
        <f>SUM(Table1[Data Start Date]+Table1[Data GP Start])</f>
        <v>0</v>
      </c>
      <c r="EH374" s="44" t="str">
        <f>IF(Table1[EET]="NEET",1,IF(Table1[EET]="Education",2,IF(Table1[EET]="Employment",2,IF(Table1[EET]="Training",2,IF(Table1[EET]="Retired",3,"")))))</f>
        <v/>
      </c>
      <c r="EI374" s="44" t="e">
        <f>Table1[Data Start Date]+Table1[Data EET Start]</f>
        <v>#VALUE!</v>
      </c>
      <c r="EJ374" s="44" t="b">
        <f>IF(Table1[Leaving Date]&gt;42735,8000,IF(Table1[Leaving Date]&gt;42643,7000,IF(Table1[Leaving Date]&gt;42551,6000,IF(Table1[Leaving Date]&gt;42460,5000,IF(Table1[Leaving Date]&gt;42369,4000,IF(Table1[Leaving Date]&gt;42277,3000,IF(Table1[Leaving Date]&gt;42185,2000,IF(Table1[Leaving Date]&gt;42094,1000))))))))</f>
        <v>0</v>
      </c>
      <c r="EK374" s="44" t="e">
        <f>VLOOKUP(Table1[Reason for Leaving],Lists!$T$2:$U$15,2,FALSE)</f>
        <v>#N/A</v>
      </c>
      <c r="EL374" s="44" t="e">
        <f>SUM(Table1[Data Leavers Date]+Table1[Data Move On])</f>
        <v>#N/A</v>
      </c>
      <c r="EM374" s="44" t="b">
        <f>IF(Table1[Registered with GP2]="Yes",1,IF(Table1[Registered with GP2]="No",0,IF(Table1[Registered with GP]="Yes",1,IF(Table1[Registered with GP]="No",0))))</f>
        <v>0</v>
      </c>
      <c r="EN374" s="44">
        <f>SUM(Table1[Data Leavers Date]+Table1[Data GP End])</f>
        <v>0</v>
      </c>
      <c r="EO374" s="44" t="str">
        <f>IF(Table1[EET2]="NEET",1,IF(Table1[EET2]="Employment",2,IF(Table1[EET2]="Education",2,IF(Table1[EET2]="Training",2,IF(Table1[EET2]="Retired",3,IF(Table1[EET]="NEET",1,IF(Table1[EET]="Employment",2,IF(Table1[EET]="Education",2,IF(Table1[EET]="Training",2,IF(Table1[EET]="Retired",3,""))))))))))</f>
        <v/>
      </c>
      <c r="EP374" s="44" t="e">
        <f>+Table1[[#This Row],[Data Leavers Date]]+Table1[[#This Row],[Data EET End]]</f>
        <v>#VALUE!</v>
      </c>
      <c r="EQ374" s="44">
        <f>IF(Table1[Exit Form Received]="Yes",1,0)</f>
        <v>0</v>
      </c>
      <c r="ER374" s="44">
        <f>+Table1[[#This Row],[Data Leavers Date]]+Table1[[#This Row],[Data Exit Forms]]</f>
        <v>0</v>
      </c>
      <c r="ES374" s="44" t="str">
        <f>IF(Table1[Data Leavers Date]=1000,SUM(Table1[Leaving Date]-Table1[Start Date]),"")</f>
        <v/>
      </c>
      <c r="ET374" s="44" t="str">
        <f>IF(Table1[Data Leavers Date]=2000,SUM(Table1[Leaving Date]-Table1[Start Date]),"")</f>
        <v/>
      </c>
      <c r="EU374" s="44" t="str">
        <f>IF(Table1[Data Leavers Date]=3000,SUM(Table1[Leaving Date]-Table1[Start Date]),"")</f>
        <v/>
      </c>
      <c r="EV374" s="44" t="str">
        <f>IF(Table1[Data Leavers Date]=4000,SUM(Table1[Leaving Date]-Table1[Start Date]),"")</f>
        <v/>
      </c>
      <c r="EW374" s="44" t="str">
        <f>IF(Table1[Data Leavers Date]=5000,SUM(Table1[Leaving Date]-Table1[Start Date]),"")</f>
        <v/>
      </c>
      <c r="EX374" s="44" t="str">
        <f>IF(Table1[Data Leavers Date]=6000,SUM(Table1[Leaving Date]-Table1[Start Date]),"")</f>
        <v/>
      </c>
      <c r="EY374" s="44" t="str">
        <f>IF(Table1[Data Leavers Date]=7000,SUM(Table1[Leaving Date]-Table1[Start Date]),"")</f>
        <v/>
      </c>
      <c r="EZ374" s="44" t="str">
        <f>IF(Table1[Data Leavers Date]=8000,SUM(Table1[Leaving Date]-Table1[Start Date]),"")</f>
        <v/>
      </c>
      <c r="FA374" s="44" t="str">
        <f>IF(Table1[Date of Initial Assessment]="","",IF(AND(Table1[Start Date]&gt;42094,Table1[Start Date]&lt;42461),Table1[Motivation and Taking Responsibility],""))</f>
        <v/>
      </c>
      <c r="FB374" s="44" t="str">
        <f>IF(Table1[Date of Initial Assessment]="","",IF(AND(Table1[Start Date]&gt;42094,Table1[Start Date]&lt;42461),Table1[Self-Care and Living Skills],""))</f>
        <v/>
      </c>
      <c r="FC374" s="44" t="str">
        <f>IF(Table1[Date of Initial Assessment]="","",IF(AND(Table1[Start Date]&gt;42094,Table1[Start Date]&lt;42461),Table1[Managing Money and Personal Administration],""))</f>
        <v/>
      </c>
      <c r="FD374" s="44" t="str">
        <f>IF(Table1[Date of Initial Assessment]="","",IF(AND(Table1[Start Date]&gt;42094,Table1[Start Date]&lt;42461),Table1[Social Networks and Relationships],""))</f>
        <v/>
      </c>
      <c r="FE374" s="44" t="str">
        <f>IF(Table1[Date of Initial Assessment]="","",IF(AND(Table1[Start Date]&gt;42094,Table1[Start Date]&lt;42461),Table1[Drug and Alcohol Misuse],""))</f>
        <v/>
      </c>
      <c r="FF374" s="44" t="str">
        <f>IF(Table1[Date of Initial Assessment]="","",IF(AND(Table1[Start Date]&gt;42094,Table1[Start Date]&lt;42461),Table1[Physical Health],""))</f>
        <v/>
      </c>
      <c r="FG374" s="44" t="str">
        <f>IF(Table1[Date of Initial Assessment]="","",IF(AND(Table1[Start Date]&gt;42094,Table1[Start Date]&lt;42461),Table1[Emotional and Mental Health],""))</f>
        <v/>
      </c>
      <c r="FH374" s="44" t="str">
        <f>IF(Table1[Date of Initial Assessment]="","",IF(AND(Table1[Start Date]&gt;42094,Table1[Start Date]&lt;42461),Table1[Meaningful Use of Time],""))</f>
        <v/>
      </c>
      <c r="FI374" s="44" t="str">
        <f>IF(Table1[Date of Initial Assessment]="","",IF(AND(Table1[Start Date]&gt;42094,Table1[Start Date]&lt;42461),Table1[Managing Tenancy and Accommodation],""))</f>
        <v/>
      </c>
      <c r="FJ374" s="44" t="str">
        <f>IF(Table1[Date of Initial Assessment]="","",IF(AND(Table1[Start Date]&gt;42094,Table1[Start Date]&lt;42461),Table1[Offending],""))</f>
        <v/>
      </c>
      <c r="FK374" s="44" t="str">
        <f>IF(Table1[Leaving Date]="","",IF(Table1[Date of Initial Assessment]="","",IF(AND(Table1[Leaving Date]&gt;42094,Table1[Leaving Date]&lt;42461),IF(Table1[Date of Last Assessment]="",Table1[Motivation and Taking Responsibility],Table1[Motivation and Taking Responsibility2]),"")))</f>
        <v/>
      </c>
      <c r="FL374" s="44" t="str">
        <f>IF(Table1[Leaving Date]="","",IF(Table1[Date of Initial Assessment]="","",IF(AND(Table1[Leaving Date]&gt;42094,Table1[Leaving Date]&lt;42461),IF(Table1[Date of Last Assessment]="",Table1[Self-Care and Living Skills],Table1[Self-Care and Living Skills2]),"")))</f>
        <v/>
      </c>
      <c r="FM374" s="44" t="str">
        <f>IF(Table1[Leaving Date]="","",IF(Table1[Date of Initial Assessment]="","",IF(AND(Table1[Leaving Date]&gt;42094,Table1[Leaving Date]&lt;42461),IF(Table1[Date of Last Assessment]="",Table1[Managing Money and Personal Administration],Table1[Managing Money and Personal Administration2]),"")))</f>
        <v/>
      </c>
      <c r="FN374" s="44" t="str">
        <f>IF(Table1[Leaving Date]="","",IF(Table1[Date of Initial Assessment]="","",IF(AND(Table1[Leaving Date]&gt;42094,Table1[Leaving Date]&lt;42461),IF(Table1[Date of Last Assessment]="",Table1[Social Networks and Relationships],Table1[Social Networks and Relationships2]),"")))</f>
        <v/>
      </c>
      <c r="FO374" s="44" t="str">
        <f>IF(Table1[Leaving Date]="","",IF(Table1[Date of Initial Assessment]="","",IF(AND(Table1[Leaving Date]&gt;42094,Table1[Leaving Date]&lt;42461),IF(Table1[Date of Last Assessment]="",Table1[Drug and Alcohol Misuse],Table1[Drug and Alcohol Misuse2]),"")))</f>
        <v/>
      </c>
      <c r="FP374" s="44" t="str">
        <f>IF(Table1[Leaving Date]="","",IF(Table1[Date of Initial Assessment]="","",IF(AND(Table1[Leaving Date]&gt;42094,Table1[Leaving Date]&lt;42461),IF(Table1[Date of Last Assessment]="",Table1[Physical Health],Table1[Physical Health2]),"")))</f>
        <v/>
      </c>
      <c r="FQ374" s="44" t="str">
        <f>IF(Table1[Leaving Date]="","",IF(Table1[Date of Initial Assessment]="","",IF(AND(Table1[Leaving Date]&gt;42094,Table1[Leaving Date]&lt;42461),IF(Table1[Date of Last Assessment]="",Table1[Emotional and Mental Health],Table1[Emotional and Mental Health2]),"")))</f>
        <v/>
      </c>
      <c r="FR374" s="44" t="str">
        <f>IF(Table1[Leaving Date]="","",IF(Table1[Date of Initial Assessment]="","",IF(AND(Table1[Leaving Date]&gt;42094,Table1[Leaving Date]&lt;42461),IF(Table1[Date of Last Assessment]="",Table1[Meaningful Use of Time],Table1[Meaningful Use of Time2]),"")))</f>
        <v/>
      </c>
      <c r="FS374" s="44" t="str">
        <f>IF(Table1[Leaving Date]="","",IF(Table1[Date of Initial Assessment]="","",IF(AND(Table1[Leaving Date]&gt;42094,Table1[Leaving Date]&lt;42461),IF(Table1[Date of Last Assessment]="",Table1[Managing Tenancy and Accommodation],Table1[Managing Tenancy and Accommodation2]),"")))</f>
        <v/>
      </c>
      <c r="FT374" s="44" t="str">
        <f>IF(Table1[Leaving Date]="","",IF(Table1[Date of Initial Assessment]="","",IF(AND(Table1[Leaving Date]&gt;42094,Table1[Leaving Date]&lt;42461),IF(Table1[Date of Last Assessment]="",Table1[Offending],Table1[Offending2]),"")))</f>
        <v/>
      </c>
      <c r="FU374" s="44" t="str">
        <f>IF(Table1[Date of Initial Assessment]="","",IF(AND(Table1[Start Date]&gt;42460,Table1[Start Date]&lt;42826),Table1[Motivation and Taking Responsibility],""))</f>
        <v/>
      </c>
      <c r="FV374" s="44" t="str">
        <f>IF(Table1[Date of Initial Assessment]="","",IF(AND(Table1[Start Date]&gt;42460,Table1[Start Date]&lt;42826),Table1[Self-Care and Living Skills],""))</f>
        <v/>
      </c>
      <c r="FW374" s="44" t="str">
        <f>IF(Table1[Date of Initial Assessment]="","",IF(AND(Table1[Start Date]&gt;42460,Table1[Start Date]&lt;42826),Table1[Managing Money and Personal Administration],""))</f>
        <v/>
      </c>
      <c r="FX374" s="44" t="str">
        <f>IF(Table1[Date of Initial Assessment]="","",IF(AND(Table1[Start Date]&gt;42460,Table1[Start Date]&lt;42826),Table1[Social Networks and Relationships],""))</f>
        <v/>
      </c>
      <c r="FY374" s="44" t="str">
        <f>IF(Table1[Date of Initial Assessment]="","",IF(AND(Table1[Start Date]&gt;42460,Table1[Start Date]&lt;42826),Table1[Drug and Alcohol Misuse],""))</f>
        <v/>
      </c>
      <c r="FZ374" s="44" t="str">
        <f>IF(Table1[Date of Initial Assessment]="","",IF(AND(Table1[Start Date]&gt;42460,Table1[Start Date]&lt;42826),Table1[Physical Health],""))</f>
        <v/>
      </c>
      <c r="GA374" s="44" t="str">
        <f>IF(Table1[Date of Initial Assessment]="","",IF(AND(Table1[Start Date]&gt;42460,Table1[Start Date]&lt;42826),Table1[Emotional and Mental Health],""))</f>
        <v/>
      </c>
      <c r="GB374" s="44" t="str">
        <f>IF(Table1[Date of Initial Assessment]="","",IF(AND(Table1[Start Date]&gt;42460,Table1[Start Date]&lt;42826),Table1[Meaningful Use of Time],""))</f>
        <v/>
      </c>
      <c r="GC374" s="44" t="str">
        <f>IF(Table1[Date of Initial Assessment]="","",IF(AND(Table1[Start Date]&gt;42460,Table1[Start Date]&lt;42826),Table1[Managing Tenancy and Accommodation],""))</f>
        <v/>
      </c>
      <c r="GD374" s="44" t="str">
        <f>IF(Table1[Date of Initial Assessment]="","",IF(AND(Table1[Start Date]&gt;42460,Table1[Start Date]&lt;42826),Table1[Offending],""))</f>
        <v/>
      </c>
      <c r="GE374" s="44" t="str">
        <f>IF(Table1[Leaving Date]="","",IF(AND(Table1[Leaving Date]&gt;42460,Table1[Leaving Date]&lt;42826),IF(Table1[Date of Last Assessment]="",Table1[Motivation and Taking Responsibility],Table1[Motivation and Taking Responsibility2]),""))</f>
        <v/>
      </c>
      <c r="GF374" s="44" t="str">
        <f>IF(Table1[Leaving Date]="","",IF(AND(Table1[Leaving Date]&gt;42460,Table1[Leaving Date]&lt;42826),IF(Table1[Date of Last Assessment]="",Table1[Self-Care and Living Skills],Table1[Self-Care and Living Skills2]),""))</f>
        <v/>
      </c>
      <c r="GG374" s="44" t="str">
        <f>IF(Table1[Leaving Date]="","",IF(AND(Table1[Leaving Date]&gt;42460,Table1[Leaving Date]&lt;42826),IF(Table1[Date of Last Assessment]="",Table1[Managing Money and Personal Administration],Table1[Managing Money and Personal Administration2]),""))</f>
        <v/>
      </c>
      <c r="GH374" s="44" t="str">
        <f>IF(Table1[Leaving Date]="","",IF(AND(Table1[Leaving Date]&gt;42460,Table1[Leaving Date]&lt;42826),IF(Table1[Date of Last Assessment]="",Table1[Social Networks and Relationships],Table1[Social Networks and Relationships2]),""))</f>
        <v/>
      </c>
      <c r="GI374" s="44" t="str">
        <f>IF(Table1[Leaving Date]="","",IF(AND(Table1[Leaving Date]&gt;42460,Table1[Leaving Date]&lt;42826),IF(Table1[Date of Last Assessment]="",Table1[Drug and Alcohol Misuse],Table1[Drug and Alcohol Misuse2]),""))</f>
        <v/>
      </c>
      <c r="GJ374" s="44" t="str">
        <f>IF(Table1[Leaving Date]="","",IF(AND(Table1[Leaving Date]&gt;42460,Table1[Leaving Date]&lt;42826),IF(Table1[Date of Last Assessment]="",Table1[Physical Health],Table1[Physical Health2]),""))</f>
        <v/>
      </c>
      <c r="GK374" s="44" t="str">
        <f>IF(Table1[Leaving Date]="","",IF(AND(Table1[Leaving Date]&gt;42460,Table1[Leaving Date]&lt;42826),IF(Table1[Date of Last Assessment]="",Table1[Emotional and Mental Health],Table1[Emotional and Mental Health2]),""))</f>
        <v/>
      </c>
      <c r="GL374" s="44" t="str">
        <f>IF(Table1[Leaving Date]="","",IF(AND(Table1[Leaving Date]&gt;42460,Table1[Leaving Date]&lt;42826),IF(Table1[Date of Last Assessment]="",Table1[Meaningful Use of Time],Table1[Meaningful Use of Time2]),""))</f>
        <v/>
      </c>
      <c r="GM374" s="44" t="str">
        <f>IF(Table1[Leaving Date]="","",IF(AND(Table1[Leaving Date]&gt;42460,Table1[Leaving Date]&lt;42826),IF(Table1[Date of Last Assessment]="",Table1[Managing Tenancy and Accommodation],Table1[Managing Tenancy and Accommodation2]),""))</f>
        <v/>
      </c>
      <c r="GN374" s="44" t="str">
        <f>IF(Table1[Leaving Date]="","",IF(AND(Table1[Leaving Date]&gt;42460,Table1[Leaving Date]&lt;42826),IF(Table1[Date of Last Assessment]="",Table1[Offending],Table1[Offending2]),""))</f>
        <v/>
      </c>
    </row>
    <row r="375" spans="2:196" ht="20.100000000000001" customHeight="1" x14ac:dyDescent="0.2">
      <c r="B375" s="86">
        <f>+'Service Data'!$C$5:$C$5</f>
        <v>0</v>
      </c>
      <c r="C375" s="86"/>
      <c r="D375" s="86"/>
      <c r="E375" s="86"/>
      <c r="F375" s="86"/>
      <c r="G375" s="86"/>
      <c r="H375" s="6"/>
      <c r="I375" s="99" t="str">
        <f ca="1">IF(Table1[[#This Row],[Date of Birth]]="","",SUM(TODAY()-Table1[[#This Row],[Date of Birth]])/365)</f>
        <v/>
      </c>
      <c r="L375" s="86"/>
      <c r="M375" s="77"/>
      <c r="N375" s="86"/>
      <c r="O375" s="86"/>
      <c r="P375" s="91"/>
      <c r="Q375" s="86"/>
      <c r="R375" s="77"/>
      <c r="S375" s="77"/>
      <c r="T375" s="68"/>
      <c r="U375" s="68"/>
      <c r="V375" s="67"/>
      <c r="W375" s="67"/>
      <c r="X375" s="67"/>
      <c r="Y375" s="67"/>
      <c r="Z375" s="67"/>
      <c r="AA375" s="67"/>
      <c r="AB375" s="67"/>
      <c r="AC375" s="67"/>
      <c r="AD375" s="67"/>
      <c r="AE375" s="67"/>
      <c r="AF375" s="67"/>
      <c r="AG375" s="67"/>
      <c r="AH375" s="67"/>
      <c r="AI375" s="67"/>
      <c r="AJ375" s="67"/>
      <c r="AK375" s="67"/>
      <c r="AL375" s="67"/>
      <c r="AM375" s="67"/>
      <c r="AN375" s="77"/>
      <c r="AO375" s="76"/>
      <c r="AP375" s="77"/>
      <c r="AQ375" s="76"/>
      <c r="AR375" s="76"/>
      <c r="AS375" s="76"/>
      <c r="AT375" s="76"/>
      <c r="AU375" s="76"/>
      <c r="AV375" s="77"/>
      <c r="AW375" s="76"/>
      <c r="AX375" s="77"/>
      <c r="AY375" s="76"/>
      <c r="AZ375" s="76"/>
      <c r="BA375" s="76"/>
      <c r="BB375" s="76"/>
      <c r="BC375" s="76"/>
      <c r="BD375" s="77"/>
      <c r="BE375" s="76"/>
      <c r="BF375" s="77"/>
      <c r="BG375" s="76"/>
      <c r="BH375" s="76"/>
      <c r="BI375" s="76"/>
      <c r="BJ375" s="76"/>
      <c r="BK375" s="76"/>
      <c r="BL375" s="77"/>
      <c r="BM375" s="76"/>
      <c r="BN375" s="77"/>
      <c r="BO375" s="76"/>
      <c r="BP375" s="76"/>
      <c r="BQ375" s="76"/>
      <c r="BR375" s="76"/>
      <c r="BS375" s="76"/>
      <c r="BT375" s="77"/>
      <c r="BU375" s="76"/>
      <c r="BV375" s="77"/>
      <c r="BW375" s="76"/>
      <c r="BX375" s="76"/>
      <c r="BY375" s="76"/>
      <c r="BZ375" s="76"/>
      <c r="CA375" s="76"/>
      <c r="CB375" s="77"/>
      <c r="CC375" s="76"/>
      <c r="CD375" s="77"/>
      <c r="CE375" s="76"/>
      <c r="CF375" s="76"/>
      <c r="CG375" s="76"/>
      <c r="CH375" s="76"/>
      <c r="CI375" s="76"/>
      <c r="CJ375" s="77"/>
      <c r="CK375" s="76"/>
      <c r="CL375" s="77"/>
      <c r="CM375" s="76"/>
      <c r="CN375" s="76"/>
      <c r="CO375" s="76"/>
      <c r="CP375" s="76"/>
      <c r="CQ375" s="76"/>
      <c r="CR375" s="78" t="str">
        <f t="shared" si="95"/>
        <v/>
      </c>
      <c r="CS375" s="79" t="str">
        <f t="shared" si="96"/>
        <v/>
      </c>
      <c r="CT375" s="79" t="str">
        <f t="shared" si="97"/>
        <v/>
      </c>
      <c r="CU375" s="79" t="str">
        <f t="shared" si="98"/>
        <v/>
      </c>
      <c r="CV375" s="79" t="str">
        <f t="shared" si="99"/>
        <v/>
      </c>
      <c r="CW375" s="79" t="str">
        <f t="shared" si="100"/>
        <v/>
      </c>
      <c r="CX375" s="79" t="str">
        <f t="shared" si="101"/>
        <v/>
      </c>
      <c r="CY375" s="79" t="str">
        <f t="shared" si="102"/>
        <v/>
      </c>
      <c r="CZ375" s="79" t="str">
        <f t="shared" si="103"/>
        <v/>
      </c>
      <c r="DA375" s="79" t="str">
        <f t="shared" si="104"/>
        <v/>
      </c>
      <c r="DB375" s="79" t="str">
        <f t="shared" si="105"/>
        <v/>
      </c>
      <c r="DC375" s="79" t="str">
        <f t="shared" si="106"/>
        <v/>
      </c>
      <c r="DD375" s="79" t="str">
        <f t="shared" si="107"/>
        <v/>
      </c>
      <c r="DE375" s="79" t="str">
        <f t="shared" si="108"/>
        <v/>
      </c>
      <c r="DF375" s="79" t="str">
        <f t="shared" si="109"/>
        <v/>
      </c>
      <c r="DG375" s="79" t="str">
        <f t="shared" si="110"/>
        <v/>
      </c>
      <c r="DH375" s="76"/>
      <c r="DI375" s="78"/>
      <c r="DJ375" s="76"/>
      <c r="DK375" s="77"/>
      <c r="DL375" s="77"/>
      <c r="DM375" s="77"/>
      <c r="DN375" s="80"/>
      <c r="DO375" s="80"/>
      <c r="DP375" s="92" t="str">
        <f>IF(Table1[Start Date]="","",IF(Table1[Start Date]&gt;42185,"",IF(AND(Table1[Leaving Date]&gt;1,Table1[Leaving Date]&lt;42095),"",1)))</f>
        <v/>
      </c>
      <c r="DQ375" s="92" t="str">
        <f>IF(Table1[Start Date]="","",IF(Table1[Start Date]&gt;42277,"",IF(AND(Table1[Leaving Date]&gt;1,Table1[Leaving Date]&lt;42186),"",1)))</f>
        <v/>
      </c>
      <c r="DR375" s="92" t="str">
        <f>IF(Table1[Start Date]="","",IF(Table1[Start Date]&gt;42369,"",IF(AND(Table1[Leaving Date]&gt;1,Table1[Leaving Date]&lt;42278),"",1)))</f>
        <v/>
      </c>
      <c r="DS375" s="92" t="str">
        <f>IF(Table1[Start Date]="","",IF(Table1[Start Date]&gt;42460,"",IF(AND(Table1[Leaving Date]&gt;1,Table1[Leaving Date]&lt;42370),"",1)))</f>
        <v/>
      </c>
      <c r="DT375" s="92" t="str">
        <f>IF(Table1[Start Date]="","",IF(Table1[Start Date]&gt;42551,"",IF(AND(Table1[Leaving Date]&gt;1,Table1[Leaving Date]&lt;42461),"",1)))</f>
        <v/>
      </c>
      <c r="DU375" s="92" t="str">
        <f>IF(Table1[Start Date]="","",IF(Table1[Start Date]&gt;42643,"",IF(AND(Table1[Leaving Date]&gt;1,Table1[Leaving Date]&lt;42552),"",1)))</f>
        <v/>
      </c>
      <c r="DV375" s="92" t="str">
        <f>IF(Table1[Start Date]="","",IF(Table1[Start Date]&gt;42735,"",IF(AND(Table1[Leaving Date]&gt;1,Table1[Leaving Date]&lt;42644),"",1)))</f>
        <v/>
      </c>
      <c r="DW375" s="92" t="str">
        <f>IF(Table1[Start Date]="","",IF(Table1[Start Date]&gt;42825,"",IF(AND(Table1[Leaving Date]&gt;1,Table1[Leaving Date]&lt;42736),"",1)))</f>
        <v/>
      </c>
      <c r="DX375"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375" s="44" t="e">
        <f>VLOOKUP(Table1[Referral Source],Lists!$G$2:$H$20,2,FALSE)</f>
        <v>#N/A</v>
      </c>
      <c r="DZ375" s="93" t="e">
        <f>SUM(Table1[Data Referral Quarter]+Table1[Data Referral Source])</f>
        <v>#N/A</v>
      </c>
      <c r="EA375" s="44" t="b">
        <f>IF(Table1[Referral Decision]="Accepted",100,IF(Table1[Referral Decision]="Rejected by Provider",200,IF(Table1[Referral Decision]="Rejected by Applicant",300)))</f>
        <v>0</v>
      </c>
      <c r="EB375" s="44">
        <f>SUM(Table1[Data Referral Quarter]+Table1[Data Referral Decision])</f>
        <v>0</v>
      </c>
      <c r="EC375" s="44" t="b">
        <f>IF(Table1[Start Date]&gt;42735,8000,IF(Table1[Start Date]&gt;42643,7000,IF(Table1[Start Date]&gt;42551,6000,IF(Table1[Start Date]&gt;42460,5000,IF(Table1[Start Date]&gt;42369,4000,IF(Table1[Start Date]&gt;42277,3000,IF(Table1[Start Date]&gt;42185,2000,IF(Table1[Start Date]&gt;42094,1000))))))))</f>
        <v>0</v>
      </c>
      <c r="ED375" s="44" t="str">
        <f>IF(Table1[Start Date]="","",IF(Table1[Current Local Authority]="Swindon",1,"2"))</f>
        <v/>
      </c>
      <c r="EE375" s="44" t="e">
        <f>SUM(Table1[Data Start Date]+Table1[Data Local Authority])</f>
        <v>#VALUE!</v>
      </c>
      <c r="EF375" s="44">
        <f>IF(Table1[Registered with GP]="Yes",1,0)</f>
        <v>0</v>
      </c>
      <c r="EG375" s="44">
        <f>SUM(Table1[Data Start Date]+Table1[Data GP Start])</f>
        <v>0</v>
      </c>
      <c r="EH375" s="44" t="str">
        <f>IF(Table1[EET]="NEET",1,IF(Table1[EET]="Education",2,IF(Table1[EET]="Employment",2,IF(Table1[EET]="Training",2,IF(Table1[EET]="Retired",3,"")))))</f>
        <v/>
      </c>
      <c r="EI375" s="44" t="e">
        <f>Table1[Data Start Date]+Table1[Data EET Start]</f>
        <v>#VALUE!</v>
      </c>
      <c r="EJ375" s="44" t="b">
        <f>IF(Table1[Leaving Date]&gt;42735,8000,IF(Table1[Leaving Date]&gt;42643,7000,IF(Table1[Leaving Date]&gt;42551,6000,IF(Table1[Leaving Date]&gt;42460,5000,IF(Table1[Leaving Date]&gt;42369,4000,IF(Table1[Leaving Date]&gt;42277,3000,IF(Table1[Leaving Date]&gt;42185,2000,IF(Table1[Leaving Date]&gt;42094,1000))))))))</f>
        <v>0</v>
      </c>
      <c r="EK375" s="44" t="e">
        <f>VLOOKUP(Table1[Reason for Leaving],Lists!$T$2:$U$15,2,FALSE)</f>
        <v>#N/A</v>
      </c>
      <c r="EL375" s="44" t="e">
        <f>SUM(Table1[Data Leavers Date]+Table1[Data Move On])</f>
        <v>#N/A</v>
      </c>
      <c r="EM375" s="44" t="b">
        <f>IF(Table1[Registered with GP2]="Yes",1,IF(Table1[Registered with GP2]="No",0,IF(Table1[Registered with GP]="Yes",1,IF(Table1[Registered with GP]="No",0))))</f>
        <v>0</v>
      </c>
      <c r="EN375" s="44">
        <f>SUM(Table1[Data Leavers Date]+Table1[Data GP End])</f>
        <v>0</v>
      </c>
      <c r="EO375" s="44" t="str">
        <f>IF(Table1[EET2]="NEET",1,IF(Table1[EET2]="Employment",2,IF(Table1[EET2]="Education",2,IF(Table1[EET2]="Training",2,IF(Table1[EET2]="Retired",3,IF(Table1[EET]="NEET",1,IF(Table1[EET]="Employment",2,IF(Table1[EET]="Education",2,IF(Table1[EET]="Training",2,IF(Table1[EET]="Retired",3,""))))))))))</f>
        <v/>
      </c>
      <c r="EP375" s="44" t="e">
        <f>+Table1[[#This Row],[Data Leavers Date]]+Table1[[#This Row],[Data EET End]]</f>
        <v>#VALUE!</v>
      </c>
      <c r="EQ375" s="44">
        <f>IF(Table1[Exit Form Received]="Yes",1,0)</f>
        <v>0</v>
      </c>
      <c r="ER375" s="44">
        <f>+Table1[[#This Row],[Data Leavers Date]]+Table1[[#This Row],[Data Exit Forms]]</f>
        <v>0</v>
      </c>
      <c r="ES375" s="44" t="str">
        <f>IF(Table1[Data Leavers Date]=1000,SUM(Table1[Leaving Date]-Table1[Start Date]),"")</f>
        <v/>
      </c>
      <c r="ET375" s="44" t="str">
        <f>IF(Table1[Data Leavers Date]=2000,SUM(Table1[Leaving Date]-Table1[Start Date]),"")</f>
        <v/>
      </c>
      <c r="EU375" s="44" t="str">
        <f>IF(Table1[Data Leavers Date]=3000,SUM(Table1[Leaving Date]-Table1[Start Date]),"")</f>
        <v/>
      </c>
      <c r="EV375" s="44" t="str">
        <f>IF(Table1[Data Leavers Date]=4000,SUM(Table1[Leaving Date]-Table1[Start Date]),"")</f>
        <v/>
      </c>
      <c r="EW375" s="44" t="str">
        <f>IF(Table1[Data Leavers Date]=5000,SUM(Table1[Leaving Date]-Table1[Start Date]),"")</f>
        <v/>
      </c>
      <c r="EX375" s="44" t="str">
        <f>IF(Table1[Data Leavers Date]=6000,SUM(Table1[Leaving Date]-Table1[Start Date]),"")</f>
        <v/>
      </c>
      <c r="EY375" s="44" t="str">
        <f>IF(Table1[Data Leavers Date]=7000,SUM(Table1[Leaving Date]-Table1[Start Date]),"")</f>
        <v/>
      </c>
      <c r="EZ375" s="44" t="str">
        <f>IF(Table1[Data Leavers Date]=8000,SUM(Table1[Leaving Date]-Table1[Start Date]),"")</f>
        <v/>
      </c>
      <c r="FA375" s="44" t="str">
        <f>IF(Table1[Date of Initial Assessment]="","",IF(AND(Table1[Start Date]&gt;42094,Table1[Start Date]&lt;42461),Table1[Motivation and Taking Responsibility],""))</f>
        <v/>
      </c>
      <c r="FB375" s="44" t="str">
        <f>IF(Table1[Date of Initial Assessment]="","",IF(AND(Table1[Start Date]&gt;42094,Table1[Start Date]&lt;42461),Table1[Self-Care and Living Skills],""))</f>
        <v/>
      </c>
      <c r="FC375" s="44" t="str">
        <f>IF(Table1[Date of Initial Assessment]="","",IF(AND(Table1[Start Date]&gt;42094,Table1[Start Date]&lt;42461),Table1[Managing Money and Personal Administration],""))</f>
        <v/>
      </c>
      <c r="FD375" s="44" t="str">
        <f>IF(Table1[Date of Initial Assessment]="","",IF(AND(Table1[Start Date]&gt;42094,Table1[Start Date]&lt;42461),Table1[Social Networks and Relationships],""))</f>
        <v/>
      </c>
      <c r="FE375" s="44" t="str">
        <f>IF(Table1[Date of Initial Assessment]="","",IF(AND(Table1[Start Date]&gt;42094,Table1[Start Date]&lt;42461),Table1[Drug and Alcohol Misuse],""))</f>
        <v/>
      </c>
      <c r="FF375" s="44" t="str">
        <f>IF(Table1[Date of Initial Assessment]="","",IF(AND(Table1[Start Date]&gt;42094,Table1[Start Date]&lt;42461),Table1[Physical Health],""))</f>
        <v/>
      </c>
      <c r="FG375" s="44" t="str">
        <f>IF(Table1[Date of Initial Assessment]="","",IF(AND(Table1[Start Date]&gt;42094,Table1[Start Date]&lt;42461),Table1[Emotional and Mental Health],""))</f>
        <v/>
      </c>
      <c r="FH375" s="44" t="str">
        <f>IF(Table1[Date of Initial Assessment]="","",IF(AND(Table1[Start Date]&gt;42094,Table1[Start Date]&lt;42461),Table1[Meaningful Use of Time],""))</f>
        <v/>
      </c>
      <c r="FI375" s="44" t="str">
        <f>IF(Table1[Date of Initial Assessment]="","",IF(AND(Table1[Start Date]&gt;42094,Table1[Start Date]&lt;42461),Table1[Managing Tenancy and Accommodation],""))</f>
        <v/>
      </c>
      <c r="FJ375" s="44" t="str">
        <f>IF(Table1[Date of Initial Assessment]="","",IF(AND(Table1[Start Date]&gt;42094,Table1[Start Date]&lt;42461),Table1[Offending],""))</f>
        <v/>
      </c>
      <c r="FK375" s="44" t="str">
        <f>IF(Table1[Leaving Date]="","",IF(Table1[Date of Initial Assessment]="","",IF(AND(Table1[Leaving Date]&gt;42094,Table1[Leaving Date]&lt;42461),IF(Table1[Date of Last Assessment]="",Table1[Motivation and Taking Responsibility],Table1[Motivation and Taking Responsibility2]),"")))</f>
        <v/>
      </c>
      <c r="FL375" s="44" t="str">
        <f>IF(Table1[Leaving Date]="","",IF(Table1[Date of Initial Assessment]="","",IF(AND(Table1[Leaving Date]&gt;42094,Table1[Leaving Date]&lt;42461),IF(Table1[Date of Last Assessment]="",Table1[Self-Care and Living Skills],Table1[Self-Care and Living Skills2]),"")))</f>
        <v/>
      </c>
      <c r="FM375" s="44" t="str">
        <f>IF(Table1[Leaving Date]="","",IF(Table1[Date of Initial Assessment]="","",IF(AND(Table1[Leaving Date]&gt;42094,Table1[Leaving Date]&lt;42461),IF(Table1[Date of Last Assessment]="",Table1[Managing Money and Personal Administration],Table1[Managing Money and Personal Administration2]),"")))</f>
        <v/>
      </c>
      <c r="FN375" s="44" t="str">
        <f>IF(Table1[Leaving Date]="","",IF(Table1[Date of Initial Assessment]="","",IF(AND(Table1[Leaving Date]&gt;42094,Table1[Leaving Date]&lt;42461),IF(Table1[Date of Last Assessment]="",Table1[Social Networks and Relationships],Table1[Social Networks and Relationships2]),"")))</f>
        <v/>
      </c>
      <c r="FO375" s="44" t="str">
        <f>IF(Table1[Leaving Date]="","",IF(Table1[Date of Initial Assessment]="","",IF(AND(Table1[Leaving Date]&gt;42094,Table1[Leaving Date]&lt;42461),IF(Table1[Date of Last Assessment]="",Table1[Drug and Alcohol Misuse],Table1[Drug and Alcohol Misuse2]),"")))</f>
        <v/>
      </c>
      <c r="FP375" s="44" t="str">
        <f>IF(Table1[Leaving Date]="","",IF(Table1[Date of Initial Assessment]="","",IF(AND(Table1[Leaving Date]&gt;42094,Table1[Leaving Date]&lt;42461),IF(Table1[Date of Last Assessment]="",Table1[Physical Health],Table1[Physical Health2]),"")))</f>
        <v/>
      </c>
      <c r="FQ375" s="44" t="str">
        <f>IF(Table1[Leaving Date]="","",IF(Table1[Date of Initial Assessment]="","",IF(AND(Table1[Leaving Date]&gt;42094,Table1[Leaving Date]&lt;42461),IF(Table1[Date of Last Assessment]="",Table1[Emotional and Mental Health],Table1[Emotional and Mental Health2]),"")))</f>
        <v/>
      </c>
      <c r="FR375" s="44" t="str">
        <f>IF(Table1[Leaving Date]="","",IF(Table1[Date of Initial Assessment]="","",IF(AND(Table1[Leaving Date]&gt;42094,Table1[Leaving Date]&lt;42461),IF(Table1[Date of Last Assessment]="",Table1[Meaningful Use of Time],Table1[Meaningful Use of Time2]),"")))</f>
        <v/>
      </c>
      <c r="FS375" s="44" t="str">
        <f>IF(Table1[Leaving Date]="","",IF(Table1[Date of Initial Assessment]="","",IF(AND(Table1[Leaving Date]&gt;42094,Table1[Leaving Date]&lt;42461),IF(Table1[Date of Last Assessment]="",Table1[Managing Tenancy and Accommodation],Table1[Managing Tenancy and Accommodation2]),"")))</f>
        <v/>
      </c>
      <c r="FT375" s="44" t="str">
        <f>IF(Table1[Leaving Date]="","",IF(Table1[Date of Initial Assessment]="","",IF(AND(Table1[Leaving Date]&gt;42094,Table1[Leaving Date]&lt;42461),IF(Table1[Date of Last Assessment]="",Table1[Offending],Table1[Offending2]),"")))</f>
        <v/>
      </c>
      <c r="FU375" s="44" t="str">
        <f>IF(Table1[Date of Initial Assessment]="","",IF(AND(Table1[Start Date]&gt;42460,Table1[Start Date]&lt;42826),Table1[Motivation and Taking Responsibility],""))</f>
        <v/>
      </c>
      <c r="FV375" s="44" t="str">
        <f>IF(Table1[Date of Initial Assessment]="","",IF(AND(Table1[Start Date]&gt;42460,Table1[Start Date]&lt;42826),Table1[Self-Care and Living Skills],""))</f>
        <v/>
      </c>
      <c r="FW375" s="44" t="str">
        <f>IF(Table1[Date of Initial Assessment]="","",IF(AND(Table1[Start Date]&gt;42460,Table1[Start Date]&lt;42826),Table1[Managing Money and Personal Administration],""))</f>
        <v/>
      </c>
      <c r="FX375" s="44" t="str">
        <f>IF(Table1[Date of Initial Assessment]="","",IF(AND(Table1[Start Date]&gt;42460,Table1[Start Date]&lt;42826),Table1[Social Networks and Relationships],""))</f>
        <v/>
      </c>
      <c r="FY375" s="44" t="str">
        <f>IF(Table1[Date of Initial Assessment]="","",IF(AND(Table1[Start Date]&gt;42460,Table1[Start Date]&lt;42826),Table1[Drug and Alcohol Misuse],""))</f>
        <v/>
      </c>
      <c r="FZ375" s="44" t="str">
        <f>IF(Table1[Date of Initial Assessment]="","",IF(AND(Table1[Start Date]&gt;42460,Table1[Start Date]&lt;42826),Table1[Physical Health],""))</f>
        <v/>
      </c>
      <c r="GA375" s="44" t="str">
        <f>IF(Table1[Date of Initial Assessment]="","",IF(AND(Table1[Start Date]&gt;42460,Table1[Start Date]&lt;42826),Table1[Emotional and Mental Health],""))</f>
        <v/>
      </c>
      <c r="GB375" s="44" t="str">
        <f>IF(Table1[Date of Initial Assessment]="","",IF(AND(Table1[Start Date]&gt;42460,Table1[Start Date]&lt;42826),Table1[Meaningful Use of Time],""))</f>
        <v/>
      </c>
      <c r="GC375" s="44" t="str">
        <f>IF(Table1[Date of Initial Assessment]="","",IF(AND(Table1[Start Date]&gt;42460,Table1[Start Date]&lt;42826),Table1[Managing Tenancy and Accommodation],""))</f>
        <v/>
      </c>
      <c r="GD375" s="44" t="str">
        <f>IF(Table1[Date of Initial Assessment]="","",IF(AND(Table1[Start Date]&gt;42460,Table1[Start Date]&lt;42826),Table1[Offending],""))</f>
        <v/>
      </c>
      <c r="GE375" s="44" t="str">
        <f>IF(Table1[Leaving Date]="","",IF(AND(Table1[Leaving Date]&gt;42460,Table1[Leaving Date]&lt;42826),IF(Table1[Date of Last Assessment]="",Table1[Motivation and Taking Responsibility],Table1[Motivation and Taking Responsibility2]),""))</f>
        <v/>
      </c>
      <c r="GF375" s="44" t="str">
        <f>IF(Table1[Leaving Date]="","",IF(AND(Table1[Leaving Date]&gt;42460,Table1[Leaving Date]&lt;42826),IF(Table1[Date of Last Assessment]="",Table1[Self-Care and Living Skills],Table1[Self-Care and Living Skills2]),""))</f>
        <v/>
      </c>
      <c r="GG375" s="44" t="str">
        <f>IF(Table1[Leaving Date]="","",IF(AND(Table1[Leaving Date]&gt;42460,Table1[Leaving Date]&lt;42826),IF(Table1[Date of Last Assessment]="",Table1[Managing Money and Personal Administration],Table1[Managing Money and Personal Administration2]),""))</f>
        <v/>
      </c>
      <c r="GH375" s="44" t="str">
        <f>IF(Table1[Leaving Date]="","",IF(AND(Table1[Leaving Date]&gt;42460,Table1[Leaving Date]&lt;42826),IF(Table1[Date of Last Assessment]="",Table1[Social Networks and Relationships],Table1[Social Networks and Relationships2]),""))</f>
        <v/>
      </c>
      <c r="GI375" s="44" t="str">
        <f>IF(Table1[Leaving Date]="","",IF(AND(Table1[Leaving Date]&gt;42460,Table1[Leaving Date]&lt;42826),IF(Table1[Date of Last Assessment]="",Table1[Drug and Alcohol Misuse],Table1[Drug and Alcohol Misuse2]),""))</f>
        <v/>
      </c>
      <c r="GJ375" s="44" t="str">
        <f>IF(Table1[Leaving Date]="","",IF(AND(Table1[Leaving Date]&gt;42460,Table1[Leaving Date]&lt;42826),IF(Table1[Date of Last Assessment]="",Table1[Physical Health],Table1[Physical Health2]),""))</f>
        <v/>
      </c>
      <c r="GK375" s="44" t="str">
        <f>IF(Table1[Leaving Date]="","",IF(AND(Table1[Leaving Date]&gt;42460,Table1[Leaving Date]&lt;42826),IF(Table1[Date of Last Assessment]="",Table1[Emotional and Mental Health],Table1[Emotional and Mental Health2]),""))</f>
        <v/>
      </c>
      <c r="GL375" s="44" t="str">
        <f>IF(Table1[Leaving Date]="","",IF(AND(Table1[Leaving Date]&gt;42460,Table1[Leaving Date]&lt;42826),IF(Table1[Date of Last Assessment]="",Table1[Meaningful Use of Time],Table1[Meaningful Use of Time2]),""))</f>
        <v/>
      </c>
      <c r="GM375" s="44" t="str">
        <f>IF(Table1[Leaving Date]="","",IF(AND(Table1[Leaving Date]&gt;42460,Table1[Leaving Date]&lt;42826),IF(Table1[Date of Last Assessment]="",Table1[Managing Tenancy and Accommodation],Table1[Managing Tenancy and Accommodation2]),""))</f>
        <v/>
      </c>
      <c r="GN375" s="44" t="str">
        <f>IF(Table1[Leaving Date]="","",IF(AND(Table1[Leaving Date]&gt;42460,Table1[Leaving Date]&lt;42826),IF(Table1[Date of Last Assessment]="",Table1[Offending],Table1[Offending2]),""))</f>
        <v/>
      </c>
    </row>
    <row r="376" spans="2:196" ht="20.100000000000001" customHeight="1" x14ac:dyDescent="0.2">
      <c r="B376" s="86">
        <f>+'Service Data'!$C$5:$C$5</f>
        <v>0</v>
      </c>
      <c r="C376" s="86"/>
      <c r="D376" s="86"/>
      <c r="E376" s="86"/>
      <c r="F376" s="86"/>
      <c r="G376" s="86"/>
      <c r="H376" s="6"/>
      <c r="I376" s="99" t="str">
        <f ca="1">IF(Table1[[#This Row],[Date of Birth]]="","",SUM(TODAY()-Table1[[#This Row],[Date of Birth]])/365)</f>
        <v/>
      </c>
      <c r="L376" s="86"/>
      <c r="M376" s="77"/>
      <c r="N376" s="86"/>
      <c r="O376" s="86"/>
      <c r="P376" s="91"/>
      <c r="Q376" s="86"/>
      <c r="R376" s="77"/>
      <c r="S376" s="77"/>
      <c r="T376" s="68"/>
      <c r="U376" s="68"/>
      <c r="V376" s="67"/>
      <c r="W376" s="67"/>
      <c r="X376" s="67"/>
      <c r="Y376" s="67"/>
      <c r="Z376" s="67"/>
      <c r="AA376" s="67"/>
      <c r="AB376" s="67"/>
      <c r="AC376" s="67"/>
      <c r="AD376" s="67"/>
      <c r="AE376" s="67"/>
      <c r="AF376" s="67"/>
      <c r="AG376" s="67"/>
      <c r="AH376" s="67"/>
      <c r="AI376" s="67"/>
      <c r="AJ376" s="67"/>
      <c r="AK376" s="67"/>
      <c r="AL376" s="67"/>
      <c r="AM376" s="67"/>
      <c r="AN376" s="77"/>
      <c r="AO376" s="76"/>
      <c r="AP376" s="77"/>
      <c r="AQ376" s="76"/>
      <c r="AR376" s="76"/>
      <c r="AS376" s="76"/>
      <c r="AT376" s="76"/>
      <c r="AU376" s="76"/>
      <c r="AV376" s="77"/>
      <c r="AW376" s="76"/>
      <c r="AX376" s="77"/>
      <c r="AY376" s="76"/>
      <c r="AZ376" s="76"/>
      <c r="BA376" s="76"/>
      <c r="BB376" s="76"/>
      <c r="BC376" s="76"/>
      <c r="BD376" s="77"/>
      <c r="BE376" s="76"/>
      <c r="BF376" s="77"/>
      <c r="BG376" s="76"/>
      <c r="BH376" s="76"/>
      <c r="BI376" s="76"/>
      <c r="BJ376" s="76"/>
      <c r="BK376" s="76"/>
      <c r="BL376" s="77"/>
      <c r="BM376" s="76"/>
      <c r="BN376" s="77"/>
      <c r="BO376" s="76"/>
      <c r="BP376" s="76"/>
      <c r="BQ376" s="76"/>
      <c r="BR376" s="76"/>
      <c r="BS376" s="76"/>
      <c r="BT376" s="77"/>
      <c r="BU376" s="76"/>
      <c r="BV376" s="77"/>
      <c r="BW376" s="76"/>
      <c r="BX376" s="76"/>
      <c r="BY376" s="76"/>
      <c r="BZ376" s="76"/>
      <c r="CA376" s="76"/>
      <c r="CB376" s="77"/>
      <c r="CC376" s="76"/>
      <c r="CD376" s="77"/>
      <c r="CE376" s="76"/>
      <c r="CF376" s="76"/>
      <c r="CG376" s="76"/>
      <c r="CH376" s="76"/>
      <c r="CI376" s="76"/>
      <c r="CJ376" s="77"/>
      <c r="CK376" s="76"/>
      <c r="CL376" s="77"/>
      <c r="CM376" s="76"/>
      <c r="CN376" s="76"/>
      <c r="CO376" s="76"/>
      <c r="CP376" s="76"/>
      <c r="CQ376" s="76"/>
      <c r="CR376" s="78" t="str">
        <f t="shared" si="95"/>
        <v/>
      </c>
      <c r="CS376" s="79" t="str">
        <f t="shared" si="96"/>
        <v/>
      </c>
      <c r="CT376" s="79" t="str">
        <f t="shared" si="97"/>
        <v/>
      </c>
      <c r="CU376" s="79" t="str">
        <f t="shared" si="98"/>
        <v/>
      </c>
      <c r="CV376" s="79" t="str">
        <f t="shared" si="99"/>
        <v/>
      </c>
      <c r="CW376" s="79" t="str">
        <f t="shared" si="100"/>
        <v/>
      </c>
      <c r="CX376" s="79" t="str">
        <f t="shared" si="101"/>
        <v/>
      </c>
      <c r="CY376" s="79" t="str">
        <f t="shared" si="102"/>
        <v/>
      </c>
      <c r="CZ376" s="79" t="str">
        <f t="shared" si="103"/>
        <v/>
      </c>
      <c r="DA376" s="79" t="str">
        <f t="shared" si="104"/>
        <v/>
      </c>
      <c r="DB376" s="79" t="str">
        <f t="shared" si="105"/>
        <v/>
      </c>
      <c r="DC376" s="79" t="str">
        <f t="shared" si="106"/>
        <v/>
      </c>
      <c r="DD376" s="79" t="str">
        <f t="shared" si="107"/>
        <v/>
      </c>
      <c r="DE376" s="79" t="str">
        <f t="shared" si="108"/>
        <v/>
      </c>
      <c r="DF376" s="79" t="str">
        <f t="shared" si="109"/>
        <v/>
      </c>
      <c r="DG376" s="79" t="str">
        <f t="shared" si="110"/>
        <v/>
      </c>
      <c r="DH376" s="76"/>
      <c r="DI376" s="78"/>
      <c r="DJ376" s="76"/>
      <c r="DK376" s="77"/>
      <c r="DL376" s="77"/>
      <c r="DM376" s="77"/>
      <c r="DN376" s="80"/>
      <c r="DO376" s="80"/>
      <c r="DP376" s="92" t="str">
        <f>IF(Table1[Start Date]="","",IF(Table1[Start Date]&gt;42185,"",IF(AND(Table1[Leaving Date]&gt;1,Table1[Leaving Date]&lt;42095),"",1)))</f>
        <v/>
      </c>
      <c r="DQ376" s="92" t="str">
        <f>IF(Table1[Start Date]="","",IF(Table1[Start Date]&gt;42277,"",IF(AND(Table1[Leaving Date]&gt;1,Table1[Leaving Date]&lt;42186),"",1)))</f>
        <v/>
      </c>
      <c r="DR376" s="92" t="str">
        <f>IF(Table1[Start Date]="","",IF(Table1[Start Date]&gt;42369,"",IF(AND(Table1[Leaving Date]&gt;1,Table1[Leaving Date]&lt;42278),"",1)))</f>
        <v/>
      </c>
      <c r="DS376" s="92" t="str">
        <f>IF(Table1[Start Date]="","",IF(Table1[Start Date]&gt;42460,"",IF(AND(Table1[Leaving Date]&gt;1,Table1[Leaving Date]&lt;42370),"",1)))</f>
        <v/>
      </c>
      <c r="DT376" s="92" t="str">
        <f>IF(Table1[Start Date]="","",IF(Table1[Start Date]&gt;42551,"",IF(AND(Table1[Leaving Date]&gt;1,Table1[Leaving Date]&lt;42461),"",1)))</f>
        <v/>
      </c>
      <c r="DU376" s="92" t="str">
        <f>IF(Table1[Start Date]="","",IF(Table1[Start Date]&gt;42643,"",IF(AND(Table1[Leaving Date]&gt;1,Table1[Leaving Date]&lt;42552),"",1)))</f>
        <v/>
      </c>
      <c r="DV376" s="92" t="str">
        <f>IF(Table1[Start Date]="","",IF(Table1[Start Date]&gt;42735,"",IF(AND(Table1[Leaving Date]&gt;1,Table1[Leaving Date]&lt;42644),"",1)))</f>
        <v/>
      </c>
      <c r="DW376" s="92" t="str">
        <f>IF(Table1[Start Date]="","",IF(Table1[Start Date]&gt;42825,"",IF(AND(Table1[Leaving Date]&gt;1,Table1[Leaving Date]&lt;42736),"",1)))</f>
        <v/>
      </c>
      <c r="DX376"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376" s="44" t="e">
        <f>VLOOKUP(Table1[Referral Source],Lists!$G$2:$H$20,2,FALSE)</f>
        <v>#N/A</v>
      </c>
      <c r="DZ376" s="93" t="e">
        <f>SUM(Table1[Data Referral Quarter]+Table1[Data Referral Source])</f>
        <v>#N/A</v>
      </c>
      <c r="EA376" s="44" t="b">
        <f>IF(Table1[Referral Decision]="Accepted",100,IF(Table1[Referral Decision]="Rejected by Provider",200,IF(Table1[Referral Decision]="Rejected by Applicant",300)))</f>
        <v>0</v>
      </c>
      <c r="EB376" s="44">
        <f>SUM(Table1[Data Referral Quarter]+Table1[Data Referral Decision])</f>
        <v>0</v>
      </c>
      <c r="EC376" s="44" t="b">
        <f>IF(Table1[Start Date]&gt;42735,8000,IF(Table1[Start Date]&gt;42643,7000,IF(Table1[Start Date]&gt;42551,6000,IF(Table1[Start Date]&gt;42460,5000,IF(Table1[Start Date]&gt;42369,4000,IF(Table1[Start Date]&gt;42277,3000,IF(Table1[Start Date]&gt;42185,2000,IF(Table1[Start Date]&gt;42094,1000))))))))</f>
        <v>0</v>
      </c>
      <c r="ED376" s="44" t="str">
        <f>IF(Table1[Start Date]="","",IF(Table1[Current Local Authority]="Swindon",1,"2"))</f>
        <v/>
      </c>
      <c r="EE376" s="44" t="e">
        <f>SUM(Table1[Data Start Date]+Table1[Data Local Authority])</f>
        <v>#VALUE!</v>
      </c>
      <c r="EF376" s="44">
        <f>IF(Table1[Registered with GP]="Yes",1,0)</f>
        <v>0</v>
      </c>
      <c r="EG376" s="44">
        <f>SUM(Table1[Data Start Date]+Table1[Data GP Start])</f>
        <v>0</v>
      </c>
      <c r="EH376" s="44" t="str">
        <f>IF(Table1[EET]="NEET",1,IF(Table1[EET]="Education",2,IF(Table1[EET]="Employment",2,IF(Table1[EET]="Training",2,IF(Table1[EET]="Retired",3,"")))))</f>
        <v/>
      </c>
      <c r="EI376" s="44" t="e">
        <f>Table1[Data Start Date]+Table1[Data EET Start]</f>
        <v>#VALUE!</v>
      </c>
      <c r="EJ376" s="44" t="b">
        <f>IF(Table1[Leaving Date]&gt;42735,8000,IF(Table1[Leaving Date]&gt;42643,7000,IF(Table1[Leaving Date]&gt;42551,6000,IF(Table1[Leaving Date]&gt;42460,5000,IF(Table1[Leaving Date]&gt;42369,4000,IF(Table1[Leaving Date]&gt;42277,3000,IF(Table1[Leaving Date]&gt;42185,2000,IF(Table1[Leaving Date]&gt;42094,1000))))))))</f>
        <v>0</v>
      </c>
      <c r="EK376" s="44" t="e">
        <f>VLOOKUP(Table1[Reason for Leaving],Lists!$T$2:$U$15,2,FALSE)</f>
        <v>#N/A</v>
      </c>
      <c r="EL376" s="44" t="e">
        <f>SUM(Table1[Data Leavers Date]+Table1[Data Move On])</f>
        <v>#N/A</v>
      </c>
      <c r="EM376" s="44" t="b">
        <f>IF(Table1[Registered with GP2]="Yes",1,IF(Table1[Registered with GP2]="No",0,IF(Table1[Registered with GP]="Yes",1,IF(Table1[Registered with GP]="No",0))))</f>
        <v>0</v>
      </c>
      <c r="EN376" s="44">
        <f>SUM(Table1[Data Leavers Date]+Table1[Data GP End])</f>
        <v>0</v>
      </c>
      <c r="EO376" s="44" t="str">
        <f>IF(Table1[EET2]="NEET",1,IF(Table1[EET2]="Employment",2,IF(Table1[EET2]="Education",2,IF(Table1[EET2]="Training",2,IF(Table1[EET2]="Retired",3,IF(Table1[EET]="NEET",1,IF(Table1[EET]="Employment",2,IF(Table1[EET]="Education",2,IF(Table1[EET]="Training",2,IF(Table1[EET]="Retired",3,""))))))))))</f>
        <v/>
      </c>
      <c r="EP376" s="44" t="e">
        <f>+Table1[[#This Row],[Data Leavers Date]]+Table1[[#This Row],[Data EET End]]</f>
        <v>#VALUE!</v>
      </c>
      <c r="EQ376" s="44">
        <f>IF(Table1[Exit Form Received]="Yes",1,0)</f>
        <v>0</v>
      </c>
      <c r="ER376" s="44">
        <f>+Table1[[#This Row],[Data Leavers Date]]+Table1[[#This Row],[Data Exit Forms]]</f>
        <v>0</v>
      </c>
      <c r="ES376" s="44" t="str">
        <f>IF(Table1[Data Leavers Date]=1000,SUM(Table1[Leaving Date]-Table1[Start Date]),"")</f>
        <v/>
      </c>
      <c r="ET376" s="44" t="str">
        <f>IF(Table1[Data Leavers Date]=2000,SUM(Table1[Leaving Date]-Table1[Start Date]),"")</f>
        <v/>
      </c>
      <c r="EU376" s="44" t="str">
        <f>IF(Table1[Data Leavers Date]=3000,SUM(Table1[Leaving Date]-Table1[Start Date]),"")</f>
        <v/>
      </c>
      <c r="EV376" s="44" t="str">
        <f>IF(Table1[Data Leavers Date]=4000,SUM(Table1[Leaving Date]-Table1[Start Date]),"")</f>
        <v/>
      </c>
      <c r="EW376" s="44" t="str">
        <f>IF(Table1[Data Leavers Date]=5000,SUM(Table1[Leaving Date]-Table1[Start Date]),"")</f>
        <v/>
      </c>
      <c r="EX376" s="44" t="str">
        <f>IF(Table1[Data Leavers Date]=6000,SUM(Table1[Leaving Date]-Table1[Start Date]),"")</f>
        <v/>
      </c>
      <c r="EY376" s="44" t="str">
        <f>IF(Table1[Data Leavers Date]=7000,SUM(Table1[Leaving Date]-Table1[Start Date]),"")</f>
        <v/>
      </c>
      <c r="EZ376" s="44" t="str">
        <f>IF(Table1[Data Leavers Date]=8000,SUM(Table1[Leaving Date]-Table1[Start Date]),"")</f>
        <v/>
      </c>
      <c r="FA376" s="44" t="str">
        <f>IF(Table1[Date of Initial Assessment]="","",IF(AND(Table1[Start Date]&gt;42094,Table1[Start Date]&lt;42461),Table1[Motivation and Taking Responsibility],""))</f>
        <v/>
      </c>
      <c r="FB376" s="44" t="str">
        <f>IF(Table1[Date of Initial Assessment]="","",IF(AND(Table1[Start Date]&gt;42094,Table1[Start Date]&lt;42461),Table1[Self-Care and Living Skills],""))</f>
        <v/>
      </c>
      <c r="FC376" s="44" t="str">
        <f>IF(Table1[Date of Initial Assessment]="","",IF(AND(Table1[Start Date]&gt;42094,Table1[Start Date]&lt;42461),Table1[Managing Money and Personal Administration],""))</f>
        <v/>
      </c>
      <c r="FD376" s="44" t="str">
        <f>IF(Table1[Date of Initial Assessment]="","",IF(AND(Table1[Start Date]&gt;42094,Table1[Start Date]&lt;42461),Table1[Social Networks and Relationships],""))</f>
        <v/>
      </c>
      <c r="FE376" s="44" t="str">
        <f>IF(Table1[Date of Initial Assessment]="","",IF(AND(Table1[Start Date]&gt;42094,Table1[Start Date]&lt;42461),Table1[Drug and Alcohol Misuse],""))</f>
        <v/>
      </c>
      <c r="FF376" s="44" t="str">
        <f>IF(Table1[Date of Initial Assessment]="","",IF(AND(Table1[Start Date]&gt;42094,Table1[Start Date]&lt;42461),Table1[Physical Health],""))</f>
        <v/>
      </c>
      <c r="FG376" s="44" t="str">
        <f>IF(Table1[Date of Initial Assessment]="","",IF(AND(Table1[Start Date]&gt;42094,Table1[Start Date]&lt;42461),Table1[Emotional and Mental Health],""))</f>
        <v/>
      </c>
      <c r="FH376" s="44" t="str">
        <f>IF(Table1[Date of Initial Assessment]="","",IF(AND(Table1[Start Date]&gt;42094,Table1[Start Date]&lt;42461),Table1[Meaningful Use of Time],""))</f>
        <v/>
      </c>
      <c r="FI376" s="44" t="str">
        <f>IF(Table1[Date of Initial Assessment]="","",IF(AND(Table1[Start Date]&gt;42094,Table1[Start Date]&lt;42461),Table1[Managing Tenancy and Accommodation],""))</f>
        <v/>
      </c>
      <c r="FJ376" s="44" t="str">
        <f>IF(Table1[Date of Initial Assessment]="","",IF(AND(Table1[Start Date]&gt;42094,Table1[Start Date]&lt;42461),Table1[Offending],""))</f>
        <v/>
      </c>
      <c r="FK376" s="44" t="str">
        <f>IF(Table1[Leaving Date]="","",IF(Table1[Date of Initial Assessment]="","",IF(AND(Table1[Leaving Date]&gt;42094,Table1[Leaving Date]&lt;42461),IF(Table1[Date of Last Assessment]="",Table1[Motivation and Taking Responsibility],Table1[Motivation and Taking Responsibility2]),"")))</f>
        <v/>
      </c>
      <c r="FL376" s="44" t="str">
        <f>IF(Table1[Leaving Date]="","",IF(Table1[Date of Initial Assessment]="","",IF(AND(Table1[Leaving Date]&gt;42094,Table1[Leaving Date]&lt;42461),IF(Table1[Date of Last Assessment]="",Table1[Self-Care and Living Skills],Table1[Self-Care and Living Skills2]),"")))</f>
        <v/>
      </c>
      <c r="FM376" s="44" t="str">
        <f>IF(Table1[Leaving Date]="","",IF(Table1[Date of Initial Assessment]="","",IF(AND(Table1[Leaving Date]&gt;42094,Table1[Leaving Date]&lt;42461),IF(Table1[Date of Last Assessment]="",Table1[Managing Money and Personal Administration],Table1[Managing Money and Personal Administration2]),"")))</f>
        <v/>
      </c>
      <c r="FN376" s="44" t="str">
        <f>IF(Table1[Leaving Date]="","",IF(Table1[Date of Initial Assessment]="","",IF(AND(Table1[Leaving Date]&gt;42094,Table1[Leaving Date]&lt;42461),IF(Table1[Date of Last Assessment]="",Table1[Social Networks and Relationships],Table1[Social Networks and Relationships2]),"")))</f>
        <v/>
      </c>
      <c r="FO376" s="44" t="str">
        <f>IF(Table1[Leaving Date]="","",IF(Table1[Date of Initial Assessment]="","",IF(AND(Table1[Leaving Date]&gt;42094,Table1[Leaving Date]&lt;42461),IF(Table1[Date of Last Assessment]="",Table1[Drug and Alcohol Misuse],Table1[Drug and Alcohol Misuse2]),"")))</f>
        <v/>
      </c>
      <c r="FP376" s="44" t="str">
        <f>IF(Table1[Leaving Date]="","",IF(Table1[Date of Initial Assessment]="","",IF(AND(Table1[Leaving Date]&gt;42094,Table1[Leaving Date]&lt;42461),IF(Table1[Date of Last Assessment]="",Table1[Physical Health],Table1[Physical Health2]),"")))</f>
        <v/>
      </c>
      <c r="FQ376" s="44" t="str">
        <f>IF(Table1[Leaving Date]="","",IF(Table1[Date of Initial Assessment]="","",IF(AND(Table1[Leaving Date]&gt;42094,Table1[Leaving Date]&lt;42461),IF(Table1[Date of Last Assessment]="",Table1[Emotional and Mental Health],Table1[Emotional and Mental Health2]),"")))</f>
        <v/>
      </c>
      <c r="FR376" s="44" t="str">
        <f>IF(Table1[Leaving Date]="","",IF(Table1[Date of Initial Assessment]="","",IF(AND(Table1[Leaving Date]&gt;42094,Table1[Leaving Date]&lt;42461),IF(Table1[Date of Last Assessment]="",Table1[Meaningful Use of Time],Table1[Meaningful Use of Time2]),"")))</f>
        <v/>
      </c>
      <c r="FS376" s="44" t="str">
        <f>IF(Table1[Leaving Date]="","",IF(Table1[Date of Initial Assessment]="","",IF(AND(Table1[Leaving Date]&gt;42094,Table1[Leaving Date]&lt;42461),IF(Table1[Date of Last Assessment]="",Table1[Managing Tenancy and Accommodation],Table1[Managing Tenancy and Accommodation2]),"")))</f>
        <v/>
      </c>
      <c r="FT376" s="44" t="str">
        <f>IF(Table1[Leaving Date]="","",IF(Table1[Date of Initial Assessment]="","",IF(AND(Table1[Leaving Date]&gt;42094,Table1[Leaving Date]&lt;42461),IF(Table1[Date of Last Assessment]="",Table1[Offending],Table1[Offending2]),"")))</f>
        <v/>
      </c>
      <c r="FU376" s="44" t="str">
        <f>IF(Table1[Date of Initial Assessment]="","",IF(AND(Table1[Start Date]&gt;42460,Table1[Start Date]&lt;42826),Table1[Motivation and Taking Responsibility],""))</f>
        <v/>
      </c>
      <c r="FV376" s="44" t="str">
        <f>IF(Table1[Date of Initial Assessment]="","",IF(AND(Table1[Start Date]&gt;42460,Table1[Start Date]&lt;42826),Table1[Self-Care and Living Skills],""))</f>
        <v/>
      </c>
      <c r="FW376" s="44" t="str">
        <f>IF(Table1[Date of Initial Assessment]="","",IF(AND(Table1[Start Date]&gt;42460,Table1[Start Date]&lt;42826),Table1[Managing Money and Personal Administration],""))</f>
        <v/>
      </c>
      <c r="FX376" s="44" t="str">
        <f>IF(Table1[Date of Initial Assessment]="","",IF(AND(Table1[Start Date]&gt;42460,Table1[Start Date]&lt;42826),Table1[Social Networks and Relationships],""))</f>
        <v/>
      </c>
      <c r="FY376" s="44" t="str">
        <f>IF(Table1[Date of Initial Assessment]="","",IF(AND(Table1[Start Date]&gt;42460,Table1[Start Date]&lt;42826),Table1[Drug and Alcohol Misuse],""))</f>
        <v/>
      </c>
      <c r="FZ376" s="44" t="str">
        <f>IF(Table1[Date of Initial Assessment]="","",IF(AND(Table1[Start Date]&gt;42460,Table1[Start Date]&lt;42826),Table1[Physical Health],""))</f>
        <v/>
      </c>
      <c r="GA376" s="44" t="str">
        <f>IF(Table1[Date of Initial Assessment]="","",IF(AND(Table1[Start Date]&gt;42460,Table1[Start Date]&lt;42826),Table1[Emotional and Mental Health],""))</f>
        <v/>
      </c>
      <c r="GB376" s="44" t="str">
        <f>IF(Table1[Date of Initial Assessment]="","",IF(AND(Table1[Start Date]&gt;42460,Table1[Start Date]&lt;42826),Table1[Meaningful Use of Time],""))</f>
        <v/>
      </c>
      <c r="GC376" s="44" t="str">
        <f>IF(Table1[Date of Initial Assessment]="","",IF(AND(Table1[Start Date]&gt;42460,Table1[Start Date]&lt;42826),Table1[Managing Tenancy and Accommodation],""))</f>
        <v/>
      </c>
      <c r="GD376" s="44" t="str">
        <f>IF(Table1[Date of Initial Assessment]="","",IF(AND(Table1[Start Date]&gt;42460,Table1[Start Date]&lt;42826),Table1[Offending],""))</f>
        <v/>
      </c>
      <c r="GE376" s="44" t="str">
        <f>IF(Table1[Leaving Date]="","",IF(AND(Table1[Leaving Date]&gt;42460,Table1[Leaving Date]&lt;42826),IF(Table1[Date of Last Assessment]="",Table1[Motivation and Taking Responsibility],Table1[Motivation and Taking Responsibility2]),""))</f>
        <v/>
      </c>
      <c r="GF376" s="44" t="str">
        <f>IF(Table1[Leaving Date]="","",IF(AND(Table1[Leaving Date]&gt;42460,Table1[Leaving Date]&lt;42826),IF(Table1[Date of Last Assessment]="",Table1[Self-Care and Living Skills],Table1[Self-Care and Living Skills2]),""))</f>
        <v/>
      </c>
      <c r="GG376" s="44" t="str">
        <f>IF(Table1[Leaving Date]="","",IF(AND(Table1[Leaving Date]&gt;42460,Table1[Leaving Date]&lt;42826),IF(Table1[Date of Last Assessment]="",Table1[Managing Money and Personal Administration],Table1[Managing Money and Personal Administration2]),""))</f>
        <v/>
      </c>
      <c r="GH376" s="44" t="str">
        <f>IF(Table1[Leaving Date]="","",IF(AND(Table1[Leaving Date]&gt;42460,Table1[Leaving Date]&lt;42826),IF(Table1[Date of Last Assessment]="",Table1[Social Networks and Relationships],Table1[Social Networks and Relationships2]),""))</f>
        <v/>
      </c>
      <c r="GI376" s="44" t="str">
        <f>IF(Table1[Leaving Date]="","",IF(AND(Table1[Leaving Date]&gt;42460,Table1[Leaving Date]&lt;42826),IF(Table1[Date of Last Assessment]="",Table1[Drug and Alcohol Misuse],Table1[Drug and Alcohol Misuse2]),""))</f>
        <v/>
      </c>
      <c r="GJ376" s="44" t="str">
        <f>IF(Table1[Leaving Date]="","",IF(AND(Table1[Leaving Date]&gt;42460,Table1[Leaving Date]&lt;42826),IF(Table1[Date of Last Assessment]="",Table1[Physical Health],Table1[Physical Health2]),""))</f>
        <v/>
      </c>
      <c r="GK376" s="44" t="str">
        <f>IF(Table1[Leaving Date]="","",IF(AND(Table1[Leaving Date]&gt;42460,Table1[Leaving Date]&lt;42826),IF(Table1[Date of Last Assessment]="",Table1[Emotional and Mental Health],Table1[Emotional and Mental Health2]),""))</f>
        <v/>
      </c>
      <c r="GL376" s="44" t="str">
        <f>IF(Table1[Leaving Date]="","",IF(AND(Table1[Leaving Date]&gt;42460,Table1[Leaving Date]&lt;42826),IF(Table1[Date of Last Assessment]="",Table1[Meaningful Use of Time],Table1[Meaningful Use of Time2]),""))</f>
        <v/>
      </c>
      <c r="GM376" s="44" t="str">
        <f>IF(Table1[Leaving Date]="","",IF(AND(Table1[Leaving Date]&gt;42460,Table1[Leaving Date]&lt;42826),IF(Table1[Date of Last Assessment]="",Table1[Managing Tenancy and Accommodation],Table1[Managing Tenancy and Accommodation2]),""))</f>
        <v/>
      </c>
      <c r="GN376" s="44" t="str">
        <f>IF(Table1[Leaving Date]="","",IF(AND(Table1[Leaving Date]&gt;42460,Table1[Leaving Date]&lt;42826),IF(Table1[Date of Last Assessment]="",Table1[Offending],Table1[Offending2]),""))</f>
        <v/>
      </c>
    </row>
    <row r="377" spans="2:196" ht="20.100000000000001" customHeight="1" x14ac:dyDescent="0.2">
      <c r="B377" s="86">
        <f>+'Service Data'!$C$5:$C$5</f>
        <v>0</v>
      </c>
      <c r="C377" s="86"/>
      <c r="D377" s="86"/>
      <c r="E377" s="86"/>
      <c r="F377" s="86"/>
      <c r="G377" s="86"/>
      <c r="H377" s="6"/>
      <c r="I377" s="99" t="str">
        <f ca="1">IF(Table1[[#This Row],[Date of Birth]]="","",SUM(TODAY()-Table1[[#This Row],[Date of Birth]])/365)</f>
        <v/>
      </c>
      <c r="L377" s="86"/>
      <c r="M377" s="77"/>
      <c r="N377" s="86"/>
      <c r="O377" s="86"/>
      <c r="P377" s="91"/>
      <c r="Q377" s="86"/>
      <c r="R377" s="77"/>
      <c r="S377" s="77"/>
      <c r="T377" s="68"/>
      <c r="U377" s="68"/>
      <c r="V377" s="67"/>
      <c r="W377" s="67"/>
      <c r="X377" s="67"/>
      <c r="Y377" s="67"/>
      <c r="Z377" s="67"/>
      <c r="AA377" s="67"/>
      <c r="AB377" s="67"/>
      <c r="AC377" s="67"/>
      <c r="AD377" s="67"/>
      <c r="AE377" s="67"/>
      <c r="AF377" s="67"/>
      <c r="AG377" s="67"/>
      <c r="AH377" s="67"/>
      <c r="AI377" s="67"/>
      <c r="AJ377" s="67"/>
      <c r="AK377" s="67"/>
      <c r="AL377" s="67"/>
      <c r="AM377" s="67"/>
      <c r="AN377" s="77"/>
      <c r="AO377" s="76"/>
      <c r="AP377" s="77"/>
      <c r="AQ377" s="76"/>
      <c r="AR377" s="76"/>
      <c r="AS377" s="76"/>
      <c r="AT377" s="76"/>
      <c r="AU377" s="76"/>
      <c r="AV377" s="77"/>
      <c r="AW377" s="76"/>
      <c r="AX377" s="77"/>
      <c r="AY377" s="76"/>
      <c r="AZ377" s="76"/>
      <c r="BA377" s="76"/>
      <c r="BB377" s="76"/>
      <c r="BC377" s="76"/>
      <c r="BD377" s="77"/>
      <c r="BE377" s="76"/>
      <c r="BF377" s="77"/>
      <c r="BG377" s="76"/>
      <c r="BH377" s="76"/>
      <c r="BI377" s="76"/>
      <c r="BJ377" s="76"/>
      <c r="BK377" s="76"/>
      <c r="BL377" s="77"/>
      <c r="BM377" s="76"/>
      <c r="BN377" s="77"/>
      <c r="BO377" s="76"/>
      <c r="BP377" s="76"/>
      <c r="BQ377" s="76"/>
      <c r="BR377" s="76"/>
      <c r="BS377" s="76"/>
      <c r="BT377" s="77"/>
      <c r="BU377" s="76"/>
      <c r="BV377" s="77"/>
      <c r="BW377" s="76"/>
      <c r="BX377" s="76"/>
      <c r="BY377" s="76"/>
      <c r="BZ377" s="76"/>
      <c r="CA377" s="76"/>
      <c r="CB377" s="77"/>
      <c r="CC377" s="76"/>
      <c r="CD377" s="77"/>
      <c r="CE377" s="76"/>
      <c r="CF377" s="76"/>
      <c r="CG377" s="76"/>
      <c r="CH377" s="76"/>
      <c r="CI377" s="76"/>
      <c r="CJ377" s="77"/>
      <c r="CK377" s="76"/>
      <c r="CL377" s="77"/>
      <c r="CM377" s="76"/>
      <c r="CN377" s="76"/>
      <c r="CO377" s="76"/>
      <c r="CP377" s="76"/>
      <c r="CQ377" s="76"/>
      <c r="CR377" s="78" t="str">
        <f t="shared" si="95"/>
        <v/>
      </c>
      <c r="CS377" s="79" t="str">
        <f t="shared" si="96"/>
        <v/>
      </c>
      <c r="CT377" s="79" t="str">
        <f t="shared" si="97"/>
        <v/>
      </c>
      <c r="CU377" s="79" t="str">
        <f t="shared" si="98"/>
        <v/>
      </c>
      <c r="CV377" s="79" t="str">
        <f t="shared" si="99"/>
        <v/>
      </c>
      <c r="CW377" s="79" t="str">
        <f t="shared" si="100"/>
        <v/>
      </c>
      <c r="CX377" s="79" t="str">
        <f t="shared" si="101"/>
        <v/>
      </c>
      <c r="CY377" s="79" t="str">
        <f t="shared" si="102"/>
        <v/>
      </c>
      <c r="CZ377" s="79" t="str">
        <f t="shared" si="103"/>
        <v/>
      </c>
      <c r="DA377" s="79" t="str">
        <f t="shared" si="104"/>
        <v/>
      </c>
      <c r="DB377" s="79" t="str">
        <f t="shared" si="105"/>
        <v/>
      </c>
      <c r="DC377" s="79" t="str">
        <f t="shared" si="106"/>
        <v/>
      </c>
      <c r="DD377" s="79" t="str">
        <f t="shared" si="107"/>
        <v/>
      </c>
      <c r="DE377" s="79" t="str">
        <f t="shared" si="108"/>
        <v/>
      </c>
      <c r="DF377" s="79" t="str">
        <f t="shared" si="109"/>
        <v/>
      </c>
      <c r="DG377" s="79" t="str">
        <f t="shared" si="110"/>
        <v/>
      </c>
      <c r="DH377" s="76"/>
      <c r="DI377" s="78"/>
      <c r="DJ377" s="76"/>
      <c r="DK377" s="77"/>
      <c r="DL377" s="77"/>
      <c r="DM377" s="77"/>
      <c r="DN377" s="80"/>
      <c r="DO377" s="80"/>
      <c r="DP377" s="92" t="str">
        <f>IF(Table1[Start Date]="","",IF(Table1[Start Date]&gt;42185,"",IF(AND(Table1[Leaving Date]&gt;1,Table1[Leaving Date]&lt;42095),"",1)))</f>
        <v/>
      </c>
      <c r="DQ377" s="92" t="str">
        <f>IF(Table1[Start Date]="","",IF(Table1[Start Date]&gt;42277,"",IF(AND(Table1[Leaving Date]&gt;1,Table1[Leaving Date]&lt;42186),"",1)))</f>
        <v/>
      </c>
      <c r="DR377" s="92" t="str">
        <f>IF(Table1[Start Date]="","",IF(Table1[Start Date]&gt;42369,"",IF(AND(Table1[Leaving Date]&gt;1,Table1[Leaving Date]&lt;42278),"",1)))</f>
        <v/>
      </c>
      <c r="DS377" s="92" t="str">
        <f>IF(Table1[Start Date]="","",IF(Table1[Start Date]&gt;42460,"",IF(AND(Table1[Leaving Date]&gt;1,Table1[Leaving Date]&lt;42370),"",1)))</f>
        <v/>
      </c>
      <c r="DT377" s="92" t="str">
        <f>IF(Table1[Start Date]="","",IF(Table1[Start Date]&gt;42551,"",IF(AND(Table1[Leaving Date]&gt;1,Table1[Leaving Date]&lt;42461),"",1)))</f>
        <v/>
      </c>
      <c r="DU377" s="92" t="str">
        <f>IF(Table1[Start Date]="","",IF(Table1[Start Date]&gt;42643,"",IF(AND(Table1[Leaving Date]&gt;1,Table1[Leaving Date]&lt;42552),"",1)))</f>
        <v/>
      </c>
      <c r="DV377" s="92" t="str">
        <f>IF(Table1[Start Date]="","",IF(Table1[Start Date]&gt;42735,"",IF(AND(Table1[Leaving Date]&gt;1,Table1[Leaving Date]&lt;42644),"",1)))</f>
        <v/>
      </c>
      <c r="DW377" s="92" t="str">
        <f>IF(Table1[Start Date]="","",IF(Table1[Start Date]&gt;42825,"",IF(AND(Table1[Leaving Date]&gt;1,Table1[Leaving Date]&lt;42736),"",1)))</f>
        <v/>
      </c>
      <c r="DX377"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377" s="44" t="e">
        <f>VLOOKUP(Table1[Referral Source],Lists!$G$2:$H$20,2,FALSE)</f>
        <v>#N/A</v>
      </c>
      <c r="DZ377" s="93" t="e">
        <f>SUM(Table1[Data Referral Quarter]+Table1[Data Referral Source])</f>
        <v>#N/A</v>
      </c>
      <c r="EA377" s="44" t="b">
        <f>IF(Table1[Referral Decision]="Accepted",100,IF(Table1[Referral Decision]="Rejected by Provider",200,IF(Table1[Referral Decision]="Rejected by Applicant",300)))</f>
        <v>0</v>
      </c>
      <c r="EB377" s="44">
        <f>SUM(Table1[Data Referral Quarter]+Table1[Data Referral Decision])</f>
        <v>0</v>
      </c>
      <c r="EC377" s="44" t="b">
        <f>IF(Table1[Start Date]&gt;42735,8000,IF(Table1[Start Date]&gt;42643,7000,IF(Table1[Start Date]&gt;42551,6000,IF(Table1[Start Date]&gt;42460,5000,IF(Table1[Start Date]&gt;42369,4000,IF(Table1[Start Date]&gt;42277,3000,IF(Table1[Start Date]&gt;42185,2000,IF(Table1[Start Date]&gt;42094,1000))))))))</f>
        <v>0</v>
      </c>
      <c r="ED377" s="44" t="str">
        <f>IF(Table1[Start Date]="","",IF(Table1[Current Local Authority]="Swindon",1,"2"))</f>
        <v/>
      </c>
      <c r="EE377" s="44" t="e">
        <f>SUM(Table1[Data Start Date]+Table1[Data Local Authority])</f>
        <v>#VALUE!</v>
      </c>
      <c r="EF377" s="44">
        <f>IF(Table1[Registered with GP]="Yes",1,0)</f>
        <v>0</v>
      </c>
      <c r="EG377" s="44">
        <f>SUM(Table1[Data Start Date]+Table1[Data GP Start])</f>
        <v>0</v>
      </c>
      <c r="EH377" s="44" t="str">
        <f>IF(Table1[EET]="NEET",1,IF(Table1[EET]="Education",2,IF(Table1[EET]="Employment",2,IF(Table1[EET]="Training",2,IF(Table1[EET]="Retired",3,"")))))</f>
        <v/>
      </c>
      <c r="EI377" s="44" t="e">
        <f>Table1[Data Start Date]+Table1[Data EET Start]</f>
        <v>#VALUE!</v>
      </c>
      <c r="EJ377" s="44" t="b">
        <f>IF(Table1[Leaving Date]&gt;42735,8000,IF(Table1[Leaving Date]&gt;42643,7000,IF(Table1[Leaving Date]&gt;42551,6000,IF(Table1[Leaving Date]&gt;42460,5000,IF(Table1[Leaving Date]&gt;42369,4000,IF(Table1[Leaving Date]&gt;42277,3000,IF(Table1[Leaving Date]&gt;42185,2000,IF(Table1[Leaving Date]&gt;42094,1000))))))))</f>
        <v>0</v>
      </c>
      <c r="EK377" s="44" t="e">
        <f>VLOOKUP(Table1[Reason for Leaving],Lists!$T$2:$U$15,2,FALSE)</f>
        <v>#N/A</v>
      </c>
      <c r="EL377" s="44" t="e">
        <f>SUM(Table1[Data Leavers Date]+Table1[Data Move On])</f>
        <v>#N/A</v>
      </c>
      <c r="EM377" s="44" t="b">
        <f>IF(Table1[Registered with GP2]="Yes",1,IF(Table1[Registered with GP2]="No",0,IF(Table1[Registered with GP]="Yes",1,IF(Table1[Registered with GP]="No",0))))</f>
        <v>0</v>
      </c>
      <c r="EN377" s="44">
        <f>SUM(Table1[Data Leavers Date]+Table1[Data GP End])</f>
        <v>0</v>
      </c>
      <c r="EO377" s="44" t="str">
        <f>IF(Table1[EET2]="NEET",1,IF(Table1[EET2]="Employment",2,IF(Table1[EET2]="Education",2,IF(Table1[EET2]="Training",2,IF(Table1[EET2]="Retired",3,IF(Table1[EET]="NEET",1,IF(Table1[EET]="Employment",2,IF(Table1[EET]="Education",2,IF(Table1[EET]="Training",2,IF(Table1[EET]="Retired",3,""))))))))))</f>
        <v/>
      </c>
      <c r="EP377" s="44" t="e">
        <f>+Table1[[#This Row],[Data Leavers Date]]+Table1[[#This Row],[Data EET End]]</f>
        <v>#VALUE!</v>
      </c>
      <c r="EQ377" s="44">
        <f>IF(Table1[Exit Form Received]="Yes",1,0)</f>
        <v>0</v>
      </c>
      <c r="ER377" s="44">
        <f>+Table1[[#This Row],[Data Leavers Date]]+Table1[[#This Row],[Data Exit Forms]]</f>
        <v>0</v>
      </c>
      <c r="ES377" s="44" t="str">
        <f>IF(Table1[Data Leavers Date]=1000,SUM(Table1[Leaving Date]-Table1[Start Date]),"")</f>
        <v/>
      </c>
      <c r="ET377" s="44" t="str">
        <f>IF(Table1[Data Leavers Date]=2000,SUM(Table1[Leaving Date]-Table1[Start Date]),"")</f>
        <v/>
      </c>
      <c r="EU377" s="44" t="str">
        <f>IF(Table1[Data Leavers Date]=3000,SUM(Table1[Leaving Date]-Table1[Start Date]),"")</f>
        <v/>
      </c>
      <c r="EV377" s="44" t="str">
        <f>IF(Table1[Data Leavers Date]=4000,SUM(Table1[Leaving Date]-Table1[Start Date]),"")</f>
        <v/>
      </c>
      <c r="EW377" s="44" t="str">
        <f>IF(Table1[Data Leavers Date]=5000,SUM(Table1[Leaving Date]-Table1[Start Date]),"")</f>
        <v/>
      </c>
      <c r="EX377" s="44" t="str">
        <f>IF(Table1[Data Leavers Date]=6000,SUM(Table1[Leaving Date]-Table1[Start Date]),"")</f>
        <v/>
      </c>
      <c r="EY377" s="44" t="str">
        <f>IF(Table1[Data Leavers Date]=7000,SUM(Table1[Leaving Date]-Table1[Start Date]),"")</f>
        <v/>
      </c>
      <c r="EZ377" s="44" t="str">
        <f>IF(Table1[Data Leavers Date]=8000,SUM(Table1[Leaving Date]-Table1[Start Date]),"")</f>
        <v/>
      </c>
      <c r="FA377" s="44" t="str">
        <f>IF(Table1[Date of Initial Assessment]="","",IF(AND(Table1[Start Date]&gt;42094,Table1[Start Date]&lt;42461),Table1[Motivation and Taking Responsibility],""))</f>
        <v/>
      </c>
      <c r="FB377" s="44" t="str">
        <f>IF(Table1[Date of Initial Assessment]="","",IF(AND(Table1[Start Date]&gt;42094,Table1[Start Date]&lt;42461),Table1[Self-Care and Living Skills],""))</f>
        <v/>
      </c>
      <c r="FC377" s="44" t="str">
        <f>IF(Table1[Date of Initial Assessment]="","",IF(AND(Table1[Start Date]&gt;42094,Table1[Start Date]&lt;42461),Table1[Managing Money and Personal Administration],""))</f>
        <v/>
      </c>
      <c r="FD377" s="44" t="str">
        <f>IF(Table1[Date of Initial Assessment]="","",IF(AND(Table1[Start Date]&gt;42094,Table1[Start Date]&lt;42461),Table1[Social Networks and Relationships],""))</f>
        <v/>
      </c>
      <c r="FE377" s="44" t="str">
        <f>IF(Table1[Date of Initial Assessment]="","",IF(AND(Table1[Start Date]&gt;42094,Table1[Start Date]&lt;42461),Table1[Drug and Alcohol Misuse],""))</f>
        <v/>
      </c>
      <c r="FF377" s="44" t="str">
        <f>IF(Table1[Date of Initial Assessment]="","",IF(AND(Table1[Start Date]&gt;42094,Table1[Start Date]&lt;42461),Table1[Physical Health],""))</f>
        <v/>
      </c>
      <c r="FG377" s="44" t="str">
        <f>IF(Table1[Date of Initial Assessment]="","",IF(AND(Table1[Start Date]&gt;42094,Table1[Start Date]&lt;42461),Table1[Emotional and Mental Health],""))</f>
        <v/>
      </c>
      <c r="FH377" s="44" t="str">
        <f>IF(Table1[Date of Initial Assessment]="","",IF(AND(Table1[Start Date]&gt;42094,Table1[Start Date]&lt;42461),Table1[Meaningful Use of Time],""))</f>
        <v/>
      </c>
      <c r="FI377" s="44" t="str">
        <f>IF(Table1[Date of Initial Assessment]="","",IF(AND(Table1[Start Date]&gt;42094,Table1[Start Date]&lt;42461),Table1[Managing Tenancy and Accommodation],""))</f>
        <v/>
      </c>
      <c r="FJ377" s="44" t="str">
        <f>IF(Table1[Date of Initial Assessment]="","",IF(AND(Table1[Start Date]&gt;42094,Table1[Start Date]&lt;42461),Table1[Offending],""))</f>
        <v/>
      </c>
      <c r="FK377" s="44" t="str">
        <f>IF(Table1[Leaving Date]="","",IF(Table1[Date of Initial Assessment]="","",IF(AND(Table1[Leaving Date]&gt;42094,Table1[Leaving Date]&lt;42461),IF(Table1[Date of Last Assessment]="",Table1[Motivation and Taking Responsibility],Table1[Motivation and Taking Responsibility2]),"")))</f>
        <v/>
      </c>
      <c r="FL377" s="44" t="str">
        <f>IF(Table1[Leaving Date]="","",IF(Table1[Date of Initial Assessment]="","",IF(AND(Table1[Leaving Date]&gt;42094,Table1[Leaving Date]&lt;42461),IF(Table1[Date of Last Assessment]="",Table1[Self-Care and Living Skills],Table1[Self-Care and Living Skills2]),"")))</f>
        <v/>
      </c>
      <c r="FM377" s="44" t="str">
        <f>IF(Table1[Leaving Date]="","",IF(Table1[Date of Initial Assessment]="","",IF(AND(Table1[Leaving Date]&gt;42094,Table1[Leaving Date]&lt;42461),IF(Table1[Date of Last Assessment]="",Table1[Managing Money and Personal Administration],Table1[Managing Money and Personal Administration2]),"")))</f>
        <v/>
      </c>
      <c r="FN377" s="44" t="str">
        <f>IF(Table1[Leaving Date]="","",IF(Table1[Date of Initial Assessment]="","",IF(AND(Table1[Leaving Date]&gt;42094,Table1[Leaving Date]&lt;42461),IF(Table1[Date of Last Assessment]="",Table1[Social Networks and Relationships],Table1[Social Networks and Relationships2]),"")))</f>
        <v/>
      </c>
      <c r="FO377" s="44" t="str">
        <f>IF(Table1[Leaving Date]="","",IF(Table1[Date of Initial Assessment]="","",IF(AND(Table1[Leaving Date]&gt;42094,Table1[Leaving Date]&lt;42461),IF(Table1[Date of Last Assessment]="",Table1[Drug and Alcohol Misuse],Table1[Drug and Alcohol Misuse2]),"")))</f>
        <v/>
      </c>
      <c r="FP377" s="44" t="str">
        <f>IF(Table1[Leaving Date]="","",IF(Table1[Date of Initial Assessment]="","",IF(AND(Table1[Leaving Date]&gt;42094,Table1[Leaving Date]&lt;42461),IF(Table1[Date of Last Assessment]="",Table1[Physical Health],Table1[Physical Health2]),"")))</f>
        <v/>
      </c>
      <c r="FQ377" s="44" t="str">
        <f>IF(Table1[Leaving Date]="","",IF(Table1[Date of Initial Assessment]="","",IF(AND(Table1[Leaving Date]&gt;42094,Table1[Leaving Date]&lt;42461),IF(Table1[Date of Last Assessment]="",Table1[Emotional and Mental Health],Table1[Emotional and Mental Health2]),"")))</f>
        <v/>
      </c>
      <c r="FR377" s="44" t="str">
        <f>IF(Table1[Leaving Date]="","",IF(Table1[Date of Initial Assessment]="","",IF(AND(Table1[Leaving Date]&gt;42094,Table1[Leaving Date]&lt;42461),IF(Table1[Date of Last Assessment]="",Table1[Meaningful Use of Time],Table1[Meaningful Use of Time2]),"")))</f>
        <v/>
      </c>
      <c r="FS377" s="44" t="str">
        <f>IF(Table1[Leaving Date]="","",IF(Table1[Date of Initial Assessment]="","",IF(AND(Table1[Leaving Date]&gt;42094,Table1[Leaving Date]&lt;42461),IF(Table1[Date of Last Assessment]="",Table1[Managing Tenancy and Accommodation],Table1[Managing Tenancy and Accommodation2]),"")))</f>
        <v/>
      </c>
      <c r="FT377" s="44" t="str">
        <f>IF(Table1[Leaving Date]="","",IF(Table1[Date of Initial Assessment]="","",IF(AND(Table1[Leaving Date]&gt;42094,Table1[Leaving Date]&lt;42461),IF(Table1[Date of Last Assessment]="",Table1[Offending],Table1[Offending2]),"")))</f>
        <v/>
      </c>
      <c r="FU377" s="44" t="str">
        <f>IF(Table1[Date of Initial Assessment]="","",IF(AND(Table1[Start Date]&gt;42460,Table1[Start Date]&lt;42826),Table1[Motivation and Taking Responsibility],""))</f>
        <v/>
      </c>
      <c r="FV377" s="44" t="str">
        <f>IF(Table1[Date of Initial Assessment]="","",IF(AND(Table1[Start Date]&gt;42460,Table1[Start Date]&lt;42826),Table1[Self-Care and Living Skills],""))</f>
        <v/>
      </c>
      <c r="FW377" s="44" t="str">
        <f>IF(Table1[Date of Initial Assessment]="","",IF(AND(Table1[Start Date]&gt;42460,Table1[Start Date]&lt;42826),Table1[Managing Money and Personal Administration],""))</f>
        <v/>
      </c>
      <c r="FX377" s="44" t="str">
        <f>IF(Table1[Date of Initial Assessment]="","",IF(AND(Table1[Start Date]&gt;42460,Table1[Start Date]&lt;42826),Table1[Social Networks and Relationships],""))</f>
        <v/>
      </c>
      <c r="FY377" s="44" t="str">
        <f>IF(Table1[Date of Initial Assessment]="","",IF(AND(Table1[Start Date]&gt;42460,Table1[Start Date]&lt;42826),Table1[Drug and Alcohol Misuse],""))</f>
        <v/>
      </c>
      <c r="FZ377" s="44" t="str">
        <f>IF(Table1[Date of Initial Assessment]="","",IF(AND(Table1[Start Date]&gt;42460,Table1[Start Date]&lt;42826),Table1[Physical Health],""))</f>
        <v/>
      </c>
      <c r="GA377" s="44" t="str">
        <f>IF(Table1[Date of Initial Assessment]="","",IF(AND(Table1[Start Date]&gt;42460,Table1[Start Date]&lt;42826),Table1[Emotional and Mental Health],""))</f>
        <v/>
      </c>
      <c r="GB377" s="44" t="str">
        <f>IF(Table1[Date of Initial Assessment]="","",IF(AND(Table1[Start Date]&gt;42460,Table1[Start Date]&lt;42826),Table1[Meaningful Use of Time],""))</f>
        <v/>
      </c>
      <c r="GC377" s="44" t="str">
        <f>IF(Table1[Date of Initial Assessment]="","",IF(AND(Table1[Start Date]&gt;42460,Table1[Start Date]&lt;42826),Table1[Managing Tenancy and Accommodation],""))</f>
        <v/>
      </c>
      <c r="GD377" s="44" t="str">
        <f>IF(Table1[Date of Initial Assessment]="","",IF(AND(Table1[Start Date]&gt;42460,Table1[Start Date]&lt;42826),Table1[Offending],""))</f>
        <v/>
      </c>
      <c r="GE377" s="44" t="str">
        <f>IF(Table1[Leaving Date]="","",IF(AND(Table1[Leaving Date]&gt;42460,Table1[Leaving Date]&lt;42826),IF(Table1[Date of Last Assessment]="",Table1[Motivation and Taking Responsibility],Table1[Motivation and Taking Responsibility2]),""))</f>
        <v/>
      </c>
      <c r="GF377" s="44" t="str">
        <f>IF(Table1[Leaving Date]="","",IF(AND(Table1[Leaving Date]&gt;42460,Table1[Leaving Date]&lt;42826),IF(Table1[Date of Last Assessment]="",Table1[Self-Care and Living Skills],Table1[Self-Care and Living Skills2]),""))</f>
        <v/>
      </c>
      <c r="GG377" s="44" t="str">
        <f>IF(Table1[Leaving Date]="","",IF(AND(Table1[Leaving Date]&gt;42460,Table1[Leaving Date]&lt;42826),IF(Table1[Date of Last Assessment]="",Table1[Managing Money and Personal Administration],Table1[Managing Money and Personal Administration2]),""))</f>
        <v/>
      </c>
      <c r="GH377" s="44" t="str">
        <f>IF(Table1[Leaving Date]="","",IF(AND(Table1[Leaving Date]&gt;42460,Table1[Leaving Date]&lt;42826),IF(Table1[Date of Last Assessment]="",Table1[Social Networks and Relationships],Table1[Social Networks and Relationships2]),""))</f>
        <v/>
      </c>
      <c r="GI377" s="44" t="str">
        <f>IF(Table1[Leaving Date]="","",IF(AND(Table1[Leaving Date]&gt;42460,Table1[Leaving Date]&lt;42826),IF(Table1[Date of Last Assessment]="",Table1[Drug and Alcohol Misuse],Table1[Drug and Alcohol Misuse2]),""))</f>
        <v/>
      </c>
      <c r="GJ377" s="44" t="str">
        <f>IF(Table1[Leaving Date]="","",IF(AND(Table1[Leaving Date]&gt;42460,Table1[Leaving Date]&lt;42826),IF(Table1[Date of Last Assessment]="",Table1[Physical Health],Table1[Physical Health2]),""))</f>
        <v/>
      </c>
      <c r="GK377" s="44" t="str">
        <f>IF(Table1[Leaving Date]="","",IF(AND(Table1[Leaving Date]&gt;42460,Table1[Leaving Date]&lt;42826),IF(Table1[Date of Last Assessment]="",Table1[Emotional and Mental Health],Table1[Emotional and Mental Health2]),""))</f>
        <v/>
      </c>
      <c r="GL377" s="44" t="str">
        <f>IF(Table1[Leaving Date]="","",IF(AND(Table1[Leaving Date]&gt;42460,Table1[Leaving Date]&lt;42826),IF(Table1[Date of Last Assessment]="",Table1[Meaningful Use of Time],Table1[Meaningful Use of Time2]),""))</f>
        <v/>
      </c>
      <c r="GM377" s="44" t="str">
        <f>IF(Table1[Leaving Date]="","",IF(AND(Table1[Leaving Date]&gt;42460,Table1[Leaving Date]&lt;42826),IF(Table1[Date of Last Assessment]="",Table1[Managing Tenancy and Accommodation],Table1[Managing Tenancy and Accommodation2]),""))</f>
        <v/>
      </c>
      <c r="GN377" s="44" t="str">
        <f>IF(Table1[Leaving Date]="","",IF(AND(Table1[Leaving Date]&gt;42460,Table1[Leaving Date]&lt;42826),IF(Table1[Date of Last Assessment]="",Table1[Offending],Table1[Offending2]),""))</f>
        <v/>
      </c>
    </row>
    <row r="378" spans="2:196" ht="20.100000000000001" customHeight="1" x14ac:dyDescent="0.2">
      <c r="B378" s="86">
        <f>+'Service Data'!$C$5:$C$5</f>
        <v>0</v>
      </c>
      <c r="C378" s="86"/>
      <c r="D378" s="86"/>
      <c r="E378" s="86"/>
      <c r="F378" s="86"/>
      <c r="G378" s="86"/>
      <c r="H378" s="6"/>
      <c r="I378" s="99" t="str">
        <f ca="1">IF(Table1[[#This Row],[Date of Birth]]="","",SUM(TODAY()-Table1[[#This Row],[Date of Birth]])/365)</f>
        <v/>
      </c>
      <c r="L378" s="86"/>
      <c r="M378" s="77"/>
      <c r="N378" s="86"/>
      <c r="O378" s="86"/>
      <c r="P378" s="91"/>
      <c r="Q378" s="86"/>
      <c r="R378" s="77"/>
      <c r="S378" s="77"/>
      <c r="T378" s="68"/>
      <c r="U378" s="68"/>
      <c r="V378" s="67"/>
      <c r="W378" s="67"/>
      <c r="X378" s="67"/>
      <c r="Y378" s="67"/>
      <c r="Z378" s="67"/>
      <c r="AA378" s="67"/>
      <c r="AB378" s="67"/>
      <c r="AC378" s="67"/>
      <c r="AD378" s="67"/>
      <c r="AE378" s="67"/>
      <c r="AF378" s="67"/>
      <c r="AG378" s="67"/>
      <c r="AH378" s="67"/>
      <c r="AI378" s="67"/>
      <c r="AJ378" s="67"/>
      <c r="AK378" s="67"/>
      <c r="AL378" s="67"/>
      <c r="AM378" s="67"/>
      <c r="AN378" s="77"/>
      <c r="AO378" s="76"/>
      <c r="AP378" s="77"/>
      <c r="AQ378" s="76"/>
      <c r="AR378" s="76"/>
      <c r="AS378" s="76"/>
      <c r="AT378" s="76"/>
      <c r="AU378" s="76"/>
      <c r="AV378" s="77"/>
      <c r="AW378" s="76"/>
      <c r="AX378" s="77"/>
      <c r="AY378" s="76"/>
      <c r="AZ378" s="76"/>
      <c r="BA378" s="76"/>
      <c r="BB378" s="76"/>
      <c r="BC378" s="76"/>
      <c r="BD378" s="77"/>
      <c r="BE378" s="76"/>
      <c r="BF378" s="77"/>
      <c r="BG378" s="76"/>
      <c r="BH378" s="76"/>
      <c r="BI378" s="76"/>
      <c r="BJ378" s="76"/>
      <c r="BK378" s="76"/>
      <c r="BL378" s="77"/>
      <c r="BM378" s="76"/>
      <c r="BN378" s="77"/>
      <c r="BO378" s="76"/>
      <c r="BP378" s="76"/>
      <c r="BQ378" s="76"/>
      <c r="BR378" s="76"/>
      <c r="BS378" s="76"/>
      <c r="BT378" s="77"/>
      <c r="BU378" s="76"/>
      <c r="BV378" s="77"/>
      <c r="BW378" s="76"/>
      <c r="BX378" s="76"/>
      <c r="BY378" s="76"/>
      <c r="BZ378" s="76"/>
      <c r="CA378" s="76"/>
      <c r="CB378" s="77"/>
      <c r="CC378" s="76"/>
      <c r="CD378" s="77"/>
      <c r="CE378" s="76"/>
      <c r="CF378" s="76"/>
      <c r="CG378" s="76"/>
      <c r="CH378" s="76"/>
      <c r="CI378" s="76"/>
      <c r="CJ378" s="77"/>
      <c r="CK378" s="76"/>
      <c r="CL378" s="77"/>
      <c r="CM378" s="76"/>
      <c r="CN378" s="76"/>
      <c r="CO378" s="76"/>
      <c r="CP378" s="76"/>
      <c r="CQ378" s="76"/>
      <c r="CR378" s="78" t="str">
        <f t="shared" si="95"/>
        <v/>
      </c>
      <c r="CS378" s="79" t="str">
        <f t="shared" si="96"/>
        <v/>
      </c>
      <c r="CT378" s="79" t="str">
        <f t="shared" si="97"/>
        <v/>
      </c>
      <c r="CU378" s="79" t="str">
        <f t="shared" si="98"/>
        <v/>
      </c>
      <c r="CV378" s="79" t="str">
        <f t="shared" si="99"/>
        <v/>
      </c>
      <c r="CW378" s="79" t="str">
        <f t="shared" si="100"/>
        <v/>
      </c>
      <c r="CX378" s="79" t="str">
        <f t="shared" si="101"/>
        <v/>
      </c>
      <c r="CY378" s="79" t="str">
        <f t="shared" si="102"/>
        <v/>
      </c>
      <c r="CZ378" s="79" t="str">
        <f t="shared" si="103"/>
        <v/>
      </c>
      <c r="DA378" s="79" t="str">
        <f t="shared" si="104"/>
        <v/>
      </c>
      <c r="DB378" s="79" t="str">
        <f t="shared" si="105"/>
        <v/>
      </c>
      <c r="DC378" s="79" t="str">
        <f t="shared" si="106"/>
        <v/>
      </c>
      <c r="DD378" s="79" t="str">
        <f t="shared" si="107"/>
        <v/>
      </c>
      <c r="DE378" s="79" t="str">
        <f t="shared" si="108"/>
        <v/>
      </c>
      <c r="DF378" s="79" t="str">
        <f t="shared" si="109"/>
        <v/>
      </c>
      <c r="DG378" s="79" t="str">
        <f t="shared" si="110"/>
        <v/>
      </c>
      <c r="DH378" s="76"/>
      <c r="DI378" s="78"/>
      <c r="DJ378" s="76"/>
      <c r="DK378" s="77"/>
      <c r="DL378" s="77"/>
      <c r="DM378" s="77"/>
      <c r="DN378" s="80"/>
      <c r="DO378" s="80"/>
      <c r="DP378" s="92" t="str">
        <f>IF(Table1[Start Date]="","",IF(Table1[Start Date]&gt;42185,"",IF(AND(Table1[Leaving Date]&gt;1,Table1[Leaving Date]&lt;42095),"",1)))</f>
        <v/>
      </c>
      <c r="DQ378" s="92" t="str">
        <f>IF(Table1[Start Date]="","",IF(Table1[Start Date]&gt;42277,"",IF(AND(Table1[Leaving Date]&gt;1,Table1[Leaving Date]&lt;42186),"",1)))</f>
        <v/>
      </c>
      <c r="DR378" s="92" t="str">
        <f>IF(Table1[Start Date]="","",IF(Table1[Start Date]&gt;42369,"",IF(AND(Table1[Leaving Date]&gt;1,Table1[Leaving Date]&lt;42278),"",1)))</f>
        <v/>
      </c>
      <c r="DS378" s="92" t="str">
        <f>IF(Table1[Start Date]="","",IF(Table1[Start Date]&gt;42460,"",IF(AND(Table1[Leaving Date]&gt;1,Table1[Leaving Date]&lt;42370),"",1)))</f>
        <v/>
      </c>
      <c r="DT378" s="92" t="str">
        <f>IF(Table1[Start Date]="","",IF(Table1[Start Date]&gt;42551,"",IF(AND(Table1[Leaving Date]&gt;1,Table1[Leaving Date]&lt;42461),"",1)))</f>
        <v/>
      </c>
      <c r="DU378" s="92" t="str">
        <f>IF(Table1[Start Date]="","",IF(Table1[Start Date]&gt;42643,"",IF(AND(Table1[Leaving Date]&gt;1,Table1[Leaving Date]&lt;42552),"",1)))</f>
        <v/>
      </c>
      <c r="DV378" s="92" t="str">
        <f>IF(Table1[Start Date]="","",IF(Table1[Start Date]&gt;42735,"",IF(AND(Table1[Leaving Date]&gt;1,Table1[Leaving Date]&lt;42644),"",1)))</f>
        <v/>
      </c>
      <c r="DW378" s="92" t="str">
        <f>IF(Table1[Start Date]="","",IF(Table1[Start Date]&gt;42825,"",IF(AND(Table1[Leaving Date]&gt;1,Table1[Leaving Date]&lt;42736),"",1)))</f>
        <v/>
      </c>
      <c r="DX378"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378" s="44" t="e">
        <f>VLOOKUP(Table1[Referral Source],Lists!$G$2:$H$20,2,FALSE)</f>
        <v>#N/A</v>
      </c>
      <c r="DZ378" s="93" t="e">
        <f>SUM(Table1[Data Referral Quarter]+Table1[Data Referral Source])</f>
        <v>#N/A</v>
      </c>
      <c r="EA378" s="44" t="b">
        <f>IF(Table1[Referral Decision]="Accepted",100,IF(Table1[Referral Decision]="Rejected by Provider",200,IF(Table1[Referral Decision]="Rejected by Applicant",300)))</f>
        <v>0</v>
      </c>
      <c r="EB378" s="44">
        <f>SUM(Table1[Data Referral Quarter]+Table1[Data Referral Decision])</f>
        <v>0</v>
      </c>
      <c r="EC378" s="44" t="b">
        <f>IF(Table1[Start Date]&gt;42735,8000,IF(Table1[Start Date]&gt;42643,7000,IF(Table1[Start Date]&gt;42551,6000,IF(Table1[Start Date]&gt;42460,5000,IF(Table1[Start Date]&gt;42369,4000,IF(Table1[Start Date]&gt;42277,3000,IF(Table1[Start Date]&gt;42185,2000,IF(Table1[Start Date]&gt;42094,1000))))))))</f>
        <v>0</v>
      </c>
      <c r="ED378" s="44" t="str">
        <f>IF(Table1[Start Date]="","",IF(Table1[Current Local Authority]="Swindon",1,"2"))</f>
        <v/>
      </c>
      <c r="EE378" s="44" t="e">
        <f>SUM(Table1[Data Start Date]+Table1[Data Local Authority])</f>
        <v>#VALUE!</v>
      </c>
      <c r="EF378" s="44">
        <f>IF(Table1[Registered with GP]="Yes",1,0)</f>
        <v>0</v>
      </c>
      <c r="EG378" s="44">
        <f>SUM(Table1[Data Start Date]+Table1[Data GP Start])</f>
        <v>0</v>
      </c>
      <c r="EH378" s="44" t="str">
        <f>IF(Table1[EET]="NEET",1,IF(Table1[EET]="Education",2,IF(Table1[EET]="Employment",2,IF(Table1[EET]="Training",2,IF(Table1[EET]="Retired",3,"")))))</f>
        <v/>
      </c>
      <c r="EI378" s="44" t="e">
        <f>Table1[Data Start Date]+Table1[Data EET Start]</f>
        <v>#VALUE!</v>
      </c>
      <c r="EJ378" s="44" t="b">
        <f>IF(Table1[Leaving Date]&gt;42735,8000,IF(Table1[Leaving Date]&gt;42643,7000,IF(Table1[Leaving Date]&gt;42551,6000,IF(Table1[Leaving Date]&gt;42460,5000,IF(Table1[Leaving Date]&gt;42369,4000,IF(Table1[Leaving Date]&gt;42277,3000,IF(Table1[Leaving Date]&gt;42185,2000,IF(Table1[Leaving Date]&gt;42094,1000))))))))</f>
        <v>0</v>
      </c>
      <c r="EK378" s="44" t="e">
        <f>VLOOKUP(Table1[Reason for Leaving],Lists!$T$2:$U$15,2,FALSE)</f>
        <v>#N/A</v>
      </c>
      <c r="EL378" s="44" t="e">
        <f>SUM(Table1[Data Leavers Date]+Table1[Data Move On])</f>
        <v>#N/A</v>
      </c>
      <c r="EM378" s="44" t="b">
        <f>IF(Table1[Registered with GP2]="Yes",1,IF(Table1[Registered with GP2]="No",0,IF(Table1[Registered with GP]="Yes",1,IF(Table1[Registered with GP]="No",0))))</f>
        <v>0</v>
      </c>
      <c r="EN378" s="44">
        <f>SUM(Table1[Data Leavers Date]+Table1[Data GP End])</f>
        <v>0</v>
      </c>
      <c r="EO378" s="44" t="str">
        <f>IF(Table1[EET2]="NEET",1,IF(Table1[EET2]="Employment",2,IF(Table1[EET2]="Education",2,IF(Table1[EET2]="Training",2,IF(Table1[EET2]="Retired",3,IF(Table1[EET]="NEET",1,IF(Table1[EET]="Employment",2,IF(Table1[EET]="Education",2,IF(Table1[EET]="Training",2,IF(Table1[EET]="Retired",3,""))))))))))</f>
        <v/>
      </c>
      <c r="EP378" s="44" t="e">
        <f>+Table1[[#This Row],[Data Leavers Date]]+Table1[[#This Row],[Data EET End]]</f>
        <v>#VALUE!</v>
      </c>
      <c r="EQ378" s="44">
        <f>IF(Table1[Exit Form Received]="Yes",1,0)</f>
        <v>0</v>
      </c>
      <c r="ER378" s="44">
        <f>+Table1[[#This Row],[Data Leavers Date]]+Table1[[#This Row],[Data Exit Forms]]</f>
        <v>0</v>
      </c>
      <c r="ES378" s="44" t="str">
        <f>IF(Table1[Data Leavers Date]=1000,SUM(Table1[Leaving Date]-Table1[Start Date]),"")</f>
        <v/>
      </c>
      <c r="ET378" s="44" t="str">
        <f>IF(Table1[Data Leavers Date]=2000,SUM(Table1[Leaving Date]-Table1[Start Date]),"")</f>
        <v/>
      </c>
      <c r="EU378" s="44" t="str">
        <f>IF(Table1[Data Leavers Date]=3000,SUM(Table1[Leaving Date]-Table1[Start Date]),"")</f>
        <v/>
      </c>
      <c r="EV378" s="44" t="str">
        <f>IF(Table1[Data Leavers Date]=4000,SUM(Table1[Leaving Date]-Table1[Start Date]),"")</f>
        <v/>
      </c>
      <c r="EW378" s="44" t="str">
        <f>IF(Table1[Data Leavers Date]=5000,SUM(Table1[Leaving Date]-Table1[Start Date]),"")</f>
        <v/>
      </c>
      <c r="EX378" s="44" t="str">
        <f>IF(Table1[Data Leavers Date]=6000,SUM(Table1[Leaving Date]-Table1[Start Date]),"")</f>
        <v/>
      </c>
      <c r="EY378" s="44" t="str">
        <f>IF(Table1[Data Leavers Date]=7000,SUM(Table1[Leaving Date]-Table1[Start Date]),"")</f>
        <v/>
      </c>
      <c r="EZ378" s="44" t="str">
        <f>IF(Table1[Data Leavers Date]=8000,SUM(Table1[Leaving Date]-Table1[Start Date]),"")</f>
        <v/>
      </c>
      <c r="FA378" s="44" t="str">
        <f>IF(Table1[Date of Initial Assessment]="","",IF(AND(Table1[Start Date]&gt;42094,Table1[Start Date]&lt;42461),Table1[Motivation and Taking Responsibility],""))</f>
        <v/>
      </c>
      <c r="FB378" s="44" t="str">
        <f>IF(Table1[Date of Initial Assessment]="","",IF(AND(Table1[Start Date]&gt;42094,Table1[Start Date]&lt;42461),Table1[Self-Care and Living Skills],""))</f>
        <v/>
      </c>
      <c r="FC378" s="44" t="str">
        <f>IF(Table1[Date of Initial Assessment]="","",IF(AND(Table1[Start Date]&gt;42094,Table1[Start Date]&lt;42461),Table1[Managing Money and Personal Administration],""))</f>
        <v/>
      </c>
      <c r="FD378" s="44" t="str">
        <f>IF(Table1[Date of Initial Assessment]="","",IF(AND(Table1[Start Date]&gt;42094,Table1[Start Date]&lt;42461),Table1[Social Networks and Relationships],""))</f>
        <v/>
      </c>
      <c r="FE378" s="44" t="str">
        <f>IF(Table1[Date of Initial Assessment]="","",IF(AND(Table1[Start Date]&gt;42094,Table1[Start Date]&lt;42461),Table1[Drug and Alcohol Misuse],""))</f>
        <v/>
      </c>
      <c r="FF378" s="44" t="str">
        <f>IF(Table1[Date of Initial Assessment]="","",IF(AND(Table1[Start Date]&gt;42094,Table1[Start Date]&lt;42461),Table1[Physical Health],""))</f>
        <v/>
      </c>
      <c r="FG378" s="44" t="str">
        <f>IF(Table1[Date of Initial Assessment]="","",IF(AND(Table1[Start Date]&gt;42094,Table1[Start Date]&lt;42461),Table1[Emotional and Mental Health],""))</f>
        <v/>
      </c>
      <c r="FH378" s="44" t="str">
        <f>IF(Table1[Date of Initial Assessment]="","",IF(AND(Table1[Start Date]&gt;42094,Table1[Start Date]&lt;42461),Table1[Meaningful Use of Time],""))</f>
        <v/>
      </c>
      <c r="FI378" s="44" t="str">
        <f>IF(Table1[Date of Initial Assessment]="","",IF(AND(Table1[Start Date]&gt;42094,Table1[Start Date]&lt;42461),Table1[Managing Tenancy and Accommodation],""))</f>
        <v/>
      </c>
      <c r="FJ378" s="44" t="str">
        <f>IF(Table1[Date of Initial Assessment]="","",IF(AND(Table1[Start Date]&gt;42094,Table1[Start Date]&lt;42461),Table1[Offending],""))</f>
        <v/>
      </c>
      <c r="FK378" s="44" t="str">
        <f>IF(Table1[Leaving Date]="","",IF(Table1[Date of Initial Assessment]="","",IF(AND(Table1[Leaving Date]&gt;42094,Table1[Leaving Date]&lt;42461),IF(Table1[Date of Last Assessment]="",Table1[Motivation and Taking Responsibility],Table1[Motivation and Taking Responsibility2]),"")))</f>
        <v/>
      </c>
      <c r="FL378" s="44" t="str">
        <f>IF(Table1[Leaving Date]="","",IF(Table1[Date of Initial Assessment]="","",IF(AND(Table1[Leaving Date]&gt;42094,Table1[Leaving Date]&lt;42461),IF(Table1[Date of Last Assessment]="",Table1[Self-Care and Living Skills],Table1[Self-Care and Living Skills2]),"")))</f>
        <v/>
      </c>
      <c r="FM378" s="44" t="str">
        <f>IF(Table1[Leaving Date]="","",IF(Table1[Date of Initial Assessment]="","",IF(AND(Table1[Leaving Date]&gt;42094,Table1[Leaving Date]&lt;42461),IF(Table1[Date of Last Assessment]="",Table1[Managing Money and Personal Administration],Table1[Managing Money and Personal Administration2]),"")))</f>
        <v/>
      </c>
      <c r="FN378" s="44" t="str">
        <f>IF(Table1[Leaving Date]="","",IF(Table1[Date of Initial Assessment]="","",IF(AND(Table1[Leaving Date]&gt;42094,Table1[Leaving Date]&lt;42461),IF(Table1[Date of Last Assessment]="",Table1[Social Networks and Relationships],Table1[Social Networks and Relationships2]),"")))</f>
        <v/>
      </c>
      <c r="FO378" s="44" t="str">
        <f>IF(Table1[Leaving Date]="","",IF(Table1[Date of Initial Assessment]="","",IF(AND(Table1[Leaving Date]&gt;42094,Table1[Leaving Date]&lt;42461),IF(Table1[Date of Last Assessment]="",Table1[Drug and Alcohol Misuse],Table1[Drug and Alcohol Misuse2]),"")))</f>
        <v/>
      </c>
      <c r="FP378" s="44" t="str">
        <f>IF(Table1[Leaving Date]="","",IF(Table1[Date of Initial Assessment]="","",IF(AND(Table1[Leaving Date]&gt;42094,Table1[Leaving Date]&lt;42461),IF(Table1[Date of Last Assessment]="",Table1[Physical Health],Table1[Physical Health2]),"")))</f>
        <v/>
      </c>
      <c r="FQ378" s="44" t="str">
        <f>IF(Table1[Leaving Date]="","",IF(Table1[Date of Initial Assessment]="","",IF(AND(Table1[Leaving Date]&gt;42094,Table1[Leaving Date]&lt;42461),IF(Table1[Date of Last Assessment]="",Table1[Emotional and Mental Health],Table1[Emotional and Mental Health2]),"")))</f>
        <v/>
      </c>
      <c r="FR378" s="44" t="str">
        <f>IF(Table1[Leaving Date]="","",IF(Table1[Date of Initial Assessment]="","",IF(AND(Table1[Leaving Date]&gt;42094,Table1[Leaving Date]&lt;42461),IF(Table1[Date of Last Assessment]="",Table1[Meaningful Use of Time],Table1[Meaningful Use of Time2]),"")))</f>
        <v/>
      </c>
      <c r="FS378" s="44" t="str">
        <f>IF(Table1[Leaving Date]="","",IF(Table1[Date of Initial Assessment]="","",IF(AND(Table1[Leaving Date]&gt;42094,Table1[Leaving Date]&lt;42461),IF(Table1[Date of Last Assessment]="",Table1[Managing Tenancy and Accommodation],Table1[Managing Tenancy and Accommodation2]),"")))</f>
        <v/>
      </c>
      <c r="FT378" s="44" t="str">
        <f>IF(Table1[Leaving Date]="","",IF(Table1[Date of Initial Assessment]="","",IF(AND(Table1[Leaving Date]&gt;42094,Table1[Leaving Date]&lt;42461),IF(Table1[Date of Last Assessment]="",Table1[Offending],Table1[Offending2]),"")))</f>
        <v/>
      </c>
      <c r="FU378" s="44" t="str">
        <f>IF(Table1[Date of Initial Assessment]="","",IF(AND(Table1[Start Date]&gt;42460,Table1[Start Date]&lt;42826),Table1[Motivation and Taking Responsibility],""))</f>
        <v/>
      </c>
      <c r="FV378" s="44" t="str">
        <f>IF(Table1[Date of Initial Assessment]="","",IF(AND(Table1[Start Date]&gt;42460,Table1[Start Date]&lt;42826),Table1[Self-Care and Living Skills],""))</f>
        <v/>
      </c>
      <c r="FW378" s="44" t="str">
        <f>IF(Table1[Date of Initial Assessment]="","",IF(AND(Table1[Start Date]&gt;42460,Table1[Start Date]&lt;42826),Table1[Managing Money and Personal Administration],""))</f>
        <v/>
      </c>
      <c r="FX378" s="44" t="str">
        <f>IF(Table1[Date of Initial Assessment]="","",IF(AND(Table1[Start Date]&gt;42460,Table1[Start Date]&lt;42826),Table1[Social Networks and Relationships],""))</f>
        <v/>
      </c>
      <c r="FY378" s="44" t="str">
        <f>IF(Table1[Date of Initial Assessment]="","",IF(AND(Table1[Start Date]&gt;42460,Table1[Start Date]&lt;42826),Table1[Drug and Alcohol Misuse],""))</f>
        <v/>
      </c>
      <c r="FZ378" s="44" t="str">
        <f>IF(Table1[Date of Initial Assessment]="","",IF(AND(Table1[Start Date]&gt;42460,Table1[Start Date]&lt;42826),Table1[Physical Health],""))</f>
        <v/>
      </c>
      <c r="GA378" s="44" t="str">
        <f>IF(Table1[Date of Initial Assessment]="","",IF(AND(Table1[Start Date]&gt;42460,Table1[Start Date]&lt;42826),Table1[Emotional and Mental Health],""))</f>
        <v/>
      </c>
      <c r="GB378" s="44" t="str">
        <f>IF(Table1[Date of Initial Assessment]="","",IF(AND(Table1[Start Date]&gt;42460,Table1[Start Date]&lt;42826),Table1[Meaningful Use of Time],""))</f>
        <v/>
      </c>
      <c r="GC378" s="44" t="str">
        <f>IF(Table1[Date of Initial Assessment]="","",IF(AND(Table1[Start Date]&gt;42460,Table1[Start Date]&lt;42826),Table1[Managing Tenancy and Accommodation],""))</f>
        <v/>
      </c>
      <c r="GD378" s="44" t="str">
        <f>IF(Table1[Date of Initial Assessment]="","",IF(AND(Table1[Start Date]&gt;42460,Table1[Start Date]&lt;42826),Table1[Offending],""))</f>
        <v/>
      </c>
      <c r="GE378" s="44" t="str">
        <f>IF(Table1[Leaving Date]="","",IF(AND(Table1[Leaving Date]&gt;42460,Table1[Leaving Date]&lt;42826),IF(Table1[Date of Last Assessment]="",Table1[Motivation and Taking Responsibility],Table1[Motivation and Taking Responsibility2]),""))</f>
        <v/>
      </c>
      <c r="GF378" s="44" t="str">
        <f>IF(Table1[Leaving Date]="","",IF(AND(Table1[Leaving Date]&gt;42460,Table1[Leaving Date]&lt;42826),IF(Table1[Date of Last Assessment]="",Table1[Self-Care and Living Skills],Table1[Self-Care and Living Skills2]),""))</f>
        <v/>
      </c>
      <c r="GG378" s="44" t="str">
        <f>IF(Table1[Leaving Date]="","",IF(AND(Table1[Leaving Date]&gt;42460,Table1[Leaving Date]&lt;42826),IF(Table1[Date of Last Assessment]="",Table1[Managing Money and Personal Administration],Table1[Managing Money and Personal Administration2]),""))</f>
        <v/>
      </c>
      <c r="GH378" s="44" t="str">
        <f>IF(Table1[Leaving Date]="","",IF(AND(Table1[Leaving Date]&gt;42460,Table1[Leaving Date]&lt;42826),IF(Table1[Date of Last Assessment]="",Table1[Social Networks and Relationships],Table1[Social Networks and Relationships2]),""))</f>
        <v/>
      </c>
      <c r="GI378" s="44" t="str">
        <f>IF(Table1[Leaving Date]="","",IF(AND(Table1[Leaving Date]&gt;42460,Table1[Leaving Date]&lt;42826),IF(Table1[Date of Last Assessment]="",Table1[Drug and Alcohol Misuse],Table1[Drug and Alcohol Misuse2]),""))</f>
        <v/>
      </c>
      <c r="GJ378" s="44" t="str">
        <f>IF(Table1[Leaving Date]="","",IF(AND(Table1[Leaving Date]&gt;42460,Table1[Leaving Date]&lt;42826),IF(Table1[Date of Last Assessment]="",Table1[Physical Health],Table1[Physical Health2]),""))</f>
        <v/>
      </c>
      <c r="GK378" s="44" t="str">
        <f>IF(Table1[Leaving Date]="","",IF(AND(Table1[Leaving Date]&gt;42460,Table1[Leaving Date]&lt;42826),IF(Table1[Date of Last Assessment]="",Table1[Emotional and Mental Health],Table1[Emotional and Mental Health2]),""))</f>
        <v/>
      </c>
      <c r="GL378" s="44" t="str">
        <f>IF(Table1[Leaving Date]="","",IF(AND(Table1[Leaving Date]&gt;42460,Table1[Leaving Date]&lt;42826),IF(Table1[Date of Last Assessment]="",Table1[Meaningful Use of Time],Table1[Meaningful Use of Time2]),""))</f>
        <v/>
      </c>
      <c r="GM378" s="44" t="str">
        <f>IF(Table1[Leaving Date]="","",IF(AND(Table1[Leaving Date]&gt;42460,Table1[Leaving Date]&lt;42826),IF(Table1[Date of Last Assessment]="",Table1[Managing Tenancy and Accommodation],Table1[Managing Tenancy and Accommodation2]),""))</f>
        <v/>
      </c>
      <c r="GN378" s="44" t="str">
        <f>IF(Table1[Leaving Date]="","",IF(AND(Table1[Leaving Date]&gt;42460,Table1[Leaving Date]&lt;42826),IF(Table1[Date of Last Assessment]="",Table1[Offending],Table1[Offending2]),""))</f>
        <v/>
      </c>
    </row>
    <row r="379" spans="2:196" ht="20.100000000000001" customHeight="1" x14ac:dyDescent="0.2">
      <c r="B379" s="86">
        <f>+'Service Data'!$C$5:$C$5</f>
        <v>0</v>
      </c>
      <c r="C379" s="86"/>
      <c r="D379" s="86"/>
      <c r="E379" s="86"/>
      <c r="F379" s="86"/>
      <c r="G379" s="86"/>
      <c r="H379" s="6"/>
      <c r="I379" s="99" t="str">
        <f ca="1">IF(Table1[[#This Row],[Date of Birth]]="","",SUM(TODAY()-Table1[[#This Row],[Date of Birth]])/365)</f>
        <v/>
      </c>
      <c r="L379" s="86"/>
      <c r="M379" s="77"/>
      <c r="N379" s="86"/>
      <c r="O379" s="86"/>
      <c r="P379" s="91"/>
      <c r="Q379" s="86"/>
      <c r="R379" s="77"/>
      <c r="S379" s="77"/>
      <c r="T379" s="68"/>
      <c r="U379" s="68"/>
      <c r="V379" s="67"/>
      <c r="W379" s="67"/>
      <c r="X379" s="67"/>
      <c r="Y379" s="67"/>
      <c r="Z379" s="67"/>
      <c r="AA379" s="67"/>
      <c r="AB379" s="67"/>
      <c r="AC379" s="67"/>
      <c r="AD379" s="67"/>
      <c r="AE379" s="67"/>
      <c r="AF379" s="67"/>
      <c r="AG379" s="67"/>
      <c r="AH379" s="67"/>
      <c r="AI379" s="67"/>
      <c r="AJ379" s="67"/>
      <c r="AK379" s="67"/>
      <c r="AL379" s="67"/>
      <c r="AM379" s="67"/>
      <c r="AN379" s="77"/>
      <c r="AO379" s="76"/>
      <c r="AP379" s="77"/>
      <c r="AQ379" s="76"/>
      <c r="AR379" s="76"/>
      <c r="AS379" s="76"/>
      <c r="AT379" s="76"/>
      <c r="AU379" s="76"/>
      <c r="AV379" s="77"/>
      <c r="AW379" s="76"/>
      <c r="AX379" s="77"/>
      <c r="AY379" s="76"/>
      <c r="AZ379" s="76"/>
      <c r="BA379" s="76"/>
      <c r="BB379" s="76"/>
      <c r="BC379" s="76"/>
      <c r="BD379" s="77"/>
      <c r="BE379" s="76"/>
      <c r="BF379" s="77"/>
      <c r="BG379" s="76"/>
      <c r="BH379" s="76"/>
      <c r="BI379" s="76"/>
      <c r="BJ379" s="76"/>
      <c r="BK379" s="76"/>
      <c r="BL379" s="77"/>
      <c r="BM379" s="76"/>
      <c r="BN379" s="77"/>
      <c r="BO379" s="76"/>
      <c r="BP379" s="76"/>
      <c r="BQ379" s="76"/>
      <c r="BR379" s="76"/>
      <c r="BS379" s="76"/>
      <c r="BT379" s="77"/>
      <c r="BU379" s="76"/>
      <c r="BV379" s="77"/>
      <c r="BW379" s="76"/>
      <c r="BX379" s="76"/>
      <c r="BY379" s="76"/>
      <c r="BZ379" s="76"/>
      <c r="CA379" s="76"/>
      <c r="CB379" s="77"/>
      <c r="CC379" s="76"/>
      <c r="CD379" s="77"/>
      <c r="CE379" s="76"/>
      <c r="CF379" s="76"/>
      <c r="CG379" s="76"/>
      <c r="CH379" s="76"/>
      <c r="CI379" s="76"/>
      <c r="CJ379" s="77"/>
      <c r="CK379" s="76"/>
      <c r="CL379" s="77"/>
      <c r="CM379" s="76"/>
      <c r="CN379" s="76"/>
      <c r="CO379" s="76"/>
      <c r="CP379" s="76"/>
      <c r="CQ379" s="76"/>
      <c r="CR379" s="78" t="str">
        <f t="shared" si="95"/>
        <v/>
      </c>
      <c r="CS379" s="79" t="str">
        <f t="shared" si="96"/>
        <v/>
      </c>
      <c r="CT379" s="79" t="str">
        <f t="shared" si="97"/>
        <v/>
      </c>
      <c r="CU379" s="79" t="str">
        <f t="shared" si="98"/>
        <v/>
      </c>
      <c r="CV379" s="79" t="str">
        <f t="shared" si="99"/>
        <v/>
      </c>
      <c r="CW379" s="79" t="str">
        <f t="shared" si="100"/>
        <v/>
      </c>
      <c r="CX379" s="79" t="str">
        <f t="shared" si="101"/>
        <v/>
      </c>
      <c r="CY379" s="79" t="str">
        <f t="shared" si="102"/>
        <v/>
      </c>
      <c r="CZ379" s="79" t="str">
        <f t="shared" si="103"/>
        <v/>
      </c>
      <c r="DA379" s="79" t="str">
        <f t="shared" si="104"/>
        <v/>
      </c>
      <c r="DB379" s="79" t="str">
        <f t="shared" si="105"/>
        <v/>
      </c>
      <c r="DC379" s="79" t="str">
        <f t="shared" si="106"/>
        <v/>
      </c>
      <c r="DD379" s="79" t="str">
        <f t="shared" si="107"/>
        <v/>
      </c>
      <c r="DE379" s="79" t="str">
        <f t="shared" si="108"/>
        <v/>
      </c>
      <c r="DF379" s="79" t="str">
        <f t="shared" si="109"/>
        <v/>
      </c>
      <c r="DG379" s="79" t="str">
        <f t="shared" si="110"/>
        <v/>
      </c>
      <c r="DH379" s="76"/>
      <c r="DI379" s="78"/>
      <c r="DJ379" s="76"/>
      <c r="DK379" s="77"/>
      <c r="DL379" s="77"/>
      <c r="DM379" s="77"/>
      <c r="DN379" s="80"/>
      <c r="DO379" s="80"/>
      <c r="DP379" s="92" t="str">
        <f>IF(Table1[Start Date]="","",IF(Table1[Start Date]&gt;42185,"",IF(AND(Table1[Leaving Date]&gt;1,Table1[Leaving Date]&lt;42095),"",1)))</f>
        <v/>
      </c>
      <c r="DQ379" s="92" t="str">
        <f>IF(Table1[Start Date]="","",IF(Table1[Start Date]&gt;42277,"",IF(AND(Table1[Leaving Date]&gt;1,Table1[Leaving Date]&lt;42186),"",1)))</f>
        <v/>
      </c>
      <c r="DR379" s="92" t="str">
        <f>IF(Table1[Start Date]="","",IF(Table1[Start Date]&gt;42369,"",IF(AND(Table1[Leaving Date]&gt;1,Table1[Leaving Date]&lt;42278),"",1)))</f>
        <v/>
      </c>
      <c r="DS379" s="92" t="str">
        <f>IF(Table1[Start Date]="","",IF(Table1[Start Date]&gt;42460,"",IF(AND(Table1[Leaving Date]&gt;1,Table1[Leaving Date]&lt;42370),"",1)))</f>
        <v/>
      </c>
      <c r="DT379" s="92" t="str">
        <f>IF(Table1[Start Date]="","",IF(Table1[Start Date]&gt;42551,"",IF(AND(Table1[Leaving Date]&gt;1,Table1[Leaving Date]&lt;42461),"",1)))</f>
        <v/>
      </c>
      <c r="DU379" s="92" t="str">
        <f>IF(Table1[Start Date]="","",IF(Table1[Start Date]&gt;42643,"",IF(AND(Table1[Leaving Date]&gt;1,Table1[Leaving Date]&lt;42552),"",1)))</f>
        <v/>
      </c>
      <c r="DV379" s="92" t="str">
        <f>IF(Table1[Start Date]="","",IF(Table1[Start Date]&gt;42735,"",IF(AND(Table1[Leaving Date]&gt;1,Table1[Leaving Date]&lt;42644),"",1)))</f>
        <v/>
      </c>
      <c r="DW379" s="92" t="str">
        <f>IF(Table1[Start Date]="","",IF(Table1[Start Date]&gt;42825,"",IF(AND(Table1[Leaving Date]&gt;1,Table1[Leaving Date]&lt;42736),"",1)))</f>
        <v/>
      </c>
      <c r="DX379"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379" s="44" t="e">
        <f>VLOOKUP(Table1[Referral Source],Lists!$G$2:$H$20,2,FALSE)</f>
        <v>#N/A</v>
      </c>
      <c r="DZ379" s="93" t="e">
        <f>SUM(Table1[Data Referral Quarter]+Table1[Data Referral Source])</f>
        <v>#N/A</v>
      </c>
      <c r="EA379" s="44" t="b">
        <f>IF(Table1[Referral Decision]="Accepted",100,IF(Table1[Referral Decision]="Rejected by Provider",200,IF(Table1[Referral Decision]="Rejected by Applicant",300)))</f>
        <v>0</v>
      </c>
      <c r="EB379" s="44">
        <f>SUM(Table1[Data Referral Quarter]+Table1[Data Referral Decision])</f>
        <v>0</v>
      </c>
      <c r="EC379" s="44" t="b">
        <f>IF(Table1[Start Date]&gt;42735,8000,IF(Table1[Start Date]&gt;42643,7000,IF(Table1[Start Date]&gt;42551,6000,IF(Table1[Start Date]&gt;42460,5000,IF(Table1[Start Date]&gt;42369,4000,IF(Table1[Start Date]&gt;42277,3000,IF(Table1[Start Date]&gt;42185,2000,IF(Table1[Start Date]&gt;42094,1000))))))))</f>
        <v>0</v>
      </c>
      <c r="ED379" s="44" t="str">
        <f>IF(Table1[Start Date]="","",IF(Table1[Current Local Authority]="Swindon",1,"2"))</f>
        <v/>
      </c>
      <c r="EE379" s="44" t="e">
        <f>SUM(Table1[Data Start Date]+Table1[Data Local Authority])</f>
        <v>#VALUE!</v>
      </c>
      <c r="EF379" s="44">
        <f>IF(Table1[Registered with GP]="Yes",1,0)</f>
        <v>0</v>
      </c>
      <c r="EG379" s="44">
        <f>SUM(Table1[Data Start Date]+Table1[Data GP Start])</f>
        <v>0</v>
      </c>
      <c r="EH379" s="44" t="str">
        <f>IF(Table1[EET]="NEET",1,IF(Table1[EET]="Education",2,IF(Table1[EET]="Employment",2,IF(Table1[EET]="Training",2,IF(Table1[EET]="Retired",3,"")))))</f>
        <v/>
      </c>
      <c r="EI379" s="44" t="e">
        <f>Table1[Data Start Date]+Table1[Data EET Start]</f>
        <v>#VALUE!</v>
      </c>
      <c r="EJ379" s="44" t="b">
        <f>IF(Table1[Leaving Date]&gt;42735,8000,IF(Table1[Leaving Date]&gt;42643,7000,IF(Table1[Leaving Date]&gt;42551,6000,IF(Table1[Leaving Date]&gt;42460,5000,IF(Table1[Leaving Date]&gt;42369,4000,IF(Table1[Leaving Date]&gt;42277,3000,IF(Table1[Leaving Date]&gt;42185,2000,IF(Table1[Leaving Date]&gt;42094,1000))))))))</f>
        <v>0</v>
      </c>
      <c r="EK379" s="44" t="e">
        <f>VLOOKUP(Table1[Reason for Leaving],Lists!$T$2:$U$15,2,FALSE)</f>
        <v>#N/A</v>
      </c>
      <c r="EL379" s="44" t="e">
        <f>SUM(Table1[Data Leavers Date]+Table1[Data Move On])</f>
        <v>#N/A</v>
      </c>
      <c r="EM379" s="44" t="b">
        <f>IF(Table1[Registered with GP2]="Yes",1,IF(Table1[Registered with GP2]="No",0,IF(Table1[Registered with GP]="Yes",1,IF(Table1[Registered with GP]="No",0))))</f>
        <v>0</v>
      </c>
      <c r="EN379" s="44">
        <f>SUM(Table1[Data Leavers Date]+Table1[Data GP End])</f>
        <v>0</v>
      </c>
      <c r="EO379" s="44" t="str">
        <f>IF(Table1[EET2]="NEET",1,IF(Table1[EET2]="Employment",2,IF(Table1[EET2]="Education",2,IF(Table1[EET2]="Training",2,IF(Table1[EET2]="Retired",3,IF(Table1[EET]="NEET",1,IF(Table1[EET]="Employment",2,IF(Table1[EET]="Education",2,IF(Table1[EET]="Training",2,IF(Table1[EET]="Retired",3,""))))))))))</f>
        <v/>
      </c>
      <c r="EP379" s="44" t="e">
        <f>+Table1[[#This Row],[Data Leavers Date]]+Table1[[#This Row],[Data EET End]]</f>
        <v>#VALUE!</v>
      </c>
      <c r="EQ379" s="44">
        <f>IF(Table1[Exit Form Received]="Yes",1,0)</f>
        <v>0</v>
      </c>
      <c r="ER379" s="44">
        <f>+Table1[[#This Row],[Data Leavers Date]]+Table1[[#This Row],[Data Exit Forms]]</f>
        <v>0</v>
      </c>
      <c r="ES379" s="44" t="str">
        <f>IF(Table1[Data Leavers Date]=1000,SUM(Table1[Leaving Date]-Table1[Start Date]),"")</f>
        <v/>
      </c>
      <c r="ET379" s="44" t="str">
        <f>IF(Table1[Data Leavers Date]=2000,SUM(Table1[Leaving Date]-Table1[Start Date]),"")</f>
        <v/>
      </c>
      <c r="EU379" s="44" t="str">
        <f>IF(Table1[Data Leavers Date]=3000,SUM(Table1[Leaving Date]-Table1[Start Date]),"")</f>
        <v/>
      </c>
      <c r="EV379" s="44" t="str">
        <f>IF(Table1[Data Leavers Date]=4000,SUM(Table1[Leaving Date]-Table1[Start Date]),"")</f>
        <v/>
      </c>
      <c r="EW379" s="44" t="str">
        <f>IF(Table1[Data Leavers Date]=5000,SUM(Table1[Leaving Date]-Table1[Start Date]),"")</f>
        <v/>
      </c>
      <c r="EX379" s="44" t="str">
        <f>IF(Table1[Data Leavers Date]=6000,SUM(Table1[Leaving Date]-Table1[Start Date]),"")</f>
        <v/>
      </c>
      <c r="EY379" s="44" t="str">
        <f>IF(Table1[Data Leavers Date]=7000,SUM(Table1[Leaving Date]-Table1[Start Date]),"")</f>
        <v/>
      </c>
      <c r="EZ379" s="44" t="str">
        <f>IF(Table1[Data Leavers Date]=8000,SUM(Table1[Leaving Date]-Table1[Start Date]),"")</f>
        <v/>
      </c>
      <c r="FA379" s="44" t="str">
        <f>IF(Table1[Date of Initial Assessment]="","",IF(AND(Table1[Start Date]&gt;42094,Table1[Start Date]&lt;42461),Table1[Motivation and Taking Responsibility],""))</f>
        <v/>
      </c>
      <c r="FB379" s="44" t="str">
        <f>IF(Table1[Date of Initial Assessment]="","",IF(AND(Table1[Start Date]&gt;42094,Table1[Start Date]&lt;42461),Table1[Self-Care and Living Skills],""))</f>
        <v/>
      </c>
      <c r="FC379" s="44" t="str">
        <f>IF(Table1[Date of Initial Assessment]="","",IF(AND(Table1[Start Date]&gt;42094,Table1[Start Date]&lt;42461),Table1[Managing Money and Personal Administration],""))</f>
        <v/>
      </c>
      <c r="FD379" s="44" t="str">
        <f>IF(Table1[Date of Initial Assessment]="","",IF(AND(Table1[Start Date]&gt;42094,Table1[Start Date]&lt;42461),Table1[Social Networks and Relationships],""))</f>
        <v/>
      </c>
      <c r="FE379" s="44" t="str">
        <f>IF(Table1[Date of Initial Assessment]="","",IF(AND(Table1[Start Date]&gt;42094,Table1[Start Date]&lt;42461),Table1[Drug and Alcohol Misuse],""))</f>
        <v/>
      </c>
      <c r="FF379" s="44" t="str">
        <f>IF(Table1[Date of Initial Assessment]="","",IF(AND(Table1[Start Date]&gt;42094,Table1[Start Date]&lt;42461),Table1[Physical Health],""))</f>
        <v/>
      </c>
      <c r="FG379" s="44" t="str">
        <f>IF(Table1[Date of Initial Assessment]="","",IF(AND(Table1[Start Date]&gt;42094,Table1[Start Date]&lt;42461),Table1[Emotional and Mental Health],""))</f>
        <v/>
      </c>
      <c r="FH379" s="44" t="str">
        <f>IF(Table1[Date of Initial Assessment]="","",IF(AND(Table1[Start Date]&gt;42094,Table1[Start Date]&lt;42461),Table1[Meaningful Use of Time],""))</f>
        <v/>
      </c>
      <c r="FI379" s="44" t="str">
        <f>IF(Table1[Date of Initial Assessment]="","",IF(AND(Table1[Start Date]&gt;42094,Table1[Start Date]&lt;42461),Table1[Managing Tenancy and Accommodation],""))</f>
        <v/>
      </c>
      <c r="FJ379" s="44" t="str">
        <f>IF(Table1[Date of Initial Assessment]="","",IF(AND(Table1[Start Date]&gt;42094,Table1[Start Date]&lt;42461),Table1[Offending],""))</f>
        <v/>
      </c>
      <c r="FK379" s="44" t="str">
        <f>IF(Table1[Leaving Date]="","",IF(Table1[Date of Initial Assessment]="","",IF(AND(Table1[Leaving Date]&gt;42094,Table1[Leaving Date]&lt;42461),IF(Table1[Date of Last Assessment]="",Table1[Motivation and Taking Responsibility],Table1[Motivation and Taking Responsibility2]),"")))</f>
        <v/>
      </c>
      <c r="FL379" s="44" t="str">
        <f>IF(Table1[Leaving Date]="","",IF(Table1[Date of Initial Assessment]="","",IF(AND(Table1[Leaving Date]&gt;42094,Table1[Leaving Date]&lt;42461),IF(Table1[Date of Last Assessment]="",Table1[Self-Care and Living Skills],Table1[Self-Care and Living Skills2]),"")))</f>
        <v/>
      </c>
      <c r="FM379" s="44" t="str">
        <f>IF(Table1[Leaving Date]="","",IF(Table1[Date of Initial Assessment]="","",IF(AND(Table1[Leaving Date]&gt;42094,Table1[Leaving Date]&lt;42461),IF(Table1[Date of Last Assessment]="",Table1[Managing Money and Personal Administration],Table1[Managing Money and Personal Administration2]),"")))</f>
        <v/>
      </c>
      <c r="FN379" s="44" t="str">
        <f>IF(Table1[Leaving Date]="","",IF(Table1[Date of Initial Assessment]="","",IF(AND(Table1[Leaving Date]&gt;42094,Table1[Leaving Date]&lt;42461),IF(Table1[Date of Last Assessment]="",Table1[Social Networks and Relationships],Table1[Social Networks and Relationships2]),"")))</f>
        <v/>
      </c>
      <c r="FO379" s="44" t="str">
        <f>IF(Table1[Leaving Date]="","",IF(Table1[Date of Initial Assessment]="","",IF(AND(Table1[Leaving Date]&gt;42094,Table1[Leaving Date]&lt;42461),IF(Table1[Date of Last Assessment]="",Table1[Drug and Alcohol Misuse],Table1[Drug and Alcohol Misuse2]),"")))</f>
        <v/>
      </c>
      <c r="FP379" s="44" t="str">
        <f>IF(Table1[Leaving Date]="","",IF(Table1[Date of Initial Assessment]="","",IF(AND(Table1[Leaving Date]&gt;42094,Table1[Leaving Date]&lt;42461),IF(Table1[Date of Last Assessment]="",Table1[Physical Health],Table1[Physical Health2]),"")))</f>
        <v/>
      </c>
      <c r="FQ379" s="44" t="str">
        <f>IF(Table1[Leaving Date]="","",IF(Table1[Date of Initial Assessment]="","",IF(AND(Table1[Leaving Date]&gt;42094,Table1[Leaving Date]&lt;42461),IF(Table1[Date of Last Assessment]="",Table1[Emotional and Mental Health],Table1[Emotional and Mental Health2]),"")))</f>
        <v/>
      </c>
      <c r="FR379" s="44" t="str">
        <f>IF(Table1[Leaving Date]="","",IF(Table1[Date of Initial Assessment]="","",IF(AND(Table1[Leaving Date]&gt;42094,Table1[Leaving Date]&lt;42461),IF(Table1[Date of Last Assessment]="",Table1[Meaningful Use of Time],Table1[Meaningful Use of Time2]),"")))</f>
        <v/>
      </c>
      <c r="FS379" s="44" t="str">
        <f>IF(Table1[Leaving Date]="","",IF(Table1[Date of Initial Assessment]="","",IF(AND(Table1[Leaving Date]&gt;42094,Table1[Leaving Date]&lt;42461),IF(Table1[Date of Last Assessment]="",Table1[Managing Tenancy and Accommodation],Table1[Managing Tenancy and Accommodation2]),"")))</f>
        <v/>
      </c>
      <c r="FT379" s="44" t="str">
        <f>IF(Table1[Leaving Date]="","",IF(Table1[Date of Initial Assessment]="","",IF(AND(Table1[Leaving Date]&gt;42094,Table1[Leaving Date]&lt;42461),IF(Table1[Date of Last Assessment]="",Table1[Offending],Table1[Offending2]),"")))</f>
        <v/>
      </c>
      <c r="FU379" s="44" t="str">
        <f>IF(Table1[Date of Initial Assessment]="","",IF(AND(Table1[Start Date]&gt;42460,Table1[Start Date]&lt;42826),Table1[Motivation and Taking Responsibility],""))</f>
        <v/>
      </c>
      <c r="FV379" s="44" t="str">
        <f>IF(Table1[Date of Initial Assessment]="","",IF(AND(Table1[Start Date]&gt;42460,Table1[Start Date]&lt;42826),Table1[Self-Care and Living Skills],""))</f>
        <v/>
      </c>
      <c r="FW379" s="44" t="str">
        <f>IF(Table1[Date of Initial Assessment]="","",IF(AND(Table1[Start Date]&gt;42460,Table1[Start Date]&lt;42826),Table1[Managing Money and Personal Administration],""))</f>
        <v/>
      </c>
      <c r="FX379" s="44" t="str">
        <f>IF(Table1[Date of Initial Assessment]="","",IF(AND(Table1[Start Date]&gt;42460,Table1[Start Date]&lt;42826),Table1[Social Networks and Relationships],""))</f>
        <v/>
      </c>
      <c r="FY379" s="44" t="str">
        <f>IF(Table1[Date of Initial Assessment]="","",IF(AND(Table1[Start Date]&gt;42460,Table1[Start Date]&lt;42826),Table1[Drug and Alcohol Misuse],""))</f>
        <v/>
      </c>
      <c r="FZ379" s="44" t="str">
        <f>IF(Table1[Date of Initial Assessment]="","",IF(AND(Table1[Start Date]&gt;42460,Table1[Start Date]&lt;42826),Table1[Physical Health],""))</f>
        <v/>
      </c>
      <c r="GA379" s="44" t="str">
        <f>IF(Table1[Date of Initial Assessment]="","",IF(AND(Table1[Start Date]&gt;42460,Table1[Start Date]&lt;42826),Table1[Emotional and Mental Health],""))</f>
        <v/>
      </c>
      <c r="GB379" s="44" t="str">
        <f>IF(Table1[Date of Initial Assessment]="","",IF(AND(Table1[Start Date]&gt;42460,Table1[Start Date]&lt;42826),Table1[Meaningful Use of Time],""))</f>
        <v/>
      </c>
      <c r="GC379" s="44" t="str">
        <f>IF(Table1[Date of Initial Assessment]="","",IF(AND(Table1[Start Date]&gt;42460,Table1[Start Date]&lt;42826),Table1[Managing Tenancy and Accommodation],""))</f>
        <v/>
      </c>
      <c r="GD379" s="44" t="str">
        <f>IF(Table1[Date of Initial Assessment]="","",IF(AND(Table1[Start Date]&gt;42460,Table1[Start Date]&lt;42826),Table1[Offending],""))</f>
        <v/>
      </c>
      <c r="GE379" s="44" t="str">
        <f>IF(Table1[Leaving Date]="","",IF(AND(Table1[Leaving Date]&gt;42460,Table1[Leaving Date]&lt;42826),IF(Table1[Date of Last Assessment]="",Table1[Motivation and Taking Responsibility],Table1[Motivation and Taking Responsibility2]),""))</f>
        <v/>
      </c>
      <c r="GF379" s="44" t="str">
        <f>IF(Table1[Leaving Date]="","",IF(AND(Table1[Leaving Date]&gt;42460,Table1[Leaving Date]&lt;42826),IF(Table1[Date of Last Assessment]="",Table1[Self-Care and Living Skills],Table1[Self-Care and Living Skills2]),""))</f>
        <v/>
      </c>
      <c r="GG379" s="44" t="str">
        <f>IF(Table1[Leaving Date]="","",IF(AND(Table1[Leaving Date]&gt;42460,Table1[Leaving Date]&lt;42826),IF(Table1[Date of Last Assessment]="",Table1[Managing Money and Personal Administration],Table1[Managing Money and Personal Administration2]),""))</f>
        <v/>
      </c>
      <c r="GH379" s="44" t="str">
        <f>IF(Table1[Leaving Date]="","",IF(AND(Table1[Leaving Date]&gt;42460,Table1[Leaving Date]&lt;42826),IF(Table1[Date of Last Assessment]="",Table1[Social Networks and Relationships],Table1[Social Networks and Relationships2]),""))</f>
        <v/>
      </c>
      <c r="GI379" s="44" t="str">
        <f>IF(Table1[Leaving Date]="","",IF(AND(Table1[Leaving Date]&gt;42460,Table1[Leaving Date]&lt;42826),IF(Table1[Date of Last Assessment]="",Table1[Drug and Alcohol Misuse],Table1[Drug and Alcohol Misuse2]),""))</f>
        <v/>
      </c>
      <c r="GJ379" s="44" t="str">
        <f>IF(Table1[Leaving Date]="","",IF(AND(Table1[Leaving Date]&gt;42460,Table1[Leaving Date]&lt;42826),IF(Table1[Date of Last Assessment]="",Table1[Physical Health],Table1[Physical Health2]),""))</f>
        <v/>
      </c>
      <c r="GK379" s="44" t="str">
        <f>IF(Table1[Leaving Date]="","",IF(AND(Table1[Leaving Date]&gt;42460,Table1[Leaving Date]&lt;42826),IF(Table1[Date of Last Assessment]="",Table1[Emotional and Mental Health],Table1[Emotional and Mental Health2]),""))</f>
        <v/>
      </c>
      <c r="GL379" s="44" t="str">
        <f>IF(Table1[Leaving Date]="","",IF(AND(Table1[Leaving Date]&gt;42460,Table1[Leaving Date]&lt;42826),IF(Table1[Date of Last Assessment]="",Table1[Meaningful Use of Time],Table1[Meaningful Use of Time2]),""))</f>
        <v/>
      </c>
      <c r="GM379" s="44" t="str">
        <f>IF(Table1[Leaving Date]="","",IF(AND(Table1[Leaving Date]&gt;42460,Table1[Leaving Date]&lt;42826),IF(Table1[Date of Last Assessment]="",Table1[Managing Tenancy and Accommodation],Table1[Managing Tenancy and Accommodation2]),""))</f>
        <v/>
      </c>
      <c r="GN379" s="44" t="str">
        <f>IF(Table1[Leaving Date]="","",IF(AND(Table1[Leaving Date]&gt;42460,Table1[Leaving Date]&lt;42826),IF(Table1[Date of Last Assessment]="",Table1[Offending],Table1[Offending2]),""))</f>
        <v/>
      </c>
    </row>
    <row r="380" spans="2:196" ht="20.100000000000001" customHeight="1" x14ac:dyDescent="0.2">
      <c r="B380" s="86">
        <f>+'Service Data'!$C$5:$C$5</f>
        <v>0</v>
      </c>
      <c r="C380" s="86"/>
      <c r="D380" s="86"/>
      <c r="E380" s="86"/>
      <c r="F380" s="86"/>
      <c r="G380" s="86"/>
      <c r="H380" s="6"/>
      <c r="I380" s="99" t="str">
        <f ca="1">IF(Table1[[#This Row],[Date of Birth]]="","",SUM(TODAY()-Table1[[#This Row],[Date of Birth]])/365)</f>
        <v/>
      </c>
      <c r="L380" s="86"/>
      <c r="M380" s="77"/>
      <c r="N380" s="86"/>
      <c r="O380" s="86"/>
      <c r="P380" s="91"/>
      <c r="Q380" s="86"/>
      <c r="R380" s="77"/>
      <c r="S380" s="77"/>
      <c r="T380" s="68"/>
      <c r="U380" s="68"/>
      <c r="V380" s="67"/>
      <c r="W380" s="67"/>
      <c r="X380" s="67"/>
      <c r="Y380" s="67"/>
      <c r="Z380" s="67"/>
      <c r="AA380" s="67"/>
      <c r="AB380" s="67"/>
      <c r="AC380" s="67"/>
      <c r="AD380" s="67"/>
      <c r="AE380" s="67"/>
      <c r="AF380" s="67"/>
      <c r="AG380" s="67"/>
      <c r="AH380" s="67"/>
      <c r="AI380" s="67"/>
      <c r="AJ380" s="67"/>
      <c r="AK380" s="67"/>
      <c r="AL380" s="67"/>
      <c r="AM380" s="67"/>
      <c r="AN380" s="77"/>
      <c r="AO380" s="76"/>
      <c r="AP380" s="77"/>
      <c r="AQ380" s="76"/>
      <c r="AR380" s="76"/>
      <c r="AS380" s="76"/>
      <c r="AT380" s="76"/>
      <c r="AU380" s="76"/>
      <c r="AV380" s="77"/>
      <c r="AW380" s="76"/>
      <c r="AX380" s="77"/>
      <c r="AY380" s="76"/>
      <c r="AZ380" s="76"/>
      <c r="BA380" s="76"/>
      <c r="BB380" s="76"/>
      <c r="BC380" s="76"/>
      <c r="BD380" s="77"/>
      <c r="BE380" s="76"/>
      <c r="BF380" s="77"/>
      <c r="BG380" s="76"/>
      <c r="BH380" s="76"/>
      <c r="BI380" s="76"/>
      <c r="BJ380" s="76"/>
      <c r="BK380" s="76"/>
      <c r="BL380" s="77"/>
      <c r="BM380" s="76"/>
      <c r="BN380" s="77"/>
      <c r="BO380" s="76"/>
      <c r="BP380" s="76"/>
      <c r="BQ380" s="76"/>
      <c r="BR380" s="76"/>
      <c r="BS380" s="76"/>
      <c r="BT380" s="77"/>
      <c r="BU380" s="76"/>
      <c r="BV380" s="77"/>
      <c r="BW380" s="76"/>
      <c r="BX380" s="76"/>
      <c r="BY380" s="76"/>
      <c r="BZ380" s="76"/>
      <c r="CA380" s="76"/>
      <c r="CB380" s="77"/>
      <c r="CC380" s="76"/>
      <c r="CD380" s="77"/>
      <c r="CE380" s="76"/>
      <c r="CF380" s="76"/>
      <c r="CG380" s="76"/>
      <c r="CH380" s="76"/>
      <c r="CI380" s="76"/>
      <c r="CJ380" s="77"/>
      <c r="CK380" s="76"/>
      <c r="CL380" s="77"/>
      <c r="CM380" s="76"/>
      <c r="CN380" s="76"/>
      <c r="CO380" s="76"/>
      <c r="CP380" s="76"/>
      <c r="CQ380" s="76"/>
      <c r="CR380" s="78" t="str">
        <f t="shared" si="95"/>
        <v/>
      </c>
      <c r="CS380" s="79" t="str">
        <f t="shared" si="96"/>
        <v/>
      </c>
      <c r="CT380" s="79" t="str">
        <f t="shared" si="97"/>
        <v/>
      </c>
      <c r="CU380" s="79" t="str">
        <f t="shared" si="98"/>
        <v/>
      </c>
      <c r="CV380" s="79" t="str">
        <f t="shared" si="99"/>
        <v/>
      </c>
      <c r="CW380" s="79" t="str">
        <f t="shared" si="100"/>
        <v/>
      </c>
      <c r="CX380" s="79" t="str">
        <f t="shared" si="101"/>
        <v/>
      </c>
      <c r="CY380" s="79" t="str">
        <f t="shared" si="102"/>
        <v/>
      </c>
      <c r="CZ380" s="79" t="str">
        <f t="shared" si="103"/>
        <v/>
      </c>
      <c r="DA380" s="79" t="str">
        <f t="shared" si="104"/>
        <v/>
      </c>
      <c r="DB380" s="79" t="str">
        <f t="shared" si="105"/>
        <v/>
      </c>
      <c r="DC380" s="79" t="str">
        <f t="shared" si="106"/>
        <v/>
      </c>
      <c r="DD380" s="79" t="str">
        <f t="shared" si="107"/>
        <v/>
      </c>
      <c r="DE380" s="79" t="str">
        <f t="shared" si="108"/>
        <v/>
      </c>
      <c r="DF380" s="79" t="str">
        <f t="shared" si="109"/>
        <v/>
      </c>
      <c r="DG380" s="79" t="str">
        <f t="shared" si="110"/>
        <v/>
      </c>
      <c r="DH380" s="76"/>
      <c r="DI380" s="78"/>
      <c r="DJ380" s="76"/>
      <c r="DK380" s="77"/>
      <c r="DL380" s="77"/>
      <c r="DM380" s="77"/>
      <c r="DN380" s="80"/>
      <c r="DO380" s="80"/>
      <c r="DP380" s="92" t="str">
        <f>IF(Table1[Start Date]="","",IF(Table1[Start Date]&gt;42185,"",IF(AND(Table1[Leaving Date]&gt;1,Table1[Leaving Date]&lt;42095),"",1)))</f>
        <v/>
      </c>
      <c r="DQ380" s="92" t="str">
        <f>IF(Table1[Start Date]="","",IF(Table1[Start Date]&gt;42277,"",IF(AND(Table1[Leaving Date]&gt;1,Table1[Leaving Date]&lt;42186),"",1)))</f>
        <v/>
      </c>
      <c r="DR380" s="92" t="str">
        <f>IF(Table1[Start Date]="","",IF(Table1[Start Date]&gt;42369,"",IF(AND(Table1[Leaving Date]&gt;1,Table1[Leaving Date]&lt;42278),"",1)))</f>
        <v/>
      </c>
      <c r="DS380" s="92" t="str">
        <f>IF(Table1[Start Date]="","",IF(Table1[Start Date]&gt;42460,"",IF(AND(Table1[Leaving Date]&gt;1,Table1[Leaving Date]&lt;42370),"",1)))</f>
        <v/>
      </c>
      <c r="DT380" s="92" t="str">
        <f>IF(Table1[Start Date]="","",IF(Table1[Start Date]&gt;42551,"",IF(AND(Table1[Leaving Date]&gt;1,Table1[Leaving Date]&lt;42461),"",1)))</f>
        <v/>
      </c>
      <c r="DU380" s="92" t="str">
        <f>IF(Table1[Start Date]="","",IF(Table1[Start Date]&gt;42643,"",IF(AND(Table1[Leaving Date]&gt;1,Table1[Leaving Date]&lt;42552),"",1)))</f>
        <v/>
      </c>
      <c r="DV380" s="92" t="str">
        <f>IF(Table1[Start Date]="","",IF(Table1[Start Date]&gt;42735,"",IF(AND(Table1[Leaving Date]&gt;1,Table1[Leaving Date]&lt;42644),"",1)))</f>
        <v/>
      </c>
      <c r="DW380" s="92" t="str">
        <f>IF(Table1[Start Date]="","",IF(Table1[Start Date]&gt;42825,"",IF(AND(Table1[Leaving Date]&gt;1,Table1[Leaving Date]&lt;42736),"",1)))</f>
        <v/>
      </c>
      <c r="DX380"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380" s="44" t="e">
        <f>VLOOKUP(Table1[Referral Source],Lists!$G$2:$H$20,2,FALSE)</f>
        <v>#N/A</v>
      </c>
      <c r="DZ380" s="93" t="e">
        <f>SUM(Table1[Data Referral Quarter]+Table1[Data Referral Source])</f>
        <v>#N/A</v>
      </c>
      <c r="EA380" s="44" t="b">
        <f>IF(Table1[Referral Decision]="Accepted",100,IF(Table1[Referral Decision]="Rejected by Provider",200,IF(Table1[Referral Decision]="Rejected by Applicant",300)))</f>
        <v>0</v>
      </c>
      <c r="EB380" s="44">
        <f>SUM(Table1[Data Referral Quarter]+Table1[Data Referral Decision])</f>
        <v>0</v>
      </c>
      <c r="EC380" s="44" t="b">
        <f>IF(Table1[Start Date]&gt;42735,8000,IF(Table1[Start Date]&gt;42643,7000,IF(Table1[Start Date]&gt;42551,6000,IF(Table1[Start Date]&gt;42460,5000,IF(Table1[Start Date]&gt;42369,4000,IF(Table1[Start Date]&gt;42277,3000,IF(Table1[Start Date]&gt;42185,2000,IF(Table1[Start Date]&gt;42094,1000))))))))</f>
        <v>0</v>
      </c>
      <c r="ED380" s="44" t="str">
        <f>IF(Table1[Start Date]="","",IF(Table1[Current Local Authority]="Swindon",1,"2"))</f>
        <v/>
      </c>
      <c r="EE380" s="44" t="e">
        <f>SUM(Table1[Data Start Date]+Table1[Data Local Authority])</f>
        <v>#VALUE!</v>
      </c>
      <c r="EF380" s="44">
        <f>IF(Table1[Registered with GP]="Yes",1,0)</f>
        <v>0</v>
      </c>
      <c r="EG380" s="44">
        <f>SUM(Table1[Data Start Date]+Table1[Data GP Start])</f>
        <v>0</v>
      </c>
      <c r="EH380" s="44" t="str">
        <f>IF(Table1[EET]="NEET",1,IF(Table1[EET]="Education",2,IF(Table1[EET]="Employment",2,IF(Table1[EET]="Training",2,IF(Table1[EET]="Retired",3,"")))))</f>
        <v/>
      </c>
      <c r="EI380" s="44" t="e">
        <f>Table1[Data Start Date]+Table1[Data EET Start]</f>
        <v>#VALUE!</v>
      </c>
      <c r="EJ380" s="44" t="b">
        <f>IF(Table1[Leaving Date]&gt;42735,8000,IF(Table1[Leaving Date]&gt;42643,7000,IF(Table1[Leaving Date]&gt;42551,6000,IF(Table1[Leaving Date]&gt;42460,5000,IF(Table1[Leaving Date]&gt;42369,4000,IF(Table1[Leaving Date]&gt;42277,3000,IF(Table1[Leaving Date]&gt;42185,2000,IF(Table1[Leaving Date]&gt;42094,1000))))))))</f>
        <v>0</v>
      </c>
      <c r="EK380" s="44" t="e">
        <f>VLOOKUP(Table1[Reason for Leaving],Lists!$T$2:$U$15,2,FALSE)</f>
        <v>#N/A</v>
      </c>
      <c r="EL380" s="44" t="e">
        <f>SUM(Table1[Data Leavers Date]+Table1[Data Move On])</f>
        <v>#N/A</v>
      </c>
      <c r="EM380" s="44" t="b">
        <f>IF(Table1[Registered with GP2]="Yes",1,IF(Table1[Registered with GP2]="No",0,IF(Table1[Registered with GP]="Yes",1,IF(Table1[Registered with GP]="No",0))))</f>
        <v>0</v>
      </c>
      <c r="EN380" s="44">
        <f>SUM(Table1[Data Leavers Date]+Table1[Data GP End])</f>
        <v>0</v>
      </c>
      <c r="EO380" s="44" t="str">
        <f>IF(Table1[EET2]="NEET",1,IF(Table1[EET2]="Employment",2,IF(Table1[EET2]="Education",2,IF(Table1[EET2]="Training",2,IF(Table1[EET2]="Retired",3,IF(Table1[EET]="NEET",1,IF(Table1[EET]="Employment",2,IF(Table1[EET]="Education",2,IF(Table1[EET]="Training",2,IF(Table1[EET]="Retired",3,""))))))))))</f>
        <v/>
      </c>
      <c r="EP380" s="44" t="e">
        <f>+Table1[[#This Row],[Data Leavers Date]]+Table1[[#This Row],[Data EET End]]</f>
        <v>#VALUE!</v>
      </c>
      <c r="EQ380" s="44">
        <f>IF(Table1[Exit Form Received]="Yes",1,0)</f>
        <v>0</v>
      </c>
      <c r="ER380" s="44">
        <f>+Table1[[#This Row],[Data Leavers Date]]+Table1[[#This Row],[Data Exit Forms]]</f>
        <v>0</v>
      </c>
      <c r="ES380" s="44" t="str">
        <f>IF(Table1[Data Leavers Date]=1000,SUM(Table1[Leaving Date]-Table1[Start Date]),"")</f>
        <v/>
      </c>
      <c r="ET380" s="44" t="str">
        <f>IF(Table1[Data Leavers Date]=2000,SUM(Table1[Leaving Date]-Table1[Start Date]),"")</f>
        <v/>
      </c>
      <c r="EU380" s="44" t="str">
        <f>IF(Table1[Data Leavers Date]=3000,SUM(Table1[Leaving Date]-Table1[Start Date]),"")</f>
        <v/>
      </c>
      <c r="EV380" s="44" t="str">
        <f>IF(Table1[Data Leavers Date]=4000,SUM(Table1[Leaving Date]-Table1[Start Date]),"")</f>
        <v/>
      </c>
      <c r="EW380" s="44" t="str">
        <f>IF(Table1[Data Leavers Date]=5000,SUM(Table1[Leaving Date]-Table1[Start Date]),"")</f>
        <v/>
      </c>
      <c r="EX380" s="44" t="str">
        <f>IF(Table1[Data Leavers Date]=6000,SUM(Table1[Leaving Date]-Table1[Start Date]),"")</f>
        <v/>
      </c>
      <c r="EY380" s="44" t="str">
        <f>IF(Table1[Data Leavers Date]=7000,SUM(Table1[Leaving Date]-Table1[Start Date]),"")</f>
        <v/>
      </c>
      <c r="EZ380" s="44" t="str">
        <f>IF(Table1[Data Leavers Date]=8000,SUM(Table1[Leaving Date]-Table1[Start Date]),"")</f>
        <v/>
      </c>
      <c r="FA380" s="44" t="str">
        <f>IF(Table1[Date of Initial Assessment]="","",IF(AND(Table1[Start Date]&gt;42094,Table1[Start Date]&lt;42461),Table1[Motivation and Taking Responsibility],""))</f>
        <v/>
      </c>
      <c r="FB380" s="44" t="str">
        <f>IF(Table1[Date of Initial Assessment]="","",IF(AND(Table1[Start Date]&gt;42094,Table1[Start Date]&lt;42461),Table1[Self-Care and Living Skills],""))</f>
        <v/>
      </c>
      <c r="FC380" s="44" t="str">
        <f>IF(Table1[Date of Initial Assessment]="","",IF(AND(Table1[Start Date]&gt;42094,Table1[Start Date]&lt;42461),Table1[Managing Money and Personal Administration],""))</f>
        <v/>
      </c>
      <c r="FD380" s="44" t="str">
        <f>IF(Table1[Date of Initial Assessment]="","",IF(AND(Table1[Start Date]&gt;42094,Table1[Start Date]&lt;42461),Table1[Social Networks and Relationships],""))</f>
        <v/>
      </c>
      <c r="FE380" s="44" t="str">
        <f>IF(Table1[Date of Initial Assessment]="","",IF(AND(Table1[Start Date]&gt;42094,Table1[Start Date]&lt;42461),Table1[Drug and Alcohol Misuse],""))</f>
        <v/>
      </c>
      <c r="FF380" s="44" t="str">
        <f>IF(Table1[Date of Initial Assessment]="","",IF(AND(Table1[Start Date]&gt;42094,Table1[Start Date]&lt;42461),Table1[Physical Health],""))</f>
        <v/>
      </c>
      <c r="FG380" s="44" t="str">
        <f>IF(Table1[Date of Initial Assessment]="","",IF(AND(Table1[Start Date]&gt;42094,Table1[Start Date]&lt;42461),Table1[Emotional and Mental Health],""))</f>
        <v/>
      </c>
      <c r="FH380" s="44" t="str">
        <f>IF(Table1[Date of Initial Assessment]="","",IF(AND(Table1[Start Date]&gt;42094,Table1[Start Date]&lt;42461),Table1[Meaningful Use of Time],""))</f>
        <v/>
      </c>
      <c r="FI380" s="44" t="str">
        <f>IF(Table1[Date of Initial Assessment]="","",IF(AND(Table1[Start Date]&gt;42094,Table1[Start Date]&lt;42461),Table1[Managing Tenancy and Accommodation],""))</f>
        <v/>
      </c>
      <c r="FJ380" s="44" t="str">
        <f>IF(Table1[Date of Initial Assessment]="","",IF(AND(Table1[Start Date]&gt;42094,Table1[Start Date]&lt;42461),Table1[Offending],""))</f>
        <v/>
      </c>
      <c r="FK380" s="44" t="str">
        <f>IF(Table1[Leaving Date]="","",IF(Table1[Date of Initial Assessment]="","",IF(AND(Table1[Leaving Date]&gt;42094,Table1[Leaving Date]&lt;42461),IF(Table1[Date of Last Assessment]="",Table1[Motivation and Taking Responsibility],Table1[Motivation and Taking Responsibility2]),"")))</f>
        <v/>
      </c>
      <c r="FL380" s="44" t="str">
        <f>IF(Table1[Leaving Date]="","",IF(Table1[Date of Initial Assessment]="","",IF(AND(Table1[Leaving Date]&gt;42094,Table1[Leaving Date]&lt;42461),IF(Table1[Date of Last Assessment]="",Table1[Self-Care and Living Skills],Table1[Self-Care and Living Skills2]),"")))</f>
        <v/>
      </c>
      <c r="FM380" s="44" t="str">
        <f>IF(Table1[Leaving Date]="","",IF(Table1[Date of Initial Assessment]="","",IF(AND(Table1[Leaving Date]&gt;42094,Table1[Leaving Date]&lt;42461),IF(Table1[Date of Last Assessment]="",Table1[Managing Money and Personal Administration],Table1[Managing Money and Personal Administration2]),"")))</f>
        <v/>
      </c>
      <c r="FN380" s="44" t="str">
        <f>IF(Table1[Leaving Date]="","",IF(Table1[Date of Initial Assessment]="","",IF(AND(Table1[Leaving Date]&gt;42094,Table1[Leaving Date]&lt;42461),IF(Table1[Date of Last Assessment]="",Table1[Social Networks and Relationships],Table1[Social Networks and Relationships2]),"")))</f>
        <v/>
      </c>
      <c r="FO380" s="44" t="str">
        <f>IF(Table1[Leaving Date]="","",IF(Table1[Date of Initial Assessment]="","",IF(AND(Table1[Leaving Date]&gt;42094,Table1[Leaving Date]&lt;42461),IF(Table1[Date of Last Assessment]="",Table1[Drug and Alcohol Misuse],Table1[Drug and Alcohol Misuse2]),"")))</f>
        <v/>
      </c>
      <c r="FP380" s="44" t="str">
        <f>IF(Table1[Leaving Date]="","",IF(Table1[Date of Initial Assessment]="","",IF(AND(Table1[Leaving Date]&gt;42094,Table1[Leaving Date]&lt;42461),IF(Table1[Date of Last Assessment]="",Table1[Physical Health],Table1[Physical Health2]),"")))</f>
        <v/>
      </c>
      <c r="FQ380" s="44" t="str">
        <f>IF(Table1[Leaving Date]="","",IF(Table1[Date of Initial Assessment]="","",IF(AND(Table1[Leaving Date]&gt;42094,Table1[Leaving Date]&lt;42461),IF(Table1[Date of Last Assessment]="",Table1[Emotional and Mental Health],Table1[Emotional and Mental Health2]),"")))</f>
        <v/>
      </c>
      <c r="FR380" s="44" t="str">
        <f>IF(Table1[Leaving Date]="","",IF(Table1[Date of Initial Assessment]="","",IF(AND(Table1[Leaving Date]&gt;42094,Table1[Leaving Date]&lt;42461),IF(Table1[Date of Last Assessment]="",Table1[Meaningful Use of Time],Table1[Meaningful Use of Time2]),"")))</f>
        <v/>
      </c>
      <c r="FS380" s="44" t="str">
        <f>IF(Table1[Leaving Date]="","",IF(Table1[Date of Initial Assessment]="","",IF(AND(Table1[Leaving Date]&gt;42094,Table1[Leaving Date]&lt;42461),IF(Table1[Date of Last Assessment]="",Table1[Managing Tenancy and Accommodation],Table1[Managing Tenancy and Accommodation2]),"")))</f>
        <v/>
      </c>
      <c r="FT380" s="44" t="str">
        <f>IF(Table1[Leaving Date]="","",IF(Table1[Date of Initial Assessment]="","",IF(AND(Table1[Leaving Date]&gt;42094,Table1[Leaving Date]&lt;42461),IF(Table1[Date of Last Assessment]="",Table1[Offending],Table1[Offending2]),"")))</f>
        <v/>
      </c>
      <c r="FU380" s="44" t="str">
        <f>IF(Table1[Date of Initial Assessment]="","",IF(AND(Table1[Start Date]&gt;42460,Table1[Start Date]&lt;42826),Table1[Motivation and Taking Responsibility],""))</f>
        <v/>
      </c>
      <c r="FV380" s="44" t="str">
        <f>IF(Table1[Date of Initial Assessment]="","",IF(AND(Table1[Start Date]&gt;42460,Table1[Start Date]&lt;42826),Table1[Self-Care and Living Skills],""))</f>
        <v/>
      </c>
      <c r="FW380" s="44" t="str">
        <f>IF(Table1[Date of Initial Assessment]="","",IF(AND(Table1[Start Date]&gt;42460,Table1[Start Date]&lt;42826),Table1[Managing Money and Personal Administration],""))</f>
        <v/>
      </c>
      <c r="FX380" s="44" t="str">
        <f>IF(Table1[Date of Initial Assessment]="","",IF(AND(Table1[Start Date]&gt;42460,Table1[Start Date]&lt;42826),Table1[Social Networks and Relationships],""))</f>
        <v/>
      </c>
      <c r="FY380" s="44" t="str">
        <f>IF(Table1[Date of Initial Assessment]="","",IF(AND(Table1[Start Date]&gt;42460,Table1[Start Date]&lt;42826),Table1[Drug and Alcohol Misuse],""))</f>
        <v/>
      </c>
      <c r="FZ380" s="44" t="str">
        <f>IF(Table1[Date of Initial Assessment]="","",IF(AND(Table1[Start Date]&gt;42460,Table1[Start Date]&lt;42826),Table1[Physical Health],""))</f>
        <v/>
      </c>
      <c r="GA380" s="44" t="str">
        <f>IF(Table1[Date of Initial Assessment]="","",IF(AND(Table1[Start Date]&gt;42460,Table1[Start Date]&lt;42826),Table1[Emotional and Mental Health],""))</f>
        <v/>
      </c>
      <c r="GB380" s="44" t="str">
        <f>IF(Table1[Date of Initial Assessment]="","",IF(AND(Table1[Start Date]&gt;42460,Table1[Start Date]&lt;42826),Table1[Meaningful Use of Time],""))</f>
        <v/>
      </c>
      <c r="GC380" s="44" t="str">
        <f>IF(Table1[Date of Initial Assessment]="","",IF(AND(Table1[Start Date]&gt;42460,Table1[Start Date]&lt;42826),Table1[Managing Tenancy and Accommodation],""))</f>
        <v/>
      </c>
      <c r="GD380" s="44" t="str">
        <f>IF(Table1[Date of Initial Assessment]="","",IF(AND(Table1[Start Date]&gt;42460,Table1[Start Date]&lt;42826),Table1[Offending],""))</f>
        <v/>
      </c>
      <c r="GE380" s="44" t="str">
        <f>IF(Table1[Leaving Date]="","",IF(AND(Table1[Leaving Date]&gt;42460,Table1[Leaving Date]&lt;42826),IF(Table1[Date of Last Assessment]="",Table1[Motivation and Taking Responsibility],Table1[Motivation and Taking Responsibility2]),""))</f>
        <v/>
      </c>
      <c r="GF380" s="44" t="str">
        <f>IF(Table1[Leaving Date]="","",IF(AND(Table1[Leaving Date]&gt;42460,Table1[Leaving Date]&lt;42826),IF(Table1[Date of Last Assessment]="",Table1[Self-Care and Living Skills],Table1[Self-Care and Living Skills2]),""))</f>
        <v/>
      </c>
      <c r="GG380" s="44" t="str">
        <f>IF(Table1[Leaving Date]="","",IF(AND(Table1[Leaving Date]&gt;42460,Table1[Leaving Date]&lt;42826),IF(Table1[Date of Last Assessment]="",Table1[Managing Money and Personal Administration],Table1[Managing Money and Personal Administration2]),""))</f>
        <v/>
      </c>
      <c r="GH380" s="44" t="str">
        <f>IF(Table1[Leaving Date]="","",IF(AND(Table1[Leaving Date]&gt;42460,Table1[Leaving Date]&lt;42826),IF(Table1[Date of Last Assessment]="",Table1[Social Networks and Relationships],Table1[Social Networks and Relationships2]),""))</f>
        <v/>
      </c>
      <c r="GI380" s="44" t="str">
        <f>IF(Table1[Leaving Date]="","",IF(AND(Table1[Leaving Date]&gt;42460,Table1[Leaving Date]&lt;42826),IF(Table1[Date of Last Assessment]="",Table1[Drug and Alcohol Misuse],Table1[Drug and Alcohol Misuse2]),""))</f>
        <v/>
      </c>
      <c r="GJ380" s="44" t="str">
        <f>IF(Table1[Leaving Date]="","",IF(AND(Table1[Leaving Date]&gt;42460,Table1[Leaving Date]&lt;42826),IF(Table1[Date of Last Assessment]="",Table1[Physical Health],Table1[Physical Health2]),""))</f>
        <v/>
      </c>
      <c r="GK380" s="44" t="str">
        <f>IF(Table1[Leaving Date]="","",IF(AND(Table1[Leaving Date]&gt;42460,Table1[Leaving Date]&lt;42826),IF(Table1[Date of Last Assessment]="",Table1[Emotional and Mental Health],Table1[Emotional and Mental Health2]),""))</f>
        <v/>
      </c>
      <c r="GL380" s="44" t="str">
        <f>IF(Table1[Leaving Date]="","",IF(AND(Table1[Leaving Date]&gt;42460,Table1[Leaving Date]&lt;42826),IF(Table1[Date of Last Assessment]="",Table1[Meaningful Use of Time],Table1[Meaningful Use of Time2]),""))</f>
        <v/>
      </c>
      <c r="GM380" s="44" t="str">
        <f>IF(Table1[Leaving Date]="","",IF(AND(Table1[Leaving Date]&gt;42460,Table1[Leaving Date]&lt;42826),IF(Table1[Date of Last Assessment]="",Table1[Managing Tenancy and Accommodation],Table1[Managing Tenancy and Accommodation2]),""))</f>
        <v/>
      </c>
      <c r="GN380" s="44" t="str">
        <f>IF(Table1[Leaving Date]="","",IF(AND(Table1[Leaving Date]&gt;42460,Table1[Leaving Date]&lt;42826),IF(Table1[Date of Last Assessment]="",Table1[Offending],Table1[Offending2]),""))</f>
        <v/>
      </c>
    </row>
    <row r="381" spans="2:196" ht="20.100000000000001" customHeight="1" x14ac:dyDescent="0.2">
      <c r="B381" s="86">
        <f>+'Service Data'!$C$5:$C$5</f>
        <v>0</v>
      </c>
      <c r="C381" s="86"/>
      <c r="D381" s="86"/>
      <c r="E381" s="86"/>
      <c r="F381" s="86"/>
      <c r="G381" s="86"/>
      <c r="H381" s="6"/>
      <c r="I381" s="99" t="str">
        <f ca="1">IF(Table1[[#This Row],[Date of Birth]]="","",SUM(TODAY()-Table1[[#This Row],[Date of Birth]])/365)</f>
        <v/>
      </c>
      <c r="L381" s="86"/>
      <c r="M381" s="77"/>
      <c r="N381" s="86"/>
      <c r="O381" s="86"/>
      <c r="P381" s="91"/>
      <c r="Q381" s="86"/>
      <c r="R381" s="77"/>
      <c r="S381" s="77"/>
      <c r="T381" s="68"/>
      <c r="U381" s="68"/>
      <c r="V381" s="67"/>
      <c r="W381" s="67"/>
      <c r="X381" s="67"/>
      <c r="Y381" s="67"/>
      <c r="Z381" s="67"/>
      <c r="AA381" s="67"/>
      <c r="AB381" s="67"/>
      <c r="AC381" s="67"/>
      <c r="AD381" s="67"/>
      <c r="AE381" s="67"/>
      <c r="AF381" s="67"/>
      <c r="AG381" s="67"/>
      <c r="AH381" s="67"/>
      <c r="AI381" s="67"/>
      <c r="AJ381" s="67"/>
      <c r="AK381" s="67"/>
      <c r="AL381" s="67"/>
      <c r="AM381" s="67"/>
      <c r="AN381" s="77"/>
      <c r="AO381" s="76"/>
      <c r="AP381" s="77"/>
      <c r="AQ381" s="76"/>
      <c r="AR381" s="76"/>
      <c r="AS381" s="76"/>
      <c r="AT381" s="76"/>
      <c r="AU381" s="76"/>
      <c r="AV381" s="77"/>
      <c r="AW381" s="76"/>
      <c r="AX381" s="77"/>
      <c r="AY381" s="76"/>
      <c r="AZ381" s="76"/>
      <c r="BA381" s="76"/>
      <c r="BB381" s="76"/>
      <c r="BC381" s="76"/>
      <c r="BD381" s="77"/>
      <c r="BE381" s="76"/>
      <c r="BF381" s="77"/>
      <c r="BG381" s="76"/>
      <c r="BH381" s="76"/>
      <c r="BI381" s="76"/>
      <c r="BJ381" s="76"/>
      <c r="BK381" s="76"/>
      <c r="BL381" s="77"/>
      <c r="BM381" s="76"/>
      <c r="BN381" s="77"/>
      <c r="BO381" s="76"/>
      <c r="BP381" s="76"/>
      <c r="BQ381" s="76"/>
      <c r="BR381" s="76"/>
      <c r="BS381" s="76"/>
      <c r="BT381" s="77"/>
      <c r="BU381" s="76"/>
      <c r="BV381" s="77"/>
      <c r="BW381" s="76"/>
      <c r="BX381" s="76"/>
      <c r="BY381" s="76"/>
      <c r="BZ381" s="76"/>
      <c r="CA381" s="76"/>
      <c r="CB381" s="77"/>
      <c r="CC381" s="76"/>
      <c r="CD381" s="77"/>
      <c r="CE381" s="76"/>
      <c r="CF381" s="76"/>
      <c r="CG381" s="76"/>
      <c r="CH381" s="76"/>
      <c r="CI381" s="76"/>
      <c r="CJ381" s="77"/>
      <c r="CK381" s="76"/>
      <c r="CL381" s="77"/>
      <c r="CM381" s="76"/>
      <c r="CN381" s="76"/>
      <c r="CO381" s="76"/>
      <c r="CP381" s="76"/>
      <c r="CQ381" s="76"/>
      <c r="CR381" s="78" t="str">
        <f t="shared" si="95"/>
        <v/>
      </c>
      <c r="CS381" s="79" t="str">
        <f t="shared" si="96"/>
        <v/>
      </c>
      <c r="CT381" s="79" t="str">
        <f t="shared" si="97"/>
        <v/>
      </c>
      <c r="CU381" s="79" t="str">
        <f t="shared" si="98"/>
        <v/>
      </c>
      <c r="CV381" s="79" t="str">
        <f t="shared" si="99"/>
        <v/>
      </c>
      <c r="CW381" s="79" t="str">
        <f t="shared" si="100"/>
        <v/>
      </c>
      <c r="CX381" s="79" t="str">
        <f t="shared" si="101"/>
        <v/>
      </c>
      <c r="CY381" s="79" t="str">
        <f t="shared" si="102"/>
        <v/>
      </c>
      <c r="CZ381" s="79" t="str">
        <f t="shared" si="103"/>
        <v/>
      </c>
      <c r="DA381" s="79" t="str">
        <f t="shared" si="104"/>
        <v/>
      </c>
      <c r="DB381" s="79" t="str">
        <f t="shared" si="105"/>
        <v/>
      </c>
      <c r="DC381" s="79" t="str">
        <f t="shared" si="106"/>
        <v/>
      </c>
      <c r="DD381" s="79" t="str">
        <f t="shared" si="107"/>
        <v/>
      </c>
      <c r="DE381" s="79" t="str">
        <f t="shared" si="108"/>
        <v/>
      </c>
      <c r="DF381" s="79" t="str">
        <f t="shared" si="109"/>
        <v/>
      </c>
      <c r="DG381" s="79" t="str">
        <f t="shared" si="110"/>
        <v/>
      </c>
      <c r="DH381" s="76"/>
      <c r="DI381" s="78"/>
      <c r="DJ381" s="76"/>
      <c r="DK381" s="77"/>
      <c r="DL381" s="77"/>
      <c r="DM381" s="77"/>
      <c r="DN381" s="80"/>
      <c r="DO381" s="80"/>
      <c r="DP381" s="92" t="str">
        <f>IF(Table1[Start Date]="","",IF(Table1[Start Date]&gt;42185,"",IF(AND(Table1[Leaving Date]&gt;1,Table1[Leaving Date]&lt;42095),"",1)))</f>
        <v/>
      </c>
      <c r="DQ381" s="92" t="str">
        <f>IF(Table1[Start Date]="","",IF(Table1[Start Date]&gt;42277,"",IF(AND(Table1[Leaving Date]&gt;1,Table1[Leaving Date]&lt;42186),"",1)))</f>
        <v/>
      </c>
      <c r="DR381" s="92" t="str">
        <f>IF(Table1[Start Date]="","",IF(Table1[Start Date]&gt;42369,"",IF(AND(Table1[Leaving Date]&gt;1,Table1[Leaving Date]&lt;42278),"",1)))</f>
        <v/>
      </c>
      <c r="DS381" s="92" t="str">
        <f>IF(Table1[Start Date]="","",IF(Table1[Start Date]&gt;42460,"",IF(AND(Table1[Leaving Date]&gt;1,Table1[Leaving Date]&lt;42370),"",1)))</f>
        <v/>
      </c>
      <c r="DT381" s="92" t="str">
        <f>IF(Table1[Start Date]="","",IF(Table1[Start Date]&gt;42551,"",IF(AND(Table1[Leaving Date]&gt;1,Table1[Leaving Date]&lt;42461),"",1)))</f>
        <v/>
      </c>
      <c r="DU381" s="92" t="str">
        <f>IF(Table1[Start Date]="","",IF(Table1[Start Date]&gt;42643,"",IF(AND(Table1[Leaving Date]&gt;1,Table1[Leaving Date]&lt;42552),"",1)))</f>
        <v/>
      </c>
      <c r="DV381" s="92" t="str">
        <f>IF(Table1[Start Date]="","",IF(Table1[Start Date]&gt;42735,"",IF(AND(Table1[Leaving Date]&gt;1,Table1[Leaving Date]&lt;42644),"",1)))</f>
        <v/>
      </c>
      <c r="DW381" s="92" t="str">
        <f>IF(Table1[Start Date]="","",IF(Table1[Start Date]&gt;42825,"",IF(AND(Table1[Leaving Date]&gt;1,Table1[Leaving Date]&lt;42736),"",1)))</f>
        <v/>
      </c>
      <c r="DX381"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381" s="44" t="e">
        <f>VLOOKUP(Table1[Referral Source],Lists!$G$2:$H$20,2,FALSE)</f>
        <v>#N/A</v>
      </c>
      <c r="DZ381" s="93" t="e">
        <f>SUM(Table1[Data Referral Quarter]+Table1[Data Referral Source])</f>
        <v>#N/A</v>
      </c>
      <c r="EA381" s="44" t="b">
        <f>IF(Table1[Referral Decision]="Accepted",100,IF(Table1[Referral Decision]="Rejected by Provider",200,IF(Table1[Referral Decision]="Rejected by Applicant",300)))</f>
        <v>0</v>
      </c>
      <c r="EB381" s="44">
        <f>SUM(Table1[Data Referral Quarter]+Table1[Data Referral Decision])</f>
        <v>0</v>
      </c>
      <c r="EC381" s="44" t="b">
        <f>IF(Table1[Start Date]&gt;42735,8000,IF(Table1[Start Date]&gt;42643,7000,IF(Table1[Start Date]&gt;42551,6000,IF(Table1[Start Date]&gt;42460,5000,IF(Table1[Start Date]&gt;42369,4000,IF(Table1[Start Date]&gt;42277,3000,IF(Table1[Start Date]&gt;42185,2000,IF(Table1[Start Date]&gt;42094,1000))))))))</f>
        <v>0</v>
      </c>
      <c r="ED381" s="44" t="str">
        <f>IF(Table1[Start Date]="","",IF(Table1[Current Local Authority]="Swindon",1,"2"))</f>
        <v/>
      </c>
      <c r="EE381" s="44" t="e">
        <f>SUM(Table1[Data Start Date]+Table1[Data Local Authority])</f>
        <v>#VALUE!</v>
      </c>
      <c r="EF381" s="44">
        <f>IF(Table1[Registered with GP]="Yes",1,0)</f>
        <v>0</v>
      </c>
      <c r="EG381" s="44">
        <f>SUM(Table1[Data Start Date]+Table1[Data GP Start])</f>
        <v>0</v>
      </c>
      <c r="EH381" s="44" t="str">
        <f>IF(Table1[EET]="NEET",1,IF(Table1[EET]="Education",2,IF(Table1[EET]="Employment",2,IF(Table1[EET]="Training",2,IF(Table1[EET]="Retired",3,"")))))</f>
        <v/>
      </c>
      <c r="EI381" s="44" t="e">
        <f>Table1[Data Start Date]+Table1[Data EET Start]</f>
        <v>#VALUE!</v>
      </c>
      <c r="EJ381" s="44" t="b">
        <f>IF(Table1[Leaving Date]&gt;42735,8000,IF(Table1[Leaving Date]&gt;42643,7000,IF(Table1[Leaving Date]&gt;42551,6000,IF(Table1[Leaving Date]&gt;42460,5000,IF(Table1[Leaving Date]&gt;42369,4000,IF(Table1[Leaving Date]&gt;42277,3000,IF(Table1[Leaving Date]&gt;42185,2000,IF(Table1[Leaving Date]&gt;42094,1000))))))))</f>
        <v>0</v>
      </c>
      <c r="EK381" s="44" t="e">
        <f>VLOOKUP(Table1[Reason for Leaving],Lists!$T$2:$U$15,2,FALSE)</f>
        <v>#N/A</v>
      </c>
      <c r="EL381" s="44" t="e">
        <f>SUM(Table1[Data Leavers Date]+Table1[Data Move On])</f>
        <v>#N/A</v>
      </c>
      <c r="EM381" s="44" t="b">
        <f>IF(Table1[Registered with GP2]="Yes",1,IF(Table1[Registered with GP2]="No",0,IF(Table1[Registered with GP]="Yes",1,IF(Table1[Registered with GP]="No",0))))</f>
        <v>0</v>
      </c>
      <c r="EN381" s="44">
        <f>SUM(Table1[Data Leavers Date]+Table1[Data GP End])</f>
        <v>0</v>
      </c>
      <c r="EO381" s="44" t="str">
        <f>IF(Table1[EET2]="NEET",1,IF(Table1[EET2]="Employment",2,IF(Table1[EET2]="Education",2,IF(Table1[EET2]="Training",2,IF(Table1[EET2]="Retired",3,IF(Table1[EET]="NEET",1,IF(Table1[EET]="Employment",2,IF(Table1[EET]="Education",2,IF(Table1[EET]="Training",2,IF(Table1[EET]="Retired",3,""))))))))))</f>
        <v/>
      </c>
      <c r="EP381" s="44" t="e">
        <f>+Table1[[#This Row],[Data Leavers Date]]+Table1[[#This Row],[Data EET End]]</f>
        <v>#VALUE!</v>
      </c>
      <c r="EQ381" s="44">
        <f>IF(Table1[Exit Form Received]="Yes",1,0)</f>
        <v>0</v>
      </c>
      <c r="ER381" s="44">
        <f>+Table1[[#This Row],[Data Leavers Date]]+Table1[[#This Row],[Data Exit Forms]]</f>
        <v>0</v>
      </c>
      <c r="ES381" s="44" t="str">
        <f>IF(Table1[Data Leavers Date]=1000,SUM(Table1[Leaving Date]-Table1[Start Date]),"")</f>
        <v/>
      </c>
      <c r="ET381" s="44" t="str">
        <f>IF(Table1[Data Leavers Date]=2000,SUM(Table1[Leaving Date]-Table1[Start Date]),"")</f>
        <v/>
      </c>
      <c r="EU381" s="44" t="str">
        <f>IF(Table1[Data Leavers Date]=3000,SUM(Table1[Leaving Date]-Table1[Start Date]),"")</f>
        <v/>
      </c>
      <c r="EV381" s="44" t="str">
        <f>IF(Table1[Data Leavers Date]=4000,SUM(Table1[Leaving Date]-Table1[Start Date]),"")</f>
        <v/>
      </c>
      <c r="EW381" s="44" t="str">
        <f>IF(Table1[Data Leavers Date]=5000,SUM(Table1[Leaving Date]-Table1[Start Date]),"")</f>
        <v/>
      </c>
      <c r="EX381" s="44" t="str">
        <f>IF(Table1[Data Leavers Date]=6000,SUM(Table1[Leaving Date]-Table1[Start Date]),"")</f>
        <v/>
      </c>
      <c r="EY381" s="44" t="str">
        <f>IF(Table1[Data Leavers Date]=7000,SUM(Table1[Leaving Date]-Table1[Start Date]),"")</f>
        <v/>
      </c>
      <c r="EZ381" s="44" t="str">
        <f>IF(Table1[Data Leavers Date]=8000,SUM(Table1[Leaving Date]-Table1[Start Date]),"")</f>
        <v/>
      </c>
      <c r="FA381" s="44" t="str">
        <f>IF(Table1[Date of Initial Assessment]="","",IF(AND(Table1[Start Date]&gt;42094,Table1[Start Date]&lt;42461),Table1[Motivation and Taking Responsibility],""))</f>
        <v/>
      </c>
      <c r="FB381" s="44" t="str">
        <f>IF(Table1[Date of Initial Assessment]="","",IF(AND(Table1[Start Date]&gt;42094,Table1[Start Date]&lt;42461),Table1[Self-Care and Living Skills],""))</f>
        <v/>
      </c>
      <c r="FC381" s="44" t="str">
        <f>IF(Table1[Date of Initial Assessment]="","",IF(AND(Table1[Start Date]&gt;42094,Table1[Start Date]&lt;42461),Table1[Managing Money and Personal Administration],""))</f>
        <v/>
      </c>
      <c r="FD381" s="44" t="str">
        <f>IF(Table1[Date of Initial Assessment]="","",IF(AND(Table1[Start Date]&gt;42094,Table1[Start Date]&lt;42461),Table1[Social Networks and Relationships],""))</f>
        <v/>
      </c>
      <c r="FE381" s="44" t="str">
        <f>IF(Table1[Date of Initial Assessment]="","",IF(AND(Table1[Start Date]&gt;42094,Table1[Start Date]&lt;42461),Table1[Drug and Alcohol Misuse],""))</f>
        <v/>
      </c>
      <c r="FF381" s="44" t="str">
        <f>IF(Table1[Date of Initial Assessment]="","",IF(AND(Table1[Start Date]&gt;42094,Table1[Start Date]&lt;42461),Table1[Physical Health],""))</f>
        <v/>
      </c>
      <c r="FG381" s="44" t="str">
        <f>IF(Table1[Date of Initial Assessment]="","",IF(AND(Table1[Start Date]&gt;42094,Table1[Start Date]&lt;42461),Table1[Emotional and Mental Health],""))</f>
        <v/>
      </c>
      <c r="FH381" s="44" t="str">
        <f>IF(Table1[Date of Initial Assessment]="","",IF(AND(Table1[Start Date]&gt;42094,Table1[Start Date]&lt;42461),Table1[Meaningful Use of Time],""))</f>
        <v/>
      </c>
      <c r="FI381" s="44" t="str">
        <f>IF(Table1[Date of Initial Assessment]="","",IF(AND(Table1[Start Date]&gt;42094,Table1[Start Date]&lt;42461),Table1[Managing Tenancy and Accommodation],""))</f>
        <v/>
      </c>
      <c r="FJ381" s="44" t="str">
        <f>IF(Table1[Date of Initial Assessment]="","",IF(AND(Table1[Start Date]&gt;42094,Table1[Start Date]&lt;42461),Table1[Offending],""))</f>
        <v/>
      </c>
      <c r="FK381" s="44" t="str">
        <f>IF(Table1[Leaving Date]="","",IF(Table1[Date of Initial Assessment]="","",IF(AND(Table1[Leaving Date]&gt;42094,Table1[Leaving Date]&lt;42461),IF(Table1[Date of Last Assessment]="",Table1[Motivation and Taking Responsibility],Table1[Motivation and Taking Responsibility2]),"")))</f>
        <v/>
      </c>
      <c r="FL381" s="44" t="str">
        <f>IF(Table1[Leaving Date]="","",IF(Table1[Date of Initial Assessment]="","",IF(AND(Table1[Leaving Date]&gt;42094,Table1[Leaving Date]&lt;42461),IF(Table1[Date of Last Assessment]="",Table1[Self-Care and Living Skills],Table1[Self-Care and Living Skills2]),"")))</f>
        <v/>
      </c>
      <c r="FM381" s="44" t="str">
        <f>IF(Table1[Leaving Date]="","",IF(Table1[Date of Initial Assessment]="","",IF(AND(Table1[Leaving Date]&gt;42094,Table1[Leaving Date]&lt;42461),IF(Table1[Date of Last Assessment]="",Table1[Managing Money and Personal Administration],Table1[Managing Money and Personal Administration2]),"")))</f>
        <v/>
      </c>
      <c r="FN381" s="44" t="str">
        <f>IF(Table1[Leaving Date]="","",IF(Table1[Date of Initial Assessment]="","",IF(AND(Table1[Leaving Date]&gt;42094,Table1[Leaving Date]&lt;42461),IF(Table1[Date of Last Assessment]="",Table1[Social Networks and Relationships],Table1[Social Networks and Relationships2]),"")))</f>
        <v/>
      </c>
      <c r="FO381" s="44" t="str">
        <f>IF(Table1[Leaving Date]="","",IF(Table1[Date of Initial Assessment]="","",IF(AND(Table1[Leaving Date]&gt;42094,Table1[Leaving Date]&lt;42461),IF(Table1[Date of Last Assessment]="",Table1[Drug and Alcohol Misuse],Table1[Drug and Alcohol Misuse2]),"")))</f>
        <v/>
      </c>
      <c r="FP381" s="44" t="str">
        <f>IF(Table1[Leaving Date]="","",IF(Table1[Date of Initial Assessment]="","",IF(AND(Table1[Leaving Date]&gt;42094,Table1[Leaving Date]&lt;42461),IF(Table1[Date of Last Assessment]="",Table1[Physical Health],Table1[Physical Health2]),"")))</f>
        <v/>
      </c>
      <c r="FQ381" s="44" t="str">
        <f>IF(Table1[Leaving Date]="","",IF(Table1[Date of Initial Assessment]="","",IF(AND(Table1[Leaving Date]&gt;42094,Table1[Leaving Date]&lt;42461),IF(Table1[Date of Last Assessment]="",Table1[Emotional and Mental Health],Table1[Emotional and Mental Health2]),"")))</f>
        <v/>
      </c>
      <c r="FR381" s="44" t="str">
        <f>IF(Table1[Leaving Date]="","",IF(Table1[Date of Initial Assessment]="","",IF(AND(Table1[Leaving Date]&gt;42094,Table1[Leaving Date]&lt;42461),IF(Table1[Date of Last Assessment]="",Table1[Meaningful Use of Time],Table1[Meaningful Use of Time2]),"")))</f>
        <v/>
      </c>
      <c r="FS381" s="44" t="str">
        <f>IF(Table1[Leaving Date]="","",IF(Table1[Date of Initial Assessment]="","",IF(AND(Table1[Leaving Date]&gt;42094,Table1[Leaving Date]&lt;42461),IF(Table1[Date of Last Assessment]="",Table1[Managing Tenancy and Accommodation],Table1[Managing Tenancy and Accommodation2]),"")))</f>
        <v/>
      </c>
      <c r="FT381" s="44" t="str">
        <f>IF(Table1[Leaving Date]="","",IF(Table1[Date of Initial Assessment]="","",IF(AND(Table1[Leaving Date]&gt;42094,Table1[Leaving Date]&lt;42461),IF(Table1[Date of Last Assessment]="",Table1[Offending],Table1[Offending2]),"")))</f>
        <v/>
      </c>
      <c r="FU381" s="44" t="str">
        <f>IF(Table1[Date of Initial Assessment]="","",IF(AND(Table1[Start Date]&gt;42460,Table1[Start Date]&lt;42826),Table1[Motivation and Taking Responsibility],""))</f>
        <v/>
      </c>
      <c r="FV381" s="44" t="str">
        <f>IF(Table1[Date of Initial Assessment]="","",IF(AND(Table1[Start Date]&gt;42460,Table1[Start Date]&lt;42826),Table1[Self-Care and Living Skills],""))</f>
        <v/>
      </c>
      <c r="FW381" s="44" t="str">
        <f>IF(Table1[Date of Initial Assessment]="","",IF(AND(Table1[Start Date]&gt;42460,Table1[Start Date]&lt;42826),Table1[Managing Money and Personal Administration],""))</f>
        <v/>
      </c>
      <c r="FX381" s="44" t="str">
        <f>IF(Table1[Date of Initial Assessment]="","",IF(AND(Table1[Start Date]&gt;42460,Table1[Start Date]&lt;42826),Table1[Social Networks and Relationships],""))</f>
        <v/>
      </c>
      <c r="FY381" s="44" t="str">
        <f>IF(Table1[Date of Initial Assessment]="","",IF(AND(Table1[Start Date]&gt;42460,Table1[Start Date]&lt;42826),Table1[Drug and Alcohol Misuse],""))</f>
        <v/>
      </c>
      <c r="FZ381" s="44" t="str">
        <f>IF(Table1[Date of Initial Assessment]="","",IF(AND(Table1[Start Date]&gt;42460,Table1[Start Date]&lt;42826),Table1[Physical Health],""))</f>
        <v/>
      </c>
      <c r="GA381" s="44" t="str">
        <f>IF(Table1[Date of Initial Assessment]="","",IF(AND(Table1[Start Date]&gt;42460,Table1[Start Date]&lt;42826),Table1[Emotional and Mental Health],""))</f>
        <v/>
      </c>
      <c r="GB381" s="44" t="str">
        <f>IF(Table1[Date of Initial Assessment]="","",IF(AND(Table1[Start Date]&gt;42460,Table1[Start Date]&lt;42826),Table1[Meaningful Use of Time],""))</f>
        <v/>
      </c>
      <c r="GC381" s="44" t="str">
        <f>IF(Table1[Date of Initial Assessment]="","",IF(AND(Table1[Start Date]&gt;42460,Table1[Start Date]&lt;42826),Table1[Managing Tenancy and Accommodation],""))</f>
        <v/>
      </c>
      <c r="GD381" s="44" t="str">
        <f>IF(Table1[Date of Initial Assessment]="","",IF(AND(Table1[Start Date]&gt;42460,Table1[Start Date]&lt;42826),Table1[Offending],""))</f>
        <v/>
      </c>
      <c r="GE381" s="44" t="str">
        <f>IF(Table1[Leaving Date]="","",IF(AND(Table1[Leaving Date]&gt;42460,Table1[Leaving Date]&lt;42826),IF(Table1[Date of Last Assessment]="",Table1[Motivation and Taking Responsibility],Table1[Motivation and Taking Responsibility2]),""))</f>
        <v/>
      </c>
      <c r="GF381" s="44" t="str">
        <f>IF(Table1[Leaving Date]="","",IF(AND(Table1[Leaving Date]&gt;42460,Table1[Leaving Date]&lt;42826),IF(Table1[Date of Last Assessment]="",Table1[Self-Care and Living Skills],Table1[Self-Care and Living Skills2]),""))</f>
        <v/>
      </c>
      <c r="GG381" s="44" t="str">
        <f>IF(Table1[Leaving Date]="","",IF(AND(Table1[Leaving Date]&gt;42460,Table1[Leaving Date]&lt;42826),IF(Table1[Date of Last Assessment]="",Table1[Managing Money and Personal Administration],Table1[Managing Money and Personal Administration2]),""))</f>
        <v/>
      </c>
      <c r="GH381" s="44" t="str">
        <f>IF(Table1[Leaving Date]="","",IF(AND(Table1[Leaving Date]&gt;42460,Table1[Leaving Date]&lt;42826),IF(Table1[Date of Last Assessment]="",Table1[Social Networks and Relationships],Table1[Social Networks and Relationships2]),""))</f>
        <v/>
      </c>
      <c r="GI381" s="44" t="str">
        <f>IF(Table1[Leaving Date]="","",IF(AND(Table1[Leaving Date]&gt;42460,Table1[Leaving Date]&lt;42826),IF(Table1[Date of Last Assessment]="",Table1[Drug and Alcohol Misuse],Table1[Drug and Alcohol Misuse2]),""))</f>
        <v/>
      </c>
      <c r="GJ381" s="44" t="str">
        <f>IF(Table1[Leaving Date]="","",IF(AND(Table1[Leaving Date]&gt;42460,Table1[Leaving Date]&lt;42826),IF(Table1[Date of Last Assessment]="",Table1[Physical Health],Table1[Physical Health2]),""))</f>
        <v/>
      </c>
      <c r="GK381" s="44" t="str">
        <f>IF(Table1[Leaving Date]="","",IF(AND(Table1[Leaving Date]&gt;42460,Table1[Leaving Date]&lt;42826),IF(Table1[Date of Last Assessment]="",Table1[Emotional and Mental Health],Table1[Emotional and Mental Health2]),""))</f>
        <v/>
      </c>
      <c r="GL381" s="44" t="str">
        <f>IF(Table1[Leaving Date]="","",IF(AND(Table1[Leaving Date]&gt;42460,Table1[Leaving Date]&lt;42826),IF(Table1[Date of Last Assessment]="",Table1[Meaningful Use of Time],Table1[Meaningful Use of Time2]),""))</f>
        <v/>
      </c>
      <c r="GM381" s="44" t="str">
        <f>IF(Table1[Leaving Date]="","",IF(AND(Table1[Leaving Date]&gt;42460,Table1[Leaving Date]&lt;42826),IF(Table1[Date of Last Assessment]="",Table1[Managing Tenancy and Accommodation],Table1[Managing Tenancy and Accommodation2]),""))</f>
        <v/>
      </c>
      <c r="GN381" s="44" t="str">
        <f>IF(Table1[Leaving Date]="","",IF(AND(Table1[Leaving Date]&gt;42460,Table1[Leaving Date]&lt;42826),IF(Table1[Date of Last Assessment]="",Table1[Offending],Table1[Offending2]),""))</f>
        <v/>
      </c>
    </row>
    <row r="382" spans="2:196" ht="20.100000000000001" customHeight="1" x14ac:dyDescent="0.2">
      <c r="B382" s="86">
        <f>+'Service Data'!$C$5:$C$5</f>
        <v>0</v>
      </c>
      <c r="C382" s="86"/>
      <c r="D382" s="86"/>
      <c r="E382" s="86"/>
      <c r="F382" s="86"/>
      <c r="G382" s="86"/>
      <c r="H382" s="6"/>
      <c r="I382" s="99" t="str">
        <f ca="1">IF(Table1[[#This Row],[Date of Birth]]="","",SUM(TODAY()-Table1[[#This Row],[Date of Birth]])/365)</f>
        <v/>
      </c>
      <c r="L382" s="86"/>
      <c r="M382" s="77"/>
      <c r="N382" s="86"/>
      <c r="O382" s="86"/>
      <c r="P382" s="91"/>
      <c r="Q382" s="86"/>
      <c r="R382" s="77"/>
      <c r="S382" s="77"/>
      <c r="T382" s="68"/>
      <c r="U382" s="68"/>
      <c r="V382" s="67"/>
      <c r="W382" s="67"/>
      <c r="X382" s="67"/>
      <c r="Y382" s="67"/>
      <c r="Z382" s="67"/>
      <c r="AA382" s="67"/>
      <c r="AB382" s="67"/>
      <c r="AC382" s="67"/>
      <c r="AD382" s="67"/>
      <c r="AE382" s="67"/>
      <c r="AF382" s="67"/>
      <c r="AG382" s="67"/>
      <c r="AH382" s="67"/>
      <c r="AI382" s="67"/>
      <c r="AJ382" s="67"/>
      <c r="AK382" s="67"/>
      <c r="AL382" s="67"/>
      <c r="AM382" s="67"/>
      <c r="AN382" s="77"/>
      <c r="AO382" s="76"/>
      <c r="AP382" s="77"/>
      <c r="AQ382" s="76"/>
      <c r="AR382" s="76"/>
      <c r="AS382" s="76"/>
      <c r="AT382" s="76"/>
      <c r="AU382" s="76"/>
      <c r="AV382" s="77"/>
      <c r="AW382" s="76"/>
      <c r="AX382" s="77"/>
      <c r="AY382" s="76"/>
      <c r="AZ382" s="76"/>
      <c r="BA382" s="76"/>
      <c r="BB382" s="76"/>
      <c r="BC382" s="76"/>
      <c r="BD382" s="77"/>
      <c r="BE382" s="76"/>
      <c r="BF382" s="77"/>
      <c r="BG382" s="76"/>
      <c r="BH382" s="76"/>
      <c r="BI382" s="76"/>
      <c r="BJ382" s="76"/>
      <c r="BK382" s="76"/>
      <c r="BL382" s="77"/>
      <c r="BM382" s="76"/>
      <c r="BN382" s="77"/>
      <c r="BO382" s="76"/>
      <c r="BP382" s="76"/>
      <c r="BQ382" s="76"/>
      <c r="BR382" s="76"/>
      <c r="BS382" s="76"/>
      <c r="BT382" s="77"/>
      <c r="BU382" s="76"/>
      <c r="BV382" s="77"/>
      <c r="BW382" s="76"/>
      <c r="BX382" s="76"/>
      <c r="BY382" s="76"/>
      <c r="BZ382" s="76"/>
      <c r="CA382" s="76"/>
      <c r="CB382" s="77"/>
      <c r="CC382" s="76"/>
      <c r="CD382" s="77"/>
      <c r="CE382" s="76"/>
      <c r="CF382" s="76"/>
      <c r="CG382" s="76"/>
      <c r="CH382" s="76"/>
      <c r="CI382" s="76"/>
      <c r="CJ382" s="77"/>
      <c r="CK382" s="76"/>
      <c r="CL382" s="77"/>
      <c r="CM382" s="76"/>
      <c r="CN382" s="76"/>
      <c r="CO382" s="76"/>
      <c r="CP382" s="76"/>
      <c r="CQ382" s="76"/>
      <c r="CR382" s="78" t="str">
        <f t="shared" si="95"/>
        <v/>
      </c>
      <c r="CS382" s="79" t="str">
        <f t="shared" si="96"/>
        <v/>
      </c>
      <c r="CT382" s="79" t="str">
        <f t="shared" si="97"/>
        <v/>
      </c>
      <c r="CU382" s="79" t="str">
        <f t="shared" si="98"/>
        <v/>
      </c>
      <c r="CV382" s="79" t="str">
        <f t="shared" si="99"/>
        <v/>
      </c>
      <c r="CW382" s="79" t="str">
        <f t="shared" si="100"/>
        <v/>
      </c>
      <c r="CX382" s="79" t="str">
        <f t="shared" si="101"/>
        <v/>
      </c>
      <c r="CY382" s="79" t="str">
        <f t="shared" si="102"/>
        <v/>
      </c>
      <c r="CZ382" s="79" t="str">
        <f t="shared" si="103"/>
        <v/>
      </c>
      <c r="DA382" s="79" t="str">
        <f t="shared" si="104"/>
        <v/>
      </c>
      <c r="DB382" s="79" t="str">
        <f t="shared" si="105"/>
        <v/>
      </c>
      <c r="DC382" s="79" t="str">
        <f t="shared" si="106"/>
        <v/>
      </c>
      <c r="DD382" s="79" t="str">
        <f t="shared" si="107"/>
        <v/>
      </c>
      <c r="DE382" s="79" t="str">
        <f t="shared" si="108"/>
        <v/>
      </c>
      <c r="DF382" s="79" t="str">
        <f t="shared" si="109"/>
        <v/>
      </c>
      <c r="DG382" s="79" t="str">
        <f t="shared" si="110"/>
        <v/>
      </c>
      <c r="DH382" s="76"/>
      <c r="DI382" s="78"/>
      <c r="DJ382" s="76"/>
      <c r="DK382" s="77"/>
      <c r="DL382" s="77"/>
      <c r="DM382" s="77"/>
      <c r="DN382" s="80"/>
      <c r="DO382" s="80"/>
      <c r="DP382" s="92" t="str">
        <f>IF(Table1[Start Date]="","",IF(Table1[Start Date]&gt;42185,"",IF(AND(Table1[Leaving Date]&gt;1,Table1[Leaving Date]&lt;42095),"",1)))</f>
        <v/>
      </c>
      <c r="DQ382" s="92" t="str">
        <f>IF(Table1[Start Date]="","",IF(Table1[Start Date]&gt;42277,"",IF(AND(Table1[Leaving Date]&gt;1,Table1[Leaving Date]&lt;42186),"",1)))</f>
        <v/>
      </c>
      <c r="DR382" s="92" t="str">
        <f>IF(Table1[Start Date]="","",IF(Table1[Start Date]&gt;42369,"",IF(AND(Table1[Leaving Date]&gt;1,Table1[Leaving Date]&lt;42278),"",1)))</f>
        <v/>
      </c>
      <c r="DS382" s="92" t="str">
        <f>IF(Table1[Start Date]="","",IF(Table1[Start Date]&gt;42460,"",IF(AND(Table1[Leaving Date]&gt;1,Table1[Leaving Date]&lt;42370),"",1)))</f>
        <v/>
      </c>
      <c r="DT382" s="92" t="str">
        <f>IF(Table1[Start Date]="","",IF(Table1[Start Date]&gt;42551,"",IF(AND(Table1[Leaving Date]&gt;1,Table1[Leaving Date]&lt;42461),"",1)))</f>
        <v/>
      </c>
      <c r="DU382" s="92" t="str">
        <f>IF(Table1[Start Date]="","",IF(Table1[Start Date]&gt;42643,"",IF(AND(Table1[Leaving Date]&gt;1,Table1[Leaving Date]&lt;42552),"",1)))</f>
        <v/>
      </c>
      <c r="DV382" s="92" t="str">
        <f>IF(Table1[Start Date]="","",IF(Table1[Start Date]&gt;42735,"",IF(AND(Table1[Leaving Date]&gt;1,Table1[Leaving Date]&lt;42644),"",1)))</f>
        <v/>
      </c>
      <c r="DW382" s="92" t="str">
        <f>IF(Table1[Start Date]="","",IF(Table1[Start Date]&gt;42825,"",IF(AND(Table1[Leaving Date]&gt;1,Table1[Leaving Date]&lt;42736),"",1)))</f>
        <v/>
      </c>
      <c r="DX382"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382" s="44" t="e">
        <f>VLOOKUP(Table1[Referral Source],Lists!$G$2:$H$20,2,FALSE)</f>
        <v>#N/A</v>
      </c>
      <c r="DZ382" s="93" t="e">
        <f>SUM(Table1[Data Referral Quarter]+Table1[Data Referral Source])</f>
        <v>#N/A</v>
      </c>
      <c r="EA382" s="44" t="b">
        <f>IF(Table1[Referral Decision]="Accepted",100,IF(Table1[Referral Decision]="Rejected by Provider",200,IF(Table1[Referral Decision]="Rejected by Applicant",300)))</f>
        <v>0</v>
      </c>
      <c r="EB382" s="44">
        <f>SUM(Table1[Data Referral Quarter]+Table1[Data Referral Decision])</f>
        <v>0</v>
      </c>
      <c r="EC382" s="44" t="b">
        <f>IF(Table1[Start Date]&gt;42735,8000,IF(Table1[Start Date]&gt;42643,7000,IF(Table1[Start Date]&gt;42551,6000,IF(Table1[Start Date]&gt;42460,5000,IF(Table1[Start Date]&gt;42369,4000,IF(Table1[Start Date]&gt;42277,3000,IF(Table1[Start Date]&gt;42185,2000,IF(Table1[Start Date]&gt;42094,1000))))))))</f>
        <v>0</v>
      </c>
      <c r="ED382" s="44" t="str">
        <f>IF(Table1[Start Date]="","",IF(Table1[Current Local Authority]="Swindon",1,"2"))</f>
        <v/>
      </c>
      <c r="EE382" s="44" t="e">
        <f>SUM(Table1[Data Start Date]+Table1[Data Local Authority])</f>
        <v>#VALUE!</v>
      </c>
      <c r="EF382" s="44">
        <f>IF(Table1[Registered with GP]="Yes",1,0)</f>
        <v>0</v>
      </c>
      <c r="EG382" s="44">
        <f>SUM(Table1[Data Start Date]+Table1[Data GP Start])</f>
        <v>0</v>
      </c>
      <c r="EH382" s="44" t="str">
        <f>IF(Table1[EET]="NEET",1,IF(Table1[EET]="Education",2,IF(Table1[EET]="Employment",2,IF(Table1[EET]="Training",2,IF(Table1[EET]="Retired",3,"")))))</f>
        <v/>
      </c>
      <c r="EI382" s="44" t="e">
        <f>Table1[Data Start Date]+Table1[Data EET Start]</f>
        <v>#VALUE!</v>
      </c>
      <c r="EJ382" s="44" t="b">
        <f>IF(Table1[Leaving Date]&gt;42735,8000,IF(Table1[Leaving Date]&gt;42643,7000,IF(Table1[Leaving Date]&gt;42551,6000,IF(Table1[Leaving Date]&gt;42460,5000,IF(Table1[Leaving Date]&gt;42369,4000,IF(Table1[Leaving Date]&gt;42277,3000,IF(Table1[Leaving Date]&gt;42185,2000,IF(Table1[Leaving Date]&gt;42094,1000))))))))</f>
        <v>0</v>
      </c>
      <c r="EK382" s="44" t="e">
        <f>VLOOKUP(Table1[Reason for Leaving],Lists!$T$2:$U$15,2,FALSE)</f>
        <v>#N/A</v>
      </c>
      <c r="EL382" s="44" t="e">
        <f>SUM(Table1[Data Leavers Date]+Table1[Data Move On])</f>
        <v>#N/A</v>
      </c>
      <c r="EM382" s="44" t="b">
        <f>IF(Table1[Registered with GP2]="Yes",1,IF(Table1[Registered with GP2]="No",0,IF(Table1[Registered with GP]="Yes",1,IF(Table1[Registered with GP]="No",0))))</f>
        <v>0</v>
      </c>
      <c r="EN382" s="44">
        <f>SUM(Table1[Data Leavers Date]+Table1[Data GP End])</f>
        <v>0</v>
      </c>
      <c r="EO382" s="44" t="str">
        <f>IF(Table1[EET2]="NEET",1,IF(Table1[EET2]="Employment",2,IF(Table1[EET2]="Education",2,IF(Table1[EET2]="Training",2,IF(Table1[EET2]="Retired",3,IF(Table1[EET]="NEET",1,IF(Table1[EET]="Employment",2,IF(Table1[EET]="Education",2,IF(Table1[EET]="Training",2,IF(Table1[EET]="Retired",3,""))))))))))</f>
        <v/>
      </c>
      <c r="EP382" s="44" t="e">
        <f>+Table1[[#This Row],[Data Leavers Date]]+Table1[[#This Row],[Data EET End]]</f>
        <v>#VALUE!</v>
      </c>
      <c r="EQ382" s="44">
        <f>IF(Table1[Exit Form Received]="Yes",1,0)</f>
        <v>0</v>
      </c>
      <c r="ER382" s="44">
        <f>+Table1[[#This Row],[Data Leavers Date]]+Table1[[#This Row],[Data Exit Forms]]</f>
        <v>0</v>
      </c>
      <c r="ES382" s="44" t="str">
        <f>IF(Table1[Data Leavers Date]=1000,SUM(Table1[Leaving Date]-Table1[Start Date]),"")</f>
        <v/>
      </c>
      <c r="ET382" s="44" t="str">
        <f>IF(Table1[Data Leavers Date]=2000,SUM(Table1[Leaving Date]-Table1[Start Date]),"")</f>
        <v/>
      </c>
      <c r="EU382" s="44" t="str">
        <f>IF(Table1[Data Leavers Date]=3000,SUM(Table1[Leaving Date]-Table1[Start Date]),"")</f>
        <v/>
      </c>
      <c r="EV382" s="44" t="str">
        <f>IF(Table1[Data Leavers Date]=4000,SUM(Table1[Leaving Date]-Table1[Start Date]),"")</f>
        <v/>
      </c>
      <c r="EW382" s="44" t="str">
        <f>IF(Table1[Data Leavers Date]=5000,SUM(Table1[Leaving Date]-Table1[Start Date]),"")</f>
        <v/>
      </c>
      <c r="EX382" s="44" t="str">
        <f>IF(Table1[Data Leavers Date]=6000,SUM(Table1[Leaving Date]-Table1[Start Date]),"")</f>
        <v/>
      </c>
      <c r="EY382" s="44" t="str">
        <f>IF(Table1[Data Leavers Date]=7000,SUM(Table1[Leaving Date]-Table1[Start Date]),"")</f>
        <v/>
      </c>
      <c r="EZ382" s="44" t="str">
        <f>IF(Table1[Data Leavers Date]=8000,SUM(Table1[Leaving Date]-Table1[Start Date]),"")</f>
        <v/>
      </c>
      <c r="FA382" s="44" t="str">
        <f>IF(Table1[Date of Initial Assessment]="","",IF(AND(Table1[Start Date]&gt;42094,Table1[Start Date]&lt;42461),Table1[Motivation and Taking Responsibility],""))</f>
        <v/>
      </c>
      <c r="FB382" s="44" t="str">
        <f>IF(Table1[Date of Initial Assessment]="","",IF(AND(Table1[Start Date]&gt;42094,Table1[Start Date]&lt;42461),Table1[Self-Care and Living Skills],""))</f>
        <v/>
      </c>
      <c r="FC382" s="44" t="str">
        <f>IF(Table1[Date of Initial Assessment]="","",IF(AND(Table1[Start Date]&gt;42094,Table1[Start Date]&lt;42461),Table1[Managing Money and Personal Administration],""))</f>
        <v/>
      </c>
      <c r="FD382" s="44" t="str">
        <f>IF(Table1[Date of Initial Assessment]="","",IF(AND(Table1[Start Date]&gt;42094,Table1[Start Date]&lt;42461),Table1[Social Networks and Relationships],""))</f>
        <v/>
      </c>
      <c r="FE382" s="44" t="str">
        <f>IF(Table1[Date of Initial Assessment]="","",IF(AND(Table1[Start Date]&gt;42094,Table1[Start Date]&lt;42461),Table1[Drug and Alcohol Misuse],""))</f>
        <v/>
      </c>
      <c r="FF382" s="44" t="str">
        <f>IF(Table1[Date of Initial Assessment]="","",IF(AND(Table1[Start Date]&gt;42094,Table1[Start Date]&lt;42461),Table1[Physical Health],""))</f>
        <v/>
      </c>
      <c r="FG382" s="44" t="str">
        <f>IF(Table1[Date of Initial Assessment]="","",IF(AND(Table1[Start Date]&gt;42094,Table1[Start Date]&lt;42461),Table1[Emotional and Mental Health],""))</f>
        <v/>
      </c>
      <c r="FH382" s="44" t="str">
        <f>IF(Table1[Date of Initial Assessment]="","",IF(AND(Table1[Start Date]&gt;42094,Table1[Start Date]&lt;42461),Table1[Meaningful Use of Time],""))</f>
        <v/>
      </c>
      <c r="FI382" s="44" t="str">
        <f>IF(Table1[Date of Initial Assessment]="","",IF(AND(Table1[Start Date]&gt;42094,Table1[Start Date]&lt;42461),Table1[Managing Tenancy and Accommodation],""))</f>
        <v/>
      </c>
      <c r="FJ382" s="44" t="str">
        <f>IF(Table1[Date of Initial Assessment]="","",IF(AND(Table1[Start Date]&gt;42094,Table1[Start Date]&lt;42461),Table1[Offending],""))</f>
        <v/>
      </c>
      <c r="FK382" s="44" t="str">
        <f>IF(Table1[Leaving Date]="","",IF(Table1[Date of Initial Assessment]="","",IF(AND(Table1[Leaving Date]&gt;42094,Table1[Leaving Date]&lt;42461),IF(Table1[Date of Last Assessment]="",Table1[Motivation and Taking Responsibility],Table1[Motivation and Taking Responsibility2]),"")))</f>
        <v/>
      </c>
      <c r="FL382" s="44" t="str">
        <f>IF(Table1[Leaving Date]="","",IF(Table1[Date of Initial Assessment]="","",IF(AND(Table1[Leaving Date]&gt;42094,Table1[Leaving Date]&lt;42461),IF(Table1[Date of Last Assessment]="",Table1[Self-Care and Living Skills],Table1[Self-Care and Living Skills2]),"")))</f>
        <v/>
      </c>
      <c r="FM382" s="44" t="str">
        <f>IF(Table1[Leaving Date]="","",IF(Table1[Date of Initial Assessment]="","",IF(AND(Table1[Leaving Date]&gt;42094,Table1[Leaving Date]&lt;42461),IF(Table1[Date of Last Assessment]="",Table1[Managing Money and Personal Administration],Table1[Managing Money and Personal Administration2]),"")))</f>
        <v/>
      </c>
      <c r="FN382" s="44" t="str">
        <f>IF(Table1[Leaving Date]="","",IF(Table1[Date of Initial Assessment]="","",IF(AND(Table1[Leaving Date]&gt;42094,Table1[Leaving Date]&lt;42461),IF(Table1[Date of Last Assessment]="",Table1[Social Networks and Relationships],Table1[Social Networks and Relationships2]),"")))</f>
        <v/>
      </c>
      <c r="FO382" s="44" t="str">
        <f>IF(Table1[Leaving Date]="","",IF(Table1[Date of Initial Assessment]="","",IF(AND(Table1[Leaving Date]&gt;42094,Table1[Leaving Date]&lt;42461),IF(Table1[Date of Last Assessment]="",Table1[Drug and Alcohol Misuse],Table1[Drug and Alcohol Misuse2]),"")))</f>
        <v/>
      </c>
      <c r="FP382" s="44" t="str">
        <f>IF(Table1[Leaving Date]="","",IF(Table1[Date of Initial Assessment]="","",IF(AND(Table1[Leaving Date]&gt;42094,Table1[Leaving Date]&lt;42461),IF(Table1[Date of Last Assessment]="",Table1[Physical Health],Table1[Physical Health2]),"")))</f>
        <v/>
      </c>
      <c r="FQ382" s="44" t="str">
        <f>IF(Table1[Leaving Date]="","",IF(Table1[Date of Initial Assessment]="","",IF(AND(Table1[Leaving Date]&gt;42094,Table1[Leaving Date]&lt;42461),IF(Table1[Date of Last Assessment]="",Table1[Emotional and Mental Health],Table1[Emotional and Mental Health2]),"")))</f>
        <v/>
      </c>
      <c r="FR382" s="44" t="str">
        <f>IF(Table1[Leaving Date]="","",IF(Table1[Date of Initial Assessment]="","",IF(AND(Table1[Leaving Date]&gt;42094,Table1[Leaving Date]&lt;42461),IF(Table1[Date of Last Assessment]="",Table1[Meaningful Use of Time],Table1[Meaningful Use of Time2]),"")))</f>
        <v/>
      </c>
      <c r="FS382" s="44" t="str">
        <f>IF(Table1[Leaving Date]="","",IF(Table1[Date of Initial Assessment]="","",IF(AND(Table1[Leaving Date]&gt;42094,Table1[Leaving Date]&lt;42461),IF(Table1[Date of Last Assessment]="",Table1[Managing Tenancy and Accommodation],Table1[Managing Tenancy and Accommodation2]),"")))</f>
        <v/>
      </c>
      <c r="FT382" s="44" t="str">
        <f>IF(Table1[Leaving Date]="","",IF(Table1[Date of Initial Assessment]="","",IF(AND(Table1[Leaving Date]&gt;42094,Table1[Leaving Date]&lt;42461),IF(Table1[Date of Last Assessment]="",Table1[Offending],Table1[Offending2]),"")))</f>
        <v/>
      </c>
      <c r="FU382" s="44" t="str">
        <f>IF(Table1[Date of Initial Assessment]="","",IF(AND(Table1[Start Date]&gt;42460,Table1[Start Date]&lt;42826),Table1[Motivation and Taking Responsibility],""))</f>
        <v/>
      </c>
      <c r="FV382" s="44" t="str">
        <f>IF(Table1[Date of Initial Assessment]="","",IF(AND(Table1[Start Date]&gt;42460,Table1[Start Date]&lt;42826),Table1[Self-Care and Living Skills],""))</f>
        <v/>
      </c>
      <c r="FW382" s="44" t="str">
        <f>IF(Table1[Date of Initial Assessment]="","",IF(AND(Table1[Start Date]&gt;42460,Table1[Start Date]&lt;42826),Table1[Managing Money and Personal Administration],""))</f>
        <v/>
      </c>
      <c r="FX382" s="44" t="str">
        <f>IF(Table1[Date of Initial Assessment]="","",IF(AND(Table1[Start Date]&gt;42460,Table1[Start Date]&lt;42826),Table1[Social Networks and Relationships],""))</f>
        <v/>
      </c>
      <c r="FY382" s="44" t="str">
        <f>IF(Table1[Date of Initial Assessment]="","",IF(AND(Table1[Start Date]&gt;42460,Table1[Start Date]&lt;42826),Table1[Drug and Alcohol Misuse],""))</f>
        <v/>
      </c>
      <c r="FZ382" s="44" t="str">
        <f>IF(Table1[Date of Initial Assessment]="","",IF(AND(Table1[Start Date]&gt;42460,Table1[Start Date]&lt;42826),Table1[Physical Health],""))</f>
        <v/>
      </c>
      <c r="GA382" s="44" t="str">
        <f>IF(Table1[Date of Initial Assessment]="","",IF(AND(Table1[Start Date]&gt;42460,Table1[Start Date]&lt;42826),Table1[Emotional and Mental Health],""))</f>
        <v/>
      </c>
      <c r="GB382" s="44" t="str">
        <f>IF(Table1[Date of Initial Assessment]="","",IF(AND(Table1[Start Date]&gt;42460,Table1[Start Date]&lt;42826),Table1[Meaningful Use of Time],""))</f>
        <v/>
      </c>
      <c r="GC382" s="44" t="str">
        <f>IF(Table1[Date of Initial Assessment]="","",IF(AND(Table1[Start Date]&gt;42460,Table1[Start Date]&lt;42826),Table1[Managing Tenancy and Accommodation],""))</f>
        <v/>
      </c>
      <c r="GD382" s="44" t="str">
        <f>IF(Table1[Date of Initial Assessment]="","",IF(AND(Table1[Start Date]&gt;42460,Table1[Start Date]&lt;42826),Table1[Offending],""))</f>
        <v/>
      </c>
      <c r="GE382" s="44" t="str">
        <f>IF(Table1[Leaving Date]="","",IF(AND(Table1[Leaving Date]&gt;42460,Table1[Leaving Date]&lt;42826),IF(Table1[Date of Last Assessment]="",Table1[Motivation and Taking Responsibility],Table1[Motivation and Taking Responsibility2]),""))</f>
        <v/>
      </c>
      <c r="GF382" s="44" t="str">
        <f>IF(Table1[Leaving Date]="","",IF(AND(Table1[Leaving Date]&gt;42460,Table1[Leaving Date]&lt;42826),IF(Table1[Date of Last Assessment]="",Table1[Self-Care and Living Skills],Table1[Self-Care and Living Skills2]),""))</f>
        <v/>
      </c>
      <c r="GG382" s="44" t="str">
        <f>IF(Table1[Leaving Date]="","",IF(AND(Table1[Leaving Date]&gt;42460,Table1[Leaving Date]&lt;42826),IF(Table1[Date of Last Assessment]="",Table1[Managing Money and Personal Administration],Table1[Managing Money and Personal Administration2]),""))</f>
        <v/>
      </c>
      <c r="GH382" s="44" t="str">
        <f>IF(Table1[Leaving Date]="","",IF(AND(Table1[Leaving Date]&gt;42460,Table1[Leaving Date]&lt;42826),IF(Table1[Date of Last Assessment]="",Table1[Social Networks and Relationships],Table1[Social Networks and Relationships2]),""))</f>
        <v/>
      </c>
      <c r="GI382" s="44" t="str">
        <f>IF(Table1[Leaving Date]="","",IF(AND(Table1[Leaving Date]&gt;42460,Table1[Leaving Date]&lt;42826),IF(Table1[Date of Last Assessment]="",Table1[Drug and Alcohol Misuse],Table1[Drug and Alcohol Misuse2]),""))</f>
        <v/>
      </c>
      <c r="GJ382" s="44" t="str">
        <f>IF(Table1[Leaving Date]="","",IF(AND(Table1[Leaving Date]&gt;42460,Table1[Leaving Date]&lt;42826),IF(Table1[Date of Last Assessment]="",Table1[Physical Health],Table1[Physical Health2]),""))</f>
        <v/>
      </c>
      <c r="GK382" s="44" t="str">
        <f>IF(Table1[Leaving Date]="","",IF(AND(Table1[Leaving Date]&gt;42460,Table1[Leaving Date]&lt;42826),IF(Table1[Date of Last Assessment]="",Table1[Emotional and Mental Health],Table1[Emotional and Mental Health2]),""))</f>
        <v/>
      </c>
      <c r="GL382" s="44" t="str">
        <f>IF(Table1[Leaving Date]="","",IF(AND(Table1[Leaving Date]&gt;42460,Table1[Leaving Date]&lt;42826),IF(Table1[Date of Last Assessment]="",Table1[Meaningful Use of Time],Table1[Meaningful Use of Time2]),""))</f>
        <v/>
      </c>
      <c r="GM382" s="44" t="str">
        <f>IF(Table1[Leaving Date]="","",IF(AND(Table1[Leaving Date]&gt;42460,Table1[Leaving Date]&lt;42826),IF(Table1[Date of Last Assessment]="",Table1[Managing Tenancy and Accommodation],Table1[Managing Tenancy and Accommodation2]),""))</f>
        <v/>
      </c>
      <c r="GN382" s="44" t="str">
        <f>IF(Table1[Leaving Date]="","",IF(AND(Table1[Leaving Date]&gt;42460,Table1[Leaving Date]&lt;42826),IF(Table1[Date of Last Assessment]="",Table1[Offending],Table1[Offending2]),""))</f>
        <v/>
      </c>
    </row>
    <row r="383" spans="2:196" ht="20.100000000000001" customHeight="1" x14ac:dyDescent="0.2">
      <c r="B383" s="86">
        <f>+'Service Data'!$C$5:$C$5</f>
        <v>0</v>
      </c>
      <c r="C383" s="86"/>
      <c r="D383" s="86"/>
      <c r="E383" s="86"/>
      <c r="F383" s="86"/>
      <c r="G383" s="86"/>
      <c r="H383" s="6"/>
      <c r="I383" s="99" t="str">
        <f ca="1">IF(Table1[[#This Row],[Date of Birth]]="","",SUM(TODAY()-Table1[[#This Row],[Date of Birth]])/365)</f>
        <v/>
      </c>
      <c r="L383" s="86"/>
      <c r="M383" s="77"/>
      <c r="N383" s="86"/>
      <c r="O383" s="86"/>
      <c r="P383" s="91"/>
      <c r="Q383" s="86"/>
      <c r="R383" s="77"/>
      <c r="S383" s="77"/>
      <c r="T383" s="68"/>
      <c r="U383" s="68"/>
      <c r="V383" s="67"/>
      <c r="W383" s="67"/>
      <c r="X383" s="67"/>
      <c r="Y383" s="67"/>
      <c r="Z383" s="67"/>
      <c r="AA383" s="67"/>
      <c r="AB383" s="67"/>
      <c r="AC383" s="67"/>
      <c r="AD383" s="67"/>
      <c r="AE383" s="67"/>
      <c r="AF383" s="67"/>
      <c r="AG383" s="67"/>
      <c r="AH383" s="67"/>
      <c r="AI383" s="67"/>
      <c r="AJ383" s="67"/>
      <c r="AK383" s="67"/>
      <c r="AL383" s="67"/>
      <c r="AM383" s="67"/>
      <c r="AN383" s="77"/>
      <c r="AO383" s="76"/>
      <c r="AP383" s="77"/>
      <c r="AQ383" s="76"/>
      <c r="AR383" s="76"/>
      <c r="AS383" s="76"/>
      <c r="AT383" s="76"/>
      <c r="AU383" s="76"/>
      <c r="AV383" s="77"/>
      <c r="AW383" s="76"/>
      <c r="AX383" s="77"/>
      <c r="AY383" s="76"/>
      <c r="AZ383" s="76"/>
      <c r="BA383" s="76"/>
      <c r="BB383" s="76"/>
      <c r="BC383" s="76"/>
      <c r="BD383" s="77"/>
      <c r="BE383" s="76"/>
      <c r="BF383" s="77"/>
      <c r="BG383" s="76"/>
      <c r="BH383" s="76"/>
      <c r="BI383" s="76"/>
      <c r="BJ383" s="76"/>
      <c r="BK383" s="76"/>
      <c r="BL383" s="77"/>
      <c r="BM383" s="76"/>
      <c r="BN383" s="77"/>
      <c r="BO383" s="76"/>
      <c r="BP383" s="76"/>
      <c r="BQ383" s="76"/>
      <c r="BR383" s="76"/>
      <c r="BS383" s="76"/>
      <c r="BT383" s="77"/>
      <c r="BU383" s="76"/>
      <c r="BV383" s="77"/>
      <c r="BW383" s="76"/>
      <c r="BX383" s="76"/>
      <c r="BY383" s="76"/>
      <c r="BZ383" s="76"/>
      <c r="CA383" s="76"/>
      <c r="CB383" s="77"/>
      <c r="CC383" s="76"/>
      <c r="CD383" s="77"/>
      <c r="CE383" s="76"/>
      <c r="CF383" s="76"/>
      <c r="CG383" s="76"/>
      <c r="CH383" s="76"/>
      <c r="CI383" s="76"/>
      <c r="CJ383" s="77"/>
      <c r="CK383" s="76"/>
      <c r="CL383" s="77"/>
      <c r="CM383" s="76"/>
      <c r="CN383" s="76"/>
      <c r="CO383" s="76"/>
      <c r="CP383" s="76"/>
      <c r="CQ383" s="76"/>
      <c r="CR383" s="78" t="str">
        <f t="shared" si="95"/>
        <v/>
      </c>
      <c r="CS383" s="79" t="str">
        <f t="shared" si="96"/>
        <v/>
      </c>
      <c r="CT383" s="79" t="str">
        <f t="shared" si="97"/>
        <v/>
      </c>
      <c r="CU383" s="79" t="str">
        <f t="shared" si="98"/>
        <v/>
      </c>
      <c r="CV383" s="79" t="str">
        <f t="shared" si="99"/>
        <v/>
      </c>
      <c r="CW383" s="79" t="str">
        <f t="shared" si="100"/>
        <v/>
      </c>
      <c r="CX383" s="79" t="str">
        <f t="shared" si="101"/>
        <v/>
      </c>
      <c r="CY383" s="79" t="str">
        <f t="shared" si="102"/>
        <v/>
      </c>
      <c r="CZ383" s="79" t="str">
        <f t="shared" si="103"/>
        <v/>
      </c>
      <c r="DA383" s="79" t="str">
        <f t="shared" si="104"/>
        <v/>
      </c>
      <c r="DB383" s="79" t="str">
        <f t="shared" si="105"/>
        <v/>
      </c>
      <c r="DC383" s="79" t="str">
        <f t="shared" si="106"/>
        <v/>
      </c>
      <c r="DD383" s="79" t="str">
        <f t="shared" si="107"/>
        <v/>
      </c>
      <c r="DE383" s="79" t="str">
        <f t="shared" si="108"/>
        <v/>
      </c>
      <c r="DF383" s="79" t="str">
        <f t="shared" si="109"/>
        <v/>
      </c>
      <c r="DG383" s="79" t="str">
        <f t="shared" si="110"/>
        <v/>
      </c>
      <c r="DH383" s="76"/>
      <c r="DI383" s="78"/>
      <c r="DJ383" s="76"/>
      <c r="DK383" s="77"/>
      <c r="DL383" s="77"/>
      <c r="DM383" s="77"/>
      <c r="DN383" s="80"/>
      <c r="DO383" s="80"/>
      <c r="DP383" s="92" t="str">
        <f>IF(Table1[Start Date]="","",IF(Table1[Start Date]&gt;42185,"",IF(AND(Table1[Leaving Date]&gt;1,Table1[Leaving Date]&lt;42095),"",1)))</f>
        <v/>
      </c>
      <c r="DQ383" s="92" t="str">
        <f>IF(Table1[Start Date]="","",IF(Table1[Start Date]&gt;42277,"",IF(AND(Table1[Leaving Date]&gt;1,Table1[Leaving Date]&lt;42186),"",1)))</f>
        <v/>
      </c>
      <c r="DR383" s="92" t="str">
        <f>IF(Table1[Start Date]="","",IF(Table1[Start Date]&gt;42369,"",IF(AND(Table1[Leaving Date]&gt;1,Table1[Leaving Date]&lt;42278),"",1)))</f>
        <v/>
      </c>
      <c r="DS383" s="92" t="str">
        <f>IF(Table1[Start Date]="","",IF(Table1[Start Date]&gt;42460,"",IF(AND(Table1[Leaving Date]&gt;1,Table1[Leaving Date]&lt;42370),"",1)))</f>
        <v/>
      </c>
      <c r="DT383" s="92" t="str">
        <f>IF(Table1[Start Date]="","",IF(Table1[Start Date]&gt;42551,"",IF(AND(Table1[Leaving Date]&gt;1,Table1[Leaving Date]&lt;42461),"",1)))</f>
        <v/>
      </c>
      <c r="DU383" s="92" t="str">
        <f>IF(Table1[Start Date]="","",IF(Table1[Start Date]&gt;42643,"",IF(AND(Table1[Leaving Date]&gt;1,Table1[Leaving Date]&lt;42552),"",1)))</f>
        <v/>
      </c>
      <c r="DV383" s="92" t="str">
        <f>IF(Table1[Start Date]="","",IF(Table1[Start Date]&gt;42735,"",IF(AND(Table1[Leaving Date]&gt;1,Table1[Leaving Date]&lt;42644),"",1)))</f>
        <v/>
      </c>
      <c r="DW383" s="92" t="str">
        <f>IF(Table1[Start Date]="","",IF(Table1[Start Date]&gt;42825,"",IF(AND(Table1[Leaving Date]&gt;1,Table1[Leaving Date]&lt;42736),"",1)))</f>
        <v/>
      </c>
      <c r="DX383"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383" s="44" t="e">
        <f>VLOOKUP(Table1[Referral Source],Lists!$G$2:$H$20,2,FALSE)</f>
        <v>#N/A</v>
      </c>
      <c r="DZ383" s="93" t="e">
        <f>SUM(Table1[Data Referral Quarter]+Table1[Data Referral Source])</f>
        <v>#N/A</v>
      </c>
      <c r="EA383" s="44" t="b">
        <f>IF(Table1[Referral Decision]="Accepted",100,IF(Table1[Referral Decision]="Rejected by Provider",200,IF(Table1[Referral Decision]="Rejected by Applicant",300)))</f>
        <v>0</v>
      </c>
      <c r="EB383" s="44">
        <f>SUM(Table1[Data Referral Quarter]+Table1[Data Referral Decision])</f>
        <v>0</v>
      </c>
      <c r="EC383" s="44" t="b">
        <f>IF(Table1[Start Date]&gt;42735,8000,IF(Table1[Start Date]&gt;42643,7000,IF(Table1[Start Date]&gt;42551,6000,IF(Table1[Start Date]&gt;42460,5000,IF(Table1[Start Date]&gt;42369,4000,IF(Table1[Start Date]&gt;42277,3000,IF(Table1[Start Date]&gt;42185,2000,IF(Table1[Start Date]&gt;42094,1000))))))))</f>
        <v>0</v>
      </c>
      <c r="ED383" s="44" t="str">
        <f>IF(Table1[Start Date]="","",IF(Table1[Current Local Authority]="Swindon",1,"2"))</f>
        <v/>
      </c>
      <c r="EE383" s="44" t="e">
        <f>SUM(Table1[Data Start Date]+Table1[Data Local Authority])</f>
        <v>#VALUE!</v>
      </c>
      <c r="EF383" s="44">
        <f>IF(Table1[Registered with GP]="Yes",1,0)</f>
        <v>0</v>
      </c>
      <c r="EG383" s="44">
        <f>SUM(Table1[Data Start Date]+Table1[Data GP Start])</f>
        <v>0</v>
      </c>
      <c r="EH383" s="44" t="str">
        <f>IF(Table1[EET]="NEET",1,IF(Table1[EET]="Education",2,IF(Table1[EET]="Employment",2,IF(Table1[EET]="Training",2,IF(Table1[EET]="Retired",3,"")))))</f>
        <v/>
      </c>
      <c r="EI383" s="44" t="e">
        <f>Table1[Data Start Date]+Table1[Data EET Start]</f>
        <v>#VALUE!</v>
      </c>
      <c r="EJ383" s="44" t="b">
        <f>IF(Table1[Leaving Date]&gt;42735,8000,IF(Table1[Leaving Date]&gt;42643,7000,IF(Table1[Leaving Date]&gt;42551,6000,IF(Table1[Leaving Date]&gt;42460,5000,IF(Table1[Leaving Date]&gt;42369,4000,IF(Table1[Leaving Date]&gt;42277,3000,IF(Table1[Leaving Date]&gt;42185,2000,IF(Table1[Leaving Date]&gt;42094,1000))))))))</f>
        <v>0</v>
      </c>
      <c r="EK383" s="44" t="e">
        <f>VLOOKUP(Table1[Reason for Leaving],Lists!$T$2:$U$15,2,FALSE)</f>
        <v>#N/A</v>
      </c>
      <c r="EL383" s="44" t="e">
        <f>SUM(Table1[Data Leavers Date]+Table1[Data Move On])</f>
        <v>#N/A</v>
      </c>
      <c r="EM383" s="44" t="b">
        <f>IF(Table1[Registered with GP2]="Yes",1,IF(Table1[Registered with GP2]="No",0,IF(Table1[Registered with GP]="Yes",1,IF(Table1[Registered with GP]="No",0))))</f>
        <v>0</v>
      </c>
      <c r="EN383" s="44">
        <f>SUM(Table1[Data Leavers Date]+Table1[Data GP End])</f>
        <v>0</v>
      </c>
      <c r="EO383" s="44" t="str">
        <f>IF(Table1[EET2]="NEET",1,IF(Table1[EET2]="Employment",2,IF(Table1[EET2]="Education",2,IF(Table1[EET2]="Training",2,IF(Table1[EET2]="Retired",3,IF(Table1[EET]="NEET",1,IF(Table1[EET]="Employment",2,IF(Table1[EET]="Education",2,IF(Table1[EET]="Training",2,IF(Table1[EET]="Retired",3,""))))))))))</f>
        <v/>
      </c>
      <c r="EP383" s="44" t="e">
        <f>+Table1[[#This Row],[Data Leavers Date]]+Table1[[#This Row],[Data EET End]]</f>
        <v>#VALUE!</v>
      </c>
      <c r="EQ383" s="44">
        <f>IF(Table1[Exit Form Received]="Yes",1,0)</f>
        <v>0</v>
      </c>
      <c r="ER383" s="44">
        <f>+Table1[[#This Row],[Data Leavers Date]]+Table1[[#This Row],[Data Exit Forms]]</f>
        <v>0</v>
      </c>
      <c r="ES383" s="44" t="str">
        <f>IF(Table1[Data Leavers Date]=1000,SUM(Table1[Leaving Date]-Table1[Start Date]),"")</f>
        <v/>
      </c>
      <c r="ET383" s="44" t="str">
        <f>IF(Table1[Data Leavers Date]=2000,SUM(Table1[Leaving Date]-Table1[Start Date]),"")</f>
        <v/>
      </c>
      <c r="EU383" s="44" t="str">
        <f>IF(Table1[Data Leavers Date]=3000,SUM(Table1[Leaving Date]-Table1[Start Date]),"")</f>
        <v/>
      </c>
      <c r="EV383" s="44" t="str">
        <f>IF(Table1[Data Leavers Date]=4000,SUM(Table1[Leaving Date]-Table1[Start Date]),"")</f>
        <v/>
      </c>
      <c r="EW383" s="44" t="str">
        <f>IF(Table1[Data Leavers Date]=5000,SUM(Table1[Leaving Date]-Table1[Start Date]),"")</f>
        <v/>
      </c>
      <c r="EX383" s="44" t="str">
        <f>IF(Table1[Data Leavers Date]=6000,SUM(Table1[Leaving Date]-Table1[Start Date]),"")</f>
        <v/>
      </c>
      <c r="EY383" s="44" t="str">
        <f>IF(Table1[Data Leavers Date]=7000,SUM(Table1[Leaving Date]-Table1[Start Date]),"")</f>
        <v/>
      </c>
      <c r="EZ383" s="44" t="str">
        <f>IF(Table1[Data Leavers Date]=8000,SUM(Table1[Leaving Date]-Table1[Start Date]),"")</f>
        <v/>
      </c>
      <c r="FA383" s="44" t="str">
        <f>IF(Table1[Date of Initial Assessment]="","",IF(AND(Table1[Start Date]&gt;42094,Table1[Start Date]&lt;42461),Table1[Motivation and Taking Responsibility],""))</f>
        <v/>
      </c>
      <c r="FB383" s="44" t="str">
        <f>IF(Table1[Date of Initial Assessment]="","",IF(AND(Table1[Start Date]&gt;42094,Table1[Start Date]&lt;42461),Table1[Self-Care and Living Skills],""))</f>
        <v/>
      </c>
      <c r="FC383" s="44" t="str">
        <f>IF(Table1[Date of Initial Assessment]="","",IF(AND(Table1[Start Date]&gt;42094,Table1[Start Date]&lt;42461),Table1[Managing Money and Personal Administration],""))</f>
        <v/>
      </c>
      <c r="FD383" s="44" t="str">
        <f>IF(Table1[Date of Initial Assessment]="","",IF(AND(Table1[Start Date]&gt;42094,Table1[Start Date]&lt;42461),Table1[Social Networks and Relationships],""))</f>
        <v/>
      </c>
      <c r="FE383" s="44" t="str">
        <f>IF(Table1[Date of Initial Assessment]="","",IF(AND(Table1[Start Date]&gt;42094,Table1[Start Date]&lt;42461),Table1[Drug and Alcohol Misuse],""))</f>
        <v/>
      </c>
      <c r="FF383" s="44" t="str">
        <f>IF(Table1[Date of Initial Assessment]="","",IF(AND(Table1[Start Date]&gt;42094,Table1[Start Date]&lt;42461),Table1[Physical Health],""))</f>
        <v/>
      </c>
      <c r="FG383" s="44" t="str">
        <f>IF(Table1[Date of Initial Assessment]="","",IF(AND(Table1[Start Date]&gt;42094,Table1[Start Date]&lt;42461),Table1[Emotional and Mental Health],""))</f>
        <v/>
      </c>
      <c r="FH383" s="44" t="str">
        <f>IF(Table1[Date of Initial Assessment]="","",IF(AND(Table1[Start Date]&gt;42094,Table1[Start Date]&lt;42461),Table1[Meaningful Use of Time],""))</f>
        <v/>
      </c>
      <c r="FI383" s="44" t="str">
        <f>IF(Table1[Date of Initial Assessment]="","",IF(AND(Table1[Start Date]&gt;42094,Table1[Start Date]&lt;42461),Table1[Managing Tenancy and Accommodation],""))</f>
        <v/>
      </c>
      <c r="FJ383" s="44" t="str">
        <f>IF(Table1[Date of Initial Assessment]="","",IF(AND(Table1[Start Date]&gt;42094,Table1[Start Date]&lt;42461),Table1[Offending],""))</f>
        <v/>
      </c>
      <c r="FK383" s="44" t="str">
        <f>IF(Table1[Leaving Date]="","",IF(Table1[Date of Initial Assessment]="","",IF(AND(Table1[Leaving Date]&gt;42094,Table1[Leaving Date]&lt;42461),IF(Table1[Date of Last Assessment]="",Table1[Motivation and Taking Responsibility],Table1[Motivation and Taking Responsibility2]),"")))</f>
        <v/>
      </c>
      <c r="FL383" s="44" t="str">
        <f>IF(Table1[Leaving Date]="","",IF(Table1[Date of Initial Assessment]="","",IF(AND(Table1[Leaving Date]&gt;42094,Table1[Leaving Date]&lt;42461),IF(Table1[Date of Last Assessment]="",Table1[Self-Care and Living Skills],Table1[Self-Care and Living Skills2]),"")))</f>
        <v/>
      </c>
      <c r="FM383" s="44" t="str">
        <f>IF(Table1[Leaving Date]="","",IF(Table1[Date of Initial Assessment]="","",IF(AND(Table1[Leaving Date]&gt;42094,Table1[Leaving Date]&lt;42461),IF(Table1[Date of Last Assessment]="",Table1[Managing Money and Personal Administration],Table1[Managing Money and Personal Administration2]),"")))</f>
        <v/>
      </c>
      <c r="FN383" s="44" t="str">
        <f>IF(Table1[Leaving Date]="","",IF(Table1[Date of Initial Assessment]="","",IF(AND(Table1[Leaving Date]&gt;42094,Table1[Leaving Date]&lt;42461),IF(Table1[Date of Last Assessment]="",Table1[Social Networks and Relationships],Table1[Social Networks and Relationships2]),"")))</f>
        <v/>
      </c>
      <c r="FO383" s="44" t="str">
        <f>IF(Table1[Leaving Date]="","",IF(Table1[Date of Initial Assessment]="","",IF(AND(Table1[Leaving Date]&gt;42094,Table1[Leaving Date]&lt;42461),IF(Table1[Date of Last Assessment]="",Table1[Drug and Alcohol Misuse],Table1[Drug and Alcohol Misuse2]),"")))</f>
        <v/>
      </c>
      <c r="FP383" s="44" t="str">
        <f>IF(Table1[Leaving Date]="","",IF(Table1[Date of Initial Assessment]="","",IF(AND(Table1[Leaving Date]&gt;42094,Table1[Leaving Date]&lt;42461),IF(Table1[Date of Last Assessment]="",Table1[Physical Health],Table1[Physical Health2]),"")))</f>
        <v/>
      </c>
      <c r="FQ383" s="44" t="str">
        <f>IF(Table1[Leaving Date]="","",IF(Table1[Date of Initial Assessment]="","",IF(AND(Table1[Leaving Date]&gt;42094,Table1[Leaving Date]&lt;42461),IF(Table1[Date of Last Assessment]="",Table1[Emotional and Mental Health],Table1[Emotional and Mental Health2]),"")))</f>
        <v/>
      </c>
      <c r="FR383" s="44" t="str">
        <f>IF(Table1[Leaving Date]="","",IF(Table1[Date of Initial Assessment]="","",IF(AND(Table1[Leaving Date]&gt;42094,Table1[Leaving Date]&lt;42461),IF(Table1[Date of Last Assessment]="",Table1[Meaningful Use of Time],Table1[Meaningful Use of Time2]),"")))</f>
        <v/>
      </c>
      <c r="FS383" s="44" t="str">
        <f>IF(Table1[Leaving Date]="","",IF(Table1[Date of Initial Assessment]="","",IF(AND(Table1[Leaving Date]&gt;42094,Table1[Leaving Date]&lt;42461),IF(Table1[Date of Last Assessment]="",Table1[Managing Tenancy and Accommodation],Table1[Managing Tenancy and Accommodation2]),"")))</f>
        <v/>
      </c>
      <c r="FT383" s="44" t="str">
        <f>IF(Table1[Leaving Date]="","",IF(Table1[Date of Initial Assessment]="","",IF(AND(Table1[Leaving Date]&gt;42094,Table1[Leaving Date]&lt;42461),IF(Table1[Date of Last Assessment]="",Table1[Offending],Table1[Offending2]),"")))</f>
        <v/>
      </c>
      <c r="FU383" s="44" t="str">
        <f>IF(Table1[Date of Initial Assessment]="","",IF(AND(Table1[Start Date]&gt;42460,Table1[Start Date]&lt;42826),Table1[Motivation and Taking Responsibility],""))</f>
        <v/>
      </c>
      <c r="FV383" s="44" t="str">
        <f>IF(Table1[Date of Initial Assessment]="","",IF(AND(Table1[Start Date]&gt;42460,Table1[Start Date]&lt;42826),Table1[Self-Care and Living Skills],""))</f>
        <v/>
      </c>
      <c r="FW383" s="44" t="str">
        <f>IF(Table1[Date of Initial Assessment]="","",IF(AND(Table1[Start Date]&gt;42460,Table1[Start Date]&lt;42826),Table1[Managing Money and Personal Administration],""))</f>
        <v/>
      </c>
      <c r="FX383" s="44" t="str">
        <f>IF(Table1[Date of Initial Assessment]="","",IF(AND(Table1[Start Date]&gt;42460,Table1[Start Date]&lt;42826),Table1[Social Networks and Relationships],""))</f>
        <v/>
      </c>
      <c r="FY383" s="44" t="str">
        <f>IF(Table1[Date of Initial Assessment]="","",IF(AND(Table1[Start Date]&gt;42460,Table1[Start Date]&lt;42826),Table1[Drug and Alcohol Misuse],""))</f>
        <v/>
      </c>
      <c r="FZ383" s="44" t="str">
        <f>IF(Table1[Date of Initial Assessment]="","",IF(AND(Table1[Start Date]&gt;42460,Table1[Start Date]&lt;42826),Table1[Physical Health],""))</f>
        <v/>
      </c>
      <c r="GA383" s="44" t="str">
        <f>IF(Table1[Date of Initial Assessment]="","",IF(AND(Table1[Start Date]&gt;42460,Table1[Start Date]&lt;42826),Table1[Emotional and Mental Health],""))</f>
        <v/>
      </c>
      <c r="GB383" s="44" t="str">
        <f>IF(Table1[Date of Initial Assessment]="","",IF(AND(Table1[Start Date]&gt;42460,Table1[Start Date]&lt;42826),Table1[Meaningful Use of Time],""))</f>
        <v/>
      </c>
      <c r="GC383" s="44" t="str">
        <f>IF(Table1[Date of Initial Assessment]="","",IF(AND(Table1[Start Date]&gt;42460,Table1[Start Date]&lt;42826),Table1[Managing Tenancy and Accommodation],""))</f>
        <v/>
      </c>
      <c r="GD383" s="44" t="str">
        <f>IF(Table1[Date of Initial Assessment]="","",IF(AND(Table1[Start Date]&gt;42460,Table1[Start Date]&lt;42826),Table1[Offending],""))</f>
        <v/>
      </c>
      <c r="GE383" s="44" t="str">
        <f>IF(Table1[Leaving Date]="","",IF(AND(Table1[Leaving Date]&gt;42460,Table1[Leaving Date]&lt;42826),IF(Table1[Date of Last Assessment]="",Table1[Motivation and Taking Responsibility],Table1[Motivation and Taking Responsibility2]),""))</f>
        <v/>
      </c>
      <c r="GF383" s="44" t="str">
        <f>IF(Table1[Leaving Date]="","",IF(AND(Table1[Leaving Date]&gt;42460,Table1[Leaving Date]&lt;42826),IF(Table1[Date of Last Assessment]="",Table1[Self-Care and Living Skills],Table1[Self-Care and Living Skills2]),""))</f>
        <v/>
      </c>
      <c r="GG383" s="44" t="str">
        <f>IF(Table1[Leaving Date]="","",IF(AND(Table1[Leaving Date]&gt;42460,Table1[Leaving Date]&lt;42826),IF(Table1[Date of Last Assessment]="",Table1[Managing Money and Personal Administration],Table1[Managing Money and Personal Administration2]),""))</f>
        <v/>
      </c>
      <c r="GH383" s="44" t="str">
        <f>IF(Table1[Leaving Date]="","",IF(AND(Table1[Leaving Date]&gt;42460,Table1[Leaving Date]&lt;42826),IF(Table1[Date of Last Assessment]="",Table1[Social Networks and Relationships],Table1[Social Networks and Relationships2]),""))</f>
        <v/>
      </c>
      <c r="GI383" s="44" t="str">
        <f>IF(Table1[Leaving Date]="","",IF(AND(Table1[Leaving Date]&gt;42460,Table1[Leaving Date]&lt;42826),IF(Table1[Date of Last Assessment]="",Table1[Drug and Alcohol Misuse],Table1[Drug and Alcohol Misuse2]),""))</f>
        <v/>
      </c>
      <c r="GJ383" s="44" t="str">
        <f>IF(Table1[Leaving Date]="","",IF(AND(Table1[Leaving Date]&gt;42460,Table1[Leaving Date]&lt;42826),IF(Table1[Date of Last Assessment]="",Table1[Physical Health],Table1[Physical Health2]),""))</f>
        <v/>
      </c>
      <c r="GK383" s="44" t="str">
        <f>IF(Table1[Leaving Date]="","",IF(AND(Table1[Leaving Date]&gt;42460,Table1[Leaving Date]&lt;42826),IF(Table1[Date of Last Assessment]="",Table1[Emotional and Mental Health],Table1[Emotional and Mental Health2]),""))</f>
        <v/>
      </c>
      <c r="GL383" s="44" t="str">
        <f>IF(Table1[Leaving Date]="","",IF(AND(Table1[Leaving Date]&gt;42460,Table1[Leaving Date]&lt;42826),IF(Table1[Date of Last Assessment]="",Table1[Meaningful Use of Time],Table1[Meaningful Use of Time2]),""))</f>
        <v/>
      </c>
      <c r="GM383" s="44" t="str">
        <f>IF(Table1[Leaving Date]="","",IF(AND(Table1[Leaving Date]&gt;42460,Table1[Leaving Date]&lt;42826),IF(Table1[Date of Last Assessment]="",Table1[Managing Tenancy and Accommodation],Table1[Managing Tenancy and Accommodation2]),""))</f>
        <v/>
      </c>
      <c r="GN383" s="44" t="str">
        <f>IF(Table1[Leaving Date]="","",IF(AND(Table1[Leaving Date]&gt;42460,Table1[Leaving Date]&lt;42826),IF(Table1[Date of Last Assessment]="",Table1[Offending],Table1[Offending2]),""))</f>
        <v/>
      </c>
    </row>
    <row r="384" spans="2:196" ht="20.100000000000001" customHeight="1" x14ac:dyDescent="0.2">
      <c r="B384" s="86">
        <f>+'Service Data'!$C$5:$C$5</f>
        <v>0</v>
      </c>
      <c r="C384" s="86"/>
      <c r="D384" s="86"/>
      <c r="E384" s="86"/>
      <c r="F384" s="86"/>
      <c r="G384" s="86"/>
      <c r="H384" s="6"/>
      <c r="I384" s="99" t="str">
        <f ca="1">IF(Table1[[#This Row],[Date of Birth]]="","",SUM(TODAY()-Table1[[#This Row],[Date of Birth]])/365)</f>
        <v/>
      </c>
      <c r="L384" s="86"/>
      <c r="M384" s="77"/>
      <c r="N384" s="86"/>
      <c r="O384" s="86"/>
      <c r="P384" s="91"/>
      <c r="Q384" s="86"/>
      <c r="R384" s="77"/>
      <c r="S384" s="77"/>
      <c r="T384" s="68"/>
      <c r="U384" s="68"/>
      <c r="V384" s="67"/>
      <c r="W384" s="67"/>
      <c r="X384" s="67"/>
      <c r="Y384" s="67"/>
      <c r="Z384" s="67"/>
      <c r="AA384" s="67"/>
      <c r="AB384" s="67"/>
      <c r="AC384" s="67"/>
      <c r="AD384" s="67"/>
      <c r="AE384" s="67"/>
      <c r="AF384" s="67"/>
      <c r="AG384" s="67"/>
      <c r="AH384" s="67"/>
      <c r="AI384" s="67"/>
      <c r="AJ384" s="67"/>
      <c r="AK384" s="67"/>
      <c r="AL384" s="67"/>
      <c r="AM384" s="67"/>
      <c r="AN384" s="77"/>
      <c r="AO384" s="76"/>
      <c r="AP384" s="77"/>
      <c r="AQ384" s="76"/>
      <c r="AR384" s="76"/>
      <c r="AS384" s="76"/>
      <c r="AT384" s="76"/>
      <c r="AU384" s="76"/>
      <c r="AV384" s="77"/>
      <c r="AW384" s="76"/>
      <c r="AX384" s="77"/>
      <c r="AY384" s="76"/>
      <c r="AZ384" s="76"/>
      <c r="BA384" s="76"/>
      <c r="BB384" s="76"/>
      <c r="BC384" s="76"/>
      <c r="BD384" s="77"/>
      <c r="BE384" s="76"/>
      <c r="BF384" s="77"/>
      <c r="BG384" s="76"/>
      <c r="BH384" s="76"/>
      <c r="BI384" s="76"/>
      <c r="BJ384" s="76"/>
      <c r="BK384" s="76"/>
      <c r="BL384" s="77"/>
      <c r="BM384" s="76"/>
      <c r="BN384" s="77"/>
      <c r="BO384" s="76"/>
      <c r="BP384" s="76"/>
      <c r="BQ384" s="76"/>
      <c r="BR384" s="76"/>
      <c r="BS384" s="76"/>
      <c r="BT384" s="77"/>
      <c r="BU384" s="76"/>
      <c r="BV384" s="77"/>
      <c r="BW384" s="76"/>
      <c r="BX384" s="76"/>
      <c r="BY384" s="76"/>
      <c r="BZ384" s="76"/>
      <c r="CA384" s="76"/>
      <c r="CB384" s="77"/>
      <c r="CC384" s="76"/>
      <c r="CD384" s="77"/>
      <c r="CE384" s="76"/>
      <c r="CF384" s="76"/>
      <c r="CG384" s="76"/>
      <c r="CH384" s="76"/>
      <c r="CI384" s="76"/>
      <c r="CJ384" s="77"/>
      <c r="CK384" s="76"/>
      <c r="CL384" s="77"/>
      <c r="CM384" s="76"/>
      <c r="CN384" s="76"/>
      <c r="CO384" s="76"/>
      <c r="CP384" s="76"/>
      <c r="CQ384" s="76"/>
      <c r="CR384" s="78" t="str">
        <f t="shared" si="95"/>
        <v/>
      </c>
      <c r="CS384" s="79" t="str">
        <f t="shared" si="96"/>
        <v/>
      </c>
      <c r="CT384" s="79" t="str">
        <f t="shared" si="97"/>
        <v/>
      </c>
      <c r="CU384" s="79" t="str">
        <f t="shared" si="98"/>
        <v/>
      </c>
      <c r="CV384" s="79" t="str">
        <f t="shared" si="99"/>
        <v/>
      </c>
      <c r="CW384" s="79" t="str">
        <f t="shared" si="100"/>
        <v/>
      </c>
      <c r="CX384" s="79" t="str">
        <f t="shared" si="101"/>
        <v/>
      </c>
      <c r="CY384" s="79" t="str">
        <f t="shared" si="102"/>
        <v/>
      </c>
      <c r="CZ384" s="79" t="str">
        <f t="shared" si="103"/>
        <v/>
      </c>
      <c r="DA384" s="79" t="str">
        <f t="shared" si="104"/>
        <v/>
      </c>
      <c r="DB384" s="79" t="str">
        <f t="shared" si="105"/>
        <v/>
      </c>
      <c r="DC384" s="79" t="str">
        <f t="shared" si="106"/>
        <v/>
      </c>
      <c r="DD384" s="79" t="str">
        <f t="shared" si="107"/>
        <v/>
      </c>
      <c r="DE384" s="79" t="str">
        <f t="shared" si="108"/>
        <v/>
      </c>
      <c r="DF384" s="79" t="str">
        <f t="shared" si="109"/>
        <v/>
      </c>
      <c r="DG384" s="79" t="str">
        <f t="shared" si="110"/>
        <v/>
      </c>
      <c r="DH384" s="76"/>
      <c r="DI384" s="78"/>
      <c r="DJ384" s="76"/>
      <c r="DK384" s="77"/>
      <c r="DL384" s="77"/>
      <c r="DM384" s="77"/>
      <c r="DN384" s="80"/>
      <c r="DO384" s="80"/>
      <c r="DP384" s="92" t="str">
        <f>IF(Table1[Start Date]="","",IF(Table1[Start Date]&gt;42185,"",IF(AND(Table1[Leaving Date]&gt;1,Table1[Leaving Date]&lt;42095),"",1)))</f>
        <v/>
      </c>
      <c r="DQ384" s="92" t="str">
        <f>IF(Table1[Start Date]="","",IF(Table1[Start Date]&gt;42277,"",IF(AND(Table1[Leaving Date]&gt;1,Table1[Leaving Date]&lt;42186),"",1)))</f>
        <v/>
      </c>
      <c r="DR384" s="92" t="str">
        <f>IF(Table1[Start Date]="","",IF(Table1[Start Date]&gt;42369,"",IF(AND(Table1[Leaving Date]&gt;1,Table1[Leaving Date]&lt;42278),"",1)))</f>
        <v/>
      </c>
      <c r="DS384" s="92" t="str">
        <f>IF(Table1[Start Date]="","",IF(Table1[Start Date]&gt;42460,"",IF(AND(Table1[Leaving Date]&gt;1,Table1[Leaving Date]&lt;42370),"",1)))</f>
        <v/>
      </c>
      <c r="DT384" s="92" t="str">
        <f>IF(Table1[Start Date]="","",IF(Table1[Start Date]&gt;42551,"",IF(AND(Table1[Leaving Date]&gt;1,Table1[Leaving Date]&lt;42461),"",1)))</f>
        <v/>
      </c>
      <c r="DU384" s="92" t="str">
        <f>IF(Table1[Start Date]="","",IF(Table1[Start Date]&gt;42643,"",IF(AND(Table1[Leaving Date]&gt;1,Table1[Leaving Date]&lt;42552),"",1)))</f>
        <v/>
      </c>
      <c r="DV384" s="92" t="str">
        <f>IF(Table1[Start Date]="","",IF(Table1[Start Date]&gt;42735,"",IF(AND(Table1[Leaving Date]&gt;1,Table1[Leaving Date]&lt;42644),"",1)))</f>
        <v/>
      </c>
      <c r="DW384" s="92" t="str">
        <f>IF(Table1[Start Date]="","",IF(Table1[Start Date]&gt;42825,"",IF(AND(Table1[Leaving Date]&gt;1,Table1[Leaving Date]&lt;42736),"",1)))</f>
        <v/>
      </c>
      <c r="DX384"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384" s="44" t="e">
        <f>VLOOKUP(Table1[Referral Source],Lists!$G$2:$H$20,2,FALSE)</f>
        <v>#N/A</v>
      </c>
      <c r="DZ384" s="93" t="e">
        <f>SUM(Table1[Data Referral Quarter]+Table1[Data Referral Source])</f>
        <v>#N/A</v>
      </c>
      <c r="EA384" s="44" t="b">
        <f>IF(Table1[Referral Decision]="Accepted",100,IF(Table1[Referral Decision]="Rejected by Provider",200,IF(Table1[Referral Decision]="Rejected by Applicant",300)))</f>
        <v>0</v>
      </c>
      <c r="EB384" s="44">
        <f>SUM(Table1[Data Referral Quarter]+Table1[Data Referral Decision])</f>
        <v>0</v>
      </c>
      <c r="EC384" s="44" t="b">
        <f>IF(Table1[Start Date]&gt;42735,8000,IF(Table1[Start Date]&gt;42643,7000,IF(Table1[Start Date]&gt;42551,6000,IF(Table1[Start Date]&gt;42460,5000,IF(Table1[Start Date]&gt;42369,4000,IF(Table1[Start Date]&gt;42277,3000,IF(Table1[Start Date]&gt;42185,2000,IF(Table1[Start Date]&gt;42094,1000))))))))</f>
        <v>0</v>
      </c>
      <c r="ED384" s="44" t="str">
        <f>IF(Table1[Start Date]="","",IF(Table1[Current Local Authority]="Swindon",1,"2"))</f>
        <v/>
      </c>
      <c r="EE384" s="44" t="e">
        <f>SUM(Table1[Data Start Date]+Table1[Data Local Authority])</f>
        <v>#VALUE!</v>
      </c>
      <c r="EF384" s="44">
        <f>IF(Table1[Registered with GP]="Yes",1,0)</f>
        <v>0</v>
      </c>
      <c r="EG384" s="44">
        <f>SUM(Table1[Data Start Date]+Table1[Data GP Start])</f>
        <v>0</v>
      </c>
      <c r="EH384" s="44" t="str">
        <f>IF(Table1[EET]="NEET",1,IF(Table1[EET]="Education",2,IF(Table1[EET]="Employment",2,IF(Table1[EET]="Training",2,IF(Table1[EET]="Retired",3,"")))))</f>
        <v/>
      </c>
      <c r="EI384" s="44" t="e">
        <f>Table1[Data Start Date]+Table1[Data EET Start]</f>
        <v>#VALUE!</v>
      </c>
      <c r="EJ384" s="44" t="b">
        <f>IF(Table1[Leaving Date]&gt;42735,8000,IF(Table1[Leaving Date]&gt;42643,7000,IF(Table1[Leaving Date]&gt;42551,6000,IF(Table1[Leaving Date]&gt;42460,5000,IF(Table1[Leaving Date]&gt;42369,4000,IF(Table1[Leaving Date]&gt;42277,3000,IF(Table1[Leaving Date]&gt;42185,2000,IF(Table1[Leaving Date]&gt;42094,1000))))))))</f>
        <v>0</v>
      </c>
      <c r="EK384" s="44" t="e">
        <f>VLOOKUP(Table1[Reason for Leaving],Lists!$T$2:$U$15,2,FALSE)</f>
        <v>#N/A</v>
      </c>
      <c r="EL384" s="44" t="e">
        <f>SUM(Table1[Data Leavers Date]+Table1[Data Move On])</f>
        <v>#N/A</v>
      </c>
      <c r="EM384" s="44" t="b">
        <f>IF(Table1[Registered with GP2]="Yes",1,IF(Table1[Registered with GP2]="No",0,IF(Table1[Registered with GP]="Yes",1,IF(Table1[Registered with GP]="No",0))))</f>
        <v>0</v>
      </c>
      <c r="EN384" s="44">
        <f>SUM(Table1[Data Leavers Date]+Table1[Data GP End])</f>
        <v>0</v>
      </c>
      <c r="EO384" s="44" t="str">
        <f>IF(Table1[EET2]="NEET",1,IF(Table1[EET2]="Employment",2,IF(Table1[EET2]="Education",2,IF(Table1[EET2]="Training",2,IF(Table1[EET2]="Retired",3,IF(Table1[EET]="NEET",1,IF(Table1[EET]="Employment",2,IF(Table1[EET]="Education",2,IF(Table1[EET]="Training",2,IF(Table1[EET]="Retired",3,""))))))))))</f>
        <v/>
      </c>
      <c r="EP384" s="44" t="e">
        <f>+Table1[[#This Row],[Data Leavers Date]]+Table1[[#This Row],[Data EET End]]</f>
        <v>#VALUE!</v>
      </c>
      <c r="EQ384" s="44">
        <f>IF(Table1[Exit Form Received]="Yes",1,0)</f>
        <v>0</v>
      </c>
      <c r="ER384" s="44">
        <f>+Table1[[#This Row],[Data Leavers Date]]+Table1[[#This Row],[Data Exit Forms]]</f>
        <v>0</v>
      </c>
      <c r="ES384" s="44" t="str">
        <f>IF(Table1[Data Leavers Date]=1000,SUM(Table1[Leaving Date]-Table1[Start Date]),"")</f>
        <v/>
      </c>
      <c r="ET384" s="44" t="str">
        <f>IF(Table1[Data Leavers Date]=2000,SUM(Table1[Leaving Date]-Table1[Start Date]),"")</f>
        <v/>
      </c>
      <c r="EU384" s="44" t="str">
        <f>IF(Table1[Data Leavers Date]=3000,SUM(Table1[Leaving Date]-Table1[Start Date]),"")</f>
        <v/>
      </c>
      <c r="EV384" s="44" t="str">
        <f>IF(Table1[Data Leavers Date]=4000,SUM(Table1[Leaving Date]-Table1[Start Date]),"")</f>
        <v/>
      </c>
      <c r="EW384" s="44" t="str">
        <f>IF(Table1[Data Leavers Date]=5000,SUM(Table1[Leaving Date]-Table1[Start Date]),"")</f>
        <v/>
      </c>
      <c r="EX384" s="44" t="str">
        <f>IF(Table1[Data Leavers Date]=6000,SUM(Table1[Leaving Date]-Table1[Start Date]),"")</f>
        <v/>
      </c>
      <c r="EY384" s="44" t="str">
        <f>IF(Table1[Data Leavers Date]=7000,SUM(Table1[Leaving Date]-Table1[Start Date]),"")</f>
        <v/>
      </c>
      <c r="EZ384" s="44" t="str">
        <f>IF(Table1[Data Leavers Date]=8000,SUM(Table1[Leaving Date]-Table1[Start Date]),"")</f>
        <v/>
      </c>
      <c r="FA384" s="44" t="str">
        <f>IF(Table1[Date of Initial Assessment]="","",IF(AND(Table1[Start Date]&gt;42094,Table1[Start Date]&lt;42461),Table1[Motivation and Taking Responsibility],""))</f>
        <v/>
      </c>
      <c r="FB384" s="44" t="str">
        <f>IF(Table1[Date of Initial Assessment]="","",IF(AND(Table1[Start Date]&gt;42094,Table1[Start Date]&lt;42461),Table1[Self-Care and Living Skills],""))</f>
        <v/>
      </c>
      <c r="FC384" s="44" t="str">
        <f>IF(Table1[Date of Initial Assessment]="","",IF(AND(Table1[Start Date]&gt;42094,Table1[Start Date]&lt;42461),Table1[Managing Money and Personal Administration],""))</f>
        <v/>
      </c>
      <c r="FD384" s="44" t="str">
        <f>IF(Table1[Date of Initial Assessment]="","",IF(AND(Table1[Start Date]&gt;42094,Table1[Start Date]&lt;42461),Table1[Social Networks and Relationships],""))</f>
        <v/>
      </c>
      <c r="FE384" s="44" t="str">
        <f>IF(Table1[Date of Initial Assessment]="","",IF(AND(Table1[Start Date]&gt;42094,Table1[Start Date]&lt;42461),Table1[Drug and Alcohol Misuse],""))</f>
        <v/>
      </c>
      <c r="FF384" s="44" t="str">
        <f>IF(Table1[Date of Initial Assessment]="","",IF(AND(Table1[Start Date]&gt;42094,Table1[Start Date]&lt;42461),Table1[Physical Health],""))</f>
        <v/>
      </c>
      <c r="FG384" s="44" t="str">
        <f>IF(Table1[Date of Initial Assessment]="","",IF(AND(Table1[Start Date]&gt;42094,Table1[Start Date]&lt;42461),Table1[Emotional and Mental Health],""))</f>
        <v/>
      </c>
      <c r="FH384" s="44" t="str">
        <f>IF(Table1[Date of Initial Assessment]="","",IF(AND(Table1[Start Date]&gt;42094,Table1[Start Date]&lt;42461),Table1[Meaningful Use of Time],""))</f>
        <v/>
      </c>
      <c r="FI384" s="44" t="str">
        <f>IF(Table1[Date of Initial Assessment]="","",IF(AND(Table1[Start Date]&gt;42094,Table1[Start Date]&lt;42461),Table1[Managing Tenancy and Accommodation],""))</f>
        <v/>
      </c>
      <c r="FJ384" s="44" t="str">
        <f>IF(Table1[Date of Initial Assessment]="","",IF(AND(Table1[Start Date]&gt;42094,Table1[Start Date]&lt;42461),Table1[Offending],""))</f>
        <v/>
      </c>
      <c r="FK384" s="44" t="str">
        <f>IF(Table1[Leaving Date]="","",IF(Table1[Date of Initial Assessment]="","",IF(AND(Table1[Leaving Date]&gt;42094,Table1[Leaving Date]&lt;42461),IF(Table1[Date of Last Assessment]="",Table1[Motivation and Taking Responsibility],Table1[Motivation and Taking Responsibility2]),"")))</f>
        <v/>
      </c>
      <c r="FL384" s="44" t="str">
        <f>IF(Table1[Leaving Date]="","",IF(Table1[Date of Initial Assessment]="","",IF(AND(Table1[Leaving Date]&gt;42094,Table1[Leaving Date]&lt;42461),IF(Table1[Date of Last Assessment]="",Table1[Self-Care and Living Skills],Table1[Self-Care and Living Skills2]),"")))</f>
        <v/>
      </c>
      <c r="FM384" s="44" t="str">
        <f>IF(Table1[Leaving Date]="","",IF(Table1[Date of Initial Assessment]="","",IF(AND(Table1[Leaving Date]&gt;42094,Table1[Leaving Date]&lt;42461),IF(Table1[Date of Last Assessment]="",Table1[Managing Money and Personal Administration],Table1[Managing Money and Personal Administration2]),"")))</f>
        <v/>
      </c>
      <c r="FN384" s="44" t="str">
        <f>IF(Table1[Leaving Date]="","",IF(Table1[Date of Initial Assessment]="","",IF(AND(Table1[Leaving Date]&gt;42094,Table1[Leaving Date]&lt;42461),IF(Table1[Date of Last Assessment]="",Table1[Social Networks and Relationships],Table1[Social Networks and Relationships2]),"")))</f>
        <v/>
      </c>
      <c r="FO384" s="44" t="str">
        <f>IF(Table1[Leaving Date]="","",IF(Table1[Date of Initial Assessment]="","",IF(AND(Table1[Leaving Date]&gt;42094,Table1[Leaving Date]&lt;42461),IF(Table1[Date of Last Assessment]="",Table1[Drug and Alcohol Misuse],Table1[Drug and Alcohol Misuse2]),"")))</f>
        <v/>
      </c>
      <c r="FP384" s="44" t="str">
        <f>IF(Table1[Leaving Date]="","",IF(Table1[Date of Initial Assessment]="","",IF(AND(Table1[Leaving Date]&gt;42094,Table1[Leaving Date]&lt;42461),IF(Table1[Date of Last Assessment]="",Table1[Physical Health],Table1[Physical Health2]),"")))</f>
        <v/>
      </c>
      <c r="FQ384" s="44" t="str">
        <f>IF(Table1[Leaving Date]="","",IF(Table1[Date of Initial Assessment]="","",IF(AND(Table1[Leaving Date]&gt;42094,Table1[Leaving Date]&lt;42461),IF(Table1[Date of Last Assessment]="",Table1[Emotional and Mental Health],Table1[Emotional and Mental Health2]),"")))</f>
        <v/>
      </c>
      <c r="FR384" s="44" t="str">
        <f>IF(Table1[Leaving Date]="","",IF(Table1[Date of Initial Assessment]="","",IF(AND(Table1[Leaving Date]&gt;42094,Table1[Leaving Date]&lt;42461),IF(Table1[Date of Last Assessment]="",Table1[Meaningful Use of Time],Table1[Meaningful Use of Time2]),"")))</f>
        <v/>
      </c>
      <c r="FS384" s="44" t="str">
        <f>IF(Table1[Leaving Date]="","",IF(Table1[Date of Initial Assessment]="","",IF(AND(Table1[Leaving Date]&gt;42094,Table1[Leaving Date]&lt;42461),IF(Table1[Date of Last Assessment]="",Table1[Managing Tenancy and Accommodation],Table1[Managing Tenancy and Accommodation2]),"")))</f>
        <v/>
      </c>
      <c r="FT384" s="44" t="str">
        <f>IF(Table1[Leaving Date]="","",IF(Table1[Date of Initial Assessment]="","",IF(AND(Table1[Leaving Date]&gt;42094,Table1[Leaving Date]&lt;42461),IF(Table1[Date of Last Assessment]="",Table1[Offending],Table1[Offending2]),"")))</f>
        <v/>
      </c>
      <c r="FU384" s="44" t="str">
        <f>IF(Table1[Date of Initial Assessment]="","",IF(AND(Table1[Start Date]&gt;42460,Table1[Start Date]&lt;42826),Table1[Motivation and Taking Responsibility],""))</f>
        <v/>
      </c>
      <c r="FV384" s="44" t="str">
        <f>IF(Table1[Date of Initial Assessment]="","",IF(AND(Table1[Start Date]&gt;42460,Table1[Start Date]&lt;42826),Table1[Self-Care and Living Skills],""))</f>
        <v/>
      </c>
      <c r="FW384" s="44" t="str">
        <f>IF(Table1[Date of Initial Assessment]="","",IF(AND(Table1[Start Date]&gt;42460,Table1[Start Date]&lt;42826),Table1[Managing Money and Personal Administration],""))</f>
        <v/>
      </c>
      <c r="FX384" s="44" t="str">
        <f>IF(Table1[Date of Initial Assessment]="","",IF(AND(Table1[Start Date]&gt;42460,Table1[Start Date]&lt;42826),Table1[Social Networks and Relationships],""))</f>
        <v/>
      </c>
      <c r="FY384" s="44" t="str">
        <f>IF(Table1[Date of Initial Assessment]="","",IF(AND(Table1[Start Date]&gt;42460,Table1[Start Date]&lt;42826),Table1[Drug and Alcohol Misuse],""))</f>
        <v/>
      </c>
      <c r="FZ384" s="44" t="str">
        <f>IF(Table1[Date of Initial Assessment]="","",IF(AND(Table1[Start Date]&gt;42460,Table1[Start Date]&lt;42826),Table1[Physical Health],""))</f>
        <v/>
      </c>
      <c r="GA384" s="44" t="str">
        <f>IF(Table1[Date of Initial Assessment]="","",IF(AND(Table1[Start Date]&gt;42460,Table1[Start Date]&lt;42826),Table1[Emotional and Mental Health],""))</f>
        <v/>
      </c>
      <c r="GB384" s="44" t="str">
        <f>IF(Table1[Date of Initial Assessment]="","",IF(AND(Table1[Start Date]&gt;42460,Table1[Start Date]&lt;42826),Table1[Meaningful Use of Time],""))</f>
        <v/>
      </c>
      <c r="GC384" s="44" t="str">
        <f>IF(Table1[Date of Initial Assessment]="","",IF(AND(Table1[Start Date]&gt;42460,Table1[Start Date]&lt;42826),Table1[Managing Tenancy and Accommodation],""))</f>
        <v/>
      </c>
      <c r="GD384" s="44" t="str">
        <f>IF(Table1[Date of Initial Assessment]="","",IF(AND(Table1[Start Date]&gt;42460,Table1[Start Date]&lt;42826),Table1[Offending],""))</f>
        <v/>
      </c>
      <c r="GE384" s="44" t="str">
        <f>IF(Table1[Leaving Date]="","",IF(AND(Table1[Leaving Date]&gt;42460,Table1[Leaving Date]&lt;42826),IF(Table1[Date of Last Assessment]="",Table1[Motivation and Taking Responsibility],Table1[Motivation and Taking Responsibility2]),""))</f>
        <v/>
      </c>
      <c r="GF384" s="44" t="str">
        <f>IF(Table1[Leaving Date]="","",IF(AND(Table1[Leaving Date]&gt;42460,Table1[Leaving Date]&lt;42826),IF(Table1[Date of Last Assessment]="",Table1[Self-Care and Living Skills],Table1[Self-Care and Living Skills2]),""))</f>
        <v/>
      </c>
      <c r="GG384" s="44" t="str">
        <f>IF(Table1[Leaving Date]="","",IF(AND(Table1[Leaving Date]&gt;42460,Table1[Leaving Date]&lt;42826),IF(Table1[Date of Last Assessment]="",Table1[Managing Money and Personal Administration],Table1[Managing Money and Personal Administration2]),""))</f>
        <v/>
      </c>
      <c r="GH384" s="44" t="str">
        <f>IF(Table1[Leaving Date]="","",IF(AND(Table1[Leaving Date]&gt;42460,Table1[Leaving Date]&lt;42826),IF(Table1[Date of Last Assessment]="",Table1[Social Networks and Relationships],Table1[Social Networks and Relationships2]),""))</f>
        <v/>
      </c>
      <c r="GI384" s="44" t="str">
        <f>IF(Table1[Leaving Date]="","",IF(AND(Table1[Leaving Date]&gt;42460,Table1[Leaving Date]&lt;42826),IF(Table1[Date of Last Assessment]="",Table1[Drug and Alcohol Misuse],Table1[Drug and Alcohol Misuse2]),""))</f>
        <v/>
      </c>
      <c r="GJ384" s="44" t="str">
        <f>IF(Table1[Leaving Date]="","",IF(AND(Table1[Leaving Date]&gt;42460,Table1[Leaving Date]&lt;42826),IF(Table1[Date of Last Assessment]="",Table1[Physical Health],Table1[Physical Health2]),""))</f>
        <v/>
      </c>
      <c r="GK384" s="44" t="str">
        <f>IF(Table1[Leaving Date]="","",IF(AND(Table1[Leaving Date]&gt;42460,Table1[Leaving Date]&lt;42826),IF(Table1[Date of Last Assessment]="",Table1[Emotional and Mental Health],Table1[Emotional and Mental Health2]),""))</f>
        <v/>
      </c>
      <c r="GL384" s="44" t="str">
        <f>IF(Table1[Leaving Date]="","",IF(AND(Table1[Leaving Date]&gt;42460,Table1[Leaving Date]&lt;42826),IF(Table1[Date of Last Assessment]="",Table1[Meaningful Use of Time],Table1[Meaningful Use of Time2]),""))</f>
        <v/>
      </c>
      <c r="GM384" s="44" t="str">
        <f>IF(Table1[Leaving Date]="","",IF(AND(Table1[Leaving Date]&gt;42460,Table1[Leaving Date]&lt;42826),IF(Table1[Date of Last Assessment]="",Table1[Managing Tenancy and Accommodation],Table1[Managing Tenancy and Accommodation2]),""))</f>
        <v/>
      </c>
      <c r="GN384" s="44" t="str">
        <f>IF(Table1[Leaving Date]="","",IF(AND(Table1[Leaving Date]&gt;42460,Table1[Leaving Date]&lt;42826),IF(Table1[Date of Last Assessment]="",Table1[Offending],Table1[Offending2]),""))</f>
        <v/>
      </c>
    </row>
    <row r="385" spans="2:196" ht="20.100000000000001" customHeight="1" x14ac:dyDescent="0.2">
      <c r="B385" s="86">
        <f>+'Service Data'!$C$5:$C$5</f>
        <v>0</v>
      </c>
      <c r="C385" s="86"/>
      <c r="D385" s="86"/>
      <c r="E385" s="86"/>
      <c r="F385" s="86"/>
      <c r="G385" s="86"/>
      <c r="H385" s="6"/>
      <c r="I385" s="99" t="str">
        <f ca="1">IF(Table1[[#This Row],[Date of Birth]]="","",SUM(TODAY()-Table1[[#This Row],[Date of Birth]])/365)</f>
        <v/>
      </c>
      <c r="L385" s="86"/>
      <c r="M385" s="77"/>
      <c r="N385" s="86"/>
      <c r="O385" s="86"/>
      <c r="P385" s="91"/>
      <c r="Q385" s="86"/>
      <c r="R385" s="77"/>
      <c r="S385" s="77"/>
      <c r="T385" s="68"/>
      <c r="U385" s="68"/>
      <c r="V385" s="67"/>
      <c r="W385" s="67"/>
      <c r="X385" s="67"/>
      <c r="Y385" s="67"/>
      <c r="Z385" s="67"/>
      <c r="AA385" s="67"/>
      <c r="AB385" s="67"/>
      <c r="AC385" s="67"/>
      <c r="AD385" s="67"/>
      <c r="AE385" s="67"/>
      <c r="AF385" s="67"/>
      <c r="AG385" s="67"/>
      <c r="AH385" s="67"/>
      <c r="AI385" s="67"/>
      <c r="AJ385" s="67"/>
      <c r="AK385" s="67"/>
      <c r="AL385" s="67"/>
      <c r="AM385" s="67"/>
      <c r="AN385" s="77"/>
      <c r="AO385" s="76"/>
      <c r="AP385" s="77"/>
      <c r="AQ385" s="76"/>
      <c r="AR385" s="76"/>
      <c r="AS385" s="76"/>
      <c r="AT385" s="76"/>
      <c r="AU385" s="76"/>
      <c r="AV385" s="77"/>
      <c r="AW385" s="76"/>
      <c r="AX385" s="77"/>
      <c r="AY385" s="76"/>
      <c r="AZ385" s="76"/>
      <c r="BA385" s="76"/>
      <c r="BB385" s="76"/>
      <c r="BC385" s="76"/>
      <c r="BD385" s="77"/>
      <c r="BE385" s="76"/>
      <c r="BF385" s="77"/>
      <c r="BG385" s="76"/>
      <c r="BH385" s="76"/>
      <c r="BI385" s="76"/>
      <c r="BJ385" s="76"/>
      <c r="BK385" s="76"/>
      <c r="BL385" s="77"/>
      <c r="BM385" s="76"/>
      <c r="BN385" s="77"/>
      <c r="BO385" s="76"/>
      <c r="BP385" s="76"/>
      <c r="BQ385" s="76"/>
      <c r="BR385" s="76"/>
      <c r="BS385" s="76"/>
      <c r="BT385" s="77"/>
      <c r="BU385" s="76"/>
      <c r="BV385" s="77"/>
      <c r="BW385" s="76"/>
      <c r="BX385" s="76"/>
      <c r="BY385" s="76"/>
      <c r="BZ385" s="76"/>
      <c r="CA385" s="76"/>
      <c r="CB385" s="77"/>
      <c r="CC385" s="76"/>
      <c r="CD385" s="77"/>
      <c r="CE385" s="76"/>
      <c r="CF385" s="76"/>
      <c r="CG385" s="76"/>
      <c r="CH385" s="76"/>
      <c r="CI385" s="76"/>
      <c r="CJ385" s="77"/>
      <c r="CK385" s="76"/>
      <c r="CL385" s="77"/>
      <c r="CM385" s="76"/>
      <c r="CN385" s="76"/>
      <c r="CO385" s="76"/>
      <c r="CP385" s="76"/>
      <c r="CQ385" s="76"/>
      <c r="CR385" s="78" t="str">
        <f t="shared" si="95"/>
        <v/>
      </c>
      <c r="CS385" s="79" t="str">
        <f t="shared" si="96"/>
        <v/>
      </c>
      <c r="CT385" s="79" t="str">
        <f t="shared" si="97"/>
        <v/>
      </c>
      <c r="CU385" s="79" t="str">
        <f t="shared" si="98"/>
        <v/>
      </c>
      <c r="CV385" s="79" t="str">
        <f t="shared" si="99"/>
        <v/>
      </c>
      <c r="CW385" s="79" t="str">
        <f t="shared" si="100"/>
        <v/>
      </c>
      <c r="CX385" s="79" t="str">
        <f t="shared" si="101"/>
        <v/>
      </c>
      <c r="CY385" s="79" t="str">
        <f t="shared" si="102"/>
        <v/>
      </c>
      <c r="CZ385" s="79" t="str">
        <f t="shared" si="103"/>
        <v/>
      </c>
      <c r="DA385" s="79" t="str">
        <f t="shared" si="104"/>
        <v/>
      </c>
      <c r="DB385" s="79" t="str">
        <f t="shared" si="105"/>
        <v/>
      </c>
      <c r="DC385" s="79" t="str">
        <f t="shared" si="106"/>
        <v/>
      </c>
      <c r="DD385" s="79" t="str">
        <f t="shared" si="107"/>
        <v/>
      </c>
      <c r="DE385" s="79" t="str">
        <f t="shared" si="108"/>
        <v/>
      </c>
      <c r="DF385" s="79" t="str">
        <f t="shared" si="109"/>
        <v/>
      </c>
      <c r="DG385" s="79" t="str">
        <f t="shared" si="110"/>
        <v/>
      </c>
      <c r="DH385" s="76"/>
      <c r="DI385" s="78"/>
      <c r="DJ385" s="76"/>
      <c r="DK385" s="77"/>
      <c r="DL385" s="77"/>
      <c r="DM385" s="77"/>
      <c r="DN385" s="80"/>
      <c r="DO385" s="80"/>
      <c r="DP385" s="92" t="str">
        <f>IF(Table1[Start Date]="","",IF(Table1[Start Date]&gt;42185,"",IF(AND(Table1[Leaving Date]&gt;1,Table1[Leaving Date]&lt;42095),"",1)))</f>
        <v/>
      </c>
      <c r="DQ385" s="92" t="str">
        <f>IF(Table1[Start Date]="","",IF(Table1[Start Date]&gt;42277,"",IF(AND(Table1[Leaving Date]&gt;1,Table1[Leaving Date]&lt;42186),"",1)))</f>
        <v/>
      </c>
      <c r="DR385" s="92" t="str">
        <f>IF(Table1[Start Date]="","",IF(Table1[Start Date]&gt;42369,"",IF(AND(Table1[Leaving Date]&gt;1,Table1[Leaving Date]&lt;42278),"",1)))</f>
        <v/>
      </c>
      <c r="DS385" s="92" t="str">
        <f>IF(Table1[Start Date]="","",IF(Table1[Start Date]&gt;42460,"",IF(AND(Table1[Leaving Date]&gt;1,Table1[Leaving Date]&lt;42370),"",1)))</f>
        <v/>
      </c>
      <c r="DT385" s="92" t="str">
        <f>IF(Table1[Start Date]="","",IF(Table1[Start Date]&gt;42551,"",IF(AND(Table1[Leaving Date]&gt;1,Table1[Leaving Date]&lt;42461),"",1)))</f>
        <v/>
      </c>
      <c r="DU385" s="92" t="str">
        <f>IF(Table1[Start Date]="","",IF(Table1[Start Date]&gt;42643,"",IF(AND(Table1[Leaving Date]&gt;1,Table1[Leaving Date]&lt;42552),"",1)))</f>
        <v/>
      </c>
      <c r="DV385" s="92" t="str">
        <f>IF(Table1[Start Date]="","",IF(Table1[Start Date]&gt;42735,"",IF(AND(Table1[Leaving Date]&gt;1,Table1[Leaving Date]&lt;42644),"",1)))</f>
        <v/>
      </c>
      <c r="DW385" s="92" t="str">
        <f>IF(Table1[Start Date]="","",IF(Table1[Start Date]&gt;42825,"",IF(AND(Table1[Leaving Date]&gt;1,Table1[Leaving Date]&lt;42736),"",1)))</f>
        <v/>
      </c>
      <c r="DX385"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385" s="44" t="e">
        <f>VLOOKUP(Table1[Referral Source],Lists!$G$2:$H$20,2,FALSE)</f>
        <v>#N/A</v>
      </c>
      <c r="DZ385" s="93" t="e">
        <f>SUM(Table1[Data Referral Quarter]+Table1[Data Referral Source])</f>
        <v>#N/A</v>
      </c>
      <c r="EA385" s="44" t="b">
        <f>IF(Table1[Referral Decision]="Accepted",100,IF(Table1[Referral Decision]="Rejected by Provider",200,IF(Table1[Referral Decision]="Rejected by Applicant",300)))</f>
        <v>0</v>
      </c>
      <c r="EB385" s="44">
        <f>SUM(Table1[Data Referral Quarter]+Table1[Data Referral Decision])</f>
        <v>0</v>
      </c>
      <c r="EC385" s="44" t="b">
        <f>IF(Table1[Start Date]&gt;42735,8000,IF(Table1[Start Date]&gt;42643,7000,IF(Table1[Start Date]&gt;42551,6000,IF(Table1[Start Date]&gt;42460,5000,IF(Table1[Start Date]&gt;42369,4000,IF(Table1[Start Date]&gt;42277,3000,IF(Table1[Start Date]&gt;42185,2000,IF(Table1[Start Date]&gt;42094,1000))))))))</f>
        <v>0</v>
      </c>
      <c r="ED385" s="44" t="str">
        <f>IF(Table1[Start Date]="","",IF(Table1[Current Local Authority]="Swindon",1,"2"))</f>
        <v/>
      </c>
      <c r="EE385" s="44" t="e">
        <f>SUM(Table1[Data Start Date]+Table1[Data Local Authority])</f>
        <v>#VALUE!</v>
      </c>
      <c r="EF385" s="44">
        <f>IF(Table1[Registered with GP]="Yes",1,0)</f>
        <v>0</v>
      </c>
      <c r="EG385" s="44">
        <f>SUM(Table1[Data Start Date]+Table1[Data GP Start])</f>
        <v>0</v>
      </c>
      <c r="EH385" s="44" t="str">
        <f>IF(Table1[EET]="NEET",1,IF(Table1[EET]="Education",2,IF(Table1[EET]="Employment",2,IF(Table1[EET]="Training",2,IF(Table1[EET]="Retired",3,"")))))</f>
        <v/>
      </c>
      <c r="EI385" s="44" t="e">
        <f>Table1[Data Start Date]+Table1[Data EET Start]</f>
        <v>#VALUE!</v>
      </c>
      <c r="EJ385" s="44" t="b">
        <f>IF(Table1[Leaving Date]&gt;42735,8000,IF(Table1[Leaving Date]&gt;42643,7000,IF(Table1[Leaving Date]&gt;42551,6000,IF(Table1[Leaving Date]&gt;42460,5000,IF(Table1[Leaving Date]&gt;42369,4000,IF(Table1[Leaving Date]&gt;42277,3000,IF(Table1[Leaving Date]&gt;42185,2000,IF(Table1[Leaving Date]&gt;42094,1000))))))))</f>
        <v>0</v>
      </c>
      <c r="EK385" s="44" t="e">
        <f>VLOOKUP(Table1[Reason for Leaving],Lists!$T$2:$U$15,2,FALSE)</f>
        <v>#N/A</v>
      </c>
      <c r="EL385" s="44" t="e">
        <f>SUM(Table1[Data Leavers Date]+Table1[Data Move On])</f>
        <v>#N/A</v>
      </c>
      <c r="EM385" s="44" t="b">
        <f>IF(Table1[Registered with GP2]="Yes",1,IF(Table1[Registered with GP2]="No",0,IF(Table1[Registered with GP]="Yes",1,IF(Table1[Registered with GP]="No",0))))</f>
        <v>0</v>
      </c>
      <c r="EN385" s="44">
        <f>SUM(Table1[Data Leavers Date]+Table1[Data GP End])</f>
        <v>0</v>
      </c>
      <c r="EO385" s="44" t="str">
        <f>IF(Table1[EET2]="NEET",1,IF(Table1[EET2]="Employment",2,IF(Table1[EET2]="Education",2,IF(Table1[EET2]="Training",2,IF(Table1[EET2]="Retired",3,IF(Table1[EET]="NEET",1,IF(Table1[EET]="Employment",2,IF(Table1[EET]="Education",2,IF(Table1[EET]="Training",2,IF(Table1[EET]="Retired",3,""))))))))))</f>
        <v/>
      </c>
      <c r="EP385" s="44" t="e">
        <f>+Table1[[#This Row],[Data Leavers Date]]+Table1[[#This Row],[Data EET End]]</f>
        <v>#VALUE!</v>
      </c>
      <c r="EQ385" s="44">
        <f>IF(Table1[Exit Form Received]="Yes",1,0)</f>
        <v>0</v>
      </c>
      <c r="ER385" s="44">
        <f>+Table1[[#This Row],[Data Leavers Date]]+Table1[[#This Row],[Data Exit Forms]]</f>
        <v>0</v>
      </c>
      <c r="ES385" s="44" t="str">
        <f>IF(Table1[Data Leavers Date]=1000,SUM(Table1[Leaving Date]-Table1[Start Date]),"")</f>
        <v/>
      </c>
      <c r="ET385" s="44" t="str">
        <f>IF(Table1[Data Leavers Date]=2000,SUM(Table1[Leaving Date]-Table1[Start Date]),"")</f>
        <v/>
      </c>
      <c r="EU385" s="44" t="str">
        <f>IF(Table1[Data Leavers Date]=3000,SUM(Table1[Leaving Date]-Table1[Start Date]),"")</f>
        <v/>
      </c>
      <c r="EV385" s="44" t="str">
        <f>IF(Table1[Data Leavers Date]=4000,SUM(Table1[Leaving Date]-Table1[Start Date]),"")</f>
        <v/>
      </c>
      <c r="EW385" s="44" t="str">
        <f>IF(Table1[Data Leavers Date]=5000,SUM(Table1[Leaving Date]-Table1[Start Date]),"")</f>
        <v/>
      </c>
      <c r="EX385" s="44" t="str">
        <f>IF(Table1[Data Leavers Date]=6000,SUM(Table1[Leaving Date]-Table1[Start Date]),"")</f>
        <v/>
      </c>
      <c r="EY385" s="44" t="str">
        <f>IF(Table1[Data Leavers Date]=7000,SUM(Table1[Leaving Date]-Table1[Start Date]),"")</f>
        <v/>
      </c>
      <c r="EZ385" s="44" t="str">
        <f>IF(Table1[Data Leavers Date]=8000,SUM(Table1[Leaving Date]-Table1[Start Date]),"")</f>
        <v/>
      </c>
      <c r="FA385" s="44" t="str">
        <f>IF(Table1[Date of Initial Assessment]="","",IF(AND(Table1[Start Date]&gt;42094,Table1[Start Date]&lt;42461),Table1[Motivation and Taking Responsibility],""))</f>
        <v/>
      </c>
      <c r="FB385" s="44" t="str">
        <f>IF(Table1[Date of Initial Assessment]="","",IF(AND(Table1[Start Date]&gt;42094,Table1[Start Date]&lt;42461),Table1[Self-Care and Living Skills],""))</f>
        <v/>
      </c>
      <c r="FC385" s="44" t="str">
        <f>IF(Table1[Date of Initial Assessment]="","",IF(AND(Table1[Start Date]&gt;42094,Table1[Start Date]&lt;42461),Table1[Managing Money and Personal Administration],""))</f>
        <v/>
      </c>
      <c r="FD385" s="44" t="str">
        <f>IF(Table1[Date of Initial Assessment]="","",IF(AND(Table1[Start Date]&gt;42094,Table1[Start Date]&lt;42461),Table1[Social Networks and Relationships],""))</f>
        <v/>
      </c>
      <c r="FE385" s="44" t="str">
        <f>IF(Table1[Date of Initial Assessment]="","",IF(AND(Table1[Start Date]&gt;42094,Table1[Start Date]&lt;42461),Table1[Drug and Alcohol Misuse],""))</f>
        <v/>
      </c>
      <c r="FF385" s="44" t="str">
        <f>IF(Table1[Date of Initial Assessment]="","",IF(AND(Table1[Start Date]&gt;42094,Table1[Start Date]&lt;42461),Table1[Physical Health],""))</f>
        <v/>
      </c>
      <c r="FG385" s="44" t="str">
        <f>IF(Table1[Date of Initial Assessment]="","",IF(AND(Table1[Start Date]&gt;42094,Table1[Start Date]&lt;42461),Table1[Emotional and Mental Health],""))</f>
        <v/>
      </c>
      <c r="FH385" s="44" t="str">
        <f>IF(Table1[Date of Initial Assessment]="","",IF(AND(Table1[Start Date]&gt;42094,Table1[Start Date]&lt;42461),Table1[Meaningful Use of Time],""))</f>
        <v/>
      </c>
      <c r="FI385" s="44" t="str">
        <f>IF(Table1[Date of Initial Assessment]="","",IF(AND(Table1[Start Date]&gt;42094,Table1[Start Date]&lt;42461),Table1[Managing Tenancy and Accommodation],""))</f>
        <v/>
      </c>
      <c r="FJ385" s="44" t="str">
        <f>IF(Table1[Date of Initial Assessment]="","",IF(AND(Table1[Start Date]&gt;42094,Table1[Start Date]&lt;42461),Table1[Offending],""))</f>
        <v/>
      </c>
      <c r="FK385" s="44" t="str">
        <f>IF(Table1[Leaving Date]="","",IF(Table1[Date of Initial Assessment]="","",IF(AND(Table1[Leaving Date]&gt;42094,Table1[Leaving Date]&lt;42461),IF(Table1[Date of Last Assessment]="",Table1[Motivation and Taking Responsibility],Table1[Motivation and Taking Responsibility2]),"")))</f>
        <v/>
      </c>
      <c r="FL385" s="44" t="str">
        <f>IF(Table1[Leaving Date]="","",IF(Table1[Date of Initial Assessment]="","",IF(AND(Table1[Leaving Date]&gt;42094,Table1[Leaving Date]&lt;42461),IF(Table1[Date of Last Assessment]="",Table1[Self-Care and Living Skills],Table1[Self-Care and Living Skills2]),"")))</f>
        <v/>
      </c>
      <c r="FM385" s="44" t="str">
        <f>IF(Table1[Leaving Date]="","",IF(Table1[Date of Initial Assessment]="","",IF(AND(Table1[Leaving Date]&gt;42094,Table1[Leaving Date]&lt;42461),IF(Table1[Date of Last Assessment]="",Table1[Managing Money and Personal Administration],Table1[Managing Money and Personal Administration2]),"")))</f>
        <v/>
      </c>
      <c r="FN385" s="44" t="str">
        <f>IF(Table1[Leaving Date]="","",IF(Table1[Date of Initial Assessment]="","",IF(AND(Table1[Leaving Date]&gt;42094,Table1[Leaving Date]&lt;42461),IF(Table1[Date of Last Assessment]="",Table1[Social Networks and Relationships],Table1[Social Networks and Relationships2]),"")))</f>
        <v/>
      </c>
      <c r="FO385" s="44" t="str">
        <f>IF(Table1[Leaving Date]="","",IF(Table1[Date of Initial Assessment]="","",IF(AND(Table1[Leaving Date]&gt;42094,Table1[Leaving Date]&lt;42461),IF(Table1[Date of Last Assessment]="",Table1[Drug and Alcohol Misuse],Table1[Drug and Alcohol Misuse2]),"")))</f>
        <v/>
      </c>
      <c r="FP385" s="44" t="str">
        <f>IF(Table1[Leaving Date]="","",IF(Table1[Date of Initial Assessment]="","",IF(AND(Table1[Leaving Date]&gt;42094,Table1[Leaving Date]&lt;42461),IF(Table1[Date of Last Assessment]="",Table1[Physical Health],Table1[Physical Health2]),"")))</f>
        <v/>
      </c>
      <c r="FQ385" s="44" t="str">
        <f>IF(Table1[Leaving Date]="","",IF(Table1[Date of Initial Assessment]="","",IF(AND(Table1[Leaving Date]&gt;42094,Table1[Leaving Date]&lt;42461),IF(Table1[Date of Last Assessment]="",Table1[Emotional and Mental Health],Table1[Emotional and Mental Health2]),"")))</f>
        <v/>
      </c>
      <c r="FR385" s="44" t="str">
        <f>IF(Table1[Leaving Date]="","",IF(Table1[Date of Initial Assessment]="","",IF(AND(Table1[Leaving Date]&gt;42094,Table1[Leaving Date]&lt;42461),IF(Table1[Date of Last Assessment]="",Table1[Meaningful Use of Time],Table1[Meaningful Use of Time2]),"")))</f>
        <v/>
      </c>
      <c r="FS385" s="44" t="str">
        <f>IF(Table1[Leaving Date]="","",IF(Table1[Date of Initial Assessment]="","",IF(AND(Table1[Leaving Date]&gt;42094,Table1[Leaving Date]&lt;42461),IF(Table1[Date of Last Assessment]="",Table1[Managing Tenancy and Accommodation],Table1[Managing Tenancy and Accommodation2]),"")))</f>
        <v/>
      </c>
      <c r="FT385" s="44" t="str">
        <f>IF(Table1[Leaving Date]="","",IF(Table1[Date of Initial Assessment]="","",IF(AND(Table1[Leaving Date]&gt;42094,Table1[Leaving Date]&lt;42461),IF(Table1[Date of Last Assessment]="",Table1[Offending],Table1[Offending2]),"")))</f>
        <v/>
      </c>
      <c r="FU385" s="44" t="str">
        <f>IF(Table1[Date of Initial Assessment]="","",IF(AND(Table1[Start Date]&gt;42460,Table1[Start Date]&lt;42826),Table1[Motivation and Taking Responsibility],""))</f>
        <v/>
      </c>
      <c r="FV385" s="44" t="str">
        <f>IF(Table1[Date of Initial Assessment]="","",IF(AND(Table1[Start Date]&gt;42460,Table1[Start Date]&lt;42826),Table1[Self-Care and Living Skills],""))</f>
        <v/>
      </c>
      <c r="FW385" s="44" t="str">
        <f>IF(Table1[Date of Initial Assessment]="","",IF(AND(Table1[Start Date]&gt;42460,Table1[Start Date]&lt;42826),Table1[Managing Money and Personal Administration],""))</f>
        <v/>
      </c>
      <c r="FX385" s="44" t="str">
        <f>IF(Table1[Date of Initial Assessment]="","",IF(AND(Table1[Start Date]&gt;42460,Table1[Start Date]&lt;42826),Table1[Social Networks and Relationships],""))</f>
        <v/>
      </c>
      <c r="FY385" s="44" t="str">
        <f>IF(Table1[Date of Initial Assessment]="","",IF(AND(Table1[Start Date]&gt;42460,Table1[Start Date]&lt;42826),Table1[Drug and Alcohol Misuse],""))</f>
        <v/>
      </c>
      <c r="FZ385" s="44" t="str">
        <f>IF(Table1[Date of Initial Assessment]="","",IF(AND(Table1[Start Date]&gt;42460,Table1[Start Date]&lt;42826),Table1[Physical Health],""))</f>
        <v/>
      </c>
      <c r="GA385" s="44" t="str">
        <f>IF(Table1[Date of Initial Assessment]="","",IF(AND(Table1[Start Date]&gt;42460,Table1[Start Date]&lt;42826),Table1[Emotional and Mental Health],""))</f>
        <v/>
      </c>
      <c r="GB385" s="44" t="str">
        <f>IF(Table1[Date of Initial Assessment]="","",IF(AND(Table1[Start Date]&gt;42460,Table1[Start Date]&lt;42826),Table1[Meaningful Use of Time],""))</f>
        <v/>
      </c>
      <c r="GC385" s="44" t="str">
        <f>IF(Table1[Date of Initial Assessment]="","",IF(AND(Table1[Start Date]&gt;42460,Table1[Start Date]&lt;42826),Table1[Managing Tenancy and Accommodation],""))</f>
        <v/>
      </c>
      <c r="GD385" s="44" t="str">
        <f>IF(Table1[Date of Initial Assessment]="","",IF(AND(Table1[Start Date]&gt;42460,Table1[Start Date]&lt;42826),Table1[Offending],""))</f>
        <v/>
      </c>
      <c r="GE385" s="44" t="str">
        <f>IF(Table1[Leaving Date]="","",IF(AND(Table1[Leaving Date]&gt;42460,Table1[Leaving Date]&lt;42826),IF(Table1[Date of Last Assessment]="",Table1[Motivation and Taking Responsibility],Table1[Motivation and Taking Responsibility2]),""))</f>
        <v/>
      </c>
      <c r="GF385" s="44" t="str">
        <f>IF(Table1[Leaving Date]="","",IF(AND(Table1[Leaving Date]&gt;42460,Table1[Leaving Date]&lt;42826),IF(Table1[Date of Last Assessment]="",Table1[Self-Care and Living Skills],Table1[Self-Care and Living Skills2]),""))</f>
        <v/>
      </c>
      <c r="GG385" s="44" t="str">
        <f>IF(Table1[Leaving Date]="","",IF(AND(Table1[Leaving Date]&gt;42460,Table1[Leaving Date]&lt;42826),IF(Table1[Date of Last Assessment]="",Table1[Managing Money and Personal Administration],Table1[Managing Money and Personal Administration2]),""))</f>
        <v/>
      </c>
      <c r="GH385" s="44" t="str">
        <f>IF(Table1[Leaving Date]="","",IF(AND(Table1[Leaving Date]&gt;42460,Table1[Leaving Date]&lt;42826),IF(Table1[Date of Last Assessment]="",Table1[Social Networks and Relationships],Table1[Social Networks and Relationships2]),""))</f>
        <v/>
      </c>
      <c r="GI385" s="44" t="str">
        <f>IF(Table1[Leaving Date]="","",IF(AND(Table1[Leaving Date]&gt;42460,Table1[Leaving Date]&lt;42826),IF(Table1[Date of Last Assessment]="",Table1[Drug and Alcohol Misuse],Table1[Drug and Alcohol Misuse2]),""))</f>
        <v/>
      </c>
      <c r="GJ385" s="44" t="str">
        <f>IF(Table1[Leaving Date]="","",IF(AND(Table1[Leaving Date]&gt;42460,Table1[Leaving Date]&lt;42826),IF(Table1[Date of Last Assessment]="",Table1[Physical Health],Table1[Physical Health2]),""))</f>
        <v/>
      </c>
      <c r="GK385" s="44" t="str">
        <f>IF(Table1[Leaving Date]="","",IF(AND(Table1[Leaving Date]&gt;42460,Table1[Leaving Date]&lt;42826),IF(Table1[Date of Last Assessment]="",Table1[Emotional and Mental Health],Table1[Emotional and Mental Health2]),""))</f>
        <v/>
      </c>
      <c r="GL385" s="44" t="str">
        <f>IF(Table1[Leaving Date]="","",IF(AND(Table1[Leaving Date]&gt;42460,Table1[Leaving Date]&lt;42826),IF(Table1[Date of Last Assessment]="",Table1[Meaningful Use of Time],Table1[Meaningful Use of Time2]),""))</f>
        <v/>
      </c>
      <c r="GM385" s="44" t="str">
        <f>IF(Table1[Leaving Date]="","",IF(AND(Table1[Leaving Date]&gt;42460,Table1[Leaving Date]&lt;42826),IF(Table1[Date of Last Assessment]="",Table1[Managing Tenancy and Accommodation],Table1[Managing Tenancy and Accommodation2]),""))</f>
        <v/>
      </c>
      <c r="GN385" s="44" t="str">
        <f>IF(Table1[Leaving Date]="","",IF(AND(Table1[Leaving Date]&gt;42460,Table1[Leaving Date]&lt;42826),IF(Table1[Date of Last Assessment]="",Table1[Offending],Table1[Offending2]),""))</f>
        <v/>
      </c>
    </row>
    <row r="386" spans="2:196" ht="20.100000000000001" customHeight="1" x14ac:dyDescent="0.2">
      <c r="B386" s="86">
        <f>+'Service Data'!$C$5:$C$5</f>
        <v>0</v>
      </c>
      <c r="C386" s="86"/>
      <c r="D386" s="86"/>
      <c r="E386" s="86"/>
      <c r="F386" s="86"/>
      <c r="G386" s="86"/>
      <c r="H386" s="6"/>
      <c r="I386" s="99" t="str">
        <f ca="1">IF(Table1[[#This Row],[Date of Birth]]="","",SUM(TODAY()-Table1[[#This Row],[Date of Birth]])/365)</f>
        <v/>
      </c>
      <c r="L386" s="86"/>
      <c r="M386" s="77"/>
      <c r="N386" s="86"/>
      <c r="O386" s="86"/>
      <c r="P386" s="91"/>
      <c r="Q386" s="86"/>
      <c r="R386" s="77"/>
      <c r="S386" s="77"/>
      <c r="T386" s="68"/>
      <c r="U386" s="68"/>
      <c r="V386" s="67"/>
      <c r="W386" s="67"/>
      <c r="X386" s="67"/>
      <c r="Y386" s="67"/>
      <c r="Z386" s="67"/>
      <c r="AA386" s="67"/>
      <c r="AB386" s="67"/>
      <c r="AC386" s="67"/>
      <c r="AD386" s="67"/>
      <c r="AE386" s="67"/>
      <c r="AF386" s="67"/>
      <c r="AG386" s="67"/>
      <c r="AH386" s="67"/>
      <c r="AI386" s="67"/>
      <c r="AJ386" s="67"/>
      <c r="AK386" s="67"/>
      <c r="AL386" s="67"/>
      <c r="AM386" s="67"/>
      <c r="AN386" s="77"/>
      <c r="AO386" s="76"/>
      <c r="AP386" s="77"/>
      <c r="AQ386" s="76"/>
      <c r="AR386" s="76"/>
      <c r="AS386" s="76"/>
      <c r="AT386" s="76"/>
      <c r="AU386" s="76"/>
      <c r="AV386" s="77"/>
      <c r="AW386" s="76"/>
      <c r="AX386" s="77"/>
      <c r="AY386" s="76"/>
      <c r="AZ386" s="76"/>
      <c r="BA386" s="76"/>
      <c r="BB386" s="76"/>
      <c r="BC386" s="76"/>
      <c r="BD386" s="77"/>
      <c r="BE386" s="76"/>
      <c r="BF386" s="77"/>
      <c r="BG386" s="76"/>
      <c r="BH386" s="76"/>
      <c r="BI386" s="76"/>
      <c r="BJ386" s="76"/>
      <c r="BK386" s="76"/>
      <c r="BL386" s="77"/>
      <c r="BM386" s="76"/>
      <c r="BN386" s="77"/>
      <c r="BO386" s="76"/>
      <c r="BP386" s="76"/>
      <c r="BQ386" s="76"/>
      <c r="BR386" s="76"/>
      <c r="BS386" s="76"/>
      <c r="BT386" s="77"/>
      <c r="BU386" s="76"/>
      <c r="BV386" s="77"/>
      <c r="BW386" s="76"/>
      <c r="BX386" s="76"/>
      <c r="BY386" s="76"/>
      <c r="BZ386" s="76"/>
      <c r="CA386" s="76"/>
      <c r="CB386" s="77"/>
      <c r="CC386" s="76"/>
      <c r="CD386" s="77"/>
      <c r="CE386" s="76"/>
      <c r="CF386" s="76"/>
      <c r="CG386" s="76"/>
      <c r="CH386" s="76"/>
      <c r="CI386" s="76"/>
      <c r="CJ386" s="77"/>
      <c r="CK386" s="76"/>
      <c r="CL386" s="77"/>
      <c r="CM386" s="76"/>
      <c r="CN386" s="76"/>
      <c r="CO386" s="76"/>
      <c r="CP386" s="76"/>
      <c r="CQ386" s="76"/>
      <c r="CR386" s="78" t="str">
        <f t="shared" si="95"/>
        <v/>
      </c>
      <c r="CS386" s="79" t="str">
        <f t="shared" si="96"/>
        <v/>
      </c>
      <c r="CT386" s="79" t="str">
        <f t="shared" si="97"/>
        <v/>
      </c>
      <c r="CU386" s="79" t="str">
        <f t="shared" si="98"/>
        <v/>
      </c>
      <c r="CV386" s="79" t="str">
        <f t="shared" si="99"/>
        <v/>
      </c>
      <c r="CW386" s="79" t="str">
        <f t="shared" si="100"/>
        <v/>
      </c>
      <c r="CX386" s="79" t="str">
        <f t="shared" si="101"/>
        <v/>
      </c>
      <c r="CY386" s="79" t="str">
        <f t="shared" si="102"/>
        <v/>
      </c>
      <c r="CZ386" s="79" t="str">
        <f t="shared" si="103"/>
        <v/>
      </c>
      <c r="DA386" s="79" t="str">
        <f t="shared" si="104"/>
        <v/>
      </c>
      <c r="DB386" s="79" t="str">
        <f t="shared" si="105"/>
        <v/>
      </c>
      <c r="DC386" s="79" t="str">
        <f t="shared" si="106"/>
        <v/>
      </c>
      <c r="DD386" s="79" t="str">
        <f t="shared" si="107"/>
        <v/>
      </c>
      <c r="DE386" s="79" t="str">
        <f t="shared" si="108"/>
        <v/>
      </c>
      <c r="DF386" s="79" t="str">
        <f t="shared" si="109"/>
        <v/>
      </c>
      <c r="DG386" s="79" t="str">
        <f t="shared" si="110"/>
        <v/>
      </c>
      <c r="DH386" s="76"/>
      <c r="DI386" s="78"/>
      <c r="DJ386" s="76"/>
      <c r="DK386" s="77"/>
      <c r="DL386" s="77"/>
      <c r="DM386" s="77"/>
      <c r="DN386" s="80"/>
      <c r="DO386" s="80"/>
      <c r="DP386" s="92" t="str">
        <f>IF(Table1[Start Date]="","",IF(Table1[Start Date]&gt;42185,"",IF(AND(Table1[Leaving Date]&gt;1,Table1[Leaving Date]&lt;42095),"",1)))</f>
        <v/>
      </c>
      <c r="DQ386" s="92" t="str">
        <f>IF(Table1[Start Date]="","",IF(Table1[Start Date]&gt;42277,"",IF(AND(Table1[Leaving Date]&gt;1,Table1[Leaving Date]&lt;42186),"",1)))</f>
        <v/>
      </c>
      <c r="DR386" s="92" t="str">
        <f>IF(Table1[Start Date]="","",IF(Table1[Start Date]&gt;42369,"",IF(AND(Table1[Leaving Date]&gt;1,Table1[Leaving Date]&lt;42278),"",1)))</f>
        <v/>
      </c>
      <c r="DS386" s="92" t="str">
        <f>IF(Table1[Start Date]="","",IF(Table1[Start Date]&gt;42460,"",IF(AND(Table1[Leaving Date]&gt;1,Table1[Leaving Date]&lt;42370),"",1)))</f>
        <v/>
      </c>
      <c r="DT386" s="92" t="str">
        <f>IF(Table1[Start Date]="","",IF(Table1[Start Date]&gt;42551,"",IF(AND(Table1[Leaving Date]&gt;1,Table1[Leaving Date]&lt;42461),"",1)))</f>
        <v/>
      </c>
      <c r="DU386" s="92" t="str">
        <f>IF(Table1[Start Date]="","",IF(Table1[Start Date]&gt;42643,"",IF(AND(Table1[Leaving Date]&gt;1,Table1[Leaving Date]&lt;42552),"",1)))</f>
        <v/>
      </c>
      <c r="DV386" s="92" t="str">
        <f>IF(Table1[Start Date]="","",IF(Table1[Start Date]&gt;42735,"",IF(AND(Table1[Leaving Date]&gt;1,Table1[Leaving Date]&lt;42644),"",1)))</f>
        <v/>
      </c>
      <c r="DW386" s="92" t="str">
        <f>IF(Table1[Start Date]="","",IF(Table1[Start Date]&gt;42825,"",IF(AND(Table1[Leaving Date]&gt;1,Table1[Leaving Date]&lt;42736),"",1)))</f>
        <v/>
      </c>
      <c r="DX386"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386" s="44" t="e">
        <f>VLOOKUP(Table1[Referral Source],Lists!$G$2:$H$20,2,FALSE)</f>
        <v>#N/A</v>
      </c>
      <c r="DZ386" s="93" t="e">
        <f>SUM(Table1[Data Referral Quarter]+Table1[Data Referral Source])</f>
        <v>#N/A</v>
      </c>
      <c r="EA386" s="44" t="b">
        <f>IF(Table1[Referral Decision]="Accepted",100,IF(Table1[Referral Decision]="Rejected by Provider",200,IF(Table1[Referral Decision]="Rejected by Applicant",300)))</f>
        <v>0</v>
      </c>
      <c r="EB386" s="44">
        <f>SUM(Table1[Data Referral Quarter]+Table1[Data Referral Decision])</f>
        <v>0</v>
      </c>
      <c r="EC386" s="44" t="b">
        <f>IF(Table1[Start Date]&gt;42735,8000,IF(Table1[Start Date]&gt;42643,7000,IF(Table1[Start Date]&gt;42551,6000,IF(Table1[Start Date]&gt;42460,5000,IF(Table1[Start Date]&gt;42369,4000,IF(Table1[Start Date]&gt;42277,3000,IF(Table1[Start Date]&gt;42185,2000,IF(Table1[Start Date]&gt;42094,1000))))))))</f>
        <v>0</v>
      </c>
      <c r="ED386" s="44" t="str">
        <f>IF(Table1[Start Date]="","",IF(Table1[Current Local Authority]="Swindon",1,"2"))</f>
        <v/>
      </c>
      <c r="EE386" s="44" t="e">
        <f>SUM(Table1[Data Start Date]+Table1[Data Local Authority])</f>
        <v>#VALUE!</v>
      </c>
      <c r="EF386" s="44">
        <f>IF(Table1[Registered with GP]="Yes",1,0)</f>
        <v>0</v>
      </c>
      <c r="EG386" s="44">
        <f>SUM(Table1[Data Start Date]+Table1[Data GP Start])</f>
        <v>0</v>
      </c>
      <c r="EH386" s="44" t="str">
        <f>IF(Table1[EET]="NEET",1,IF(Table1[EET]="Education",2,IF(Table1[EET]="Employment",2,IF(Table1[EET]="Training",2,IF(Table1[EET]="Retired",3,"")))))</f>
        <v/>
      </c>
      <c r="EI386" s="44" t="e">
        <f>Table1[Data Start Date]+Table1[Data EET Start]</f>
        <v>#VALUE!</v>
      </c>
      <c r="EJ386" s="44" t="b">
        <f>IF(Table1[Leaving Date]&gt;42735,8000,IF(Table1[Leaving Date]&gt;42643,7000,IF(Table1[Leaving Date]&gt;42551,6000,IF(Table1[Leaving Date]&gt;42460,5000,IF(Table1[Leaving Date]&gt;42369,4000,IF(Table1[Leaving Date]&gt;42277,3000,IF(Table1[Leaving Date]&gt;42185,2000,IF(Table1[Leaving Date]&gt;42094,1000))))))))</f>
        <v>0</v>
      </c>
      <c r="EK386" s="44" t="e">
        <f>VLOOKUP(Table1[Reason for Leaving],Lists!$T$2:$U$15,2,FALSE)</f>
        <v>#N/A</v>
      </c>
      <c r="EL386" s="44" t="e">
        <f>SUM(Table1[Data Leavers Date]+Table1[Data Move On])</f>
        <v>#N/A</v>
      </c>
      <c r="EM386" s="44" t="b">
        <f>IF(Table1[Registered with GP2]="Yes",1,IF(Table1[Registered with GP2]="No",0,IF(Table1[Registered with GP]="Yes",1,IF(Table1[Registered with GP]="No",0))))</f>
        <v>0</v>
      </c>
      <c r="EN386" s="44">
        <f>SUM(Table1[Data Leavers Date]+Table1[Data GP End])</f>
        <v>0</v>
      </c>
      <c r="EO386" s="44" t="str">
        <f>IF(Table1[EET2]="NEET",1,IF(Table1[EET2]="Employment",2,IF(Table1[EET2]="Education",2,IF(Table1[EET2]="Training",2,IF(Table1[EET2]="Retired",3,IF(Table1[EET]="NEET",1,IF(Table1[EET]="Employment",2,IF(Table1[EET]="Education",2,IF(Table1[EET]="Training",2,IF(Table1[EET]="Retired",3,""))))))))))</f>
        <v/>
      </c>
      <c r="EP386" s="44" t="e">
        <f>+Table1[[#This Row],[Data Leavers Date]]+Table1[[#This Row],[Data EET End]]</f>
        <v>#VALUE!</v>
      </c>
      <c r="EQ386" s="44">
        <f>IF(Table1[Exit Form Received]="Yes",1,0)</f>
        <v>0</v>
      </c>
      <c r="ER386" s="44">
        <f>+Table1[[#This Row],[Data Leavers Date]]+Table1[[#This Row],[Data Exit Forms]]</f>
        <v>0</v>
      </c>
      <c r="ES386" s="44" t="str">
        <f>IF(Table1[Data Leavers Date]=1000,SUM(Table1[Leaving Date]-Table1[Start Date]),"")</f>
        <v/>
      </c>
      <c r="ET386" s="44" t="str">
        <f>IF(Table1[Data Leavers Date]=2000,SUM(Table1[Leaving Date]-Table1[Start Date]),"")</f>
        <v/>
      </c>
      <c r="EU386" s="44" t="str">
        <f>IF(Table1[Data Leavers Date]=3000,SUM(Table1[Leaving Date]-Table1[Start Date]),"")</f>
        <v/>
      </c>
      <c r="EV386" s="44" t="str">
        <f>IF(Table1[Data Leavers Date]=4000,SUM(Table1[Leaving Date]-Table1[Start Date]),"")</f>
        <v/>
      </c>
      <c r="EW386" s="44" t="str">
        <f>IF(Table1[Data Leavers Date]=5000,SUM(Table1[Leaving Date]-Table1[Start Date]),"")</f>
        <v/>
      </c>
      <c r="EX386" s="44" t="str">
        <f>IF(Table1[Data Leavers Date]=6000,SUM(Table1[Leaving Date]-Table1[Start Date]),"")</f>
        <v/>
      </c>
      <c r="EY386" s="44" t="str">
        <f>IF(Table1[Data Leavers Date]=7000,SUM(Table1[Leaving Date]-Table1[Start Date]),"")</f>
        <v/>
      </c>
      <c r="EZ386" s="44" t="str">
        <f>IF(Table1[Data Leavers Date]=8000,SUM(Table1[Leaving Date]-Table1[Start Date]),"")</f>
        <v/>
      </c>
      <c r="FA386" s="44" t="str">
        <f>IF(Table1[Date of Initial Assessment]="","",IF(AND(Table1[Start Date]&gt;42094,Table1[Start Date]&lt;42461),Table1[Motivation and Taking Responsibility],""))</f>
        <v/>
      </c>
      <c r="FB386" s="44" t="str">
        <f>IF(Table1[Date of Initial Assessment]="","",IF(AND(Table1[Start Date]&gt;42094,Table1[Start Date]&lt;42461),Table1[Self-Care and Living Skills],""))</f>
        <v/>
      </c>
      <c r="FC386" s="44" t="str">
        <f>IF(Table1[Date of Initial Assessment]="","",IF(AND(Table1[Start Date]&gt;42094,Table1[Start Date]&lt;42461),Table1[Managing Money and Personal Administration],""))</f>
        <v/>
      </c>
      <c r="FD386" s="44" t="str">
        <f>IF(Table1[Date of Initial Assessment]="","",IF(AND(Table1[Start Date]&gt;42094,Table1[Start Date]&lt;42461),Table1[Social Networks and Relationships],""))</f>
        <v/>
      </c>
      <c r="FE386" s="44" t="str">
        <f>IF(Table1[Date of Initial Assessment]="","",IF(AND(Table1[Start Date]&gt;42094,Table1[Start Date]&lt;42461),Table1[Drug and Alcohol Misuse],""))</f>
        <v/>
      </c>
      <c r="FF386" s="44" t="str">
        <f>IF(Table1[Date of Initial Assessment]="","",IF(AND(Table1[Start Date]&gt;42094,Table1[Start Date]&lt;42461),Table1[Physical Health],""))</f>
        <v/>
      </c>
      <c r="FG386" s="44" t="str">
        <f>IF(Table1[Date of Initial Assessment]="","",IF(AND(Table1[Start Date]&gt;42094,Table1[Start Date]&lt;42461),Table1[Emotional and Mental Health],""))</f>
        <v/>
      </c>
      <c r="FH386" s="44" t="str">
        <f>IF(Table1[Date of Initial Assessment]="","",IF(AND(Table1[Start Date]&gt;42094,Table1[Start Date]&lt;42461),Table1[Meaningful Use of Time],""))</f>
        <v/>
      </c>
      <c r="FI386" s="44" t="str">
        <f>IF(Table1[Date of Initial Assessment]="","",IF(AND(Table1[Start Date]&gt;42094,Table1[Start Date]&lt;42461),Table1[Managing Tenancy and Accommodation],""))</f>
        <v/>
      </c>
      <c r="FJ386" s="44" t="str">
        <f>IF(Table1[Date of Initial Assessment]="","",IF(AND(Table1[Start Date]&gt;42094,Table1[Start Date]&lt;42461),Table1[Offending],""))</f>
        <v/>
      </c>
      <c r="FK386" s="44" t="str">
        <f>IF(Table1[Leaving Date]="","",IF(Table1[Date of Initial Assessment]="","",IF(AND(Table1[Leaving Date]&gt;42094,Table1[Leaving Date]&lt;42461),IF(Table1[Date of Last Assessment]="",Table1[Motivation and Taking Responsibility],Table1[Motivation and Taking Responsibility2]),"")))</f>
        <v/>
      </c>
      <c r="FL386" s="44" t="str">
        <f>IF(Table1[Leaving Date]="","",IF(Table1[Date of Initial Assessment]="","",IF(AND(Table1[Leaving Date]&gt;42094,Table1[Leaving Date]&lt;42461),IF(Table1[Date of Last Assessment]="",Table1[Self-Care and Living Skills],Table1[Self-Care and Living Skills2]),"")))</f>
        <v/>
      </c>
      <c r="FM386" s="44" t="str">
        <f>IF(Table1[Leaving Date]="","",IF(Table1[Date of Initial Assessment]="","",IF(AND(Table1[Leaving Date]&gt;42094,Table1[Leaving Date]&lt;42461),IF(Table1[Date of Last Assessment]="",Table1[Managing Money and Personal Administration],Table1[Managing Money and Personal Administration2]),"")))</f>
        <v/>
      </c>
      <c r="FN386" s="44" t="str">
        <f>IF(Table1[Leaving Date]="","",IF(Table1[Date of Initial Assessment]="","",IF(AND(Table1[Leaving Date]&gt;42094,Table1[Leaving Date]&lt;42461),IF(Table1[Date of Last Assessment]="",Table1[Social Networks and Relationships],Table1[Social Networks and Relationships2]),"")))</f>
        <v/>
      </c>
      <c r="FO386" s="44" t="str">
        <f>IF(Table1[Leaving Date]="","",IF(Table1[Date of Initial Assessment]="","",IF(AND(Table1[Leaving Date]&gt;42094,Table1[Leaving Date]&lt;42461),IF(Table1[Date of Last Assessment]="",Table1[Drug and Alcohol Misuse],Table1[Drug and Alcohol Misuse2]),"")))</f>
        <v/>
      </c>
      <c r="FP386" s="44" t="str">
        <f>IF(Table1[Leaving Date]="","",IF(Table1[Date of Initial Assessment]="","",IF(AND(Table1[Leaving Date]&gt;42094,Table1[Leaving Date]&lt;42461),IF(Table1[Date of Last Assessment]="",Table1[Physical Health],Table1[Physical Health2]),"")))</f>
        <v/>
      </c>
      <c r="FQ386" s="44" t="str">
        <f>IF(Table1[Leaving Date]="","",IF(Table1[Date of Initial Assessment]="","",IF(AND(Table1[Leaving Date]&gt;42094,Table1[Leaving Date]&lt;42461),IF(Table1[Date of Last Assessment]="",Table1[Emotional and Mental Health],Table1[Emotional and Mental Health2]),"")))</f>
        <v/>
      </c>
      <c r="FR386" s="44" t="str">
        <f>IF(Table1[Leaving Date]="","",IF(Table1[Date of Initial Assessment]="","",IF(AND(Table1[Leaving Date]&gt;42094,Table1[Leaving Date]&lt;42461),IF(Table1[Date of Last Assessment]="",Table1[Meaningful Use of Time],Table1[Meaningful Use of Time2]),"")))</f>
        <v/>
      </c>
      <c r="FS386" s="44" t="str">
        <f>IF(Table1[Leaving Date]="","",IF(Table1[Date of Initial Assessment]="","",IF(AND(Table1[Leaving Date]&gt;42094,Table1[Leaving Date]&lt;42461),IF(Table1[Date of Last Assessment]="",Table1[Managing Tenancy and Accommodation],Table1[Managing Tenancy and Accommodation2]),"")))</f>
        <v/>
      </c>
      <c r="FT386" s="44" t="str">
        <f>IF(Table1[Leaving Date]="","",IF(Table1[Date of Initial Assessment]="","",IF(AND(Table1[Leaving Date]&gt;42094,Table1[Leaving Date]&lt;42461),IF(Table1[Date of Last Assessment]="",Table1[Offending],Table1[Offending2]),"")))</f>
        <v/>
      </c>
      <c r="FU386" s="44" t="str">
        <f>IF(Table1[Date of Initial Assessment]="","",IF(AND(Table1[Start Date]&gt;42460,Table1[Start Date]&lt;42826),Table1[Motivation and Taking Responsibility],""))</f>
        <v/>
      </c>
      <c r="FV386" s="44" t="str">
        <f>IF(Table1[Date of Initial Assessment]="","",IF(AND(Table1[Start Date]&gt;42460,Table1[Start Date]&lt;42826),Table1[Self-Care and Living Skills],""))</f>
        <v/>
      </c>
      <c r="FW386" s="44" t="str">
        <f>IF(Table1[Date of Initial Assessment]="","",IF(AND(Table1[Start Date]&gt;42460,Table1[Start Date]&lt;42826),Table1[Managing Money and Personal Administration],""))</f>
        <v/>
      </c>
      <c r="FX386" s="44" t="str">
        <f>IF(Table1[Date of Initial Assessment]="","",IF(AND(Table1[Start Date]&gt;42460,Table1[Start Date]&lt;42826),Table1[Social Networks and Relationships],""))</f>
        <v/>
      </c>
      <c r="FY386" s="44" t="str">
        <f>IF(Table1[Date of Initial Assessment]="","",IF(AND(Table1[Start Date]&gt;42460,Table1[Start Date]&lt;42826),Table1[Drug and Alcohol Misuse],""))</f>
        <v/>
      </c>
      <c r="FZ386" s="44" t="str">
        <f>IF(Table1[Date of Initial Assessment]="","",IF(AND(Table1[Start Date]&gt;42460,Table1[Start Date]&lt;42826),Table1[Physical Health],""))</f>
        <v/>
      </c>
      <c r="GA386" s="44" t="str">
        <f>IF(Table1[Date of Initial Assessment]="","",IF(AND(Table1[Start Date]&gt;42460,Table1[Start Date]&lt;42826),Table1[Emotional and Mental Health],""))</f>
        <v/>
      </c>
      <c r="GB386" s="44" t="str">
        <f>IF(Table1[Date of Initial Assessment]="","",IF(AND(Table1[Start Date]&gt;42460,Table1[Start Date]&lt;42826),Table1[Meaningful Use of Time],""))</f>
        <v/>
      </c>
      <c r="GC386" s="44" t="str">
        <f>IF(Table1[Date of Initial Assessment]="","",IF(AND(Table1[Start Date]&gt;42460,Table1[Start Date]&lt;42826),Table1[Managing Tenancy and Accommodation],""))</f>
        <v/>
      </c>
      <c r="GD386" s="44" t="str">
        <f>IF(Table1[Date of Initial Assessment]="","",IF(AND(Table1[Start Date]&gt;42460,Table1[Start Date]&lt;42826),Table1[Offending],""))</f>
        <v/>
      </c>
      <c r="GE386" s="44" t="str">
        <f>IF(Table1[Leaving Date]="","",IF(AND(Table1[Leaving Date]&gt;42460,Table1[Leaving Date]&lt;42826),IF(Table1[Date of Last Assessment]="",Table1[Motivation and Taking Responsibility],Table1[Motivation and Taking Responsibility2]),""))</f>
        <v/>
      </c>
      <c r="GF386" s="44" t="str">
        <f>IF(Table1[Leaving Date]="","",IF(AND(Table1[Leaving Date]&gt;42460,Table1[Leaving Date]&lt;42826),IF(Table1[Date of Last Assessment]="",Table1[Self-Care and Living Skills],Table1[Self-Care and Living Skills2]),""))</f>
        <v/>
      </c>
      <c r="GG386" s="44" t="str">
        <f>IF(Table1[Leaving Date]="","",IF(AND(Table1[Leaving Date]&gt;42460,Table1[Leaving Date]&lt;42826),IF(Table1[Date of Last Assessment]="",Table1[Managing Money and Personal Administration],Table1[Managing Money and Personal Administration2]),""))</f>
        <v/>
      </c>
      <c r="GH386" s="44" t="str">
        <f>IF(Table1[Leaving Date]="","",IF(AND(Table1[Leaving Date]&gt;42460,Table1[Leaving Date]&lt;42826),IF(Table1[Date of Last Assessment]="",Table1[Social Networks and Relationships],Table1[Social Networks and Relationships2]),""))</f>
        <v/>
      </c>
      <c r="GI386" s="44" t="str">
        <f>IF(Table1[Leaving Date]="","",IF(AND(Table1[Leaving Date]&gt;42460,Table1[Leaving Date]&lt;42826),IF(Table1[Date of Last Assessment]="",Table1[Drug and Alcohol Misuse],Table1[Drug and Alcohol Misuse2]),""))</f>
        <v/>
      </c>
      <c r="GJ386" s="44" t="str">
        <f>IF(Table1[Leaving Date]="","",IF(AND(Table1[Leaving Date]&gt;42460,Table1[Leaving Date]&lt;42826),IF(Table1[Date of Last Assessment]="",Table1[Physical Health],Table1[Physical Health2]),""))</f>
        <v/>
      </c>
      <c r="GK386" s="44" t="str">
        <f>IF(Table1[Leaving Date]="","",IF(AND(Table1[Leaving Date]&gt;42460,Table1[Leaving Date]&lt;42826),IF(Table1[Date of Last Assessment]="",Table1[Emotional and Mental Health],Table1[Emotional and Mental Health2]),""))</f>
        <v/>
      </c>
      <c r="GL386" s="44" t="str">
        <f>IF(Table1[Leaving Date]="","",IF(AND(Table1[Leaving Date]&gt;42460,Table1[Leaving Date]&lt;42826),IF(Table1[Date of Last Assessment]="",Table1[Meaningful Use of Time],Table1[Meaningful Use of Time2]),""))</f>
        <v/>
      </c>
      <c r="GM386" s="44" t="str">
        <f>IF(Table1[Leaving Date]="","",IF(AND(Table1[Leaving Date]&gt;42460,Table1[Leaving Date]&lt;42826),IF(Table1[Date of Last Assessment]="",Table1[Managing Tenancy and Accommodation],Table1[Managing Tenancy and Accommodation2]),""))</f>
        <v/>
      </c>
      <c r="GN386" s="44" t="str">
        <f>IF(Table1[Leaving Date]="","",IF(AND(Table1[Leaving Date]&gt;42460,Table1[Leaving Date]&lt;42826),IF(Table1[Date of Last Assessment]="",Table1[Offending],Table1[Offending2]),""))</f>
        <v/>
      </c>
    </row>
    <row r="387" spans="2:196" ht="20.100000000000001" customHeight="1" x14ac:dyDescent="0.2">
      <c r="B387" s="86">
        <f>+'Service Data'!$C$5:$C$5</f>
        <v>0</v>
      </c>
      <c r="C387" s="86"/>
      <c r="D387" s="86"/>
      <c r="E387" s="86"/>
      <c r="F387" s="86"/>
      <c r="G387" s="86"/>
      <c r="H387" s="6"/>
      <c r="I387" s="99" t="str">
        <f ca="1">IF(Table1[[#This Row],[Date of Birth]]="","",SUM(TODAY()-Table1[[#This Row],[Date of Birth]])/365)</f>
        <v/>
      </c>
      <c r="L387" s="86"/>
      <c r="M387" s="77"/>
      <c r="N387" s="86"/>
      <c r="O387" s="86"/>
      <c r="P387" s="91"/>
      <c r="Q387" s="86"/>
      <c r="R387" s="77"/>
      <c r="S387" s="77"/>
      <c r="T387" s="68"/>
      <c r="U387" s="68"/>
      <c r="V387" s="67"/>
      <c r="W387" s="67"/>
      <c r="X387" s="67"/>
      <c r="Y387" s="67"/>
      <c r="Z387" s="67"/>
      <c r="AA387" s="67"/>
      <c r="AB387" s="67"/>
      <c r="AC387" s="67"/>
      <c r="AD387" s="67"/>
      <c r="AE387" s="67"/>
      <c r="AF387" s="67"/>
      <c r="AG387" s="67"/>
      <c r="AH387" s="67"/>
      <c r="AI387" s="67"/>
      <c r="AJ387" s="67"/>
      <c r="AK387" s="67"/>
      <c r="AL387" s="67"/>
      <c r="AM387" s="67"/>
      <c r="AN387" s="77"/>
      <c r="AO387" s="76"/>
      <c r="AP387" s="77"/>
      <c r="AQ387" s="76"/>
      <c r="AR387" s="76"/>
      <c r="AS387" s="76"/>
      <c r="AT387" s="76"/>
      <c r="AU387" s="76"/>
      <c r="AV387" s="77"/>
      <c r="AW387" s="76"/>
      <c r="AX387" s="77"/>
      <c r="AY387" s="76"/>
      <c r="AZ387" s="76"/>
      <c r="BA387" s="76"/>
      <c r="BB387" s="76"/>
      <c r="BC387" s="76"/>
      <c r="BD387" s="77"/>
      <c r="BE387" s="76"/>
      <c r="BF387" s="77"/>
      <c r="BG387" s="76"/>
      <c r="BH387" s="76"/>
      <c r="BI387" s="76"/>
      <c r="BJ387" s="76"/>
      <c r="BK387" s="76"/>
      <c r="BL387" s="77"/>
      <c r="BM387" s="76"/>
      <c r="BN387" s="77"/>
      <c r="BO387" s="76"/>
      <c r="BP387" s="76"/>
      <c r="BQ387" s="76"/>
      <c r="BR387" s="76"/>
      <c r="BS387" s="76"/>
      <c r="BT387" s="77"/>
      <c r="BU387" s="76"/>
      <c r="BV387" s="77"/>
      <c r="BW387" s="76"/>
      <c r="BX387" s="76"/>
      <c r="BY387" s="76"/>
      <c r="BZ387" s="76"/>
      <c r="CA387" s="76"/>
      <c r="CB387" s="77"/>
      <c r="CC387" s="76"/>
      <c r="CD387" s="77"/>
      <c r="CE387" s="76"/>
      <c r="CF387" s="76"/>
      <c r="CG387" s="76"/>
      <c r="CH387" s="76"/>
      <c r="CI387" s="76"/>
      <c r="CJ387" s="77"/>
      <c r="CK387" s="76"/>
      <c r="CL387" s="77"/>
      <c r="CM387" s="76"/>
      <c r="CN387" s="76"/>
      <c r="CO387" s="76"/>
      <c r="CP387" s="76"/>
      <c r="CQ387" s="76"/>
      <c r="CR387" s="78" t="str">
        <f t="shared" si="95"/>
        <v/>
      </c>
      <c r="CS387" s="79" t="str">
        <f t="shared" si="96"/>
        <v/>
      </c>
      <c r="CT387" s="79" t="str">
        <f t="shared" si="97"/>
        <v/>
      </c>
      <c r="CU387" s="79" t="str">
        <f t="shared" si="98"/>
        <v/>
      </c>
      <c r="CV387" s="79" t="str">
        <f t="shared" si="99"/>
        <v/>
      </c>
      <c r="CW387" s="79" t="str">
        <f t="shared" si="100"/>
        <v/>
      </c>
      <c r="CX387" s="79" t="str">
        <f t="shared" si="101"/>
        <v/>
      </c>
      <c r="CY387" s="79" t="str">
        <f t="shared" si="102"/>
        <v/>
      </c>
      <c r="CZ387" s="79" t="str">
        <f t="shared" si="103"/>
        <v/>
      </c>
      <c r="DA387" s="79" t="str">
        <f t="shared" si="104"/>
        <v/>
      </c>
      <c r="DB387" s="79" t="str">
        <f t="shared" si="105"/>
        <v/>
      </c>
      <c r="DC387" s="79" t="str">
        <f t="shared" si="106"/>
        <v/>
      </c>
      <c r="DD387" s="79" t="str">
        <f t="shared" si="107"/>
        <v/>
      </c>
      <c r="DE387" s="79" t="str">
        <f t="shared" si="108"/>
        <v/>
      </c>
      <c r="DF387" s="79" t="str">
        <f t="shared" si="109"/>
        <v/>
      </c>
      <c r="DG387" s="79" t="str">
        <f t="shared" si="110"/>
        <v/>
      </c>
      <c r="DH387" s="76"/>
      <c r="DI387" s="78"/>
      <c r="DJ387" s="76"/>
      <c r="DK387" s="77"/>
      <c r="DL387" s="77"/>
      <c r="DM387" s="77"/>
      <c r="DN387" s="80"/>
      <c r="DO387" s="80"/>
      <c r="DP387" s="92" t="str">
        <f>IF(Table1[Start Date]="","",IF(Table1[Start Date]&gt;42185,"",IF(AND(Table1[Leaving Date]&gt;1,Table1[Leaving Date]&lt;42095),"",1)))</f>
        <v/>
      </c>
      <c r="DQ387" s="92" t="str">
        <f>IF(Table1[Start Date]="","",IF(Table1[Start Date]&gt;42277,"",IF(AND(Table1[Leaving Date]&gt;1,Table1[Leaving Date]&lt;42186),"",1)))</f>
        <v/>
      </c>
      <c r="DR387" s="92" t="str">
        <f>IF(Table1[Start Date]="","",IF(Table1[Start Date]&gt;42369,"",IF(AND(Table1[Leaving Date]&gt;1,Table1[Leaving Date]&lt;42278),"",1)))</f>
        <v/>
      </c>
      <c r="DS387" s="92" t="str">
        <f>IF(Table1[Start Date]="","",IF(Table1[Start Date]&gt;42460,"",IF(AND(Table1[Leaving Date]&gt;1,Table1[Leaving Date]&lt;42370),"",1)))</f>
        <v/>
      </c>
      <c r="DT387" s="92" t="str">
        <f>IF(Table1[Start Date]="","",IF(Table1[Start Date]&gt;42551,"",IF(AND(Table1[Leaving Date]&gt;1,Table1[Leaving Date]&lt;42461),"",1)))</f>
        <v/>
      </c>
      <c r="DU387" s="92" t="str">
        <f>IF(Table1[Start Date]="","",IF(Table1[Start Date]&gt;42643,"",IF(AND(Table1[Leaving Date]&gt;1,Table1[Leaving Date]&lt;42552),"",1)))</f>
        <v/>
      </c>
      <c r="DV387" s="92" t="str">
        <f>IF(Table1[Start Date]="","",IF(Table1[Start Date]&gt;42735,"",IF(AND(Table1[Leaving Date]&gt;1,Table1[Leaving Date]&lt;42644),"",1)))</f>
        <v/>
      </c>
      <c r="DW387" s="92" t="str">
        <f>IF(Table1[Start Date]="","",IF(Table1[Start Date]&gt;42825,"",IF(AND(Table1[Leaving Date]&gt;1,Table1[Leaving Date]&lt;42736),"",1)))</f>
        <v/>
      </c>
      <c r="DX387"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387" s="44" t="e">
        <f>VLOOKUP(Table1[Referral Source],Lists!$G$2:$H$20,2,FALSE)</f>
        <v>#N/A</v>
      </c>
      <c r="DZ387" s="93" t="e">
        <f>SUM(Table1[Data Referral Quarter]+Table1[Data Referral Source])</f>
        <v>#N/A</v>
      </c>
      <c r="EA387" s="44" t="b">
        <f>IF(Table1[Referral Decision]="Accepted",100,IF(Table1[Referral Decision]="Rejected by Provider",200,IF(Table1[Referral Decision]="Rejected by Applicant",300)))</f>
        <v>0</v>
      </c>
      <c r="EB387" s="44">
        <f>SUM(Table1[Data Referral Quarter]+Table1[Data Referral Decision])</f>
        <v>0</v>
      </c>
      <c r="EC387" s="44" t="b">
        <f>IF(Table1[Start Date]&gt;42735,8000,IF(Table1[Start Date]&gt;42643,7000,IF(Table1[Start Date]&gt;42551,6000,IF(Table1[Start Date]&gt;42460,5000,IF(Table1[Start Date]&gt;42369,4000,IF(Table1[Start Date]&gt;42277,3000,IF(Table1[Start Date]&gt;42185,2000,IF(Table1[Start Date]&gt;42094,1000))))))))</f>
        <v>0</v>
      </c>
      <c r="ED387" s="44" t="str">
        <f>IF(Table1[Start Date]="","",IF(Table1[Current Local Authority]="Swindon",1,"2"))</f>
        <v/>
      </c>
      <c r="EE387" s="44" t="e">
        <f>SUM(Table1[Data Start Date]+Table1[Data Local Authority])</f>
        <v>#VALUE!</v>
      </c>
      <c r="EF387" s="44">
        <f>IF(Table1[Registered with GP]="Yes",1,0)</f>
        <v>0</v>
      </c>
      <c r="EG387" s="44">
        <f>SUM(Table1[Data Start Date]+Table1[Data GP Start])</f>
        <v>0</v>
      </c>
      <c r="EH387" s="44" t="str">
        <f>IF(Table1[EET]="NEET",1,IF(Table1[EET]="Education",2,IF(Table1[EET]="Employment",2,IF(Table1[EET]="Training",2,IF(Table1[EET]="Retired",3,"")))))</f>
        <v/>
      </c>
      <c r="EI387" s="44" t="e">
        <f>Table1[Data Start Date]+Table1[Data EET Start]</f>
        <v>#VALUE!</v>
      </c>
      <c r="EJ387" s="44" t="b">
        <f>IF(Table1[Leaving Date]&gt;42735,8000,IF(Table1[Leaving Date]&gt;42643,7000,IF(Table1[Leaving Date]&gt;42551,6000,IF(Table1[Leaving Date]&gt;42460,5000,IF(Table1[Leaving Date]&gt;42369,4000,IF(Table1[Leaving Date]&gt;42277,3000,IF(Table1[Leaving Date]&gt;42185,2000,IF(Table1[Leaving Date]&gt;42094,1000))))))))</f>
        <v>0</v>
      </c>
      <c r="EK387" s="44" t="e">
        <f>VLOOKUP(Table1[Reason for Leaving],Lists!$T$2:$U$15,2,FALSE)</f>
        <v>#N/A</v>
      </c>
      <c r="EL387" s="44" t="e">
        <f>SUM(Table1[Data Leavers Date]+Table1[Data Move On])</f>
        <v>#N/A</v>
      </c>
      <c r="EM387" s="44" t="b">
        <f>IF(Table1[Registered with GP2]="Yes",1,IF(Table1[Registered with GP2]="No",0,IF(Table1[Registered with GP]="Yes",1,IF(Table1[Registered with GP]="No",0))))</f>
        <v>0</v>
      </c>
      <c r="EN387" s="44">
        <f>SUM(Table1[Data Leavers Date]+Table1[Data GP End])</f>
        <v>0</v>
      </c>
      <c r="EO387" s="44" t="str">
        <f>IF(Table1[EET2]="NEET",1,IF(Table1[EET2]="Employment",2,IF(Table1[EET2]="Education",2,IF(Table1[EET2]="Training",2,IF(Table1[EET2]="Retired",3,IF(Table1[EET]="NEET",1,IF(Table1[EET]="Employment",2,IF(Table1[EET]="Education",2,IF(Table1[EET]="Training",2,IF(Table1[EET]="Retired",3,""))))))))))</f>
        <v/>
      </c>
      <c r="EP387" s="44" t="e">
        <f>+Table1[[#This Row],[Data Leavers Date]]+Table1[[#This Row],[Data EET End]]</f>
        <v>#VALUE!</v>
      </c>
      <c r="EQ387" s="44">
        <f>IF(Table1[Exit Form Received]="Yes",1,0)</f>
        <v>0</v>
      </c>
      <c r="ER387" s="44">
        <f>+Table1[[#This Row],[Data Leavers Date]]+Table1[[#This Row],[Data Exit Forms]]</f>
        <v>0</v>
      </c>
      <c r="ES387" s="44" t="str">
        <f>IF(Table1[Data Leavers Date]=1000,SUM(Table1[Leaving Date]-Table1[Start Date]),"")</f>
        <v/>
      </c>
      <c r="ET387" s="44" t="str">
        <f>IF(Table1[Data Leavers Date]=2000,SUM(Table1[Leaving Date]-Table1[Start Date]),"")</f>
        <v/>
      </c>
      <c r="EU387" s="44" t="str">
        <f>IF(Table1[Data Leavers Date]=3000,SUM(Table1[Leaving Date]-Table1[Start Date]),"")</f>
        <v/>
      </c>
      <c r="EV387" s="44" t="str">
        <f>IF(Table1[Data Leavers Date]=4000,SUM(Table1[Leaving Date]-Table1[Start Date]),"")</f>
        <v/>
      </c>
      <c r="EW387" s="44" t="str">
        <f>IF(Table1[Data Leavers Date]=5000,SUM(Table1[Leaving Date]-Table1[Start Date]),"")</f>
        <v/>
      </c>
      <c r="EX387" s="44" t="str">
        <f>IF(Table1[Data Leavers Date]=6000,SUM(Table1[Leaving Date]-Table1[Start Date]),"")</f>
        <v/>
      </c>
      <c r="EY387" s="44" t="str">
        <f>IF(Table1[Data Leavers Date]=7000,SUM(Table1[Leaving Date]-Table1[Start Date]),"")</f>
        <v/>
      </c>
      <c r="EZ387" s="44" t="str">
        <f>IF(Table1[Data Leavers Date]=8000,SUM(Table1[Leaving Date]-Table1[Start Date]),"")</f>
        <v/>
      </c>
      <c r="FA387" s="44" t="str">
        <f>IF(Table1[Date of Initial Assessment]="","",IF(AND(Table1[Start Date]&gt;42094,Table1[Start Date]&lt;42461),Table1[Motivation and Taking Responsibility],""))</f>
        <v/>
      </c>
      <c r="FB387" s="44" t="str">
        <f>IF(Table1[Date of Initial Assessment]="","",IF(AND(Table1[Start Date]&gt;42094,Table1[Start Date]&lt;42461),Table1[Self-Care and Living Skills],""))</f>
        <v/>
      </c>
      <c r="FC387" s="44" t="str">
        <f>IF(Table1[Date of Initial Assessment]="","",IF(AND(Table1[Start Date]&gt;42094,Table1[Start Date]&lt;42461),Table1[Managing Money and Personal Administration],""))</f>
        <v/>
      </c>
      <c r="FD387" s="44" t="str">
        <f>IF(Table1[Date of Initial Assessment]="","",IF(AND(Table1[Start Date]&gt;42094,Table1[Start Date]&lt;42461),Table1[Social Networks and Relationships],""))</f>
        <v/>
      </c>
      <c r="FE387" s="44" t="str">
        <f>IF(Table1[Date of Initial Assessment]="","",IF(AND(Table1[Start Date]&gt;42094,Table1[Start Date]&lt;42461),Table1[Drug and Alcohol Misuse],""))</f>
        <v/>
      </c>
      <c r="FF387" s="44" t="str">
        <f>IF(Table1[Date of Initial Assessment]="","",IF(AND(Table1[Start Date]&gt;42094,Table1[Start Date]&lt;42461),Table1[Physical Health],""))</f>
        <v/>
      </c>
      <c r="FG387" s="44" t="str">
        <f>IF(Table1[Date of Initial Assessment]="","",IF(AND(Table1[Start Date]&gt;42094,Table1[Start Date]&lt;42461),Table1[Emotional and Mental Health],""))</f>
        <v/>
      </c>
      <c r="FH387" s="44" t="str">
        <f>IF(Table1[Date of Initial Assessment]="","",IF(AND(Table1[Start Date]&gt;42094,Table1[Start Date]&lt;42461),Table1[Meaningful Use of Time],""))</f>
        <v/>
      </c>
      <c r="FI387" s="44" t="str">
        <f>IF(Table1[Date of Initial Assessment]="","",IF(AND(Table1[Start Date]&gt;42094,Table1[Start Date]&lt;42461),Table1[Managing Tenancy and Accommodation],""))</f>
        <v/>
      </c>
      <c r="FJ387" s="44" t="str">
        <f>IF(Table1[Date of Initial Assessment]="","",IF(AND(Table1[Start Date]&gt;42094,Table1[Start Date]&lt;42461),Table1[Offending],""))</f>
        <v/>
      </c>
      <c r="FK387" s="44" t="str">
        <f>IF(Table1[Leaving Date]="","",IF(Table1[Date of Initial Assessment]="","",IF(AND(Table1[Leaving Date]&gt;42094,Table1[Leaving Date]&lt;42461),IF(Table1[Date of Last Assessment]="",Table1[Motivation and Taking Responsibility],Table1[Motivation and Taking Responsibility2]),"")))</f>
        <v/>
      </c>
      <c r="FL387" s="44" t="str">
        <f>IF(Table1[Leaving Date]="","",IF(Table1[Date of Initial Assessment]="","",IF(AND(Table1[Leaving Date]&gt;42094,Table1[Leaving Date]&lt;42461),IF(Table1[Date of Last Assessment]="",Table1[Self-Care and Living Skills],Table1[Self-Care and Living Skills2]),"")))</f>
        <v/>
      </c>
      <c r="FM387" s="44" t="str">
        <f>IF(Table1[Leaving Date]="","",IF(Table1[Date of Initial Assessment]="","",IF(AND(Table1[Leaving Date]&gt;42094,Table1[Leaving Date]&lt;42461),IF(Table1[Date of Last Assessment]="",Table1[Managing Money and Personal Administration],Table1[Managing Money and Personal Administration2]),"")))</f>
        <v/>
      </c>
      <c r="FN387" s="44" t="str">
        <f>IF(Table1[Leaving Date]="","",IF(Table1[Date of Initial Assessment]="","",IF(AND(Table1[Leaving Date]&gt;42094,Table1[Leaving Date]&lt;42461),IF(Table1[Date of Last Assessment]="",Table1[Social Networks and Relationships],Table1[Social Networks and Relationships2]),"")))</f>
        <v/>
      </c>
      <c r="FO387" s="44" t="str">
        <f>IF(Table1[Leaving Date]="","",IF(Table1[Date of Initial Assessment]="","",IF(AND(Table1[Leaving Date]&gt;42094,Table1[Leaving Date]&lt;42461),IF(Table1[Date of Last Assessment]="",Table1[Drug and Alcohol Misuse],Table1[Drug and Alcohol Misuse2]),"")))</f>
        <v/>
      </c>
      <c r="FP387" s="44" t="str">
        <f>IF(Table1[Leaving Date]="","",IF(Table1[Date of Initial Assessment]="","",IF(AND(Table1[Leaving Date]&gt;42094,Table1[Leaving Date]&lt;42461),IF(Table1[Date of Last Assessment]="",Table1[Physical Health],Table1[Physical Health2]),"")))</f>
        <v/>
      </c>
      <c r="FQ387" s="44" t="str">
        <f>IF(Table1[Leaving Date]="","",IF(Table1[Date of Initial Assessment]="","",IF(AND(Table1[Leaving Date]&gt;42094,Table1[Leaving Date]&lt;42461),IF(Table1[Date of Last Assessment]="",Table1[Emotional and Mental Health],Table1[Emotional and Mental Health2]),"")))</f>
        <v/>
      </c>
      <c r="FR387" s="44" t="str">
        <f>IF(Table1[Leaving Date]="","",IF(Table1[Date of Initial Assessment]="","",IF(AND(Table1[Leaving Date]&gt;42094,Table1[Leaving Date]&lt;42461),IF(Table1[Date of Last Assessment]="",Table1[Meaningful Use of Time],Table1[Meaningful Use of Time2]),"")))</f>
        <v/>
      </c>
      <c r="FS387" s="44" t="str">
        <f>IF(Table1[Leaving Date]="","",IF(Table1[Date of Initial Assessment]="","",IF(AND(Table1[Leaving Date]&gt;42094,Table1[Leaving Date]&lt;42461),IF(Table1[Date of Last Assessment]="",Table1[Managing Tenancy and Accommodation],Table1[Managing Tenancy and Accommodation2]),"")))</f>
        <v/>
      </c>
      <c r="FT387" s="44" t="str">
        <f>IF(Table1[Leaving Date]="","",IF(Table1[Date of Initial Assessment]="","",IF(AND(Table1[Leaving Date]&gt;42094,Table1[Leaving Date]&lt;42461),IF(Table1[Date of Last Assessment]="",Table1[Offending],Table1[Offending2]),"")))</f>
        <v/>
      </c>
      <c r="FU387" s="44" t="str">
        <f>IF(Table1[Date of Initial Assessment]="","",IF(AND(Table1[Start Date]&gt;42460,Table1[Start Date]&lt;42826),Table1[Motivation and Taking Responsibility],""))</f>
        <v/>
      </c>
      <c r="FV387" s="44" t="str">
        <f>IF(Table1[Date of Initial Assessment]="","",IF(AND(Table1[Start Date]&gt;42460,Table1[Start Date]&lt;42826),Table1[Self-Care and Living Skills],""))</f>
        <v/>
      </c>
      <c r="FW387" s="44" t="str">
        <f>IF(Table1[Date of Initial Assessment]="","",IF(AND(Table1[Start Date]&gt;42460,Table1[Start Date]&lt;42826),Table1[Managing Money and Personal Administration],""))</f>
        <v/>
      </c>
      <c r="FX387" s="44" t="str">
        <f>IF(Table1[Date of Initial Assessment]="","",IF(AND(Table1[Start Date]&gt;42460,Table1[Start Date]&lt;42826),Table1[Social Networks and Relationships],""))</f>
        <v/>
      </c>
      <c r="FY387" s="44" t="str">
        <f>IF(Table1[Date of Initial Assessment]="","",IF(AND(Table1[Start Date]&gt;42460,Table1[Start Date]&lt;42826),Table1[Drug and Alcohol Misuse],""))</f>
        <v/>
      </c>
      <c r="FZ387" s="44" t="str">
        <f>IF(Table1[Date of Initial Assessment]="","",IF(AND(Table1[Start Date]&gt;42460,Table1[Start Date]&lt;42826),Table1[Physical Health],""))</f>
        <v/>
      </c>
      <c r="GA387" s="44" t="str">
        <f>IF(Table1[Date of Initial Assessment]="","",IF(AND(Table1[Start Date]&gt;42460,Table1[Start Date]&lt;42826),Table1[Emotional and Mental Health],""))</f>
        <v/>
      </c>
      <c r="GB387" s="44" t="str">
        <f>IF(Table1[Date of Initial Assessment]="","",IF(AND(Table1[Start Date]&gt;42460,Table1[Start Date]&lt;42826),Table1[Meaningful Use of Time],""))</f>
        <v/>
      </c>
      <c r="GC387" s="44" t="str">
        <f>IF(Table1[Date of Initial Assessment]="","",IF(AND(Table1[Start Date]&gt;42460,Table1[Start Date]&lt;42826),Table1[Managing Tenancy and Accommodation],""))</f>
        <v/>
      </c>
      <c r="GD387" s="44" t="str">
        <f>IF(Table1[Date of Initial Assessment]="","",IF(AND(Table1[Start Date]&gt;42460,Table1[Start Date]&lt;42826),Table1[Offending],""))</f>
        <v/>
      </c>
      <c r="GE387" s="44" t="str">
        <f>IF(Table1[Leaving Date]="","",IF(AND(Table1[Leaving Date]&gt;42460,Table1[Leaving Date]&lt;42826),IF(Table1[Date of Last Assessment]="",Table1[Motivation and Taking Responsibility],Table1[Motivation and Taking Responsibility2]),""))</f>
        <v/>
      </c>
      <c r="GF387" s="44" t="str">
        <f>IF(Table1[Leaving Date]="","",IF(AND(Table1[Leaving Date]&gt;42460,Table1[Leaving Date]&lt;42826),IF(Table1[Date of Last Assessment]="",Table1[Self-Care and Living Skills],Table1[Self-Care and Living Skills2]),""))</f>
        <v/>
      </c>
      <c r="GG387" s="44" t="str">
        <f>IF(Table1[Leaving Date]="","",IF(AND(Table1[Leaving Date]&gt;42460,Table1[Leaving Date]&lt;42826),IF(Table1[Date of Last Assessment]="",Table1[Managing Money and Personal Administration],Table1[Managing Money and Personal Administration2]),""))</f>
        <v/>
      </c>
      <c r="GH387" s="44" t="str">
        <f>IF(Table1[Leaving Date]="","",IF(AND(Table1[Leaving Date]&gt;42460,Table1[Leaving Date]&lt;42826),IF(Table1[Date of Last Assessment]="",Table1[Social Networks and Relationships],Table1[Social Networks and Relationships2]),""))</f>
        <v/>
      </c>
      <c r="GI387" s="44" t="str">
        <f>IF(Table1[Leaving Date]="","",IF(AND(Table1[Leaving Date]&gt;42460,Table1[Leaving Date]&lt;42826),IF(Table1[Date of Last Assessment]="",Table1[Drug and Alcohol Misuse],Table1[Drug and Alcohol Misuse2]),""))</f>
        <v/>
      </c>
      <c r="GJ387" s="44" t="str">
        <f>IF(Table1[Leaving Date]="","",IF(AND(Table1[Leaving Date]&gt;42460,Table1[Leaving Date]&lt;42826),IF(Table1[Date of Last Assessment]="",Table1[Physical Health],Table1[Physical Health2]),""))</f>
        <v/>
      </c>
      <c r="GK387" s="44" t="str">
        <f>IF(Table1[Leaving Date]="","",IF(AND(Table1[Leaving Date]&gt;42460,Table1[Leaving Date]&lt;42826),IF(Table1[Date of Last Assessment]="",Table1[Emotional and Mental Health],Table1[Emotional and Mental Health2]),""))</f>
        <v/>
      </c>
      <c r="GL387" s="44" t="str">
        <f>IF(Table1[Leaving Date]="","",IF(AND(Table1[Leaving Date]&gt;42460,Table1[Leaving Date]&lt;42826),IF(Table1[Date of Last Assessment]="",Table1[Meaningful Use of Time],Table1[Meaningful Use of Time2]),""))</f>
        <v/>
      </c>
      <c r="GM387" s="44" t="str">
        <f>IF(Table1[Leaving Date]="","",IF(AND(Table1[Leaving Date]&gt;42460,Table1[Leaving Date]&lt;42826),IF(Table1[Date of Last Assessment]="",Table1[Managing Tenancy and Accommodation],Table1[Managing Tenancy and Accommodation2]),""))</f>
        <v/>
      </c>
      <c r="GN387" s="44" t="str">
        <f>IF(Table1[Leaving Date]="","",IF(AND(Table1[Leaving Date]&gt;42460,Table1[Leaving Date]&lt;42826),IF(Table1[Date of Last Assessment]="",Table1[Offending],Table1[Offending2]),""))</f>
        <v/>
      </c>
    </row>
    <row r="388" spans="2:196" ht="20.100000000000001" customHeight="1" x14ac:dyDescent="0.2">
      <c r="B388" s="86">
        <f>+'Service Data'!$C$5:$C$5</f>
        <v>0</v>
      </c>
      <c r="C388" s="86"/>
      <c r="D388" s="86"/>
      <c r="E388" s="86"/>
      <c r="F388" s="86"/>
      <c r="G388" s="86"/>
      <c r="H388" s="6"/>
      <c r="I388" s="99" t="str">
        <f ca="1">IF(Table1[[#This Row],[Date of Birth]]="","",SUM(TODAY()-Table1[[#This Row],[Date of Birth]])/365)</f>
        <v/>
      </c>
      <c r="L388" s="86"/>
      <c r="M388" s="77"/>
      <c r="N388" s="86"/>
      <c r="O388" s="86"/>
      <c r="P388" s="91"/>
      <c r="Q388" s="86"/>
      <c r="R388" s="77"/>
      <c r="S388" s="77"/>
      <c r="T388" s="68"/>
      <c r="U388" s="68"/>
      <c r="V388" s="67"/>
      <c r="W388" s="67"/>
      <c r="X388" s="67"/>
      <c r="Y388" s="67"/>
      <c r="Z388" s="67"/>
      <c r="AA388" s="67"/>
      <c r="AB388" s="67"/>
      <c r="AC388" s="67"/>
      <c r="AD388" s="67"/>
      <c r="AE388" s="67"/>
      <c r="AF388" s="67"/>
      <c r="AG388" s="67"/>
      <c r="AH388" s="67"/>
      <c r="AI388" s="67"/>
      <c r="AJ388" s="67"/>
      <c r="AK388" s="67"/>
      <c r="AL388" s="67"/>
      <c r="AM388" s="67"/>
      <c r="AN388" s="77"/>
      <c r="AO388" s="76"/>
      <c r="AP388" s="77"/>
      <c r="AQ388" s="76"/>
      <c r="AR388" s="76"/>
      <c r="AS388" s="76"/>
      <c r="AT388" s="76"/>
      <c r="AU388" s="76"/>
      <c r="AV388" s="77"/>
      <c r="AW388" s="76"/>
      <c r="AX388" s="77"/>
      <c r="AY388" s="76"/>
      <c r="AZ388" s="76"/>
      <c r="BA388" s="76"/>
      <c r="BB388" s="76"/>
      <c r="BC388" s="76"/>
      <c r="BD388" s="77"/>
      <c r="BE388" s="76"/>
      <c r="BF388" s="77"/>
      <c r="BG388" s="76"/>
      <c r="BH388" s="76"/>
      <c r="BI388" s="76"/>
      <c r="BJ388" s="76"/>
      <c r="BK388" s="76"/>
      <c r="BL388" s="77"/>
      <c r="BM388" s="76"/>
      <c r="BN388" s="77"/>
      <c r="BO388" s="76"/>
      <c r="BP388" s="76"/>
      <c r="BQ388" s="76"/>
      <c r="BR388" s="76"/>
      <c r="BS388" s="76"/>
      <c r="BT388" s="77"/>
      <c r="BU388" s="76"/>
      <c r="BV388" s="77"/>
      <c r="BW388" s="76"/>
      <c r="BX388" s="76"/>
      <c r="BY388" s="76"/>
      <c r="BZ388" s="76"/>
      <c r="CA388" s="76"/>
      <c r="CB388" s="77"/>
      <c r="CC388" s="76"/>
      <c r="CD388" s="77"/>
      <c r="CE388" s="76"/>
      <c r="CF388" s="76"/>
      <c r="CG388" s="76"/>
      <c r="CH388" s="76"/>
      <c r="CI388" s="76"/>
      <c r="CJ388" s="77"/>
      <c r="CK388" s="76"/>
      <c r="CL388" s="77"/>
      <c r="CM388" s="76"/>
      <c r="CN388" s="76"/>
      <c r="CO388" s="76"/>
      <c r="CP388" s="76"/>
      <c r="CQ388" s="76"/>
      <c r="CR388" s="78" t="str">
        <f t="shared" ref="CR388:CR451" si="111">IF(U388="","",U388)</f>
        <v/>
      </c>
      <c r="CS388" s="79" t="str">
        <f t="shared" ref="CS388:CS451" si="112">IF(V388="","",V388)</f>
        <v/>
      </c>
      <c r="CT388" s="79" t="str">
        <f t="shared" ref="CT388:CT451" si="113">IF(W388="","",W388)</f>
        <v/>
      </c>
      <c r="CU388" s="79" t="str">
        <f t="shared" ref="CU388:CU451" si="114">IF(X388="","",X388)</f>
        <v/>
      </c>
      <c r="CV388" s="79" t="str">
        <f t="shared" ref="CV388:CV451" si="115">IF(Y388="","",Y388)</f>
        <v/>
      </c>
      <c r="CW388" s="79" t="str">
        <f t="shared" ref="CW388:CW451" si="116">IF(Z388="","",Z388)</f>
        <v/>
      </c>
      <c r="CX388" s="79" t="str">
        <f t="shared" ref="CX388:CX451" si="117">IF(AA388="","",AA388)</f>
        <v/>
      </c>
      <c r="CY388" s="79" t="str">
        <f t="shared" ref="CY388:CY451" si="118">IF(AB388="","",AB388)</f>
        <v/>
      </c>
      <c r="CZ388" s="79" t="str">
        <f t="shared" ref="CZ388:CZ451" si="119">IF(AC388="","",AC388)</f>
        <v/>
      </c>
      <c r="DA388" s="79" t="str">
        <f t="shared" ref="DA388:DA451" si="120">IF(AD388="","",AD388)</f>
        <v/>
      </c>
      <c r="DB388" s="79" t="str">
        <f t="shared" ref="DB388:DB451" si="121">IF(AE388="","",AE388)</f>
        <v/>
      </c>
      <c r="DC388" s="79" t="str">
        <f t="shared" ref="DC388:DC451" si="122">IF(AF388="","",AF388)</f>
        <v/>
      </c>
      <c r="DD388" s="79" t="str">
        <f t="shared" ref="DD388:DD451" si="123">IF(AG388="","",AG388)</f>
        <v/>
      </c>
      <c r="DE388" s="79" t="str">
        <f t="shared" ref="DE388:DE451" si="124">IF(AK388="","",AK388)</f>
        <v/>
      </c>
      <c r="DF388" s="79" t="str">
        <f t="shared" ref="DF388:DF451" si="125">IF(AL388="","",AL388)</f>
        <v/>
      </c>
      <c r="DG388" s="79" t="str">
        <f t="shared" ref="DG388:DG451" si="126">IF(AM388="","",AM388)</f>
        <v/>
      </c>
      <c r="DH388" s="76"/>
      <c r="DI388" s="78"/>
      <c r="DJ388" s="76"/>
      <c r="DK388" s="77"/>
      <c r="DL388" s="77"/>
      <c r="DM388" s="77"/>
      <c r="DN388" s="80"/>
      <c r="DO388" s="80"/>
      <c r="DP388" s="92" t="str">
        <f>IF(Table1[Start Date]="","",IF(Table1[Start Date]&gt;42185,"",IF(AND(Table1[Leaving Date]&gt;1,Table1[Leaving Date]&lt;42095),"",1)))</f>
        <v/>
      </c>
      <c r="DQ388" s="92" t="str">
        <f>IF(Table1[Start Date]="","",IF(Table1[Start Date]&gt;42277,"",IF(AND(Table1[Leaving Date]&gt;1,Table1[Leaving Date]&lt;42186),"",1)))</f>
        <v/>
      </c>
      <c r="DR388" s="92" t="str">
        <f>IF(Table1[Start Date]="","",IF(Table1[Start Date]&gt;42369,"",IF(AND(Table1[Leaving Date]&gt;1,Table1[Leaving Date]&lt;42278),"",1)))</f>
        <v/>
      </c>
      <c r="DS388" s="92" t="str">
        <f>IF(Table1[Start Date]="","",IF(Table1[Start Date]&gt;42460,"",IF(AND(Table1[Leaving Date]&gt;1,Table1[Leaving Date]&lt;42370),"",1)))</f>
        <v/>
      </c>
      <c r="DT388" s="92" t="str">
        <f>IF(Table1[Start Date]="","",IF(Table1[Start Date]&gt;42551,"",IF(AND(Table1[Leaving Date]&gt;1,Table1[Leaving Date]&lt;42461),"",1)))</f>
        <v/>
      </c>
      <c r="DU388" s="92" t="str">
        <f>IF(Table1[Start Date]="","",IF(Table1[Start Date]&gt;42643,"",IF(AND(Table1[Leaving Date]&gt;1,Table1[Leaving Date]&lt;42552),"",1)))</f>
        <v/>
      </c>
      <c r="DV388" s="92" t="str">
        <f>IF(Table1[Start Date]="","",IF(Table1[Start Date]&gt;42735,"",IF(AND(Table1[Leaving Date]&gt;1,Table1[Leaving Date]&lt;42644),"",1)))</f>
        <v/>
      </c>
      <c r="DW388" s="92" t="str">
        <f>IF(Table1[Start Date]="","",IF(Table1[Start Date]&gt;42825,"",IF(AND(Table1[Leaving Date]&gt;1,Table1[Leaving Date]&lt;42736),"",1)))</f>
        <v/>
      </c>
      <c r="DX388"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388" s="44" t="e">
        <f>VLOOKUP(Table1[Referral Source],Lists!$G$2:$H$20,2,FALSE)</f>
        <v>#N/A</v>
      </c>
      <c r="DZ388" s="93" t="e">
        <f>SUM(Table1[Data Referral Quarter]+Table1[Data Referral Source])</f>
        <v>#N/A</v>
      </c>
      <c r="EA388" s="44" t="b">
        <f>IF(Table1[Referral Decision]="Accepted",100,IF(Table1[Referral Decision]="Rejected by Provider",200,IF(Table1[Referral Decision]="Rejected by Applicant",300)))</f>
        <v>0</v>
      </c>
      <c r="EB388" s="44">
        <f>SUM(Table1[Data Referral Quarter]+Table1[Data Referral Decision])</f>
        <v>0</v>
      </c>
      <c r="EC388" s="44" t="b">
        <f>IF(Table1[Start Date]&gt;42735,8000,IF(Table1[Start Date]&gt;42643,7000,IF(Table1[Start Date]&gt;42551,6000,IF(Table1[Start Date]&gt;42460,5000,IF(Table1[Start Date]&gt;42369,4000,IF(Table1[Start Date]&gt;42277,3000,IF(Table1[Start Date]&gt;42185,2000,IF(Table1[Start Date]&gt;42094,1000))))))))</f>
        <v>0</v>
      </c>
      <c r="ED388" s="44" t="str">
        <f>IF(Table1[Start Date]="","",IF(Table1[Current Local Authority]="Swindon",1,"2"))</f>
        <v/>
      </c>
      <c r="EE388" s="44" t="e">
        <f>SUM(Table1[Data Start Date]+Table1[Data Local Authority])</f>
        <v>#VALUE!</v>
      </c>
      <c r="EF388" s="44">
        <f>IF(Table1[Registered with GP]="Yes",1,0)</f>
        <v>0</v>
      </c>
      <c r="EG388" s="44">
        <f>SUM(Table1[Data Start Date]+Table1[Data GP Start])</f>
        <v>0</v>
      </c>
      <c r="EH388" s="44" t="str">
        <f>IF(Table1[EET]="NEET",1,IF(Table1[EET]="Education",2,IF(Table1[EET]="Employment",2,IF(Table1[EET]="Training",2,IF(Table1[EET]="Retired",3,"")))))</f>
        <v/>
      </c>
      <c r="EI388" s="44" t="e">
        <f>Table1[Data Start Date]+Table1[Data EET Start]</f>
        <v>#VALUE!</v>
      </c>
      <c r="EJ388" s="44" t="b">
        <f>IF(Table1[Leaving Date]&gt;42735,8000,IF(Table1[Leaving Date]&gt;42643,7000,IF(Table1[Leaving Date]&gt;42551,6000,IF(Table1[Leaving Date]&gt;42460,5000,IF(Table1[Leaving Date]&gt;42369,4000,IF(Table1[Leaving Date]&gt;42277,3000,IF(Table1[Leaving Date]&gt;42185,2000,IF(Table1[Leaving Date]&gt;42094,1000))))))))</f>
        <v>0</v>
      </c>
      <c r="EK388" s="44" t="e">
        <f>VLOOKUP(Table1[Reason for Leaving],Lists!$T$2:$U$15,2,FALSE)</f>
        <v>#N/A</v>
      </c>
      <c r="EL388" s="44" t="e">
        <f>SUM(Table1[Data Leavers Date]+Table1[Data Move On])</f>
        <v>#N/A</v>
      </c>
      <c r="EM388" s="44" t="b">
        <f>IF(Table1[Registered with GP2]="Yes",1,IF(Table1[Registered with GP2]="No",0,IF(Table1[Registered with GP]="Yes",1,IF(Table1[Registered with GP]="No",0))))</f>
        <v>0</v>
      </c>
      <c r="EN388" s="44">
        <f>SUM(Table1[Data Leavers Date]+Table1[Data GP End])</f>
        <v>0</v>
      </c>
      <c r="EO388" s="44" t="str">
        <f>IF(Table1[EET2]="NEET",1,IF(Table1[EET2]="Employment",2,IF(Table1[EET2]="Education",2,IF(Table1[EET2]="Training",2,IF(Table1[EET2]="Retired",3,IF(Table1[EET]="NEET",1,IF(Table1[EET]="Employment",2,IF(Table1[EET]="Education",2,IF(Table1[EET]="Training",2,IF(Table1[EET]="Retired",3,""))))))))))</f>
        <v/>
      </c>
      <c r="EP388" s="44" t="e">
        <f>+Table1[[#This Row],[Data Leavers Date]]+Table1[[#This Row],[Data EET End]]</f>
        <v>#VALUE!</v>
      </c>
      <c r="EQ388" s="44">
        <f>IF(Table1[Exit Form Received]="Yes",1,0)</f>
        <v>0</v>
      </c>
      <c r="ER388" s="44">
        <f>+Table1[[#This Row],[Data Leavers Date]]+Table1[[#This Row],[Data Exit Forms]]</f>
        <v>0</v>
      </c>
      <c r="ES388" s="44" t="str">
        <f>IF(Table1[Data Leavers Date]=1000,SUM(Table1[Leaving Date]-Table1[Start Date]),"")</f>
        <v/>
      </c>
      <c r="ET388" s="44" t="str">
        <f>IF(Table1[Data Leavers Date]=2000,SUM(Table1[Leaving Date]-Table1[Start Date]),"")</f>
        <v/>
      </c>
      <c r="EU388" s="44" t="str">
        <f>IF(Table1[Data Leavers Date]=3000,SUM(Table1[Leaving Date]-Table1[Start Date]),"")</f>
        <v/>
      </c>
      <c r="EV388" s="44" t="str">
        <f>IF(Table1[Data Leavers Date]=4000,SUM(Table1[Leaving Date]-Table1[Start Date]),"")</f>
        <v/>
      </c>
      <c r="EW388" s="44" t="str">
        <f>IF(Table1[Data Leavers Date]=5000,SUM(Table1[Leaving Date]-Table1[Start Date]),"")</f>
        <v/>
      </c>
      <c r="EX388" s="44" t="str">
        <f>IF(Table1[Data Leavers Date]=6000,SUM(Table1[Leaving Date]-Table1[Start Date]),"")</f>
        <v/>
      </c>
      <c r="EY388" s="44" t="str">
        <f>IF(Table1[Data Leavers Date]=7000,SUM(Table1[Leaving Date]-Table1[Start Date]),"")</f>
        <v/>
      </c>
      <c r="EZ388" s="44" t="str">
        <f>IF(Table1[Data Leavers Date]=8000,SUM(Table1[Leaving Date]-Table1[Start Date]),"")</f>
        <v/>
      </c>
      <c r="FA388" s="44" t="str">
        <f>IF(Table1[Date of Initial Assessment]="","",IF(AND(Table1[Start Date]&gt;42094,Table1[Start Date]&lt;42461),Table1[Motivation and Taking Responsibility],""))</f>
        <v/>
      </c>
      <c r="FB388" s="44" t="str">
        <f>IF(Table1[Date of Initial Assessment]="","",IF(AND(Table1[Start Date]&gt;42094,Table1[Start Date]&lt;42461),Table1[Self-Care and Living Skills],""))</f>
        <v/>
      </c>
      <c r="FC388" s="44" t="str">
        <f>IF(Table1[Date of Initial Assessment]="","",IF(AND(Table1[Start Date]&gt;42094,Table1[Start Date]&lt;42461),Table1[Managing Money and Personal Administration],""))</f>
        <v/>
      </c>
      <c r="FD388" s="44" t="str">
        <f>IF(Table1[Date of Initial Assessment]="","",IF(AND(Table1[Start Date]&gt;42094,Table1[Start Date]&lt;42461),Table1[Social Networks and Relationships],""))</f>
        <v/>
      </c>
      <c r="FE388" s="44" t="str">
        <f>IF(Table1[Date of Initial Assessment]="","",IF(AND(Table1[Start Date]&gt;42094,Table1[Start Date]&lt;42461),Table1[Drug and Alcohol Misuse],""))</f>
        <v/>
      </c>
      <c r="FF388" s="44" t="str">
        <f>IF(Table1[Date of Initial Assessment]="","",IF(AND(Table1[Start Date]&gt;42094,Table1[Start Date]&lt;42461),Table1[Physical Health],""))</f>
        <v/>
      </c>
      <c r="FG388" s="44" t="str">
        <f>IF(Table1[Date of Initial Assessment]="","",IF(AND(Table1[Start Date]&gt;42094,Table1[Start Date]&lt;42461),Table1[Emotional and Mental Health],""))</f>
        <v/>
      </c>
      <c r="FH388" s="44" t="str">
        <f>IF(Table1[Date of Initial Assessment]="","",IF(AND(Table1[Start Date]&gt;42094,Table1[Start Date]&lt;42461),Table1[Meaningful Use of Time],""))</f>
        <v/>
      </c>
      <c r="FI388" s="44" t="str">
        <f>IF(Table1[Date of Initial Assessment]="","",IF(AND(Table1[Start Date]&gt;42094,Table1[Start Date]&lt;42461),Table1[Managing Tenancy and Accommodation],""))</f>
        <v/>
      </c>
      <c r="FJ388" s="44" t="str">
        <f>IF(Table1[Date of Initial Assessment]="","",IF(AND(Table1[Start Date]&gt;42094,Table1[Start Date]&lt;42461),Table1[Offending],""))</f>
        <v/>
      </c>
      <c r="FK388" s="44" t="str">
        <f>IF(Table1[Leaving Date]="","",IF(Table1[Date of Initial Assessment]="","",IF(AND(Table1[Leaving Date]&gt;42094,Table1[Leaving Date]&lt;42461),IF(Table1[Date of Last Assessment]="",Table1[Motivation and Taking Responsibility],Table1[Motivation and Taking Responsibility2]),"")))</f>
        <v/>
      </c>
      <c r="FL388" s="44" t="str">
        <f>IF(Table1[Leaving Date]="","",IF(Table1[Date of Initial Assessment]="","",IF(AND(Table1[Leaving Date]&gt;42094,Table1[Leaving Date]&lt;42461),IF(Table1[Date of Last Assessment]="",Table1[Self-Care and Living Skills],Table1[Self-Care and Living Skills2]),"")))</f>
        <v/>
      </c>
      <c r="FM388" s="44" t="str">
        <f>IF(Table1[Leaving Date]="","",IF(Table1[Date of Initial Assessment]="","",IF(AND(Table1[Leaving Date]&gt;42094,Table1[Leaving Date]&lt;42461),IF(Table1[Date of Last Assessment]="",Table1[Managing Money and Personal Administration],Table1[Managing Money and Personal Administration2]),"")))</f>
        <v/>
      </c>
      <c r="FN388" s="44" t="str">
        <f>IF(Table1[Leaving Date]="","",IF(Table1[Date of Initial Assessment]="","",IF(AND(Table1[Leaving Date]&gt;42094,Table1[Leaving Date]&lt;42461),IF(Table1[Date of Last Assessment]="",Table1[Social Networks and Relationships],Table1[Social Networks and Relationships2]),"")))</f>
        <v/>
      </c>
      <c r="FO388" s="44" t="str">
        <f>IF(Table1[Leaving Date]="","",IF(Table1[Date of Initial Assessment]="","",IF(AND(Table1[Leaving Date]&gt;42094,Table1[Leaving Date]&lt;42461),IF(Table1[Date of Last Assessment]="",Table1[Drug and Alcohol Misuse],Table1[Drug and Alcohol Misuse2]),"")))</f>
        <v/>
      </c>
      <c r="FP388" s="44" t="str">
        <f>IF(Table1[Leaving Date]="","",IF(Table1[Date of Initial Assessment]="","",IF(AND(Table1[Leaving Date]&gt;42094,Table1[Leaving Date]&lt;42461),IF(Table1[Date of Last Assessment]="",Table1[Physical Health],Table1[Physical Health2]),"")))</f>
        <v/>
      </c>
      <c r="FQ388" s="44" t="str">
        <f>IF(Table1[Leaving Date]="","",IF(Table1[Date of Initial Assessment]="","",IF(AND(Table1[Leaving Date]&gt;42094,Table1[Leaving Date]&lt;42461),IF(Table1[Date of Last Assessment]="",Table1[Emotional and Mental Health],Table1[Emotional and Mental Health2]),"")))</f>
        <v/>
      </c>
      <c r="FR388" s="44" t="str">
        <f>IF(Table1[Leaving Date]="","",IF(Table1[Date of Initial Assessment]="","",IF(AND(Table1[Leaving Date]&gt;42094,Table1[Leaving Date]&lt;42461),IF(Table1[Date of Last Assessment]="",Table1[Meaningful Use of Time],Table1[Meaningful Use of Time2]),"")))</f>
        <v/>
      </c>
      <c r="FS388" s="44" t="str">
        <f>IF(Table1[Leaving Date]="","",IF(Table1[Date of Initial Assessment]="","",IF(AND(Table1[Leaving Date]&gt;42094,Table1[Leaving Date]&lt;42461),IF(Table1[Date of Last Assessment]="",Table1[Managing Tenancy and Accommodation],Table1[Managing Tenancy and Accommodation2]),"")))</f>
        <v/>
      </c>
      <c r="FT388" s="44" t="str">
        <f>IF(Table1[Leaving Date]="","",IF(Table1[Date of Initial Assessment]="","",IF(AND(Table1[Leaving Date]&gt;42094,Table1[Leaving Date]&lt;42461),IF(Table1[Date of Last Assessment]="",Table1[Offending],Table1[Offending2]),"")))</f>
        <v/>
      </c>
      <c r="FU388" s="44" t="str">
        <f>IF(Table1[Date of Initial Assessment]="","",IF(AND(Table1[Start Date]&gt;42460,Table1[Start Date]&lt;42826),Table1[Motivation and Taking Responsibility],""))</f>
        <v/>
      </c>
      <c r="FV388" s="44" t="str">
        <f>IF(Table1[Date of Initial Assessment]="","",IF(AND(Table1[Start Date]&gt;42460,Table1[Start Date]&lt;42826),Table1[Self-Care and Living Skills],""))</f>
        <v/>
      </c>
      <c r="FW388" s="44" t="str">
        <f>IF(Table1[Date of Initial Assessment]="","",IF(AND(Table1[Start Date]&gt;42460,Table1[Start Date]&lt;42826),Table1[Managing Money and Personal Administration],""))</f>
        <v/>
      </c>
      <c r="FX388" s="44" t="str">
        <f>IF(Table1[Date of Initial Assessment]="","",IF(AND(Table1[Start Date]&gt;42460,Table1[Start Date]&lt;42826),Table1[Social Networks and Relationships],""))</f>
        <v/>
      </c>
      <c r="FY388" s="44" t="str">
        <f>IF(Table1[Date of Initial Assessment]="","",IF(AND(Table1[Start Date]&gt;42460,Table1[Start Date]&lt;42826),Table1[Drug and Alcohol Misuse],""))</f>
        <v/>
      </c>
      <c r="FZ388" s="44" t="str">
        <f>IF(Table1[Date of Initial Assessment]="","",IF(AND(Table1[Start Date]&gt;42460,Table1[Start Date]&lt;42826),Table1[Physical Health],""))</f>
        <v/>
      </c>
      <c r="GA388" s="44" t="str">
        <f>IF(Table1[Date of Initial Assessment]="","",IF(AND(Table1[Start Date]&gt;42460,Table1[Start Date]&lt;42826),Table1[Emotional and Mental Health],""))</f>
        <v/>
      </c>
      <c r="GB388" s="44" t="str">
        <f>IF(Table1[Date of Initial Assessment]="","",IF(AND(Table1[Start Date]&gt;42460,Table1[Start Date]&lt;42826),Table1[Meaningful Use of Time],""))</f>
        <v/>
      </c>
      <c r="GC388" s="44" t="str">
        <f>IF(Table1[Date of Initial Assessment]="","",IF(AND(Table1[Start Date]&gt;42460,Table1[Start Date]&lt;42826),Table1[Managing Tenancy and Accommodation],""))</f>
        <v/>
      </c>
      <c r="GD388" s="44" t="str">
        <f>IF(Table1[Date of Initial Assessment]="","",IF(AND(Table1[Start Date]&gt;42460,Table1[Start Date]&lt;42826),Table1[Offending],""))</f>
        <v/>
      </c>
      <c r="GE388" s="44" t="str">
        <f>IF(Table1[Leaving Date]="","",IF(AND(Table1[Leaving Date]&gt;42460,Table1[Leaving Date]&lt;42826),IF(Table1[Date of Last Assessment]="",Table1[Motivation and Taking Responsibility],Table1[Motivation and Taking Responsibility2]),""))</f>
        <v/>
      </c>
      <c r="GF388" s="44" t="str">
        <f>IF(Table1[Leaving Date]="","",IF(AND(Table1[Leaving Date]&gt;42460,Table1[Leaving Date]&lt;42826),IF(Table1[Date of Last Assessment]="",Table1[Self-Care and Living Skills],Table1[Self-Care and Living Skills2]),""))</f>
        <v/>
      </c>
      <c r="GG388" s="44" t="str">
        <f>IF(Table1[Leaving Date]="","",IF(AND(Table1[Leaving Date]&gt;42460,Table1[Leaving Date]&lt;42826),IF(Table1[Date of Last Assessment]="",Table1[Managing Money and Personal Administration],Table1[Managing Money and Personal Administration2]),""))</f>
        <v/>
      </c>
      <c r="GH388" s="44" t="str">
        <f>IF(Table1[Leaving Date]="","",IF(AND(Table1[Leaving Date]&gt;42460,Table1[Leaving Date]&lt;42826),IF(Table1[Date of Last Assessment]="",Table1[Social Networks and Relationships],Table1[Social Networks and Relationships2]),""))</f>
        <v/>
      </c>
      <c r="GI388" s="44" t="str">
        <f>IF(Table1[Leaving Date]="","",IF(AND(Table1[Leaving Date]&gt;42460,Table1[Leaving Date]&lt;42826),IF(Table1[Date of Last Assessment]="",Table1[Drug and Alcohol Misuse],Table1[Drug and Alcohol Misuse2]),""))</f>
        <v/>
      </c>
      <c r="GJ388" s="44" t="str">
        <f>IF(Table1[Leaving Date]="","",IF(AND(Table1[Leaving Date]&gt;42460,Table1[Leaving Date]&lt;42826),IF(Table1[Date of Last Assessment]="",Table1[Physical Health],Table1[Physical Health2]),""))</f>
        <v/>
      </c>
      <c r="GK388" s="44" t="str">
        <f>IF(Table1[Leaving Date]="","",IF(AND(Table1[Leaving Date]&gt;42460,Table1[Leaving Date]&lt;42826),IF(Table1[Date of Last Assessment]="",Table1[Emotional and Mental Health],Table1[Emotional and Mental Health2]),""))</f>
        <v/>
      </c>
      <c r="GL388" s="44" t="str">
        <f>IF(Table1[Leaving Date]="","",IF(AND(Table1[Leaving Date]&gt;42460,Table1[Leaving Date]&lt;42826),IF(Table1[Date of Last Assessment]="",Table1[Meaningful Use of Time],Table1[Meaningful Use of Time2]),""))</f>
        <v/>
      </c>
      <c r="GM388" s="44" t="str">
        <f>IF(Table1[Leaving Date]="","",IF(AND(Table1[Leaving Date]&gt;42460,Table1[Leaving Date]&lt;42826),IF(Table1[Date of Last Assessment]="",Table1[Managing Tenancy and Accommodation],Table1[Managing Tenancy and Accommodation2]),""))</f>
        <v/>
      </c>
      <c r="GN388" s="44" t="str">
        <f>IF(Table1[Leaving Date]="","",IF(AND(Table1[Leaving Date]&gt;42460,Table1[Leaving Date]&lt;42826),IF(Table1[Date of Last Assessment]="",Table1[Offending],Table1[Offending2]),""))</f>
        <v/>
      </c>
    </row>
    <row r="389" spans="2:196" ht="20.100000000000001" customHeight="1" x14ac:dyDescent="0.2">
      <c r="B389" s="86">
        <f>+'Service Data'!$C$5:$C$5</f>
        <v>0</v>
      </c>
      <c r="C389" s="86"/>
      <c r="D389" s="86"/>
      <c r="E389" s="86"/>
      <c r="F389" s="86"/>
      <c r="G389" s="86"/>
      <c r="H389" s="6"/>
      <c r="I389" s="99" t="str">
        <f ca="1">IF(Table1[[#This Row],[Date of Birth]]="","",SUM(TODAY()-Table1[[#This Row],[Date of Birth]])/365)</f>
        <v/>
      </c>
      <c r="L389" s="86"/>
      <c r="M389" s="77"/>
      <c r="N389" s="86"/>
      <c r="O389" s="86"/>
      <c r="P389" s="91"/>
      <c r="Q389" s="86"/>
      <c r="R389" s="77"/>
      <c r="S389" s="77"/>
      <c r="T389" s="68"/>
      <c r="U389" s="68"/>
      <c r="V389" s="67"/>
      <c r="W389" s="67"/>
      <c r="X389" s="67"/>
      <c r="Y389" s="67"/>
      <c r="Z389" s="67"/>
      <c r="AA389" s="67"/>
      <c r="AB389" s="67"/>
      <c r="AC389" s="67"/>
      <c r="AD389" s="67"/>
      <c r="AE389" s="67"/>
      <c r="AF389" s="67"/>
      <c r="AG389" s="67"/>
      <c r="AH389" s="67"/>
      <c r="AI389" s="67"/>
      <c r="AJ389" s="67"/>
      <c r="AK389" s="67"/>
      <c r="AL389" s="67"/>
      <c r="AM389" s="67"/>
      <c r="AN389" s="77"/>
      <c r="AO389" s="76"/>
      <c r="AP389" s="77"/>
      <c r="AQ389" s="76"/>
      <c r="AR389" s="76"/>
      <c r="AS389" s="76"/>
      <c r="AT389" s="76"/>
      <c r="AU389" s="76"/>
      <c r="AV389" s="77"/>
      <c r="AW389" s="76"/>
      <c r="AX389" s="77"/>
      <c r="AY389" s="76"/>
      <c r="AZ389" s="76"/>
      <c r="BA389" s="76"/>
      <c r="BB389" s="76"/>
      <c r="BC389" s="76"/>
      <c r="BD389" s="77"/>
      <c r="BE389" s="76"/>
      <c r="BF389" s="77"/>
      <c r="BG389" s="76"/>
      <c r="BH389" s="76"/>
      <c r="BI389" s="76"/>
      <c r="BJ389" s="76"/>
      <c r="BK389" s="76"/>
      <c r="BL389" s="77"/>
      <c r="BM389" s="76"/>
      <c r="BN389" s="77"/>
      <c r="BO389" s="76"/>
      <c r="BP389" s="76"/>
      <c r="BQ389" s="76"/>
      <c r="BR389" s="76"/>
      <c r="BS389" s="76"/>
      <c r="BT389" s="77"/>
      <c r="BU389" s="76"/>
      <c r="BV389" s="77"/>
      <c r="BW389" s="76"/>
      <c r="BX389" s="76"/>
      <c r="BY389" s="76"/>
      <c r="BZ389" s="76"/>
      <c r="CA389" s="76"/>
      <c r="CB389" s="77"/>
      <c r="CC389" s="76"/>
      <c r="CD389" s="77"/>
      <c r="CE389" s="76"/>
      <c r="CF389" s="76"/>
      <c r="CG389" s="76"/>
      <c r="CH389" s="76"/>
      <c r="CI389" s="76"/>
      <c r="CJ389" s="77"/>
      <c r="CK389" s="76"/>
      <c r="CL389" s="77"/>
      <c r="CM389" s="76"/>
      <c r="CN389" s="76"/>
      <c r="CO389" s="76"/>
      <c r="CP389" s="76"/>
      <c r="CQ389" s="76"/>
      <c r="CR389" s="78" t="str">
        <f t="shared" si="111"/>
        <v/>
      </c>
      <c r="CS389" s="79" t="str">
        <f t="shared" si="112"/>
        <v/>
      </c>
      <c r="CT389" s="79" t="str">
        <f t="shared" si="113"/>
        <v/>
      </c>
      <c r="CU389" s="79" t="str">
        <f t="shared" si="114"/>
        <v/>
      </c>
      <c r="CV389" s="79" t="str">
        <f t="shared" si="115"/>
        <v/>
      </c>
      <c r="CW389" s="79" t="str">
        <f t="shared" si="116"/>
        <v/>
      </c>
      <c r="CX389" s="79" t="str">
        <f t="shared" si="117"/>
        <v/>
      </c>
      <c r="CY389" s="79" t="str">
        <f t="shared" si="118"/>
        <v/>
      </c>
      <c r="CZ389" s="79" t="str">
        <f t="shared" si="119"/>
        <v/>
      </c>
      <c r="DA389" s="79" t="str">
        <f t="shared" si="120"/>
        <v/>
      </c>
      <c r="DB389" s="79" t="str">
        <f t="shared" si="121"/>
        <v/>
      </c>
      <c r="DC389" s="79" t="str">
        <f t="shared" si="122"/>
        <v/>
      </c>
      <c r="DD389" s="79" t="str">
        <f t="shared" si="123"/>
        <v/>
      </c>
      <c r="DE389" s="79" t="str">
        <f t="shared" si="124"/>
        <v/>
      </c>
      <c r="DF389" s="79" t="str">
        <f t="shared" si="125"/>
        <v/>
      </c>
      <c r="DG389" s="79" t="str">
        <f t="shared" si="126"/>
        <v/>
      </c>
      <c r="DH389" s="76"/>
      <c r="DI389" s="78"/>
      <c r="DJ389" s="76"/>
      <c r="DK389" s="77"/>
      <c r="DL389" s="77"/>
      <c r="DM389" s="77"/>
      <c r="DN389" s="80"/>
      <c r="DO389" s="80"/>
      <c r="DP389" s="92" t="str">
        <f>IF(Table1[Start Date]="","",IF(Table1[Start Date]&gt;42185,"",IF(AND(Table1[Leaving Date]&gt;1,Table1[Leaving Date]&lt;42095),"",1)))</f>
        <v/>
      </c>
      <c r="DQ389" s="92" t="str">
        <f>IF(Table1[Start Date]="","",IF(Table1[Start Date]&gt;42277,"",IF(AND(Table1[Leaving Date]&gt;1,Table1[Leaving Date]&lt;42186),"",1)))</f>
        <v/>
      </c>
      <c r="DR389" s="92" t="str">
        <f>IF(Table1[Start Date]="","",IF(Table1[Start Date]&gt;42369,"",IF(AND(Table1[Leaving Date]&gt;1,Table1[Leaving Date]&lt;42278),"",1)))</f>
        <v/>
      </c>
      <c r="DS389" s="92" t="str">
        <f>IF(Table1[Start Date]="","",IF(Table1[Start Date]&gt;42460,"",IF(AND(Table1[Leaving Date]&gt;1,Table1[Leaving Date]&lt;42370),"",1)))</f>
        <v/>
      </c>
      <c r="DT389" s="92" t="str">
        <f>IF(Table1[Start Date]="","",IF(Table1[Start Date]&gt;42551,"",IF(AND(Table1[Leaving Date]&gt;1,Table1[Leaving Date]&lt;42461),"",1)))</f>
        <v/>
      </c>
      <c r="DU389" s="92" t="str">
        <f>IF(Table1[Start Date]="","",IF(Table1[Start Date]&gt;42643,"",IF(AND(Table1[Leaving Date]&gt;1,Table1[Leaving Date]&lt;42552),"",1)))</f>
        <v/>
      </c>
      <c r="DV389" s="92" t="str">
        <f>IF(Table1[Start Date]="","",IF(Table1[Start Date]&gt;42735,"",IF(AND(Table1[Leaving Date]&gt;1,Table1[Leaving Date]&lt;42644),"",1)))</f>
        <v/>
      </c>
      <c r="DW389" s="92" t="str">
        <f>IF(Table1[Start Date]="","",IF(Table1[Start Date]&gt;42825,"",IF(AND(Table1[Leaving Date]&gt;1,Table1[Leaving Date]&lt;42736),"",1)))</f>
        <v/>
      </c>
      <c r="DX389"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389" s="44" t="e">
        <f>VLOOKUP(Table1[Referral Source],Lists!$G$2:$H$20,2,FALSE)</f>
        <v>#N/A</v>
      </c>
      <c r="DZ389" s="93" t="e">
        <f>SUM(Table1[Data Referral Quarter]+Table1[Data Referral Source])</f>
        <v>#N/A</v>
      </c>
      <c r="EA389" s="44" t="b">
        <f>IF(Table1[Referral Decision]="Accepted",100,IF(Table1[Referral Decision]="Rejected by Provider",200,IF(Table1[Referral Decision]="Rejected by Applicant",300)))</f>
        <v>0</v>
      </c>
      <c r="EB389" s="44">
        <f>SUM(Table1[Data Referral Quarter]+Table1[Data Referral Decision])</f>
        <v>0</v>
      </c>
      <c r="EC389" s="44" t="b">
        <f>IF(Table1[Start Date]&gt;42735,8000,IF(Table1[Start Date]&gt;42643,7000,IF(Table1[Start Date]&gt;42551,6000,IF(Table1[Start Date]&gt;42460,5000,IF(Table1[Start Date]&gt;42369,4000,IF(Table1[Start Date]&gt;42277,3000,IF(Table1[Start Date]&gt;42185,2000,IF(Table1[Start Date]&gt;42094,1000))))))))</f>
        <v>0</v>
      </c>
      <c r="ED389" s="44" t="str">
        <f>IF(Table1[Start Date]="","",IF(Table1[Current Local Authority]="Swindon",1,"2"))</f>
        <v/>
      </c>
      <c r="EE389" s="44" t="e">
        <f>SUM(Table1[Data Start Date]+Table1[Data Local Authority])</f>
        <v>#VALUE!</v>
      </c>
      <c r="EF389" s="44">
        <f>IF(Table1[Registered with GP]="Yes",1,0)</f>
        <v>0</v>
      </c>
      <c r="EG389" s="44">
        <f>SUM(Table1[Data Start Date]+Table1[Data GP Start])</f>
        <v>0</v>
      </c>
      <c r="EH389" s="44" t="str">
        <f>IF(Table1[EET]="NEET",1,IF(Table1[EET]="Education",2,IF(Table1[EET]="Employment",2,IF(Table1[EET]="Training",2,IF(Table1[EET]="Retired",3,"")))))</f>
        <v/>
      </c>
      <c r="EI389" s="44" t="e">
        <f>Table1[Data Start Date]+Table1[Data EET Start]</f>
        <v>#VALUE!</v>
      </c>
      <c r="EJ389" s="44" t="b">
        <f>IF(Table1[Leaving Date]&gt;42735,8000,IF(Table1[Leaving Date]&gt;42643,7000,IF(Table1[Leaving Date]&gt;42551,6000,IF(Table1[Leaving Date]&gt;42460,5000,IF(Table1[Leaving Date]&gt;42369,4000,IF(Table1[Leaving Date]&gt;42277,3000,IF(Table1[Leaving Date]&gt;42185,2000,IF(Table1[Leaving Date]&gt;42094,1000))))))))</f>
        <v>0</v>
      </c>
      <c r="EK389" s="44" t="e">
        <f>VLOOKUP(Table1[Reason for Leaving],Lists!$T$2:$U$15,2,FALSE)</f>
        <v>#N/A</v>
      </c>
      <c r="EL389" s="44" t="e">
        <f>SUM(Table1[Data Leavers Date]+Table1[Data Move On])</f>
        <v>#N/A</v>
      </c>
      <c r="EM389" s="44" t="b">
        <f>IF(Table1[Registered with GP2]="Yes",1,IF(Table1[Registered with GP2]="No",0,IF(Table1[Registered with GP]="Yes",1,IF(Table1[Registered with GP]="No",0))))</f>
        <v>0</v>
      </c>
      <c r="EN389" s="44">
        <f>SUM(Table1[Data Leavers Date]+Table1[Data GP End])</f>
        <v>0</v>
      </c>
      <c r="EO389" s="44" t="str">
        <f>IF(Table1[EET2]="NEET",1,IF(Table1[EET2]="Employment",2,IF(Table1[EET2]="Education",2,IF(Table1[EET2]="Training",2,IF(Table1[EET2]="Retired",3,IF(Table1[EET]="NEET",1,IF(Table1[EET]="Employment",2,IF(Table1[EET]="Education",2,IF(Table1[EET]="Training",2,IF(Table1[EET]="Retired",3,""))))))))))</f>
        <v/>
      </c>
      <c r="EP389" s="44" t="e">
        <f>+Table1[[#This Row],[Data Leavers Date]]+Table1[[#This Row],[Data EET End]]</f>
        <v>#VALUE!</v>
      </c>
      <c r="EQ389" s="44">
        <f>IF(Table1[Exit Form Received]="Yes",1,0)</f>
        <v>0</v>
      </c>
      <c r="ER389" s="44">
        <f>+Table1[[#This Row],[Data Leavers Date]]+Table1[[#This Row],[Data Exit Forms]]</f>
        <v>0</v>
      </c>
      <c r="ES389" s="44" t="str">
        <f>IF(Table1[Data Leavers Date]=1000,SUM(Table1[Leaving Date]-Table1[Start Date]),"")</f>
        <v/>
      </c>
      <c r="ET389" s="44" t="str">
        <f>IF(Table1[Data Leavers Date]=2000,SUM(Table1[Leaving Date]-Table1[Start Date]),"")</f>
        <v/>
      </c>
      <c r="EU389" s="44" t="str">
        <f>IF(Table1[Data Leavers Date]=3000,SUM(Table1[Leaving Date]-Table1[Start Date]),"")</f>
        <v/>
      </c>
      <c r="EV389" s="44" t="str">
        <f>IF(Table1[Data Leavers Date]=4000,SUM(Table1[Leaving Date]-Table1[Start Date]),"")</f>
        <v/>
      </c>
      <c r="EW389" s="44" t="str">
        <f>IF(Table1[Data Leavers Date]=5000,SUM(Table1[Leaving Date]-Table1[Start Date]),"")</f>
        <v/>
      </c>
      <c r="EX389" s="44" t="str">
        <f>IF(Table1[Data Leavers Date]=6000,SUM(Table1[Leaving Date]-Table1[Start Date]),"")</f>
        <v/>
      </c>
      <c r="EY389" s="44" t="str">
        <f>IF(Table1[Data Leavers Date]=7000,SUM(Table1[Leaving Date]-Table1[Start Date]),"")</f>
        <v/>
      </c>
      <c r="EZ389" s="44" t="str">
        <f>IF(Table1[Data Leavers Date]=8000,SUM(Table1[Leaving Date]-Table1[Start Date]),"")</f>
        <v/>
      </c>
      <c r="FA389" s="44" t="str">
        <f>IF(Table1[Date of Initial Assessment]="","",IF(AND(Table1[Start Date]&gt;42094,Table1[Start Date]&lt;42461),Table1[Motivation and Taking Responsibility],""))</f>
        <v/>
      </c>
      <c r="FB389" s="44" t="str">
        <f>IF(Table1[Date of Initial Assessment]="","",IF(AND(Table1[Start Date]&gt;42094,Table1[Start Date]&lt;42461),Table1[Self-Care and Living Skills],""))</f>
        <v/>
      </c>
      <c r="FC389" s="44" t="str">
        <f>IF(Table1[Date of Initial Assessment]="","",IF(AND(Table1[Start Date]&gt;42094,Table1[Start Date]&lt;42461),Table1[Managing Money and Personal Administration],""))</f>
        <v/>
      </c>
      <c r="FD389" s="44" t="str">
        <f>IF(Table1[Date of Initial Assessment]="","",IF(AND(Table1[Start Date]&gt;42094,Table1[Start Date]&lt;42461),Table1[Social Networks and Relationships],""))</f>
        <v/>
      </c>
      <c r="FE389" s="44" t="str">
        <f>IF(Table1[Date of Initial Assessment]="","",IF(AND(Table1[Start Date]&gt;42094,Table1[Start Date]&lt;42461),Table1[Drug and Alcohol Misuse],""))</f>
        <v/>
      </c>
      <c r="FF389" s="44" t="str">
        <f>IF(Table1[Date of Initial Assessment]="","",IF(AND(Table1[Start Date]&gt;42094,Table1[Start Date]&lt;42461),Table1[Physical Health],""))</f>
        <v/>
      </c>
      <c r="FG389" s="44" t="str">
        <f>IF(Table1[Date of Initial Assessment]="","",IF(AND(Table1[Start Date]&gt;42094,Table1[Start Date]&lt;42461),Table1[Emotional and Mental Health],""))</f>
        <v/>
      </c>
      <c r="FH389" s="44" t="str">
        <f>IF(Table1[Date of Initial Assessment]="","",IF(AND(Table1[Start Date]&gt;42094,Table1[Start Date]&lt;42461),Table1[Meaningful Use of Time],""))</f>
        <v/>
      </c>
      <c r="FI389" s="44" t="str">
        <f>IF(Table1[Date of Initial Assessment]="","",IF(AND(Table1[Start Date]&gt;42094,Table1[Start Date]&lt;42461),Table1[Managing Tenancy and Accommodation],""))</f>
        <v/>
      </c>
      <c r="FJ389" s="44" t="str">
        <f>IF(Table1[Date of Initial Assessment]="","",IF(AND(Table1[Start Date]&gt;42094,Table1[Start Date]&lt;42461),Table1[Offending],""))</f>
        <v/>
      </c>
      <c r="FK389" s="44" t="str">
        <f>IF(Table1[Leaving Date]="","",IF(Table1[Date of Initial Assessment]="","",IF(AND(Table1[Leaving Date]&gt;42094,Table1[Leaving Date]&lt;42461),IF(Table1[Date of Last Assessment]="",Table1[Motivation and Taking Responsibility],Table1[Motivation and Taking Responsibility2]),"")))</f>
        <v/>
      </c>
      <c r="FL389" s="44" t="str">
        <f>IF(Table1[Leaving Date]="","",IF(Table1[Date of Initial Assessment]="","",IF(AND(Table1[Leaving Date]&gt;42094,Table1[Leaving Date]&lt;42461),IF(Table1[Date of Last Assessment]="",Table1[Self-Care and Living Skills],Table1[Self-Care and Living Skills2]),"")))</f>
        <v/>
      </c>
      <c r="FM389" s="44" t="str">
        <f>IF(Table1[Leaving Date]="","",IF(Table1[Date of Initial Assessment]="","",IF(AND(Table1[Leaving Date]&gt;42094,Table1[Leaving Date]&lt;42461),IF(Table1[Date of Last Assessment]="",Table1[Managing Money and Personal Administration],Table1[Managing Money and Personal Administration2]),"")))</f>
        <v/>
      </c>
      <c r="FN389" s="44" t="str">
        <f>IF(Table1[Leaving Date]="","",IF(Table1[Date of Initial Assessment]="","",IF(AND(Table1[Leaving Date]&gt;42094,Table1[Leaving Date]&lt;42461),IF(Table1[Date of Last Assessment]="",Table1[Social Networks and Relationships],Table1[Social Networks and Relationships2]),"")))</f>
        <v/>
      </c>
      <c r="FO389" s="44" t="str">
        <f>IF(Table1[Leaving Date]="","",IF(Table1[Date of Initial Assessment]="","",IF(AND(Table1[Leaving Date]&gt;42094,Table1[Leaving Date]&lt;42461),IF(Table1[Date of Last Assessment]="",Table1[Drug and Alcohol Misuse],Table1[Drug and Alcohol Misuse2]),"")))</f>
        <v/>
      </c>
      <c r="FP389" s="44" t="str">
        <f>IF(Table1[Leaving Date]="","",IF(Table1[Date of Initial Assessment]="","",IF(AND(Table1[Leaving Date]&gt;42094,Table1[Leaving Date]&lt;42461),IF(Table1[Date of Last Assessment]="",Table1[Physical Health],Table1[Physical Health2]),"")))</f>
        <v/>
      </c>
      <c r="FQ389" s="44" t="str">
        <f>IF(Table1[Leaving Date]="","",IF(Table1[Date of Initial Assessment]="","",IF(AND(Table1[Leaving Date]&gt;42094,Table1[Leaving Date]&lt;42461),IF(Table1[Date of Last Assessment]="",Table1[Emotional and Mental Health],Table1[Emotional and Mental Health2]),"")))</f>
        <v/>
      </c>
      <c r="FR389" s="44" t="str">
        <f>IF(Table1[Leaving Date]="","",IF(Table1[Date of Initial Assessment]="","",IF(AND(Table1[Leaving Date]&gt;42094,Table1[Leaving Date]&lt;42461),IF(Table1[Date of Last Assessment]="",Table1[Meaningful Use of Time],Table1[Meaningful Use of Time2]),"")))</f>
        <v/>
      </c>
      <c r="FS389" s="44" t="str">
        <f>IF(Table1[Leaving Date]="","",IF(Table1[Date of Initial Assessment]="","",IF(AND(Table1[Leaving Date]&gt;42094,Table1[Leaving Date]&lt;42461),IF(Table1[Date of Last Assessment]="",Table1[Managing Tenancy and Accommodation],Table1[Managing Tenancy and Accommodation2]),"")))</f>
        <v/>
      </c>
      <c r="FT389" s="44" t="str">
        <f>IF(Table1[Leaving Date]="","",IF(Table1[Date of Initial Assessment]="","",IF(AND(Table1[Leaving Date]&gt;42094,Table1[Leaving Date]&lt;42461),IF(Table1[Date of Last Assessment]="",Table1[Offending],Table1[Offending2]),"")))</f>
        <v/>
      </c>
      <c r="FU389" s="44" t="str">
        <f>IF(Table1[Date of Initial Assessment]="","",IF(AND(Table1[Start Date]&gt;42460,Table1[Start Date]&lt;42826),Table1[Motivation and Taking Responsibility],""))</f>
        <v/>
      </c>
      <c r="FV389" s="44" t="str">
        <f>IF(Table1[Date of Initial Assessment]="","",IF(AND(Table1[Start Date]&gt;42460,Table1[Start Date]&lt;42826),Table1[Self-Care and Living Skills],""))</f>
        <v/>
      </c>
      <c r="FW389" s="44" t="str">
        <f>IF(Table1[Date of Initial Assessment]="","",IF(AND(Table1[Start Date]&gt;42460,Table1[Start Date]&lt;42826),Table1[Managing Money and Personal Administration],""))</f>
        <v/>
      </c>
      <c r="FX389" s="44" t="str">
        <f>IF(Table1[Date of Initial Assessment]="","",IF(AND(Table1[Start Date]&gt;42460,Table1[Start Date]&lt;42826),Table1[Social Networks and Relationships],""))</f>
        <v/>
      </c>
      <c r="FY389" s="44" t="str">
        <f>IF(Table1[Date of Initial Assessment]="","",IF(AND(Table1[Start Date]&gt;42460,Table1[Start Date]&lt;42826),Table1[Drug and Alcohol Misuse],""))</f>
        <v/>
      </c>
      <c r="FZ389" s="44" t="str">
        <f>IF(Table1[Date of Initial Assessment]="","",IF(AND(Table1[Start Date]&gt;42460,Table1[Start Date]&lt;42826),Table1[Physical Health],""))</f>
        <v/>
      </c>
      <c r="GA389" s="44" t="str">
        <f>IF(Table1[Date of Initial Assessment]="","",IF(AND(Table1[Start Date]&gt;42460,Table1[Start Date]&lt;42826),Table1[Emotional and Mental Health],""))</f>
        <v/>
      </c>
      <c r="GB389" s="44" t="str">
        <f>IF(Table1[Date of Initial Assessment]="","",IF(AND(Table1[Start Date]&gt;42460,Table1[Start Date]&lt;42826),Table1[Meaningful Use of Time],""))</f>
        <v/>
      </c>
      <c r="GC389" s="44" t="str">
        <f>IF(Table1[Date of Initial Assessment]="","",IF(AND(Table1[Start Date]&gt;42460,Table1[Start Date]&lt;42826),Table1[Managing Tenancy and Accommodation],""))</f>
        <v/>
      </c>
      <c r="GD389" s="44" t="str">
        <f>IF(Table1[Date of Initial Assessment]="","",IF(AND(Table1[Start Date]&gt;42460,Table1[Start Date]&lt;42826),Table1[Offending],""))</f>
        <v/>
      </c>
      <c r="GE389" s="44" t="str">
        <f>IF(Table1[Leaving Date]="","",IF(AND(Table1[Leaving Date]&gt;42460,Table1[Leaving Date]&lt;42826),IF(Table1[Date of Last Assessment]="",Table1[Motivation and Taking Responsibility],Table1[Motivation and Taking Responsibility2]),""))</f>
        <v/>
      </c>
      <c r="GF389" s="44" t="str">
        <f>IF(Table1[Leaving Date]="","",IF(AND(Table1[Leaving Date]&gt;42460,Table1[Leaving Date]&lt;42826),IF(Table1[Date of Last Assessment]="",Table1[Self-Care and Living Skills],Table1[Self-Care and Living Skills2]),""))</f>
        <v/>
      </c>
      <c r="GG389" s="44" t="str">
        <f>IF(Table1[Leaving Date]="","",IF(AND(Table1[Leaving Date]&gt;42460,Table1[Leaving Date]&lt;42826),IF(Table1[Date of Last Assessment]="",Table1[Managing Money and Personal Administration],Table1[Managing Money and Personal Administration2]),""))</f>
        <v/>
      </c>
      <c r="GH389" s="44" t="str">
        <f>IF(Table1[Leaving Date]="","",IF(AND(Table1[Leaving Date]&gt;42460,Table1[Leaving Date]&lt;42826),IF(Table1[Date of Last Assessment]="",Table1[Social Networks and Relationships],Table1[Social Networks and Relationships2]),""))</f>
        <v/>
      </c>
      <c r="GI389" s="44" t="str">
        <f>IF(Table1[Leaving Date]="","",IF(AND(Table1[Leaving Date]&gt;42460,Table1[Leaving Date]&lt;42826),IF(Table1[Date of Last Assessment]="",Table1[Drug and Alcohol Misuse],Table1[Drug and Alcohol Misuse2]),""))</f>
        <v/>
      </c>
      <c r="GJ389" s="44" t="str">
        <f>IF(Table1[Leaving Date]="","",IF(AND(Table1[Leaving Date]&gt;42460,Table1[Leaving Date]&lt;42826),IF(Table1[Date of Last Assessment]="",Table1[Physical Health],Table1[Physical Health2]),""))</f>
        <v/>
      </c>
      <c r="GK389" s="44" t="str">
        <f>IF(Table1[Leaving Date]="","",IF(AND(Table1[Leaving Date]&gt;42460,Table1[Leaving Date]&lt;42826),IF(Table1[Date of Last Assessment]="",Table1[Emotional and Mental Health],Table1[Emotional and Mental Health2]),""))</f>
        <v/>
      </c>
      <c r="GL389" s="44" t="str">
        <f>IF(Table1[Leaving Date]="","",IF(AND(Table1[Leaving Date]&gt;42460,Table1[Leaving Date]&lt;42826),IF(Table1[Date of Last Assessment]="",Table1[Meaningful Use of Time],Table1[Meaningful Use of Time2]),""))</f>
        <v/>
      </c>
      <c r="GM389" s="44" t="str">
        <f>IF(Table1[Leaving Date]="","",IF(AND(Table1[Leaving Date]&gt;42460,Table1[Leaving Date]&lt;42826),IF(Table1[Date of Last Assessment]="",Table1[Managing Tenancy and Accommodation],Table1[Managing Tenancy and Accommodation2]),""))</f>
        <v/>
      </c>
      <c r="GN389" s="44" t="str">
        <f>IF(Table1[Leaving Date]="","",IF(AND(Table1[Leaving Date]&gt;42460,Table1[Leaving Date]&lt;42826),IF(Table1[Date of Last Assessment]="",Table1[Offending],Table1[Offending2]),""))</f>
        <v/>
      </c>
    </row>
    <row r="390" spans="2:196" ht="20.100000000000001" customHeight="1" x14ac:dyDescent="0.2">
      <c r="B390" s="86">
        <f>+'Service Data'!$C$5:$C$5</f>
        <v>0</v>
      </c>
      <c r="C390" s="86"/>
      <c r="D390" s="86"/>
      <c r="E390" s="86"/>
      <c r="F390" s="86"/>
      <c r="G390" s="86"/>
      <c r="H390" s="6"/>
      <c r="I390" s="99" t="str">
        <f ca="1">IF(Table1[[#This Row],[Date of Birth]]="","",SUM(TODAY()-Table1[[#This Row],[Date of Birth]])/365)</f>
        <v/>
      </c>
      <c r="L390" s="86"/>
      <c r="M390" s="77"/>
      <c r="N390" s="86"/>
      <c r="O390" s="86"/>
      <c r="P390" s="91"/>
      <c r="Q390" s="86"/>
      <c r="R390" s="77"/>
      <c r="S390" s="77"/>
      <c r="T390" s="68"/>
      <c r="U390" s="68"/>
      <c r="V390" s="67"/>
      <c r="W390" s="67"/>
      <c r="X390" s="67"/>
      <c r="Y390" s="67"/>
      <c r="Z390" s="67"/>
      <c r="AA390" s="67"/>
      <c r="AB390" s="67"/>
      <c r="AC390" s="67"/>
      <c r="AD390" s="67"/>
      <c r="AE390" s="67"/>
      <c r="AF390" s="67"/>
      <c r="AG390" s="67"/>
      <c r="AH390" s="67"/>
      <c r="AI390" s="67"/>
      <c r="AJ390" s="67"/>
      <c r="AK390" s="67"/>
      <c r="AL390" s="67"/>
      <c r="AM390" s="67"/>
      <c r="AN390" s="77"/>
      <c r="AO390" s="76"/>
      <c r="AP390" s="77"/>
      <c r="AQ390" s="76"/>
      <c r="AR390" s="76"/>
      <c r="AS390" s="76"/>
      <c r="AT390" s="76"/>
      <c r="AU390" s="76"/>
      <c r="AV390" s="77"/>
      <c r="AW390" s="76"/>
      <c r="AX390" s="77"/>
      <c r="AY390" s="76"/>
      <c r="AZ390" s="76"/>
      <c r="BA390" s="76"/>
      <c r="BB390" s="76"/>
      <c r="BC390" s="76"/>
      <c r="BD390" s="77"/>
      <c r="BE390" s="76"/>
      <c r="BF390" s="77"/>
      <c r="BG390" s="76"/>
      <c r="BH390" s="76"/>
      <c r="BI390" s="76"/>
      <c r="BJ390" s="76"/>
      <c r="BK390" s="76"/>
      <c r="BL390" s="77"/>
      <c r="BM390" s="76"/>
      <c r="BN390" s="77"/>
      <c r="BO390" s="76"/>
      <c r="BP390" s="76"/>
      <c r="BQ390" s="76"/>
      <c r="BR390" s="76"/>
      <c r="BS390" s="76"/>
      <c r="BT390" s="77"/>
      <c r="BU390" s="76"/>
      <c r="BV390" s="77"/>
      <c r="BW390" s="76"/>
      <c r="BX390" s="76"/>
      <c r="BY390" s="76"/>
      <c r="BZ390" s="76"/>
      <c r="CA390" s="76"/>
      <c r="CB390" s="77"/>
      <c r="CC390" s="76"/>
      <c r="CD390" s="77"/>
      <c r="CE390" s="76"/>
      <c r="CF390" s="76"/>
      <c r="CG390" s="76"/>
      <c r="CH390" s="76"/>
      <c r="CI390" s="76"/>
      <c r="CJ390" s="77"/>
      <c r="CK390" s="76"/>
      <c r="CL390" s="77"/>
      <c r="CM390" s="76"/>
      <c r="CN390" s="76"/>
      <c r="CO390" s="76"/>
      <c r="CP390" s="76"/>
      <c r="CQ390" s="76"/>
      <c r="CR390" s="78" t="str">
        <f t="shared" si="111"/>
        <v/>
      </c>
      <c r="CS390" s="79" t="str">
        <f t="shared" si="112"/>
        <v/>
      </c>
      <c r="CT390" s="79" t="str">
        <f t="shared" si="113"/>
        <v/>
      </c>
      <c r="CU390" s="79" t="str">
        <f t="shared" si="114"/>
        <v/>
      </c>
      <c r="CV390" s="79" t="str">
        <f t="shared" si="115"/>
        <v/>
      </c>
      <c r="CW390" s="79" t="str">
        <f t="shared" si="116"/>
        <v/>
      </c>
      <c r="CX390" s="79" t="str">
        <f t="shared" si="117"/>
        <v/>
      </c>
      <c r="CY390" s="79" t="str">
        <f t="shared" si="118"/>
        <v/>
      </c>
      <c r="CZ390" s="79" t="str">
        <f t="shared" si="119"/>
        <v/>
      </c>
      <c r="DA390" s="79" t="str">
        <f t="shared" si="120"/>
        <v/>
      </c>
      <c r="DB390" s="79" t="str">
        <f t="shared" si="121"/>
        <v/>
      </c>
      <c r="DC390" s="79" t="str">
        <f t="shared" si="122"/>
        <v/>
      </c>
      <c r="DD390" s="79" t="str">
        <f t="shared" si="123"/>
        <v/>
      </c>
      <c r="DE390" s="79" t="str">
        <f t="shared" si="124"/>
        <v/>
      </c>
      <c r="DF390" s="79" t="str">
        <f t="shared" si="125"/>
        <v/>
      </c>
      <c r="DG390" s="79" t="str">
        <f t="shared" si="126"/>
        <v/>
      </c>
      <c r="DH390" s="76"/>
      <c r="DI390" s="78"/>
      <c r="DJ390" s="76"/>
      <c r="DK390" s="77"/>
      <c r="DL390" s="77"/>
      <c r="DM390" s="77"/>
      <c r="DN390" s="80"/>
      <c r="DO390" s="80"/>
      <c r="DP390" s="92" t="str">
        <f>IF(Table1[Start Date]="","",IF(Table1[Start Date]&gt;42185,"",IF(AND(Table1[Leaving Date]&gt;1,Table1[Leaving Date]&lt;42095),"",1)))</f>
        <v/>
      </c>
      <c r="DQ390" s="92" t="str">
        <f>IF(Table1[Start Date]="","",IF(Table1[Start Date]&gt;42277,"",IF(AND(Table1[Leaving Date]&gt;1,Table1[Leaving Date]&lt;42186),"",1)))</f>
        <v/>
      </c>
      <c r="DR390" s="92" t="str">
        <f>IF(Table1[Start Date]="","",IF(Table1[Start Date]&gt;42369,"",IF(AND(Table1[Leaving Date]&gt;1,Table1[Leaving Date]&lt;42278),"",1)))</f>
        <v/>
      </c>
      <c r="DS390" s="92" t="str">
        <f>IF(Table1[Start Date]="","",IF(Table1[Start Date]&gt;42460,"",IF(AND(Table1[Leaving Date]&gt;1,Table1[Leaving Date]&lt;42370),"",1)))</f>
        <v/>
      </c>
      <c r="DT390" s="92" t="str">
        <f>IF(Table1[Start Date]="","",IF(Table1[Start Date]&gt;42551,"",IF(AND(Table1[Leaving Date]&gt;1,Table1[Leaving Date]&lt;42461),"",1)))</f>
        <v/>
      </c>
      <c r="DU390" s="92" t="str">
        <f>IF(Table1[Start Date]="","",IF(Table1[Start Date]&gt;42643,"",IF(AND(Table1[Leaving Date]&gt;1,Table1[Leaving Date]&lt;42552),"",1)))</f>
        <v/>
      </c>
      <c r="DV390" s="92" t="str">
        <f>IF(Table1[Start Date]="","",IF(Table1[Start Date]&gt;42735,"",IF(AND(Table1[Leaving Date]&gt;1,Table1[Leaving Date]&lt;42644),"",1)))</f>
        <v/>
      </c>
      <c r="DW390" s="92" t="str">
        <f>IF(Table1[Start Date]="","",IF(Table1[Start Date]&gt;42825,"",IF(AND(Table1[Leaving Date]&gt;1,Table1[Leaving Date]&lt;42736),"",1)))</f>
        <v/>
      </c>
      <c r="DX390"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390" s="44" t="e">
        <f>VLOOKUP(Table1[Referral Source],Lists!$G$2:$H$20,2,FALSE)</f>
        <v>#N/A</v>
      </c>
      <c r="DZ390" s="93" t="e">
        <f>SUM(Table1[Data Referral Quarter]+Table1[Data Referral Source])</f>
        <v>#N/A</v>
      </c>
      <c r="EA390" s="44" t="b">
        <f>IF(Table1[Referral Decision]="Accepted",100,IF(Table1[Referral Decision]="Rejected by Provider",200,IF(Table1[Referral Decision]="Rejected by Applicant",300)))</f>
        <v>0</v>
      </c>
      <c r="EB390" s="44">
        <f>SUM(Table1[Data Referral Quarter]+Table1[Data Referral Decision])</f>
        <v>0</v>
      </c>
      <c r="EC390" s="44" t="b">
        <f>IF(Table1[Start Date]&gt;42735,8000,IF(Table1[Start Date]&gt;42643,7000,IF(Table1[Start Date]&gt;42551,6000,IF(Table1[Start Date]&gt;42460,5000,IF(Table1[Start Date]&gt;42369,4000,IF(Table1[Start Date]&gt;42277,3000,IF(Table1[Start Date]&gt;42185,2000,IF(Table1[Start Date]&gt;42094,1000))))))))</f>
        <v>0</v>
      </c>
      <c r="ED390" s="44" t="str">
        <f>IF(Table1[Start Date]="","",IF(Table1[Current Local Authority]="Swindon",1,"2"))</f>
        <v/>
      </c>
      <c r="EE390" s="44" t="e">
        <f>SUM(Table1[Data Start Date]+Table1[Data Local Authority])</f>
        <v>#VALUE!</v>
      </c>
      <c r="EF390" s="44">
        <f>IF(Table1[Registered with GP]="Yes",1,0)</f>
        <v>0</v>
      </c>
      <c r="EG390" s="44">
        <f>SUM(Table1[Data Start Date]+Table1[Data GP Start])</f>
        <v>0</v>
      </c>
      <c r="EH390" s="44" t="str">
        <f>IF(Table1[EET]="NEET",1,IF(Table1[EET]="Education",2,IF(Table1[EET]="Employment",2,IF(Table1[EET]="Training",2,IF(Table1[EET]="Retired",3,"")))))</f>
        <v/>
      </c>
      <c r="EI390" s="44" t="e">
        <f>Table1[Data Start Date]+Table1[Data EET Start]</f>
        <v>#VALUE!</v>
      </c>
      <c r="EJ390" s="44" t="b">
        <f>IF(Table1[Leaving Date]&gt;42735,8000,IF(Table1[Leaving Date]&gt;42643,7000,IF(Table1[Leaving Date]&gt;42551,6000,IF(Table1[Leaving Date]&gt;42460,5000,IF(Table1[Leaving Date]&gt;42369,4000,IF(Table1[Leaving Date]&gt;42277,3000,IF(Table1[Leaving Date]&gt;42185,2000,IF(Table1[Leaving Date]&gt;42094,1000))))))))</f>
        <v>0</v>
      </c>
      <c r="EK390" s="44" t="e">
        <f>VLOOKUP(Table1[Reason for Leaving],Lists!$T$2:$U$15,2,FALSE)</f>
        <v>#N/A</v>
      </c>
      <c r="EL390" s="44" t="e">
        <f>SUM(Table1[Data Leavers Date]+Table1[Data Move On])</f>
        <v>#N/A</v>
      </c>
      <c r="EM390" s="44" t="b">
        <f>IF(Table1[Registered with GP2]="Yes",1,IF(Table1[Registered with GP2]="No",0,IF(Table1[Registered with GP]="Yes",1,IF(Table1[Registered with GP]="No",0))))</f>
        <v>0</v>
      </c>
      <c r="EN390" s="44">
        <f>SUM(Table1[Data Leavers Date]+Table1[Data GP End])</f>
        <v>0</v>
      </c>
      <c r="EO390" s="44" t="str">
        <f>IF(Table1[EET2]="NEET",1,IF(Table1[EET2]="Employment",2,IF(Table1[EET2]="Education",2,IF(Table1[EET2]="Training",2,IF(Table1[EET2]="Retired",3,IF(Table1[EET]="NEET",1,IF(Table1[EET]="Employment",2,IF(Table1[EET]="Education",2,IF(Table1[EET]="Training",2,IF(Table1[EET]="Retired",3,""))))))))))</f>
        <v/>
      </c>
      <c r="EP390" s="44" t="e">
        <f>+Table1[[#This Row],[Data Leavers Date]]+Table1[[#This Row],[Data EET End]]</f>
        <v>#VALUE!</v>
      </c>
      <c r="EQ390" s="44">
        <f>IF(Table1[Exit Form Received]="Yes",1,0)</f>
        <v>0</v>
      </c>
      <c r="ER390" s="44">
        <f>+Table1[[#This Row],[Data Leavers Date]]+Table1[[#This Row],[Data Exit Forms]]</f>
        <v>0</v>
      </c>
      <c r="ES390" s="44" t="str">
        <f>IF(Table1[Data Leavers Date]=1000,SUM(Table1[Leaving Date]-Table1[Start Date]),"")</f>
        <v/>
      </c>
      <c r="ET390" s="44" t="str">
        <f>IF(Table1[Data Leavers Date]=2000,SUM(Table1[Leaving Date]-Table1[Start Date]),"")</f>
        <v/>
      </c>
      <c r="EU390" s="44" t="str">
        <f>IF(Table1[Data Leavers Date]=3000,SUM(Table1[Leaving Date]-Table1[Start Date]),"")</f>
        <v/>
      </c>
      <c r="EV390" s="44" t="str">
        <f>IF(Table1[Data Leavers Date]=4000,SUM(Table1[Leaving Date]-Table1[Start Date]),"")</f>
        <v/>
      </c>
      <c r="EW390" s="44" t="str">
        <f>IF(Table1[Data Leavers Date]=5000,SUM(Table1[Leaving Date]-Table1[Start Date]),"")</f>
        <v/>
      </c>
      <c r="EX390" s="44" t="str">
        <f>IF(Table1[Data Leavers Date]=6000,SUM(Table1[Leaving Date]-Table1[Start Date]),"")</f>
        <v/>
      </c>
      <c r="EY390" s="44" t="str">
        <f>IF(Table1[Data Leavers Date]=7000,SUM(Table1[Leaving Date]-Table1[Start Date]),"")</f>
        <v/>
      </c>
      <c r="EZ390" s="44" t="str">
        <f>IF(Table1[Data Leavers Date]=8000,SUM(Table1[Leaving Date]-Table1[Start Date]),"")</f>
        <v/>
      </c>
      <c r="FA390" s="44" t="str">
        <f>IF(Table1[Date of Initial Assessment]="","",IF(AND(Table1[Start Date]&gt;42094,Table1[Start Date]&lt;42461),Table1[Motivation and Taking Responsibility],""))</f>
        <v/>
      </c>
      <c r="FB390" s="44" t="str">
        <f>IF(Table1[Date of Initial Assessment]="","",IF(AND(Table1[Start Date]&gt;42094,Table1[Start Date]&lt;42461),Table1[Self-Care and Living Skills],""))</f>
        <v/>
      </c>
      <c r="FC390" s="44" t="str">
        <f>IF(Table1[Date of Initial Assessment]="","",IF(AND(Table1[Start Date]&gt;42094,Table1[Start Date]&lt;42461),Table1[Managing Money and Personal Administration],""))</f>
        <v/>
      </c>
      <c r="FD390" s="44" t="str">
        <f>IF(Table1[Date of Initial Assessment]="","",IF(AND(Table1[Start Date]&gt;42094,Table1[Start Date]&lt;42461),Table1[Social Networks and Relationships],""))</f>
        <v/>
      </c>
      <c r="FE390" s="44" t="str">
        <f>IF(Table1[Date of Initial Assessment]="","",IF(AND(Table1[Start Date]&gt;42094,Table1[Start Date]&lt;42461),Table1[Drug and Alcohol Misuse],""))</f>
        <v/>
      </c>
      <c r="FF390" s="44" t="str">
        <f>IF(Table1[Date of Initial Assessment]="","",IF(AND(Table1[Start Date]&gt;42094,Table1[Start Date]&lt;42461),Table1[Physical Health],""))</f>
        <v/>
      </c>
      <c r="FG390" s="44" t="str">
        <f>IF(Table1[Date of Initial Assessment]="","",IF(AND(Table1[Start Date]&gt;42094,Table1[Start Date]&lt;42461),Table1[Emotional and Mental Health],""))</f>
        <v/>
      </c>
      <c r="FH390" s="44" t="str">
        <f>IF(Table1[Date of Initial Assessment]="","",IF(AND(Table1[Start Date]&gt;42094,Table1[Start Date]&lt;42461),Table1[Meaningful Use of Time],""))</f>
        <v/>
      </c>
      <c r="FI390" s="44" t="str">
        <f>IF(Table1[Date of Initial Assessment]="","",IF(AND(Table1[Start Date]&gt;42094,Table1[Start Date]&lt;42461),Table1[Managing Tenancy and Accommodation],""))</f>
        <v/>
      </c>
      <c r="FJ390" s="44" t="str">
        <f>IF(Table1[Date of Initial Assessment]="","",IF(AND(Table1[Start Date]&gt;42094,Table1[Start Date]&lt;42461),Table1[Offending],""))</f>
        <v/>
      </c>
      <c r="FK390" s="44" t="str">
        <f>IF(Table1[Leaving Date]="","",IF(Table1[Date of Initial Assessment]="","",IF(AND(Table1[Leaving Date]&gt;42094,Table1[Leaving Date]&lt;42461),IF(Table1[Date of Last Assessment]="",Table1[Motivation and Taking Responsibility],Table1[Motivation and Taking Responsibility2]),"")))</f>
        <v/>
      </c>
      <c r="FL390" s="44" t="str">
        <f>IF(Table1[Leaving Date]="","",IF(Table1[Date of Initial Assessment]="","",IF(AND(Table1[Leaving Date]&gt;42094,Table1[Leaving Date]&lt;42461),IF(Table1[Date of Last Assessment]="",Table1[Self-Care and Living Skills],Table1[Self-Care and Living Skills2]),"")))</f>
        <v/>
      </c>
      <c r="FM390" s="44" t="str">
        <f>IF(Table1[Leaving Date]="","",IF(Table1[Date of Initial Assessment]="","",IF(AND(Table1[Leaving Date]&gt;42094,Table1[Leaving Date]&lt;42461),IF(Table1[Date of Last Assessment]="",Table1[Managing Money and Personal Administration],Table1[Managing Money and Personal Administration2]),"")))</f>
        <v/>
      </c>
      <c r="FN390" s="44" t="str">
        <f>IF(Table1[Leaving Date]="","",IF(Table1[Date of Initial Assessment]="","",IF(AND(Table1[Leaving Date]&gt;42094,Table1[Leaving Date]&lt;42461),IF(Table1[Date of Last Assessment]="",Table1[Social Networks and Relationships],Table1[Social Networks and Relationships2]),"")))</f>
        <v/>
      </c>
      <c r="FO390" s="44" t="str">
        <f>IF(Table1[Leaving Date]="","",IF(Table1[Date of Initial Assessment]="","",IF(AND(Table1[Leaving Date]&gt;42094,Table1[Leaving Date]&lt;42461),IF(Table1[Date of Last Assessment]="",Table1[Drug and Alcohol Misuse],Table1[Drug and Alcohol Misuse2]),"")))</f>
        <v/>
      </c>
      <c r="FP390" s="44" t="str">
        <f>IF(Table1[Leaving Date]="","",IF(Table1[Date of Initial Assessment]="","",IF(AND(Table1[Leaving Date]&gt;42094,Table1[Leaving Date]&lt;42461),IF(Table1[Date of Last Assessment]="",Table1[Physical Health],Table1[Physical Health2]),"")))</f>
        <v/>
      </c>
      <c r="FQ390" s="44" t="str">
        <f>IF(Table1[Leaving Date]="","",IF(Table1[Date of Initial Assessment]="","",IF(AND(Table1[Leaving Date]&gt;42094,Table1[Leaving Date]&lt;42461),IF(Table1[Date of Last Assessment]="",Table1[Emotional and Mental Health],Table1[Emotional and Mental Health2]),"")))</f>
        <v/>
      </c>
      <c r="FR390" s="44" t="str">
        <f>IF(Table1[Leaving Date]="","",IF(Table1[Date of Initial Assessment]="","",IF(AND(Table1[Leaving Date]&gt;42094,Table1[Leaving Date]&lt;42461),IF(Table1[Date of Last Assessment]="",Table1[Meaningful Use of Time],Table1[Meaningful Use of Time2]),"")))</f>
        <v/>
      </c>
      <c r="FS390" s="44" t="str">
        <f>IF(Table1[Leaving Date]="","",IF(Table1[Date of Initial Assessment]="","",IF(AND(Table1[Leaving Date]&gt;42094,Table1[Leaving Date]&lt;42461),IF(Table1[Date of Last Assessment]="",Table1[Managing Tenancy and Accommodation],Table1[Managing Tenancy and Accommodation2]),"")))</f>
        <v/>
      </c>
      <c r="FT390" s="44" t="str">
        <f>IF(Table1[Leaving Date]="","",IF(Table1[Date of Initial Assessment]="","",IF(AND(Table1[Leaving Date]&gt;42094,Table1[Leaving Date]&lt;42461),IF(Table1[Date of Last Assessment]="",Table1[Offending],Table1[Offending2]),"")))</f>
        <v/>
      </c>
      <c r="FU390" s="44" t="str">
        <f>IF(Table1[Date of Initial Assessment]="","",IF(AND(Table1[Start Date]&gt;42460,Table1[Start Date]&lt;42826),Table1[Motivation and Taking Responsibility],""))</f>
        <v/>
      </c>
      <c r="FV390" s="44" t="str">
        <f>IF(Table1[Date of Initial Assessment]="","",IF(AND(Table1[Start Date]&gt;42460,Table1[Start Date]&lt;42826),Table1[Self-Care and Living Skills],""))</f>
        <v/>
      </c>
      <c r="FW390" s="44" t="str">
        <f>IF(Table1[Date of Initial Assessment]="","",IF(AND(Table1[Start Date]&gt;42460,Table1[Start Date]&lt;42826),Table1[Managing Money and Personal Administration],""))</f>
        <v/>
      </c>
      <c r="FX390" s="44" t="str">
        <f>IF(Table1[Date of Initial Assessment]="","",IF(AND(Table1[Start Date]&gt;42460,Table1[Start Date]&lt;42826),Table1[Social Networks and Relationships],""))</f>
        <v/>
      </c>
      <c r="FY390" s="44" t="str">
        <f>IF(Table1[Date of Initial Assessment]="","",IF(AND(Table1[Start Date]&gt;42460,Table1[Start Date]&lt;42826),Table1[Drug and Alcohol Misuse],""))</f>
        <v/>
      </c>
      <c r="FZ390" s="44" t="str">
        <f>IF(Table1[Date of Initial Assessment]="","",IF(AND(Table1[Start Date]&gt;42460,Table1[Start Date]&lt;42826),Table1[Physical Health],""))</f>
        <v/>
      </c>
      <c r="GA390" s="44" t="str">
        <f>IF(Table1[Date of Initial Assessment]="","",IF(AND(Table1[Start Date]&gt;42460,Table1[Start Date]&lt;42826),Table1[Emotional and Mental Health],""))</f>
        <v/>
      </c>
      <c r="GB390" s="44" t="str">
        <f>IF(Table1[Date of Initial Assessment]="","",IF(AND(Table1[Start Date]&gt;42460,Table1[Start Date]&lt;42826),Table1[Meaningful Use of Time],""))</f>
        <v/>
      </c>
      <c r="GC390" s="44" t="str">
        <f>IF(Table1[Date of Initial Assessment]="","",IF(AND(Table1[Start Date]&gt;42460,Table1[Start Date]&lt;42826),Table1[Managing Tenancy and Accommodation],""))</f>
        <v/>
      </c>
      <c r="GD390" s="44" t="str">
        <f>IF(Table1[Date of Initial Assessment]="","",IF(AND(Table1[Start Date]&gt;42460,Table1[Start Date]&lt;42826),Table1[Offending],""))</f>
        <v/>
      </c>
      <c r="GE390" s="44" t="str">
        <f>IF(Table1[Leaving Date]="","",IF(AND(Table1[Leaving Date]&gt;42460,Table1[Leaving Date]&lt;42826),IF(Table1[Date of Last Assessment]="",Table1[Motivation and Taking Responsibility],Table1[Motivation and Taking Responsibility2]),""))</f>
        <v/>
      </c>
      <c r="GF390" s="44" t="str">
        <f>IF(Table1[Leaving Date]="","",IF(AND(Table1[Leaving Date]&gt;42460,Table1[Leaving Date]&lt;42826),IF(Table1[Date of Last Assessment]="",Table1[Self-Care and Living Skills],Table1[Self-Care and Living Skills2]),""))</f>
        <v/>
      </c>
      <c r="GG390" s="44" t="str">
        <f>IF(Table1[Leaving Date]="","",IF(AND(Table1[Leaving Date]&gt;42460,Table1[Leaving Date]&lt;42826),IF(Table1[Date of Last Assessment]="",Table1[Managing Money and Personal Administration],Table1[Managing Money and Personal Administration2]),""))</f>
        <v/>
      </c>
      <c r="GH390" s="44" t="str">
        <f>IF(Table1[Leaving Date]="","",IF(AND(Table1[Leaving Date]&gt;42460,Table1[Leaving Date]&lt;42826),IF(Table1[Date of Last Assessment]="",Table1[Social Networks and Relationships],Table1[Social Networks and Relationships2]),""))</f>
        <v/>
      </c>
      <c r="GI390" s="44" t="str">
        <f>IF(Table1[Leaving Date]="","",IF(AND(Table1[Leaving Date]&gt;42460,Table1[Leaving Date]&lt;42826),IF(Table1[Date of Last Assessment]="",Table1[Drug and Alcohol Misuse],Table1[Drug and Alcohol Misuse2]),""))</f>
        <v/>
      </c>
      <c r="GJ390" s="44" t="str">
        <f>IF(Table1[Leaving Date]="","",IF(AND(Table1[Leaving Date]&gt;42460,Table1[Leaving Date]&lt;42826),IF(Table1[Date of Last Assessment]="",Table1[Physical Health],Table1[Physical Health2]),""))</f>
        <v/>
      </c>
      <c r="GK390" s="44" t="str">
        <f>IF(Table1[Leaving Date]="","",IF(AND(Table1[Leaving Date]&gt;42460,Table1[Leaving Date]&lt;42826),IF(Table1[Date of Last Assessment]="",Table1[Emotional and Mental Health],Table1[Emotional and Mental Health2]),""))</f>
        <v/>
      </c>
      <c r="GL390" s="44" t="str">
        <f>IF(Table1[Leaving Date]="","",IF(AND(Table1[Leaving Date]&gt;42460,Table1[Leaving Date]&lt;42826),IF(Table1[Date of Last Assessment]="",Table1[Meaningful Use of Time],Table1[Meaningful Use of Time2]),""))</f>
        <v/>
      </c>
      <c r="GM390" s="44" t="str">
        <f>IF(Table1[Leaving Date]="","",IF(AND(Table1[Leaving Date]&gt;42460,Table1[Leaving Date]&lt;42826),IF(Table1[Date of Last Assessment]="",Table1[Managing Tenancy and Accommodation],Table1[Managing Tenancy and Accommodation2]),""))</f>
        <v/>
      </c>
      <c r="GN390" s="44" t="str">
        <f>IF(Table1[Leaving Date]="","",IF(AND(Table1[Leaving Date]&gt;42460,Table1[Leaving Date]&lt;42826),IF(Table1[Date of Last Assessment]="",Table1[Offending],Table1[Offending2]),""))</f>
        <v/>
      </c>
    </row>
    <row r="391" spans="2:196" ht="20.100000000000001" customHeight="1" x14ac:dyDescent="0.2">
      <c r="B391" s="86">
        <f>+'Service Data'!$C$5:$C$5</f>
        <v>0</v>
      </c>
      <c r="C391" s="86"/>
      <c r="D391" s="86"/>
      <c r="E391" s="86"/>
      <c r="F391" s="86"/>
      <c r="G391" s="86"/>
      <c r="H391" s="6"/>
      <c r="I391" s="99" t="str">
        <f ca="1">IF(Table1[[#This Row],[Date of Birth]]="","",SUM(TODAY()-Table1[[#This Row],[Date of Birth]])/365)</f>
        <v/>
      </c>
      <c r="L391" s="86"/>
      <c r="M391" s="77"/>
      <c r="N391" s="86"/>
      <c r="O391" s="86"/>
      <c r="P391" s="91"/>
      <c r="Q391" s="86"/>
      <c r="R391" s="77"/>
      <c r="S391" s="77"/>
      <c r="T391" s="68"/>
      <c r="U391" s="68"/>
      <c r="V391" s="67"/>
      <c r="W391" s="67"/>
      <c r="X391" s="67"/>
      <c r="Y391" s="67"/>
      <c r="Z391" s="67"/>
      <c r="AA391" s="67"/>
      <c r="AB391" s="67"/>
      <c r="AC391" s="67"/>
      <c r="AD391" s="67"/>
      <c r="AE391" s="67"/>
      <c r="AF391" s="67"/>
      <c r="AG391" s="67"/>
      <c r="AH391" s="67"/>
      <c r="AI391" s="67"/>
      <c r="AJ391" s="67"/>
      <c r="AK391" s="67"/>
      <c r="AL391" s="67"/>
      <c r="AM391" s="67"/>
      <c r="AN391" s="77"/>
      <c r="AO391" s="76"/>
      <c r="AP391" s="77"/>
      <c r="AQ391" s="76"/>
      <c r="AR391" s="76"/>
      <c r="AS391" s="76"/>
      <c r="AT391" s="76"/>
      <c r="AU391" s="76"/>
      <c r="AV391" s="77"/>
      <c r="AW391" s="76"/>
      <c r="AX391" s="77"/>
      <c r="AY391" s="76"/>
      <c r="AZ391" s="76"/>
      <c r="BA391" s="76"/>
      <c r="BB391" s="76"/>
      <c r="BC391" s="76"/>
      <c r="BD391" s="77"/>
      <c r="BE391" s="76"/>
      <c r="BF391" s="77"/>
      <c r="BG391" s="76"/>
      <c r="BH391" s="76"/>
      <c r="BI391" s="76"/>
      <c r="BJ391" s="76"/>
      <c r="BK391" s="76"/>
      <c r="BL391" s="77"/>
      <c r="BM391" s="76"/>
      <c r="BN391" s="77"/>
      <c r="BO391" s="76"/>
      <c r="BP391" s="76"/>
      <c r="BQ391" s="76"/>
      <c r="BR391" s="76"/>
      <c r="BS391" s="76"/>
      <c r="BT391" s="77"/>
      <c r="BU391" s="76"/>
      <c r="BV391" s="77"/>
      <c r="BW391" s="76"/>
      <c r="BX391" s="76"/>
      <c r="BY391" s="76"/>
      <c r="BZ391" s="76"/>
      <c r="CA391" s="76"/>
      <c r="CB391" s="77"/>
      <c r="CC391" s="76"/>
      <c r="CD391" s="77"/>
      <c r="CE391" s="76"/>
      <c r="CF391" s="76"/>
      <c r="CG391" s="76"/>
      <c r="CH391" s="76"/>
      <c r="CI391" s="76"/>
      <c r="CJ391" s="77"/>
      <c r="CK391" s="76"/>
      <c r="CL391" s="77"/>
      <c r="CM391" s="76"/>
      <c r="CN391" s="76"/>
      <c r="CO391" s="76"/>
      <c r="CP391" s="76"/>
      <c r="CQ391" s="76"/>
      <c r="CR391" s="78" t="str">
        <f t="shared" si="111"/>
        <v/>
      </c>
      <c r="CS391" s="79" t="str">
        <f t="shared" si="112"/>
        <v/>
      </c>
      <c r="CT391" s="79" t="str">
        <f t="shared" si="113"/>
        <v/>
      </c>
      <c r="CU391" s="79" t="str">
        <f t="shared" si="114"/>
        <v/>
      </c>
      <c r="CV391" s="79" t="str">
        <f t="shared" si="115"/>
        <v/>
      </c>
      <c r="CW391" s="79" t="str">
        <f t="shared" si="116"/>
        <v/>
      </c>
      <c r="CX391" s="79" t="str">
        <f t="shared" si="117"/>
        <v/>
      </c>
      <c r="CY391" s="79" t="str">
        <f t="shared" si="118"/>
        <v/>
      </c>
      <c r="CZ391" s="79" t="str">
        <f t="shared" si="119"/>
        <v/>
      </c>
      <c r="DA391" s="79" t="str">
        <f t="shared" si="120"/>
        <v/>
      </c>
      <c r="DB391" s="79" t="str">
        <f t="shared" si="121"/>
        <v/>
      </c>
      <c r="DC391" s="79" t="str">
        <f t="shared" si="122"/>
        <v/>
      </c>
      <c r="DD391" s="79" t="str">
        <f t="shared" si="123"/>
        <v/>
      </c>
      <c r="DE391" s="79" t="str">
        <f t="shared" si="124"/>
        <v/>
      </c>
      <c r="DF391" s="79" t="str">
        <f t="shared" si="125"/>
        <v/>
      </c>
      <c r="DG391" s="79" t="str">
        <f t="shared" si="126"/>
        <v/>
      </c>
      <c r="DH391" s="76"/>
      <c r="DI391" s="78"/>
      <c r="DJ391" s="76"/>
      <c r="DK391" s="77"/>
      <c r="DL391" s="77"/>
      <c r="DM391" s="77"/>
      <c r="DN391" s="80"/>
      <c r="DO391" s="80"/>
      <c r="DP391" s="92" t="str">
        <f>IF(Table1[Start Date]="","",IF(Table1[Start Date]&gt;42185,"",IF(AND(Table1[Leaving Date]&gt;1,Table1[Leaving Date]&lt;42095),"",1)))</f>
        <v/>
      </c>
      <c r="DQ391" s="92" t="str">
        <f>IF(Table1[Start Date]="","",IF(Table1[Start Date]&gt;42277,"",IF(AND(Table1[Leaving Date]&gt;1,Table1[Leaving Date]&lt;42186),"",1)))</f>
        <v/>
      </c>
      <c r="DR391" s="92" t="str">
        <f>IF(Table1[Start Date]="","",IF(Table1[Start Date]&gt;42369,"",IF(AND(Table1[Leaving Date]&gt;1,Table1[Leaving Date]&lt;42278),"",1)))</f>
        <v/>
      </c>
      <c r="DS391" s="92" t="str">
        <f>IF(Table1[Start Date]="","",IF(Table1[Start Date]&gt;42460,"",IF(AND(Table1[Leaving Date]&gt;1,Table1[Leaving Date]&lt;42370),"",1)))</f>
        <v/>
      </c>
      <c r="DT391" s="92" t="str">
        <f>IF(Table1[Start Date]="","",IF(Table1[Start Date]&gt;42551,"",IF(AND(Table1[Leaving Date]&gt;1,Table1[Leaving Date]&lt;42461),"",1)))</f>
        <v/>
      </c>
      <c r="DU391" s="92" t="str">
        <f>IF(Table1[Start Date]="","",IF(Table1[Start Date]&gt;42643,"",IF(AND(Table1[Leaving Date]&gt;1,Table1[Leaving Date]&lt;42552),"",1)))</f>
        <v/>
      </c>
      <c r="DV391" s="92" t="str">
        <f>IF(Table1[Start Date]="","",IF(Table1[Start Date]&gt;42735,"",IF(AND(Table1[Leaving Date]&gt;1,Table1[Leaving Date]&lt;42644),"",1)))</f>
        <v/>
      </c>
      <c r="DW391" s="92" t="str">
        <f>IF(Table1[Start Date]="","",IF(Table1[Start Date]&gt;42825,"",IF(AND(Table1[Leaving Date]&gt;1,Table1[Leaving Date]&lt;42736),"",1)))</f>
        <v/>
      </c>
      <c r="DX391"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391" s="44" t="e">
        <f>VLOOKUP(Table1[Referral Source],Lists!$G$2:$H$20,2,FALSE)</f>
        <v>#N/A</v>
      </c>
      <c r="DZ391" s="93" t="e">
        <f>SUM(Table1[Data Referral Quarter]+Table1[Data Referral Source])</f>
        <v>#N/A</v>
      </c>
      <c r="EA391" s="44" t="b">
        <f>IF(Table1[Referral Decision]="Accepted",100,IF(Table1[Referral Decision]="Rejected by Provider",200,IF(Table1[Referral Decision]="Rejected by Applicant",300)))</f>
        <v>0</v>
      </c>
      <c r="EB391" s="44">
        <f>SUM(Table1[Data Referral Quarter]+Table1[Data Referral Decision])</f>
        <v>0</v>
      </c>
      <c r="EC391" s="44" t="b">
        <f>IF(Table1[Start Date]&gt;42735,8000,IF(Table1[Start Date]&gt;42643,7000,IF(Table1[Start Date]&gt;42551,6000,IF(Table1[Start Date]&gt;42460,5000,IF(Table1[Start Date]&gt;42369,4000,IF(Table1[Start Date]&gt;42277,3000,IF(Table1[Start Date]&gt;42185,2000,IF(Table1[Start Date]&gt;42094,1000))))))))</f>
        <v>0</v>
      </c>
      <c r="ED391" s="44" t="str">
        <f>IF(Table1[Start Date]="","",IF(Table1[Current Local Authority]="Swindon",1,"2"))</f>
        <v/>
      </c>
      <c r="EE391" s="44" t="e">
        <f>SUM(Table1[Data Start Date]+Table1[Data Local Authority])</f>
        <v>#VALUE!</v>
      </c>
      <c r="EF391" s="44">
        <f>IF(Table1[Registered with GP]="Yes",1,0)</f>
        <v>0</v>
      </c>
      <c r="EG391" s="44">
        <f>SUM(Table1[Data Start Date]+Table1[Data GP Start])</f>
        <v>0</v>
      </c>
      <c r="EH391" s="44" t="str">
        <f>IF(Table1[EET]="NEET",1,IF(Table1[EET]="Education",2,IF(Table1[EET]="Employment",2,IF(Table1[EET]="Training",2,IF(Table1[EET]="Retired",3,"")))))</f>
        <v/>
      </c>
      <c r="EI391" s="44" t="e">
        <f>Table1[Data Start Date]+Table1[Data EET Start]</f>
        <v>#VALUE!</v>
      </c>
      <c r="EJ391" s="44" t="b">
        <f>IF(Table1[Leaving Date]&gt;42735,8000,IF(Table1[Leaving Date]&gt;42643,7000,IF(Table1[Leaving Date]&gt;42551,6000,IF(Table1[Leaving Date]&gt;42460,5000,IF(Table1[Leaving Date]&gt;42369,4000,IF(Table1[Leaving Date]&gt;42277,3000,IF(Table1[Leaving Date]&gt;42185,2000,IF(Table1[Leaving Date]&gt;42094,1000))))))))</f>
        <v>0</v>
      </c>
      <c r="EK391" s="44" t="e">
        <f>VLOOKUP(Table1[Reason for Leaving],Lists!$T$2:$U$15,2,FALSE)</f>
        <v>#N/A</v>
      </c>
      <c r="EL391" s="44" t="e">
        <f>SUM(Table1[Data Leavers Date]+Table1[Data Move On])</f>
        <v>#N/A</v>
      </c>
      <c r="EM391" s="44" t="b">
        <f>IF(Table1[Registered with GP2]="Yes",1,IF(Table1[Registered with GP2]="No",0,IF(Table1[Registered with GP]="Yes",1,IF(Table1[Registered with GP]="No",0))))</f>
        <v>0</v>
      </c>
      <c r="EN391" s="44">
        <f>SUM(Table1[Data Leavers Date]+Table1[Data GP End])</f>
        <v>0</v>
      </c>
      <c r="EO391" s="44" t="str">
        <f>IF(Table1[EET2]="NEET",1,IF(Table1[EET2]="Employment",2,IF(Table1[EET2]="Education",2,IF(Table1[EET2]="Training",2,IF(Table1[EET2]="Retired",3,IF(Table1[EET]="NEET",1,IF(Table1[EET]="Employment",2,IF(Table1[EET]="Education",2,IF(Table1[EET]="Training",2,IF(Table1[EET]="Retired",3,""))))))))))</f>
        <v/>
      </c>
      <c r="EP391" s="44" t="e">
        <f>+Table1[[#This Row],[Data Leavers Date]]+Table1[[#This Row],[Data EET End]]</f>
        <v>#VALUE!</v>
      </c>
      <c r="EQ391" s="44">
        <f>IF(Table1[Exit Form Received]="Yes",1,0)</f>
        <v>0</v>
      </c>
      <c r="ER391" s="44">
        <f>+Table1[[#This Row],[Data Leavers Date]]+Table1[[#This Row],[Data Exit Forms]]</f>
        <v>0</v>
      </c>
      <c r="ES391" s="44" t="str">
        <f>IF(Table1[Data Leavers Date]=1000,SUM(Table1[Leaving Date]-Table1[Start Date]),"")</f>
        <v/>
      </c>
      <c r="ET391" s="44" t="str">
        <f>IF(Table1[Data Leavers Date]=2000,SUM(Table1[Leaving Date]-Table1[Start Date]),"")</f>
        <v/>
      </c>
      <c r="EU391" s="44" t="str">
        <f>IF(Table1[Data Leavers Date]=3000,SUM(Table1[Leaving Date]-Table1[Start Date]),"")</f>
        <v/>
      </c>
      <c r="EV391" s="44" t="str">
        <f>IF(Table1[Data Leavers Date]=4000,SUM(Table1[Leaving Date]-Table1[Start Date]),"")</f>
        <v/>
      </c>
      <c r="EW391" s="44" t="str">
        <f>IF(Table1[Data Leavers Date]=5000,SUM(Table1[Leaving Date]-Table1[Start Date]),"")</f>
        <v/>
      </c>
      <c r="EX391" s="44" t="str">
        <f>IF(Table1[Data Leavers Date]=6000,SUM(Table1[Leaving Date]-Table1[Start Date]),"")</f>
        <v/>
      </c>
      <c r="EY391" s="44" t="str">
        <f>IF(Table1[Data Leavers Date]=7000,SUM(Table1[Leaving Date]-Table1[Start Date]),"")</f>
        <v/>
      </c>
      <c r="EZ391" s="44" t="str">
        <f>IF(Table1[Data Leavers Date]=8000,SUM(Table1[Leaving Date]-Table1[Start Date]),"")</f>
        <v/>
      </c>
      <c r="FA391" s="44" t="str">
        <f>IF(Table1[Date of Initial Assessment]="","",IF(AND(Table1[Start Date]&gt;42094,Table1[Start Date]&lt;42461),Table1[Motivation and Taking Responsibility],""))</f>
        <v/>
      </c>
      <c r="FB391" s="44" t="str">
        <f>IF(Table1[Date of Initial Assessment]="","",IF(AND(Table1[Start Date]&gt;42094,Table1[Start Date]&lt;42461),Table1[Self-Care and Living Skills],""))</f>
        <v/>
      </c>
      <c r="FC391" s="44" t="str">
        <f>IF(Table1[Date of Initial Assessment]="","",IF(AND(Table1[Start Date]&gt;42094,Table1[Start Date]&lt;42461),Table1[Managing Money and Personal Administration],""))</f>
        <v/>
      </c>
      <c r="FD391" s="44" t="str">
        <f>IF(Table1[Date of Initial Assessment]="","",IF(AND(Table1[Start Date]&gt;42094,Table1[Start Date]&lt;42461),Table1[Social Networks and Relationships],""))</f>
        <v/>
      </c>
      <c r="FE391" s="44" t="str">
        <f>IF(Table1[Date of Initial Assessment]="","",IF(AND(Table1[Start Date]&gt;42094,Table1[Start Date]&lt;42461),Table1[Drug and Alcohol Misuse],""))</f>
        <v/>
      </c>
      <c r="FF391" s="44" t="str">
        <f>IF(Table1[Date of Initial Assessment]="","",IF(AND(Table1[Start Date]&gt;42094,Table1[Start Date]&lt;42461),Table1[Physical Health],""))</f>
        <v/>
      </c>
      <c r="FG391" s="44" t="str">
        <f>IF(Table1[Date of Initial Assessment]="","",IF(AND(Table1[Start Date]&gt;42094,Table1[Start Date]&lt;42461),Table1[Emotional and Mental Health],""))</f>
        <v/>
      </c>
      <c r="FH391" s="44" t="str">
        <f>IF(Table1[Date of Initial Assessment]="","",IF(AND(Table1[Start Date]&gt;42094,Table1[Start Date]&lt;42461),Table1[Meaningful Use of Time],""))</f>
        <v/>
      </c>
      <c r="FI391" s="44" t="str">
        <f>IF(Table1[Date of Initial Assessment]="","",IF(AND(Table1[Start Date]&gt;42094,Table1[Start Date]&lt;42461),Table1[Managing Tenancy and Accommodation],""))</f>
        <v/>
      </c>
      <c r="FJ391" s="44" t="str">
        <f>IF(Table1[Date of Initial Assessment]="","",IF(AND(Table1[Start Date]&gt;42094,Table1[Start Date]&lt;42461),Table1[Offending],""))</f>
        <v/>
      </c>
      <c r="FK391" s="44" t="str">
        <f>IF(Table1[Leaving Date]="","",IF(Table1[Date of Initial Assessment]="","",IF(AND(Table1[Leaving Date]&gt;42094,Table1[Leaving Date]&lt;42461),IF(Table1[Date of Last Assessment]="",Table1[Motivation and Taking Responsibility],Table1[Motivation and Taking Responsibility2]),"")))</f>
        <v/>
      </c>
      <c r="FL391" s="44" t="str">
        <f>IF(Table1[Leaving Date]="","",IF(Table1[Date of Initial Assessment]="","",IF(AND(Table1[Leaving Date]&gt;42094,Table1[Leaving Date]&lt;42461),IF(Table1[Date of Last Assessment]="",Table1[Self-Care and Living Skills],Table1[Self-Care and Living Skills2]),"")))</f>
        <v/>
      </c>
      <c r="FM391" s="44" t="str">
        <f>IF(Table1[Leaving Date]="","",IF(Table1[Date of Initial Assessment]="","",IF(AND(Table1[Leaving Date]&gt;42094,Table1[Leaving Date]&lt;42461),IF(Table1[Date of Last Assessment]="",Table1[Managing Money and Personal Administration],Table1[Managing Money and Personal Administration2]),"")))</f>
        <v/>
      </c>
      <c r="FN391" s="44" t="str">
        <f>IF(Table1[Leaving Date]="","",IF(Table1[Date of Initial Assessment]="","",IF(AND(Table1[Leaving Date]&gt;42094,Table1[Leaving Date]&lt;42461),IF(Table1[Date of Last Assessment]="",Table1[Social Networks and Relationships],Table1[Social Networks and Relationships2]),"")))</f>
        <v/>
      </c>
      <c r="FO391" s="44" t="str">
        <f>IF(Table1[Leaving Date]="","",IF(Table1[Date of Initial Assessment]="","",IF(AND(Table1[Leaving Date]&gt;42094,Table1[Leaving Date]&lt;42461),IF(Table1[Date of Last Assessment]="",Table1[Drug and Alcohol Misuse],Table1[Drug and Alcohol Misuse2]),"")))</f>
        <v/>
      </c>
      <c r="FP391" s="44" t="str">
        <f>IF(Table1[Leaving Date]="","",IF(Table1[Date of Initial Assessment]="","",IF(AND(Table1[Leaving Date]&gt;42094,Table1[Leaving Date]&lt;42461),IF(Table1[Date of Last Assessment]="",Table1[Physical Health],Table1[Physical Health2]),"")))</f>
        <v/>
      </c>
      <c r="FQ391" s="44" t="str">
        <f>IF(Table1[Leaving Date]="","",IF(Table1[Date of Initial Assessment]="","",IF(AND(Table1[Leaving Date]&gt;42094,Table1[Leaving Date]&lt;42461),IF(Table1[Date of Last Assessment]="",Table1[Emotional and Mental Health],Table1[Emotional and Mental Health2]),"")))</f>
        <v/>
      </c>
      <c r="FR391" s="44" t="str">
        <f>IF(Table1[Leaving Date]="","",IF(Table1[Date of Initial Assessment]="","",IF(AND(Table1[Leaving Date]&gt;42094,Table1[Leaving Date]&lt;42461),IF(Table1[Date of Last Assessment]="",Table1[Meaningful Use of Time],Table1[Meaningful Use of Time2]),"")))</f>
        <v/>
      </c>
      <c r="FS391" s="44" t="str">
        <f>IF(Table1[Leaving Date]="","",IF(Table1[Date of Initial Assessment]="","",IF(AND(Table1[Leaving Date]&gt;42094,Table1[Leaving Date]&lt;42461),IF(Table1[Date of Last Assessment]="",Table1[Managing Tenancy and Accommodation],Table1[Managing Tenancy and Accommodation2]),"")))</f>
        <v/>
      </c>
      <c r="FT391" s="44" t="str">
        <f>IF(Table1[Leaving Date]="","",IF(Table1[Date of Initial Assessment]="","",IF(AND(Table1[Leaving Date]&gt;42094,Table1[Leaving Date]&lt;42461),IF(Table1[Date of Last Assessment]="",Table1[Offending],Table1[Offending2]),"")))</f>
        <v/>
      </c>
      <c r="FU391" s="44" t="str">
        <f>IF(Table1[Date of Initial Assessment]="","",IF(AND(Table1[Start Date]&gt;42460,Table1[Start Date]&lt;42826),Table1[Motivation and Taking Responsibility],""))</f>
        <v/>
      </c>
      <c r="FV391" s="44" t="str">
        <f>IF(Table1[Date of Initial Assessment]="","",IF(AND(Table1[Start Date]&gt;42460,Table1[Start Date]&lt;42826),Table1[Self-Care and Living Skills],""))</f>
        <v/>
      </c>
      <c r="FW391" s="44" t="str">
        <f>IF(Table1[Date of Initial Assessment]="","",IF(AND(Table1[Start Date]&gt;42460,Table1[Start Date]&lt;42826),Table1[Managing Money and Personal Administration],""))</f>
        <v/>
      </c>
      <c r="FX391" s="44" t="str">
        <f>IF(Table1[Date of Initial Assessment]="","",IF(AND(Table1[Start Date]&gt;42460,Table1[Start Date]&lt;42826),Table1[Social Networks and Relationships],""))</f>
        <v/>
      </c>
      <c r="FY391" s="44" t="str">
        <f>IF(Table1[Date of Initial Assessment]="","",IF(AND(Table1[Start Date]&gt;42460,Table1[Start Date]&lt;42826),Table1[Drug and Alcohol Misuse],""))</f>
        <v/>
      </c>
      <c r="FZ391" s="44" t="str">
        <f>IF(Table1[Date of Initial Assessment]="","",IF(AND(Table1[Start Date]&gt;42460,Table1[Start Date]&lt;42826),Table1[Physical Health],""))</f>
        <v/>
      </c>
      <c r="GA391" s="44" t="str">
        <f>IF(Table1[Date of Initial Assessment]="","",IF(AND(Table1[Start Date]&gt;42460,Table1[Start Date]&lt;42826),Table1[Emotional and Mental Health],""))</f>
        <v/>
      </c>
      <c r="GB391" s="44" t="str">
        <f>IF(Table1[Date of Initial Assessment]="","",IF(AND(Table1[Start Date]&gt;42460,Table1[Start Date]&lt;42826),Table1[Meaningful Use of Time],""))</f>
        <v/>
      </c>
      <c r="GC391" s="44" t="str">
        <f>IF(Table1[Date of Initial Assessment]="","",IF(AND(Table1[Start Date]&gt;42460,Table1[Start Date]&lt;42826),Table1[Managing Tenancy and Accommodation],""))</f>
        <v/>
      </c>
      <c r="GD391" s="44" t="str">
        <f>IF(Table1[Date of Initial Assessment]="","",IF(AND(Table1[Start Date]&gt;42460,Table1[Start Date]&lt;42826),Table1[Offending],""))</f>
        <v/>
      </c>
      <c r="GE391" s="44" t="str">
        <f>IF(Table1[Leaving Date]="","",IF(AND(Table1[Leaving Date]&gt;42460,Table1[Leaving Date]&lt;42826),IF(Table1[Date of Last Assessment]="",Table1[Motivation and Taking Responsibility],Table1[Motivation and Taking Responsibility2]),""))</f>
        <v/>
      </c>
      <c r="GF391" s="44" t="str">
        <f>IF(Table1[Leaving Date]="","",IF(AND(Table1[Leaving Date]&gt;42460,Table1[Leaving Date]&lt;42826),IF(Table1[Date of Last Assessment]="",Table1[Self-Care and Living Skills],Table1[Self-Care and Living Skills2]),""))</f>
        <v/>
      </c>
      <c r="GG391" s="44" t="str">
        <f>IF(Table1[Leaving Date]="","",IF(AND(Table1[Leaving Date]&gt;42460,Table1[Leaving Date]&lt;42826),IF(Table1[Date of Last Assessment]="",Table1[Managing Money and Personal Administration],Table1[Managing Money and Personal Administration2]),""))</f>
        <v/>
      </c>
      <c r="GH391" s="44" t="str">
        <f>IF(Table1[Leaving Date]="","",IF(AND(Table1[Leaving Date]&gt;42460,Table1[Leaving Date]&lt;42826),IF(Table1[Date of Last Assessment]="",Table1[Social Networks and Relationships],Table1[Social Networks and Relationships2]),""))</f>
        <v/>
      </c>
      <c r="GI391" s="44" t="str">
        <f>IF(Table1[Leaving Date]="","",IF(AND(Table1[Leaving Date]&gt;42460,Table1[Leaving Date]&lt;42826),IF(Table1[Date of Last Assessment]="",Table1[Drug and Alcohol Misuse],Table1[Drug and Alcohol Misuse2]),""))</f>
        <v/>
      </c>
      <c r="GJ391" s="44" t="str">
        <f>IF(Table1[Leaving Date]="","",IF(AND(Table1[Leaving Date]&gt;42460,Table1[Leaving Date]&lt;42826),IF(Table1[Date of Last Assessment]="",Table1[Physical Health],Table1[Physical Health2]),""))</f>
        <v/>
      </c>
      <c r="GK391" s="44" t="str">
        <f>IF(Table1[Leaving Date]="","",IF(AND(Table1[Leaving Date]&gt;42460,Table1[Leaving Date]&lt;42826),IF(Table1[Date of Last Assessment]="",Table1[Emotional and Mental Health],Table1[Emotional and Mental Health2]),""))</f>
        <v/>
      </c>
      <c r="GL391" s="44" t="str">
        <f>IF(Table1[Leaving Date]="","",IF(AND(Table1[Leaving Date]&gt;42460,Table1[Leaving Date]&lt;42826),IF(Table1[Date of Last Assessment]="",Table1[Meaningful Use of Time],Table1[Meaningful Use of Time2]),""))</f>
        <v/>
      </c>
      <c r="GM391" s="44" t="str">
        <f>IF(Table1[Leaving Date]="","",IF(AND(Table1[Leaving Date]&gt;42460,Table1[Leaving Date]&lt;42826),IF(Table1[Date of Last Assessment]="",Table1[Managing Tenancy and Accommodation],Table1[Managing Tenancy and Accommodation2]),""))</f>
        <v/>
      </c>
      <c r="GN391" s="44" t="str">
        <f>IF(Table1[Leaving Date]="","",IF(AND(Table1[Leaving Date]&gt;42460,Table1[Leaving Date]&lt;42826),IF(Table1[Date of Last Assessment]="",Table1[Offending],Table1[Offending2]),""))</f>
        <v/>
      </c>
    </row>
    <row r="392" spans="2:196" ht="20.100000000000001" customHeight="1" x14ac:dyDescent="0.2">
      <c r="B392" s="86">
        <f>+'Service Data'!$C$5:$C$5</f>
        <v>0</v>
      </c>
      <c r="C392" s="86"/>
      <c r="D392" s="86"/>
      <c r="E392" s="86"/>
      <c r="F392" s="86"/>
      <c r="G392" s="86"/>
      <c r="H392" s="6"/>
      <c r="I392" s="99" t="str">
        <f ca="1">IF(Table1[[#This Row],[Date of Birth]]="","",SUM(TODAY()-Table1[[#This Row],[Date of Birth]])/365)</f>
        <v/>
      </c>
      <c r="L392" s="86"/>
      <c r="M392" s="77"/>
      <c r="N392" s="86"/>
      <c r="O392" s="86"/>
      <c r="P392" s="91"/>
      <c r="Q392" s="86"/>
      <c r="R392" s="77"/>
      <c r="S392" s="77"/>
      <c r="T392" s="68"/>
      <c r="U392" s="68"/>
      <c r="V392" s="67"/>
      <c r="W392" s="67"/>
      <c r="X392" s="67"/>
      <c r="Y392" s="67"/>
      <c r="Z392" s="67"/>
      <c r="AA392" s="67"/>
      <c r="AB392" s="67"/>
      <c r="AC392" s="67"/>
      <c r="AD392" s="67"/>
      <c r="AE392" s="67"/>
      <c r="AF392" s="67"/>
      <c r="AG392" s="67"/>
      <c r="AH392" s="67"/>
      <c r="AI392" s="67"/>
      <c r="AJ392" s="67"/>
      <c r="AK392" s="67"/>
      <c r="AL392" s="67"/>
      <c r="AM392" s="67"/>
      <c r="AN392" s="77"/>
      <c r="AO392" s="76"/>
      <c r="AP392" s="77"/>
      <c r="AQ392" s="76"/>
      <c r="AR392" s="76"/>
      <c r="AS392" s="76"/>
      <c r="AT392" s="76"/>
      <c r="AU392" s="76"/>
      <c r="AV392" s="77"/>
      <c r="AW392" s="76"/>
      <c r="AX392" s="77"/>
      <c r="AY392" s="76"/>
      <c r="AZ392" s="76"/>
      <c r="BA392" s="76"/>
      <c r="BB392" s="76"/>
      <c r="BC392" s="76"/>
      <c r="BD392" s="77"/>
      <c r="BE392" s="76"/>
      <c r="BF392" s="77"/>
      <c r="BG392" s="76"/>
      <c r="BH392" s="76"/>
      <c r="BI392" s="76"/>
      <c r="BJ392" s="76"/>
      <c r="BK392" s="76"/>
      <c r="BL392" s="77"/>
      <c r="BM392" s="76"/>
      <c r="BN392" s="77"/>
      <c r="BO392" s="76"/>
      <c r="BP392" s="76"/>
      <c r="BQ392" s="76"/>
      <c r="BR392" s="76"/>
      <c r="BS392" s="76"/>
      <c r="BT392" s="77"/>
      <c r="BU392" s="76"/>
      <c r="BV392" s="77"/>
      <c r="BW392" s="76"/>
      <c r="BX392" s="76"/>
      <c r="BY392" s="76"/>
      <c r="BZ392" s="76"/>
      <c r="CA392" s="76"/>
      <c r="CB392" s="77"/>
      <c r="CC392" s="76"/>
      <c r="CD392" s="77"/>
      <c r="CE392" s="76"/>
      <c r="CF392" s="76"/>
      <c r="CG392" s="76"/>
      <c r="CH392" s="76"/>
      <c r="CI392" s="76"/>
      <c r="CJ392" s="77"/>
      <c r="CK392" s="76"/>
      <c r="CL392" s="77"/>
      <c r="CM392" s="76"/>
      <c r="CN392" s="76"/>
      <c r="CO392" s="76"/>
      <c r="CP392" s="76"/>
      <c r="CQ392" s="76"/>
      <c r="CR392" s="78" t="str">
        <f t="shared" si="111"/>
        <v/>
      </c>
      <c r="CS392" s="79" t="str">
        <f t="shared" si="112"/>
        <v/>
      </c>
      <c r="CT392" s="79" t="str">
        <f t="shared" si="113"/>
        <v/>
      </c>
      <c r="CU392" s="79" t="str">
        <f t="shared" si="114"/>
        <v/>
      </c>
      <c r="CV392" s="79" t="str">
        <f t="shared" si="115"/>
        <v/>
      </c>
      <c r="CW392" s="79" t="str">
        <f t="shared" si="116"/>
        <v/>
      </c>
      <c r="CX392" s="79" t="str">
        <f t="shared" si="117"/>
        <v/>
      </c>
      <c r="CY392" s="79" t="str">
        <f t="shared" si="118"/>
        <v/>
      </c>
      <c r="CZ392" s="79" t="str">
        <f t="shared" si="119"/>
        <v/>
      </c>
      <c r="DA392" s="79" t="str">
        <f t="shared" si="120"/>
        <v/>
      </c>
      <c r="DB392" s="79" t="str">
        <f t="shared" si="121"/>
        <v/>
      </c>
      <c r="DC392" s="79" t="str">
        <f t="shared" si="122"/>
        <v/>
      </c>
      <c r="DD392" s="79" t="str">
        <f t="shared" si="123"/>
        <v/>
      </c>
      <c r="DE392" s="79" t="str">
        <f t="shared" si="124"/>
        <v/>
      </c>
      <c r="DF392" s="79" t="str">
        <f t="shared" si="125"/>
        <v/>
      </c>
      <c r="DG392" s="79" t="str">
        <f t="shared" si="126"/>
        <v/>
      </c>
      <c r="DH392" s="76"/>
      <c r="DI392" s="78"/>
      <c r="DJ392" s="76"/>
      <c r="DK392" s="77"/>
      <c r="DL392" s="77"/>
      <c r="DM392" s="77"/>
      <c r="DN392" s="80"/>
      <c r="DO392" s="80"/>
      <c r="DP392" s="92" t="str">
        <f>IF(Table1[Start Date]="","",IF(Table1[Start Date]&gt;42185,"",IF(AND(Table1[Leaving Date]&gt;1,Table1[Leaving Date]&lt;42095),"",1)))</f>
        <v/>
      </c>
      <c r="DQ392" s="92" t="str">
        <f>IF(Table1[Start Date]="","",IF(Table1[Start Date]&gt;42277,"",IF(AND(Table1[Leaving Date]&gt;1,Table1[Leaving Date]&lt;42186),"",1)))</f>
        <v/>
      </c>
      <c r="DR392" s="92" t="str">
        <f>IF(Table1[Start Date]="","",IF(Table1[Start Date]&gt;42369,"",IF(AND(Table1[Leaving Date]&gt;1,Table1[Leaving Date]&lt;42278),"",1)))</f>
        <v/>
      </c>
      <c r="DS392" s="92" t="str">
        <f>IF(Table1[Start Date]="","",IF(Table1[Start Date]&gt;42460,"",IF(AND(Table1[Leaving Date]&gt;1,Table1[Leaving Date]&lt;42370),"",1)))</f>
        <v/>
      </c>
      <c r="DT392" s="92" t="str">
        <f>IF(Table1[Start Date]="","",IF(Table1[Start Date]&gt;42551,"",IF(AND(Table1[Leaving Date]&gt;1,Table1[Leaving Date]&lt;42461),"",1)))</f>
        <v/>
      </c>
      <c r="DU392" s="92" t="str">
        <f>IF(Table1[Start Date]="","",IF(Table1[Start Date]&gt;42643,"",IF(AND(Table1[Leaving Date]&gt;1,Table1[Leaving Date]&lt;42552),"",1)))</f>
        <v/>
      </c>
      <c r="DV392" s="92" t="str">
        <f>IF(Table1[Start Date]="","",IF(Table1[Start Date]&gt;42735,"",IF(AND(Table1[Leaving Date]&gt;1,Table1[Leaving Date]&lt;42644),"",1)))</f>
        <v/>
      </c>
      <c r="DW392" s="92" t="str">
        <f>IF(Table1[Start Date]="","",IF(Table1[Start Date]&gt;42825,"",IF(AND(Table1[Leaving Date]&gt;1,Table1[Leaving Date]&lt;42736),"",1)))</f>
        <v/>
      </c>
      <c r="DX392"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392" s="44" t="e">
        <f>VLOOKUP(Table1[Referral Source],Lists!$G$2:$H$20,2,FALSE)</f>
        <v>#N/A</v>
      </c>
      <c r="DZ392" s="93" t="e">
        <f>SUM(Table1[Data Referral Quarter]+Table1[Data Referral Source])</f>
        <v>#N/A</v>
      </c>
      <c r="EA392" s="44" t="b">
        <f>IF(Table1[Referral Decision]="Accepted",100,IF(Table1[Referral Decision]="Rejected by Provider",200,IF(Table1[Referral Decision]="Rejected by Applicant",300)))</f>
        <v>0</v>
      </c>
      <c r="EB392" s="44">
        <f>SUM(Table1[Data Referral Quarter]+Table1[Data Referral Decision])</f>
        <v>0</v>
      </c>
      <c r="EC392" s="44" t="b">
        <f>IF(Table1[Start Date]&gt;42735,8000,IF(Table1[Start Date]&gt;42643,7000,IF(Table1[Start Date]&gt;42551,6000,IF(Table1[Start Date]&gt;42460,5000,IF(Table1[Start Date]&gt;42369,4000,IF(Table1[Start Date]&gt;42277,3000,IF(Table1[Start Date]&gt;42185,2000,IF(Table1[Start Date]&gt;42094,1000))))))))</f>
        <v>0</v>
      </c>
      <c r="ED392" s="44" t="str">
        <f>IF(Table1[Start Date]="","",IF(Table1[Current Local Authority]="Swindon",1,"2"))</f>
        <v/>
      </c>
      <c r="EE392" s="44" t="e">
        <f>SUM(Table1[Data Start Date]+Table1[Data Local Authority])</f>
        <v>#VALUE!</v>
      </c>
      <c r="EF392" s="44">
        <f>IF(Table1[Registered with GP]="Yes",1,0)</f>
        <v>0</v>
      </c>
      <c r="EG392" s="44">
        <f>SUM(Table1[Data Start Date]+Table1[Data GP Start])</f>
        <v>0</v>
      </c>
      <c r="EH392" s="44" t="str">
        <f>IF(Table1[EET]="NEET",1,IF(Table1[EET]="Education",2,IF(Table1[EET]="Employment",2,IF(Table1[EET]="Training",2,IF(Table1[EET]="Retired",3,"")))))</f>
        <v/>
      </c>
      <c r="EI392" s="44" t="e">
        <f>Table1[Data Start Date]+Table1[Data EET Start]</f>
        <v>#VALUE!</v>
      </c>
      <c r="EJ392" s="44" t="b">
        <f>IF(Table1[Leaving Date]&gt;42735,8000,IF(Table1[Leaving Date]&gt;42643,7000,IF(Table1[Leaving Date]&gt;42551,6000,IF(Table1[Leaving Date]&gt;42460,5000,IF(Table1[Leaving Date]&gt;42369,4000,IF(Table1[Leaving Date]&gt;42277,3000,IF(Table1[Leaving Date]&gt;42185,2000,IF(Table1[Leaving Date]&gt;42094,1000))))))))</f>
        <v>0</v>
      </c>
      <c r="EK392" s="44" t="e">
        <f>VLOOKUP(Table1[Reason for Leaving],Lists!$T$2:$U$15,2,FALSE)</f>
        <v>#N/A</v>
      </c>
      <c r="EL392" s="44" t="e">
        <f>SUM(Table1[Data Leavers Date]+Table1[Data Move On])</f>
        <v>#N/A</v>
      </c>
      <c r="EM392" s="44" t="b">
        <f>IF(Table1[Registered with GP2]="Yes",1,IF(Table1[Registered with GP2]="No",0,IF(Table1[Registered with GP]="Yes",1,IF(Table1[Registered with GP]="No",0))))</f>
        <v>0</v>
      </c>
      <c r="EN392" s="44">
        <f>SUM(Table1[Data Leavers Date]+Table1[Data GP End])</f>
        <v>0</v>
      </c>
      <c r="EO392" s="44" t="str">
        <f>IF(Table1[EET2]="NEET",1,IF(Table1[EET2]="Employment",2,IF(Table1[EET2]="Education",2,IF(Table1[EET2]="Training",2,IF(Table1[EET2]="Retired",3,IF(Table1[EET]="NEET",1,IF(Table1[EET]="Employment",2,IF(Table1[EET]="Education",2,IF(Table1[EET]="Training",2,IF(Table1[EET]="Retired",3,""))))))))))</f>
        <v/>
      </c>
      <c r="EP392" s="44" t="e">
        <f>+Table1[[#This Row],[Data Leavers Date]]+Table1[[#This Row],[Data EET End]]</f>
        <v>#VALUE!</v>
      </c>
      <c r="EQ392" s="44">
        <f>IF(Table1[Exit Form Received]="Yes",1,0)</f>
        <v>0</v>
      </c>
      <c r="ER392" s="44">
        <f>+Table1[[#This Row],[Data Leavers Date]]+Table1[[#This Row],[Data Exit Forms]]</f>
        <v>0</v>
      </c>
      <c r="ES392" s="44" t="str">
        <f>IF(Table1[Data Leavers Date]=1000,SUM(Table1[Leaving Date]-Table1[Start Date]),"")</f>
        <v/>
      </c>
      <c r="ET392" s="44" t="str">
        <f>IF(Table1[Data Leavers Date]=2000,SUM(Table1[Leaving Date]-Table1[Start Date]),"")</f>
        <v/>
      </c>
      <c r="EU392" s="44" t="str">
        <f>IF(Table1[Data Leavers Date]=3000,SUM(Table1[Leaving Date]-Table1[Start Date]),"")</f>
        <v/>
      </c>
      <c r="EV392" s="44" t="str">
        <f>IF(Table1[Data Leavers Date]=4000,SUM(Table1[Leaving Date]-Table1[Start Date]),"")</f>
        <v/>
      </c>
      <c r="EW392" s="44" t="str">
        <f>IF(Table1[Data Leavers Date]=5000,SUM(Table1[Leaving Date]-Table1[Start Date]),"")</f>
        <v/>
      </c>
      <c r="EX392" s="44" t="str">
        <f>IF(Table1[Data Leavers Date]=6000,SUM(Table1[Leaving Date]-Table1[Start Date]),"")</f>
        <v/>
      </c>
      <c r="EY392" s="44" t="str">
        <f>IF(Table1[Data Leavers Date]=7000,SUM(Table1[Leaving Date]-Table1[Start Date]),"")</f>
        <v/>
      </c>
      <c r="EZ392" s="44" t="str">
        <f>IF(Table1[Data Leavers Date]=8000,SUM(Table1[Leaving Date]-Table1[Start Date]),"")</f>
        <v/>
      </c>
      <c r="FA392" s="44" t="str">
        <f>IF(Table1[Date of Initial Assessment]="","",IF(AND(Table1[Start Date]&gt;42094,Table1[Start Date]&lt;42461),Table1[Motivation and Taking Responsibility],""))</f>
        <v/>
      </c>
      <c r="FB392" s="44" t="str">
        <f>IF(Table1[Date of Initial Assessment]="","",IF(AND(Table1[Start Date]&gt;42094,Table1[Start Date]&lt;42461),Table1[Self-Care and Living Skills],""))</f>
        <v/>
      </c>
      <c r="FC392" s="44" t="str">
        <f>IF(Table1[Date of Initial Assessment]="","",IF(AND(Table1[Start Date]&gt;42094,Table1[Start Date]&lt;42461),Table1[Managing Money and Personal Administration],""))</f>
        <v/>
      </c>
      <c r="FD392" s="44" t="str">
        <f>IF(Table1[Date of Initial Assessment]="","",IF(AND(Table1[Start Date]&gt;42094,Table1[Start Date]&lt;42461),Table1[Social Networks and Relationships],""))</f>
        <v/>
      </c>
      <c r="FE392" s="44" t="str">
        <f>IF(Table1[Date of Initial Assessment]="","",IF(AND(Table1[Start Date]&gt;42094,Table1[Start Date]&lt;42461),Table1[Drug and Alcohol Misuse],""))</f>
        <v/>
      </c>
      <c r="FF392" s="44" t="str">
        <f>IF(Table1[Date of Initial Assessment]="","",IF(AND(Table1[Start Date]&gt;42094,Table1[Start Date]&lt;42461),Table1[Physical Health],""))</f>
        <v/>
      </c>
      <c r="FG392" s="44" t="str">
        <f>IF(Table1[Date of Initial Assessment]="","",IF(AND(Table1[Start Date]&gt;42094,Table1[Start Date]&lt;42461),Table1[Emotional and Mental Health],""))</f>
        <v/>
      </c>
      <c r="FH392" s="44" t="str">
        <f>IF(Table1[Date of Initial Assessment]="","",IF(AND(Table1[Start Date]&gt;42094,Table1[Start Date]&lt;42461),Table1[Meaningful Use of Time],""))</f>
        <v/>
      </c>
      <c r="FI392" s="44" t="str">
        <f>IF(Table1[Date of Initial Assessment]="","",IF(AND(Table1[Start Date]&gt;42094,Table1[Start Date]&lt;42461),Table1[Managing Tenancy and Accommodation],""))</f>
        <v/>
      </c>
      <c r="FJ392" s="44" t="str">
        <f>IF(Table1[Date of Initial Assessment]="","",IF(AND(Table1[Start Date]&gt;42094,Table1[Start Date]&lt;42461),Table1[Offending],""))</f>
        <v/>
      </c>
      <c r="FK392" s="44" t="str">
        <f>IF(Table1[Leaving Date]="","",IF(Table1[Date of Initial Assessment]="","",IF(AND(Table1[Leaving Date]&gt;42094,Table1[Leaving Date]&lt;42461),IF(Table1[Date of Last Assessment]="",Table1[Motivation and Taking Responsibility],Table1[Motivation and Taking Responsibility2]),"")))</f>
        <v/>
      </c>
      <c r="FL392" s="44" t="str">
        <f>IF(Table1[Leaving Date]="","",IF(Table1[Date of Initial Assessment]="","",IF(AND(Table1[Leaving Date]&gt;42094,Table1[Leaving Date]&lt;42461),IF(Table1[Date of Last Assessment]="",Table1[Self-Care and Living Skills],Table1[Self-Care and Living Skills2]),"")))</f>
        <v/>
      </c>
      <c r="FM392" s="44" t="str">
        <f>IF(Table1[Leaving Date]="","",IF(Table1[Date of Initial Assessment]="","",IF(AND(Table1[Leaving Date]&gt;42094,Table1[Leaving Date]&lt;42461),IF(Table1[Date of Last Assessment]="",Table1[Managing Money and Personal Administration],Table1[Managing Money and Personal Administration2]),"")))</f>
        <v/>
      </c>
      <c r="FN392" s="44" t="str">
        <f>IF(Table1[Leaving Date]="","",IF(Table1[Date of Initial Assessment]="","",IF(AND(Table1[Leaving Date]&gt;42094,Table1[Leaving Date]&lt;42461),IF(Table1[Date of Last Assessment]="",Table1[Social Networks and Relationships],Table1[Social Networks and Relationships2]),"")))</f>
        <v/>
      </c>
      <c r="FO392" s="44" t="str">
        <f>IF(Table1[Leaving Date]="","",IF(Table1[Date of Initial Assessment]="","",IF(AND(Table1[Leaving Date]&gt;42094,Table1[Leaving Date]&lt;42461),IF(Table1[Date of Last Assessment]="",Table1[Drug and Alcohol Misuse],Table1[Drug and Alcohol Misuse2]),"")))</f>
        <v/>
      </c>
      <c r="FP392" s="44" t="str">
        <f>IF(Table1[Leaving Date]="","",IF(Table1[Date of Initial Assessment]="","",IF(AND(Table1[Leaving Date]&gt;42094,Table1[Leaving Date]&lt;42461),IF(Table1[Date of Last Assessment]="",Table1[Physical Health],Table1[Physical Health2]),"")))</f>
        <v/>
      </c>
      <c r="FQ392" s="44" t="str">
        <f>IF(Table1[Leaving Date]="","",IF(Table1[Date of Initial Assessment]="","",IF(AND(Table1[Leaving Date]&gt;42094,Table1[Leaving Date]&lt;42461),IF(Table1[Date of Last Assessment]="",Table1[Emotional and Mental Health],Table1[Emotional and Mental Health2]),"")))</f>
        <v/>
      </c>
      <c r="FR392" s="44" t="str">
        <f>IF(Table1[Leaving Date]="","",IF(Table1[Date of Initial Assessment]="","",IF(AND(Table1[Leaving Date]&gt;42094,Table1[Leaving Date]&lt;42461),IF(Table1[Date of Last Assessment]="",Table1[Meaningful Use of Time],Table1[Meaningful Use of Time2]),"")))</f>
        <v/>
      </c>
      <c r="FS392" s="44" t="str">
        <f>IF(Table1[Leaving Date]="","",IF(Table1[Date of Initial Assessment]="","",IF(AND(Table1[Leaving Date]&gt;42094,Table1[Leaving Date]&lt;42461),IF(Table1[Date of Last Assessment]="",Table1[Managing Tenancy and Accommodation],Table1[Managing Tenancy and Accommodation2]),"")))</f>
        <v/>
      </c>
      <c r="FT392" s="44" t="str">
        <f>IF(Table1[Leaving Date]="","",IF(Table1[Date of Initial Assessment]="","",IF(AND(Table1[Leaving Date]&gt;42094,Table1[Leaving Date]&lt;42461),IF(Table1[Date of Last Assessment]="",Table1[Offending],Table1[Offending2]),"")))</f>
        <v/>
      </c>
      <c r="FU392" s="44" t="str">
        <f>IF(Table1[Date of Initial Assessment]="","",IF(AND(Table1[Start Date]&gt;42460,Table1[Start Date]&lt;42826),Table1[Motivation and Taking Responsibility],""))</f>
        <v/>
      </c>
      <c r="FV392" s="44" t="str">
        <f>IF(Table1[Date of Initial Assessment]="","",IF(AND(Table1[Start Date]&gt;42460,Table1[Start Date]&lt;42826),Table1[Self-Care and Living Skills],""))</f>
        <v/>
      </c>
      <c r="FW392" s="44" t="str">
        <f>IF(Table1[Date of Initial Assessment]="","",IF(AND(Table1[Start Date]&gt;42460,Table1[Start Date]&lt;42826),Table1[Managing Money and Personal Administration],""))</f>
        <v/>
      </c>
      <c r="FX392" s="44" t="str">
        <f>IF(Table1[Date of Initial Assessment]="","",IF(AND(Table1[Start Date]&gt;42460,Table1[Start Date]&lt;42826),Table1[Social Networks and Relationships],""))</f>
        <v/>
      </c>
      <c r="FY392" s="44" t="str">
        <f>IF(Table1[Date of Initial Assessment]="","",IF(AND(Table1[Start Date]&gt;42460,Table1[Start Date]&lt;42826),Table1[Drug and Alcohol Misuse],""))</f>
        <v/>
      </c>
      <c r="FZ392" s="44" t="str">
        <f>IF(Table1[Date of Initial Assessment]="","",IF(AND(Table1[Start Date]&gt;42460,Table1[Start Date]&lt;42826),Table1[Physical Health],""))</f>
        <v/>
      </c>
      <c r="GA392" s="44" t="str">
        <f>IF(Table1[Date of Initial Assessment]="","",IF(AND(Table1[Start Date]&gt;42460,Table1[Start Date]&lt;42826),Table1[Emotional and Mental Health],""))</f>
        <v/>
      </c>
      <c r="GB392" s="44" t="str">
        <f>IF(Table1[Date of Initial Assessment]="","",IF(AND(Table1[Start Date]&gt;42460,Table1[Start Date]&lt;42826),Table1[Meaningful Use of Time],""))</f>
        <v/>
      </c>
      <c r="GC392" s="44" t="str">
        <f>IF(Table1[Date of Initial Assessment]="","",IF(AND(Table1[Start Date]&gt;42460,Table1[Start Date]&lt;42826),Table1[Managing Tenancy and Accommodation],""))</f>
        <v/>
      </c>
      <c r="GD392" s="44" t="str">
        <f>IF(Table1[Date of Initial Assessment]="","",IF(AND(Table1[Start Date]&gt;42460,Table1[Start Date]&lt;42826),Table1[Offending],""))</f>
        <v/>
      </c>
      <c r="GE392" s="44" t="str">
        <f>IF(Table1[Leaving Date]="","",IF(AND(Table1[Leaving Date]&gt;42460,Table1[Leaving Date]&lt;42826),IF(Table1[Date of Last Assessment]="",Table1[Motivation and Taking Responsibility],Table1[Motivation and Taking Responsibility2]),""))</f>
        <v/>
      </c>
      <c r="GF392" s="44" t="str">
        <f>IF(Table1[Leaving Date]="","",IF(AND(Table1[Leaving Date]&gt;42460,Table1[Leaving Date]&lt;42826),IF(Table1[Date of Last Assessment]="",Table1[Self-Care and Living Skills],Table1[Self-Care and Living Skills2]),""))</f>
        <v/>
      </c>
      <c r="GG392" s="44" t="str">
        <f>IF(Table1[Leaving Date]="","",IF(AND(Table1[Leaving Date]&gt;42460,Table1[Leaving Date]&lt;42826),IF(Table1[Date of Last Assessment]="",Table1[Managing Money and Personal Administration],Table1[Managing Money and Personal Administration2]),""))</f>
        <v/>
      </c>
      <c r="GH392" s="44" t="str">
        <f>IF(Table1[Leaving Date]="","",IF(AND(Table1[Leaving Date]&gt;42460,Table1[Leaving Date]&lt;42826),IF(Table1[Date of Last Assessment]="",Table1[Social Networks and Relationships],Table1[Social Networks and Relationships2]),""))</f>
        <v/>
      </c>
      <c r="GI392" s="44" t="str">
        <f>IF(Table1[Leaving Date]="","",IF(AND(Table1[Leaving Date]&gt;42460,Table1[Leaving Date]&lt;42826),IF(Table1[Date of Last Assessment]="",Table1[Drug and Alcohol Misuse],Table1[Drug and Alcohol Misuse2]),""))</f>
        <v/>
      </c>
      <c r="GJ392" s="44" t="str">
        <f>IF(Table1[Leaving Date]="","",IF(AND(Table1[Leaving Date]&gt;42460,Table1[Leaving Date]&lt;42826),IF(Table1[Date of Last Assessment]="",Table1[Physical Health],Table1[Physical Health2]),""))</f>
        <v/>
      </c>
      <c r="GK392" s="44" t="str">
        <f>IF(Table1[Leaving Date]="","",IF(AND(Table1[Leaving Date]&gt;42460,Table1[Leaving Date]&lt;42826),IF(Table1[Date of Last Assessment]="",Table1[Emotional and Mental Health],Table1[Emotional and Mental Health2]),""))</f>
        <v/>
      </c>
      <c r="GL392" s="44" t="str">
        <f>IF(Table1[Leaving Date]="","",IF(AND(Table1[Leaving Date]&gt;42460,Table1[Leaving Date]&lt;42826),IF(Table1[Date of Last Assessment]="",Table1[Meaningful Use of Time],Table1[Meaningful Use of Time2]),""))</f>
        <v/>
      </c>
      <c r="GM392" s="44" t="str">
        <f>IF(Table1[Leaving Date]="","",IF(AND(Table1[Leaving Date]&gt;42460,Table1[Leaving Date]&lt;42826),IF(Table1[Date of Last Assessment]="",Table1[Managing Tenancy and Accommodation],Table1[Managing Tenancy and Accommodation2]),""))</f>
        <v/>
      </c>
      <c r="GN392" s="44" t="str">
        <f>IF(Table1[Leaving Date]="","",IF(AND(Table1[Leaving Date]&gt;42460,Table1[Leaving Date]&lt;42826),IF(Table1[Date of Last Assessment]="",Table1[Offending],Table1[Offending2]),""))</f>
        <v/>
      </c>
    </row>
    <row r="393" spans="2:196" ht="20.100000000000001" customHeight="1" x14ac:dyDescent="0.2">
      <c r="B393" s="86">
        <f>+'Service Data'!$C$5:$C$5</f>
        <v>0</v>
      </c>
      <c r="C393" s="86"/>
      <c r="D393" s="86"/>
      <c r="E393" s="86"/>
      <c r="F393" s="86"/>
      <c r="G393" s="86"/>
      <c r="H393" s="6"/>
      <c r="I393" s="99" t="str">
        <f ca="1">IF(Table1[[#This Row],[Date of Birth]]="","",SUM(TODAY()-Table1[[#This Row],[Date of Birth]])/365)</f>
        <v/>
      </c>
      <c r="L393" s="86"/>
      <c r="M393" s="77"/>
      <c r="N393" s="86"/>
      <c r="O393" s="86"/>
      <c r="P393" s="91"/>
      <c r="Q393" s="86"/>
      <c r="R393" s="77"/>
      <c r="S393" s="77"/>
      <c r="T393" s="68"/>
      <c r="U393" s="68"/>
      <c r="V393" s="67"/>
      <c r="W393" s="67"/>
      <c r="X393" s="67"/>
      <c r="Y393" s="67"/>
      <c r="Z393" s="67"/>
      <c r="AA393" s="67"/>
      <c r="AB393" s="67"/>
      <c r="AC393" s="67"/>
      <c r="AD393" s="67"/>
      <c r="AE393" s="67"/>
      <c r="AF393" s="67"/>
      <c r="AG393" s="67"/>
      <c r="AH393" s="67"/>
      <c r="AI393" s="67"/>
      <c r="AJ393" s="67"/>
      <c r="AK393" s="67"/>
      <c r="AL393" s="67"/>
      <c r="AM393" s="67"/>
      <c r="AN393" s="77"/>
      <c r="AO393" s="76"/>
      <c r="AP393" s="77"/>
      <c r="AQ393" s="76"/>
      <c r="AR393" s="76"/>
      <c r="AS393" s="76"/>
      <c r="AT393" s="76"/>
      <c r="AU393" s="76"/>
      <c r="AV393" s="77"/>
      <c r="AW393" s="76"/>
      <c r="AX393" s="77"/>
      <c r="AY393" s="76"/>
      <c r="AZ393" s="76"/>
      <c r="BA393" s="76"/>
      <c r="BB393" s="76"/>
      <c r="BC393" s="76"/>
      <c r="BD393" s="77"/>
      <c r="BE393" s="76"/>
      <c r="BF393" s="77"/>
      <c r="BG393" s="76"/>
      <c r="BH393" s="76"/>
      <c r="BI393" s="76"/>
      <c r="BJ393" s="76"/>
      <c r="BK393" s="76"/>
      <c r="BL393" s="77"/>
      <c r="BM393" s="76"/>
      <c r="BN393" s="77"/>
      <c r="BO393" s="76"/>
      <c r="BP393" s="76"/>
      <c r="BQ393" s="76"/>
      <c r="BR393" s="76"/>
      <c r="BS393" s="76"/>
      <c r="BT393" s="77"/>
      <c r="BU393" s="76"/>
      <c r="BV393" s="77"/>
      <c r="BW393" s="76"/>
      <c r="BX393" s="76"/>
      <c r="BY393" s="76"/>
      <c r="BZ393" s="76"/>
      <c r="CA393" s="76"/>
      <c r="CB393" s="77"/>
      <c r="CC393" s="76"/>
      <c r="CD393" s="77"/>
      <c r="CE393" s="76"/>
      <c r="CF393" s="76"/>
      <c r="CG393" s="76"/>
      <c r="CH393" s="76"/>
      <c r="CI393" s="76"/>
      <c r="CJ393" s="77"/>
      <c r="CK393" s="76"/>
      <c r="CL393" s="77"/>
      <c r="CM393" s="76"/>
      <c r="CN393" s="76"/>
      <c r="CO393" s="76"/>
      <c r="CP393" s="76"/>
      <c r="CQ393" s="76"/>
      <c r="CR393" s="78" t="str">
        <f t="shared" si="111"/>
        <v/>
      </c>
      <c r="CS393" s="79" t="str">
        <f t="shared" si="112"/>
        <v/>
      </c>
      <c r="CT393" s="79" t="str">
        <f t="shared" si="113"/>
        <v/>
      </c>
      <c r="CU393" s="79" t="str">
        <f t="shared" si="114"/>
        <v/>
      </c>
      <c r="CV393" s="79" t="str">
        <f t="shared" si="115"/>
        <v/>
      </c>
      <c r="CW393" s="79" t="str">
        <f t="shared" si="116"/>
        <v/>
      </c>
      <c r="CX393" s="79" t="str">
        <f t="shared" si="117"/>
        <v/>
      </c>
      <c r="CY393" s="79" t="str">
        <f t="shared" si="118"/>
        <v/>
      </c>
      <c r="CZ393" s="79" t="str">
        <f t="shared" si="119"/>
        <v/>
      </c>
      <c r="DA393" s="79" t="str">
        <f t="shared" si="120"/>
        <v/>
      </c>
      <c r="DB393" s="79" t="str">
        <f t="shared" si="121"/>
        <v/>
      </c>
      <c r="DC393" s="79" t="str">
        <f t="shared" si="122"/>
        <v/>
      </c>
      <c r="DD393" s="79" t="str">
        <f t="shared" si="123"/>
        <v/>
      </c>
      <c r="DE393" s="79" t="str">
        <f t="shared" si="124"/>
        <v/>
      </c>
      <c r="DF393" s="79" t="str">
        <f t="shared" si="125"/>
        <v/>
      </c>
      <c r="DG393" s="79" t="str">
        <f t="shared" si="126"/>
        <v/>
      </c>
      <c r="DH393" s="76"/>
      <c r="DI393" s="78"/>
      <c r="DJ393" s="76"/>
      <c r="DK393" s="77"/>
      <c r="DL393" s="77"/>
      <c r="DM393" s="77"/>
      <c r="DN393" s="80"/>
      <c r="DO393" s="80"/>
      <c r="DP393" s="92" t="str">
        <f>IF(Table1[Start Date]="","",IF(Table1[Start Date]&gt;42185,"",IF(AND(Table1[Leaving Date]&gt;1,Table1[Leaving Date]&lt;42095),"",1)))</f>
        <v/>
      </c>
      <c r="DQ393" s="92" t="str">
        <f>IF(Table1[Start Date]="","",IF(Table1[Start Date]&gt;42277,"",IF(AND(Table1[Leaving Date]&gt;1,Table1[Leaving Date]&lt;42186),"",1)))</f>
        <v/>
      </c>
      <c r="DR393" s="92" t="str">
        <f>IF(Table1[Start Date]="","",IF(Table1[Start Date]&gt;42369,"",IF(AND(Table1[Leaving Date]&gt;1,Table1[Leaving Date]&lt;42278),"",1)))</f>
        <v/>
      </c>
      <c r="DS393" s="92" t="str">
        <f>IF(Table1[Start Date]="","",IF(Table1[Start Date]&gt;42460,"",IF(AND(Table1[Leaving Date]&gt;1,Table1[Leaving Date]&lt;42370),"",1)))</f>
        <v/>
      </c>
      <c r="DT393" s="92" t="str">
        <f>IF(Table1[Start Date]="","",IF(Table1[Start Date]&gt;42551,"",IF(AND(Table1[Leaving Date]&gt;1,Table1[Leaving Date]&lt;42461),"",1)))</f>
        <v/>
      </c>
      <c r="DU393" s="92" t="str">
        <f>IF(Table1[Start Date]="","",IF(Table1[Start Date]&gt;42643,"",IF(AND(Table1[Leaving Date]&gt;1,Table1[Leaving Date]&lt;42552),"",1)))</f>
        <v/>
      </c>
      <c r="DV393" s="92" t="str">
        <f>IF(Table1[Start Date]="","",IF(Table1[Start Date]&gt;42735,"",IF(AND(Table1[Leaving Date]&gt;1,Table1[Leaving Date]&lt;42644),"",1)))</f>
        <v/>
      </c>
      <c r="DW393" s="92" t="str">
        <f>IF(Table1[Start Date]="","",IF(Table1[Start Date]&gt;42825,"",IF(AND(Table1[Leaving Date]&gt;1,Table1[Leaving Date]&lt;42736),"",1)))</f>
        <v/>
      </c>
      <c r="DX393"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393" s="44" t="e">
        <f>VLOOKUP(Table1[Referral Source],Lists!$G$2:$H$20,2,FALSE)</f>
        <v>#N/A</v>
      </c>
      <c r="DZ393" s="93" t="e">
        <f>SUM(Table1[Data Referral Quarter]+Table1[Data Referral Source])</f>
        <v>#N/A</v>
      </c>
      <c r="EA393" s="44" t="b">
        <f>IF(Table1[Referral Decision]="Accepted",100,IF(Table1[Referral Decision]="Rejected by Provider",200,IF(Table1[Referral Decision]="Rejected by Applicant",300)))</f>
        <v>0</v>
      </c>
      <c r="EB393" s="44">
        <f>SUM(Table1[Data Referral Quarter]+Table1[Data Referral Decision])</f>
        <v>0</v>
      </c>
      <c r="EC393" s="44" t="b">
        <f>IF(Table1[Start Date]&gt;42735,8000,IF(Table1[Start Date]&gt;42643,7000,IF(Table1[Start Date]&gt;42551,6000,IF(Table1[Start Date]&gt;42460,5000,IF(Table1[Start Date]&gt;42369,4000,IF(Table1[Start Date]&gt;42277,3000,IF(Table1[Start Date]&gt;42185,2000,IF(Table1[Start Date]&gt;42094,1000))))))))</f>
        <v>0</v>
      </c>
      <c r="ED393" s="44" t="str">
        <f>IF(Table1[Start Date]="","",IF(Table1[Current Local Authority]="Swindon",1,"2"))</f>
        <v/>
      </c>
      <c r="EE393" s="44" t="e">
        <f>SUM(Table1[Data Start Date]+Table1[Data Local Authority])</f>
        <v>#VALUE!</v>
      </c>
      <c r="EF393" s="44">
        <f>IF(Table1[Registered with GP]="Yes",1,0)</f>
        <v>0</v>
      </c>
      <c r="EG393" s="44">
        <f>SUM(Table1[Data Start Date]+Table1[Data GP Start])</f>
        <v>0</v>
      </c>
      <c r="EH393" s="44" t="str">
        <f>IF(Table1[EET]="NEET",1,IF(Table1[EET]="Education",2,IF(Table1[EET]="Employment",2,IF(Table1[EET]="Training",2,IF(Table1[EET]="Retired",3,"")))))</f>
        <v/>
      </c>
      <c r="EI393" s="44" t="e">
        <f>Table1[Data Start Date]+Table1[Data EET Start]</f>
        <v>#VALUE!</v>
      </c>
      <c r="EJ393" s="44" t="b">
        <f>IF(Table1[Leaving Date]&gt;42735,8000,IF(Table1[Leaving Date]&gt;42643,7000,IF(Table1[Leaving Date]&gt;42551,6000,IF(Table1[Leaving Date]&gt;42460,5000,IF(Table1[Leaving Date]&gt;42369,4000,IF(Table1[Leaving Date]&gt;42277,3000,IF(Table1[Leaving Date]&gt;42185,2000,IF(Table1[Leaving Date]&gt;42094,1000))))))))</f>
        <v>0</v>
      </c>
      <c r="EK393" s="44" t="e">
        <f>VLOOKUP(Table1[Reason for Leaving],Lists!$T$2:$U$15,2,FALSE)</f>
        <v>#N/A</v>
      </c>
      <c r="EL393" s="44" t="e">
        <f>SUM(Table1[Data Leavers Date]+Table1[Data Move On])</f>
        <v>#N/A</v>
      </c>
      <c r="EM393" s="44" t="b">
        <f>IF(Table1[Registered with GP2]="Yes",1,IF(Table1[Registered with GP2]="No",0,IF(Table1[Registered with GP]="Yes",1,IF(Table1[Registered with GP]="No",0))))</f>
        <v>0</v>
      </c>
      <c r="EN393" s="44">
        <f>SUM(Table1[Data Leavers Date]+Table1[Data GP End])</f>
        <v>0</v>
      </c>
      <c r="EO393" s="44" t="str">
        <f>IF(Table1[EET2]="NEET",1,IF(Table1[EET2]="Employment",2,IF(Table1[EET2]="Education",2,IF(Table1[EET2]="Training",2,IF(Table1[EET2]="Retired",3,IF(Table1[EET]="NEET",1,IF(Table1[EET]="Employment",2,IF(Table1[EET]="Education",2,IF(Table1[EET]="Training",2,IF(Table1[EET]="Retired",3,""))))))))))</f>
        <v/>
      </c>
      <c r="EP393" s="44" t="e">
        <f>+Table1[[#This Row],[Data Leavers Date]]+Table1[[#This Row],[Data EET End]]</f>
        <v>#VALUE!</v>
      </c>
      <c r="EQ393" s="44">
        <f>IF(Table1[Exit Form Received]="Yes",1,0)</f>
        <v>0</v>
      </c>
      <c r="ER393" s="44">
        <f>+Table1[[#This Row],[Data Leavers Date]]+Table1[[#This Row],[Data Exit Forms]]</f>
        <v>0</v>
      </c>
      <c r="ES393" s="44" t="str">
        <f>IF(Table1[Data Leavers Date]=1000,SUM(Table1[Leaving Date]-Table1[Start Date]),"")</f>
        <v/>
      </c>
      <c r="ET393" s="44" t="str">
        <f>IF(Table1[Data Leavers Date]=2000,SUM(Table1[Leaving Date]-Table1[Start Date]),"")</f>
        <v/>
      </c>
      <c r="EU393" s="44" t="str">
        <f>IF(Table1[Data Leavers Date]=3000,SUM(Table1[Leaving Date]-Table1[Start Date]),"")</f>
        <v/>
      </c>
      <c r="EV393" s="44" t="str">
        <f>IF(Table1[Data Leavers Date]=4000,SUM(Table1[Leaving Date]-Table1[Start Date]),"")</f>
        <v/>
      </c>
      <c r="EW393" s="44" t="str">
        <f>IF(Table1[Data Leavers Date]=5000,SUM(Table1[Leaving Date]-Table1[Start Date]),"")</f>
        <v/>
      </c>
      <c r="EX393" s="44" t="str">
        <f>IF(Table1[Data Leavers Date]=6000,SUM(Table1[Leaving Date]-Table1[Start Date]),"")</f>
        <v/>
      </c>
      <c r="EY393" s="44" t="str">
        <f>IF(Table1[Data Leavers Date]=7000,SUM(Table1[Leaving Date]-Table1[Start Date]),"")</f>
        <v/>
      </c>
      <c r="EZ393" s="44" t="str">
        <f>IF(Table1[Data Leavers Date]=8000,SUM(Table1[Leaving Date]-Table1[Start Date]),"")</f>
        <v/>
      </c>
      <c r="FA393" s="44" t="str">
        <f>IF(Table1[Date of Initial Assessment]="","",IF(AND(Table1[Start Date]&gt;42094,Table1[Start Date]&lt;42461),Table1[Motivation and Taking Responsibility],""))</f>
        <v/>
      </c>
      <c r="FB393" s="44" t="str">
        <f>IF(Table1[Date of Initial Assessment]="","",IF(AND(Table1[Start Date]&gt;42094,Table1[Start Date]&lt;42461),Table1[Self-Care and Living Skills],""))</f>
        <v/>
      </c>
      <c r="FC393" s="44" t="str">
        <f>IF(Table1[Date of Initial Assessment]="","",IF(AND(Table1[Start Date]&gt;42094,Table1[Start Date]&lt;42461),Table1[Managing Money and Personal Administration],""))</f>
        <v/>
      </c>
      <c r="FD393" s="44" t="str">
        <f>IF(Table1[Date of Initial Assessment]="","",IF(AND(Table1[Start Date]&gt;42094,Table1[Start Date]&lt;42461),Table1[Social Networks and Relationships],""))</f>
        <v/>
      </c>
      <c r="FE393" s="44" t="str">
        <f>IF(Table1[Date of Initial Assessment]="","",IF(AND(Table1[Start Date]&gt;42094,Table1[Start Date]&lt;42461),Table1[Drug and Alcohol Misuse],""))</f>
        <v/>
      </c>
      <c r="FF393" s="44" t="str">
        <f>IF(Table1[Date of Initial Assessment]="","",IF(AND(Table1[Start Date]&gt;42094,Table1[Start Date]&lt;42461),Table1[Physical Health],""))</f>
        <v/>
      </c>
      <c r="FG393" s="44" t="str">
        <f>IF(Table1[Date of Initial Assessment]="","",IF(AND(Table1[Start Date]&gt;42094,Table1[Start Date]&lt;42461),Table1[Emotional and Mental Health],""))</f>
        <v/>
      </c>
      <c r="FH393" s="44" t="str">
        <f>IF(Table1[Date of Initial Assessment]="","",IF(AND(Table1[Start Date]&gt;42094,Table1[Start Date]&lt;42461),Table1[Meaningful Use of Time],""))</f>
        <v/>
      </c>
      <c r="FI393" s="44" t="str">
        <f>IF(Table1[Date of Initial Assessment]="","",IF(AND(Table1[Start Date]&gt;42094,Table1[Start Date]&lt;42461),Table1[Managing Tenancy and Accommodation],""))</f>
        <v/>
      </c>
      <c r="FJ393" s="44" t="str">
        <f>IF(Table1[Date of Initial Assessment]="","",IF(AND(Table1[Start Date]&gt;42094,Table1[Start Date]&lt;42461),Table1[Offending],""))</f>
        <v/>
      </c>
      <c r="FK393" s="44" t="str">
        <f>IF(Table1[Leaving Date]="","",IF(Table1[Date of Initial Assessment]="","",IF(AND(Table1[Leaving Date]&gt;42094,Table1[Leaving Date]&lt;42461),IF(Table1[Date of Last Assessment]="",Table1[Motivation and Taking Responsibility],Table1[Motivation and Taking Responsibility2]),"")))</f>
        <v/>
      </c>
      <c r="FL393" s="44" t="str">
        <f>IF(Table1[Leaving Date]="","",IF(Table1[Date of Initial Assessment]="","",IF(AND(Table1[Leaving Date]&gt;42094,Table1[Leaving Date]&lt;42461),IF(Table1[Date of Last Assessment]="",Table1[Self-Care and Living Skills],Table1[Self-Care and Living Skills2]),"")))</f>
        <v/>
      </c>
      <c r="FM393" s="44" t="str">
        <f>IF(Table1[Leaving Date]="","",IF(Table1[Date of Initial Assessment]="","",IF(AND(Table1[Leaving Date]&gt;42094,Table1[Leaving Date]&lt;42461),IF(Table1[Date of Last Assessment]="",Table1[Managing Money and Personal Administration],Table1[Managing Money and Personal Administration2]),"")))</f>
        <v/>
      </c>
      <c r="FN393" s="44" t="str">
        <f>IF(Table1[Leaving Date]="","",IF(Table1[Date of Initial Assessment]="","",IF(AND(Table1[Leaving Date]&gt;42094,Table1[Leaving Date]&lt;42461),IF(Table1[Date of Last Assessment]="",Table1[Social Networks and Relationships],Table1[Social Networks and Relationships2]),"")))</f>
        <v/>
      </c>
      <c r="FO393" s="44" t="str">
        <f>IF(Table1[Leaving Date]="","",IF(Table1[Date of Initial Assessment]="","",IF(AND(Table1[Leaving Date]&gt;42094,Table1[Leaving Date]&lt;42461),IF(Table1[Date of Last Assessment]="",Table1[Drug and Alcohol Misuse],Table1[Drug and Alcohol Misuse2]),"")))</f>
        <v/>
      </c>
      <c r="FP393" s="44" t="str">
        <f>IF(Table1[Leaving Date]="","",IF(Table1[Date of Initial Assessment]="","",IF(AND(Table1[Leaving Date]&gt;42094,Table1[Leaving Date]&lt;42461),IF(Table1[Date of Last Assessment]="",Table1[Physical Health],Table1[Physical Health2]),"")))</f>
        <v/>
      </c>
      <c r="FQ393" s="44" t="str">
        <f>IF(Table1[Leaving Date]="","",IF(Table1[Date of Initial Assessment]="","",IF(AND(Table1[Leaving Date]&gt;42094,Table1[Leaving Date]&lt;42461),IF(Table1[Date of Last Assessment]="",Table1[Emotional and Mental Health],Table1[Emotional and Mental Health2]),"")))</f>
        <v/>
      </c>
      <c r="FR393" s="44" t="str">
        <f>IF(Table1[Leaving Date]="","",IF(Table1[Date of Initial Assessment]="","",IF(AND(Table1[Leaving Date]&gt;42094,Table1[Leaving Date]&lt;42461),IF(Table1[Date of Last Assessment]="",Table1[Meaningful Use of Time],Table1[Meaningful Use of Time2]),"")))</f>
        <v/>
      </c>
      <c r="FS393" s="44" t="str">
        <f>IF(Table1[Leaving Date]="","",IF(Table1[Date of Initial Assessment]="","",IF(AND(Table1[Leaving Date]&gt;42094,Table1[Leaving Date]&lt;42461),IF(Table1[Date of Last Assessment]="",Table1[Managing Tenancy and Accommodation],Table1[Managing Tenancy and Accommodation2]),"")))</f>
        <v/>
      </c>
      <c r="FT393" s="44" t="str">
        <f>IF(Table1[Leaving Date]="","",IF(Table1[Date of Initial Assessment]="","",IF(AND(Table1[Leaving Date]&gt;42094,Table1[Leaving Date]&lt;42461),IF(Table1[Date of Last Assessment]="",Table1[Offending],Table1[Offending2]),"")))</f>
        <v/>
      </c>
      <c r="FU393" s="44" t="str">
        <f>IF(Table1[Date of Initial Assessment]="","",IF(AND(Table1[Start Date]&gt;42460,Table1[Start Date]&lt;42826),Table1[Motivation and Taking Responsibility],""))</f>
        <v/>
      </c>
      <c r="FV393" s="44" t="str">
        <f>IF(Table1[Date of Initial Assessment]="","",IF(AND(Table1[Start Date]&gt;42460,Table1[Start Date]&lt;42826),Table1[Self-Care and Living Skills],""))</f>
        <v/>
      </c>
      <c r="FW393" s="44" t="str">
        <f>IF(Table1[Date of Initial Assessment]="","",IF(AND(Table1[Start Date]&gt;42460,Table1[Start Date]&lt;42826),Table1[Managing Money and Personal Administration],""))</f>
        <v/>
      </c>
      <c r="FX393" s="44" t="str">
        <f>IF(Table1[Date of Initial Assessment]="","",IF(AND(Table1[Start Date]&gt;42460,Table1[Start Date]&lt;42826),Table1[Social Networks and Relationships],""))</f>
        <v/>
      </c>
      <c r="FY393" s="44" t="str">
        <f>IF(Table1[Date of Initial Assessment]="","",IF(AND(Table1[Start Date]&gt;42460,Table1[Start Date]&lt;42826),Table1[Drug and Alcohol Misuse],""))</f>
        <v/>
      </c>
      <c r="FZ393" s="44" t="str">
        <f>IF(Table1[Date of Initial Assessment]="","",IF(AND(Table1[Start Date]&gt;42460,Table1[Start Date]&lt;42826),Table1[Physical Health],""))</f>
        <v/>
      </c>
      <c r="GA393" s="44" t="str">
        <f>IF(Table1[Date of Initial Assessment]="","",IF(AND(Table1[Start Date]&gt;42460,Table1[Start Date]&lt;42826),Table1[Emotional and Mental Health],""))</f>
        <v/>
      </c>
      <c r="GB393" s="44" t="str">
        <f>IF(Table1[Date of Initial Assessment]="","",IF(AND(Table1[Start Date]&gt;42460,Table1[Start Date]&lt;42826),Table1[Meaningful Use of Time],""))</f>
        <v/>
      </c>
      <c r="GC393" s="44" t="str">
        <f>IF(Table1[Date of Initial Assessment]="","",IF(AND(Table1[Start Date]&gt;42460,Table1[Start Date]&lt;42826),Table1[Managing Tenancy and Accommodation],""))</f>
        <v/>
      </c>
      <c r="GD393" s="44" t="str">
        <f>IF(Table1[Date of Initial Assessment]="","",IF(AND(Table1[Start Date]&gt;42460,Table1[Start Date]&lt;42826),Table1[Offending],""))</f>
        <v/>
      </c>
      <c r="GE393" s="44" t="str">
        <f>IF(Table1[Leaving Date]="","",IF(AND(Table1[Leaving Date]&gt;42460,Table1[Leaving Date]&lt;42826),IF(Table1[Date of Last Assessment]="",Table1[Motivation and Taking Responsibility],Table1[Motivation and Taking Responsibility2]),""))</f>
        <v/>
      </c>
      <c r="GF393" s="44" t="str">
        <f>IF(Table1[Leaving Date]="","",IF(AND(Table1[Leaving Date]&gt;42460,Table1[Leaving Date]&lt;42826),IF(Table1[Date of Last Assessment]="",Table1[Self-Care and Living Skills],Table1[Self-Care and Living Skills2]),""))</f>
        <v/>
      </c>
      <c r="GG393" s="44" t="str">
        <f>IF(Table1[Leaving Date]="","",IF(AND(Table1[Leaving Date]&gt;42460,Table1[Leaving Date]&lt;42826),IF(Table1[Date of Last Assessment]="",Table1[Managing Money and Personal Administration],Table1[Managing Money and Personal Administration2]),""))</f>
        <v/>
      </c>
      <c r="GH393" s="44" t="str">
        <f>IF(Table1[Leaving Date]="","",IF(AND(Table1[Leaving Date]&gt;42460,Table1[Leaving Date]&lt;42826),IF(Table1[Date of Last Assessment]="",Table1[Social Networks and Relationships],Table1[Social Networks and Relationships2]),""))</f>
        <v/>
      </c>
      <c r="GI393" s="44" t="str">
        <f>IF(Table1[Leaving Date]="","",IF(AND(Table1[Leaving Date]&gt;42460,Table1[Leaving Date]&lt;42826),IF(Table1[Date of Last Assessment]="",Table1[Drug and Alcohol Misuse],Table1[Drug and Alcohol Misuse2]),""))</f>
        <v/>
      </c>
      <c r="GJ393" s="44" t="str">
        <f>IF(Table1[Leaving Date]="","",IF(AND(Table1[Leaving Date]&gt;42460,Table1[Leaving Date]&lt;42826),IF(Table1[Date of Last Assessment]="",Table1[Physical Health],Table1[Physical Health2]),""))</f>
        <v/>
      </c>
      <c r="GK393" s="44" t="str">
        <f>IF(Table1[Leaving Date]="","",IF(AND(Table1[Leaving Date]&gt;42460,Table1[Leaving Date]&lt;42826),IF(Table1[Date of Last Assessment]="",Table1[Emotional and Mental Health],Table1[Emotional and Mental Health2]),""))</f>
        <v/>
      </c>
      <c r="GL393" s="44" t="str">
        <f>IF(Table1[Leaving Date]="","",IF(AND(Table1[Leaving Date]&gt;42460,Table1[Leaving Date]&lt;42826),IF(Table1[Date of Last Assessment]="",Table1[Meaningful Use of Time],Table1[Meaningful Use of Time2]),""))</f>
        <v/>
      </c>
      <c r="GM393" s="44" t="str">
        <f>IF(Table1[Leaving Date]="","",IF(AND(Table1[Leaving Date]&gt;42460,Table1[Leaving Date]&lt;42826),IF(Table1[Date of Last Assessment]="",Table1[Managing Tenancy and Accommodation],Table1[Managing Tenancy and Accommodation2]),""))</f>
        <v/>
      </c>
      <c r="GN393" s="44" t="str">
        <f>IF(Table1[Leaving Date]="","",IF(AND(Table1[Leaving Date]&gt;42460,Table1[Leaving Date]&lt;42826),IF(Table1[Date of Last Assessment]="",Table1[Offending],Table1[Offending2]),""))</f>
        <v/>
      </c>
    </row>
    <row r="394" spans="2:196" ht="20.100000000000001" customHeight="1" x14ac:dyDescent="0.2">
      <c r="B394" s="86">
        <f>+'Service Data'!$C$5:$C$5</f>
        <v>0</v>
      </c>
      <c r="C394" s="86"/>
      <c r="D394" s="86"/>
      <c r="E394" s="86"/>
      <c r="F394" s="86"/>
      <c r="G394" s="86"/>
      <c r="H394" s="6"/>
      <c r="I394" s="99" t="str">
        <f ca="1">IF(Table1[[#This Row],[Date of Birth]]="","",SUM(TODAY()-Table1[[#This Row],[Date of Birth]])/365)</f>
        <v/>
      </c>
      <c r="L394" s="86"/>
      <c r="M394" s="77"/>
      <c r="N394" s="86"/>
      <c r="O394" s="86"/>
      <c r="P394" s="91"/>
      <c r="Q394" s="86"/>
      <c r="R394" s="77"/>
      <c r="S394" s="77"/>
      <c r="T394" s="68"/>
      <c r="U394" s="68"/>
      <c r="V394" s="67"/>
      <c r="W394" s="67"/>
      <c r="X394" s="67"/>
      <c r="Y394" s="67"/>
      <c r="Z394" s="67"/>
      <c r="AA394" s="67"/>
      <c r="AB394" s="67"/>
      <c r="AC394" s="67"/>
      <c r="AD394" s="67"/>
      <c r="AE394" s="67"/>
      <c r="AF394" s="67"/>
      <c r="AG394" s="67"/>
      <c r="AH394" s="67"/>
      <c r="AI394" s="67"/>
      <c r="AJ394" s="67"/>
      <c r="AK394" s="67"/>
      <c r="AL394" s="67"/>
      <c r="AM394" s="67"/>
      <c r="AN394" s="77"/>
      <c r="AO394" s="76"/>
      <c r="AP394" s="77"/>
      <c r="AQ394" s="76"/>
      <c r="AR394" s="76"/>
      <c r="AS394" s="76"/>
      <c r="AT394" s="76"/>
      <c r="AU394" s="76"/>
      <c r="AV394" s="77"/>
      <c r="AW394" s="76"/>
      <c r="AX394" s="77"/>
      <c r="AY394" s="76"/>
      <c r="AZ394" s="76"/>
      <c r="BA394" s="76"/>
      <c r="BB394" s="76"/>
      <c r="BC394" s="76"/>
      <c r="BD394" s="77"/>
      <c r="BE394" s="76"/>
      <c r="BF394" s="77"/>
      <c r="BG394" s="76"/>
      <c r="BH394" s="76"/>
      <c r="BI394" s="76"/>
      <c r="BJ394" s="76"/>
      <c r="BK394" s="76"/>
      <c r="BL394" s="77"/>
      <c r="BM394" s="76"/>
      <c r="BN394" s="77"/>
      <c r="BO394" s="76"/>
      <c r="BP394" s="76"/>
      <c r="BQ394" s="76"/>
      <c r="BR394" s="76"/>
      <c r="BS394" s="76"/>
      <c r="BT394" s="77"/>
      <c r="BU394" s="76"/>
      <c r="BV394" s="77"/>
      <c r="BW394" s="76"/>
      <c r="BX394" s="76"/>
      <c r="BY394" s="76"/>
      <c r="BZ394" s="76"/>
      <c r="CA394" s="76"/>
      <c r="CB394" s="77"/>
      <c r="CC394" s="76"/>
      <c r="CD394" s="77"/>
      <c r="CE394" s="76"/>
      <c r="CF394" s="76"/>
      <c r="CG394" s="76"/>
      <c r="CH394" s="76"/>
      <c r="CI394" s="76"/>
      <c r="CJ394" s="77"/>
      <c r="CK394" s="76"/>
      <c r="CL394" s="77"/>
      <c r="CM394" s="76"/>
      <c r="CN394" s="76"/>
      <c r="CO394" s="76"/>
      <c r="CP394" s="76"/>
      <c r="CQ394" s="76"/>
      <c r="CR394" s="78" t="str">
        <f t="shared" si="111"/>
        <v/>
      </c>
      <c r="CS394" s="79" t="str">
        <f t="shared" si="112"/>
        <v/>
      </c>
      <c r="CT394" s="79" t="str">
        <f t="shared" si="113"/>
        <v/>
      </c>
      <c r="CU394" s="79" t="str">
        <f t="shared" si="114"/>
        <v/>
      </c>
      <c r="CV394" s="79" t="str">
        <f t="shared" si="115"/>
        <v/>
      </c>
      <c r="CW394" s="79" t="str">
        <f t="shared" si="116"/>
        <v/>
      </c>
      <c r="CX394" s="79" t="str">
        <f t="shared" si="117"/>
        <v/>
      </c>
      <c r="CY394" s="79" t="str">
        <f t="shared" si="118"/>
        <v/>
      </c>
      <c r="CZ394" s="79" t="str">
        <f t="shared" si="119"/>
        <v/>
      </c>
      <c r="DA394" s="79" t="str">
        <f t="shared" si="120"/>
        <v/>
      </c>
      <c r="DB394" s="79" t="str">
        <f t="shared" si="121"/>
        <v/>
      </c>
      <c r="DC394" s="79" t="str">
        <f t="shared" si="122"/>
        <v/>
      </c>
      <c r="DD394" s="79" t="str">
        <f t="shared" si="123"/>
        <v/>
      </c>
      <c r="DE394" s="79" t="str">
        <f t="shared" si="124"/>
        <v/>
      </c>
      <c r="DF394" s="79" t="str">
        <f t="shared" si="125"/>
        <v/>
      </c>
      <c r="DG394" s="79" t="str">
        <f t="shared" si="126"/>
        <v/>
      </c>
      <c r="DH394" s="76"/>
      <c r="DI394" s="78"/>
      <c r="DJ394" s="76"/>
      <c r="DK394" s="77"/>
      <c r="DL394" s="77"/>
      <c r="DM394" s="77"/>
      <c r="DN394" s="80"/>
      <c r="DO394" s="80"/>
      <c r="DP394" s="92" t="str">
        <f>IF(Table1[Start Date]="","",IF(Table1[Start Date]&gt;42185,"",IF(AND(Table1[Leaving Date]&gt;1,Table1[Leaving Date]&lt;42095),"",1)))</f>
        <v/>
      </c>
      <c r="DQ394" s="92" t="str">
        <f>IF(Table1[Start Date]="","",IF(Table1[Start Date]&gt;42277,"",IF(AND(Table1[Leaving Date]&gt;1,Table1[Leaving Date]&lt;42186),"",1)))</f>
        <v/>
      </c>
      <c r="DR394" s="92" t="str">
        <f>IF(Table1[Start Date]="","",IF(Table1[Start Date]&gt;42369,"",IF(AND(Table1[Leaving Date]&gt;1,Table1[Leaving Date]&lt;42278),"",1)))</f>
        <v/>
      </c>
      <c r="DS394" s="92" t="str">
        <f>IF(Table1[Start Date]="","",IF(Table1[Start Date]&gt;42460,"",IF(AND(Table1[Leaving Date]&gt;1,Table1[Leaving Date]&lt;42370),"",1)))</f>
        <v/>
      </c>
      <c r="DT394" s="92" t="str">
        <f>IF(Table1[Start Date]="","",IF(Table1[Start Date]&gt;42551,"",IF(AND(Table1[Leaving Date]&gt;1,Table1[Leaving Date]&lt;42461),"",1)))</f>
        <v/>
      </c>
      <c r="DU394" s="92" t="str">
        <f>IF(Table1[Start Date]="","",IF(Table1[Start Date]&gt;42643,"",IF(AND(Table1[Leaving Date]&gt;1,Table1[Leaving Date]&lt;42552),"",1)))</f>
        <v/>
      </c>
      <c r="DV394" s="92" t="str">
        <f>IF(Table1[Start Date]="","",IF(Table1[Start Date]&gt;42735,"",IF(AND(Table1[Leaving Date]&gt;1,Table1[Leaving Date]&lt;42644),"",1)))</f>
        <v/>
      </c>
      <c r="DW394" s="92" t="str">
        <f>IF(Table1[Start Date]="","",IF(Table1[Start Date]&gt;42825,"",IF(AND(Table1[Leaving Date]&gt;1,Table1[Leaving Date]&lt;42736),"",1)))</f>
        <v/>
      </c>
      <c r="DX394"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394" s="44" t="e">
        <f>VLOOKUP(Table1[Referral Source],Lists!$G$2:$H$20,2,FALSE)</f>
        <v>#N/A</v>
      </c>
      <c r="DZ394" s="93" t="e">
        <f>SUM(Table1[Data Referral Quarter]+Table1[Data Referral Source])</f>
        <v>#N/A</v>
      </c>
      <c r="EA394" s="44" t="b">
        <f>IF(Table1[Referral Decision]="Accepted",100,IF(Table1[Referral Decision]="Rejected by Provider",200,IF(Table1[Referral Decision]="Rejected by Applicant",300)))</f>
        <v>0</v>
      </c>
      <c r="EB394" s="44">
        <f>SUM(Table1[Data Referral Quarter]+Table1[Data Referral Decision])</f>
        <v>0</v>
      </c>
      <c r="EC394" s="44" t="b">
        <f>IF(Table1[Start Date]&gt;42735,8000,IF(Table1[Start Date]&gt;42643,7000,IF(Table1[Start Date]&gt;42551,6000,IF(Table1[Start Date]&gt;42460,5000,IF(Table1[Start Date]&gt;42369,4000,IF(Table1[Start Date]&gt;42277,3000,IF(Table1[Start Date]&gt;42185,2000,IF(Table1[Start Date]&gt;42094,1000))))))))</f>
        <v>0</v>
      </c>
      <c r="ED394" s="44" t="str">
        <f>IF(Table1[Start Date]="","",IF(Table1[Current Local Authority]="Swindon",1,"2"))</f>
        <v/>
      </c>
      <c r="EE394" s="44" t="e">
        <f>SUM(Table1[Data Start Date]+Table1[Data Local Authority])</f>
        <v>#VALUE!</v>
      </c>
      <c r="EF394" s="44">
        <f>IF(Table1[Registered with GP]="Yes",1,0)</f>
        <v>0</v>
      </c>
      <c r="EG394" s="44">
        <f>SUM(Table1[Data Start Date]+Table1[Data GP Start])</f>
        <v>0</v>
      </c>
      <c r="EH394" s="44" t="str">
        <f>IF(Table1[EET]="NEET",1,IF(Table1[EET]="Education",2,IF(Table1[EET]="Employment",2,IF(Table1[EET]="Training",2,IF(Table1[EET]="Retired",3,"")))))</f>
        <v/>
      </c>
      <c r="EI394" s="44" t="e">
        <f>Table1[Data Start Date]+Table1[Data EET Start]</f>
        <v>#VALUE!</v>
      </c>
      <c r="EJ394" s="44" t="b">
        <f>IF(Table1[Leaving Date]&gt;42735,8000,IF(Table1[Leaving Date]&gt;42643,7000,IF(Table1[Leaving Date]&gt;42551,6000,IF(Table1[Leaving Date]&gt;42460,5000,IF(Table1[Leaving Date]&gt;42369,4000,IF(Table1[Leaving Date]&gt;42277,3000,IF(Table1[Leaving Date]&gt;42185,2000,IF(Table1[Leaving Date]&gt;42094,1000))))))))</f>
        <v>0</v>
      </c>
      <c r="EK394" s="44" t="e">
        <f>VLOOKUP(Table1[Reason for Leaving],Lists!$T$2:$U$15,2,FALSE)</f>
        <v>#N/A</v>
      </c>
      <c r="EL394" s="44" t="e">
        <f>SUM(Table1[Data Leavers Date]+Table1[Data Move On])</f>
        <v>#N/A</v>
      </c>
      <c r="EM394" s="44" t="b">
        <f>IF(Table1[Registered with GP2]="Yes",1,IF(Table1[Registered with GP2]="No",0,IF(Table1[Registered with GP]="Yes",1,IF(Table1[Registered with GP]="No",0))))</f>
        <v>0</v>
      </c>
      <c r="EN394" s="44">
        <f>SUM(Table1[Data Leavers Date]+Table1[Data GP End])</f>
        <v>0</v>
      </c>
      <c r="EO394" s="44" t="str">
        <f>IF(Table1[EET2]="NEET",1,IF(Table1[EET2]="Employment",2,IF(Table1[EET2]="Education",2,IF(Table1[EET2]="Training",2,IF(Table1[EET2]="Retired",3,IF(Table1[EET]="NEET",1,IF(Table1[EET]="Employment",2,IF(Table1[EET]="Education",2,IF(Table1[EET]="Training",2,IF(Table1[EET]="Retired",3,""))))))))))</f>
        <v/>
      </c>
      <c r="EP394" s="44" t="e">
        <f>+Table1[[#This Row],[Data Leavers Date]]+Table1[[#This Row],[Data EET End]]</f>
        <v>#VALUE!</v>
      </c>
      <c r="EQ394" s="44">
        <f>IF(Table1[Exit Form Received]="Yes",1,0)</f>
        <v>0</v>
      </c>
      <c r="ER394" s="44">
        <f>+Table1[[#This Row],[Data Leavers Date]]+Table1[[#This Row],[Data Exit Forms]]</f>
        <v>0</v>
      </c>
      <c r="ES394" s="44" t="str">
        <f>IF(Table1[Data Leavers Date]=1000,SUM(Table1[Leaving Date]-Table1[Start Date]),"")</f>
        <v/>
      </c>
      <c r="ET394" s="44" t="str">
        <f>IF(Table1[Data Leavers Date]=2000,SUM(Table1[Leaving Date]-Table1[Start Date]),"")</f>
        <v/>
      </c>
      <c r="EU394" s="44" t="str">
        <f>IF(Table1[Data Leavers Date]=3000,SUM(Table1[Leaving Date]-Table1[Start Date]),"")</f>
        <v/>
      </c>
      <c r="EV394" s="44" t="str">
        <f>IF(Table1[Data Leavers Date]=4000,SUM(Table1[Leaving Date]-Table1[Start Date]),"")</f>
        <v/>
      </c>
      <c r="EW394" s="44" t="str">
        <f>IF(Table1[Data Leavers Date]=5000,SUM(Table1[Leaving Date]-Table1[Start Date]),"")</f>
        <v/>
      </c>
      <c r="EX394" s="44" t="str">
        <f>IF(Table1[Data Leavers Date]=6000,SUM(Table1[Leaving Date]-Table1[Start Date]),"")</f>
        <v/>
      </c>
      <c r="EY394" s="44" t="str">
        <f>IF(Table1[Data Leavers Date]=7000,SUM(Table1[Leaving Date]-Table1[Start Date]),"")</f>
        <v/>
      </c>
      <c r="EZ394" s="44" t="str">
        <f>IF(Table1[Data Leavers Date]=8000,SUM(Table1[Leaving Date]-Table1[Start Date]),"")</f>
        <v/>
      </c>
      <c r="FA394" s="44" t="str">
        <f>IF(Table1[Date of Initial Assessment]="","",IF(AND(Table1[Start Date]&gt;42094,Table1[Start Date]&lt;42461),Table1[Motivation and Taking Responsibility],""))</f>
        <v/>
      </c>
      <c r="FB394" s="44" t="str">
        <f>IF(Table1[Date of Initial Assessment]="","",IF(AND(Table1[Start Date]&gt;42094,Table1[Start Date]&lt;42461),Table1[Self-Care and Living Skills],""))</f>
        <v/>
      </c>
      <c r="FC394" s="44" t="str">
        <f>IF(Table1[Date of Initial Assessment]="","",IF(AND(Table1[Start Date]&gt;42094,Table1[Start Date]&lt;42461),Table1[Managing Money and Personal Administration],""))</f>
        <v/>
      </c>
      <c r="FD394" s="44" t="str">
        <f>IF(Table1[Date of Initial Assessment]="","",IF(AND(Table1[Start Date]&gt;42094,Table1[Start Date]&lt;42461),Table1[Social Networks and Relationships],""))</f>
        <v/>
      </c>
      <c r="FE394" s="44" t="str">
        <f>IF(Table1[Date of Initial Assessment]="","",IF(AND(Table1[Start Date]&gt;42094,Table1[Start Date]&lt;42461),Table1[Drug and Alcohol Misuse],""))</f>
        <v/>
      </c>
      <c r="FF394" s="44" t="str">
        <f>IF(Table1[Date of Initial Assessment]="","",IF(AND(Table1[Start Date]&gt;42094,Table1[Start Date]&lt;42461),Table1[Physical Health],""))</f>
        <v/>
      </c>
      <c r="FG394" s="44" t="str">
        <f>IF(Table1[Date of Initial Assessment]="","",IF(AND(Table1[Start Date]&gt;42094,Table1[Start Date]&lt;42461),Table1[Emotional and Mental Health],""))</f>
        <v/>
      </c>
      <c r="FH394" s="44" t="str">
        <f>IF(Table1[Date of Initial Assessment]="","",IF(AND(Table1[Start Date]&gt;42094,Table1[Start Date]&lt;42461),Table1[Meaningful Use of Time],""))</f>
        <v/>
      </c>
      <c r="FI394" s="44" t="str">
        <f>IF(Table1[Date of Initial Assessment]="","",IF(AND(Table1[Start Date]&gt;42094,Table1[Start Date]&lt;42461),Table1[Managing Tenancy and Accommodation],""))</f>
        <v/>
      </c>
      <c r="FJ394" s="44" t="str">
        <f>IF(Table1[Date of Initial Assessment]="","",IF(AND(Table1[Start Date]&gt;42094,Table1[Start Date]&lt;42461),Table1[Offending],""))</f>
        <v/>
      </c>
      <c r="FK394" s="44" t="str">
        <f>IF(Table1[Leaving Date]="","",IF(Table1[Date of Initial Assessment]="","",IF(AND(Table1[Leaving Date]&gt;42094,Table1[Leaving Date]&lt;42461),IF(Table1[Date of Last Assessment]="",Table1[Motivation and Taking Responsibility],Table1[Motivation and Taking Responsibility2]),"")))</f>
        <v/>
      </c>
      <c r="FL394" s="44" t="str">
        <f>IF(Table1[Leaving Date]="","",IF(Table1[Date of Initial Assessment]="","",IF(AND(Table1[Leaving Date]&gt;42094,Table1[Leaving Date]&lt;42461),IF(Table1[Date of Last Assessment]="",Table1[Self-Care and Living Skills],Table1[Self-Care and Living Skills2]),"")))</f>
        <v/>
      </c>
      <c r="FM394" s="44" t="str">
        <f>IF(Table1[Leaving Date]="","",IF(Table1[Date of Initial Assessment]="","",IF(AND(Table1[Leaving Date]&gt;42094,Table1[Leaving Date]&lt;42461),IF(Table1[Date of Last Assessment]="",Table1[Managing Money and Personal Administration],Table1[Managing Money and Personal Administration2]),"")))</f>
        <v/>
      </c>
      <c r="FN394" s="44" t="str">
        <f>IF(Table1[Leaving Date]="","",IF(Table1[Date of Initial Assessment]="","",IF(AND(Table1[Leaving Date]&gt;42094,Table1[Leaving Date]&lt;42461),IF(Table1[Date of Last Assessment]="",Table1[Social Networks and Relationships],Table1[Social Networks and Relationships2]),"")))</f>
        <v/>
      </c>
      <c r="FO394" s="44" t="str">
        <f>IF(Table1[Leaving Date]="","",IF(Table1[Date of Initial Assessment]="","",IF(AND(Table1[Leaving Date]&gt;42094,Table1[Leaving Date]&lt;42461),IF(Table1[Date of Last Assessment]="",Table1[Drug and Alcohol Misuse],Table1[Drug and Alcohol Misuse2]),"")))</f>
        <v/>
      </c>
      <c r="FP394" s="44" t="str">
        <f>IF(Table1[Leaving Date]="","",IF(Table1[Date of Initial Assessment]="","",IF(AND(Table1[Leaving Date]&gt;42094,Table1[Leaving Date]&lt;42461),IF(Table1[Date of Last Assessment]="",Table1[Physical Health],Table1[Physical Health2]),"")))</f>
        <v/>
      </c>
      <c r="FQ394" s="44" t="str">
        <f>IF(Table1[Leaving Date]="","",IF(Table1[Date of Initial Assessment]="","",IF(AND(Table1[Leaving Date]&gt;42094,Table1[Leaving Date]&lt;42461),IF(Table1[Date of Last Assessment]="",Table1[Emotional and Mental Health],Table1[Emotional and Mental Health2]),"")))</f>
        <v/>
      </c>
      <c r="FR394" s="44" t="str">
        <f>IF(Table1[Leaving Date]="","",IF(Table1[Date of Initial Assessment]="","",IF(AND(Table1[Leaving Date]&gt;42094,Table1[Leaving Date]&lt;42461),IF(Table1[Date of Last Assessment]="",Table1[Meaningful Use of Time],Table1[Meaningful Use of Time2]),"")))</f>
        <v/>
      </c>
      <c r="FS394" s="44" t="str">
        <f>IF(Table1[Leaving Date]="","",IF(Table1[Date of Initial Assessment]="","",IF(AND(Table1[Leaving Date]&gt;42094,Table1[Leaving Date]&lt;42461),IF(Table1[Date of Last Assessment]="",Table1[Managing Tenancy and Accommodation],Table1[Managing Tenancy and Accommodation2]),"")))</f>
        <v/>
      </c>
      <c r="FT394" s="44" t="str">
        <f>IF(Table1[Leaving Date]="","",IF(Table1[Date of Initial Assessment]="","",IF(AND(Table1[Leaving Date]&gt;42094,Table1[Leaving Date]&lt;42461),IF(Table1[Date of Last Assessment]="",Table1[Offending],Table1[Offending2]),"")))</f>
        <v/>
      </c>
      <c r="FU394" s="44" t="str">
        <f>IF(Table1[Date of Initial Assessment]="","",IF(AND(Table1[Start Date]&gt;42460,Table1[Start Date]&lt;42826),Table1[Motivation and Taking Responsibility],""))</f>
        <v/>
      </c>
      <c r="FV394" s="44" t="str">
        <f>IF(Table1[Date of Initial Assessment]="","",IF(AND(Table1[Start Date]&gt;42460,Table1[Start Date]&lt;42826),Table1[Self-Care and Living Skills],""))</f>
        <v/>
      </c>
      <c r="FW394" s="44" t="str">
        <f>IF(Table1[Date of Initial Assessment]="","",IF(AND(Table1[Start Date]&gt;42460,Table1[Start Date]&lt;42826),Table1[Managing Money and Personal Administration],""))</f>
        <v/>
      </c>
      <c r="FX394" s="44" t="str">
        <f>IF(Table1[Date of Initial Assessment]="","",IF(AND(Table1[Start Date]&gt;42460,Table1[Start Date]&lt;42826),Table1[Social Networks and Relationships],""))</f>
        <v/>
      </c>
      <c r="FY394" s="44" t="str">
        <f>IF(Table1[Date of Initial Assessment]="","",IF(AND(Table1[Start Date]&gt;42460,Table1[Start Date]&lt;42826),Table1[Drug and Alcohol Misuse],""))</f>
        <v/>
      </c>
      <c r="FZ394" s="44" t="str">
        <f>IF(Table1[Date of Initial Assessment]="","",IF(AND(Table1[Start Date]&gt;42460,Table1[Start Date]&lt;42826),Table1[Physical Health],""))</f>
        <v/>
      </c>
      <c r="GA394" s="44" t="str">
        <f>IF(Table1[Date of Initial Assessment]="","",IF(AND(Table1[Start Date]&gt;42460,Table1[Start Date]&lt;42826),Table1[Emotional and Mental Health],""))</f>
        <v/>
      </c>
      <c r="GB394" s="44" t="str">
        <f>IF(Table1[Date of Initial Assessment]="","",IF(AND(Table1[Start Date]&gt;42460,Table1[Start Date]&lt;42826),Table1[Meaningful Use of Time],""))</f>
        <v/>
      </c>
      <c r="GC394" s="44" t="str">
        <f>IF(Table1[Date of Initial Assessment]="","",IF(AND(Table1[Start Date]&gt;42460,Table1[Start Date]&lt;42826),Table1[Managing Tenancy and Accommodation],""))</f>
        <v/>
      </c>
      <c r="GD394" s="44" t="str">
        <f>IF(Table1[Date of Initial Assessment]="","",IF(AND(Table1[Start Date]&gt;42460,Table1[Start Date]&lt;42826),Table1[Offending],""))</f>
        <v/>
      </c>
      <c r="GE394" s="44" t="str">
        <f>IF(Table1[Leaving Date]="","",IF(AND(Table1[Leaving Date]&gt;42460,Table1[Leaving Date]&lt;42826),IF(Table1[Date of Last Assessment]="",Table1[Motivation and Taking Responsibility],Table1[Motivation and Taking Responsibility2]),""))</f>
        <v/>
      </c>
      <c r="GF394" s="44" t="str">
        <f>IF(Table1[Leaving Date]="","",IF(AND(Table1[Leaving Date]&gt;42460,Table1[Leaving Date]&lt;42826),IF(Table1[Date of Last Assessment]="",Table1[Self-Care and Living Skills],Table1[Self-Care and Living Skills2]),""))</f>
        <v/>
      </c>
      <c r="GG394" s="44" t="str">
        <f>IF(Table1[Leaving Date]="","",IF(AND(Table1[Leaving Date]&gt;42460,Table1[Leaving Date]&lt;42826),IF(Table1[Date of Last Assessment]="",Table1[Managing Money and Personal Administration],Table1[Managing Money and Personal Administration2]),""))</f>
        <v/>
      </c>
      <c r="GH394" s="44" t="str">
        <f>IF(Table1[Leaving Date]="","",IF(AND(Table1[Leaving Date]&gt;42460,Table1[Leaving Date]&lt;42826),IF(Table1[Date of Last Assessment]="",Table1[Social Networks and Relationships],Table1[Social Networks and Relationships2]),""))</f>
        <v/>
      </c>
      <c r="GI394" s="44" t="str">
        <f>IF(Table1[Leaving Date]="","",IF(AND(Table1[Leaving Date]&gt;42460,Table1[Leaving Date]&lt;42826),IF(Table1[Date of Last Assessment]="",Table1[Drug and Alcohol Misuse],Table1[Drug and Alcohol Misuse2]),""))</f>
        <v/>
      </c>
      <c r="GJ394" s="44" t="str">
        <f>IF(Table1[Leaving Date]="","",IF(AND(Table1[Leaving Date]&gt;42460,Table1[Leaving Date]&lt;42826),IF(Table1[Date of Last Assessment]="",Table1[Physical Health],Table1[Physical Health2]),""))</f>
        <v/>
      </c>
      <c r="GK394" s="44" t="str">
        <f>IF(Table1[Leaving Date]="","",IF(AND(Table1[Leaving Date]&gt;42460,Table1[Leaving Date]&lt;42826),IF(Table1[Date of Last Assessment]="",Table1[Emotional and Mental Health],Table1[Emotional and Mental Health2]),""))</f>
        <v/>
      </c>
      <c r="GL394" s="44" t="str">
        <f>IF(Table1[Leaving Date]="","",IF(AND(Table1[Leaving Date]&gt;42460,Table1[Leaving Date]&lt;42826),IF(Table1[Date of Last Assessment]="",Table1[Meaningful Use of Time],Table1[Meaningful Use of Time2]),""))</f>
        <v/>
      </c>
      <c r="GM394" s="44" t="str">
        <f>IF(Table1[Leaving Date]="","",IF(AND(Table1[Leaving Date]&gt;42460,Table1[Leaving Date]&lt;42826),IF(Table1[Date of Last Assessment]="",Table1[Managing Tenancy and Accommodation],Table1[Managing Tenancy and Accommodation2]),""))</f>
        <v/>
      </c>
      <c r="GN394" s="44" t="str">
        <f>IF(Table1[Leaving Date]="","",IF(AND(Table1[Leaving Date]&gt;42460,Table1[Leaving Date]&lt;42826),IF(Table1[Date of Last Assessment]="",Table1[Offending],Table1[Offending2]),""))</f>
        <v/>
      </c>
    </row>
    <row r="395" spans="2:196" ht="20.100000000000001" customHeight="1" x14ac:dyDescent="0.2">
      <c r="B395" s="86">
        <f>+'Service Data'!$C$5:$C$5</f>
        <v>0</v>
      </c>
      <c r="C395" s="86"/>
      <c r="D395" s="86"/>
      <c r="E395" s="86"/>
      <c r="F395" s="86"/>
      <c r="G395" s="86"/>
      <c r="H395" s="6"/>
      <c r="I395" s="99" t="str">
        <f ca="1">IF(Table1[[#This Row],[Date of Birth]]="","",SUM(TODAY()-Table1[[#This Row],[Date of Birth]])/365)</f>
        <v/>
      </c>
      <c r="L395" s="86"/>
      <c r="M395" s="77"/>
      <c r="N395" s="86"/>
      <c r="O395" s="86"/>
      <c r="P395" s="91"/>
      <c r="Q395" s="86"/>
      <c r="R395" s="77"/>
      <c r="S395" s="77"/>
      <c r="T395" s="68"/>
      <c r="U395" s="68"/>
      <c r="V395" s="67"/>
      <c r="W395" s="67"/>
      <c r="X395" s="67"/>
      <c r="Y395" s="67"/>
      <c r="Z395" s="67"/>
      <c r="AA395" s="67"/>
      <c r="AB395" s="67"/>
      <c r="AC395" s="67"/>
      <c r="AD395" s="67"/>
      <c r="AE395" s="67"/>
      <c r="AF395" s="67"/>
      <c r="AG395" s="67"/>
      <c r="AH395" s="67"/>
      <c r="AI395" s="67"/>
      <c r="AJ395" s="67"/>
      <c r="AK395" s="67"/>
      <c r="AL395" s="67"/>
      <c r="AM395" s="67"/>
      <c r="AN395" s="77"/>
      <c r="AO395" s="76"/>
      <c r="AP395" s="77"/>
      <c r="AQ395" s="76"/>
      <c r="AR395" s="76"/>
      <c r="AS395" s="76"/>
      <c r="AT395" s="76"/>
      <c r="AU395" s="76"/>
      <c r="AV395" s="77"/>
      <c r="AW395" s="76"/>
      <c r="AX395" s="77"/>
      <c r="AY395" s="76"/>
      <c r="AZ395" s="76"/>
      <c r="BA395" s="76"/>
      <c r="BB395" s="76"/>
      <c r="BC395" s="76"/>
      <c r="BD395" s="77"/>
      <c r="BE395" s="76"/>
      <c r="BF395" s="77"/>
      <c r="BG395" s="76"/>
      <c r="BH395" s="76"/>
      <c r="BI395" s="76"/>
      <c r="BJ395" s="76"/>
      <c r="BK395" s="76"/>
      <c r="BL395" s="77"/>
      <c r="BM395" s="76"/>
      <c r="BN395" s="77"/>
      <c r="BO395" s="76"/>
      <c r="BP395" s="76"/>
      <c r="BQ395" s="76"/>
      <c r="BR395" s="76"/>
      <c r="BS395" s="76"/>
      <c r="BT395" s="77"/>
      <c r="BU395" s="76"/>
      <c r="BV395" s="77"/>
      <c r="BW395" s="76"/>
      <c r="BX395" s="76"/>
      <c r="BY395" s="76"/>
      <c r="BZ395" s="76"/>
      <c r="CA395" s="76"/>
      <c r="CB395" s="77"/>
      <c r="CC395" s="76"/>
      <c r="CD395" s="77"/>
      <c r="CE395" s="76"/>
      <c r="CF395" s="76"/>
      <c r="CG395" s="76"/>
      <c r="CH395" s="76"/>
      <c r="CI395" s="76"/>
      <c r="CJ395" s="77"/>
      <c r="CK395" s="76"/>
      <c r="CL395" s="77"/>
      <c r="CM395" s="76"/>
      <c r="CN395" s="76"/>
      <c r="CO395" s="76"/>
      <c r="CP395" s="76"/>
      <c r="CQ395" s="76"/>
      <c r="CR395" s="78" t="str">
        <f t="shared" si="111"/>
        <v/>
      </c>
      <c r="CS395" s="79" t="str">
        <f t="shared" si="112"/>
        <v/>
      </c>
      <c r="CT395" s="79" t="str">
        <f t="shared" si="113"/>
        <v/>
      </c>
      <c r="CU395" s="79" t="str">
        <f t="shared" si="114"/>
        <v/>
      </c>
      <c r="CV395" s="79" t="str">
        <f t="shared" si="115"/>
        <v/>
      </c>
      <c r="CW395" s="79" t="str">
        <f t="shared" si="116"/>
        <v/>
      </c>
      <c r="CX395" s="79" t="str">
        <f t="shared" si="117"/>
        <v/>
      </c>
      <c r="CY395" s="79" t="str">
        <f t="shared" si="118"/>
        <v/>
      </c>
      <c r="CZ395" s="79" t="str">
        <f t="shared" si="119"/>
        <v/>
      </c>
      <c r="DA395" s="79" t="str">
        <f t="shared" si="120"/>
        <v/>
      </c>
      <c r="DB395" s="79" t="str">
        <f t="shared" si="121"/>
        <v/>
      </c>
      <c r="DC395" s="79" t="str">
        <f t="shared" si="122"/>
        <v/>
      </c>
      <c r="DD395" s="79" t="str">
        <f t="shared" si="123"/>
        <v/>
      </c>
      <c r="DE395" s="79" t="str">
        <f t="shared" si="124"/>
        <v/>
      </c>
      <c r="DF395" s="79" t="str">
        <f t="shared" si="125"/>
        <v/>
      </c>
      <c r="DG395" s="79" t="str">
        <f t="shared" si="126"/>
        <v/>
      </c>
      <c r="DH395" s="76"/>
      <c r="DI395" s="78"/>
      <c r="DJ395" s="76"/>
      <c r="DK395" s="77"/>
      <c r="DL395" s="77"/>
      <c r="DM395" s="77"/>
      <c r="DN395" s="80"/>
      <c r="DO395" s="80"/>
      <c r="DP395" s="92" t="str">
        <f>IF(Table1[Start Date]="","",IF(Table1[Start Date]&gt;42185,"",IF(AND(Table1[Leaving Date]&gt;1,Table1[Leaving Date]&lt;42095),"",1)))</f>
        <v/>
      </c>
      <c r="DQ395" s="92" t="str">
        <f>IF(Table1[Start Date]="","",IF(Table1[Start Date]&gt;42277,"",IF(AND(Table1[Leaving Date]&gt;1,Table1[Leaving Date]&lt;42186),"",1)))</f>
        <v/>
      </c>
      <c r="DR395" s="92" t="str">
        <f>IF(Table1[Start Date]="","",IF(Table1[Start Date]&gt;42369,"",IF(AND(Table1[Leaving Date]&gt;1,Table1[Leaving Date]&lt;42278),"",1)))</f>
        <v/>
      </c>
      <c r="DS395" s="92" t="str">
        <f>IF(Table1[Start Date]="","",IF(Table1[Start Date]&gt;42460,"",IF(AND(Table1[Leaving Date]&gt;1,Table1[Leaving Date]&lt;42370),"",1)))</f>
        <v/>
      </c>
      <c r="DT395" s="92" t="str">
        <f>IF(Table1[Start Date]="","",IF(Table1[Start Date]&gt;42551,"",IF(AND(Table1[Leaving Date]&gt;1,Table1[Leaving Date]&lt;42461),"",1)))</f>
        <v/>
      </c>
      <c r="DU395" s="92" t="str">
        <f>IF(Table1[Start Date]="","",IF(Table1[Start Date]&gt;42643,"",IF(AND(Table1[Leaving Date]&gt;1,Table1[Leaving Date]&lt;42552),"",1)))</f>
        <v/>
      </c>
      <c r="DV395" s="92" t="str">
        <f>IF(Table1[Start Date]="","",IF(Table1[Start Date]&gt;42735,"",IF(AND(Table1[Leaving Date]&gt;1,Table1[Leaving Date]&lt;42644),"",1)))</f>
        <v/>
      </c>
      <c r="DW395" s="92" t="str">
        <f>IF(Table1[Start Date]="","",IF(Table1[Start Date]&gt;42825,"",IF(AND(Table1[Leaving Date]&gt;1,Table1[Leaving Date]&lt;42736),"",1)))</f>
        <v/>
      </c>
      <c r="DX395"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395" s="44" t="e">
        <f>VLOOKUP(Table1[Referral Source],Lists!$G$2:$H$20,2,FALSE)</f>
        <v>#N/A</v>
      </c>
      <c r="DZ395" s="93" t="e">
        <f>SUM(Table1[Data Referral Quarter]+Table1[Data Referral Source])</f>
        <v>#N/A</v>
      </c>
      <c r="EA395" s="44" t="b">
        <f>IF(Table1[Referral Decision]="Accepted",100,IF(Table1[Referral Decision]="Rejected by Provider",200,IF(Table1[Referral Decision]="Rejected by Applicant",300)))</f>
        <v>0</v>
      </c>
      <c r="EB395" s="44">
        <f>SUM(Table1[Data Referral Quarter]+Table1[Data Referral Decision])</f>
        <v>0</v>
      </c>
      <c r="EC395" s="44" t="b">
        <f>IF(Table1[Start Date]&gt;42735,8000,IF(Table1[Start Date]&gt;42643,7000,IF(Table1[Start Date]&gt;42551,6000,IF(Table1[Start Date]&gt;42460,5000,IF(Table1[Start Date]&gt;42369,4000,IF(Table1[Start Date]&gt;42277,3000,IF(Table1[Start Date]&gt;42185,2000,IF(Table1[Start Date]&gt;42094,1000))))))))</f>
        <v>0</v>
      </c>
      <c r="ED395" s="44" t="str">
        <f>IF(Table1[Start Date]="","",IF(Table1[Current Local Authority]="Swindon",1,"2"))</f>
        <v/>
      </c>
      <c r="EE395" s="44" t="e">
        <f>SUM(Table1[Data Start Date]+Table1[Data Local Authority])</f>
        <v>#VALUE!</v>
      </c>
      <c r="EF395" s="44">
        <f>IF(Table1[Registered with GP]="Yes",1,0)</f>
        <v>0</v>
      </c>
      <c r="EG395" s="44">
        <f>SUM(Table1[Data Start Date]+Table1[Data GP Start])</f>
        <v>0</v>
      </c>
      <c r="EH395" s="44" t="str">
        <f>IF(Table1[EET]="NEET",1,IF(Table1[EET]="Education",2,IF(Table1[EET]="Employment",2,IF(Table1[EET]="Training",2,IF(Table1[EET]="Retired",3,"")))))</f>
        <v/>
      </c>
      <c r="EI395" s="44" t="e">
        <f>Table1[Data Start Date]+Table1[Data EET Start]</f>
        <v>#VALUE!</v>
      </c>
      <c r="EJ395" s="44" t="b">
        <f>IF(Table1[Leaving Date]&gt;42735,8000,IF(Table1[Leaving Date]&gt;42643,7000,IF(Table1[Leaving Date]&gt;42551,6000,IF(Table1[Leaving Date]&gt;42460,5000,IF(Table1[Leaving Date]&gt;42369,4000,IF(Table1[Leaving Date]&gt;42277,3000,IF(Table1[Leaving Date]&gt;42185,2000,IF(Table1[Leaving Date]&gt;42094,1000))))))))</f>
        <v>0</v>
      </c>
      <c r="EK395" s="44" t="e">
        <f>VLOOKUP(Table1[Reason for Leaving],Lists!$T$2:$U$15,2,FALSE)</f>
        <v>#N/A</v>
      </c>
      <c r="EL395" s="44" t="e">
        <f>SUM(Table1[Data Leavers Date]+Table1[Data Move On])</f>
        <v>#N/A</v>
      </c>
      <c r="EM395" s="44" t="b">
        <f>IF(Table1[Registered with GP2]="Yes",1,IF(Table1[Registered with GP2]="No",0,IF(Table1[Registered with GP]="Yes",1,IF(Table1[Registered with GP]="No",0))))</f>
        <v>0</v>
      </c>
      <c r="EN395" s="44">
        <f>SUM(Table1[Data Leavers Date]+Table1[Data GP End])</f>
        <v>0</v>
      </c>
      <c r="EO395" s="44" t="str">
        <f>IF(Table1[EET2]="NEET",1,IF(Table1[EET2]="Employment",2,IF(Table1[EET2]="Education",2,IF(Table1[EET2]="Training",2,IF(Table1[EET2]="Retired",3,IF(Table1[EET]="NEET",1,IF(Table1[EET]="Employment",2,IF(Table1[EET]="Education",2,IF(Table1[EET]="Training",2,IF(Table1[EET]="Retired",3,""))))))))))</f>
        <v/>
      </c>
      <c r="EP395" s="44" t="e">
        <f>+Table1[[#This Row],[Data Leavers Date]]+Table1[[#This Row],[Data EET End]]</f>
        <v>#VALUE!</v>
      </c>
      <c r="EQ395" s="44">
        <f>IF(Table1[Exit Form Received]="Yes",1,0)</f>
        <v>0</v>
      </c>
      <c r="ER395" s="44">
        <f>+Table1[[#This Row],[Data Leavers Date]]+Table1[[#This Row],[Data Exit Forms]]</f>
        <v>0</v>
      </c>
      <c r="ES395" s="44" t="str">
        <f>IF(Table1[Data Leavers Date]=1000,SUM(Table1[Leaving Date]-Table1[Start Date]),"")</f>
        <v/>
      </c>
      <c r="ET395" s="44" t="str">
        <f>IF(Table1[Data Leavers Date]=2000,SUM(Table1[Leaving Date]-Table1[Start Date]),"")</f>
        <v/>
      </c>
      <c r="EU395" s="44" t="str">
        <f>IF(Table1[Data Leavers Date]=3000,SUM(Table1[Leaving Date]-Table1[Start Date]),"")</f>
        <v/>
      </c>
      <c r="EV395" s="44" t="str">
        <f>IF(Table1[Data Leavers Date]=4000,SUM(Table1[Leaving Date]-Table1[Start Date]),"")</f>
        <v/>
      </c>
      <c r="EW395" s="44" t="str">
        <f>IF(Table1[Data Leavers Date]=5000,SUM(Table1[Leaving Date]-Table1[Start Date]),"")</f>
        <v/>
      </c>
      <c r="EX395" s="44" t="str">
        <f>IF(Table1[Data Leavers Date]=6000,SUM(Table1[Leaving Date]-Table1[Start Date]),"")</f>
        <v/>
      </c>
      <c r="EY395" s="44" t="str">
        <f>IF(Table1[Data Leavers Date]=7000,SUM(Table1[Leaving Date]-Table1[Start Date]),"")</f>
        <v/>
      </c>
      <c r="EZ395" s="44" t="str">
        <f>IF(Table1[Data Leavers Date]=8000,SUM(Table1[Leaving Date]-Table1[Start Date]),"")</f>
        <v/>
      </c>
      <c r="FA395" s="44" t="str">
        <f>IF(Table1[Date of Initial Assessment]="","",IF(AND(Table1[Start Date]&gt;42094,Table1[Start Date]&lt;42461),Table1[Motivation and Taking Responsibility],""))</f>
        <v/>
      </c>
      <c r="FB395" s="44" t="str">
        <f>IF(Table1[Date of Initial Assessment]="","",IF(AND(Table1[Start Date]&gt;42094,Table1[Start Date]&lt;42461),Table1[Self-Care and Living Skills],""))</f>
        <v/>
      </c>
      <c r="FC395" s="44" t="str">
        <f>IF(Table1[Date of Initial Assessment]="","",IF(AND(Table1[Start Date]&gt;42094,Table1[Start Date]&lt;42461),Table1[Managing Money and Personal Administration],""))</f>
        <v/>
      </c>
      <c r="FD395" s="44" t="str">
        <f>IF(Table1[Date of Initial Assessment]="","",IF(AND(Table1[Start Date]&gt;42094,Table1[Start Date]&lt;42461),Table1[Social Networks and Relationships],""))</f>
        <v/>
      </c>
      <c r="FE395" s="44" t="str">
        <f>IF(Table1[Date of Initial Assessment]="","",IF(AND(Table1[Start Date]&gt;42094,Table1[Start Date]&lt;42461),Table1[Drug and Alcohol Misuse],""))</f>
        <v/>
      </c>
      <c r="FF395" s="44" t="str">
        <f>IF(Table1[Date of Initial Assessment]="","",IF(AND(Table1[Start Date]&gt;42094,Table1[Start Date]&lt;42461),Table1[Physical Health],""))</f>
        <v/>
      </c>
      <c r="FG395" s="44" t="str">
        <f>IF(Table1[Date of Initial Assessment]="","",IF(AND(Table1[Start Date]&gt;42094,Table1[Start Date]&lt;42461),Table1[Emotional and Mental Health],""))</f>
        <v/>
      </c>
      <c r="FH395" s="44" t="str">
        <f>IF(Table1[Date of Initial Assessment]="","",IF(AND(Table1[Start Date]&gt;42094,Table1[Start Date]&lt;42461),Table1[Meaningful Use of Time],""))</f>
        <v/>
      </c>
      <c r="FI395" s="44" t="str">
        <f>IF(Table1[Date of Initial Assessment]="","",IF(AND(Table1[Start Date]&gt;42094,Table1[Start Date]&lt;42461),Table1[Managing Tenancy and Accommodation],""))</f>
        <v/>
      </c>
      <c r="FJ395" s="44" t="str">
        <f>IF(Table1[Date of Initial Assessment]="","",IF(AND(Table1[Start Date]&gt;42094,Table1[Start Date]&lt;42461),Table1[Offending],""))</f>
        <v/>
      </c>
      <c r="FK395" s="44" t="str">
        <f>IF(Table1[Leaving Date]="","",IF(Table1[Date of Initial Assessment]="","",IF(AND(Table1[Leaving Date]&gt;42094,Table1[Leaving Date]&lt;42461),IF(Table1[Date of Last Assessment]="",Table1[Motivation and Taking Responsibility],Table1[Motivation and Taking Responsibility2]),"")))</f>
        <v/>
      </c>
      <c r="FL395" s="44" t="str">
        <f>IF(Table1[Leaving Date]="","",IF(Table1[Date of Initial Assessment]="","",IF(AND(Table1[Leaving Date]&gt;42094,Table1[Leaving Date]&lt;42461),IF(Table1[Date of Last Assessment]="",Table1[Self-Care and Living Skills],Table1[Self-Care and Living Skills2]),"")))</f>
        <v/>
      </c>
      <c r="FM395" s="44" t="str">
        <f>IF(Table1[Leaving Date]="","",IF(Table1[Date of Initial Assessment]="","",IF(AND(Table1[Leaving Date]&gt;42094,Table1[Leaving Date]&lt;42461),IF(Table1[Date of Last Assessment]="",Table1[Managing Money and Personal Administration],Table1[Managing Money and Personal Administration2]),"")))</f>
        <v/>
      </c>
      <c r="FN395" s="44" t="str">
        <f>IF(Table1[Leaving Date]="","",IF(Table1[Date of Initial Assessment]="","",IF(AND(Table1[Leaving Date]&gt;42094,Table1[Leaving Date]&lt;42461),IF(Table1[Date of Last Assessment]="",Table1[Social Networks and Relationships],Table1[Social Networks and Relationships2]),"")))</f>
        <v/>
      </c>
      <c r="FO395" s="44" t="str">
        <f>IF(Table1[Leaving Date]="","",IF(Table1[Date of Initial Assessment]="","",IF(AND(Table1[Leaving Date]&gt;42094,Table1[Leaving Date]&lt;42461),IF(Table1[Date of Last Assessment]="",Table1[Drug and Alcohol Misuse],Table1[Drug and Alcohol Misuse2]),"")))</f>
        <v/>
      </c>
      <c r="FP395" s="44" t="str">
        <f>IF(Table1[Leaving Date]="","",IF(Table1[Date of Initial Assessment]="","",IF(AND(Table1[Leaving Date]&gt;42094,Table1[Leaving Date]&lt;42461),IF(Table1[Date of Last Assessment]="",Table1[Physical Health],Table1[Physical Health2]),"")))</f>
        <v/>
      </c>
      <c r="FQ395" s="44" t="str">
        <f>IF(Table1[Leaving Date]="","",IF(Table1[Date of Initial Assessment]="","",IF(AND(Table1[Leaving Date]&gt;42094,Table1[Leaving Date]&lt;42461),IF(Table1[Date of Last Assessment]="",Table1[Emotional and Mental Health],Table1[Emotional and Mental Health2]),"")))</f>
        <v/>
      </c>
      <c r="FR395" s="44" t="str">
        <f>IF(Table1[Leaving Date]="","",IF(Table1[Date of Initial Assessment]="","",IF(AND(Table1[Leaving Date]&gt;42094,Table1[Leaving Date]&lt;42461),IF(Table1[Date of Last Assessment]="",Table1[Meaningful Use of Time],Table1[Meaningful Use of Time2]),"")))</f>
        <v/>
      </c>
      <c r="FS395" s="44" t="str">
        <f>IF(Table1[Leaving Date]="","",IF(Table1[Date of Initial Assessment]="","",IF(AND(Table1[Leaving Date]&gt;42094,Table1[Leaving Date]&lt;42461),IF(Table1[Date of Last Assessment]="",Table1[Managing Tenancy and Accommodation],Table1[Managing Tenancy and Accommodation2]),"")))</f>
        <v/>
      </c>
      <c r="FT395" s="44" t="str">
        <f>IF(Table1[Leaving Date]="","",IF(Table1[Date of Initial Assessment]="","",IF(AND(Table1[Leaving Date]&gt;42094,Table1[Leaving Date]&lt;42461),IF(Table1[Date of Last Assessment]="",Table1[Offending],Table1[Offending2]),"")))</f>
        <v/>
      </c>
      <c r="FU395" s="44" t="str">
        <f>IF(Table1[Date of Initial Assessment]="","",IF(AND(Table1[Start Date]&gt;42460,Table1[Start Date]&lt;42826),Table1[Motivation and Taking Responsibility],""))</f>
        <v/>
      </c>
      <c r="FV395" s="44" t="str">
        <f>IF(Table1[Date of Initial Assessment]="","",IF(AND(Table1[Start Date]&gt;42460,Table1[Start Date]&lt;42826),Table1[Self-Care and Living Skills],""))</f>
        <v/>
      </c>
      <c r="FW395" s="44" t="str">
        <f>IF(Table1[Date of Initial Assessment]="","",IF(AND(Table1[Start Date]&gt;42460,Table1[Start Date]&lt;42826),Table1[Managing Money and Personal Administration],""))</f>
        <v/>
      </c>
      <c r="FX395" s="44" t="str">
        <f>IF(Table1[Date of Initial Assessment]="","",IF(AND(Table1[Start Date]&gt;42460,Table1[Start Date]&lt;42826),Table1[Social Networks and Relationships],""))</f>
        <v/>
      </c>
      <c r="FY395" s="44" t="str">
        <f>IF(Table1[Date of Initial Assessment]="","",IF(AND(Table1[Start Date]&gt;42460,Table1[Start Date]&lt;42826),Table1[Drug and Alcohol Misuse],""))</f>
        <v/>
      </c>
      <c r="FZ395" s="44" t="str">
        <f>IF(Table1[Date of Initial Assessment]="","",IF(AND(Table1[Start Date]&gt;42460,Table1[Start Date]&lt;42826),Table1[Physical Health],""))</f>
        <v/>
      </c>
      <c r="GA395" s="44" t="str">
        <f>IF(Table1[Date of Initial Assessment]="","",IF(AND(Table1[Start Date]&gt;42460,Table1[Start Date]&lt;42826),Table1[Emotional and Mental Health],""))</f>
        <v/>
      </c>
      <c r="GB395" s="44" t="str">
        <f>IF(Table1[Date of Initial Assessment]="","",IF(AND(Table1[Start Date]&gt;42460,Table1[Start Date]&lt;42826),Table1[Meaningful Use of Time],""))</f>
        <v/>
      </c>
      <c r="GC395" s="44" t="str">
        <f>IF(Table1[Date of Initial Assessment]="","",IF(AND(Table1[Start Date]&gt;42460,Table1[Start Date]&lt;42826),Table1[Managing Tenancy and Accommodation],""))</f>
        <v/>
      </c>
      <c r="GD395" s="44" t="str">
        <f>IF(Table1[Date of Initial Assessment]="","",IF(AND(Table1[Start Date]&gt;42460,Table1[Start Date]&lt;42826),Table1[Offending],""))</f>
        <v/>
      </c>
      <c r="GE395" s="44" t="str">
        <f>IF(Table1[Leaving Date]="","",IF(AND(Table1[Leaving Date]&gt;42460,Table1[Leaving Date]&lt;42826),IF(Table1[Date of Last Assessment]="",Table1[Motivation and Taking Responsibility],Table1[Motivation and Taking Responsibility2]),""))</f>
        <v/>
      </c>
      <c r="GF395" s="44" t="str">
        <f>IF(Table1[Leaving Date]="","",IF(AND(Table1[Leaving Date]&gt;42460,Table1[Leaving Date]&lt;42826),IF(Table1[Date of Last Assessment]="",Table1[Self-Care and Living Skills],Table1[Self-Care and Living Skills2]),""))</f>
        <v/>
      </c>
      <c r="GG395" s="44" t="str">
        <f>IF(Table1[Leaving Date]="","",IF(AND(Table1[Leaving Date]&gt;42460,Table1[Leaving Date]&lt;42826),IF(Table1[Date of Last Assessment]="",Table1[Managing Money and Personal Administration],Table1[Managing Money and Personal Administration2]),""))</f>
        <v/>
      </c>
      <c r="GH395" s="44" t="str">
        <f>IF(Table1[Leaving Date]="","",IF(AND(Table1[Leaving Date]&gt;42460,Table1[Leaving Date]&lt;42826),IF(Table1[Date of Last Assessment]="",Table1[Social Networks and Relationships],Table1[Social Networks and Relationships2]),""))</f>
        <v/>
      </c>
      <c r="GI395" s="44" t="str">
        <f>IF(Table1[Leaving Date]="","",IF(AND(Table1[Leaving Date]&gt;42460,Table1[Leaving Date]&lt;42826),IF(Table1[Date of Last Assessment]="",Table1[Drug and Alcohol Misuse],Table1[Drug and Alcohol Misuse2]),""))</f>
        <v/>
      </c>
      <c r="GJ395" s="44" t="str">
        <f>IF(Table1[Leaving Date]="","",IF(AND(Table1[Leaving Date]&gt;42460,Table1[Leaving Date]&lt;42826),IF(Table1[Date of Last Assessment]="",Table1[Physical Health],Table1[Physical Health2]),""))</f>
        <v/>
      </c>
      <c r="GK395" s="44" t="str">
        <f>IF(Table1[Leaving Date]="","",IF(AND(Table1[Leaving Date]&gt;42460,Table1[Leaving Date]&lt;42826),IF(Table1[Date of Last Assessment]="",Table1[Emotional and Mental Health],Table1[Emotional and Mental Health2]),""))</f>
        <v/>
      </c>
      <c r="GL395" s="44" t="str">
        <f>IF(Table1[Leaving Date]="","",IF(AND(Table1[Leaving Date]&gt;42460,Table1[Leaving Date]&lt;42826),IF(Table1[Date of Last Assessment]="",Table1[Meaningful Use of Time],Table1[Meaningful Use of Time2]),""))</f>
        <v/>
      </c>
      <c r="GM395" s="44" t="str">
        <f>IF(Table1[Leaving Date]="","",IF(AND(Table1[Leaving Date]&gt;42460,Table1[Leaving Date]&lt;42826),IF(Table1[Date of Last Assessment]="",Table1[Managing Tenancy and Accommodation],Table1[Managing Tenancy and Accommodation2]),""))</f>
        <v/>
      </c>
      <c r="GN395" s="44" t="str">
        <f>IF(Table1[Leaving Date]="","",IF(AND(Table1[Leaving Date]&gt;42460,Table1[Leaving Date]&lt;42826),IF(Table1[Date of Last Assessment]="",Table1[Offending],Table1[Offending2]),""))</f>
        <v/>
      </c>
    </row>
    <row r="396" spans="2:196" ht="20.100000000000001" customHeight="1" x14ac:dyDescent="0.2">
      <c r="B396" s="86">
        <f>+'Service Data'!$C$5:$C$5</f>
        <v>0</v>
      </c>
      <c r="C396" s="86"/>
      <c r="D396" s="86"/>
      <c r="E396" s="86"/>
      <c r="F396" s="86"/>
      <c r="G396" s="86"/>
      <c r="H396" s="6"/>
      <c r="I396" s="99" t="str">
        <f ca="1">IF(Table1[[#This Row],[Date of Birth]]="","",SUM(TODAY()-Table1[[#This Row],[Date of Birth]])/365)</f>
        <v/>
      </c>
      <c r="L396" s="86"/>
      <c r="M396" s="77"/>
      <c r="N396" s="86"/>
      <c r="O396" s="86"/>
      <c r="P396" s="91"/>
      <c r="Q396" s="86"/>
      <c r="R396" s="77"/>
      <c r="S396" s="77"/>
      <c r="T396" s="68"/>
      <c r="U396" s="68"/>
      <c r="V396" s="67"/>
      <c r="W396" s="67"/>
      <c r="X396" s="67"/>
      <c r="Y396" s="67"/>
      <c r="Z396" s="67"/>
      <c r="AA396" s="67"/>
      <c r="AB396" s="67"/>
      <c r="AC396" s="67"/>
      <c r="AD396" s="67"/>
      <c r="AE396" s="67"/>
      <c r="AF396" s="67"/>
      <c r="AG396" s="67"/>
      <c r="AH396" s="67"/>
      <c r="AI396" s="67"/>
      <c r="AJ396" s="67"/>
      <c r="AK396" s="67"/>
      <c r="AL396" s="67"/>
      <c r="AM396" s="67"/>
      <c r="AN396" s="77"/>
      <c r="AO396" s="76"/>
      <c r="AP396" s="77"/>
      <c r="AQ396" s="76"/>
      <c r="AR396" s="76"/>
      <c r="AS396" s="76"/>
      <c r="AT396" s="76"/>
      <c r="AU396" s="76"/>
      <c r="AV396" s="77"/>
      <c r="AW396" s="76"/>
      <c r="AX396" s="77"/>
      <c r="AY396" s="76"/>
      <c r="AZ396" s="76"/>
      <c r="BA396" s="76"/>
      <c r="BB396" s="76"/>
      <c r="BC396" s="76"/>
      <c r="BD396" s="77"/>
      <c r="BE396" s="76"/>
      <c r="BF396" s="77"/>
      <c r="BG396" s="76"/>
      <c r="BH396" s="76"/>
      <c r="BI396" s="76"/>
      <c r="BJ396" s="76"/>
      <c r="BK396" s="76"/>
      <c r="BL396" s="77"/>
      <c r="BM396" s="76"/>
      <c r="BN396" s="77"/>
      <c r="BO396" s="76"/>
      <c r="BP396" s="76"/>
      <c r="BQ396" s="76"/>
      <c r="BR396" s="76"/>
      <c r="BS396" s="76"/>
      <c r="BT396" s="77"/>
      <c r="BU396" s="76"/>
      <c r="BV396" s="77"/>
      <c r="BW396" s="76"/>
      <c r="BX396" s="76"/>
      <c r="BY396" s="76"/>
      <c r="BZ396" s="76"/>
      <c r="CA396" s="76"/>
      <c r="CB396" s="77"/>
      <c r="CC396" s="76"/>
      <c r="CD396" s="77"/>
      <c r="CE396" s="76"/>
      <c r="CF396" s="76"/>
      <c r="CG396" s="76"/>
      <c r="CH396" s="76"/>
      <c r="CI396" s="76"/>
      <c r="CJ396" s="77"/>
      <c r="CK396" s="76"/>
      <c r="CL396" s="77"/>
      <c r="CM396" s="76"/>
      <c r="CN396" s="76"/>
      <c r="CO396" s="76"/>
      <c r="CP396" s="76"/>
      <c r="CQ396" s="76"/>
      <c r="CR396" s="78" t="str">
        <f t="shared" si="111"/>
        <v/>
      </c>
      <c r="CS396" s="79" t="str">
        <f t="shared" si="112"/>
        <v/>
      </c>
      <c r="CT396" s="79" t="str">
        <f t="shared" si="113"/>
        <v/>
      </c>
      <c r="CU396" s="79" t="str">
        <f t="shared" si="114"/>
        <v/>
      </c>
      <c r="CV396" s="79" t="str">
        <f t="shared" si="115"/>
        <v/>
      </c>
      <c r="CW396" s="79" t="str">
        <f t="shared" si="116"/>
        <v/>
      </c>
      <c r="CX396" s="79" t="str">
        <f t="shared" si="117"/>
        <v/>
      </c>
      <c r="CY396" s="79" t="str">
        <f t="shared" si="118"/>
        <v/>
      </c>
      <c r="CZ396" s="79" t="str">
        <f t="shared" si="119"/>
        <v/>
      </c>
      <c r="DA396" s="79" t="str">
        <f t="shared" si="120"/>
        <v/>
      </c>
      <c r="DB396" s="79" t="str">
        <f t="shared" si="121"/>
        <v/>
      </c>
      <c r="DC396" s="79" t="str">
        <f t="shared" si="122"/>
        <v/>
      </c>
      <c r="DD396" s="79" t="str">
        <f t="shared" si="123"/>
        <v/>
      </c>
      <c r="DE396" s="79" t="str">
        <f t="shared" si="124"/>
        <v/>
      </c>
      <c r="DF396" s="79" t="str">
        <f t="shared" si="125"/>
        <v/>
      </c>
      <c r="DG396" s="79" t="str">
        <f t="shared" si="126"/>
        <v/>
      </c>
      <c r="DH396" s="76"/>
      <c r="DI396" s="78"/>
      <c r="DJ396" s="76"/>
      <c r="DK396" s="77"/>
      <c r="DL396" s="77"/>
      <c r="DM396" s="77"/>
      <c r="DN396" s="80"/>
      <c r="DO396" s="80"/>
      <c r="DP396" s="92" t="str">
        <f>IF(Table1[Start Date]="","",IF(Table1[Start Date]&gt;42185,"",IF(AND(Table1[Leaving Date]&gt;1,Table1[Leaving Date]&lt;42095),"",1)))</f>
        <v/>
      </c>
      <c r="DQ396" s="92" t="str">
        <f>IF(Table1[Start Date]="","",IF(Table1[Start Date]&gt;42277,"",IF(AND(Table1[Leaving Date]&gt;1,Table1[Leaving Date]&lt;42186),"",1)))</f>
        <v/>
      </c>
      <c r="DR396" s="92" t="str">
        <f>IF(Table1[Start Date]="","",IF(Table1[Start Date]&gt;42369,"",IF(AND(Table1[Leaving Date]&gt;1,Table1[Leaving Date]&lt;42278),"",1)))</f>
        <v/>
      </c>
      <c r="DS396" s="92" t="str">
        <f>IF(Table1[Start Date]="","",IF(Table1[Start Date]&gt;42460,"",IF(AND(Table1[Leaving Date]&gt;1,Table1[Leaving Date]&lt;42370),"",1)))</f>
        <v/>
      </c>
      <c r="DT396" s="92" t="str">
        <f>IF(Table1[Start Date]="","",IF(Table1[Start Date]&gt;42551,"",IF(AND(Table1[Leaving Date]&gt;1,Table1[Leaving Date]&lt;42461),"",1)))</f>
        <v/>
      </c>
      <c r="DU396" s="92" t="str">
        <f>IF(Table1[Start Date]="","",IF(Table1[Start Date]&gt;42643,"",IF(AND(Table1[Leaving Date]&gt;1,Table1[Leaving Date]&lt;42552),"",1)))</f>
        <v/>
      </c>
      <c r="DV396" s="92" t="str">
        <f>IF(Table1[Start Date]="","",IF(Table1[Start Date]&gt;42735,"",IF(AND(Table1[Leaving Date]&gt;1,Table1[Leaving Date]&lt;42644),"",1)))</f>
        <v/>
      </c>
      <c r="DW396" s="92" t="str">
        <f>IF(Table1[Start Date]="","",IF(Table1[Start Date]&gt;42825,"",IF(AND(Table1[Leaving Date]&gt;1,Table1[Leaving Date]&lt;42736),"",1)))</f>
        <v/>
      </c>
      <c r="DX396"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396" s="44" t="e">
        <f>VLOOKUP(Table1[Referral Source],Lists!$G$2:$H$20,2,FALSE)</f>
        <v>#N/A</v>
      </c>
      <c r="DZ396" s="93" t="e">
        <f>SUM(Table1[Data Referral Quarter]+Table1[Data Referral Source])</f>
        <v>#N/A</v>
      </c>
      <c r="EA396" s="44" t="b">
        <f>IF(Table1[Referral Decision]="Accepted",100,IF(Table1[Referral Decision]="Rejected by Provider",200,IF(Table1[Referral Decision]="Rejected by Applicant",300)))</f>
        <v>0</v>
      </c>
      <c r="EB396" s="44">
        <f>SUM(Table1[Data Referral Quarter]+Table1[Data Referral Decision])</f>
        <v>0</v>
      </c>
      <c r="EC396" s="44" t="b">
        <f>IF(Table1[Start Date]&gt;42735,8000,IF(Table1[Start Date]&gt;42643,7000,IF(Table1[Start Date]&gt;42551,6000,IF(Table1[Start Date]&gt;42460,5000,IF(Table1[Start Date]&gt;42369,4000,IF(Table1[Start Date]&gt;42277,3000,IF(Table1[Start Date]&gt;42185,2000,IF(Table1[Start Date]&gt;42094,1000))))))))</f>
        <v>0</v>
      </c>
      <c r="ED396" s="44" t="str">
        <f>IF(Table1[Start Date]="","",IF(Table1[Current Local Authority]="Swindon",1,"2"))</f>
        <v/>
      </c>
      <c r="EE396" s="44" t="e">
        <f>SUM(Table1[Data Start Date]+Table1[Data Local Authority])</f>
        <v>#VALUE!</v>
      </c>
      <c r="EF396" s="44">
        <f>IF(Table1[Registered with GP]="Yes",1,0)</f>
        <v>0</v>
      </c>
      <c r="EG396" s="44">
        <f>SUM(Table1[Data Start Date]+Table1[Data GP Start])</f>
        <v>0</v>
      </c>
      <c r="EH396" s="44" t="str">
        <f>IF(Table1[EET]="NEET",1,IF(Table1[EET]="Education",2,IF(Table1[EET]="Employment",2,IF(Table1[EET]="Training",2,IF(Table1[EET]="Retired",3,"")))))</f>
        <v/>
      </c>
      <c r="EI396" s="44" t="e">
        <f>Table1[Data Start Date]+Table1[Data EET Start]</f>
        <v>#VALUE!</v>
      </c>
      <c r="EJ396" s="44" t="b">
        <f>IF(Table1[Leaving Date]&gt;42735,8000,IF(Table1[Leaving Date]&gt;42643,7000,IF(Table1[Leaving Date]&gt;42551,6000,IF(Table1[Leaving Date]&gt;42460,5000,IF(Table1[Leaving Date]&gt;42369,4000,IF(Table1[Leaving Date]&gt;42277,3000,IF(Table1[Leaving Date]&gt;42185,2000,IF(Table1[Leaving Date]&gt;42094,1000))))))))</f>
        <v>0</v>
      </c>
      <c r="EK396" s="44" t="e">
        <f>VLOOKUP(Table1[Reason for Leaving],Lists!$T$2:$U$15,2,FALSE)</f>
        <v>#N/A</v>
      </c>
      <c r="EL396" s="44" t="e">
        <f>SUM(Table1[Data Leavers Date]+Table1[Data Move On])</f>
        <v>#N/A</v>
      </c>
      <c r="EM396" s="44" t="b">
        <f>IF(Table1[Registered with GP2]="Yes",1,IF(Table1[Registered with GP2]="No",0,IF(Table1[Registered with GP]="Yes",1,IF(Table1[Registered with GP]="No",0))))</f>
        <v>0</v>
      </c>
      <c r="EN396" s="44">
        <f>SUM(Table1[Data Leavers Date]+Table1[Data GP End])</f>
        <v>0</v>
      </c>
      <c r="EO396" s="44" t="str">
        <f>IF(Table1[EET2]="NEET",1,IF(Table1[EET2]="Employment",2,IF(Table1[EET2]="Education",2,IF(Table1[EET2]="Training",2,IF(Table1[EET2]="Retired",3,IF(Table1[EET]="NEET",1,IF(Table1[EET]="Employment",2,IF(Table1[EET]="Education",2,IF(Table1[EET]="Training",2,IF(Table1[EET]="Retired",3,""))))))))))</f>
        <v/>
      </c>
      <c r="EP396" s="44" t="e">
        <f>+Table1[[#This Row],[Data Leavers Date]]+Table1[[#This Row],[Data EET End]]</f>
        <v>#VALUE!</v>
      </c>
      <c r="EQ396" s="44">
        <f>IF(Table1[Exit Form Received]="Yes",1,0)</f>
        <v>0</v>
      </c>
      <c r="ER396" s="44">
        <f>+Table1[[#This Row],[Data Leavers Date]]+Table1[[#This Row],[Data Exit Forms]]</f>
        <v>0</v>
      </c>
      <c r="ES396" s="44" t="str">
        <f>IF(Table1[Data Leavers Date]=1000,SUM(Table1[Leaving Date]-Table1[Start Date]),"")</f>
        <v/>
      </c>
      <c r="ET396" s="44" t="str">
        <f>IF(Table1[Data Leavers Date]=2000,SUM(Table1[Leaving Date]-Table1[Start Date]),"")</f>
        <v/>
      </c>
      <c r="EU396" s="44" t="str">
        <f>IF(Table1[Data Leavers Date]=3000,SUM(Table1[Leaving Date]-Table1[Start Date]),"")</f>
        <v/>
      </c>
      <c r="EV396" s="44" t="str">
        <f>IF(Table1[Data Leavers Date]=4000,SUM(Table1[Leaving Date]-Table1[Start Date]),"")</f>
        <v/>
      </c>
      <c r="EW396" s="44" t="str">
        <f>IF(Table1[Data Leavers Date]=5000,SUM(Table1[Leaving Date]-Table1[Start Date]),"")</f>
        <v/>
      </c>
      <c r="EX396" s="44" t="str">
        <f>IF(Table1[Data Leavers Date]=6000,SUM(Table1[Leaving Date]-Table1[Start Date]),"")</f>
        <v/>
      </c>
      <c r="EY396" s="44" t="str">
        <f>IF(Table1[Data Leavers Date]=7000,SUM(Table1[Leaving Date]-Table1[Start Date]),"")</f>
        <v/>
      </c>
      <c r="EZ396" s="44" t="str">
        <f>IF(Table1[Data Leavers Date]=8000,SUM(Table1[Leaving Date]-Table1[Start Date]),"")</f>
        <v/>
      </c>
      <c r="FA396" s="44" t="str">
        <f>IF(Table1[Date of Initial Assessment]="","",IF(AND(Table1[Start Date]&gt;42094,Table1[Start Date]&lt;42461),Table1[Motivation and Taking Responsibility],""))</f>
        <v/>
      </c>
      <c r="FB396" s="44" t="str">
        <f>IF(Table1[Date of Initial Assessment]="","",IF(AND(Table1[Start Date]&gt;42094,Table1[Start Date]&lt;42461),Table1[Self-Care and Living Skills],""))</f>
        <v/>
      </c>
      <c r="FC396" s="44" t="str">
        <f>IF(Table1[Date of Initial Assessment]="","",IF(AND(Table1[Start Date]&gt;42094,Table1[Start Date]&lt;42461),Table1[Managing Money and Personal Administration],""))</f>
        <v/>
      </c>
      <c r="FD396" s="44" t="str">
        <f>IF(Table1[Date of Initial Assessment]="","",IF(AND(Table1[Start Date]&gt;42094,Table1[Start Date]&lt;42461),Table1[Social Networks and Relationships],""))</f>
        <v/>
      </c>
      <c r="FE396" s="44" t="str">
        <f>IF(Table1[Date of Initial Assessment]="","",IF(AND(Table1[Start Date]&gt;42094,Table1[Start Date]&lt;42461),Table1[Drug and Alcohol Misuse],""))</f>
        <v/>
      </c>
      <c r="FF396" s="44" t="str">
        <f>IF(Table1[Date of Initial Assessment]="","",IF(AND(Table1[Start Date]&gt;42094,Table1[Start Date]&lt;42461),Table1[Physical Health],""))</f>
        <v/>
      </c>
      <c r="FG396" s="44" t="str">
        <f>IF(Table1[Date of Initial Assessment]="","",IF(AND(Table1[Start Date]&gt;42094,Table1[Start Date]&lt;42461),Table1[Emotional and Mental Health],""))</f>
        <v/>
      </c>
      <c r="FH396" s="44" t="str">
        <f>IF(Table1[Date of Initial Assessment]="","",IF(AND(Table1[Start Date]&gt;42094,Table1[Start Date]&lt;42461),Table1[Meaningful Use of Time],""))</f>
        <v/>
      </c>
      <c r="FI396" s="44" t="str">
        <f>IF(Table1[Date of Initial Assessment]="","",IF(AND(Table1[Start Date]&gt;42094,Table1[Start Date]&lt;42461),Table1[Managing Tenancy and Accommodation],""))</f>
        <v/>
      </c>
      <c r="FJ396" s="44" t="str">
        <f>IF(Table1[Date of Initial Assessment]="","",IF(AND(Table1[Start Date]&gt;42094,Table1[Start Date]&lt;42461),Table1[Offending],""))</f>
        <v/>
      </c>
      <c r="FK396" s="44" t="str">
        <f>IF(Table1[Leaving Date]="","",IF(Table1[Date of Initial Assessment]="","",IF(AND(Table1[Leaving Date]&gt;42094,Table1[Leaving Date]&lt;42461),IF(Table1[Date of Last Assessment]="",Table1[Motivation and Taking Responsibility],Table1[Motivation and Taking Responsibility2]),"")))</f>
        <v/>
      </c>
      <c r="FL396" s="44" t="str">
        <f>IF(Table1[Leaving Date]="","",IF(Table1[Date of Initial Assessment]="","",IF(AND(Table1[Leaving Date]&gt;42094,Table1[Leaving Date]&lt;42461),IF(Table1[Date of Last Assessment]="",Table1[Self-Care and Living Skills],Table1[Self-Care and Living Skills2]),"")))</f>
        <v/>
      </c>
      <c r="FM396" s="44" t="str">
        <f>IF(Table1[Leaving Date]="","",IF(Table1[Date of Initial Assessment]="","",IF(AND(Table1[Leaving Date]&gt;42094,Table1[Leaving Date]&lt;42461),IF(Table1[Date of Last Assessment]="",Table1[Managing Money and Personal Administration],Table1[Managing Money and Personal Administration2]),"")))</f>
        <v/>
      </c>
      <c r="FN396" s="44" t="str">
        <f>IF(Table1[Leaving Date]="","",IF(Table1[Date of Initial Assessment]="","",IF(AND(Table1[Leaving Date]&gt;42094,Table1[Leaving Date]&lt;42461),IF(Table1[Date of Last Assessment]="",Table1[Social Networks and Relationships],Table1[Social Networks and Relationships2]),"")))</f>
        <v/>
      </c>
      <c r="FO396" s="44" t="str">
        <f>IF(Table1[Leaving Date]="","",IF(Table1[Date of Initial Assessment]="","",IF(AND(Table1[Leaving Date]&gt;42094,Table1[Leaving Date]&lt;42461),IF(Table1[Date of Last Assessment]="",Table1[Drug and Alcohol Misuse],Table1[Drug and Alcohol Misuse2]),"")))</f>
        <v/>
      </c>
      <c r="FP396" s="44" t="str">
        <f>IF(Table1[Leaving Date]="","",IF(Table1[Date of Initial Assessment]="","",IF(AND(Table1[Leaving Date]&gt;42094,Table1[Leaving Date]&lt;42461),IF(Table1[Date of Last Assessment]="",Table1[Physical Health],Table1[Physical Health2]),"")))</f>
        <v/>
      </c>
      <c r="FQ396" s="44" t="str">
        <f>IF(Table1[Leaving Date]="","",IF(Table1[Date of Initial Assessment]="","",IF(AND(Table1[Leaving Date]&gt;42094,Table1[Leaving Date]&lt;42461),IF(Table1[Date of Last Assessment]="",Table1[Emotional and Mental Health],Table1[Emotional and Mental Health2]),"")))</f>
        <v/>
      </c>
      <c r="FR396" s="44" t="str">
        <f>IF(Table1[Leaving Date]="","",IF(Table1[Date of Initial Assessment]="","",IF(AND(Table1[Leaving Date]&gt;42094,Table1[Leaving Date]&lt;42461),IF(Table1[Date of Last Assessment]="",Table1[Meaningful Use of Time],Table1[Meaningful Use of Time2]),"")))</f>
        <v/>
      </c>
      <c r="FS396" s="44" t="str">
        <f>IF(Table1[Leaving Date]="","",IF(Table1[Date of Initial Assessment]="","",IF(AND(Table1[Leaving Date]&gt;42094,Table1[Leaving Date]&lt;42461),IF(Table1[Date of Last Assessment]="",Table1[Managing Tenancy and Accommodation],Table1[Managing Tenancy and Accommodation2]),"")))</f>
        <v/>
      </c>
      <c r="FT396" s="44" t="str">
        <f>IF(Table1[Leaving Date]="","",IF(Table1[Date of Initial Assessment]="","",IF(AND(Table1[Leaving Date]&gt;42094,Table1[Leaving Date]&lt;42461),IF(Table1[Date of Last Assessment]="",Table1[Offending],Table1[Offending2]),"")))</f>
        <v/>
      </c>
      <c r="FU396" s="44" t="str">
        <f>IF(Table1[Date of Initial Assessment]="","",IF(AND(Table1[Start Date]&gt;42460,Table1[Start Date]&lt;42826),Table1[Motivation and Taking Responsibility],""))</f>
        <v/>
      </c>
      <c r="FV396" s="44" t="str">
        <f>IF(Table1[Date of Initial Assessment]="","",IF(AND(Table1[Start Date]&gt;42460,Table1[Start Date]&lt;42826),Table1[Self-Care and Living Skills],""))</f>
        <v/>
      </c>
      <c r="FW396" s="44" t="str">
        <f>IF(Table1[Date of Initial Assessment]="","",IF(AND(Table1[Start Date]&gt;42460,Table1[Start Date]&lt;42826),Table1[Managing Money and Personal Administration],""))</f>
        <v/>
      </c>
      <c r="FX396" s="44" t="str">
        <f>IF(Table1[Date of Initial Assessment]="","",IF(AND(Table1[Start Date]&gt;42460,Table1[Start Date]&lt;42826),Table1[Social Networks and Relationships],""))</f>
        <v/>
      </c>
      <c r="FY396" s="44" t="str">
        <f>IF(Table1[Date of Initial Assessment]="","",IF(AND(Table1[Start Date]&gt;42460,Table1[Start Date]&lt;42826),Table1[Drug and Alcohol Misuse],""))</f>
        <v/>
      </c>
      <c r="FZ396" s="44" t="str">
        <f>IF(Table1[Date of Initial Assessment]="","",IF(AND(Table1[Start Date]&gt;42460,Table1[Start Date]&lt;42826),Table1[Physical Health],""))</f>
        <v/>
      </c>
      <c r="GA396" s="44" t="str">
        <f>IF(Table1[Date of Initial Assessment]="","",IF(AND(Table1[Start Date]&gt;42460,Table1[Start Date]&lt;42826),Table1[Emotional and Mental Health],""))</f>
        <v/>
      </c>
      <c r="GB396" s="44" t="str">
        <f>IF(Table1[Date of Initial Assessment]="","",IF(AND(Table1[Start Date]&gt;42460,Table1[Start Date]&lt;42826),Table1[Meaningful Use of Time],""))</f>
        <v/>
      </c>
      <c r="GC396" s="44" t="str">
        <f>IF(Table1[Date of Initial Assessment]="","",IF(AND(Table1[Start Date]&gt;42460,Table1[Start Date]&lt;42826),Table1[Managing Tenancy and Accommodation],""))</f>
        <v/>
      </c>
      <c r="GD396" s="44" t="str">
        <f>IF(Table1[Date of Initial Assessment]="","",IF(AND(Table1[Start Date]&gt;42460,Table1[Start Date]&lt;42826),Table1[Offending],""))</f>
        <v/>
      </c>
      <c r="GE396" s="44" t="str">
        <f>IF(Table1[Leaving Date]="","",IF(AND(Table1[Leaving Date]&gt;42460,Table1[Leaving Date]&lt;42826),IF(Table1[Date of Last Assessment]="",Table1[Motivation and Taking Responsibility],Table1[Motivation and Taking Responsibility2]),""))</f>
        <v/>
      </c>
      <c r="GF396" s="44" t="str">
        <f>IF(Table1[Leaving Date]="","",IF(AND(Table1[Leaving Date]&gt;42460,Table1[Leaving Date]&lt;42826),IF(Table1[Date of Last Assessment]="",Table1[Self-Care and Living Skills],Table1[Self-Care and Living Skills2]),""))</f>
        <v/>
      </c>
      <c r="GG396" s="44" t="str">
        <f>IF(Table1[Leaving Date]="","",IF(AND(Table1[Leaving Date]&gt;42460,Table1[Leaving Date]&lt;42826),IF(Table1[Date of Last Assessment]="",Table1[Managing Money and Personal Administration],Table1[Managing Money and Personal Administration2]),""))</f>
        <v/>
      </c>
      <c r="GH396" s="44" t="str">
        <f>IF(Table1[Leaving Date]="","",IF(AND(Table1[Leaving Date]&gt;42460,Table1[Leaving Date]&lt;42826),IF(Table1[Date of Last Assessment]="",Table1[Social Networks and Relationships],Table1[Social Networks and Relationships2]),""))</f>
        <v/>
      </c>
      <c r="GI396" s="44" t="str">
        <f>IF(Table1[Leaving Date]="","",IF(AND(Table1[Leaving Date]&gt;42460,Table1[Leaving Date]&lt;42826),IF(Table1[Date of Last Assessment]="",Table1[Drug and Alcohol Misuse],Table1[Drug and Alcohol Misuse2]),""))</f>
        <v/>
      </c>
      <c r="GJ396" s="44" t="str">
        <f>IF(Table1[Leaving Date]="","",IF(AND(Table1[Leaving Date]&gt;42460,Table1[Leaving Date]&lt;42826),IF(Table1[Date of Last Assessment]="",Table1[Physical Health],Table1[Physical Health2]),""))</f>
        <v/>
      </c>
      <c r="GK396" s="44" t="str">
        <f>IF(Table1[Leaving Date]="","",IF(AND(Table1[Leaving Date]&gt;42460,Table1[Leaving Date]&lt;42826),IF(Table1[Date of Last Assessment]="",Table1[Emotional and Mental Health],Table1[Emotional and Mental Health2]),""))</f>
        <v/>
      </c>
      <c r="GL396" s="44" t="str">
        <f>IF(Table1[Leaving Date]="","",IF(AND(Table1[Leaving Date]&gt;42460,Table1[Leaving Date]&lt;42826),IF(Table1[Date of Last Assessment]="",Table1[Meaningful Use of Time],Table1[Meaningful Use of Time2]),""))</f>
        <v/>
      </c>
      <c r="GM396" s="44" t="str">
        <f>IF(Table1[Leaving Date]="","",IF(AND(Table1[Leaving Date]&gt;42460,Table1[Leaving Date]&lt;42826),IF(Table1[Date of Last Assessment]="",Table1[Managing Tenancy and Accommodation],Table1[Managing Tenancy and Accommodation2]),""))</f>
        <v/>
      </c>
      <c r="GN396" s="44" t="str">
        <f>IF(Table1[Leaving Date]="","",IF(AND(Table1[Leaving Date]&gt;42460,Table1[Leaving Date]&lt;42826),IF(Table1[Date of Last Assessment]="",Table1[Offending],Table1[Offending2]),""))</f>
        <v/>
      </c>
    </row>
    <row r="397" spans="2:196" ht="20.100000000000001" customHeight="1" x14ac:dyDescent="0.2">
      <c r="B397" s="86">
        <f>+'Service Data'!$C$5:$C$5</f>
        <v>0</v>
      </c>
      <c r="C397" s="86"/>
      <c r="D397" s="86"/>
      <c r="E397" s="86"/>
      <c r="F397" s="86"/>
      <c r="G397" s="86"/>
      <c r="H397" s="6"/>
      <c r="I397" s="99" t="str">
        <f ca="1">IF(Table1[[#This Row],[Date of Birth]]="","",SUM(TODAY()-Table1[[#This Row],[Date of Birth]])/365)</f>
        <v/>
      </c>
      <c r="L397" s="86"/>
      <c r="M397" s="77"/>
      <c r="N397" s="86"/>
      <c r="O397" s="86"/>
      <c r="P397" s="91"/>
      <c r="Q397" s="86"/>
      <c r="R397" s="77"/>
      <c r="S397" s="77"/>
      <c r="T397" s="68"/>
      <c r="U397" s="68"/>
      <c r="V397" s="67"/>
      <c r="W397" s="67"/>
      <c r="X397" s="67"/>
      <c r="Y397" s="67"/>
      <c r="Z397" s="67"/>
      <c r="AA397" s="67"/>
      <c r="AB397" s="67"/>
      <c r="AC397" s="67"/>
      <c r="AD397" s="67"/>
      <c r="AE397" s="67"/>
      <c r="AF397" s="67"/>
      <c r="AG397" s="67"/>
      <c r="AH397" s="67"/>
      <c r="AI397" s="67"/>
      <c r="AJ397" s="67"/>
      <c r="AK397" s="67"/>
      <c r="AL397" s="67"/>
      <c r="AM397" s="67"/>
      <c r="AN397" s="77"/>
      <c r="AO397" s="76"/>
      <c r="AP397" s="77"/>
      <c r="AQ397" s="76"/>
      <c r="AR397" s="76"/>
      <c r="AS397" s="76"/>
      <c r="AT397" s="76"/>
      <c r="AU397" s="76"/>
      <c r="AV397" s="77"/>
      <c r="AW397" s="76"/>
      <c r="AX397" s="77"/>
      <c r="AY397" s="76"/>
      <c r="AZ397" s="76"/>
      <c r="BA397" s="76"/>
      <c r="BB397" s="76"/>
      <c r="BC397" s="76"/>
      <c r="BD397" s="77"/>
      <c r="BE397" s="76"/>
      <c r="BF397" s="77"/>
      <c r="BG397" s="76"/>
      <c r="BH397" s="76"/>
      <c r="BI397" s="76"/>
      <c r="BJ397" s="76"/>
      <c r="BK397" s="76"/>
      <c r="BL397" s="77"/>
      <c r="BM397" s="76"/>
      <c r="BN397" s="77"/>
      <c r="BO397" s="76"/>
      <c r="BP397" s="76"/>
      <c r="BQ397" s="76"/>
      <c r="BR397" s="76"/>
      <c r="BS397" s="76"/>
      <c r="BT397" s="77"/>
      <c r="BU397" s="76"/>
      <c r="BV397" s="77"/>
      <c r="BW397" s="76"/>
      <c r="BX397" s="76"/>
      <c r="BY397" s="76"/>
      <c r="BZ397" s="76"/>
      <c r="CA397" s="76"/>
      <c r="CB397" s="77"/>
      <c r="CC397" s="76"/>
      <c r="CD397" s="77"/>
      <c r="CE397" s="76"/>
      <c r="CF397" s="76"/>
      <c r="CG397" s="76"/>
      <c r="CH397" s="76"/>
      <c r="CI397" s="76"/>
      <c r="CJ397" s="77"/>
      <c r="CK397" s="76"/>
      <c r="CL397" s="77"/>
      <c r="CM397" s="76"/>
      <c r="CN397" s="76"/>
      <c r="CO397" s="76"/>
      <c r="CP397" s="76"/>
      <c r="CQ397" s="76"/>
      <c r="CR397" s="78" t="str">
        <f t="shared" si="111"/>
        <v/>
      </c>
      <c r="CS397" s="79" t="str">
        <f t="shared" si="112"/>
        <v/>
      </c>
      <c r="CT397" s="79" t="str">
        <f t="shared" si="113"/>
        <v/>
      </c>
      <c r="CU397" s="79" t="str">
        <f t="shared" si="114"/>
        <v/>
      </c>
      <c r="CV397" s="79" t="str">
        <f t="shared" si="115"/>
        <v/>
      </c>
      <c r="CW397" s="79" t="str">
        <f t="shared" si="116"/>
        <v/>
      </c>
      <c r="CX397" s="79" t="str">
        <f t="shared" si="117"/>
        <v/>
      </c>
      <c r="CY397" s="79" t="str">
        <f t="shared" si="118"/>
        <v/>
      </c>
      <c r="CZ397" s="79" t="str">
        <f t="shared" si="119"/>
        <v/>
      </c>
      <c r="DA397" s="79" t="str">
        <f t="shared" si="120"/>
        <v/>
      </c>
      <c r="DB397" s="79" t="str">
        <f t="shared" si="121"/>
        <v/>
      </c>
      <c r="DC397" s="79" t="str">
        <f t="shared" si="122"/>
        <v/>
      </c>
      <c r="DD397" s="79" t="str">
        <f t="shared" si="123"/>
        <v/>
      </c>
      <c r="DE397" s="79" t="str">
        <f t="shared" si="124"/>
        <v/>
      </c>
      <c r="DF397" s="79" t="str">
        <f t="shared" si="125"/>
        <v/>
      </c>
      <c r="DG397" s="79" t="str">
        <f t="shared" si="126"/>
        <v/>
      </c>
      <c r="DH397" s="76"/>
      <c r="DI397" s="78"/>
      <c r="DJ397" s="76"/>
      <c r="DK397" s="77"/>
      <c r="DL397" s="77"/>
      <c r="DM397" s="77"/>
      <c r="DN397" s="80"/>
      <c r="DO397" s="80"/>
      <c r="DP397" s="92" t="str">
        <f>IF(Table1[Start Date]="","",IF(Table1[Start Date]&gt;42185,"",IF(AND(Table1[Leaving Date]&gt;1,Table1[Leaving Date]&lt;42095),"",1)))</f>
        <v/>
      </c>
      <c r="DQ397" s="92" t="str">
        <f>IF(Table1[Start Date]="","",IF(Table1[Start Date]&gt;42277,"",IF(AND(Table1[Leaving Date]&gt;1,Table1[Leaving Date]&lt;42186),"",1)))</f>
        <v/>
      </c>
      <c r="DR397" s="92" t="str">
        <f>IF(Table1[Start Date]="","",IF(Table1[Start Date]&gt;42369,"",IF(AND(Table1[Leaving Date]&gt;1,Table1[Leaving Date]&lt;42278),"",1)))</f>
        <v/>
      </c>
      <c r="DS397" s="92" t="str">
        <f>IF(Table1[Start Date]="","",IF(Table1[Start Date]&gt;42460,"",IF(AND(Table1[Leaving Date]&gt;1,Table1[Leaving Date]&lt;42370),"",1)))</f>
        <v/>
      </c>
      <c r="DT397" s="92" t="str">
        <f>IF(Table1[Start Date]="","",IF(Table1[Start Date]&gt;42551,"",IF(AND(Table1[Leaving Date]&gt;1,Table1[Leaving Date]&lt;42461),"",1)))</f>
        <v/>
      </c>
      <c r="DU397" s="92" t="str">
        <f>IF(Table1[Start Date]="","",IF(Table1[Start Date]&gt;42643,"",IF(AND(Table1[Leaving Date]&gt;1,Table1[Leaving Date]&lt;42552),"",1)))</f>
        <v/>
      </c>
      <c r="DV397" s="92" t="str">
        <f>IF(Table1[Start Date]="","",IF(Table1[Start Date]&gt;42735,"",IF(AND(Table1[Leaving Date]&gt;1,Table1[Leaving Date]&lt;42644),"",1)))</f>
        <v/>
      </c>
      <c r="DW397" s="92" t="str">
        <f>IF(Table1[Start Date]="","",IF(Table1[Start Date]&gt;42825,"",IF(AND(Table1[Leaving Date]&gt;1,Table1[Leaving Date]&lt;42736),"",1)))</f>
        <v/>
      </c>
      <c r="DX397"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397" s="44" t="e">
        <f>VLOOKUP(Table1[Referral Source],Lists!$G$2:$H$20,2,FALSE)</f>
        <v>#N/A</v>
      </c>
      <c r="DZ397" s="93" t="e">
        <f>SUM(Table1[Data Referral Quarter]+Table1[Data Referral Source])</f>
        <v>#N/A</v>
      </c>
      <c r="EA397" s="44" t="b">
        <f>IF(Table1[Referral Decision]="Accepted",100,IF(Table1[Referral Decision]="Rejected by Provider",200,IF(Table1[Referral Decision]="Rejected by Applicant",300)))</f>
        <v>0</v>
      </c>
      <c r="EB397" s="44">
        <f>SUM(Table1[Data Referral Quarter]+Table1[Data Referral Decision])</f>
        <v>0</v>
      </c>
      <c r="EC397" s="44" t="b">
        <f>IF(Table1[Start Date]&gt;42735,8000,IF(Table1[Start Date]&gt;42643,7000,IF(Table1[Start Date]&gt;42551,6000,IF(Table1[Start Date]&gt;42460,5000,IF(Table1[Start Date]&gt;42369,4000,IF(Table1[Start Date]&gt;42277,3000,IF(Table1[Start Date]&gt;42185,2000,IF(Table1[Start Date]&gt;42094,1000))))))))</f>
        <v>0</v>
      </c>
      <c r="ED397" s="44" t="str">
        <f>IF(Table1[Start Date]="","",IF(Table1[Current Local Authority]="Swindon",1,"2"))</f>
        <v/>
      </c>
      <c r="EE397" s="44" t="e">
        <f>SUM(Table1[Data Start Date]+Table1[Data Local Authority])</f>
        <v>#VALUE!</v>
      </c>
      <c r="EF397" s="44">
        <f>IF(Table1[Registered with GP]="Yes",1,0)</f>
        <v>0</v>
      </c>
      <c r="EG397" s="44">
        <f>SUM(Table1[Data Start Date]+Table1[Data GP Start])</f>
        <v>0</v>
      </c>
      <c r="EH397" s="44" t="str">
        <f>IF(Table1[EET]="NEET",1,IF(Table1[EET]="Education",2,IF(Table1[EET]="Employment",2,IF(Table1[EET]="Training",2,IF(Table1[EET]="Retired",3,"")))))</f>
        <v/>
      </c>
      <c r="EI397" s="44" t="e">
        <f>Table1[Data Start Date]+Table1[Data EET Start]</f>
        <v>#VALUE!</v>
      </c>
      <c r="EJ397" s="44" t="b">
        <f>IF(Table1[Leaving Date]&gt;42735,8000,IF(Table1[Leaving Date]&gt;42643,7000,IF(Table1[Leaving Date]&gt;42551,6000,IF(Table1[Leaving Date]&gt;42460,5000,IF(Table1[Leaving Date]&gt;42369,4000,IF(Table1[Leaving Date]&gt;42277,3000,IF(Table1[Leaving Date]&gt;42185,2000,IF(Table1[Leaving Date]&gt;42094,1000))))))))</f>
        <v>0</v>
      </c>
      <c r="EK397" s="44" t="e">
        <f>VLOOKUP(Table1[Reason for Leaving],Lists!$T$2:$U$15,2,FALSE)</f>
        <v>#N/A</v>
      </c>
      <c r="EL397" s="44" t="e">
        <f>SUM(Table1[Data Leavers Date]+Table1[Data Move On])</f>
        <v>#N/A</v>
      </c>
      <c r="EM397" s="44" t="b">
        <f>IF(Table1[Registered with GP2]="Yes",1,IF(Table1[Registered with GP2]="No",0,IF(Table1[Registered with GP]="Yes",1,IF(Table1[Registered with GP]="No",0))))</f>
        <v>0</v>
      </c>
      <c r="EN397" s="44">
        <f>SUM(Table1[Data Leavers Date]+Table1[Data GP End])</f>
        <v>0</v>
      </c>
      <c r="EO397" s="44" t="str">
        <f>IF(Table1[EET2]="NEET",1,IF(Table1[EET2]="Employment",2,IF(Table1[EET2]="Education",2,IF(Table1[EET2]="Training",2,IF(Table1[EET2]="Retired",3,IF(Table1[EET]="NEET",1,IF(Table1[EET]="Employment",2,IF(Table1[EET]="Education",2,IF(Table1[EET]="Training",2,IF(Table1[EET]="Retired",3,""))))))))))</f>
        <v/>
      </c>
      <c r="EP397" s="44" t="e">
        <f>+Table1[[#This Row],[Data Leavers Date]]+Table1[[#This Row],[Data EET End]]</f>
        <v>#VALUE!</v>
      </c>
      <c r="EQ397" s="44">
        <f>IF(Table1[Exit Form Received]="Yes",1,0)</f>
        <v>0</v>
      </c>
      <c r="ER397" s="44">
        <f>+Table1[[#This Row],[Data Leavers Date]]+Table1[[#This Row],[Data Exit Forms]]</f>
        <v>0</v>
      </c>
      <c r="ES397" s="44" t="str">
        <f>IF(Table1[Data Leavers Date]=1000,SUM(Table1[Leaving Date]-Table1[Start Date]),"")</f>
        <v/>
      </c>
      <c r="ET397" s="44" t="str">
        <f>IF(Table1[Data Leavers Date]=2000,SUM(Table1[Leaving Date]-Table1[Start Date]),"")</f>
        <v/>
      </c>
      <c r="EU397" s="44" t="str">
        <f>IF(Table1[Data Leavers Date]=3000,SUM(Table1[Leaving Date]-Table1[Start Date]),"")</f>
        <v/>
      </c>
      <c r="EV397" s="44" t="str">
        <f>IF(Table1[Data Leavers Date]=4000,SUM(Table1[Leaving Date]-Table1[Start Date]),"")</f>
        <v/>
      </c>
      <c r="EW397" s="44" t="str">
        <f>IF(Table1[Data Leavers Date]=5000,SUM(Table1[Leaving Date]-Table1[Start Date]),"")</f>
        <v/>
      </c>
      <c r="EX397" s="44" t="str">
        <f>IF(Table1[Data Leavers Date]=6000,SUM(Table1[Leaving Date]-Table1[Start Date]),"")</f>
        <v/>
      </c>
      <c r="EY397" s="44" t="str">
        <f>IF(Table1[Data Leavers Date]=7000,SUM(Table1[Leaving Date]-Table1[Start Date]),"")</f>
        <v/>
      </c>
      <c r="EZ397" s="44" t="str">
        <f>IF(Table1[Data Leavers Date]=8000,SUM(Table1[Leaving Date]-Table1[Start Date]),"")</f>
        <v/>
      </c>
      <c r="FA397" s="44" t="str">
        <f>IF(Table1[Date of Initial Assessment]="","",IF(AND(Table1[Start Date]&gt;42094,Table1[Start Date]&lt;42461),Table1[Motivation and Taking Responsibility],""))</f>
        <v/>
      </c>
      <c r="FB397" s="44" t="str">
        <f>IF(Table1[Date of Initial Assessment]="","",IF(AND(Table1[Start Date]&gt;42094,Table1[Start Date]&lt;42461),Table1[Self-Care and Living Skills],""))</f>
        <v/>
      </c>
      <c r="FC397" s="44" t="str">
        <f>IF(Table1[Date of Initial Assessment]="","",IF(AND(Table1[Start Date]&gt;42094,Table1[Start Date]&lt;42461),Table1[Managing Money and Personal Administration],""))</f>
        <v/>
      </c>
      <c r="FD397" s="44" t="str">
        <f>IF(Table1[Date of Initial Assessment]="","",IF(AND(Table1[Start Date]&gt;42094,Table1[Start Date]&lt;42461),Table1[Social Networks and Relationships],""))</f>
        <v/>
      </c>
      <c r="FE397" s="44" t="str">
        <f>IF(Table1[Date of Initial Assessment]="","",IF(AND(Table1[Start Date]&gt;42094,Table1[Start Date]&lt;42461),Table1[Drug and Alcohol Misuse],""))</f>
        <v/>
      </c>
      <c r="FF397" s="44" t="str">
        <f>IF(Table1[Date of Initial Assessment]="","",IF(AND(Table1[Start Date]&gt;42094,Table1[Start Date]&lt;42461),Table1[Physical Health],""))</f>
        <v/>
      </c>
      <c r="FG397" s="44" t="str">
        <f>IF(Table1[Date of Initial Assessment]="","",IF(AND(Table1[Start Date]&gt;42094,Table1[Start Date]&lt;42461),Table1[Emotional and Mental Health],""))</f>
        <v/>
      </c>
      <c r="FH397" s="44" t="str">
        <f>IF(Table1[Date of Initial Assessment]="","",IF(AND(Table1[Start Date]&gt;42094,Table1[Start Date]&lt;42461),Table1[Meaningful Use of Time],""))</f>
        <v/>
      </c>
      <c r="FI397" s="44" t="str">
        <f>IF(Table1[Date of Initial Assessment]="","",IF(AND(Table1[Start Date]&gt;42094,Table1[Start Date]&lt;42461),Table1[Managing Tenancy and Accommodation],""))</f>
        <v/>
      </c>
      <c r="FJ397" s="44" t="str">
        <f>IF(Table1[Date of Initial Assessment]="","",IF(AND(Table1[Start Date]&gt;42094,Table1[Start Date]&lt;42461),Table1[Offending],""))</f>
        <v/>
      </c>
      <c r="FK397" s="44" t="str">
        <f>IF(Table1[Leaving Date]="","",IF(Table1[Date of Initial Assessment]="","",IF(AND(Table1[Leaving Date]&gt;42094,Table1[Leaving Date]&lt;42461),IF(Table1[Date of Last Assessment]="",Table1[Motivation and Taking Responsibility],Table1[Motivation and Taking Responsibility2]),"")))</f>
        <v/>
      </c>
      <c r="FL397" s="44" t="str">
        <f>IF(Table1[Leaving Date]="","",IF(Table1[Date of Initial Assessment]="","",IF(AND(Table1[Leaving Date]&gt;42094,Table1[Leaving Date]&lt;42461),IF(Table1[Date of Last Assessment]="",Table1[Self-Care and Living Skills],Table1[Self-Care and Living Skills2]),"")))</f>
        <v/>
      </c>
      <c r="FM397" s="44" t="str">
        <f>IF(Table1[Leaving Date]="","",IF(Table1[Date of Initial Assessment]="","",IF(AND(Table1[Leaving Date]&gt;42094,Table1[Leaving Date]&lt;42461),IF(Table1[Date of Last Assessment]="",Table1[Managing Money and Personal Administration],Table1[Managing Money and Personal Administration2]),"")))</f>
        <v/>
      </c>
      <c r="FN397" s="44" t="str">
        <f>IF(Table1[Leaving Date]="","",IF(Table1[Date of Initial Assessment]="","",IF(AND(Table1[Leaving Date]&gt;42094,Table1[Leaving Date]&lt;42461),IF(Table1[Date of Last Assessment]="",Table1[Social Networks and Relationships],Table1[Social Networks and Relationships2]),"")))</f>
        <v/>
      </c>
      <c r="FO397" s="44" t="str">
        <f>IF(Table1[Leaving Date]="","",IF(Table1[Date of Initial Assessment]="","",IF(AND(Table1[Leaving Date]&gt;42094,Table1[Leaving Date]&lt;42461),IF(Table1[Date of Last Assessment]="",Table1[Drug and Alcohol Misuse],Table1[Drug and Alcohol Misuse2]),"")))</f>
        <v/>
      </c>
      <c r="FP397" s="44" t="str">
        <f>IF(Table1[Leaving Date]="","",IF(Table1[Date of Initial Assessment]="","",IF(AND(Table1[Leaving Date]&gt;42094,Table1[Leaving Date]&lt;42461),IF(Table1[Date of Last Assessment]="",Table1[Physical Health],Table1[Physical Health2]),"")))</f>
        <v/>
      </c>
      <c r="FQ397" s="44" t="str">
        <f>IF(Table1[Leaving Date]="","",IF(Table1[Date of Initial Assessment]="","",IF(AND(Table1[Leaving Date]&gt;42094,Table1[Leaving Date]&lt;42461),IF(Table1[Date of Last Assessment]="",Table1[Emotional and Mental Health],Table1[Emotional and Mental Health2]),"")))</f>
        <v/>
      </c>
      <c r="FR397" s="44" t="str">
        <f>IF(Table1[Leaving Date]="","",IF(Table1[Date of Initial Assessment]="","",IF(AND(Table1[Leaving Date]&gt;42094,Table1[Leaving Date]&lt;42461),IF(Table1[Date of Last Assessment]="",Table1[Meaningful Use of Time],Table1[Meaningful Use of Time2]),"")))</f>
        <v/>
      </c>
      <c r="FS397" s="44" t="str">
        <f>IF(Table1[Leaving Date]="","",IF(Table1[Date of Initial Assessment]="","",IF(AND(Table1[Leaving Date]&gt;42094,Table1[Leaving Date]&lt;42461),IF(Table1[Date of Last Assessment]="",Table1[Managing Tenancy and Accommodation],Table1[Managing Tenancy and Accommodation2]),"")))</f>
        <v/>
      </c>
      <c r="FT397" s="44" t="str">
        <f>IF(Table1[Leaving Date]="","",IF(Table1[Date of Initial Assessment]="","",IF(AND(Table1[Leaving Date]&gt;42094,Table1[Leaving Date]&lt;42461),IF(Table1[Date of Last Assessment]="",Table1[Offending],Table1[Offending2]),"")))</f>
        <v/>
      </c>
      <c r="FU397" s="44" t="str">
        <f>IF(Table1[Date of Initial Assessment]="","",IF(AND(Table1[Start Date]&gt;42460,Table1[Start Date]&lt;42826),Table1[Motivation and Taking Responsibility],""))</f>
        <v/>
      </c>
      <c r="FV397" s="44" t="str">
        <f>IF(Table1[Date of Initial Assessment]="","",IF(AND(Table1[Start Date]&gt;42460,Table1[Start Date]&lt;42826),Table1[Self-Care and Living Skills],""))</f>
        <v/>
      </c>
      <c r="FW397" s="44" t="str">
        <f>IF(Table1[Date of Initial Assessment]="","",IF(AND(Table1[Start Date]&gt;42460,Table1[Start Date]&lt;42826),Table1[Managing Money and Personal Administration],""))</f>
        <v/>
      </c>
      <c r="FX397" s="44" t="str">
        <f>IF(Table1[Date of Initial Assessment]="","",IF(AND(Table1[Start Date]&gt;42460,Table1[Start Date]&lt;42826),Table1[Social Networks and Relationships],""))</f>
        <v/>
      </c>
      <c r="FY397" s="44" t="str">
        <f>IF(Table1[Date of Initial Assessment]="","",IF(AND(Table1[Start Date]&gt;42460,Table1[Start Date]&lt;42826),Table1[Drug and Alcohol Misuse],""))</f>
        <v/>
      </c>
      <c r="FZ397" s="44" t="str">
        <f>IF(Table1[Date of Initial Assessment]="","",IF(AND(Table1[Start Date]&gt;42460,Table1[Start Date]&lt;42826),Table1[Physical Health],""))</f>
        <v/>
      </c>
      <c r="GA397" s="44" t="str">
        <f>IF(Table1[Date of Initial Assessment]="","",IF(AND(Table1[Start Date]&gt;42460,Table1[Start Date]&lt;42826),Table1[Emotional and Mental Health],""))</f>
        <v/>
      </c>
      <c r="GB397" s="44" t="str">
        <f>IF(Table1[Date of Initial Assessment]="","",IF(AND(Table1[Start Date]&gt;42460,Table1[Start Date]&lt;42826),Table1[Meaningful Use of Time],""))</f>
        <v/>
      </c>
      <c r="GC397" s="44" t="str">
        <f>IF(Table1[Date of Initial Assessment]="","",IF(AND(Table1[Start Date]&gt;42460,Table1[Start Date]&lt;42826),Table1[Managing Tenancy and Accommodation],""))</f>
        <v/>
      </c>
      <c r="GD397" s="44" t="str">
        <f>IF(Table1[Date of Initial Assessment]="","",IF(AND(Table1[Start Date]&gt;42460,Table1[Start Date]&lt;42826),Table1[Offending],""))</f>
        <v/>
      </c>
      <c r="GE397" s="44" t="str">
        <f>IF(Table1[Leaving Date]="","",IF(AND(Table1[Leaving Date]&gt;42460,Table1[Leaving Date]&lt;42826),IF(Table1[Date of Last Assessment]="",Table1[Motivation and Taking Responsibility],Table1[Motivation and Taking Responsibility2]),""))</f>
        <v/>
      </c>
      <c r="GF397" s="44" t="str">
        <f>IF(Table1[Leaving Date]="","",IF(AND(Table1[Leaving Date]&gt;42460,Table1[Leaving Date]&lt;42826),IF(Table1[Date of Last Assessment]="",Table1[Self-Care and Living Skills],Table1[Self-Care and Living Skills2]),""))</f>
        <v/>
      </c>
      <c r="GG397" s="44" t="str">
        <f>IF(Table1[Leaving Date]="","",IF(AND(Table1[Leaving Date]&gt;42460,Table1[Leaving Date]&lt;42826),IF(Table1[Date of Last Assessment]="",Table1[Managing Money and Personal Administration],Table1[Managing Money and Personal Administration2]),""))</f>
        <v/>
      </c>
      <c r="GH397" s="44" t="str">
        <f>IF(Table1[Leaving Date]="","",IF(AND(Table1[Leaving Date]&gt;42460,Table1[Leaving Date]&lt;42826),IF(Table1[Date of Last Assessment]="",Table1[Social Networks and Relationships],Table1[Social Networks and Relationships2]),""))</f>
        <v/>
      </c>
      <c r="GI397" s="44" t="str">
        <f>IF(Table1[Leaving Date]="","",IF(AND(Table1[Leaving Date]&gt;42460,Table1[Leaving Date]&lt;42826),IF(Table1[Date of Last Assessment]="",Table1[Drug and Alcohol Misuse],Table1[Drug and Alcohol Misuse2]),""))</f>
        <v/>
      </c>
      <c r="GJ397" s="44" t="str">
        <f>IF(Table1[Leaving Date]="","",IF(AND(Table1[Leaving Date]&gt;42460,Table1[Leaving Date]&lt;42826),IF(Table1[Date of Last Assessment]="",Table1[Physical Health],Table1[Physical Health2]),""))</f>
        <v/>
      </c>
      <c r="GK397" s="44" t="str">
        <f>IF(Table1[Leaving Date]="","",IF(AND(Table1[Leaving Date]&gt;42460,Table1[Leaving Date]&lt;42826),IF(Table1[Date of Last Assessment]="",Table1[Emotional and Mental Health],Table1[Emotional and Mental Health2]),""))</f>
        <v/>
      </c>
      <c r="GL397" s="44" t="str">
        <f>IF(Table1[Leaving Date]="","",IF(AND(Table1[Leaving Date]&gt;42460,Table1[Leaving Date]&lt;42826),IF(Table1[Date of Last Assessment]="",Table1[Meaningful Use of Time],Table1[Meaningful Use of Time2]),""))</f>
        <v/>
      </c>
      <c r="GM397" s="44" t="str">
        <f>IF(Table1[Leaving Date]="","",IF(AND(Table1[Leaving Date]&gt;42460,Table1[Leaving Date]&lt;42826),IF(Table1[Date of Last Assessment]="",Table1[Managing Tenancy and Accommodation],Table1[Managing Tenancy and Accommodation2]),""))</f>
        <v/>
      </c>
      <c r="GN397" s="44" t="str">
        <f>IF(Table1[Leaving Date]="","",IF(AND(Table1[Leaving Date]&gt;42460,Table1[Leaving Date]&lt;42826),IF(Table1[Date of Last Assessment]="",Table1[Offending],Table1[Offending2]),""))</f>
        <v/>
      </c>
    </row>
    <row r="398" spans="2:196" ht="20.100000000000001" customHeight="1" x14ac:dyDescent="0.2">
      <c r="B398" s="86">
        <f>+'Service Data'!$C$5:$C$5</f>
        <v>0</v>
      </c>
      <c r="C398" s="86"/>
      <c r="D398" s="86"/>
      <c r="E398" s="86"/>
      <c r="F398" s="86"/>
      <c r="G398" s="86"/>
      <c r="H398" s="6"/>
      <c r="I398" s="99" t="str">
        <f ca="1">IF(Table1[[#This Row],[Date of Birth]]="","",SUM(TODAY()-Table1[[#This Row],[Date of Birth]])/365)</f>
        <v/>
      </c>
      <c r="L398" s="86"/>
      <c r="M398" s="77"/>
      <c r="N398" s="86"/>
      <c r="O398" s="86"/>
      <c r="P398" s="91"/>
      <c r="Q398" s="86"/>
      <c r="R398" s="77"/>
      <c r="S398" s="77"/>
      <c r="T398" s="68"/>
      <c r="U398" s="68"/>
      <c r="V398" s="67"/>
      <c r="W398" s="67"/>
      <c r="X398" s="67"/>
      <c r="Y398" s="67"/>
      <c r="Z398" s="67"/>
      <c r="AA398" s="67"/>
      <c r="AB398" s="67"/>
      <c r="AC398" s="67"/>
      <c r="AD398" s="67"/>
      <c r="AE398" s="67"/>
      <c r="AF398" s="67"/>
      <c r="AG398" s="67"/>
      <c r="AH398" s="67"/>
      <c r="AI398" s="67"/>
      <c r="AJ398" s="67"/>
      <c r="AK398" s="67"/>
      <c r="AL398" s="67"/>
      <c r="AM398" s="67"/>
      <c r="AN398" s="77"/>
      <c r="AO398" s="76"/>
      <c r="AP398" s="77"/>
      <c r="AQ398" s="76"/>
      <c r="AR398" s="76"/>
      <c r="AS398" s="76"/>
      <c r="AT398" s="76"/>
      <c r="AU398" s="76"/>
      <c r="AV398" s="77"/>
      <c r="AW398" s="76"/>
      <c r="AX398" s="77"/>
      <c r="AY398" s="76"/>
      <c r="AZ398" s="76"/>
      <c r="BA398" s="76"/>
      <c r="BB398" s="76"/>
      <c r="BC398" s="76"/>
      <c r="BD398" s="77"/>
      <c r="BE398" s="76"/>
      <c r="BF398" s="77"/>
      <c r="BG398" s="76"/>
      <c r="BH398" s="76"/>
      <c r="BI398" s="76"/>
      <c r="BJ398" s="76"/>
      <c r="BK398" s="76"/>
      <c r="BL398" s="77"/>
      <c r="BM398" s="76"/>
      <c r="BN398" s="77"/>
      <c r="BO398" s="76"/>
      <c r="BP398" s="76"/>
      <c r="BQ398" s="76"/>
      <c r="BR398" s="76"/>
      <c r="BS398" s="76"/>
      <c r="BT398" s="77"/>
      <c r="BU398" s="76"/>
      <c r="BV398" s="77"/>
      <c r="BW398" s="76"/>
      <c r="BX398" s="76"/>
      <c r="BY398" s="76"/>
      <c r="BZ398" s="76"/>
      <c r="CA398" s="76"/>
      <c r="CB398" s="77"/>
      <c r="CC398" s="76"/>
      <c r="CD398" s="77"/>
      <c r="CE398" s="76"/>
      <c r="CF398" s="76"/>
      <c r="CG398" s="76"/>
      <c r="CH398" s="76"/>
      <c r="CI398" s="76"/>
      <c r="CJ398" s="77"/>
      <c r="CK398" s="76"/>
      <c r="CL398" s="77"/>
      <c r="CM398" s="76"/>
      <c r="CN398" s="76"/>
      <c r="CO398" s="76"/>
      <c r="CP398" s="76"/>
      <c r="CQ398" s="76"/>
      <c r="CR398" s="78" t="str">
        <f t="shared" si="111"/>
        <v/>
      </c>
      <c r="CS398" s="79" t="str">
        <f t="shared" si="112"/>
        <v/>
      </c>
      <c r="CT398" s="79" t="str">
        <f t="shared" si="113"/>
        <v/>
      </c>
      <c r="CU398" s="79" t="str">
        <f t="shared" si="114"/>
        <v/>
      </c>
      <c r="CV398" s="79" t="str">
        <f t="shared" si="115"/>
        <v/>
      </c>
      <c r="CW398" s="79" t="str">
        <f t="shared" si="116"/>
        <v/>
      </c>
      <c r="CX398" s="79" t="str">
        <f t="shared" si="117"/>
        <v/>
      </c>
      <c r="CY398" s="79" t="str">
        <f t="shared" si="118"/>
        <v/>
      </c>
      <c r="CZ398" s="79" t="str">
        <f t="shared" si="119"/>
        <v/>
      </c>
      <c r="DA398" s="79" t="str">
        <f t="shared" si="120"/>
        <v/>
      </c>
      <c r="DB398" s="79" t="str">
        <f t="shared" si="121"/>
        <v/>
      </c>
      <c r="DC398" s="79" t="str">
        <f t="shared" si="122"/>
        <v/>
      </c>
      <c r="DD398" s="79" t="str">
        <f t="shared" si="123"/>
        <v/>
      </c>
      <c r="DE398" s="79" t="str">
        <f t="shared" si="124"/>
        <v/>
      </c>
      <c r="DF398" s="79" t="str">
        <f t="shared" si="125"/>
        <v/>
      </c>
      <c r="DG398" s="79" t="str">
        <f t="shared" si="126"/>
        <v/>
      </c>
      <c r="DH398" s="76"/>
      <c r="DI398" s="78"/>
      <c r="DJ398" s="76"/>
      <c r="DK398" s="77"/>
      <c r="DL398" s="77"/>
      <c r="DM398" s="77"/>
      <c r="DN398" s="80"/>
      <c r="DO398" s="80"/>
      <c r="DP398" s="92" t="str">
        <f>IF(Table1[Start Date]="","",IF(Table1[Start Date]&gt;42185,"",IF(AND(Table1[Leaving Date]&gt;1,Table1[Leaving Date]&lt;42095),"",1)))</f>
        <v/>
      </c>
      <c r="DQ398" s="92" t="str">
        <f>IF(Table1[Start Date]="","",IF(Table1[Start Date]&gt;42277,"",IF(AND(Table1[Leaving Date]&gt;1,Table1[Leaving Date]&lt;42186),"",1)))</f>
        <v/>
      </c>
      <c r="DR398" s="92" t="str">
        <f>IF(Table1[Start Date]="","",IF(Table1[Start Date]&gt;42369,"",IF(AND(Table1[Leaving Date]&gt;1,Table1[Leaving Date]&lt;42278),"",1)))</f>
        <v/>
      </c>
      <c r="DS398" s="92" t="str">
        <f>IF(Table1[Start Date]="","",IF(Table1[Start Date]&gt;42460,"",IF(AND(Table1[Leaving Date]&gt;1,Table1[Leaving Date]&lt;42370),"",1)))</f>
        <v/>
      </c>
      <c r="DT398" s="92" t="str">
        <f>IF(Table1[Start Date]="","",IF(Table1[Start Date]&gt;42551,"",IF(AND(Table1[Leaving Date]&gt;1,Table1[Leaving Date]&lt;42461),"",1)))</f>
        <v/>
      </c>
      <c r="DU398" s="92" t="str">
        <f>IF(Table1[Start Date]="","",IF(Table1[Start Date]&gt;42643,"",IF(AND(Table1[Leaving Date]&gt;1,Table1[Leaving Date]&lt;42552),"",1)))</f>
        <v/>
      </c>
      <c r="DV398" s="92" t="str">
        <f>IF(Table1[Start Date]="","",IF(Table1[Start Date]&gt;42735,"",IF(AND(Table1[Leaving Date]&gt;1,Table1[Leaving Date]&lt;42644),"",1)))</f>
        <v/>
      </c>
      <c r="DW398" s="92" t="str">
        <f>IF(Table1[Start Date]="","",IF(Table1[Start Date]&gt;42825,"",IF(AND(Table1[Leaving Date]&gt;1,Table1[Leaving Date]&lt;42736),"",1)))</f>
        <v/>
      </c>
      <c r="DX398"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398" s="44" t="e">
        <f>VLOOKUP(Table1[Referral Source],Lists!$G$2:$H$20,2,FALSE)</f>
        <v>#N/A</v>
      </c>
      <c r="DZ398" s="93" t="e">
        <f>SUM(Table1[Data Referral Quarter]+Table1[Data Referral Source])</f>
        <v>#N/A</v>
      </c>
      <c r="EA398" s="44" t="b">
        <f>IF(Table1[Referral Decision]="Accepted",100,IF(Table1[Referral Decision]="Rejected by Provider",200,IF(Table1[Referral Decision]="Rejected by Applicant",300)))</f>
        <v>0</v>
      </c>
      <c r="EB398" s="44">
        <f>SUM(Table1[Data Referral Quarter]+Table1[Data Referral Decision])</f>
        <v>0</v>
      </c>
      <c r="EC398" s="44" t="b">
        <f>IF(Table1[Start Date]&gt;42735,8000,IF(Table1[Start Date]&gt;42643,7000,IF(Table1[Start Date]&gt;42551,6000,IF(Table1[Start Date]&gt;42460,5000,IF(Table1[Start Date]&gt;42369,4000,IF(Table1[Start Date]&gt;42277,3000,IF(Table1[Start Date]&gt;42185,2000,IF(Table1[Start Date]&gt;42094,1000))))))))</f>
        <v>0</v>
      </c>
      <c r="ED398" s="44" t="str">
        <f>IF(Table1[Start Date]="","",IF(Table1[Current Local Authority]="Swindon",1,"2"))</f>
        <v/>
      </c>
      <c r="EE398" s="44" t="e">
        <f>SUM(Table1[Data Start Date]+Table1[Data Local Authority])</f>
        <v>#VALUE!</v>
      </c>
      <c r="EF398" s="44">
        <f>IF(Table1[Registered with GP]="Yes",1,0)</f>
        <v>0</v>
      </c>
      <c r="EG398" s="44">
        <f>SUM(Table1[Data Start Date]+Table1[Data GP Start])</f>
        <v>0</v>
      </c>
      <c r="EH398" s="44" t="str">
        <f>IF(Table1[EET]="NEET",1,IF(Table1[EET]="Education",2,IF(Table1[EET]="Employment",2,IF(Table1[EET]="Training",2,IF(Table1[EET]="Retired",3,"")))))</f>
        <v/>
      </c>
      <c r="EI398" s="44" t="e">
        <f>Table1[Data Start Date]+Table1[Data EET Start]</f>
        <v>#VALUE!</v>
      </c>
      <c r="EJ398" s="44" t="b">
        <f>IF(Table1[Leaving Date]&gt;42735,8000,IF(Table1[Leaving Date]&gt;42643,7000,IF(Table1[Leaving Date]&gt;42551,6000,IF(Table1[Leaving Date]&gt;42460,5000,IF(Table1[Leaving Date]&gt;42369,4000,IF(Table1[Leaving Date]&gt;42277,3000,IF(Table1[Leaving Date]&gt;42185,2000,IF(Table1[Leaving Date]&gt;42094,1000))))))))</f>
        <v>0</v>
      </c>
      <c r="EK398" s="44" t="e">
        <f>VLOOKUP(Table1[Reason for Leaving],Lists!$T$2:$U$15,2,FALSE)</f>
        <v>#N/A</v>
      </c>
      <c r="EL398" s="44" t="e">
        <f>SUM(Table1[Data Leavers Date]+Table1[Data Move On])</f>
        <v>#N/A</v>
      </c>
      <c r="EM398" s="44" t="b">
        <f>IF(Table1[Registered with GP2]="Yes",1,IF(Table1[Registered with GP2]="No",0,IF(Table1[Registered with GP]="Yes",1,IF(Table1[Registered with GP]="No",0))))</f>
        <v>0</v>
      </c>
      <c r="EN398" s="44">
        <f>SUM(Table1[Data Leavers Date]+Table1[Data GP End])</f>
        <v>0</v>
      </c>
      <c r="EO398" s="44" t="str">
        <f>IF(Table1[EET2]="NEET",1,IF(Table1[EET2]="Employment",2,IF(Table1[EET2]="Education",2,IF(Table1[EET2]="Training",2,IF(Table1[EET2]="Retired",3,IF(Table1[EET]="NEET",1,IF(Table1[EET]="Employment",2,IF(Table1[EET]="Education",2,IF(Table1[EET]="Training",2,IF(Table1[EET]="Retired",3,""))))))))))</f>
        <v/>
      </c>
      <c r="EP398" s="44" t="e">
        <f>+Table1[[#This Row],[Data Leavers Date]]+Table1[[#This Row],[Data EET End]]</f>
        <v>#VALUE!</v>
      </c>
      <c r="EQ398" s="44">
        <f>IF(Table1[Exit Form Received]="Yes",1,0)</f>
        <v>0</v>
      </c>
      <c r="ER398" s="44">
        <f>+Table1[[#This Row],[Data Leavers Date]]+Table1[[#This Row],[Data Exit Forms]]</f>
        <v>0</v>
      </c>
      <c r="ES398" s="44" t="str">
        <f>IF(Table1[Data Leavers Date]=1000,SUM(Table1[Leaving Date]-Table1[Start Date]),"")</f>
        <v/>
      </c>
      <c r="ET398" s="44" t="str">
        <f>IF(Table1[Data Leavers Date]=2000,SUM(Table1[Leaving Date]-Table1[Start Date]),"")</f>
        <v/>
      </c>
      <c r="EU398" s="44" t="str">
        <f>IF(Table1[Data Leavers Date]=3000,SUM(Table1[Leaving Date]-Table1[Start Date]),"")</f>
        <v/>
      </c>
      <c r="EV398" s="44" t="str">
        <f>IF(Table1[Data Leavers Date]=4000,SUM(Table1[Leaving Date]-Table1[Start Date]),"")</f>
        <v/>
      </c>
      <c r="EW398" s="44" t="str">
        <f>IF(Table1[Data Leavers Date]=5000,SUM(Table1[Leaving Date]-Table1[Start Date]),"")</f>
        <v/>
      </c>
      <c r="EX398" s="44" t="str">
        <f>IF(Table1[Data Leavers Date]=6000,SUM(Table1[Leaving Date]-Table1[Start Date]),"")</f>
        <v/>
      </c>
      <c r="EY398" s="44" t="str">
        <f>IF(Table1[Data Leavers Date]=7000,SUM(Table1[Leaving Date]-Table1[Start Date]),"")</f>
        <v/>
      </c>
      <c r="EZ398" s="44" t="str">
        <f>IF(Table1[Data Leavers Date]=8000,SUM(Table1[Leaving Date]-Table1[Start Date]),"")</f>
        <v/>
      </c>
      <c r="FA398" s="44" t="str">
        <f>IF(Table1[Date of Initial Assessment]="","",IF(AND(Table1[Start Date]&gt;42094,Table1[Start Date]&lt;42461),Table1[Motivation and Taking Responsibility],""))</f>
        <v/>
      </c>
      <c r="FB398" s="44" t="str">
        <f>IF(Table1[Date of Initial Assessment]="","",IF(AND(Table1[Start Date]&gt;42094,Table1[Start Date]&lt;42461),Table1[Self-Care and Living Skills],""))</f>
        <v/>
      </c>
      <c r="FC398" s="44" t="str">
        <f>IF(Table1[Date of Initial Assessment]="","",IF(AND(Table1[Start Date]&gt;42094,Table1[Start Date]&lt;42461),Table1[Managing Money and Personal Administration],""))</f>
        <v/>
      </c>
      <c r="FD398" s="44" t="str">
        <f>IF(Table1[Date of Initial Assessment]="","",IF(AND(Table1[Start Date]&gt;42094,Table1[Start Date]&lt;42461),Table1[Social Networks and Relationships],""))</f>
        <v/>
      </c>
      <c r="FE398" s="44" t="str">
        <f>IF(Table1[Date of Initial Assessment]="","",IF(AND(Table1[Start Date]&gt;42094,Table1[Start Date]&lt;42461),Table1[Drug and Alcohol Misuse],""))</f>
        <v/>
      </c>
      <c r="FF398" s="44" t="str">
        <f>IF(Table1[Date of Initial Assessment]="","",IF(AND(Table1[Start Date]&gt;42094,Table1[Start Date]&lt;42461),Table1[Physical Health],""))</f>
        <v/>
      </c>
      <c r="FG398" s="44" t="str">
        <f>IF(Table1[Date of Initial Assessment]="","",IF(AND(Table1[Start Date]&gt;42094,Table1[Start Date]&lt;42461),Table1[Emotional and Mental Health],""))</f>
        <v/>
      </c>
      <c r="FH398" s="44" t="str">
        <f>IF(Table1[Date of Initial Assessment]="","",IF(AND(Table1[Start Date]&gt;42094,Table1[Start Date]&lt;42461),Table1[Meaningful Use of Time],""))</f>
        <v/>
      </c>
      <c r="FI398" s="44" t="str">
        <f>IF(Table1[Date of Initial Assessment]="","",IF(AND(Table1[Start Date]&gt;42094,Table1[Start Date]&lt;42461),Table1[Managing Tenancy and Accommodation],""))</f>
        <v/>
      </c>
      <c r="FJ398" s="44" t="str">
        <f>IF(Table1[Date of Initial Assessment]="","",IF(AND(Table1[Start Date]&gt;42094,Table1[Start Date]&lt;42461),Table1[Offending],""))</f>
        <v/>
      </c>
      <c r="FK398" s="44" t="str">
        <f>IF(Table1[Leaving Date]="","",IF(Table1[Date of Initial Assessment]="","",IF(AND(Table1[Leaving Date]&gt;42094,Table1[Leaving Date]&lt;42461),IF(Table1[Date of Last Assessment]="",Table1[Motivation and Taking Responsibility],Table1[Motivation and Taking Responsibility2]),"")))</f>
        <v/>
      </c>
      <c r="FL398" s="44" t="str">
        <f>IF(Table1[Leaving Date]="","",IF(Table1[Date of Initial Assessment]="","",IF(AND(Table1[Leaving Date]&gt;42094,Table1[Leaving Date]&lt;42461),IF(Table1[Date of Last Assessment]="",Table1[Self-Care and Living Skills],Table1[Self-Care and Living Skills2]),"")))</f>
        <v/>
      </c>
      <c r="FM398" s="44" t="str">
        <f>IF(Table1[Leaving Date]="","",IF(Table1[Date of Initial Assessment]="","",IF(AND(Table1[Leaving Date]&gt;42094,Table1[Leaving Date]&lt;42461),IF(Table1[Date of Last Assessment]="",Table1[Managing Money and Personal Administration],Table1[Managing Money and Personal Administration2]),"")))</f>
        <v/>
      </c>
      <c r="FN398" s="44" t="str">
        <f>IF(Table1[Leaving Date]="","",IF(Table1[Date of Initial Assessment]="","",IF(AND(Table1[Leaving Date]&gt;42094,Table1[Leaving Date]&lt;42461),IF(Table1[Date of Last Assessment]="",Table1[Social Networks and Relationships],Table1[Social Networks and Relationships2]),"")))</f>
        <v/>
      </c>
      <c r="FO398" s="44" t="str">
        <f>IF(Table1[Leaving Date]="","",IF(Table1[Date of Initial Assessment]="","",IF(AND(Table1[Leaving Date]&gt;42094,Table1[Leaving Date]&lt;42461),IF(Table1[Date of Last Assessment]="",Table1[Drug and Alcohol Misuse],Table1[Drug and Alcohol Misuse2]),"")))</f>
        <v/>
      </c>
      <c r="FP398" s="44" t="str">
        <f>IF(Table1[Leaving Date]="","",IF(Table1[Date of Initial Assessment]="","",IF(AND(Table1[Leaving Date]&gt;42094,Table1[Leaving Date]&lt;42461),IF(Table1[Date of Last Assessment]="",Table1[Physical Health],Table1[Physical Health2]),"")))</f>
        <v/>
      </c>
      <c r="FQ398" s="44" t="str">
        <f>IF(Table1[Leaving Date]="","",IF(Table1[Date of Initial Assessment]="","",IF(AND(Table1[Leaving Date]&gt;42094,Table1[Leaving Date]&lt;42461),IF(Table1[Date of Last Assessment]="",Table1[Emotional and Mental Health],Table1[Emotional and Mental Health2]),"")))</f>
        <v/>
      </c>
      <c r="FR398" s="44" t="str">
        <f>IF(Table1[Leaving Date]="","",IF(Table1[Date of Initial Assessment]="","",IF(AND(Table1[Leaving Date]&gt;42094,Table1[Leaving Date]&lt;42461),IF(Table1[Date of Last Assessment]="",Table1[Meaningful Use of Time],Table1[Meaningful Use of Time2]),"")))</f>
        <v/>
      </c>
      <c r="FS398" s="44" t="str">
        <f>IF(Table1[Leaving Date]="","",IF(Table1[Date of Initial Assessment]="","",IF(AND(Table1[Leaving Date]&gt;42094,Table1[Leaving Date]&lt;42461),IF(Table1[Date of Last Assessment]="",Table1[Managing Tenancy and Accommodation],Table1[Managing Tenancy and Accommodation2]),"")))</f>
        <v/>
      </c>
      <c r="FT398" s="44" t="str">
        <f>IF(Table1[Leaving Date]="","",IF(Table1[Date of Initial Assessment]="","",IF(AND(Table1[Leaving Date]&gt;42094,Table1[Leaving Date]&lt;42461),IF(Table1[Date of Last Assessment]="",Table1[Offending],Table1[Offending2]),"")))</f>
        <v/>
      </c>
      <c r="FU398" s="44" t="str">
        <f>IF(Table1[Date of Initial Assessment]="","",IF(AND(Table1[Start Date]&gt;42460,Table1[Start Date]&lt;42826),Table1[Motivation and Taking Responsibility],""))</f>
        <v/>
      </c>
      <c r="FV398" s="44" t="str">
        <f>IF(Table1[Date of Initial Assessment]="","",IF(AND(Table1[Start Date]&gt;42460,Table1[Start Date]&lt;42826),Table1[Self-Care and Living Skills],""))</f>
        <v/>
      </c>
      <c r="FW398" s="44" t="str">
        <f>IF(Table1[Date of Initial Assessment]="","",IF(AND(Table1[Start Date]&gt;42460,Table1[Start Date]&lt;42826),Table1[Managing Money and Personal Administration],""))</f>
        <v/>
      </c>
      <c r="FX398" s="44" t="str">
        <f>IF(Table1[Date of Initial Assessment]="","",IF(AND(Table1[Start Date]&gt;42460,Table1[Start Date]&lt;42826),Table1[Social Networks and Relationships],""))</f>
        <v/>
      </c>
      <c r="FY398" s="44" t="str">
        <f>IF(Table1[Date of Initial Assessment]="","",IF(AND(Table1[Start Date]&gt;42460,Table1[Start Date]&lt;42826),Table1[Drug and Alcohol Misuse],""))</f>
        <v/>
      </c>
      <c r="FZ398" s="44" t="str">
        <f>IF(Table1[Date of Initial Assessment]="","",IF(AND(Table1[Start Date]&gt;42460,Table1[Start Date]&lt;42826),Table1[Physical Health],""))</f>
        <v/>
      </c>
      <c r="GA398" s="44" t="str">
        <f>IF(Table1[Date of Initial Assessment]="","",IF(AND(Table1[Start Date]&gt;42460,Table1[Start Date]&lt;42826),Table1[Emotional and Mental Health],""))</f>
        <v/>
      </c>
      <c r="GB398" s="44" t="str">
        <f>IF(Table1[Date of Initial Assessment]="","",IF(AND(Table1[Start Date]&gt;42460,Table1[Start Date]&lt;42826),Table1[Meaningful Use of Time],""))</f>
        <v/>
      </c>
      <c r="GC398" s="44" t="str">
        <f>IF(Table1[Date of Initial Assessment]="","",IF(AND(Table1[Start Date]&gt;42460,Table1[Start Date]&lt;42826),Table1[Managing Tenancy and Accommodation],""))</f>
        <v/>
      </c>
      <c r="GD398" s="44" t="str">
        <f>IF(Table1[Date of Initial Assessment]="","",IF(AND(Table1[Start Date]&gt;42460,Table1[Start Date]&lt;42826),Table1[Offending],""))</f>
        <v/>
      </c>
      <c r="GE398" s="44" t="str">
        <f>IF(Table1[Leaving Date]="","",IF(AND(Table1[Leaving Date]&gt;42460,Table1[Leaving Date]&lt;42826),IF(Table1[Date of Last Assessment]="",Table1[Motivation and Taking Responsibility],Table1[Motivation and Taking Responsibility2]),""))</f>
        <v/>
      </c>
      <c r="GF398" s="44" t="str">
        <f>IF(Table1[Leaving Date]="","",IF(AND(Table1[Leaving Date]&gt;42460,Table1[Leaving Date]&lt;42826),IF(Table1[Date of Last Assessment]="",Table1[Self-Care and Living Skills],Table1[Self-Care and Living Skills2]),""))</f>
        <v/>
      </c>
      <c r="GG398" s="44" t="str">
        <f>IF(Table1[Leaving Date]="","",IF(AND(Table1[Leaving Date]&gt;42460,Table1[Leaving Date]&lt;42826),IF(Table1[Date of Last Assessment]="",Table1[Managing Money and Personal Administration],Table1[Managing Money and Personal Administration2]),""))</f>
        <v/>
      </c>
      <c r="GH398" s="44" t="str">
        <f>IF(Table1[Leaving Date]="","",IF(AND(Table1[Leaving Date]&gt;42460,Table1[Leaving Date]&lt;42826),IF(Table1[Date of Last Assessment]="",Table1[Social Networks and Relationships],Table1[Social Networks and Relationships2]),""))</f>
        <v/>
      </c>
      <c r="GI398" s="44" t="str">
        <f>IF(Table1[Leaving Date]="","",IF(AND(Table1[Leaving Date]&gt;42460,Table1[Leaving Date]&lt;42826),IF(Table1[Date of Last Assessment]="",Table1[Drug and Alcohol Misuse],Table1[Drug and Alcohol Misuse2]),""))</f>
        <v/>
      </c>
      <c r="GJ398" s="44" t="str">
        <f>IF(Table1[Leaving Date]="","",IF(AND(Table1[Leaving Date]&gt;42460,Table1[Leaving Date]&lt;42826),IF(Table1[Date of Last Assessment]="",Table1[Physical Health],Table1[Physical Health2]),""))</f>
        <v/>
      </c>
      <c r="GK398" s="44" t="str">
        <f>IF(Table1[Leaving Date]="","",IF(AND(Table1[Leaving Date]&gt;42460,Table1[Leaving Date]&lt;42826),IF(Table1[Date of Last Assessment]="",Table1[Emotional and Mental Health],Table1[Emotional and Mental Health2]),""))</f>
        <v/>
      </c>
      <c r="GL398" s="44" t="str">
        <f>IF(Table1[Leaving Date]="","",IF(AND(Table1[Leaving Date]&gt;42460,Table1[Leaving Date]&lt;42826),IF(Table1[Date of Last Assessment]="",Table1[Meaningful Use of Time],Table1[Meaningful Use of Time2]),""))</f>
        <v/>
      </c>
      <c r="GM398" s="44" t="str">
        <f>IF(Table1[Leaving Date]="","",IF(AND(Table1[Leaving Date]&gt;42460,Table1[Leaving Date]&lt;42826),IF(Table1[Date of Last Assessment]="",Table1[Managing Tenancy and Accommodation],Table1[Managing Tenancy and Accommodation2]),""))</f>
        <v/>
      </c>
      <c r="GN398" s="44" t="str">
        <f>IF(Table1[Leaving Date]="","",IF(AND(Table1[Leaving Date]&gt;42460,Table1[Leaving Date]&lt;42826),IF(Table1[Date of Last Assessment]="",Table1[Offending],Table1[Offending2]),""))</f>
        <v/>
      </c>
    </row>
    <row r="399" spans="2:196" ht="20.100000000000001" customHeight="1" x14ac:dyDescent="0.2">
      <c r="B399" s="86">
        <f>+'Service Data'!$C$5:$C$5</f>
        <v>0</v>
      </c>
      <c r="C399" s="86"/>
      <c r="D399" s="86"/>
      <c r="E399" s="86"/>
      <c r="F399" s="86"/>
      <c r="G399" s="86"/>
      <c r="H399" s="6"/>
      <c r="I399" s="99" t="str">
        <f ca="1">IF(Table1[[#This Row],[Date of Birth]]="","",SUM(TODAY()-Table1[[#This Row],[Date of Birth]])/365)</f>
        <v/>
      </c>
      <c r="L399" s="86"/>
      <c r="M399" s="77"/>
      <c r="N399" s="86"/>
      <c r="O399" s="86"/>
      <c r="P399" s="91"/>
      <c r="Q399" s="86"/>
      <c r="R399" s="77"/>
      <c r="S399" s="77"/>
      <c r="T399" s="68"/>
      <c r="U399" s="68"/>
      <c r="V399" s="67"/>
      <c r="W399" s="67"/>
      <c r="X399" s="67"/>
      <c r="Y399" s="67"/>
      <c r="Z399" s="67"/>
      <c r="AA399" s="67"/>
      <c r="AB399" s="67"/>
      <c r="AC399" s="67"/>
      <c r="AD399" s="67"/>
      <c r="AE399" s="67"/>
      <c r="AF399" s="67"/>
      <c r="AG399" s="67"/>
      <c r="AH399" s="67"/>
      <c r="AI399" s="67"/>
      <c r="AJ399" s="67"/>
      <c r="AK399" s="67"/>
      <c r="AL399" s="67"/>
      <c r="AM399" s="67"/>
      <c r="AN399" s="77"/>
      <c r="AO399" s="76"/>
      <c r="AP399" s="77"/>
      <c r="AQ399" s="76"/>
      <c r="AR399" s="76"/>
      <c r="AS399" s="76"/>
      <c r="AT399" s="76"/>
      <c r="AU399" s="76"/>
      <c r="AV399" s="77"/>
      <c r="AW399" s="76"/>
      <c r="AX399" s="77"/>
      <c r="AY399" s="76"/>
      <c r="AZ399" s="76"/>
      <c r="BA399" s="76"/>
      <c r="BB399" s="76"/>
      <c r="BC399" s="76"/>
      <c r="BD399" s="77"/>
      <c r="BE399" s="76"/>
      <c r="BF399" s="77"/>
      <c r="BG399" s="76"/>
      <c r="BH399" s="76"/>
      <c r="BI399" s="76"/>
      <c r="BJ399" s="76"/>
      <c r="BK399" s="76"/>
      <c r="BL399" s="77"/>
      <c r="BM399" s="76"/>
      <c r="BN399" s="77"/>
      <c r="BO399" s="76"/>
      <c r="BP399" s="76"/>
      <c r="BQ399" s="76"/>
      <c r="BR399" s="76"/>
      <c r="BS399" s="76"/>
      <c r="BT399" s="77"/>
      <c r="BU399" s="76"/>
      <c r="BV399" s="77"/>
      <c r="BW399" s="76"/>
      <c r="BX399" s="76"/>
      <c r="BY399" s="76"/>
      <c r="BZ399" s="76"/>
      <c r="CA399" s="76"/>
      <c r="CB399" s="77"/>
      <c r="CC399" s="76"/>
      <c r="CD399" s="77"/>
      <c r="CE399" s="76"/>
      <c r="CF399" s="76"/>
      <c r="CG399" s="76"/>
      <c r="CH399" s="76"/>
      <c r="CI399" s="76"/>
      <c r="CJ399" s="77"/>
      <c r="CK399" s="76"/>
      <c r="CL399" s="77"/>
      <c r="CM399" s="76"/>
      <c r="CN399" s="76"/>
      <c r="CO399" s="76"/>
      <c r="CP399" s="76"/>
      <c r="CQ399" s="76"/>
      <c r="CR399" s="78" t="str">
        <f t="shared" si="111"/>
        <v/>
      </c>
      <c r="CS399" s="79" t="str">
        <f t="shared" si="112"/>
        <v/>
      </c>
      <c r="CT399" s="79" t="str">
        <f t="shared" si="113"/>
        <v/>
      </c>
      <c r="CU399" s="79" t="str">
        <f t="shared" si="114"/>
        <v/>
      </c>
      <c r="CV399" s="79" t="str">
        <f t="shared" si="115"/>
        <v/>
      </c>
      <c r="CW399" s="79" t="str">
        <f t="shared" si="116"/>
        <v/>
      </c>
      <c r="CX399" s="79" t="str">
        <f t="shared" si="117"/>
        <v/>
      </c>
      <c r="CY399" s="79" t="str">
        <f t="shared" si="118"/>
        <v/>
      </c>
      <c r="CZ399" s="79" t="str">
        <f t="shared" si="119"/>
        <v/>
      </c>
      <c r="DA399" s="79" t="str">
        <f t="shared" si="120"/>
        <v/>
      </c>
      <c r="DB399" s="79" t="str">
        <f t="shared" si="121"/>
        <v/>
      </c>
      <c r="DC399" s="79" t="str">
        <f t="shared" si="122"/>
        <v/>
      </c>
      <c r="DD399" s="79" t="str">
        <f t="shared" si="123"/>
        <v/>
      </c>
      <c r="DE399" s="79" t="str">
        <f t="shared" si="124"/>
        <v/>
      </c>
      <c r="DF399" s="79" t="str">
        <f t="shared" si="125"/>
        <v/>
      </c>
      <c r="DG399" s="79" t="str">
        <f t="shared" si="126"/>
        <v/>
      </c>
      <c r="DH399" s="76"/>
      <c r="DI399" s="78"/>
      <c r="DJ399" s="76"/>
      <c r="DK399" s="77"/>
      <c r="DL399" s="77"/>
      <c r="DM399" s="77"/>
      <c r="DN399" s="80"/>
      <c r="DO399" s="80"/>
      <c r="DP399" s="92" t="str">
        <f>IF(Table1[Start Date]="","",IF(Table1[Start Date]&gt;42185,"",IF(AND(Table1[Leaving Date]&gt;1,Table1[Leaving Date]&lt;42095),"",1)))</f>
        <v/>
      </c>
      <c r="DQ399" s="92" t="str">
        <f>IF(Table1[Start Date]="","",IF(Table1[Start Date]&gt;42277,"",IF(AND(Table1[Leaving Date]&gt;1,Table1[Leaving Date]&lt;42186),"",1)))</f>
        <v/>
      </c>
      <c r="DR399" s="92" t="str">
        <f>IF(Table1[Start Date]="","",IF(Table1[Start Date]&gt;42369,"",IF(AND(Table1[Leaving Date]&gt;1,Table1[Leaving Date]&lt;42278),"",1)))</f>
        <v/>
      </c>
      <c r="DS399" s="92" t="str">
        <f>IF(Table1[Start Date]="","",IF(Table1[Start Date]&gt;42460,"",IF(AND(Table1[Leaving Date]&gt;1,Table1[Leaving Date]&lt;42370),"",1)))</f>
        <v/>
      </c>
      <c r="DT399" s="92" t="str">
        <f>IF(Table1[Start Date]="","",IF(Table1[Start Date]&gt;42551,"",IF(AND(Table1[Leaving Date]&gt;1,Table1[Leaving Date]&lt;42461),"",1)))</f>
        <v/>
      </c>
      <c r="DU399" s="92" t="str">
        <f>IF(Table1[Start Date]="","",IF(Table1[Start Date]&gt;42643,"",IF(AND(Table1[Leaving Date]&gt;1,Table1[Leaving Date]&lt;42552),"",1)))</f>
        <v/>
      </c>
      <c r="DV399" s="92" t="str">
        <f>IF(Table1[Start Date]="","",IF(Table1[Start Date]&gt;42735,"",IF(AND(Table1[Leaving Date]&gt;1,Table1[Leaving Date]&lt;42644),"",1)))</f>
        <v/>
      </c>
      <c r="DW399" s="92" t="str">
        <f>IF(Table1[Start Date]="","",IF(Table1[Start Date]&gt;42825,"",IF(AND(Table1[Leaving Date]&gt;1,Table1[Leaving Date]&lt;42736),"",1)))</f>
        <v/>
      </c>
      <c r="DX399"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399" s="44" t="e">
        <f>VLOOKUP(Table1[Referral Source],Lists!$G$2:$H$20,2,FALSE)</f>
        <v>#N/A</v>
      </c>
      <c r="DZ399" s="93" t="e">
        <f>SUM(Table1[Data Referral Quarter]+Table1[Data Referral Source])</f>
        <v>#N/A</v>
      </c>
      <c r="EA399" s="44" t="b">
        <f>IF(Table1[Referral Decision]="Accepted",100,IF(Table1[Referral Decision]="Rejected by Provider",200,IF(Table1[Referral Decision]="Rejected by Applicant",300)))</f>
        <v>0</v>
      </c>
      <c r="EB399" s="44">
        <f>SUM(Table1[Data Referral Quarter]+Table1[Data Referral Decision])</f>
        <v>0</v>
      </c>
      <c r="EC399" s="44" t="b">
        <f>IF(Table1[Start Date]&gt;42735,8000,IF(Table1[Start Date]&gt;42643,7000,IF(Table1[Start Date]&gt;42551,6000,IF(Table1[Start Date]&gt;42460,5000,IF(Table1[Start Date]&gt;42369,4000,IF(Table1[Start Date]&gt;42277,3000,IF(Table1[Start Date]&gt;42185,2000,IF(Table1[Start Date]&gt;42094,1000))))))))</f>
        <v>0</v>
      </c>
      <c r="ED399" s="44" t="str">
        <f>IF(Table1[Start Date]="","",IF(Table1[Current Local Authority]="Swindon",1,"2"))</f>
        <v/>
      </c>
      <c r="EE399" s="44" t="e">
        <f>SUM(Table1[Data Start Date]+Table1[Data Local Authority])</f>
        <v>#VALUE!</v>
      </c>
      <c r="EF399" s="44">
        <f>IF(Table1[Registered with GP]="Yes",1,0)</f>
        <v>0</v>
      </c>
      <c r="EG399" s="44">
        <f>SUM(Table1[Data Start Date]+Table1[Data GP Start])</f>
        <v>0</v>
      </c>
      <c r="EH399" s="44" t="str">
        <f>IF(Table1[EET]="NEET",1,IF(Table1[EET]="Education",2,IF(Table1[EET]="Employment",2,IF(Table1[EET]="Training",2,IF(Table1[EET]="Retired",3,"")))))</f>
        <v/>
      </c>
      <c r="EI399" s="44" t="e">
        <f>Table1[Data Start Date]+Table1[Data EET Start]</f>
        <v>#VALUE!</v>
      </c>
      <c r="EJ399" s="44" t="b">
        <f>IF(Table1[Leaving Date]&gt;42735,8000,IF(Table1[Leaving Date]&gt;42643,7000,IF(Table1[Leaving Date]&gt;42551,6000,IF(Table1[Leaving Date]&gt;42460,5000,IF(Table1[Leaving Date]&gt;42369,4000,IF(Table1[Leaving Date]&gt;42277,3000,IF(Table1[Leaving Date]&gt;42185,2000,IF(Table1[Leaving Date]&gt;42094,1000))))))))</f>
        <v>0</v>
      </c>
      <c r="EK399" s="44" t="e">
        <f>VLOOKUP(Table1[Reason for Leaving],Lists!$T$2:$U$15,2,FALSE)</f>
        <v>#N/A</v>
      </c>
      <c r="EL399" s="44" t="e">
        <f>SUM(Table1[Data Leavers Date]+Table1[Data Move On])</f>
        <v>#N/A</v>
      </c>
      <c r="EM399" s="44" t="b">
        <f>IF(Table1[Registered with GP2]="Yes",1,IF(Table1[Registered with GP2]="No",0,IF(Table1[Registered with GP]="Yes",1,IF(Table1[Registered with GP]="No",0))))</f>
        <v>0</v>
      </c>
      <c r="EN399" s="44">
        <f>SUM(Table1[Data Leavers Date]+Table1[Data GP End])</f>
        <v>0</v>
      </c>
      <c r="EO399" s="44" t="str">
        <f>IF(Table1[EET2]="NEET",1,IF(Table1[EET2]="Employment",2,IF(Table1[EET2]="Education",2,IF(Table1[EET2]="Training",2,IF(Table1[EET2]="Retired",3,IF(Table1[EET]="NEET",1,IF(Table1[EET]="Employment",2,IF(Table1[EET]="Education",2,IF(Table1[EET]="Training",2,IF(Table1[EET]="Retired",3,""))))))))))</f>
        <v/>
      </c>
      <c r="EP399" s="44" t="e">
        <f>+Table1[[#This Row],[Data Leavers Date]]+Table1[[#This Row],[Data EET End]]</f>
        <v>#VALUE!</v>
      </c>
      <c r="EQ399" s="44">
        <f>IF(Table1[Exit Form Received]="Yes",1,0)</f>
        <v>0</v>
      </c>
      <c r="ER399" s="44">
        <f>+Table1[[#This Row],[Data Leavers Date]]+Table1[[#This Row],[Data Exit Forms]]</f>
        <v>0</v>
      </c>
      <c r="ES399" s="44" t="str">
        <f>IF(Table1[Data Leavers Date]=1000,SUM(Table1[Leaving Date]-Table1[Start Date]),"")</f>
        <v/>
      </c>
      <c r="ET399" s="44" t="str">
        <f>IF(Table1[Data Leavers Date]=2000,SUM(Table1[Leaving Date]-Table1[Start Date]),"")</f>
        <v/>
      </c>
      <c r="EU399" s="44" t="str">
        <f>IF(Table1[Data Leavers Date]=3000,SUM(Table1[Leaving Date]-Table1[Start Date]),"")</f>
        <v/>
      </c>
      <c r="EV399" s="44" t="str">
        <f>IF(Table1[Data Leavers Date]=4000,SUM(Table1[Leaving Date]-Table1[Start Date]),"")</f>
        <v/>
      </c>
      <c r="EW399" s="44" t="str">
        <f>IF(Table1[Data Leavers Date]=5000,SUM(Table1[Leaving Date]-Table1[Start Date]),"")</f>
        <v/>
      </c>
      <c r="EX399" s="44" t="str">
        <f>IF(Table1[Data Leavers Date]=6000,SUM(Table1[Leaving Date]-Table1[Start Date]),"")</f>
        <v/>
      </c>
      <c r="EY399" s="44" t="str">
        <f>IF(Table1[Data Leavers Date]=7000,SUM(Table1[Leaving Date]-Table1[Start Date]),"")</f>
        <v/>
      </c>
      <c r="EZ399" s="44" t="str">
        <f>IF(Table1[Data Leavers Date]=8000,SUM(Table1[Leaving Date]-Table1[Start Date]),"")</f>
        <v/>
      </c>
      <c r="FA399" s="44" t="str">
        <f>IF(Table1[Date of Initial Assessment]="","",IF(AND(Table1[Start Date]&gt;42094,Table1[Start Date]&lt;42461),Table1[Motivation and Taking Responsibility],""))</f>
        <v/>
      </c>
      <c r="FB399" s="44" t="str">
        <f>IF(Table1[Date of Initial Assessment]="","",IF(AND(Table1[Start Date]&gt;42094,Table1[Start Date]&lt;42461),Table1[Self-Care and Living Skills],""))</f>
        <v/>
      </c>
      <c r="FC399" s="44" t="str">
        <f>IF(Table1[Date of Initial Assessment]="","",IF(AND(Table1[Start Date]&gt;42094,Table1[Start Date]&lt;42461),Table1[Managing Money and Personal Administration],""))</f>
        <v/>
      </c>
      <c r="FD399" s="44" t="str">
        <f>IF(Table1[Date of Initial Assessment]="","",IF(AND(Table1[Start Date]&gt;42094,Table1[Start Date]&lt;42461),Table1[Social Networks and Relationships],""))</f>
        <v/>
      </c>
      <c r="FE399" s="44" t="str">
        <f>IF(Table1[Date of Initial Assessment]="","",IF(AND(Table1[Start Date]&gt;42094,Table1[Start Date]&lt;42461),Table1[Drug and Alcohol Misuse],""))</f>
        <v/>
      </c>
      <c r="FF399" s="44" t="str">
        <f>IF(Table1[Date of Initial Assessment]="","",IF(AND(Table1[Start Date]&gt;42094,Table1[Start Date]&lt;42461),Table1[Physical Health],""))</f>
        <v/>
      </c>
      <c r="FG399" s="44" t="str">
        <f>IF(Table1[Date of Initial Assessment]="","",IF(AND(Table1[Start Date]&gt;42094,Table1[Start Date]&lt;42461),Table1[Emotional and Mental Health],""))</f>
        <v/>
      </c>
      <c r="FH399" s="44" t="str">
        <f>IF(Table1[Date of Initial Assessment]="","",IF(AND(Table1[Start Date]&gt;42094,Table1[Start Date]&lt;42461),Table1[Meaningful Use of Time],""))</f>
        <v/>
      </c>
      <c r="FI399" s="44" t="str">
        <f>IF(Table1[Date of Initial Assessment]="","",IF(AND(Table1[Start Date]&gt;42094,Table1[Start Date]&lt;42461),Table1[Managing Tenancy and Accommodation],""))</f>
        <v/>
      </c>
      <c r="FJ399" s="44" t="str">
        <f>IF(Table1[Date of Initial Assessment]="","",IF(AND(Table1[Start Date]&gt;42094,Table1[Start Date]&lt;42461),Table1[Offending],""))</f>
        <v/>
      </c>
      <c r="FK399" s="44" t="str">
        <f>IF(Table1[Leaving Date]="","",IF(Table1[Date of Initial Assessment]="","",IF(AND(Table1[Leaving Date]&gt;42094,Table1[Leaving Date]&lt;42461),IF(Table1[Date of Last Assessment]="",Table1[Motivation and Taking Responsibility],Table1[Motivation and Taking Responsibility2]),"")))</f>
        <v/>
      </c>
      <c r="FL399" s="44" t="str">
        <f>IF(Table1[Leaving Date]="","",IF(Table1[Date of Initial Assessment]="","",IF(AND(Table1[Leaving Date]&gt;42094,Table1[Leaving Date]&lt;42461),IF(Table1[Date of Last Assessment]="",Table1[Self-Care and Living Skills],Table1[Self-Care and Living Skills2]),"")))</f>
        <v/>
      </c>
      <c r="FM399" s="44" t="str">
        <f>IF(Table1[Leaving Date]="","",IF(Table1[Date of Initial Assessment]="","",IF(AND(Table1[Leaving Date]&gt;42094,Table1[Leaving Date]&lt;42461),IF(Table1[Date of Last Assessment]="",Table1[Managing Money and Personal Administration],Table1[Managing Money and Personal Administration2]),"")))</f>
        <v/>
      </c>
      <c r="FN399" s="44" t="str">
        <f>IF(Table1[Leaving Date]="","",IF(Table1[Date of Initial Assessment]="","",IF(AND(Table1[Leaving Date]&gt;42094,Table1[Leaving Date]&lt;42461),IF(Table1[Date of Last Assessment]="",Table1[Social Networks and Relationships],Table1[Social Networks and Relationships2]),"")))</f>
        <v/>
      </c>
      <c r="FO399" s="44" t="str">
        <f>IF(Table1[Leaving Date]="","",IF(Table1[Date of Initial Assessment]="","",IF(AND(Table1[Leaving Date]&gt;42094,Table1[Leaving Date]&lt;42461),IF(Table1[Date of Last Assessment]="",Table1[Drug and Alcohol Misuse],Table1[Drug and Alcohol Misuse2]),"")))</f>
        <v/>
      </c>
      <c r="FP399" s="44" t="str">
        <f>IF(Table1[Leaving Date]="","",IF(Table1[Date of Initial Assessment]="","",IF(AND(Table1[Leaving Date]&gt;42094,Table1[Leaving Date]&lt;42461),IF(Table1[Date of Last Assessment]="",Table1[Physical Health],Table1[Physical Health2]),"")))</f>
        <v/>
      </c>
      <c r="FQ399" s="44" t="str">
        <f>IF(Table1[Leaving Date]="","",IF(Table1[Date of Initial Assessment]="","",IF(AND(Table1[Leaving Date]&gt;42094,Table1[Leaving Date]&lt;42461),IF(Table1[Date of Last Assessment]="",Table1[Emotional and Mental Health],Table1[Emotional and Mental Health2]),"")))</f>
        <v/>
      </c>
      <c r="FR399" s="44" t="str">
        <f>IF(Table1[Leaving Date]="","",IF(Table1[Date of Initial Assessment]="","",IF(AND(Table1[Leaving Date]&gt;42094,Table1[Leaving Date]&lt;42461),IF(Table1[Date of Last Assessment]="",Table1[Meaningful Use of Time],Table1[Meaningful Use of Time2]),"")))</f>
        <v/>
      </c>
      <c r="FS399" s="44" t="str">
        <f>IF(Table1[Leaving Date]="","",IF(Table1[Date of Initial Assessment]="","",IF(AND(Table1[Leaving Date]&gt;42094,Table1[Leaving Date]&lt;42461),IF(Table1[Date of Last Assessment]="",Table1[Managing Tenancy and Accommodation],Table1[Managing Tenancy and Accommodation2]),"")))</f>
        <v/>
      </c>
      <c r="FT399" s="44" t="str">
        <f>IF(Table1[Leaving Date]="","",IF(Table1[Date of Initial Assessment]="","",IF(AND(Table1[Leaving Date]&gt;42094,Table1[Leaving Date]&lt;42461),IF(Table1[Date of Last Assessment]="",Table1[Offending],Table1[Offending2]),"")))</f>
        <v/>
      </c>
      <c r="FU399" s="44" t="str">
        <f>IF(Table1[Date of Initial Assessment]="","",IF(AND(Table1[Start Date]&gt;42460,Table1[Start Date]&lt;42826),Table1[Motivation and Taking Responsibility],""))</f>
        <v/>
      </c>
      <c r="FV399" s="44" t="str">
        <f>IF(Table1[Date of Initial Assessment]="","",IF(AND(Table1[Start Date]&gt;42460,Table1[Start Date]&lt;42826),Table1[Self-Care and Living Skills],""))</f>
        <v/>
      </c>
      <c r="FW399" s="44" t="str">
        <f>IF(Table1[Date of Initial Assessment]="","",IF(AND(Table1[Start Date]&gt;42460,Table1[Start Date]&lt;42826),Table1[Managing Money and Personal Administration],""))</f>
        <v/>
      </c>
      <c r="FX399" s="44" t="str">
        <f>IF(Table1[Date of Initial Assessment]="","",IF(AND(Table1[Start Date]&gt;42460,Table1[Start Date]&lt;42826),Table1[Social Networks and Relationships],""))</f>
        <v/>
      </c>
      <c r="FY399" s="44" t="str">
        <f>IF(Table1[Date of Initial Assessment]="","",IF(AND(Table1[Start Date]&gt;42460,Table1[Start Date]&lt;42826),Table1[Drug and Alcohol Misuse],""))</f>
        <v/>
      </c>
      <c r="FZ399" s="44" t="str">
        <f>IF(Table1[Date of Initial Assessment]="","",IF(AND(Table1[Start Date]&gt;42460,Table1[Start Date]&lt;42826),Table1[Physical Health],""))</f>
        <v/>
      </c>
      <c r="GA399" s="44" t="str">
        <f>IF(Table1[Date of Initial Assessment]="","",IF(AND(Table1[Start Date]&gt;42460,Table1[Start Date]&lt;42826),Table1[Emotional and Mental Health],""))</f>
        <v/>
      </c>
      <c r="GB399" s="44" t="str">
        <f>IF(Table1[Date of Initial Assessment]="","",IF(AND(Table1[Start Date]&gt;42460,Table1[Start Date]&lt;42826),Table1[Meaningful Use of Time],""))</f>
        <v/>
      </c>
      <c r="GC399" s="44" t="str">
        <f>IF(Table1[Date of Initial Assessment]="","",IF(AND(Table1[Start Date]&gt;42460,Table1[Start Date]&lt;42826),Table1[Managing Tenancy and Accommodation],""))</f>
        <v/>
      </c>
      <c r="GD399" s="44" t="str">
        <f>IF(Table1[Date of Initial Assessment]="","",IF(AND(Table1[Start Date]&gt;42460,Table1[Start Date]&lt;42826),Table1[Offending],""))</f>
        <v/>
      </c>
      <c r="GE399" s="44" t="str">
        <f>IF(Table1[Leaving Date]="","",IF(AND(Table1[Leaving Date]&gt;42460,Table1[Leaving Date]&lt;42826),IF(Table1[Date of Last Assessment]="",Table1[Motivation and Taking Responsibility],Table1[Motivation and Taking Responsibility2]),""))</f>
        <v/>
      </c>
      <c r="GF399" s="44" t="str">
        <f>IF(Table1[Leaving Date]="","",IF(AND(Table1[Leaving Date]&gt;42460,Table1[Leaving Date]&lt;42826),IF(Table1[Date of Last Assessment]="",Table1[Self-Care and Living Skills],Table1[Self-Care and Living Skills2]),""))</f>
        <v/>
      </c>
      <c r="GG399" s="44" t="str">
        <f>IF(Table1[Leaving Date]="","",IF(AND(Table1[Leaving Date]&gt;42460,Table1[Leaving Date]&lt;42826),IF(Table1[Date of Last Assessment]="",Table1[Managing Money and Personal Administration],Table1[Managing Money and Personal Administration2]),""))</f>
        <v/>
      </c>
      <c r="GH399" s="44" t="str">
        <f>IF(Table1[Leaving Date]="","",IF(AND(Table1[Leaving Date]&gt;42460,Table1[Leaving Date]&lt;42826),IF(Table1[Date of Last Assessment]="",Table1[Social Networks and Relationships],Table1[Social Networks and Relationships2]),""))</f>
        <v/>
      </c>
      <c r="GI399" s="44" t="str">
        <f>IF(Table1[Leaving Date]="","",IF(AND(Table1[Leaving Date]&gt;42460,Table1[Leaving Date]&lt;42826),IF(Table1[Date of Last Assessment]="",Table1[Drug and Alcohol Misuse],Table1[Drug and Alcohol Misuse2]),""))</f>
        <v/>
      </c>
      <c r="GJ399" s="44" t="str">
        <f>IF(Table1[Leaving Date]="","",IF(AND(Table1[Leaving Date]&gt;42460,Table1[Leaving Date]&lt;42826),IF(Table1[Date of Last Assessment]="",Table1[Physical Health],Table1[Physical Health2]),""))</f>
        <v/>
      </c>
      <c r="GK399" s="44" t="str">
        <f>IF(Table1[Leaving Date]="","",IF(AND(Table1[Leaving Date]&gt;42460,Table1[Leaving Date]&lt;42826),IF(Table1[Date of Last Assessment]="",Table1[Emotional and Mental Health],Table1[Emotional and Mental Health2]),""))</f>
        <v/>
      </c>
      <c r="GL399" s="44" t="str">
        <f>IF(Table1[Leaving Date]="","",IF(AND(Table1[Leaving Date]&gt;42460,Table1[Leaving Date]&lt;42826),IF(Table1[Date of Last Assessment]="",Table1[Meaningful Use of Time],Table1[Meaningful Use of Time2]),""))</f>
        <v/>
      </c>
      <c r="GM399" s="44" t="str">
        <f>IF(Table1[Leaving Date]="","",IF(AND(Table1[Leaving Date]&gt;42460,Table1[Leaving Date]&lt;42826),IF(Table1[Date of Last Assessment]="",Table1[Managing Tenancy and Accommodation],Table1[Managing Tenancy and Accommodation2]),""))</f>
        <v/>
      </c>
      <c r="GN399" s="44" t="str">
        <f>IF(Table1[Leaving Date]="","",IF(AND(Table1[Leaving Date]&gt;42460,Table1[Leaving Date]&lt;42826),IF(Table1[Date of Last Assessment]="",Table1[Offending],Table1[Offending2]),""))</f>
        <v/>
      </c>
    </row>
    <row r="400" spans="2:196" ht="20.100000000000001" customHeight="1" x14ac:dyDescent="0.2">
      <c r="B400" s="86">
        <f>+'Service Data'!$C$5:$C$5</f>
        <v>0</v>
      </c>
      <c r="C400" s="86"/>
      <c r="D400" s="86"/>
      <c r="E400" s="86"/>
      <c r="F400" s="86"/>
      <c r="G400" s="86"/>
      <c r="H400" s="6"/>
      <c r="I400" s="99" t="str">
        <f ca="1">IF(Table1[[#This Row],[Date of Birth]]="","",SUM(TODAY()-Table1[[#This Row],[Date of Birth]])/365)</f>
        <v/>
      </c>
      <c r="L400" s="86"/>
      <c r="M400" s="77"/>
      <c r="N400" s="86"/>
      <c r="O400" s="86"/>
      <c r="P400" s="91"/>
      <c r="Q400" s="86"/>
      <c r="R400" s="77"/>
      <c r="S400" s="77"/>
      <c r="T400" s="68"/>
      <c r="U400" s="68"/>
      <c r="V400" s="67"/>
      <c r="W400" s="67"/>
      <c r="X400" s="67"/>
      <c r="Y400" s="67"/>
      <c r="Z400" s="67"/>
      <c r="AA400" s="67"/>
      <c r="AB400" s="67"/>
      <c r="AC400" s="67"/>
      <c r="AD400" s="67"/>
      <c r="AE400" s="67"/>
      <c r="AF400" s="67"/>
      <c r="AG400" s="67"/>
      <c r="AH400" s="67"/>
      <c r="AI400" s="67"/>
      <c r="AJ400" s="67"/>
      <c r="AK400" s="67"/>
      <c r="AL400" s="67"/>
      <c r="AM400" s="67"/>
      <c r="AN400" s="77"/>
      <c r="AO400" s="76"/>
      <c r="AP400" s="77"/>
      <c r="AQ400" s="76"/>
      <c r="AR400" s="76"/>
      <c r="AS400" s="76"/>
      <c r="AT400" s="76"/>
      <c r="AU400" s="76"/>
      <c r="AV400" s="77"/>
      <c r="AW400" s="76"/>
      <c r="AX400" s="77"/>
      <c r="AY400" s="76"/>
      <c r="AZ400" s="76"/>
      <c r="BA400" s="76"/>
      <c r="BB400" s="76"/>
      <c r="BC400" s="76"/>
      <c r="BD400" s="77"/>
      <c r="BE400" s="76"/>
      <c r="BF400" s="77"/>
      <c r="BG400" s="76"/>
      <c r="BH400" s="76"/>
      <c r="BI400" s="76"/>
      <c r="BJ400" s="76"/>
      <c r="BK400" s="76"/>
      <c r="BL400" s="77"/>
      <c r="BM400" s="76"/>
      <c r="BN400" s="77"/>
      <c r="BO400" s="76"/>
      <c r="BP400" s="76"/>
      <c r="BQ400" s="76"/>
      <c r="BR400" s="76"/>
      <c r="BS400" s="76"/>
      <c r="BT400" s="77"/>
      <c r="BU400" s="76"/>
      <c r="BV400" s="77"/>
      <c r="BW400" s="76"/>
      <c r="BX400" s="76"/>
      <c r="BY400" s="76"/>
      <c r="BZ400" s="76"/>
      <c r="CA400" s="76"/>
      <c r="CB400" s="77"/>
      <c r="CC400" s="76"/>
      <c r="CD400" s="77"/>
      <c r="CE400" s="76"/>
      <c r="CF400" s="76"/>
      <c r="CG400" s="76"/>
      <c r="CH400" s="76"/>
      <c r="CI400" s="76"/>
      <c r="CJ400" s="77"/>
      <c r="CK400" s="76"/>
      <c r="CL400" s="77"/>
      <c r="CM400" s="76"/>
      <c r="CN400" s="76"/>
      <c r="CO400" s="76"/>
      <c r="CP400" s="76"/>
      <c r="CQ400" s="76"/>
      <c r="CR400" s="78" t="str">
        <f t="shared" si="111"/>
        <v/>
      </c>
      <c r="CS400" s="79" t="str">
        <f t="shared" si="112"/>
        <v/>
      </c>
      <c r="CT400" s="79" t="str">
        <f t="shared" si="113"/>
        <v/>
      </c>
      <c r="CU400" s="79" t="str">
        <f t="shared" si="114"/>
        <v/>
      </c>
      <c r="CV400" s="79" t="str">
        <f t="shared" si="115"/>
        <v/>
      </c>
      <c r="CW400" s="79" t="str">
        <f t="shared" si="116"/>
        <v/>
      </c>
      <c r="CX400" s="79" t="str">
        <f t="shared" si="117"/>
        <v/>
      </c>
      <c r="CY400" s="79" t="str">
        <f t="shared" si="118"/>
        <v/>
      </c>
      <c r="CZ400" s="79" t="str">
        <f t="shared" si="119"/>
        <v/>
      </c>
      <c r="DA400" s="79" t="str">
        <f t="shared" si="120"/>
        <v/>
      </c>
      <c r="DB400" s="79" t="str">
        <f t="shared" si="121"/>
        <v/>
      </c>
      <c r="DC400" s="79" t="str">
        <f t="shared" si="122"/>
        <v/>
      </c>
      <c r="DD400" s="79" t="str">
        <f t="shared" si="123"/>
        <v/>
      </c>
      <c r="DE400" s="79" t="str">
        <f t="shared" si="124"/>
        <v/>
      </c>
      <c r="DF400" s="79" t="str">
        <f t="shared" si="125"/>
        <v/>
      </c>
      <c r="DG400" s="79" t="str">
        <f t="shared" si="126"/>
        <v/>
      </c>
      <c r="DH400" s="76"/>
      <c r="DI400" s="78"/>
      <c r="DJ400" s="76"/>
      <c r="DK400" s="77"/>
      <c r="DL400" s="77"/>
      <c r="DM400" s="77"/>
      <c r="DN400" s="80"/>
      <c r="DO400" s="80"/>
      <c r="DP400" s="92" t="str">
        <f>IF(Table1[Start Date]="","",IF(Table1[Start Date]&gt;42185,"",IF(AND(Table1[Leaving Date]&gt;1,Table1[Leaving Date]&lt;42095),"",1)))</f>
        <v/>
      </c>
      <c r="DQ400" s="92" t="str">
        <f>IF(Table1[Start Date]="","",IF(Table1[Start Date]&gt;42277,"",IF(AND(Table1[Leaving Date]&gt;1,Table1[Leaving Date]&lt;42186),"",1)))</f>
        <v/>
      </c>
      <c r="DR400" s="92" t="str">
        <f>IF(Table1[Start Date]="","",IF(Table1[Start Date]&gt;42369,"",IF(AND(Table1[Leaving Date]&gt;1,Table1[Leaving Date]&lt;42278),"",1)))</f>
        <v/>
      </c>
      <c r="DS400" s="92" t="str">
        <f>IF(Table1[Start Date]="","",IF(Table1[Start Date]&gt;42460,"",IF(AND(Table1[Leaving Date]&gt;1,Table1[Leaving Date]&lt;42370),"",1)))</f>
        <v/>
      </c>
      <c r="DT400" s="92" t="str">
        <f>IF(Table1[Start Date]="","",IF(Table1[Start Date]&gt;42551,"",IF(AND(Table1[Leaving Date]&gt;1,Table1[Leaving Date]&lt;42461),"",1)))</f>
        <v/>
      </c>
      <c r="DU400" s="92" t="str">
        <f>IF(Table1[Start Date]="","",IF(Table1[Start Date]&gt;42643,"",IF(AND(Table1[Leaving Date]&gt;1,Table1[Leaving Date]&lt;42552),"",1)))</f>
        <v/>
      </c>
      <c r="DV400" s="92" t="str">
        <f>IF(Table1[Start Date]="","",IF(Table1[Start Date]&gt;42735,"",IF(AND(Table1[Leaving Date]&gt;1,Table1[Leaving Date]&lt;42644),"",1)))</f>
        <v/>
      </c>
      <c r="DW400" s="92" t="str">
        <f>IF(Table1[Start Date]="","",IF(Table1[Start Date]&gt;42825,"",IF(AND(Table1[Leaving Date]&gt;1,Table1[Leaving Date]&lt;42736),"",1)))</f>
        <v/>
      </c>
      <c r="DX400"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400" s="44" t="e">
        <f>VLOOKUP(Table1[Referral Source],Lists!$G$2:$H$20,2,FALSE)</f>
        <v>#N/A</v>
      </c>
      <c r="DZ400" s="93" t="e">
        <f>SUM(Table1[Data Referral Quarter]+Table1[Data Referral Source])</f>
        <v>#N/A</v>
      </c>
      <c r="EA400" s="44" t="b">
        <f>IF(Table1[Referral Decision]="Accepted",100,IF(Table1[Referral Decision]="Rejected by Provider",200,IF(Table1[Referral Decision]="Rejected by Applicant",300)))</f>
        <v>0</v>
      </c>
      <c r="EB400" s="44">
        <f>SUM(Table1[Data Referral Quarter]+Table1[Data Referral Decision])</f>
        <v>0</v>
      </c>
      <c r="EC400" s="44" t="b">
        <f>IF(Table1[Start Date]&gt;42735,8000,IF(Table1[Start Date]&gt;42643,7000,IF(Table1[Start Date]&gt;42551,6000,IF(Table1[Start Date]&gt;42460,5000,IF(Table1[Start Date]&gt;42369,4000,IF(Table1[Start Date]&gt;42277,3000,IF(Table1[Start Date]&gt;42185,2000,IF(Table1[Start Date]&gt;42094,1000))))))))</f>
        <v>0</v>
      </c>
      <c r="ED400" s="44" t="str">
        <f>IF(Table1[Start Date]="","",IF(Table1[Current Local Authority]="Swindon",1,"2"))</f>
        <v/>
      </c>
      <c r="EE400" s="44" t="e">
        <f>SUM(Table1[Data Start Date]+Table1[Data Local Authority])</f>
        <v>#VALUE!</v>
      </c>
      <c r="EF400" s="44">
        <f>IF(Table1[Registered with GP]="Yes",1,0)</f>
        <v>0</v>
      </c>
      <c r="EG400" s="44">
        <f>SUM(Table1[Data Start Date]+Table1[Data GP Start])</f>
        <v>0</v>
      </c>
      <c r="EH400" s="44" t="str">
        <f>IF(Table1[EET]="NEET",1,IF(Table1[EET]="Education",2,IF(Table1[EET]="Employment",2,IF(Table1[EET]="Training",2,IF(Table1[EET]="Retired",3,"")))))</f>
        <v/>
      </c>
      <c r="EI400" s="44" t="e">
        <f>Table1[Data Start Date]+Table1[Data EET Start]</f>
        <v>#VALUE!</v>
      </c>
      <c r="EJ400" s="44" t="b">
        <f>IF(Table1[Leaving Date]&gt;42735,8000,IF(Table1[Leaving Date]&gt;42643,7000,IF(Table1[Leaving Date]&gt;42551,6000,IF(Table1[Leaving Date]&gt;42460,5000,IF(Table1[Leaving Date]&gt;42369,4000,IF(Table1[Leaving Date]&gt;42277,3000,IF(Table1[Leaving Date]&gt;42185,2000,IF(Table1[Leaving Date]&gt;42094,1000))))))))</f>
        <v>0</v>
      </c>
      <c r="EK400" s="44" t="e">
        <f>VLOOKUP(Table1[Reason for Leaving],Lists!$T$2:$U$15,2,FALSE)</f>
        <v>#N/A</v>
      </c>
      <c r="EL400" s="44" t="e">
        <f>SUM(Table1[Data Leavers Date]+Table1[Data Move On])</f>
        <v>#N/A</v>
      </c>
      <c r="EM400" s="44" t="b">
        <f>IF(Table1[Registered with GP2]="Yes",1,IF(Table1[Registered with GP2]="No",0,IF(Table1[Registered with GP]="Yes",1,IF(Table1[Registered with GP]="No",0))))</f>
        <v>0</v>
      </c>
      <c r="EN400" s="44">
        <f>SUM(Table1[Data Leavers Date]+Table1[Data GP End])</f>
        <v>0</v>
      </c>
      <c r="EO400" s="44" t="str">
        <f>IF(Table1[EET2]="NEET",1,IF(Table1[EET2]="Employment",2,IF(Table1[EET2]="Education",2,IF(Table1[EET2]="Training",2,IF(Table1[EET2]="Retired",3,IF(Table1[EET]="NEET",1,IF(Table1[EET]="Employment",2,IF(Table1[EET]="Education",2,IF(Table1[EET]="Training",2,IF(Table1[EET]="Retired",3,""))))))))))</f>
        <v/>
      </c>
      <c r="EP400" s="44" t="e">
        <f>+Table1[[#This Row],[Data Leavers Date]]+Table1[[#This Row],[Data EET End]]</f>
        <v>#VALUE!</v>
      </c>
      <c r="EQ400" s="44">
        <f>IF(Table1[Exit Form Received]="Yes",1,0)</f>
        <v>0</v>
      </c>
      <c r="ER400" s="44">
        <f>+Table1[[#This Row],[Data Leavers Date]]+Table1[[#This Row],[Data Exit Forms]]</f>
        <v>0</v>
      </c>
      <c r="ES400" s="44" t="str">
        <f>IF(Table1[Data Leavers Date]=1000,SUM(Table1[Leaving Date]-Table1[Start Date]),"")</f>
        <v/>
      </c>
      <c r="ET400" s="44" t="str">
        <f>IF(Table1[Data Leavers Date]=2000,SUM(Table1[Leaving Date]-Table1[Start Date]),"")</f>
        <v/>
      </c>
      <c r="EU400" s="44" t="str">
        <f>IF(Table1[Data Leavers Date]=3000,SUM(Table1[Leaving Date]-Table1[Start Date]),"")</f>
        <v/>
      </c>
      <c r="EV400" s="44" t="str">
        <f>IF(Table1[Data Leavers Date]=4000,SUM(Table1[Leaving Date]-Table1[Start Date]),"")</f>
        <v/>
      </c>
      <c r="EW400" s="44" t="str">
        <f>IF(Table1[Data Leavers Date]=5000,SUM(Table1[Leaving Date]-Table1[Start Date]),"")</f>
        <v/>
      </c>
      <c r="EX400" s="44" t="str">
        <f>IF(Table1[Data Leavers Date]=6000,SUM(Table1[Leaving Date]-Table1[Start Date]),"")</f>
        <v/>
      </c>
      <c r="EY400" s="44" t="str">
        <f>IF(Table1[Data Leavers Date]=7000,SUM(Table1[Leaving Date]-Table1[Start Date]),"")</f>
        <v/>
      </c>
      <c r="EZ400" s="44" t="str">
        <f>IF(Table1[Data Leavers Date]=8000,SUM(Table1[Leaving Date]-Table1[Start Date]),"")</f>
        <v/>
      </c>
      <c r="FA400" s="44" t="str">
        <f>IF(Table1[Date of Initial Assessment]="","",IF(AND(Table1[Start Date]&gt;42094,Table1[Start Date]&lt;42461),Table1[Motivation and Taking Responsibility],""))</f>
        <v/>
      </c>
      <c r="FB400" s="44" t="str">
        <f>IF(Table1[Date of Initial Assessment]="","",IF(AND(Table1[Start Date]&gt;42094,Table1[Start Date]&lt;42461),Table1[Self-Care and Living Skills],""))</f>
        <v/>
      </c>
      <c r="FC400" s="44" t="str">
        <f>IF(Table1[Date of Initial Assessment]="","",IF(AND(Table1[Start Date]&gt;42094,Table1[Start Date]&lt;42461),Table1[Managing Money and Personal Administration],""))</f>
        <v/>
      </c>
      <c r="FD400" s="44" t="str">
        <f>IF(Table1[Date of Initial Assessment]="","",IF(AND(Table1[Start Date]&gt;42094,Table1[Start Date]&lt;42461),Table1[Social Networks and Relationships],""))</f>
        <v/>
      </c>
      <c r="FE400" s="44" t="str">
        <f>IF(Table1[Date of Initial Assessment]="","",IF(AND(Table1[Start Date]&gt;42094,Table1[Start Date]&lt;42461),Table1[Drug and Alcohol Misuse],""))</f>
        <v/>
      </c>
      <c r="FF400" s="44" t="str">
        <f>IF(Table1[Date of Initial Assessment]="","",IF(AND(Table1[Start Date]&gt;42094,Table1[Start Date]&lt;42461),Table1[Physical Health],""))</f>
        <v/>
      </c>
      <c r="FG400" s="44" t="str">
        <f>IF(Table1[Date of Initial Assessment]="","",IF(AND(Table1[Start Date]&gt;42094,Table1[Start Date]&lt;42461),Table1[Emotional and Mental Health],""))</f>
        <v/>
      </c>
      <c r="FH400" s="44" t="str">
        <f>IF(Table1[Date of Initial Assessment]="","",IF(AND(Table1[Start Date]&gt;42094,Table1[Start Date]&lt;42461),Table1[Meaningful Use of Time],""))</f>
        <v/>
      </c>
      <c r="FI400" s="44" t="str">
        <f>IF(Table1[Date of Initial Assessment]="","",IF(AND(Table1[Start Date]&gt;42094,Table1[Start Date]&lt;42461),Table1[Managing Tenancy and Accommodation],""))</f>
        <v/>
      </c>
      <c r="FJ400" s="44" t="str">
        <f>IF(Table1[Date of Initial Assessment]="","",IF(AND(Table1[Start Date]&gt;42094,Table1[Start Date]&lt;42461),Table1[Offending],""))</f>
        <v/>
      </c>
      <c r="FK400" s="44" t="str">
        <f>IF(Table1[Leaving Date]="","",IF(Table1[Date of Initial Assessment]="","",IF(AND(Table1[Leaving Date]&gt;42094,Table1[Leaving Date]&lt;42461),IF(Table1[Date of Last Assessment]="",Table1[Motivation and Taking Responsibility],Table1[Motivation and Taking Responsibility2]),"")))</f>
        <v/>
      </c>
      <c r="FL400" s="44" t="str">
        <f>IF(Table1[Leaving Date]="","",IF(Table1[Date of Initial Assessment]="","",IF(AND(Table1[Leaving Date]&gt;42094,Table1[Leaving Date]&lt;42461),IF(Table1[Date of Last Assessment]="",Table1[Self-Care and Living Skills],Table1[Self-Care and Living Skills2]),"")))</f>
        <v/>
      </c>
      <c r="FM400" s="44" t="str">
        <f>IF(Table1[Leaving Date]="","",IF(Table1[Date of Initial Assessment]="","",IF(AND(Table1[Leaving Date]&gt;42094,Table1[Leaving Date]&lt;42461),IF(Table1[Date of Last Assessment]="",Table1[Managing Money and Personal Administration],Table1[Managing Money and Personal Administration2]),"")))</f>
        <v/>
      </c>
      <c r="FN400" s="44" t="str">
        <f>IF(Table1[Leaving Date]="","",IF(Table1[Date of Initial Assessment]="","",IF(AND(Table1[Leaving Date]&gt;42094,Table1[Leaving Date]&lt;42461),IF(Table1[Date of Last Assessment]="",Table1[Social Networks and Relationships],Table1[Social Networks and Relationships2]),"")))</f>
        <v/>
      </c>
      <c r="FO400" s="44" t="str">
        <f>IF(Table1[Leaving Date]="","",IF(Table1[Date of Initial Assessment]="","",IF(AND(Table1[Leaving Date]&gt;42094,Table1[Leaving Date]&lt;42461),IF(Table1[Date of Last Assessment]="",Table1[Drug and Alcohol Misuse],Table1[Drug and Alcohol Misuse2]),"")))</f>
        <v/>
      </c>
      <c r="FP400" s="44" t="str">
        <f>IF(Table1[Leaving Date]="","",IF(Table1[Date of Initial Assessment]="","",IF(AND(Table1[Leaving Date]&gt;42094,Table1[Leaving Date]&lt;42461),IF(Table1[Date of Last Assessment]="",Table1[Physical Health],Table1[Physical Health2]),"")))</f>
        <v/>
      </c>
      <c r="FQ400" s="44" t="str">
        <f>IF(Table1[Leaving Date]="","",IF(Table1[Date of Initial Assessment]="","",IF(AND(Table1[Leaving Date]&gt;42094,Table1[Leaving Date]&lt;42461),IF(Table1[Date of Last Assessment]="",Table1[Emotional and Mental Health],Table1[Emotional and Mental Health2]),"")))</f>
        <v/>
      </c>
      <c r="FR400" s="44" t="str">
        <f>IF(Table1[Leaving Date]="","",IF(Table1[Date of Initial Assessment]="","",IF(AND(Table1[Leaving Date]&gt;42094,Table1[Leaving Date]&lt;42461),IF(Table1[Date of Last Assessment]="",Table1[Meaningful Use of Time],Table1[Meaningful Use of Time2]),"")))</f>
        <v/>
      </c>
      <c r="FS400" s="44" t="str">
        <f>IF(Table1[Leaving Date]="","",IF(Table1[Date of Initial Assessment]="","",IF(AND(Table1[Leaving Date]&gt;42094,Table1[Leaving Date]&lt;42461),IF(Table1[Date of Last Assessment]="",Table1[Managing Tenancy and Accommodation],Table1[Managing Tenancy and Accommodation2]),"")))</f>
        <v/>
      </c>
      <c r="FT400" s="44" t="str">
        <f>IF(Table1[Leaving Date]="","",IF(Table1[Date of Initial Assessment]="","",IF(AND(Table1[Leaving Date]&gt;42094,Table1[Leaving Date]&lt;42461),IF(Table1[Date of Last Assessment]="",Table1[Offending],Table1[Offending2]),"")))</f>
        <v/>
      </c>
      <c r="FU400" s="44" t="str">
        <f>IF(Table1[Date of Initial Assessment]="","",IF(AND(Table1[Start Date]&gt;42460,Table1[Start Date]&lt;42826),Table1[Motivation and Taking Responsibility],""))</f>
        <v/>
      </c>
      <c r="FV400" s="44" t="str">
        <f>IF(Table1[Date of Initial Assessment]="","",IF(AND(Table1[Start Date]&gt;42460,Table1[Start Date]&lt;42826),Table1[Self-Care and Living Skills],""))</f>
        <v/>
      </c>
      <c r="FW400" s="44" t="str">
        <f>IF(Table1[Date of Initial Assessment]="","",IF(AND(Table1[Start Date]&gt;42460,Table1[Start Date]&lt;42826),Table1[Managing Money and Personal Administration],""))</f>
        <v/>
      </c>
      <c r="FX400" s="44" t="str">
        <f>IF(Table1[Date of Initial Assessment]="","",IF(AND(Table1[Start Date]&gt;42460,Table1[Start Date]&lt;42826),Table1[Social Networks and Relationships],""))</f>
        <v/>
      </c>
      <c r="FY400" s="44" t="str">
        <f>IF(Table1[Date of Initial Assessment]="","",IF(AND(Table1[Start Date]&gt;42460,Table1[Start Date]&lt;42826),Table1[Drug and Alcohol Misuse],""))</f>
        <v/>
      </c>
      <c r="FZ400" s="44" t="str">
        <f>IF(Table1[Date of Initial Assessment]="","",IF(AND(Table1[Start Date]&gt;42460,Table1[Start Date]&lt;42826),Table1[Physical Health],""))</f>
        <v/>
      </c>
      <c r="GA400" s="44" t="str">
        <f>IF(Table1[Date of Initial Assessment]="","",IF(AND(Table1[Start Date]&gt;42460,Table1[Start Date]&lt;42826),Table1[Emotional and Mental Health],""))</f>
        <v/>
      </c>
      <c r="GB400" s="44" t="str">
        <f>IF(Table1[Date of Initial Assessment]="","",IF(AND(Table1[Start Date]&gt;42460,Table1[Start Date]&lt;42826),Table1[Meaningful Use of Time],""))</f>
        <v/>
      </c>
      <c r="GC400" s="44" t="str">
        <f>IF(Table1[Date of Initial Assessment]="","",IF(AND(Table1[Start Date]&gt;42460,Table1[Start Date]&lt;42826),Table1[Managing Tenancy and Accommodation],""))</f>
        <v/>
      </c>
      <c r="GD400" s="44" t="str">
        <f>IF(Table1[Date of Initial Assessment]="","",IF(AND(Table1[Start Date]&gt;42460,Table1[Start Date]&lt;42826),Table1[Offending],""))</f>
        <v/>
      </c>
      <c r="GE400" s="44" t="str">
        <f>IF(Table1[Leaving Date]="","",IF(AND(Table1[Leaving Date]&gt;42460,Table1[Leaving Date]&lt;42826),IF(Table1[Date of Last Assessment]="",Table1[Motivation and Taking Responsibility],Table1[Motivation and Taking Responsibility2]),""))</f>
        <v/>
      </c>
      <c r="GF400" s="44" t="str">
        <f>IF(Table1[Leaving Date]="","",IF(AND(Table1[Leaving Date]&gt;42460,Table1[Leaving Date]&lt;42826),IF(Table1[Date of Last Assessment]="",Table1[Self-Care and Living Skills],Table1[Self-Care and Living Skills2]),""))</f>
        <v/>
      </c>
      <c r="GG400" s="44" t="str">
        <f>IF(Table1[Leaving Date]="","",IF(AND(Table1[Leaving Date]&gt;42460,Table1[Leaving Date]&lt;42826),IF(Table1[Date of Last Assessment]="",Table1[Managing Money and Personal Administration],Table1[Managing Money and Personal Administration2]),""))</f>
        <v/>
      </c>
      <c r="GH400" s="44" t="str">
        <f>IF(Table1[Leaving Date]="","",IF(AND(Table1[Leaving Date]&gt;42460,Table1[Leaving Date]&lt;42826),IF(Table1[Date of Last Assessment]="",Table1[Social Networks and Relationships],Table1[Social Networks and Relationships2]),""))</f>
        <v/>
      </c>
      <c r="GI400" s="44" t="str">
        <f>IF(Table1[Leaving Date]="","",IF(AND(Table1[Leaving Date]&gt;42460,Table1[Leaving Date]&lt;42826),IF(Table1[Date of Last Assessment]="",Table1[Drug and Alcohol Misuse],Table1[Drug and Alcohol Misuse2]),""))</f>
        <v/>
      </c>
      <c r="GJ400" s="44" t="str">
        <f>IF(Table1[Leaving Date]="","",IF(AND(Table1[Leaving Date]&gt;42460,Table1[Leaving Date]&lt;42826),IF(Table1[Date of Last Assessment]="",Table1[Physical Health],Table1[Physical Health2]),""))</f>
        <v/>
      </c>
      <c r="GK400" s="44" t="str">
        <f>IF(Table1[Leaving Date]="","",IF(AND(Table1[Leaving Date]&gt;42460,Table1[Leaving Date]&lt;42826),IF(Table1[Date of Last Assessment]="",Table1[Emotional and Mental Health],Table1[Emotional and Mental Health2]),""))</f>
        <v/>
      </c>
      <c r="GL400" s="44" t="str">
        <f>IF(Table1[Leaving Date]="","",IF(AND(Table1[Leaving Date]&gt;42460,Table1[Leaving Date]&lt;42826),IF(Table1[Date of Last Assessment]="",Table1[Meaningful Use of Time],Table1[Meaningful Use of Time2]),""))</f>
        <v/>
      </c>
      <c r="GM400" s="44" t="str">
        <f>IF(Table1[Leaving Date]="","",IF(AND(Table1[Leaving Date]&gt;42460,Table1[Leaving Date]&lt;42826),IF(Table1[Date of Last Assessment]="",Table1[Managing Tenancy and Accommodation],Table1[Managing Tenancy and Accommodation2]),""))</f>
        <v/>
      </c>
      <c r="GN400" s="44" t="str">
        <f>IF(Table1[Leaving Date]="","",IF(AND(Table1[Leaving Date]&gt;42460,Table1[Leaving Date]&lt;42826),IF(Table1[Date of Last Assessment]="",Table1[Offending],Table1[Offending2]),""))</f>
        <v/>
      </c>
    </row>
    <row r="401" spans="2:196" ht="20.100000000000001" customHeight="1" x14ac:dyDescent="0.2">
      <c r="B401" s="86">
        <f>+'Service Data'!$C$5:$C$5</f>
        <v>0</v>
      </c>
      <c r="C401" s="86"/>
      <c r="D401" s="86"/>
      <c r="E401" s="86"/>
      <c r="F401" s="86"/>
      <c r="G401" s="86"/>
      <c r="H401" s="6"/>
      <c r="I401" s="99" t="str">
        <f ca="1">IF(Table1[[#This Row],[Date of Birth]]="","",SUM(TODAY()-Table1[[#This Row],[Date of Birth]])/365)</f>
        <v/>
      </c>
      <c r="L401" s="86"/>
      <c r="M401" s="77"/>
      <c r="N401" s="86"/>
      <c r="O401" s="86"/>
      <c r="P401" s="91"/>
      <c r="Q401" s="86"/>
      <c r="R401" s="77"/>
      <c r="S401" s="77"/>
      <c r="T401" s="68"/>
      <c r="U401" s="68"/>
      <c r="V401" s="67"/>
      <c r="W401" s="67"/>
      <c r="X401" s="67"/>
      <c r="Y401" s="67"/>
      <c r="Z401" s="67"/>
      <c r="AA401" s="67"/>
      <c r="AB401" s="67"/>
      <c r="AC401" s="67"/>
      <c r="AD401" s="67"/>
      <c r="AE401" s="67"/>
      <c r="AF401" s="67"/>
      <c r="AG401" s="67"/>
      <c r="AH401" s="67"/>
      <c r="AI401" s="67"/>
      <c r="AJ401" s="67"/>
      <c r="AK401" s="67"/>
      <c r="AL401" s="67"/>
      <c r="AM401" s="67"/>
      <c r="AN401" s="77"/>
      <c r="AO401" s="76"/>
      <c r="AP401" s="77"/>
      <c r="AQ401" s="76"/>
      <c r="AR401" s="76"/>
      <c r="AS401" s="76"/>
      <c r="AT401" s="76"/>
      <c r="AU401" s="76"/>
      <c r="AV401" s="77"/>
      <c r="AW401" s="76"/>
      <c r="AX401" s="77"/>
      <c r="AY401" s="76"/>
      <c r="AZ401" s="76"/>
      <c r="BA401" s="76"/>
      <c r="BB401" s="76"/>
      <c r="BC401" s="76"/>
      <c r="BD401" s="77"/>
      <c r="BE401" s="76"/>
      <c r="BF401" s="77"/>
      <c r="BG401" s="76"/>
      <c r="BH401" s="76"/>
      <c r="BI401" s="76"/>
      <c r="BJ401" s="76"/>
      <c r="BK401" s="76"/>
      <c r="BL401" s="77"/>
      <c r="BM401" s="76"/>
      <c r="BN401" s="77"/>
      <c r="BO401" s="76"/>
      <c r="BP401" s="76"/>
      <c r="BQ401" s="76"/>
      <c r="BR401" s="76"/>
      <c r="BS401" s="76"/>
      <c r="BT401" s="77"/>
      <c r="BU401" s="76"/>
      <c r="BV401" s="77"/>
      <c r="BW401" s="76"/>
      <c r="BX401" s="76"/>
      <c r="BY401" s="76"/>
      <c r="BZ401" s="76"/>
      <c r="CA401" s="76"/>
      <c r="CB401" s="77"/>
      <c r="CC401" s="76"/>
      <c r="CD401" s="77"/>
      <c r="CE401" s="76"/>
      <c r="CF401" s="76"/>
      <c r="CG401" s="76"/>
      <c r="CH401" s="76"/>
      <c r="CI401" s="76"/>
      <c r="CJ401" s="77"/>
      <c r="CK401" s="76"/>
      <c r="CL401" s="77"/>
      <c r="CM401" s="76"/>
      <c r="CN401" s="76"/>
      <c r="CO401" s="76"/>
      <c r="CP401" s="76"/>
      <c r="CQ401" s="76"/>
      <c r="CR401" s="78" t="str">
        <f t="shared" si="111"/>
        <v/>
      </c>
      <c r="CS401" s="79" t="str">
        <f t="shared" si="112"/>
        <v/>
      </c>
      <c r="CT401" s="79" t="str">
        <f t="shared" si="113"/>
        <v/>
      </c>
      <c r="CU401" s="79" t="str">
        <f t="shared" si="114"/>
        <v/>
      </c>
      <c r="CV401" s="79" t="str">
        <f t="shared" si="115"/>
        <v/>
      </c>
      <c r="CW401" s="79" t="str">
        <f t="shared" si="116"/>
        <v/>
      </c>
      <c r="CX401" s="79" t="str">
        <f t="shared" si="117"/>
        <v/>
      </c>
      <c r="CY401" s="79" t="str">
        <f t="shared" si="118"/>
        <v/>
      </c>
      <c r="CZ401" s="79" t="str">
        <f t="shared" si="119"/>
        <v/>
      </c>
      <c r="DA401" s="79" t="str">
        <f t="shared" si="120"/>
        <v/>
      </c>
      <c r="DB401" s="79" t="str">
        <f t="shared" si="121"/>
        <v/>
      </c>
      <c r="DC401" s="79" t="str">
        <f t="shared" si="122"/>
        <v/>
      </c>
      <c r="DD401" s="79" t="str">
        <f t="shared" si="123"/>
        <v/>
      </c>
      <c r="DE401" s="79" t="str">
        <f t="shared" si="124"/>
        <v/>
      </c>
      <c r="DF401" s="79" t="str">
        <f t="shared" si="125"/>
        <v/>
      </c>
      <c r="DG401" s="79" t="str">
        <f t="shared" si="126"/>
        <v/>
      </c>
      <c r="DH401" s="76"/>
      <c r="DI401" s="78"/>
      <c r="DJ401" s="76"/>
      <c r="DK401" s="77"/>
      <c r="DL401" s="77"/>
      <c r="DM401" s="77"/>
      <c r="DN401" s="80"/>
      <c r="DO401" s="80"/>
      <c r="DP401" s="92" t="str">
        <f>IF(Table1[Start Date]="","",IF(Table1[Start Date]&gt;42185,"",IF(AND(Table1[Leaving Date]&gt;1,Table1[Leaving Date]&lt;42095),"",1)))</f>
        <v/>
      </c>
      <c r="DQ401" s="92" t="str">
        <f>IF(Table1[Start Date]="","",IF(Table1[Start Date]&gt;42277,"",IF(AND(Table1[Leaving Date]&gt;1,Table1[Leaving Date]&lt;42186),"",1)))</f>
        <v/>
      </c>
      <c r="DR401" s="92" t="str">
        <f>IF(Table1[Start Date]="","",IF(Table1[Start Date]&gt;42369,"",IF(AND(Table1[Leaving Date]&gt;1,Table1[Leaving Date]&lt;42278),"",1)))</f>
        <v/>
      </c>
      <c r="DS401" s="92" t="str">
        <f>IF(Table1[Start Date]="","",IF(Table1[Start Date]&gt;42460,"",IF(AND(Table1[Leaving Date]&gt;1,Table1[Leaving Date]&lt;42370),"",1)))</f>
        <v/>
      </c>
      <c r="DT401" s="92" t="str">
        <f>IF(Table1[Start Date]="","",IF(Table1[Start Date]&gt;42551,"",IF(AND(Table1[Leaving Date]&gt;1,Table1[Leaving Date]&lt;42461),"",1)))</f>
        <v/>
      </c>
      <c r="DU401" s="92" t="str">
        <f>IF(Table1[Start Date]="","",IF(Table1[Start Date]&gt;42643,"",IF(AND(Table1[Leaving Date]&gt;1,Table1[Leaving Date]&lt;42552),"",1)))</f>
        <v/>
      </c>
      <c r="DV401" s="92" t="str">
        <f>IF(Table1[Start Date]="","",IF(Table1[Start Date]&gt;42735,"",IF(AND(Table1[Leaving Date]&gt;1,Table1[Leaving Date]&lt;42644),"",1)))</f>
        <v/>
      </c>
      <c r="DW401" s="92" t="str">
        <f>IF(Table1[Start Date]="","",IF(Table1[Start Date]&gt;42825,"",IF(AND(Table1[Leaving Date]&gt;1,Table1[Leaving Date]&lt;42736),"",1)))</f>
        <v/>
      </c>
      <c r="DX401"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401" s="44" t="e">
        <f>VLOOKUP(Table1[Referral Source],Lists!$G$2:$H$20,2,FALSE)</f>
        <v>#N/A</v>
      </c>
      <c r="DZ401" s="93" t="e">
        <f>SUM(Table1[Data Referral Quarter]+Table1[Data Referral Source])</f>
        <v>#N/A</v>
      </c>
      <c r="EA401" s="44" t="b">
        <f>IF(Table1[Referral Decision]="Accepted",100,IF(Table1[Referral Decision]="Rejected by Provider",200,IF(Table1[Referral Decision]="Rejected by Applicant",300)))</f>
        <v>0</v>
      </c>
      <c r="EB401" s="44">
        <f>SUM(Table1[Data Referral Quarter]+Table1[Data Referral Decision])</f>
        <v>0</v>
      </c>
      <c r="EC401" s="44" t="b">
        <f>IF(Table1[Start Date]&gt;42735,8000,IF(Table1[Start Date]&gt;42643,7000,IF(Table1[Start Date]&gt;42551,6000,IF(Table1[Start Date]&gt;42460,5000,IF(Table1[Start Date]&gt;42369,4000,IF(Table1[Start Date]&gt;42277,3000,IF(Table1[Start Date]&gt;42185,2000,IF(Table1[Start Date]&gt;42094,1000))))))))</f>
        <v>0</v>
      </c>
      <c r="ED401" s="44" t="str">
        <f>IF(Table1[Start Date]="","",IF(Table1[Current Local Authority]="Swindon",1,"2"))</f>
        <v/>
      </c>
      <c r="EE401" s="44" t="e">
        <f>SUM(Table1[Data Start Date]+Table1[Data Local Authority])</f>
        <v>#VALUE!</v>
      </c>
      <c r="EF401" s="44">
        <f>IF(Table1[Registered with GP]="Yes",1,0)</f>
        <v>0</v>
      </c>
      <c r="EG401" s="44">
        <f>SUM(Table1[Data Start Date]+Table1[Data GP Start])</f>
        <v>0</v>
      </c>
      <c r="EH401" s="44" t="str">
        <f>IF(Table1[EET]="NEET",1,IF(Table1[EET]="Education",2,IF(Table1[EET]="Employment",2,IF(Table1[EET]="Training",2,IF(Table1[EET]="Retired",3,"")))))</f>
        <v/>
      </c>
      <c r="EI401" s="44" t="e">
        <f>Table1[Data Start Date]+Table1[Data EET Start]</f>
        <v>#VALUE!</v>
      </c>
      <c r="EJ401" s="44" t="b">
        <f>IF(Table1[Leaving Date]&gt;42735,8000,IF(Table1[Leaving Date]&gt;42643,7000,IF(Table1[Leaving Date]&gt;42551,6000,IF(Table1[Leaving Date]&gt;42460,5000,IF(Table1[Leaving Date]&gt;42369,4000,IF(Table1[Leaving Date]&gt;42277,3000,IF(Table1[Leaving Date]&gt;42185,2000,IF(Table1[Leaving Date]&gt;42094,1000))))))))</f>
        <v>0</v>
      </c>
      <c r="EK401" s="44" t="e">
        <f>VLOOKUP(Table1[Reason for Leaving],Lists!$T$2:$U$15,2,FALSE)</f>
        <v>#N/A</v>
      </c>
      <c r="EL401" s="44" t="e">
        <f>SUM(Table1[Data Leavers Date]+Table1[Data Move On])</f>
        <v>#N/A</v>
      </c>
      <c r="EM401" s="44" t="b">
        <f>IF(Table1[Registered with GP2]="Yes",1,IF(Table1[Registered with GP2]="No",0,IF(Table1[Registered with GP]="Yes",1,IF(Table1[Registered with GP]="No",0))))</f>
        <v>0</v>
      </c>
      <c r="EN401" s="44">
        <f>SUM(Table1[Data Leavers Date]+Table1[Data GP End])</f>
        <v>0</v>
      </c>
      <c r="EO401" s="44" t="str">
        <f>IF(Table1[EET2]="NEET",1,IF(Table1[EET2]="Employment",2,IF(Table1[EET2]="Education",2,IF(Table1[EET2]="Training",2,IF(Table1[EET2]="Retired",3,IF(Table1[EET]="NEET",1,IF(Table1[EET]="Employment",2,IF(Table1[EET]="Education",2,IF(Table1[EET]="Training",2,IF(Table1[EET]="Retired",3,""))))))))))</f>
        <v/>
      </c>
      <c r="EP401" s="44" t="e">
        <f>+Table1[[#This Row],[Data Leavers Date]]+Table1[[#This Row],[Data EET End]]</f>
        <v>#VALUE!</v>
      </c>
      <c r="EQ401" s="44">
        <f>IF(Table1[Exit Form Received]="Yes",1,0)</f>
        <v>0</v>
      </c>
      <c r="ER401" s="44">
        <f>+Table1[[#This Row],[Data Leavers Date]]+Table1[[#This Row],[Data Exit Forms]]</f>
        <v>0</v>
      </c>
      <c r="ES401" s="44" t="str">
        <f>IF(Table1[Data Leavers Date]=1000,SUM(Table1[Leaving Date]-Table1[Start Date]),"")</f>
        <v/>
      </c>
      <c r="ET401" s="44" t="str">
        <f>IF(Table1[Data Leavers Date]=2000,SUM(Table1[Leaving Date]-Table1[Start Date]),"")</f>
        <v/>
      </c>
      <c r="EU401" s="44" t="str">
        <f>IF(Table1[Data Leavers Date]=3000,SUM(Table1[Leaving Date]-Table1[Start Date]),"")</f>
        <v/>
      </c>
      <c r="EV401" s="44" t="str">
        <f>IF(Table1[Data Leavers Date]=4000,SUM(Table1[Leaving Date]-Table1[Start Date]),"")</f>
        <v/>
      </c>
      <c r="EW401" s="44" t="str">
        <f>IF(Table1[Data Leavers Date]=5000,SUM(Table1[Leaving Date]-Table1[Start Date]),"")</f>
        <v/>
      </c>
      <c r="EX401" s="44" t="str">
        <f>IF(Table1[Data Leavers Date]=6000,SUM(Table1[Leaving Date]-Table1[Start Date]),"")</f>
        <v/>
      </c>
      <c r="EY401" s="44" t="str">
        <f>IF(Table1[Data Leavers Date]=7000,SUM(Table1[Leaving Date]-Table1[Start Date]),"")</f>
        <v/>
      </c>
      <c r="EZ401" s="44" t="str">
        <f>IF(Table1[Data Leavers Date]=8000,SUM(Table1[Leaving Date]-Table1[Start Date]),"")</f>
        <v/>
      </c>
      <c r="FA401" s="44" t="str">
        <f>IF(Table1[Date of Initial Assessment]="","",IF(AND(Table1[Start Date]&gt;42094,Table1[Start Date]&lt;42461),Table1[Motivation and Taking Responsibility],""))</f>
        <v/>
      </c>
      <c r="FB401" s="44" t="str">
        <f>IF(Table1[Date of Initial Assessment]="","",IF(AND(Table1[Start Date]&gt;42094,Table1[Start Date]&lt;42461),Table1[Self-Care and Living Skills],""))</f>
        <v/>
      </c>
      <c r="FC401" s="44" t="str">
        <f>IF(Table1[Date of Initial Assessment]="","",IF(AND(Table1[Start Date]&gt;42094,Table1[Start Date]&lt;42461),Table1[Managing Money and Personal Administration],""))</f>
        <v/>
      </c>
      <c r="FD401" s="44" t="str">
        <f>IF(Table1[Date of Initial Assessment]="","",IF(AND(Table1[Start Date]&gt;42094,Table1[Start Date]&lt;42461),Table1[Social Networks and Relationships],""))</f>
        <v/>
      </c>
      <c r="FE401" s="44" t="str">
        <f>IF(Table1[Date of Initial Assessment]="","",IF(AND(Table1[Start Date]&gt;42094,Table1[Start Date]&lt;42461),Table1[Drug and Alcohol Misuse],""))</f>
        <v/>
      </c>
      <c r="FF401" s="44" t="str">
        <f>IF(Table1[Date of Initial Assessment]="","",IF(AND(Table1[Start Date]&gt;42094,Table1[Start Date]&lt;42461),Table1[Physical Health],""))</f>
        <v/>
      </c>
      <c r="FG401" s="44" t="str">
        <f>IF(Table1[Date of Initial Assessment]="","",IF(AND(Table1[Start Date]&gt;42094,Table1[Start Date]&lt;42461),Table1[Emotional and Mental Health],""))</f>
        <v/>
      </c>
      <c r="FH401" s="44" t="str">
        <f>IF(Table1[Date of Initial Assessment]="","",IF(AND(Table1[Start Date]&gt;42094,Table1[Start Date]&lt;42461),Table1[Meaningful Use of Time],""))</f>
        <v/>
      </c>
      <c r="FI401" s="44" t="str">
        <f>IF(Table1[Date of Initial Assessment]="","",IF(AND(Table1[Start Date]&gt;42094,Table1[Start Date]&lt;42461),Table1[Managing Tenancy and Accommodation],""))</f>
        <v/>
      </c>
      <c r="FJ401" s="44" t="str">
        <f>IF(Table1[Date of Initial Assessment]="","",IF(AND(Table1[Start Date]&gt;42094,Table1[Start Date]&lt;42461),Table1[Offending],""))</f>
        <v/>
      </c>
      <c r="FK401" s="44" t="str">
        <f>IF(Table1[Leaving Date]="","",IF(Table1[Date of Initial Assessment]="","",IF(AND(Table1[Leaving Date]&gt;42094,Table1[Leaving Date]&lt;42461),IF(Table1[Date of Last Assessment]="",Table1[Motivation and Taking Responsibility],Table1[Motivation and Taking Responsibility2]),"")))</f>
        <v/>
      </c>
      <c r="FL401" s="44" t="str">
        <f>IF(Table1[Leaving Date]="","",IF(Table1[Date of Initial Assessment]="","",IF(AND(Table1[Leaving Date]&gt;42094,Table1[Leaving Date]&lt;42461),IF(Table1[Date of Last Assessment]="",Table1[Self-Care and Living Skills],Table1[Self-Care and Living Skills2]),"")))</f>
        <v/>
      </c>
      <c r="FM401" s="44" t="str">
        <f>IF(Table1[Leaving Date]="","",IF(Table1[Date of Initial Assessment]="","",IF(AND(Table1[Leaving Date]&gt;42094,Table1[Leaving Date]&lt;42461),IF(Table1[Date of Last Assessment]="",Table1[Managing Money and Personal Administration],Table1[Managing Money and Personal Administration2]),"")))</f>
        <v/>
      </c>
      <c r="FN401" s="44" t="str">
        <f>IF(Table1[Leaving Date]="","",IF(Table1[Date of Initial Assessment]="","",IF(AND(Table1[Leaving Date]&gt;42094,Table1[Leaving Date]&lt;42461),IF(Table1[Date of Last Assessment]="",Table1[Social Networks and Relationships],Table1[Social Networks and Relationships2]),"")))</f>
        <v/>
      </c>
      <c r="FO401" s="44" t="str">
        <f>IF(Table1[Leaving Date]="","",IF(Table1[Date of Initial Assessment]="","",IF(AND(Table1[Leaving Date]&gt;42094,Table1[Leaving Date]&lt;42461),IF(Table1[Date of Last Assessment]="",Table1[Drug and Alcohol Misuse],Table1[Drug and Alcohol Misuse2]),"")))</f>
        <v/>
      </c>
      <c r="FP401" s="44" t="str">
        <f>IF(Table1[Leaving Date]="","",IF(Table1[Date of Initial Assessment]="","",IF(AND(Table1[Leaving Date]&gt;42094,Table1[Leaving Date]&lt;42461),IF(Table1[Date of Last Assessment]="",Table1[Physical Health],Table1[Physical Health2]),"")))</f>
        <v/>
      </c>
      <c r="FQ401" s="44" t="str">
        <f>IF(Table1[Leaving Date]="","",IF(Table1[Date of Initial Assessment]="","",IF(AND(Table1[Leaving Date]&gt;42094,Table1[Leaving Date]&lt;42461),IF(Table1[Date of Last Assessment]="",Table1[Emotional and Mental Health],Table1[Emotional and Mental Health2]),"")))</f>
        <v/>
      </c>
      <c r="FR401" s="44" t="str">
        <f>IF(Table1[Leaving Date]="","",IF(Table1[Date of Initial Assessment]="","",IF(AND(Table1[Leaving Date]&gt;42094,Table1[Leaving Date]&lt;42461),IF(Table1[Date of Last Assessment]="",Table1[Meaningful Use of Time],Table1[Meaningful Use of Time2]),"")))</f>
        <v/>
      </c>
      <c r="FS401" s="44" t="str">
        <f>IF(Table1[Leaving Date]="","",IF(Table1[Date of Initial Assessment]="","",IF(AND(Table1[Leaving Date]&gt;42094,Table1[Leaving Date]&lt;42461),IF(Table1[Date of Last Assessment]="",Table1[Managing Tenancy and Accommodation],Table1[Managing Tenancy and Accommodation2]),"")))</f>
        <v/>
      </c>
      <c r="FT401" s="44" t="str">
        <f>IF(Table1[Leaving Date]="","",IF(Table1[Date of Initial Assessment]="","",IF(AND(Table1[Leaving Date]&gt;42094,Table1[Leaving Date]&lt;42461),IF(Table1[Date of Last Assessment]="",Table1[Offending],Table1[Offending2]),"")))</f>
        <v/>
      </c>
      <c r="FU401" s="44" t="str">
        <f>IF(Table1[Date of Initial Assessment]="","",IF(AND(Table1[Start Date]&gt;42460,Table1[Start Date]&lt;42826),Table1[Motivation and Taking Responsibility],""))</f>
        <v/>
      </c>
      <c r="FV401" s="44" t="str">
        <f>IF(Table1[Date of Initial Assessment]="","",IF(AND(Table1[Start Date]&gt;42460,Table1[Start Date]&lt;42826),Table1[Self-Care and Living Skills],""))</f>
        <v/>
      </c>
      <c r="FW401" s="44" t="str">
        <f>IF(Table1[Date of Initial Assessment]="","",IF(AND(Table1[Start Date]&gt;42460,Table1[Start Date]&lt;42826),Table1[Managing Money and Personal Administration],""))</f>
        <v/>
      </c>
      <c r="FX401" s="44" t="str">
        <f>IF(Table1[Date of Initial Assessment]="","",IF(AND(Table1[Start Date]&gt;42460,Table1[Start Date]&lt;42826),Table1[Social Networks and Relationships],""))</f>
        <v/>
      </c>
      <c r="FY401" s="44" t="str">
        <f>IF(Table1[Date of Initial Assessment]="","",IF(AND(Table1[Start Date]&gt;42460,Table1[Start Date]&lt;42826),Table1[Drug and Alcohol Misuse],""))</f>
        <v/>
      </c>
      <c r="FZ401" s="44" t="str">
        <f>IF(Table1[Date of Initial Assessment]="","",IF(AND(Table1[Start Date]&gt;42460,Table1[Start Date]&lt;42826),Table1[Physical Health],""))</f>
        <v/>
      </c>
      <c r="GA401" s="44" t="str">
        <f>IF(Table1[Date of Initial Assessment]="","",IF(AND(Table1[Start Date]&gt;42460,Table1[Start Date]&lt;42826),Table1[Emotional and Mental Health],""))</f>
        <v/>
      </c>
      <c r="GB401" s="44" t="str">
        <f>IF(Table1[Date of Initial Assessment]="","",IF(AND(Table1[Start Date]&gt;42460,Table1[Start Date]&lt;42826),Table1[Meaningful Use of Time],""))</f>
        <v/>
      </c>
      <c r="GC401" s="44" t="str">
        <f>IF(Table1[Date of Initial Assessment]="","",IF(AND(Table1[Start Date]&gt;42460,Table1[Start Date]&lt;42826),Table1[Managing Tenancy and Accommodation],""))</f>
        <v/>
      </c>
      <c r="GD401" s="44" t="str">
        <f>IF(Table1[Date of Initial Assessment]="","",IF(AND(Table1[Start Date]&gt;42460,Table1[Start Date]&lt;42826),Table1[Offending],""))</f>
        <v/>
      </c>
      <c r="GE401" s="44" t="str">
        <f>IF(Table1[Leaving Date]="","",IF(AND(Table1[Leaving Date]&gt;42460,Table1[Leaving Date]&lt;42826),IF(Table1[Date of Last Assessment]="",Table1[Motivation and Taking Responsibility],Table1[Motivation and Taking Responsibility2]),""))</f>
        <v/>
      </c>
      <c r="GF401" s="44" t="str">
        <f>IF(Table1[Leaving Date]="","",IF(AND(Table1[Leaving Date]&gt;42460,Table1[Leaving Date]&lt;42826),IF(Table1[Date of Last Assessment]="",Table1[Self-Care and Living Skills],Table1[Self-Care and Living Skills2]),""))</f>
        <v/>
      </c>
      <c r="GG401" s="44" t="str">
        <f>IF(Table1[Leaving Date]="","",IF(AND(Table1[Leaving Date]&gt;42460,Table1[Leaving Date]&lt;42826),IF(Table1[Date of Last Assessment]="",Table1[Managing Money and Personal Administration],Table1[Managing Money and Personal Administration2]),""))</f>
        <v/>
      </c>
      <c r="GH401" s="44" t="str">
        <f>IF(Table1[Leaving Date]="","",IF(AND(Table1[Leaving Date]&gt;42460,Table1[Leaving Date]&lt;42826),IF(Table1[Date of Last Assessment]="",Table1[Social Networks and Relationships],Table1[Social Networks and Relationships2]),""))</f>
        <v/>
      </c>
      <c r="GI401" s="44" t="str">
        <f>IF(Table1[Leaving Date]="","",IF(AND(Table1[Leaving Date]&gt;42460,Table1[Leaving Date]&lt;42826),IF(Table1[Date of Last Assessment]="",Table1[Drug and Alcohol Misuse],Table1[Drug and Alcohol Misuse2]),""))</f>
        <v/>
      </c>
      <c r="GJ401" s="44" t="str">
        <f>IF(Table1[Leaving Date]="","",IF(AND(Table1[Leaving Date]&gt;42460,Table1[Leaving Date]&lt;42826),IF(Table1[Date of Last Assessment]="",Table1[Physical Health],Table1[Physical Health2]),""))</f>
        <v/>
      </c>
      <c r="GK401" s="44" t="str">
        <f>IF(Table1[Leaving Date]="","",IF(AND(Table1[Leaving Date]&gt;42460,Table1[Leaving Date]&lt;42826),IF(Table1[Date of Last Assessment]="",Table1[Emotional and Mental Health],Table1[Emotional and Mental Health2]),""))</f>
        <v/>
      </c>
      <c r="GL401" s="44" t="str">
        <f>IF(Table1[Leaving Date]="","",IF(AND(Table1[Leaving Date]&gt;42460,Table1[Leaving Date]&lt;42826),IF(Table1[Date of Last Assessment]="",Table1[Meaningful Use of Time],Table1[Meaningful Use of Time2]),""))</f>
        <v/>
      </c>
      <c r="GM401" s="44" t="str">
        <f>IF(Table1[Leaving Date]="","",IF(AND(Table1[Leaving Date]&gt;42460,Table1[Leaving Date]&lt;42826),IF(Table1[Date of Last Assessment]="",Table1[Managing Tenancy and Accommodation],Table1[Managing Tenancy and Accommodation2]),""))</f>
        <v/>
      </c>
      <c r="GN401" s="44" t="str">
        <f>IF(Table1[Leaving Date]="","",IF(AND(Table1[Leaving Date]&gt;42460,Table1[Leaving Date]&lt;42826),IF(Table1[Date of Last Assessment]="",Table1[Offending],Table1[Offending2]),""))</f>
        <v/>
      </c>
    </row>
    <row r="402" spans="2:196" ht="20.100000000000001" customHeight="1" x14ac:dyDescent="0.2">
      <c r="B402" s="86">
        <f>+'Service Data'!$C$5:$C$5</f>
        <v>0</v>
      </c>
      <c r="C402" s="86"/>
      <c r="D402" s="86"/>
      <c r="E402" s="86"/>
      <c r="F402" s="86"/>
      <c r="G402" s="86"/>
      <c r="H402" s="6"/>
      <c r="I402" s="99" t="str">
        <f ca="1">IF(Table1[[#This Row],[Date of Birth]]="","",SUM(TODAY()-Table1[[#This Row],[Date of Birth]])/365)</f>
        <v/>
      </c>
      <c r="L402" s="86"/>
      <c r="M402" s="77"/>
      <c r="N402" s="86"/>
      <c r="O402" s="86"/>
      <c r="P402" s="91"/>
      <c r="Q402" s="86"/>
      <c r="R402" s="77"/>
      <c r="S402" s="77"/>
      <c r="T402" s="68"/>
      <c r="U402" s="68"/>
      <c r="V402" s="67"/>
      <c r="W402" s="67"/>
      <c r="X402" s="67"/>
      <c r="Y402" s="67"/>
      <c r="Z402" s="67"/>
      <c r="AA402" s="67"/>
      <c r="AB402" s="67"/>
      <c r="AC402" s="67"/>
      <c r="AD402" s="67"/>
      <c r="AE402" s="67"/>
      <c r="AF402" s="67"/>
      <c r="AG402" s="67"/>
      <c r="AH402" s="67"/>
      <c r="AI402" s="67"/>
      <c r="AJ402" s="67"/>
      <c r="AK402" s="67"/>
      <c r="AL402" s="67"/>
      <c r="AM402" s="67"/>
      <c r="AN402" s="77"/>
      <c r="AO402" s="76"/>
      <c r="AP402" s="77"/>
      <c r="AQ402" s="76"/>
      <c r="AR402" s="76"/>
      <c r="AS402" s="76"/>
      <c r="AT402" s="76"/>
      <c r="AU402" s="76"/>
      <c r="AV402" s="77"/>
      <c r="AW402" s="76"/>
      <c r="AX402" s="77"/>
      <c r="AY402" s="76"/>
      <c r="AZ402" s="76"/>
      <c r="BA402" s="76"/>
      <c r="BB402" s="76"/>
      <c r="BC402" s="76"/>
      <c r="BD402" s="77"/>
      <c r="BE402" s="76"/>
      <c r="BF402" s="77"/>
      <c r="BG402" s="76"/>
      <c r="BH402" s="76"/>
      <c r="BI402" s="76"/>
      <c r="BJ402" s="76"/>
      <c r="BK402" s="76"/>
      <c r="BL402" s="77"/>
      <c r="BM402" s="76"/>
      <c r="BN402" s="77"/>
      <c r="BO402" s="76"/>
      <c r="BP402" s="76"/>
      <c r="BQ402" s="76"/>
      <c r="BR402" s="76"/>
      <c r="BS402" s="76"/>
      <c r="BT402" s="77"/>
      <c r="BU402" s="76"/>
      <c r="BV402" s="77"/>
      <c r="BW402" s="76"/>
      <c r="BX402" s="76"/>
      <c r="BY402" s="76"/>
      <c r="BZ402" s="76"/>
      <c r="CA402" s="76"/>
      <c r="CB402" s="77"/>
      <c r="CC402" s="76"/>
      <c r="CD402" s="77"/>
      <c r="CE402" s="76"/>
      <c r="CF402" s="76"/>
      <c r="CG402" s="76"/>
      <c r="CH402" s="76"/>
      <c r="CI402" s="76"/>
      <c r="CJ402" s="77"/>
      <c r="CK402" s="76"/>
      <c r="CL402" s="77"/>
      <c r="CM402" s="76"/>
      <c r="CN402" s="76"/>
      <c r="CO402" s="76"/>
      <c r="CP402" s="76"/>
      <c r="CQ402" s="76"/>
      <c r="CR402" s="78" t="str">
        <f t="shared" si="111"/>
        <v/>
      </c>
      <c r="CS402" s="79" t="str">
        <f t="shared" si="112"/>
        <v/>
      </c>
      <c r="CT402" s="79" t="str">
        <f t="shared" si="113"/>
        <v/>
      </c>
      <c r="CU402" s="79" t="str">
        <f t="shared" si="114"/>
        <v/>
      </c>
      <c r="CV402" s="79" t="str">
        <f t="shared" si="115"/>
        <v/>
      </c>
      <c r="CW402" s="79" t="str">
        <f t="shared" si="116"/>
        <v/>
      </c>
      <c r="CX402" s="79" t="str">
        <f t="shared" si="117"/>
        <v/>
      </c>
      <c r="CY402" s="79" t="str">
        <f t="shared" si="118"/>
        <v/>
      </c>
      <c r="CZ402" s="79" t="str">
        <f t="shared" si="119"/>
        <v/>
      </c>
      <c r="DA402" s="79" t="str">
        <f t="shared" si="120"/>
        <v/>
      </c>
      <c r="DB402" s="79" t="str">
        <f t="shared" si="121"/>
        <v/>
      </c>
      <c r="DC402" s="79" t="str">
        <f t="shared" si="122"/>
        <v/>
      </c>
      <c r="DD402" s="79" t="str">
        <f t="shared" si="123"/>
        <v/>
      </c>
      <c r="DE402" s="79" t="str">
        <f t="shared" si="124"/>
        <v/>
      </c>
      <c r="DF402" s="79" t="str">
        <f t="shared" si="125"/>
        <v/>
      </c>
      <c r="DG402" s="79" t="str">
        <f t="shared" si="126"/>
        <v/>
      </c>
      <c r="DH402" s="76"/>
      <c r="DI402" s="78"/>
      <c r="DJ402" s="76"/>
      <c r="DK402" s="77"/>
      <c r="DL402" s="77"/>
      <c r="DM402" s="77"/>
      <c r="DN402" s="80"/>
      <c r="DO402" s="80"/>
      <c r="DP402" s="92" t="str">
        <f>IF(Table1[Start Date]="","",IF(Table1[Start Date]&gt;42185,"",IF(AND(Table1[Leaving Date]&gt;1,Table1[Leaving Date]&lt;42095),"",1)))</f>
        <v/>
      </c>
      <c r="DQ402" s="92" t="str">
        <f>IF(Table1[Start Date]="","",IF(Table1[Start Date]&gt;42277,"",IF(AND(Table1[Leaving Date]&gt;1,Table1[Leaving Date]&lt;42186),"",1)))</f>
        <v/>
      </c>
      <c r="DR402" s="92" t="str">
        <f>IF(Table1[Start Date]="","",IF(Table1[Start Date]&gt;42369,"",IF(AND(Table1[Leaving Date]&gt;1,Table1[Leaving Date]&lt;42278),"",1)))</f>
        <v/>
      </c>
      <c r="DS402" s="92" t="str">
        <f>IF(Table1[Start Date]="","",IF(Table1[Start Date]&gt;42460,"",IF(AND(Table1[Leaving Date]&gt;1,Table1[Leaving Date]&lt;42370),"",1)))</f>
        <v/>
      </c>
      <c r="DT402" s="92" t="str">
        <f>IF(Table1[Start Date]="","",IF(Table1[Start Date]&gt;42551,"",IF(AND(Table1[Leaving Date]&gt;1,Table1[Leaving Date]&lt;42461),"",1)))</f>
        <v/>
      </c>
      <c r="DU402" s="92" t="str">
        <f>IF(Table1[Start Date]="","",IF(Table1[Start Date]&gt;42643,"",IF(AND(Table1[Leaving Date]&gt;1,Table1[Leaving Date]&lt;42552),"",1)))</f>
        <v/>
      </c>
      <c r="DV402" s="92" t="str">
        <f>IF(Table1[Start Date]="","",IF(Table1[Start Date]&gt;42735,"",IF(AND(Table1[Leaving Date]&gt;1,Table1[Leaving Date]&lt;42644),"",1)))</f>
        <v/>
      </c>
      <c r="DW402" s="92" t="str">
        <f>IF(Table1[Start Date]="","",IF(Table1[Start Date]&gt;42825,"",IF(AND(Table1[Leaving Date]&gt;1,Table1[Leaving Date]&lt;42736),"",1)))</f>
        <v/>
      </c>
      <c r="DX402"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402" s="44" t="e">
        <f>VLOOKUP(Table1[Referral Source],Lists!$G$2:$H$20,2,FALSE)</f>
        <v>#N/A</v>
      </c>
      <c r="DZ402" s="93" t="e">
        <f>SUM(Table1[Data Referral Quarter]+Table1[Data Referral Source])</f>
        <v>#N/A</v>
      </c>
      <c r="EA402" s="44" t="b">
        <f>IF(Table1[Referral Decision]="Accepted",100,IF(Table1[Referral Decision]="Rejected by Provider",200,IF(Table1[Referral Decision]="Rejected by Applicant",300)))</f>
        <v>0</v>
      </c>
      <c r="EB402" s="44">
        <f>SUM(Table1[Data Referral Quarter]+Table1[Data Referral Decision])</f>
        <v>0</v>
      </c>
      <c r="EC402" s="44" t="b">
        <f>IF(Table1[Start Date]&gt;42735,8000,IF(Table1[Start Date]&gt;42643,7000,IF(Table1[Start Date]&gt;42551,6000,IF(Table1[Start Date]&gt;42460,5000,IF(Table1[Start Date]&gt;42369,4000,IF(Table1[Start Date]&gt;42277,3000,IF(Table1[Start Date]&gt;42185,2000,IF(Table1[Start Date]&gt;42094,1000))))))))</f>
        <v>0</v>
      </c>
      <c r="ED402" s="44" t="str">
        <f>IF(Table1[Start Date]="","",IF(Table1[Current Local Authority]="Swindon",1,"2"))</f>
        <v/>
      </c>
      <c r="EE402" s="44" t="e">
        <f>SUM(Table1[Data Start Date]+Table1[Data Local Authority])</f>
        <v>#VALUE!</v>
      </c>
      <c r="EF402" s="44">
        <f>IF(Table1[Registered with GP]="Yes",1,0)</f>
        <v>0</v>
      </c>
      <c r="EG402" s="44">
        <f>SUM(Table1[Data Start Date]+Table1[Data GP Start])</f>
        <v>0</v>
      </c>
      <c r="EH402" s="44" t="str">
        <f>IF(Table1[EET]="NEET",1,IF(Table1[EET]="Education",2,IF(Table1[EET]="Employment",2,IF(Table1[EET]="Training",2,IF(Table1[EET]="Retired",3,"")))))</f>
        <v/>
      </c>
      <c r="EI402" s="44" t="e">
        <f>Table1[Data Start Date]+Table1[Data EET Start]</f>
        <v>#VALUE!</v>
      </c>
      <c r="EJ402" s="44" t="b">
        <f>IF(Table1[Leaving Date]&gt;42735,8000,IF(Table1[Leaving Date]&gt;42643,7000,IF(Table1[Leaving Date]&gt;42551,6000,IF(Table1[Leaving Date]&gt;42460,5000,IF(Table1[Leaving Date]&gt;42369,4000,IF(Table1[Leaving Date]&gt;42277,3000,IF(Table1[Leaving Date]&gt;42185,2000,IF(Table1[Leaving Date]&gt;42094,1000))))))))</f>
        <v>0</v>
      </c>
      <c r="EK402" s="44" t="e">
        <f>VLOOKUP(Table1[Reason for Leaving],Lists!$T$2:$U$15,2,FALSE)</f>
        <v>#N/A</v>
      </c>
      <c r="EL402" s="44" t="e">
        <f>SUM(Table1[Data Leavers Date]+Table1[Data Move On])</f>
        <v>#N/A</v>
      </c>
      <c r="EM402" s="44" t="b">
        <f>IF(Table1[Registered with GP2]="Yes",1,IF(Table1[Registered with GP2]="No",0,IF(Table1[Registered with GP]="Yes",1,IF(Table1[Registered with GP]="No",0))))</f>
        <v>0</v>
      </c>
      <c r="EN402" s="44">
        <f>SUM(Table1[Data Leavers Date]+Table1[Data GP End])</f>
        <v>0</v>
      </c>
      <c r="EO402" s="44" t="str">
        <f>IF(Table1[EET2]="NEET",1,IF(Table1[EET2]="Employment",2,IF(Table1[EET2]="Education",2,IF(Table1[EET2]="Training",2,IF(Table1[EET2]="Retired",3,IF(Table1[EET]="NEET",1,IF(Table1[EET]="Employment",2,IF(Table1[EET]="Education",2,IF(Table1[EET]="Training",2,IF(Table1[EET]="Retired",3,""))))))))))</f>
        <v/>
      </c>
      <c r="EP402" s="44" t="e">
        <f>+Table1[[#This Row],[Data Leavers Date]]+Table1[[#This Row],[Data EET End]]</f>
        <v>#VALUE!</v>
      </c>
      <c r="EQ402" s="44">
        <f>IF(Table1[Exit Form Received]="Yes",1,0)</f>
        <v>0</v>
      </c>
      <c r="ER402" s="44">
        <f>+Table1[[#This Row],[Data Leavers Date]]+Table1[[#This Row],[Data Exit Forms]]</f>
        <v>0</v>
      </c>
      <c r="ES402" s="44" t="str">
        <f>IF(Table1[Data Leavers Date]=1000,SUM(Table1[Leaving Date]-Table1[Start Date]),"")</f>
        <v/>
      </c>
      <c r="ET402" s="44" t="str">
        <f>IF(Table1[Data Leavers Date]=2000,SUM(Table1[Leaving Date]-Table1[Start Date]),"")</f>
        <v/>
      </c>
      <c r="EU402" s="44" t="str">
        <f>IF(Table1[Data Leavers Date]=3000,SUM(Table1[Leaving Date]-Table1[Start Date]),"")</f>
        <v/>
      </c>
      <c r="EV402" s="44" t="str">
        <f>IF(Table1[Data Leavers Date]=4000,SUM(Table1[Leaving Date]-Table1[Start Date]),"")</f>
        <v/>
      </c>
      <c r="EW402" s="44" t="str">
        <f>IF(Table1[Data Leavers Date]=5000,SUM(Table1[Leaving Date]-Table1[Start Date]),"")</f>
        <v/>
      </c>
      <c r="EX402" s="44" t="str">
        <f>IF(Table1[Data Leavers Date]=6000,SUM(Table1[Leaving Date]-Table1[Start Date]),"")</f>
        <v/>
      </c>
      <c r="EY402" s="44" t="str">
        <f>IF(Table1[Data Leavers Date]=7000,SUM(Table1[Leaving Date]-Table1[Start Date]),"")</f>
        <v/>
      </c>
      <c r="EZ402" s="44" t="str">
        <f>IF(Table1[Data Leavers Date]=8000,SUM(Table1[Leaving Date]-Table1[Start Date]),"")</f>
        <v/>
      </c>
      <c r="FA402" s="44" t="str">
        <f>IF(Table1[Date of Initial Assessment]="","",IF(AND(Table1[Start Date]&gt;42094,Table1[Start Date]&lt;42461),Table1[Motivation and Taking Responsibility],""))</f>
        <v/>
      </c>
      <c r="FB402" s="44" t="str">
        <f>IF(Table1[Date of Initial Assessment]="","",IF(AND(Table1[Start Date]&gt;42094,Table1[Start Date]&lt;42461),Table1[Self-Care and Living Skills],""))</f>
        <v/>
      </c>
      <c r="FC402" s="44" t="str">
        <f>IF(Table1[Date of Initial Assessment]="","",IF(AND(Table1[Start Date]&gt;42094,Table1[Start Date]&lt;42461),Table1[Managing Money and Personal Administration],""))</f>
        <v/>
      </c>
      <c r="FD402" s="44" t="str">
        <f>IF(Table1[Date of Initial Assessment]="","",IF(AND(Table1[Start Date]&gt;42094,Table1[Start Date]&lt;42461),Table1[Social Networks and Relationships],""))</f>
        <v/>
      </c>
      <c r="FE402" s="44" t="str">
        <f>IF(Table1[Date of Initial Assessment]="","",IF(AND(Table1[Start Date]&gt;42094,Table1[Start Date]&lt;42461),Table1[Drug and Alcohol Misuse],""))</f>
        <v/>
      </c>
      <c r="FF402" s="44" t="str">
        <f>IF(Table1[Date of Initial Assessment]="","",IF(AND(Table1[Start Date]&gt;42094,Table1[Start Date]&lt;42461),Table1[Physical Health],""))</f>
        <v/>
      </c>
      <c r="FG402" s="44" t="str">
        <f>IF(Table1[Date of Initial Assessment]="","",IF(AND(Table1[Start Date]&gt;42094,Table1[Start Date]&lt;42461),Table1[Emotional and Mental Health],""))</f>
        <v/>
      </c>
      <c r="FH402" s="44" t="str">
        <f>IF(Table1[Date of Initial Assessment]="","",IF(AND(Table1[Start Date]&gt;42094,Table1[Start Date]&lt;42461),Table1[Meaningful Use of Time],""))</f>
        <v/>
      </c>
      <c r="FI402" s="44" t="str">
        <f>IF(Table1[Date of Initial Assessment]="","",IF(AND(Table1[Start Date]&gt;42094,Table1[Start Date]&lt;42461),Table1[Managing Tenancy and Accommodation],""))</f>
        <v/>
      </c>
      <c r="FJ402" s="44" t="str">
        <f>IF(Table1[Date of Initial Assessment]="","",IF(AND(Table1[Start Date]&gt;42094,Table1[Start Date]&lt;42461),Table1[Offending],""))</f>
        <v/>
      </c>
      <c r="FK402" s="44" t="str">
        <f>IF(Table1[Leaving Date]="","",IF(Table1[Date of Initial Assessment]="","",IF(AND(Table1[Leaving Date]&gt;42094,Table1[Leaving Date]&lt;42461),IF(Table1[Date of Last Assessment]="",Table1[Motivation and Taking Responsibility],Table1[Motivation and Taking Responsibility2]),"")))</f>
        <v/>
      </c>
      <c r="FL402" s="44" t="str">
        <f>IF(Table1[Leaving Date]="","",IF(Table1[Date of Initial Assessment]="","",IF(AND(Table1[Leaving Date]&gt;42094,Table1[Leaving Date]&lt;42461),IF(Table1[Date of Last Assessment]="",Table1[Self-Care and Living Skills],Table1[Self-Care and Living Skills2]),"")))</f>
        <v/>
      </c>
      <c r="FM402" s="44" t="str">
        <f>IF(Table1[Leaving Date]="","",IF(Table1[Date of Initial Assessment]="","",IF(AND(Table1[Leaving Date]&gt;42094,Table1[Leaving Date]&lt;42461),IF(Table1[Date of Last Assessment]="",Table1[Managing Money and Personal Administration],Table1[Managing Money and Personal Administration2]),"")))</f>
        <v/>
      </c>
      <c r="FN402" s="44" t="str">
        <f>IF(Table1[Leaving Date]="","",IF(Table1[Date of Initial Assessment]="","",IF(AND(Table1[Leaving Date]&gt;42094,Table1[Leaving Date]&lt;42461),IF(Table1[Date of Last Assessment]="",Table1[Social Networks and Relationships],Table1[Social Networks and Relationships2]),"")))</f>
        <v/>
      </c>
      <c r="FO402" s="44" t="str">
        <f>IF(Table1[Leaving Date]="","",IF(Table1[Date of Initial Assessment]="","",IF(AND(Table1[Leaving Date]&gt;42094,Table1[Leaving Date]&lt;42461),IF(Table1[Date of Last Assessment]="",Table1[Drug and Alcohol Misuse],Table1[Drug and Alcohol Misuse2]),"")))</f>
        <v/>
      </c>
      <c r="FP402" s="44" t="str">
        <f>IF(Table1[Leaving Date]="","",IF(Table1[Date of Initial Assessment]="","",IF(AND(Table1[Leaving Date]&gt;42094,Table1[Leaving Date]&lt;42461),IF(Table1[Date of Last Assessment]="",Table1[Physical Health],Table1[Physical Health2]),"")))</f>
        <v/>
      </c>
      <c r="FQ402" s="44" t="str">
        <f>IF(Table1[Leaving Date]="","",IF(Table1[Date of Initial Assessment]="","",IF(AND(Table1[Leaving Date]&gt;42094,Table1[Leaving Date]&lt;42461),IF(Table1[Date of Last Assessment]="",Table1[Emotional and Mental Health],Table1[Emotional and Mental Health2]),"")))</f>
        <v/>
      </c>
      <c r="FR402" s="44" t="str">
        <f>IF(Table1[Leaving Date]="","",IF(Table1[Date of Initial Assessment]="","",IF(AND(Table1[Leaving Date]&gt;42094,Table1[Leaving Date]&lt;42461),IF(Table1[Date of Last Assessment]="",Table1[Meaningful Use of Time],Table1[Meaningful Use of Time2]),"")))</f>
        <v/>
      </c>
      <c r="FS402" s="44" t="str">
        <f>IF(Table1[Leaving Date]="","",IF(Table1[Date of Initial Assessment]="","",IF(AND(Table1[Leaving Date]&gt;42094,Table1[Leaving Date]&lt;42461),IF(Table1[Date of Last Assessment]="",Table1[Managing Tenancy and Accommodation],Table1[Managing Tenancy and Accommodation2]),"")))</f>
        <v/>
      </c>
      <c r="FT402" s="44" t="str">
        <f>IF(Table1[Leaving Date]="","",IF(Table1[Date of Initial Assessment]="","",IF(AND(Table1[Leaving Date]&gt;42094,Table1[Leaving Date]&lt;42461),IF(Table1[Date of Last Assessment]="",Table1[Offending],Table1[Offending2]),"")))</f>
        <v/>
      </c>
      <c r="FU402" s="44" t="str">
        <f>IF(Table1[Date of Initial Assessment]="","",IF(AND(Table1[Start Date]&gt;42460,Table1[Start Date]&lt;42826),Table1[Motivation and Taking Responsibility],""))</f>
        <v/>
      </c>
      <c r="FV402" s="44" t="str">
        <f>IF(Table1[Date of Initial Assessment]="","",IF(AND(Table1[Start Date]&gt;42460,Table1[Start Date]&lt;42826),Table1[Self-Care and Living Skills],""))</f>
        <v/>
      </c>
      <c r="FW402" s="44" t="str">
        <f>IF(Table1[Date of Initial Assessment]="","",IF(AND(Table1[Start Date]&gt;42460,Table1[Start Date]&lt;42826),Table1[Managing Money and Personal Administration],""))</f>
        <v/>
      </c>
      <c r="FX402" s="44" t="str">
        <f>IF(Table1[Date of Initial Assessment]="","",IF(AND(Table1[Start Date]&gt;42460,Table1[Start Date]&lt;42826),Table1[Social Networks and Relationships],""))</f>
        <v/>
      </c>
      <c r="FY402" s="44" t="str">
        <f>IF(Table1[Date of Initial Assessment]="","",IF(AND(Table1[Start Date]&gt;42460,Table1[Start Date]&lt;42826),Table1[Drug and Alcohol Misuse],""))</f>
        <v/>
      </c>
      <c r="FZ402" s="44" t="str">
        <f>IF(Table1[Date of Initial Assessment]="","",IF(AND(Table1[Start Date]&gt;42460,Table1[Start Date]&lt;42826),Table1[Physical Health],""))</f>
        <v/>
      </c>
      <c r="GA402" s="44" t="str">
        <f>IF(Table1[Date of Initial Assessment]="","",IF(AND(Table1[Start Date]&gt;42460,Table1[Start Date]&lt;42826),Table1[Emotional and Mental Health],""))</f>
        <v/>
      </c>
      <c r="GB402" s="44" t="str">
        <f>IF(Table1[Date of Initial Assessment]="","",IF(AND(Table1[Start Date]&gt;42460,Table1[Start Date]&lt;42826),Table1[Meaningful Use of Time],""))</f>
        <v/>
      </c>
      <c r="GC402" s="44" t="str">
        <f>IF(Table1[Date of Initial Assessment]="","",IF(AND(Table1[Start Date]&gt;42460,Table1[Start Date]&lt;42826),Table1[Managing Tenancy and Accommodation],""))</f>
        <v/>
      </c>
      <c r="GD402" s="44" t="str">
        <f>IF(Table1[Date of Initial Assessment]="","",IF(AND(Table1[Start Date]&gt;42460,Table1[Start Date]&lt;42826),Table1[Offending],""))</f>
        <v/>
      </c>
      <c r="GE402" s="44" t="str">
        <f>IF(Table1[Leaving Date]="","",IF(AND(Table1[Leaving Date]&gt;42460,Table1[Leaving Date]&lt;42826),IF(Table1[Date of Last Assessment]="",Table1[Motivation and Taking Responsibility],Table1[Motivation and Taking Responsibility2]),""))</f>
        <v/>
      </c>
      <c r="GF402" s="44" t="str">
        <f>IF(Table1[Leaving Date]="","",IF(AND(Table1[Leaving Date]&gt;42460,Table1[Leaving Date]&lt;42826),IF(Table1[Date of Last Assessment]="",Table1[Self-Care and Living Skills],Table1[Self-Care and Living Skills2]),""))</f>
        <v/>
      </c>
      <c r="GG402" s="44" t="str">
        <f>IF(Table1[Leaving Date]="","",IF(AND(Table1[Leaving Date]&gt;42460,Table1[Leaving Date]&lt;42826),IF(Table1[Date of Last Assessment]="",Table1[Managing Money and Personal Administration],Table1[Managing Money and Personal Administration2]),""))</f>
        <v/>
      </c>
      <c r="GH402" s="44" t="str">
        <f>IF(Table1[Leaving Date]="","",IF(AND(Table1[Leaving Date]&gt;42460,Table1[Leaving Date]&lt;42826),IF(Table1[Date of Last Assessment]="",Table1[Social Networks and Relationships],Table1[Social Networks and Relationships2]),""))</f>
        <v/>
      </c>
      <c r="GI402" s="44" t="str">
        <f>IF(Table1[Leaving Date]="","",IF(AND(Table1[Leaving Date]&gt;42460,Table1[Leaving Date]&lt;42826),IF(Table1[Date of Last Assessment]="",Table1[Drug and Alcohol Misuse],Table1[Drug and Alcohol Misuse2]),""))</f>
        <v/>
      </c>
      <c r="GJ402" s="44" t="str">
        <f>IF(Table1[Leaving Date]="","",IF(AND(Table1[Leaving Date]&gt;42460,Table1[Leaving Date]&lt;42826),IF(Table1[Date of Last Assessment]="",Table1[Physical Health],Table1[Physical Health2]),""))</f>
        <v/>
      </c>
      <c r="GK402" s="44" t="str">
        <f>IF(Table1[Leaving Date]="","",IF(AND(Table1[Leaving Date]&gt;42460,Table1[Leaving Date]&lt;42826),IF(Table1[Date of Last Assessment]="",Table1[Emotional and Mental Health],Table1[Emotional and Mental Health2]),""))</f>
        <v/>
      </c>
      <c r="GL402" s="44" t="str">
        <f>IF(Table1[Leaving Date]="","",IF(AND(Table1[Leaving Date]&gt;42460,Table1[Leaving Date]&lt;42826),IF(Table1[Date of Last Assessment]="",Table1[Meaningful Use of Time],Table1[Meaningful Use of Time2]),""))</f>
        <v/>
      </c>
      <c r="GM402" s="44" t="str">
        <f>IF(Table1[Leaving Date]="","",IF(AND(Table1[Leaving Date]&gt;42460,Table1[Leaving Date]&lt;42826),IF(Table1[Date of Last Assessment]="",Table1[Managing Tenancy and Accommodation],Table1[Managing Tenancy and Accommodation2]),""))</f>
        <v/>
      </c>
      <c r="GN402" s="44" t="str">
        <f>IF(Table1[Leaving Date]="","",IF(AND(Table1[Leaving Date]&gt;42460,Table1[Leaving Date]&lt;42826),IF(Table1[Date of Last Assessment]="",Table1[Offending],Table1[Offending2]),""))</f>
        <v/>
      </c>
    </row>
    <row r="403" spans="2:196" ht="20.100000000000001" customHeight="1" x14ac:dyDescent="0.2">
      <c r="B403" s="86">
        <f>+'Service Data'!$C$5:$C$5</f>
        <v>0</v>
      </c>
      <c r="C403" s="86"/>
      <c r="D403" s="86"/>
      <c r="E403" s="86"/>
      <c r="F403" s="86"/>
      <c r="G403" s="86"/>
      <c r="H403" s="6"/>
      <c r="I403" s="99" t="str">
        <f ca="1">IF(Table1[[#This Row],[Date of Birth]]="","",SUM(TODAY()-Table1[[#This Row],[Date of Birth]])/365)</f>
        <v/>
      </c>
      <c r="L403" s="86"/>
      <c r="M403" s="77"/>
      <c r="N403" s="86"/>
      <c r="O403" s="86"/>
      <c r="P403" s="91"/>
      <c r="Q403" s="86"/>
      <c r="R403" s="77"/>
      <c r="S403" s="77"/>
      <c r="T403" s="68"/>
      <c r="U403" s="68"/>
      <c r="V403" s="67"/>
      <c r="W403" s="67"/>
      <c r="X403" s="67"/>
      <c r="Y403" s="67"/>
      <c r="Z403" s="67"/>
      <c r="AA403" s="67"/>
      <c r="AB403" s="67"/>
      <c r="AC403" s="67"/>
      <c r="AD403" s="67"/>
      <c r="AE403" s="67"/>
      <c r="AF403" s="67"/>
      <c r="AG403" s="67"/>
      <c r="AH403" s="67"/>
      <c r="AI403" s="67"/>
      <c r="AJ403" s="67"/>
      <c r="AK403" s="67"/>
      <c r="AL403" s="67"/>
      <c r="AM403" s="67"/>
      <c r="AN403" s="77"/>
      <c r="AO403" s="76"/>
      <c r="AP403" s="77"/>
      <c r="AQ403" s="76"/>
      <c r="AR403" s="76"/>
      <c r="AS403" s="76"/>
      <c r="AT403" s="76"/>
      <c r="AU403" s="76"/>
      <c r="AV403" s="77"/>
      <c r="AW403" s="76"/>
      <c r="AX403" s="77"/>
      <c r="AY403" s="76"/>
      <c r="AZ403" s="76"/>
      <c r="BA403" s="76"/>
      <c r="BB403" s="76"/>
      <c r="BC403" s="76"/>
      <c r="BD403" s="77"/>
      <c r="BE403" s="76"/>
      <c r="BF403" s="77"/>
      <c r="BG403" s="76"/>
      <c r="BH403" s="76"/>
      <c r="BI403" s="76"/>
      <c r="BJ403" s="76"/>
      <c r="BK403" s="76"/>
      <c r="BL403" s="77"/>
      <c r="BM403" s="76"/>
      <c r="BN403" s="77"/>
      <c r="BO403" s="76"/>
      <c r="BP403" s="76"/>
      <c r="BQ403" s="76"/>
      <c r="BR403" s="76"/>
      <c r="BS403" s="76"/>
      <c r="BT403" s="77"/>
      <c r="BU403" s="76"/>
      <c r="BV403" s="77"/>
      <c r="BW403" s="76"/>
      <c r="BX403" s="76"/>
      <c r="BY403" s="76"/>
      <c r="BZ403" s="76"/>
      <c r="CA403" s="76"/>
      <c r="CB403" s="77"/>
      <c r="CC403" s="76"/>
      <c r="CD403" s="77"/>
      <c r="CE403" s="76"/>
      <c r="CF403" s="76"/>
      <c r="CG403" s="76"/>
      <c r="CH403" s="76"/>
      <c r="CI403" s="76"/>
      <c r="CJ403" s="77"/>
      <c r="CK403" s="76"/>
      <c r="CL403" s="77"/>
      <c r="CM403" s="76"/>
      <c r="CN403" s="76"/>
      <c r="CO403" s="76"/>
      <c r="CP403" s="76"/>
      <c r="CQ403" s="76"/>
      <c r="CR403" s="78" t="str">
        <f t="shared" si="111"/>
        <v/>
      </c>
      <c r="CS403" s="79" t="str">
        <f t="shared" si="112"/>
        <v/>
      </c>
      <c r="CT403" s="79" t="str">
        <f t="shared" si="113"/>
        <v/>
      </c>
      <c r="CU403" s="79" t="str">
        <f t="shared" si="114"/>
        <v/>
      </c>
      <c r="CV403" s="79" t="str">
        <f t="shared" si="115"/>
        <v/>
      </c>
      <c r="CW403" s="79" t="str">
        <f t="shared" si="116"/>
        <v/>
      </c>
      <c r="CX403" s="79" t="str">
        <f t="shared" si="117"/>
        <v/>
      </c>
      <c r="CY403" s="79" t="str">
        <f t="shared" si="118"/>
        <v/>
      </c>
      <c r="CZ403" s="79" t="str">
        <f t="shared" si="119"/>
        <v/>
      </c>
      <c r="DA403" s="79" t="str">
        <f t="shared" si="120"/>
        <v/>
      </c>
      <c r="DB403" s="79" t="str">
        <f t="shared" si="121"/>
        <v/>
      </c>
      <c r="DC403" s="79" t="str">
        <f t="shared" si="122"/>
        <v/>
      </c>
      <c r="DD403" s="79" t="str">
        <f t="shared" si="123"/>
        <v/>
      </c>
      <c r="DE403" s="79" t="str">
        <f t="shared" si="124"/>
        <v/>
      </c>
      <c r="DF403" s="79" t="str">
        <f t="shared" si="125"/>
        <v/>
      </c>
      <c r="DG403" s="79" t="str">
        <f t="shared" si="126"/>
        <v/>
      </c>
      <c r="DH403" s="76"/>
      <c r="DI403" s="78"/>
      <c r="DJ403" s="76"/>
      <c r="DK403" s="77"/>
      <c r="DL403" s="77"/>
      <c r="DM403" s="77"/>
      <c r="DN403" s="80"/>
      <c r="DO403" s="80"/>
      <c r="DP403" s="92" t="str">
        <f>IF(Table1[Start Date]="","",IF(Table1[Start Date]&gt;42185,"",IF(AND(Table1[Leaving Date]&gt;1,Table1[Leaving Date]&lt;42095),"",1)))</f>
        <v/>
      </c>
      <c r="DQ403" s="92" t="str">
        <f>IF(Table1[Start Date]="","",IF(Table1[Start Date]&gt;42277,"",IF(AND(Table1[Leaving Date]&gt;1,Table1[Leaving Date]&lt;42186),"",1)))</f>
        <v/>
      </c>
      <c r="DR403" s="92" t="str">
        <f>IF(Table1[Start Date]="","",IF(Table1[Start Date]&gt;42369,"",IF(AND(Table1[Leaving Date]&gt;1,Table1[Leaving Date]&lt;42278),"",1)))</f>
        <v/>
      </c>
      <c r="DS403" s="92" t="str">
        <f>IF(Table1[Start Date]="","",IF(Table1[Start Date]&gt;42460,"",IF(AND(Table1[Leaving Date]&gt;1,Table1[Leaving Date]&lt;42370),"",1)))</f>
        <v/>
      </c>
      <c r="DT403" s="92" t="str">
        <f>IF(Table1[Start Date]="","",IF(Table1[Start Date]&gt;42551,"",IF(AND(Table1[Leaving Date]&gt;1,Table1[Leaving Date]&lt;42461),"",1)))</f>
        <v/>
      </c>
      <c r="DU403" s="92" t="str">
        <f>IF(Table1[Start Date]="","",IF(Table1[Start Date]&gt;42643,"",IF(AND(Table1[Leaving Date]&gt;1,Table1[Leaving Date]&lt;42552),"",1)))</f>
        <v/>
      </c>
      <c r="DV403" s="92" t="str">
        <f>IF(Table1[Start Date]="","",IF(Table1[Start Date]&gt;42735,"",IF(AND(Table1[Leaving Date]&gt;1,Table1[Leaving Date]&lt;42644),"",1)))</f>
        <v/>
      </c>
      <c r="DW403" s="92" t="str">
        <f>IF(Table1[Start Date]="","",IF(Table1[Start Date]&gt;42825,"",IF(AND(Table1[Leaving Date]&gt;1,Table1[Leaving Date]&lt;42736),"",1)))</f>
        <v/>
      </c>
      <c r="DX403"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403" s="44" t="e">
        <f>VLOOKUP(Table1[Referral Source],Lists!$G$2:$H$20,2,FALSE)</f>
        <v>#N/A</v>
      </c>
      <c r="DZ403" s="93" t="e">
        <f>SUM(Table1[Data Referral Quarter]+Table1[Data Referral Source])</f>
        <v>#N/A</v>
      </c>
      <c r="EA403" s="44" t="b">
        <f>IF(Table1[Referral Decision]="Accepted",100,IF(Table1[Referral Decision]="Rejected by Provider",200,IF(Table1[Referral Decision]="Rejected by Applicant",300)))</f>
        <v>0</v>
      </c>
      <c r="EB403" s="44">
        <f>SUM(Table1[Data Referral Quarter]+Table1[Data Referral Decision])</f>
        <v>0</v>
      </c>
      <c r="EC403" s="44" t="b">
        <f>IF(Table1[Start Date]&gt;42735,8000,IF(Table1[Start Date]&gt;42643,7000,IF(Table1[Start Date]&gt;42551,6000,IF(Table1[Start Date]&gt;42460,5000,IF(Table1[Start Date]&gt;42369,4000,IF(Table1[Start Date]&gt;42277,3000,IF(Table1[Start Date]&gt;42185,2000,IF(Table1[Start Date]&gt;42094,1000))))))))</f>
        <v>0</v>
      </c>
      <c r="ED403" s="44" t="str">
        <f>IF(Table1[Start Date]="","",IF(Table1[Current Local Authority]="Swindon",1,"2"))</f>
        <v/>
      </c>
      <c r="EE403" s="44" t="e">
        <f>SUM(Table1[Data Start Date]+Table1[Data Local Authority])</f>
        <v>#VALUE!</v>
      </c>
      <c r="EF403" s="44">
        <f>IF(Table1[Registered with GP]="Yes",1,0)</f>
        <v>0</v>
      </c>
      <c r="EG403" s="44">
        <f>SUM(Table1[Data Start Date]+Table1[Data GP Start])</f>
        <v>0</v>
      </c>
      <c r="EH403" s="44" t="str">
        <f>IF(Table1[EET]="NEET",1,IF(Table1[EET]="Education",2,IF(Table1[EET]="Employment",2,IF(Table1[EET]="Training",2,IF(Table1[EET]="Retired",3,"")))))</f>
        <v/>
      </c>
      <c r="EI403" s="44" t="e">
        <f>Table1[Data Start Date]+Table1[Data EET Start]</f>
        <v>#VALUE!</v>
      </c>
      <c r="EJ403" s="44" t="b">
        <f>IF(Table1[Leaving Date]&gt;42735,8000,IF(Table1[Leaving Date]&gt;42643,7000,IF(Table1[Leaving Date]&gt;42551,6000,IF(Table1[Leaving Date]&gt;42460,5000,IF(Table1[Leaving Date]&gt;42369,4000,IF(Table1[Leaving Date]&gt;42277,3000,IF(Table1[Leaving Date]&gt;42185,2000,IF(Table1[Leaving Date]&gt;42094,1000))))))))</f>
        <v>0</v>
      </c>
      <c r="EK403" s="44" t="e">
        <f>VLOOKUP(Table1[Reason for Leaving],Lists!$T$2:$U$15,2,FALSE)</f>
        <v>#N/A</v>
      </c>
      <c r="EL403" s="44" t="e">
        <f>SUM(Table1[Data Leavers Date]+Table1[Data Move On])</f>
        <v>#N/A</v>
      </c>
      <c r="EM403" s="44" t="b">
        <f>IF(Table1[Registered with GP2]="Yes",1,IF(Table1[Registered with GP2]="No",0,IF(Table1[Registered with GP]="Yes",1,IF(Table1[Registered with GP]="No",0))))</f>
        <v>0</v>
      </c>
      <c r="EN403" s="44">
        <f>SUM(Table1[Data Leavers Date]+Table1[Data GP End])</f>
        <v>0</v>
      </c>
      <c r="EO403" s="44" t="str">
        <f>IF(Table1[EET2]="NEET",1,IF(Table1[EET2]="Employment",2,IF(Table1[EET2]="Education",2,IF(Table1[EET2]="Training",2,IF(Table1[EET2]="Retired",3,IF(Table1[EET]="NEET",1,IF(Table1[EET]="Employment",2,IF(Table1[EET]="Education",2,IF(Table1[EET]="Training",2,IF(Table1[EET]="Retired",3,""))))))))))</f>
        <v/>
      </c>
      <c r="EP403" s="44" t="e">
        <f>+Table1[[#This Row],[Data Leavers Date]]+Table1[[#This Row],[Data EET End]]</f>
        <v>#VALUE!</v>
      </c>
      <c r="EQ403" s="44">
        <f>IF(Table1[Exit Form Received]="Yes",1,0)</f>
        <v>0</v>
      </c>
      <c r="ER403" s="44">
        <f>+Table1[[#This Row],[Data Leavers Date]]+Table1[[#This Row],[Data Exit Forms]]</f>
        <v>0</v>
      </c>
      <c r="ES403" s="44" t="str">
        <f>IF(Table1[Data Leavers Date]=1000,SUM(Table1[Leaving Date]-Table1[Start Date]),"")</f>
        <v/>
      </c>
      <c r="ET403" s="44" t="str">
        <f>IF(Table1[Data Leavers Date]=2000,SUM(Table1[Leaving Date]-Table1[Start Date]),"")</f>
        <v/>
      </c>
      <c r="EU403" s="44" t="str">
        <f>IF(Table1[Data Leavers Date]=3000,SUM(Table1[Leaving Date]-Table1[Start Date]),"")</f>
        <v/>
      </c>
      <c r="EV403" s="44" t="str">
        <f>IF(Table1[Data Leavers Date]=4000,SUM(Table1[Leaving Date]-Table1[Start Date]),"")</f>
        <v/>
      </c>
      <c r="EW403" s="44" t="str">
        <f>IF(Table1[Data Leavers Date]=5000,SUM(Table1[Leaving Date]-Table1[Start Date]),"")</f>
        <v/>
      </c>
      <c r="EX403" s="44" t="str">
        <f>IF(Table1[Data Leavers Date]=6000,SUM(Table1[Leaving Date]-Table1[Start Date]),"")</f>
        <v/>
      </c>
      <c r="EY403" s="44" t="str">
        <f>IF(Table1[Data Leavers Date]=7000,SUM(Table1[Leaving Date]-Table1[Start Date]),"")</f>
        <v/>
      </c>
      <c r="EZ403" s="44" t="str">
        <f>IF(Table1[Data Leavers Date]=8000,SUM(Table1[Leaving Date]-Table1[Start Date]),"")</f>
        <v/>
      </c>
      <c r="FA403" s="44" t="str">
        <f>IF(Table1[Date of Initial Assessment]="","",IF(AND(Table1[Start Date]&gt;42094,Table1[Start Date]&lt;42461),Table1[Motivation and Taking Responsibility],""))</f>
        <v/>
      </c>
      <c r="FB403" s="44" t="str">
        <f>IF(Table1[Date of Initial Assessment]="","",IF(AND(Table1[Start Date]&gt;42094,Table1[Start Date]&lt;42461),Table1[Self-Care and Living Skills],""))</f>
        <v/>
      </c>
      <c r="FC403" s="44" t="str">
        <f>IF(Table1[Date of Initial Assessment]="","",IF(AND(Table1[Start Date]&gt;42094,Table1[Start Date]&lt;42461),Table1[Managing Money and Personal Administration],""))</f>
        <v/>
      </c>
      <c r="FD403" s="44" t="str">
        <f>IF(Table1[Date of Initial Assessment]="","",IF(AND(Table1[Start Date]&gt;42094,Table1[Start Date]&lt;42461),Table1[Social Networks and Relationships],""))</f>
        <v/>
      </c>
      <c r="FE403" s="44" t="str">
        <f>IF(Table1[Date of Initial Assessment]="","",IF(AND(Table1[Start Date]&gt;42094,Table1[Start Date]&lt;42461),Table1[Drug and Alcohol Misuse],""))</f>
        <v/>
      </c>
      <c r="FF403" s="44" t="str">
        <f>IF(Table1[Date of Initial Assessment]="","",IF(AND(Table1[Start Date]&gt;42094,Table1[Start Date]&lt;42461),Table1[Physical Health],""))</f>
        <v/>
      </c>
      <c r="FG403" s="44" t="str">
        <f>IF(Table1[Date of Initial Assessment]="","",IF(AND(Table1[Start Date]&gt;42094,Table1[Start Date]&lt;42461),Table1[Emotional and Mental Health],""))</f>
        <v/>
      </c>
      <c r="FH403" s="44" t="str">
        <f>IF(Table1[Date of Initial Assessment]="","",IF(AND(Table1[Start Date]&gt;42094,Table1[Start Date]&lt;42461),Table1[Meaningful Use of Time],""))</f>
        <v/>
      </c>
      <c r="FI403" s="44" t="str">
        <f>IF(Table1[Date of Initial Assessment]="","",IF(AND(Table1[Start Date]&gt;42094,Table1[Start Date]&lt;42461),Table1[Managing Tenancy and Accommodation],""))</f>
        <v/>
      </c>
      <c r="FJ403" s="44" t="str">
        <f>IF(Table1[Date of Initial Assessment]="","",IF(AND(Table1[Start Date]&gt;42094,Table1[Start Date]&lt;42461),Table1[Offending],""))</f>
        <v/>
      </c>
      <c r="FK403" s="44" t="str">
        <f>IF(Table1[Leaving Date]="","",IF(Table1[Date of Initial Assessment]="","",IF(AND(Table1[Leaving Date]&gt;42094,Table1[Leaving Date]&lt;42461),IF(Table1[Date of Last Assessment]="",Table1[Motivation and Taking Responsibility],Table1[Motivation and Taking Responsibility2]),"")))</f>
        <v/>
      </c>
      <c r="FL403" s="44" t="str">
        <f>IF(Table1[Leaving Date]="","",IF(Table1[Date of Initial Assessment]="","",IF(AND(Table1[Leaving Date]&gt;42094,Table1[Leaving Date]&lt;42461),IF(Table1[Date of Last Assessment]="",Table1[Self-Care and Living Skills],Table1[Self-Care and Living Skills2]),"")))</f>
        <v/>
      </c>
      <c r="FM403" s="44" t="str">
        <f>IF(Table1[Leaving Date]="","",IF(Table1[Date of Initial Assessment]="","",IF(AND(Table1[Leaving Date]&gt;42094,Table1[Leaving Date]&lt;42461),IF(Table1[Date of Last Assessment]="",Table1[Managing Money and Personal Administration],Table1[Managing Money and Personal Administration2]),"")))</f>
        <v/>
      </c>
      <c r="FN403" s="44" t="str">
        <f>IF(Table1[Leaving Date]="","",IF(Table1[Date of Initial Assessment]="","",IF(AND(Table1[Leaving Date]&gt;42094,Table1[Leaving Date]&lt;42461),IF(Table1[Date of Last Assessment]="",Table1[Social Networks and Relationships],Table1[Social Networks and Relationships2]),"")))</f>
        <v/>
      </c>
      <c r="FO403" s="44" t="str">
        <f>IF(Table1[Leaving Date]="","",IF(Table1[Date of Initial Assessment]="","",IF(AND(Table1[Leaving Date]&gt;42094,Table1[Leaving Date]&lt;42461),IF(Table1[Date of Last Assessment]="",Table1[Drug and Alcohol Misuse],Table1[Drug and Alcohol Misuse2]),"")))</f>
        <v/>
      </c>
      <c r="FP403" s="44" t="str">
        <f>IF(Table1[Leaving Date]="","",IF(Table1[Date of Initial Assessment]="","",IF(AND(Table1[Leaving Date]&gt;42094,Table1[Leaving Date]&lt;42461),IF(Table1[Date of Last Assessment]="",Table1[Physical Health],Table1[Physical Health2]),"")))</f>
        <v/>
      </c>
      <c r="FQ403" s="44" t="str">
        <f>IF(Table1[Leaving Date]="","",IF(Table1[Date of Initial Assessment]="","",IF(AND(Table1[Leaving Date]&gt;42094,Table1[Leaving Date]&lt;42461),IF(Table1[Date of Last Assessment]="",Table1[Emotional and Mental Health],Table1[Emotional and Mental Health2]),"")))</f>
        <v/>
      </c>
      <c r="FR403" s="44" t="str">
        <f>IF(Table1[Leaving Date]="","",IF(Table1[Date of Initial Assessment]="","",IF(AND(Table1[Leaving Date]&gt;42094,Table1[Leaving Date]&lt;42461),IF(Table1[Date of Last Assessment]="",Table1[Meaningful Use of Time],Table1[Meaningful Use of Time2]),"")))</f>
        <v/>
      </c>
      <c r="FS403" s="44" t="str">
        <f>IF(Table1[Leaving Date]="","",IF(Table1[Date of Initial Assessment]="","",IF(AND(Table1[Leaving Date]&gt;42094,Table1[Leaving Date]&lt;42461),IF(Table1[Date of Last Assessment]="",Table1[Managing Tenancy and Accommodation],Table1[Managing Tenancy and Accommodation2]),"")))</f>
        <v/>
      </c>
      <c r="FT403" s="44" t="str">
        <f>IF(Table1[Leaving Date]="","",IF(Table1[Date of Initial Assessment]="","",IF(AND(Table1[Leaving Date]&gt;42094,Table1[Leaving Date]&lt;42461),IF(Table1[Date of Last Assessment]="",Table1[Offending],Table1[Offending2]),"")))</f>
        <v/>
      </c>
      <c r="FU403" s="44" t="str">
        <f>IF(Table1[Date of Initial Assessment]="","",IF(AND(Table1[Start Date]&gt;42460,Table1[Start Date]&lt;42826),Table1[Motivation and Taking Responsibility],""))</f>
        <v/>
      </c>
      <c r="FV403" s="44" t="str">
        <f>IF(Table1[Date of Initial Assessment]="","",IF(AND(Table1[Start Date]&gt;42460,Table1[Start Date]&lt;42826),Table1[Self-Care and Living Skills],""))</f>
        <v/>
      </c>
      <c r="FW403" s="44" t="str">
        <f>IF(Table1[Date of Initial Assessment]="","",IF(AND(Table1[Start Date]&gt;42460,Table1[Start Date]&lt;42826),Table1[Managing Money and Personal Administration],""))</f>
        <v/>
      </c>
      <c r="FX403" s="44" t="str">
        <f>IF(Table1[Date of Initial Assessment]="","",IF(AND(Table1[Start Date]&gt;42460,Table1[Start Date]&lt;42826),Table1[Social Networks and Relationships],""))</f>
        <v/>
      </c>
      <c r="FY403" s="44" t="str">
        <f>IF(Table1[Date of Initial Assessment]="","",IF(AND(Table1[Start Date]&gt;42460,Table1[Start Date]&lt;42826),Table1[Drug and Alcohol Misuse],""))</f>
        <v/>
      </c>
      <c r="FZ403" s="44" t="str">
        <f>IF(Table1[Date of Initial Assessment]="","",IF(AND(Table1[Start Date]&gt;42460,Table1[Start Date]&lt;42826),Table1[Physical Health],""))</f>
        <v/>
      </c>
      <c r="GA403" s="44" t="str">
        <f>IF(Table1[Date of Initial Assessment]="","",IF(AND(Table1[Start Date]&gt;42460,Table1[Start Date]&lt;42826),Table1[Emotional and Mental Health],""))</f>
        <v/>
      </c>
      <c r="GB403" s="44" t="str">
        <f>IF(Table1[Date of Initial Assessment]="","",IF(AND(Table1[Start Date]&gt;42460,Table1[Start Date]&lt;42826),Table1[Meaningful Use of Time],""))</f>
        <v/>
      </c>
      <c r="GC403" s="44" t="str">
        <f>IF(Table1[Date of Initial Assessment]="","",IF(AND(Table1[Start Date]&gt;42460,Table1[Start Date]&lt;42826),Table1[Managing Tenancy and Accommodation],""))</f>
        <v/>
      </c>
      <c r="GD403" s="44" t="str">
        <f>IF(Table1[Date of Initial Assessment]="","",IF(AND(Table1[Start Date]&gt;42460,Table1[Start Date]&lt;42826),Table1[Offending],""))</f>
        <v/>
      </c>
      <c r="GE403" s="44" t="str">
        <f>IF(Table1[Leaving Date]="","",IF(AND(Table1[Leaving Date]&gt;42460,Table1[Leaving Date]&lt;42826),IF(Table1[Date of Last Assessment]="",Table1[Motivation and Taking Responsibility],Table1[Motivation and Taking Responsibility2]),""))</f>
        <v/>
      </c>
      <c r="GF403" s="44" t="str">
        <f>IF(Table1[Leaving Date]="","",IF(AND(Table1[Leaving Date]&gt;42460,Table1[Leaving Date]&lt;42826),IF(Table1[Date of Last Assessment]="",Table1[Self-Care and Living Skills],Table1[Self-Care and Living Skills2]),""))</f>
        <v/>
      </c>
      <c r="GG403" s="44" t="str">
        <f>IF(Table1[Leaving Date]="","",IF(AND(Table1[Leaving Date]&gt;42460,Table1[Leaving Date]&lt;42826),IF(Table1[Date of Last Assessment]="",Table1[Managing Money and Personal Administration],Table1[Managing Money and Personal Administration2]),""))</f>
        <v/>
      </c>
      <c r="GH403" s="44" t="str">
        <f>IF(Table1[Leaving Date]="","",IF(AND(Table1[Leaving Date]&gt;42460,Table1[Leaving Date]&lt;42826),IF(Table1[Date of Last Assessment]="",Table1[Social Networks and Relationships],Table1[Social Networks and Relationships2]),""))</f>
        <v/>
      </c>
      <c r="GI403" s="44" t="str">
        <f>IF(Table1[Leaving Date]="","",IF(AND(Table1[Leaving Date]&gt;42460,Table1[Leaving Date]&lt;42826),IF(Table1[Date of Last Assessment]="",Table1[Drug and Alcohol Misuse],Table1[Drug and Alcohol Misuse2]),""))</f>
        <v/>
      </c>
      <c r="GJ403" s="44" t="str">
        <f>IF(Table1[Leaving Date]="","",IF(AND(Table1[Leaving Date]&gt;42460,Table1[Leaving Date]&lt;42826),IF(Table1[Date of Last Assessment]="",Table1[Physical Health],Table1[Physical Health2]),""))</f>
        <v/>
      </c>
      <c r="GK403" s="44" t="str">
        <f>IF(Table1[Leaving Date]="","",IF(AND(Table1[Leaving Date]&gt;42460,Table1[Leaving Date]&lt;42826),IF(Table1[Date of Last Assessment]="",Table1[Emotional and Mental Health],Table1[Emotional and Mental Health2]),""))</f>
        <v/>
      </c>
      <c r="GL403" s="44" t="str">
        <f>IF(Table1[Leaving Date]="","",IF(AND(Table1[Leaving Date]&gt;42460,Table1[Leaving Date]&lt;42826),IF(Table1[Date of Last Assessment]="",Table1[Meaningful Use of Time],Table1[Meaningful Use of Time2]),""))</f>
        <v/>
      </c>
      <c r="GM403" s="44" t="str">
        <f>IF(Table1[Leaving Date]="","",IF(AND(Table1[Leaving Date]&gt;42460,Table1[Leaving Date]&lt;42826),IF(Table1[Date of Last Assessment]="",Table1[Managing Tenancy and Accommodation],Table1[Managing Tenancy and Accommodation2]),""))</f>
        <v/>
      </c>
      <c r="GN403" s="44" t="str">
        <f>IF(Table1[Leaving Date]="","",IF(AND(Table1[Leaving Date]&gt;42460,Table1[Leaving Date]&lt;42826),IF(Table1[Date of Last Assessment]="",Table1[Offending],Table1[Offending2]),""))</f>
        <v/>
      </c>
    </row>
    <row r="404" spans="2:196" ht="20.100000000000001" customHeight="1" x14ac:dyDescent="0.2">
      <c r="B404" s="86">
        <f>+'Service Data'!$C$5:$C$5</f>
        <v>0</v>
      </c>
      <c r="C404" s="86"/>
      <c r="D404" s="86"/>
      <c r="E404" s="86"/>
      <c r="F404" s="86"/>
      <c r="G404" s="86"/>
      <c r="H404" s="6"/>
      <c r="I404" s="99" t="str">
        <f ca="1">IF(Table1[[#This Row],[Date of Birth]]="","",SUM(TODAY()-Table1[[#This Row],[Date of Birth]])/365)</f>
        <v/>
      </c>
      <c r="L404" s="86"/>
      <c r="M404" s="77"/>
      <c r="N404" s="86"/>
      <c r="O404" s="86"/>
      <c r="P404" s="91"/>
      <c r="Q404" s="86"/>
      <c r="R404" s="77"/>
      <c r="S404" s="77"/>
      <c r="T404" s="68"/>
      <c r="U404" s="68"/>
      <c r="V404" s="67"/>
      <c r="W404" s="67"/>
      <c r="X404" s="67"/>
      <c r="Y404" s="67"/>
      <c r="Z404" s="67"/>
      <c r="AA404" s="67"/>
      <c r="AB404" s="67"/>
      <c r="AC404" s="67"/>
      <c r="AD404" s="67"/>
      <c r="AE404" s="67"/>
      <c r="AF404" s="67"/>
      <c r="AG404" s="67"/>
      <c r="AH404" s="67"/>
      <c r="AI404" s="67"/>
      <c r="AJ404" s="67"/>
      <c r="AK404" s="67"/>
      <c r="AL404" s="67"/>
      <c r="AM404" s="67"/>
      <c r="AN404" s="77"/>
      <c r="AO404" s="76"/>
      <c r="AP404" s="77"/>
      <c r="AQ404" s="76"/>
      <c r="AR404" s="76"/>
      <c r="AS404" s="76"/>
      <c r="AT404" s="76"/>
      <c r="AU404" s="76"/>
      <c r="AV404" s="77"/>
      <c r="AW404" s="76"/>
      <c r="AX404" s="77"/>
      <c r="AY404" s="76"/>
      <c r="AZ404" s="76"/>
      <c r="BA404" s="76"/>
      <c r="BB404" s="76"/>
      <c r="BC404" s="76"/>
      <c r="BD404" s="77"/>
      <c r="BE404" s="76"/>
      <c r="BF404" s="77"/>
      <c r="BG404" s="76"/>
      <c r="BH404" s="76"/>
      <c r="BI404" s="76"/>
      <c r="BJ404" s="76"/>
      <c r="BK404" s="76"/>
      <c r="BL404" s="77"/>
      <c r="BM404" s="76"/>
      <c r="BN404" s="77"/>
      <c r="BO404" s="76"/>
      <c r="BP404" s="76"/>
      <c r="BQ404" s="76"/>
      <c r="BR404" s="76"/>
      <c r="BS404" s="76"/>
      <c r="BT404" s="77"/>
      <c r="BU404" s="76"/>
      <c r="BV404" s="77"/>
      <c r="BW404" s="76"/>
      <c r="BX404" s="76"/>
      <c r="BY404" s="76"/>
      <c r="BZ404" s="76"/>
      <c r="CA404" s="76"/>
      <c r="CB404" s="77"/>
      <c r="CC404" s="76"/>
      <c r="CD404" s="77"/>
      <c r="CE404" s="76"/>
      <c r="CF404" s="76"/>
      <c r="CG404" s="76"/>
      <c r="CH404" s="76"/>
      <c r="CI404" s="76"/>
      <c r="CJ404" s="77"/>
      <c r="CK404" s="76"/>
      <c r="CL404" s="77"/>
      <c r="CM404" s="76"/>
      <c r="CN404" s="76"/>
      <c r="CO404" s="76"/>
      <c r="CP404" s="76"/>
      <c r="CQ404" s="76"/>
      <c r="CR404" s="78" t="str">
        <f t="shared" si="111"/>
        <v/>
      </c>
      <c r="CS404" s="79" t="str">
        <f t="shared" si="112"/>
        <v/>
      </c>
      <c r="CT404" s="79" t="str">
        <f t="shared" si="113"/>
        <v/>
      </c>
      <c r="CU404" s="79" t="str">
        <f t="shared" si="114"/>
        <v/>
      </c>
      <c r="CV404" s="79" t="str">
        <f t="shared" si="115"/>
        <v/>
      </c>
      <c r="CW404" s="79" t="str">
        <f t="shared" si="116"/>
        <v/>
      </c>
      <c r="CX404" s="79" t="str">
        <f t="shared" si="117"/>
        <v/>
      </c>
      <c r="CY404" s="79" t="str">
        <f t="shared" si="118"/>
        <v/>
      </c>
      <c r="CZ404" s="79" t="str">
        <f t="shared" si="119"/>
        <v/>
      </c>
      <c r="DA404" s="79" t="str">
        <f t="shared" si="120"/>
        <v/>
      </c>
      <c r="DB404" s="79" t="str">
        <f t="shared" si="121"/>
        <v/>
      </c>
      <c r="DC404" s="79" t="str">
        <f t="shared" si="122"/>
        <v/>
      </c>
      <c r="DD404" s="79" t="str">
        <f t="shared" si="123"/>
        <v/>
      </c>
      <c r="DE404" s="79" t="str">
        <f t="shared" si="124"/>
        <v/>
      </c>
      <c r="DF404" s="79" t="str">
        <f t="shared" si="125"/>
        <v/>
      </c>
      <c r="DG404" s="79" t="str">
        <f t="shared" si="126"/>
        <v/>
      </c>
      <c r="DH404" s="76"/>
      <c r="DI404" s="78"/>
      <c r="DJ404" s="76"/>
      <c r="DK404" s="77"/>
      <c r="DL404" s="77"/>
      <c r="DM404" s="77"/>
      <c r="DN404" s="80"/>
      <c r="DO404" s="80"/>
      <c r="DP404" s="92" t="str">
        <f>IF(Table1[Start Date]="","",IF(Table1[Start Date]&gt;42185,"",IF(AND(Table1[Leaving Date]&gt;1,Table1[Leaving Date]&lt;42095),"",1)))</f>
        <v/>
      </c>
      <c r="DQ404" s="92" t="str">
        <f>IF(Table1[Start Date]="","",IF(Table1[Start Date]&gt;42277,"",IF(AND(Table1[Leaving Date]&gt;1,Table1[Leaving Date]&lt;42186),"",1)))</f>
        <v/>
      </c>
      <c r="DR404" s="92" t="str">
        <f>IF(Table1[Start Date]="","",IF(Table1[Start Date]&gt;42369,"",IF(AND(Table1[Leaving Date]&gt;1,Table1[Leaving Date]&lt;42278),"",1)))</f>
        <v/>
      </c>
      <c r="DS404" s="92" t="str">
        <f>IF(Table1[Start Date]="","",IF(Table1[Start Date]&gt;42460,"",IF(AND(Table1[Leaving Date]&gt;1,Table1[Leaving Date]&lt;42370),"",1)))</f>
        <v/>
      </c>
      <c r="DT404" s="92" t="str">
        <f>IF(Table1[Start Date]="","",IF(Table1[Start Date]&gt;42551,"",IF(AND(Table1[Leaving Date]&gt;1,Table1[Leaving Date]&lt;42461),"",1)))</f>
        <v/>
      </c>
      <c r="DU404" s="92" t="str">
        <f>IF(Table1[Start Date]="","",IF(Table1[Start Date]&gt;42643,"",IF(AND(Table1[Leaving Date]&gt;1,Table1[Leaving Date]&lt;42552),"",1)))</f>
        <v/>
      </c>
      <c r="DV404" s="92" t="str">
        <f>IF(Table1[Start Date]="","",IF(Table1[Start Date]&gt;42735,"",IF(AND(Table1[Leaving Date]&gt;1,Table1[Leaving Date]&lt;42644),"",1)))</f>
        <v/>
      </c>
      <c r="DW404" s="92" t="str">
        <f>IF(Table1[Start Date]="","",IF(Table1[Start Date]&gt;42825,"",IF(AND(Table1[Leaving Date]&gt;1,Table1[Leaving Date]&lt;42736),"",1)))</f>
        <v/>
      </c>
      <c r="DX404"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404" s="44" t="e">
        <f>VLOOKUP(Table1[Referral Source],Lists!$G$2:$H$20,2,FALSE)</f>
        <v>#N/A</v>
      </c>
      <c r="DZ404" s="93" t="e">
        <f>SUM(Table1[Data Referral Quarter]+Table1[Data Referral Source])</f>
        <v>#N/A</v>
      </c>
      <c r="EA404" s="44" t="b">
        <f>IF(Table1[Referral Decision]="Accepted",100,IF(Table1[Referral Decision]="Rejected by Provider",200,IF(Table1[Referral Decision]="Rejected by Applicant",300)))</f>
        <v>0</v>
      </c>
      <c r="EB404" s="44">
        <f>SUM(Table1[Data Referral Quarter]+Table1[Data Referral Decision])</f>
        <v>0</v>
      </c>
      <c r="EC404" s="44" t="b">
        <f>IF(Table1[Start Date]&gt;42735,8000,IF(Table1[Start Date]&gt;42643,7000,IF(Table1[Start Date]&gt;42551,6000,IF(Table1[Start Date]&gt;42460,5000,IF(Table1[Start Date]&gt;42369,4000,IF(Table1[Start Date]&gt;42277,3000,IF(Table1[Start Date]&gt;42185,2000,IF(Table1[Start Date]&gt;42094,1000))))))))</f>
        <v>0</v>
      </c>
      <c r="ED404" s="44" t="str">
        <f>IF(Table1[Start Date]="","",IF(Table1[Current Local Authority]="Swindon",1,"2"))</f>
        <v/>
      </c>
      <c r="EE404" s="44" t="e">
        <f>SUM(Table1[Data Start Date]+Table1[Data Local Authority])</f>
        <v>#VALUE!</v>
      </c>
      <c r="EF404" s="44">
        <f>IF(Table1[Registered with GP]="Yes",1,0)</f>
        <v>0</v>
      </c>
      <c r="EG404" s="44">
        <f>SUM(Table1[Data Start Date]+Table1[Data GP Start])</f>
        <v>0</v>
      </c>
      <c r="EH404" s="44" t="str">
        <f>IF(Table1[EET]="NEET",1,IF(Table1[EET]="Education",2,IF(Table1[EET]="Employment",2,IF(Table1[EET]="Training",2,IF(Table1[EET]="Retired",3,"")))))</f>
        <v/>
      </c>
      <c r="EI404" s="44" t="e">
        <f>Table1[Data Start Date]+Table1[Data EET Start]</f>
        <v>#VALUE!</v>
      </c>
      <c r="EJ404" s="44" t="b">
        <f>IF(Table1[Leaving Date]&gt;42735,8000,IF(Table1[Leaving Date]&gt;42643,7000,IF(Table1[Leaving Date]&gt;42551,6000,IF(Table1[Leaving Date]&gt;42460,5000,IF(Table1[Leaving Date]&gt;42369,4000,IF(Table1[Leaving Date]&gt;42277,3000,IF(Table1[Leaving Date]&gt;42185,2000,IF(Table1[Leaving Date]&gt;42094,1000))))))))</f>
        <v>0</v>
      </c>
      <c r="EK404" s="44" t="e">
        <f>VLOOKUP(Table1[Reason for Leaving],Lists!$T$2:$U$15,2,FALSE)</f>
        <v>#N/A</v>
      </c>
      <c r="EL404" s="44" t="e">
        <f>SUM(Table1[Data Leavers Date]+Table1[Data Move On])</f>
        <v>#N/A</v>
      </c>
      <c r="EM404" s="44" t="b">
        <f>IF(Table1[Registered with GP2]="Yes",1,IF(Table1[Registered with GP2]="No",0,IF(Table1[Registered with GP]="Yes",1,IF(Table1[Registered with GP]="No",0))))</f>
        <v>0</v>
      </c>
      <c r="EN404" s="44">
        <f>SUM(Table1[Data Leavers Date]+Table1[Data GP End])</f>
        <v>0</v>
      </c>
      <c r="EO404" s="44" t="str">
        <f>IF(Table1[EET2]="NEET",1,IF(Table1[EET2]="Employment",2,IF(Table1[EET2]="Education",2,IF(Table1[EET2]="Training",2,IF(Table1[EET2]="Retired",3,IF(Table1[EET]="NEET",1,IF(Table1[EET]="Employment",2,IF(Table1[EET]="Education",2,IF(Table1[EET]="Training",2,IF(Table1[EET]="Retired",3,""))))))))))</f>
        <v/>
      </c>
      <c r="EP404" s="44" t="e">
        <f>+Table1[[#This Row],[Data Leavers Date]]+Table1[[#This Row],[Data EET End]]</f>
        <v>#VALUE!</v>
      </c>
      <c r="EQ404" s="44">
        <f>IF(Table1[Exit Form Received]="Yes",1,0)</f>
        <v>0</v>
      </c>
      <c r="ER404" s="44">
        <f>+Table1[[#This Row],[Data Leavers Date]]+Table1[[#This Row],[Data Exit Forms]]</f>
        <v>0</v>
      </c>
      <c r="ES404" s="44" t="str">
        <f>IF(Table1[Data Leavers Date]=1000,SUM(Table1[Leaving Date]-Table1[Start Date]),"")</f>
        <v/>
      </c>
      <c r="ET404" s="44" t="str">
        <f>IF(Table1[Data Leavers Date]=2000,SUM(Table1[Leaving Date]-Table1[Start Date]),"")</f>
        <v/>
      </c>
      <c r="EU404" s="44" t="str">
        <f>IF(Table1[Data Leavers Date]=3000,SUM(Table1[Leaving Date]-Table1[Start Date]),"")</f>
        <v/>
      </c>
      <c r="EV404" s="44" t="str">
        <f>IF(Table1[Data Leavers Date]=4000,SUM(Table1[Leaving Date]-Table1[Start Date]),"")</f>
        <v/>
      </c>
      <c r="EW404" s="44" t="str">
        <f>IF(Table1[Data Leavers Date]=5000,SUM(Table1[Leaving Date]-Table1[Start Date]),"")</f>
        <v/>
      </c>
      <c r="EX404" s="44" t="str">
        <f>IF(Table1[Data Leavers Date]=6000,SUM(Table1[Leaving Date]-Table1[Start Date]),"")</f>
        <v/>
      </c>
      <c r="EY404" s="44" t="str">
        <f>IF(Table1[Data Leavers Date]=7000,SUM(Table1[Leaving Date]-Table1[Start Date]),"")</f>
        <v/>
      </c>
      <c r="EZ404" s="44" t="str">
        <f>IF(Table1[Data Leavers Date]=8000,SUM(Table1[Leaving Date]-Table1[Start Date]),"")</f>
        <v/>
      </c>
      <c r="FA404" s="44" t="str">
        <f>IF(Table1[Date of Initial Assessment]="","",IF(AND(Table1[Start Date]&gt;42094,Table1[Start Date]&lt;42461),Table1[Motivation and Taking Responsibility],""))</f>
        <v/>
      </c>
      <c r="FB404" s="44" t="str">
        <f>IF(Table1[Date of Initial Assessment]="","",IF(AND(Table1[Start Date]&gt;42094,Table1[Start Date]&lt;42461),Table1[Self-Care and Living Skills],""))</f>
        <v/>
      </c>
      <c r="FC404" s="44" t="str">
        <f>IF(Table1[Date of Initial Assessment]="","",IF(AND(Table1[Start Date]&gt;42094,Table1[Start Date]&lt;42461),Table1[Managing Money and Personal Administration],""))</f>
        <v/>
      </c>
      <c r="FD404" s="44" t="str">
        <f>IF(Table1[Date of Initial Assessment]="","",IF(AND(Table1[Start Date]&gt;42094,Table1[Start Date]&lt;42461),Table1[Social Networks and Relationships],""))</f>
        <v/>
      </c>
      <c r="FE404" s="44" t="str">
        <f>IF(Table1[Date of Initial Assessment]="","",IF(AND(Table1[Start Date]&gt;42094,Table1[Start Date]&lt;42461),Table1[Drug and Alcohol Misuse],""))</f>
        <v/>
      </c>
      <c r="FF404" s="44" t="str">
        <f>IF(Table1[Date of Initial Assessment]="","",IF(AND(Table1[Start Date]&gt;42094,Table1[Start Date]&lt;42461),Table1[Physical Health],""))</f>
        <v/>
      </c>
      <c r="FG404" s="44" t="str">
        <f>IF(Table1[Date of Initial Assessment]="","",IF(AND(Table1[Start Date]&gt;42094,Table1[Start Date]&lt;42461),Table1[Emotional and Mental Health],""))</f>
        <v/>
      </c>
      <c r="FH404" s="44" t="str">
        <f>IF(Table1[Date of Initial Assessment]="","",IF(AND(Table1[Start Date]&gt;42094,Table1[Start Date]&lt;42461),Table1[Meaningful Use of Time],""))</f>
        <v/>
      </c>
      <c r="FI404" s="44" t="str">
        <f>IF(Table1[Date of Initial Assessment]="","",IF(AND(Table1[Start Date]&gt;42094,Table1[Start Date]&lt;42461),Table1[Managing Tenancy and Accommodation],""))</f>
        <v/>
      </c>
      <c r="FJ404" s="44" t="str">
        <f>IF(Table1[Date of Initial Assessment]="","",IF(AND(Table1[Start Date]&gt;42094,Table1[Start Date]&lt;42461),Table1[Offending],""))</f>
        <v/>
      </c>
      <c r="FK404" s="44" t="str">
        <f>IF(Table1[Leaving Date]="","",IF(Table1[Date of Initial Assessment]="","",IF(AND(Table1[Leaving Date]&gt;42094,Table1[Leaving Date]&lt;42461),IF(Table1[Date of Last Assessment]="",Table1[Motivation and Taking Responsibility],Table1[Motivation and Taking Responsibility2]),"")))</f>
        <v/>
      </c>
      <c r="FL404" s="44" t="str">
        <f>IF(Table1[Leaving Date]="","",IF(Table1[Date of Initial Assessment]="","",IF(AND(Table1[Leaving Date]&gt;42094,Table1[Leaving Date]&lt;42461),IF(Table1[Date of Last Assessment]="",Table1[Self-Care and Living Skills],Table1[Self-Care and Living Skills2]),"")))</f>
        <v/>
      </c>
      <c r="FM404" s="44" t="str">
        <f>IF(Table1[Leaving Date]="","",IF(Table1[Date of Initial Assessment]="","",IF(AND(Table1[Leaving Date]&gt;42094,Table1[Leaving Date]&lt;42461),IF(Table1[Date of Last Assessment]="",Table1[Managing Money and Personal Administration],Table1[Managing Money and Personal Administration2]),"")))</f>
        <v/>
      </c>
      <c r="FN404" s="44" t="str">
        <f>IF(Table1[Leaving Date]="","",IF(Table1[Date of Initial Assessment]="","",IF(AND(Table1[Leaving Date]&gt;42094,Table1[Leaving Date]&lt;42461),IF(Table1[Date of Last Assessment]="",Table1[Social Networks and Relationships],Table1[Social Networks and Relationships2]),"")))</f>
        <v/>
      </c>
      <c r="FO404" s="44" t="str">
        <f>IF(Table1[Leaving Date]="","",IF(Table1[Date of Initial Assessment]="","",IF(AND(Table1[Leaving Date]&gt;42094,Table1[Leaving Date]&lt;42461),IF(Table1[Date of Last Assessment]="",Table1[Drug and Alcohol Misuse],Table1[Drug and Alcohol Misuse2]),"")))</f>
        <v/>
      </c>
      <c r="FP404" s="44" t="str">
        <f>IF(Table1[Leaving Date]="","",IF(Table1[Date of Initial Assessment]="","",IF(AND(Table1[Leaving Date]&gt;42094,Table1[Leaving Date]&lt;42461),IF(Table1[Date of Last Assessment]="",Table1[Physical Health],Table1[Physical Health2]),"")))</f>
        <v/>
      </c>
      <c r="FQ404" s="44" t="str">
        <f>IF(Table1[Leaving Date]="","",IF(Table1[Date of Initial Assessment]="","",IF(AND(Table1[Leaving Date]&gt;42094,Table1[Leaving Date]&lt;42461),IF(Table1[Date of Last Assessment]="",Table1[Emotional and Mental Health],Table1[Emotional and Mental Health2]),"")))</f>
        <v/>
      </c>
      <c r="FR404" s="44" t="str">
        <f>IF(Table1[Leaving Date]="","",IF(Table1[Date of Initial Assessment]="","",IF(AND(Table1[Leaving Date]&gt;42094,Table1[Leaving Date]&lt;42461),IF(Table1[Date of Last Assessment]="",Table1[Meaningful Use of Time],Table1[Meaningful Use of Time2]),"")))</f>
        <v/>
      </c>
      <c r="FS404" s="44" t="str">
        <f>IF(Table1[Leaving Date]="","",IF(Table1[Date of Initial Assessment]="","",IF(AND(Table1[Leaving Date]&gt;42094,Table1[Leaving Date]&lt;42461),IF(Table1[Date of Last Assessment]="",Table1[Managing Tenancy and Accommodation],Table1[Managing Tenancy and Accommodation2]),"")))</f>
        <v/>
      </c>
      <c r="FT404" s="44" t="str">
        <f>IF(Table1[Leaving Date]="","",IF(Table1[Date of Initial Assessment]="","",IF(AND(Table1[Leaving Date]&gt;42094,Table1[Leaving Date]&lt;42461),IF(Table1[Date of Last Assessment]="",Table1[Offending],Table1[Offending2]),"")))</f>
        <v/>
      </c>
      <c r="FU404" s="44" t="str">
        <f>IF(Table1[Date of Initial Assessment]="","",IF(AND(Table1[Start Date]&gt;42460,Table1[Start Date]&lt;42826),Table1[Motivation and Taking Responsibility],""))</f>
        <v/>
      </c>
      <c r="FV404" s="44" t="str">
        <f>IF(Table1[Date of Initial Assessment]="","",IF(AND(Table1[Start Date]&gt;42460,Table1[Start Date]&lt;42826),Table1[Self-Care and Living Skills],""))</f>
        <v/>
      </c>
      <c r="FW404" s="44" t="str">
        <f>IF(Table1[Date of Initial Assessment]="","",IF(AND(Table1[Start Date]&gt;42460,Table1[Start Date]&lt;42826),Table1[Managing Money and Personal Administration],""))</f>
        <v/>
      </c>
      <c r="FX404" s="44" t="str">
        <f>IF(Table1[Date of Initial Assessment]="","",IF(AND(Table1[Start Date]&gt;42460,Table1[Start Date]&lt;42826),Table1[Social Networks and Relationships],""))</f>
        <v/>
      </c>
      <c r="FY404" s="44" t="str">
        <f>IF(Table1[Date of Initial Assessment]="","",IF(AND(Table1[Start Date]&gt;42460,Table1[Start Date]&lt;42826),Table1[Drug and Alcohol Misuse],""))</f>
        <v/>
      </c>
      <c r="FZ404" s="44" t="str">
        <f>IF(Table1[Date of Initial Assessment]="","",IF(AND(Table1[Start Date]&gt;42460,Table1[Start Date]&lt;42826),Table1[Physical Health],""))</f>
        <v/>
      </c>
      <c r="GA404" s="44" t="str">
        <f>IF(Table1[Date of Initial Assessment]="","",IF(AND(Table1[Start Date]&gt;42460,Table1[Start Date]&lt;42826),Table1[Emotional and Mental Health],""))</f>
        <v/>
      </c>
      <c r="GB404" s="44" t="str">
        <f>IF(Table1[Date of Initial Assessment]="","",IF(AND(Table1[Start Date]&gt;42460,Table1[Start Date]&lt;42826),Table1[Meaningful Use of Time],""))</f>
        <v/>
      </c>
      <c r="GC404" s="44" t="str">
        <f>IF(Table1[Date of Initial Assessment]="","",IF(AND(Table1[Start Date]&gt;42460,Table1[Start Date]&lt;42826),Table1[Managing Tenancy and Accommodation],""))</f>
        <v/>
      </c>
      <c r="GD404" s="44" t="str">
        <f>IF(Table1[Date of Initial Assessment]="","",IF(AND(Table1[Start Date]&gt;42460,Table1[Start Date]&lt;42826),Table1[Offending],""))</f>
        <v/>
      </c>
      <c r="GE404" s="44" t="str">
        <f>IF(Table1[Leaving Date]="","",IF(AND(Table1[Leaving Date]&gt;42460,Table1[Leaving Date]&lt;42826),IF(Table1[Date of Last Assessment]="",Table1[Motivation and Taking Responsibility],Table1[Motivation and Taking Responsibility2]),""))</f>
        <v/>
      </c>
      <c r="GF404" s="44" t="str">
        <f>IF(Table1[Leaving Date]="","",IF(AND(Table1[Leaving Date]&gt;42460,Table1[Leaving Date]&lt;42826),IF(Table1[Date of Last Assessment]="",Table1[Self-Care and Living Skills],Table1[Self-Care and Living Skills2]),""))</f>
        <v/>
      </c>
      <c r="GG404" s="44" t="str">
        <f>IF(Table1[Leaving Date]="","",IF(AND(Table1[Leaving Date]&gt;42460,Table1[Leaving Date]&lt;42826),IF(Table1[Date of Last Assessment]="",Table1[Managing Money and Personal Administration],Table1[Managing Money and Personal Administration2]),""))</f>
        <v/>
      </c>
      <c r="GH404" s="44" t="str">
        <f>IF(Table1[Leaving Date]="","",IF(AND(Table1[Leaving Date]&gt;42460,Table1[Leaving Date]&lt;42826),IF(Table1[Date of Last Assessment]="",Table1[Social Networks and Relationships],Table1[Social Networks and Relationships2]),""))</f>
        <v/>
      </c>
      <c r="GI404" s="44" t="str">
        <f>IF(Table1[Leaving Date]="","",IF(AND(Table1[Leaving Date]&gt;42460,Table1[Leaving Date]&lt;42826),IF(Table1[Date of Last Assessment]="",Table1[Drug and Alcohol Misuse],Table1[Drug and Alcohol Misuse2]),""))</f>
        <v/>
      </c>
      <c r="GJ404" s="44" t="str">
        <f>IF(Table1[Leaving Date]="","",IF(AND(Table1[Leaving Date]&gt;42460,Table1[Leaving Date]&lt;42826),IF(Table1[Date of Last Assessment]="",Table1[Physical Health],Table1[Physical Health2]),""))</f>
        <v/>
      </c>
      <c r="GK404" s="44" t="str">
        <f>IF(Table1[Leaving Date]="","",IF(AND(Table1[Leaving Date]&gt;42460,Table1[Leaving Date]&lt;42826),IF(Table1[Date of Last Assessment]="",Table1[Emotional and Mental Health],Table1[Emotional and Mental Health2]),""))</f>
        <v/>
      </c>
      <c r="GL404" s="44" t="str">
        <f>IF(Table1[Leaving Date]="","",IF(AND(Table1[Leaving Date]&gt;42460,Table1[Leaving Date]&lt;42826),IF(Table1[Date of Last Assessment]="",Table1[Meaningful Use of Time],Table1[Meaningful Use of Time2]),""))</f>
        <v/>
      </c>
      <c r="GM404" s="44" t="str">
        <f>IF(Table1[Leaving Date]="","",IF(AND(Table1[Leaving Date]&gt;42460,Table1[Leaving Date]&lt;42826),IF(Table1[Date of Last Assessment]="",Table1[Managing Tenancy and Accommodation],Table1[Managing Tenancy and Accommodation2]),""))</f>
        <v/>
      </c>
      <c r="GN404" s="44" t="str">
        <f>IF(Table1[Leaving Date]="","",IF(AND(Table1[Leaving Date]&gt;42460,Table1[Leaving Date]&lt;42826),IF(Table1[Date of Last Assessment]="",Table1[Offending],Table1[Offending2]),""))</f>
        <v/>
      </c>
    </row>
    <row r="405" spans="2:196" ht="20.100000000000001" customHeight="1" x14ac:dyDescent="0.2">
      <c r="B405" s="86">
        <f>+'Service Data'!$C$5:$C$5</f>
        <v>0</v>
      </c>
      <c r="C405" s="86"/>
      <c r="D405" s="86"/>
      <c r="E405" s="86"/>
      <c r="F405" s="86"/>
      <c r="G405" s="86"/>
      <c r="H405" s="6"/>
      <c r="I405" s="99" t="str">
        <f ca="1">IF(Table1[[#This Row],[Date of Birth]]="","",SUM(TODAY()-Table1[[#This Row],[Date of Birth]])/365)</f>
        <v/>
      </c>
      <c r="L405" s="86"/>
      <c r="M405" s="77"/>
      <c r="N405" s="86"/>
      <c r="O405" s="86"/>
      <c r="P405" s="91"/>
      <c r="Q405" s="86"/>
      <c r="R405" s="77"/>
      <c r="S405" s="77"/>
      <c r="T405" s="68"/>
      <c r="U405" s="68"/>
      <c r="V405" s="67"/>
      <c r="W405" s="67"/>
      <c r="X405" s="67"/>
      <c r="Y405" s="67"/>
      <c r="Z405" s="67"/>
      <c r="AA405" s="67"/>
      <c r="AB405" s="67"/>
      <c r="AC405" s="67"/>
      <c r="AD405" s="67"/>
      <c r="AE405" s="67"/>
      <c r="AF405" s="67"/>
      <c r="AG405" s="67"/>
      <c r="AH405" s="67"/>
      <c r="AI405" s="67"/>
      <c r="AJ405" s="67"/>
      <c r="AK405" s="67"/>
      <c r="AL405" s="67"/>
      <c r="AM405" s="67"/>
      <c r="AN405" s="77"/>
      <c r="AO405" s="76"/>
      <c r="AP405" s="77"/>
      <c r="AQ405" s="76"/>
      <c r="AR405" s="76"/>
      <c r="AS405" s="76"/>
      <c r="AT405" s="76"/>
      <c r="AU405" s="76"/>
      <c r="AV405" s="77"/>
      <c r="AW405" s="76"/>
      <c r="AX405" s="77"/>
      <c r="AY405" s="76"/>
      <c r="AZ405" s="76"/>
      <c r="BA405" s="76"/>
      <c r="BB405" s="76"/>
      <c r="BC405" s="76"/>
      <c r="BD405" s="77"/>
      <c r="BE405" s="76"/>
      <c r="BF405" s="77"/>
      <c r="BG405" s="76"/>
      <c r="BH405" s="76"/>
      <c r="BI405" s="76"/>
      <c r="BJ405" s="76"/>
      <c r="BK405" s="76"/>
      <c r="BL405" s="77"/>
      <c r="BM405" s="76"/>
      <c r="BN405" s="77"/>
      <c r="BO405" s="76"/>
      <c r="BP405" s="76"/>
      <c r="BQ405" s="76"/>
      <c r="BR405" s="76"/>
      <c r="BS405" s="76"/>
      <c r="BT405" s="77"/>
      <c r="BU405" s="76"/>
      <c r="BV405" s="77"/>
      <c r="BW405" s="76"/>
      <c r="BX405" s="76"/>
      <c r="BY405" s="76"/>
      <c r="BZ405" s="76"/>
      <c r="CA405" s="76"/>
      <c r="CB405" s="77"/>
      <c r="CC405" s="76"/>
      <c r="CD405" s="77"/>
      <c r="CE405" s="76"/>
      <c r="CF405" s="76"/>
      <c r="CG405" s="76"/>
      <c r="CH405" s="76"/>
      <c r="CI405" s="76"/>
      <c r="CJ405" s="77"/>
      <c r="CK405" s="76"/>
      <c r="CL405" s="77"/>
      <c r="CM405" s="76"/>
      <c r="CN405" s="76"/>
      <c r="CO405" s="76"/>
      <c r="CP405" s="76"/>
      <c r="CQ405" s="76"/>
      <c r="CR405" s="78" t="str">
        <f t="shared" si="111"/>
        <v/>
      </c>
      <c r="CS405" s="79" t="str">
        <f t="shared" si="112"/>
        <v/>
      </c>
      <c r="CT405" s="79" t="str">
        <f t="shared" si="113"/>
        <v/>
      </c>
      <c r="CU405" s="79" t="str">
        <f t="shared" si="114"/>
        <v/>
      </c>
      <c r="CV405" s="79" t="str">
        <f t="shared" si="115"/>
        <v/>
      </c>
      <c r="CW405" s="79" t="str">
        <f t="shared" si="116"/>
        <v/>
      </c>
      <c r="CX405" s="79" t="str">
        <f t="shared" si="117"/>
        <v/>
      </c>
      <c r="CY405" s="79" t="str">
        <f t="shared" si="118"/>
        <v/>
      </c>
      <c r="CZ405" s="79" t="str">
        <f t="shared" si="119"/>
        <v/>
      </c>
      <c r="DA405" s="79" t="str">
        <f t="shared" si="120"/>
        <v/>
      </c>
      <c r="DB405" s="79" t="str">
        <f t="shared" si="121"/>
        <v/>
      </c>
      <c r="DC405" s="79" t="str">
        <f t="shared" si="122"/>
        <v/>
      </c>
      <c r="DD405" s="79" t="str">
        <f t="shared" si="123"/>
        <v/>
      </c>
      <c r="DE405" s="79" t="str">
        <f t="shared" si="124"/>
        <v/>
      </c>
      <c r="DF405" s="79" t="str">
        <f t="shared" si="125"/>
        <v/>
      </c>
      <c r="DG405" s="79" t="str">
        <f t="shared" si="126"/>
        <v/>
      </c>
      <c r="DH405" s="76"/>
      <c r="DI405" s="78"/>
      <c r="DJ405" s="76"/>
      <c r="DK405" s="77"/>
      <c r="DL405" s="77"/>
      <c r="DM405" s="77"/>
      <c r="DN405" s="80"/>
      <c r="DO405" s="80"/>
      <c r="DP405" s="92" t="str">
        <f>IF(Table1[Start Date]="","",IF(Table1[Start Date]&gt;42185,"",IF(AND(Table1[Leaving Date]&gt;1,Table1[Leaving Date]&lt;42095),"",1)))</f>
        <v/>
      </c>
      <c r="DQ405" s="92" t="str">
        <f>IF(Table1[Start Date]="","",IF(Table1[Start Date]&gt;42277,"",IF(AND(Table1[Leaving Date]&gt;1,Table1[Leaving Date]&lt;42186),"",1)))</f>
        <v/>
      </c>
      <c r="DR405" s="92" t="str">
        <f>IF(Table1[Start Date]="","",IF(Table1[Start Date]&gt;42369,"",IF(AND(Table1[Leaving Date]&gt;1,Table1[Leaving Date]&lt;42278),"",1)))</f>
        <v/>
      </c>
      <c r="DS405" s="92" t="str">
        <f>IF(Table1[Start Date]="","",IF(Table1[Start Date]&gt;42460,"",IF(AND(Table1[Leaving Date]&gt;1,Table1[Leaving Date]&lt;42370),"",1)))</f>
        <v/>
      </c>
      <c r="DT405" s="92" t="str">
        <f>IF(Table1[Start Date]="","",IF(Table1[Start Date]&gt;42551,"",IF(AND(Table1[Leaving Date]&gt;1,Table1[Leaving Date]&lt;42461),"",1)))</f>
        <v/>
      </c>
      <c r="DU405" s="92" t="str">
        <f>IF(Table1[Start Date]="","",IF(Table1[Start Date]&gt;42643,"",IF(AND(Table1[Leaving Date]&gt;1,Table1[Leaving Date]&lt;42552),"",1)))</f>
        <v/>
      </c>
      <c r="DV405" s="92" t="str">
        <f>IF(Table1[Start Date]="","",IF(Table1[Start Date]&gt;42735,"",IF(AND(Table1[Leaving Date]&gt;1,Table1[Leaving Date]&lt;42644),"",1)))</f>
        <v/>
      </c>
      <c r="DW405" s="92" t="str">
        <f>IF(Table1[Start Date]="","",IF(Table1[Start Date]&gt;42825,"",IF(AND(Table1[Leaving Date]&gt;1,Table1[Leaving Date]&lt;42736),"",1)))</f>
        <v/>
      </c>
      <c r="DX405"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405" s="44" t="e">
        <f>VLOOKUP(Table1[Referral Source],Lists!$G$2:$H$20,2,FALSE)</f>
        <v>#N/A</v>
      </c>
      <c r="DZ405" s="93" t="e">
        <f>SUM(Table1[Data Referral Quarter]+Table1[Data Referral Source])</f>
        <v>#N/A</v>
      </c>
      <c r="EA405" s="44" t="b">
        <f>IF(Table1[Referral Decision]="Accepted",100,IF(Table1[Referral Decision]="Rejected by Provider",200,IF(Table1[Referral Decision]="Rejected by Applicant",300)))</f>
        <v>0</v>
      </c>
      <c r="EB405" s="44">
        <f>SUM(Table1[Data Referral Quarter]+Table1[Data Referral Decision])</f>
        <v>0</v>
      </c>
      <c r="EC405" s="44" t="b">
        <f>IF(Table1[Start Date]&gt;42735,8000,IF(Table1[Start Date]&gt;42643,7000,IF(Table1[Start Date]&gt;42551,6000,IF(Table1[Start Date]&gt;42460,5000,IF(Table1[Start Date]&gt;42369,4000,IF(Table1[Start Date]&gt;42277,3000,IF(Table1[Start Date]&gt;42185,2000,IF(Table1[Start Date]&gt;42094,1000))))))))</f>
        <v>0</v>
      </c>
      <c r="ED405" s="44" t="str">
        <f>IF(Table1[Start Date]="","",IF(Table1[Current Local Authority]="Swindon",1,"2"))</f>
        <v/>
      </c>
      <c r="EE405" s="44" t="e">
        <f>SUM(Table1[Data Start Date]+Table1[Data Local Authority])</f>
        <v>#VALUE!</v>
      </c>
      <c r="EF405" s="44">
        <f>IF(Table1[Registered with GP]="Yes",1,0)</f>
        <v>0</v>
      </c>
      <c r="EG405" s="44">
        <f>SUM(Table1[Data Start Date]+Table1[Data GP Start])</f>
        <v>0</v>
      </c>
      <c r="EH405" s="44" t="str">
        <f>IF(Table1[EET]="NEET",1,IF(Table1[EET]="Education",2,IF(Table1[EET]="Employment",2,IF(Table1[EET]="Training",2,IF(Table1[EET]="Retired",3,"")))))</f>
        <v/>
      </c>
      <c r="EI405" s="44" t="e">
        <f>Table1[Data Start Date]+Table1[Data EET Start]</f>
        <v>#VALUE!</v>
      </c>
      <c r="EJ405" s="44" t="b">
        <f>IF(Table1[Leaving Date]&gt;42735,8000,IF(Table1[Leaving Date]&gt;42643,7000,IF(Table1[Leaving Date]&gt;42551,6000,IF(Table1[Leaving Date]&gt;42460,5000,IF(Table1[Leaving Date]&gt;42369,4000,IF(Table1[Leaving Date]&gt;42277,3000,IF(Table1[Leaving Date]&gt;42185,2000,IF(Table1[Leaving Date]&gt;42094,1000))))))))</f>
        <v>0</v>
      </c>
      <c r="EK405" s="44" t="e">
        <f>VLOOKUP(Table1[Reason for Leaving],Lists!$T$2:$U$15,2,FALSE)</f>
        <v>#N/A</v>
      </c>
      <c r="EL405" s="44" t="e">
        <f>SUM(Table1[Data Leavers Date]+Table1[Data Move On])</f>
        <v>#N/A</v>
      </c>
      <c r="EM405" s="44" t="b">
        <f>IF(Table1[Registered with GP2]="Yes",1,IF(Table1[Registered with GP2]="No",0,IF(Table1[Registered with GP]="Yes",1,IF(Table1[Registered with GP]="No",0))))</f>
        <v>0</v>
      </c>
      <c r="EN405" s="44">
        <f>SUM(Table1[Data Leavers Date]+Table1[Data GP End])</f>
        <v>0</v>
      </c>
      <c r="EO405" s="44" t="str">
        <f>IF(Table1[EET2]="NEET",1,IF(Table1[EET2]="Employment",2,IF(Table1[EET2]="Education",2,IF(Table1[EET2]="Training",2,IF(Table1[EET2]="Retired",3,IF(Table1[EET]="NEET",1,IF(Table1[EET]="Employment",2,IF(Table1[EET]="Education",2,IF(Table1[EET]="Training",2,IF(Table1[EET]="Retired",3,""))))))))))</f>
        <v/>
      </c>
      <c r="EP405" s="44" t="e">
        <f>+Table1[[#This Row],[Data Leavers Date]]+Table1[[#This Row],[Data EET End]]</f>
        <v>#VALUE!</v>
      </c>
      <c r="EQ405" s="44">
        <f>IF(Table1[Exit Form Received]="Yes",1,0)</f>
        <v>0</v>
      </c>
      <c r="ER405" s="44">
        <f>+Table1[[#This Row],[Data Leavers Date]]+Table1[[#This Row],[Data Exit Forms]]</f>
        <v>0</v>
      </c>
      <c r="ES405" s="44" t="str">
        <f>IF(Table1[Data Leavers Date]=1000,SUM(Table1[Leaving Date]-Table1[Start Date]),"")</f>
        <v/>
      </c>
      <c r="ET405" s="44" t="str">
        <f>IF(Table1[Data Leavers Date]=2000,SUM(Table1[Leaving Date]-Table1[Start Date]),"")</f>
        <v/>
      </c>
      <c r="EU405" s="44" t="str">
        <f>IF(Table1[Data Leavers Date]=3000,SUM(Table1[Leaving Date]-Table1[Start Date]),"")</f>
        <v/>
      </c>
      <c r="EV405" s="44" t="str">
        <f>IF(Table1[Data Leavers Date]=4000,SUM(Table1[Leaving Date]-Table1[Start Date]),"")</f>
        <v/>
      </c>
      <c r="EW405" s="44" t="str">
        <f>IF(Table1[Data Leavers Date]=5000,SUM(Table1[Leaving Date]-Table1[Start Date]),"")</f>
        <v/>
      </c>
      <c r="EX405" s="44" t="str">
        <f>IF(Table1[Data Leavers Date]=6000,SUM(Table1[Leaving Date]-Table1[Start Date]),"")</f>
        <v/>
      </c>
      <c r="EY405" s="44" t="str">
        <f>IF(Table1[Data Leavers Date]=7000,SUM(Table1[Leaving Date]-Table1[Start Date]),"")</f>
        <v/>
      </c>
      <c r="EZ405" s="44" t="str">
        <f>IF(Table1[Data Leavers Date]=8000,SUM(Table1[Leaving Date]-Table1[Start Date]),"")</f>
        <v/>
      </c>
      <c r="FA405" s="44" t="str">
        <f>IF(Table1[Date of Initial Assessment]="","",IF(AND(Table1[Start Date]&gt;42094,Table1[Start Date]&lt;42461),Table1[Motivation and Taking Responsibility],""))</f>
        <v/>
      </c>
      <c r="FB405" s="44" t="str">
        <f>IF(Table1[Date of Initial Assessment]="","",IF(AND(Table1[Start Date]&gt;42094,Table1[Start Date]&lt;42461),Table1[Self-Care and Living Skills],""))</f>
        <v/>
      </c>
      <c r="FC405" s="44" t="str">
        <f>IF(Table1[Date of Initial Assessment]="","",IF(AND(Table1[Start Date]&gt;42094,Table1[Start Date]&lt;42461),Table1[Managing Money and Personal Administration],""))</f>
        <v/>
      </c>
      <c r="FD405" s="44" t="str">
        <f>IF(Table1[Date of Initial Assessment]="","",IF(AND(Table1[Start Date]&gt;42094,Table1[Start Date]&lt;42461),Table1[Social Networks and Relationships],""))</f>
        <v/>
      </c>
      <c r="FE405" s="44" t="str">
        <f>IF(Table1[Date of Initial Assessment]="","",IF(AND(Table1[Start Date]&gt;42094,Table1[Start Date]&lt;42461),Table1[Drug and Alcohol Misuse],""))</f>
        <v/>
      </c>
      <c r="FF405" s="44" t="str">
        <f>IF(Table1[Date of Initial Assessment]="","",IF(AND(Table1[Start Date]&gt;42094,Table1[Start Date]&lt;42461),Table1[Physical Health],""))</f>
        <v/>
      </c>
      <c r="FG405" s="44" t="str">
        <f>IF(Table1[Date of Initial Assessment]="","",IF(AND(Table1[Start Date]&gt;42094,Table1[Start Date]&lt;42461),Table1[Emotional and Mental Health],""))</f>
        <v/>
      </c>
      <c r="FH405" s="44" t="str">
        <f>IF(Table1[Date of Initial Assessment]="","",IF(AND(Table1[Start Date]&gt;42094,Table1[Start Date]&lt;42461),Table1[Meaningful Use of Time],""))</f>
        <v/>
      </c>
      <c r="FI405" s="44" t="str">
        <f>IF(Table1[Date of Initial Assessment]="","",IF(AND(Table1[Start Date]&gt;42094,Table1[Start Date]&lt;42461),Table1[Managing Tenancy and Accommodation],""))</f>
        <v/>
      </c>
      <c r="FJ405" s="44" t="str">
        <f>IF(Table1[Date of Initial Assessment]="","",IF(AND(Table1[Start Date]&gt;42094,Table1[Start Date]&lt;42461),Table1[Offending],""))</f>
        <v/>
      </c>
      <c r="FK405" s="44" t="str">
        <f>IF(Table1[Leaving Date]="","",IF(Table1[Date of Initial Assessment]="","",IF(AND(Table1[Leaving Date]&gt;42094,Table1[Leaving Date]&lt;42461),IF(Table1[Date of Last Assessment]="",Table1[Motivation and Taking Responsibility],Table1[Motivation and Taking Responsibility2]),"")))</f>
        <v/>
      </c>
      <c r="FL405" s="44" t="str">
        <f>IF(Table1[Leaving Date]="","",IF(Table1[Date of Initial Assessment]="","",IF(AND(Table1[Leaving Date]&gt;42094,Table1[Leaving Date]&lt;42461),IF(Table1[Date of Last Assessment]="",Table1[Self-Care and Living Skills],Table1[Self-Care and Living Skills2]),"")))</f>
        <v/>
      </c>
      <c r="FM405" s="44" t="str">
        <f>IF(Table1[Leaving Date]="","",IF(Table1[Date of Initial Assessment]="","",IF(AND(Table1[Leaving Date]&gt;42094,Table1[Leaving Date]&lt;42461),IF(Table1[Date of Last Assessment]="",Table1[Managing Money and Personal Administration],Table1[Managing Money and Personal Administration2]),"")))</f>
        <v/>
      </c>
      <c r="FN405" s="44" t="str">
        <f>IF(Table1[Leaving Date]="","",IF(Table1[Date of Initial Assessment]="","",IF(AND(Table1[Leaving Date]&gt;42094,Table1[Leaving Date]&lt;42461),IF(Table1[Date of Last Assessment]="",Table1[Social Networks and Relationships],Table1[Social Networks and Relationships2]),"")))</f>
        <v/>
      </c>
      <c r="FO405" s="44" t="str">
        <f>IF(Table1[Leaving Date]="","",IF(Table1[Date of Initial Assessment]="","",IF(AND(Table1[Leaving Date]&gt;42094,Table1[Leaving Date]&lt;42461),IF(Table1[Date of Last Assessment]="",Table1[Drug and Alcohol Misuse],Table1[Drug and Alcohol Misuse2]),"")))</f>
        <v/>
      </c>
      <c r="FP405" s="44" t="str">
        <f>IF(Table1[Leaving Date]="","",IF(Table1[Date of Initial Assessment]="","",IF(AND(Table1[Leaving Date]&gt;42094,Table1[Leaving Date]&lt;42461),IF(Table1[Date of Last Assessment]="",Table1[Physical Health],Table1[Physical Health2]),"")))</f>
        <v/>
      </c>
      <c r="FQ405" s="44" t="str">
        <f>IF(Table1[Leaving Date]="","",IF(Table1[Date of Initial Assessment]="","",IF(AND(Table1[Leaving Date]&gt;42094,Table1[Leaving Date]&lt;42461),IF(Table1[Date of Last Assessment]="",Table1[Emotional and Mental Health],Table1[Emotional and Mental Health2]),"")))</f>
        <v/>
      </c>
      <c r="FR405" s="44" t="str">
        <f>IF(Table1[Leaving Date]="","",IF(Table1[Date of Initial Assessment]="","",IF(AND(Table1[Leaving Date]&gt;42094,Table1[Leaving Date]&lt;42461),IF(Table1[Date of Last Assessment]="",Table1[Meaningful Use of Time],Table1[Meaningful Use of Time2]),"")))</f>
        <v/>
      </c>
      <c r="FS405" s="44" t="str">
        <f>IF(Table1[Leaving Date]="","",IF(Table1[Date of Initial Assessment]="","",IF(AND(Table1[Leaving Date]&gt;42094,Table1[Leaving Date]&lt;42461),IF(Table1[Date of Last Assessment]="",Table1[Managing Tenancy and Accommodation],Table1[Managing Tenancy and Accommodation2]),"")))</f>
        <v/>
      </c>
      <c r="FT405" s="44" t="str">
        <f>IF(Table1[Leaving Date]="","",IF(Table1[Date of Initial Assessment]="","",IF(AND(Table1[Leaving Date]&gt;42094,Table1[Leaving Date]&lt;42461),IF(Table1[Date of Last Assessment]="",Table1[Offending],Table1[Offending2]),"")))</f>
        <v/>
      </c>
      <c r="FU405" s="44" t="str">
        <f>IF(Table1[Date of Initial Assessment]="","",IF(AND(Table1[Start Date]&gt;42460,Table1[Start Date]&lt;42826),Table1[Motivation and Taking Responsibility],""))</f>
        <v/>
      </c>
      <c r="FV405" s="44" t="str">
        <f>IF(Table1[Date of Initial Assessment]="","",IF(AND(Table1[Start Date]&gt;42460,Table1[Start Date]&lt;42826),Table1[Self-Care and Living Skills],""))</f>
        <v/>
      </c>
      <c r="FW405" s="44" t="str">
        <f>IF(Table1[Date of Initial Assessment]="","",IF(AND(Table1[Start Date]&gt;42460,Table1[Start Date]&lt;42826),Table1[Managing Money and Personal Administration],""))</f>
        <v/>
      </c>
      <c r="FX405" s="44" t="str">
        <f>IF(Table1[Date of Initial Assessment]="","",IF(AND(Table1[Start Date]&gt;42460,Table1[Start Date]&lt;42826),Table1[Social Networks and Relationships],""))</f>
        <v/>
      </c>
      <c r="FY405" s="44" t="str">
        <f>IF(Table1[Date of Initial Assessment]="","",IF(AND(Table1[Start Date]&gt;42460,Table1[Start Date]&lt;42826),Table1[Drug and Alcohol Misuse],""))</f>
        <v/>
      </c>
      <c r="FZ405" s="44" t="str">
        <f>IF(Table1[Date of Initial Assessment]="","",IF(AND(Table1[Start Date]&gt;42460,Table1[Start Date]&lt;42826),Table1[Physical Health],""))</f>
        <v/>
      </c>
      <c r="GA405" s="44" t="str">
        <f>IF(Table1[Date of Initial Assessment]="","",IF(AND(Table1[Start Date]&gt;42460,Table1[Start Date]&lt;42826),Table1[Emotional and Mental Health],""))</f>
        <v/>
      </c>
      <c r="GB405" s="44" t="str">
        <f>IF(Table1[Date of Initial Assessment]="","",IF(AND(Table1[Start Date]&gt;42460,Table1[Start Date]&lt;42826),Table1[Meaningful Use of Time],""))</f>
        <v/>
      </c>
      <c r="GC405" s="44" t="str">
        <f>IF(Table1[Date of Initial Assessment]="","",IF(AND(Table1[Start Date]&gt;42460,Table1[Start Date]&lt;42826),Table1[Managing Tenancy and Accommodation],""))</f>
        <v/>
      </c>
      <c r="GD405" s="44" t="str">
        <f>IF(Table1[Date of Initial Assessment]="","",IF(AND(Table1[Start Date]&gt;42460,Table1[Start Date]&lt;42826),Table1[Offending],""))</f>
        <v/>
      </c>
      <c r="GE405" s="44" t="str">
        <f>IF(Table1[Leaving Date]="","",IF(AND(Table1[Leaving Date]&gt;42460,Table1[Leaving Date]&lt;42826),IF(Table1[Date of Last Assessment]="",Table1[Motivation and Taking Responsibility],Table1[Motivation and Taking Responsibility2]),""))</f>
        <v/>
      </c>
      <c r="GF405" s="44" t="str">
        <f>IF(Table1[Leaving Date]="","",IF(AND(Table1[Leaving Date]&gt;42460,Table1[Leaving Date]&lt;42826),IF(Table1[Date of Last Assessment]="",Table1[Self-Care and Living Skills],Table1[Self-Care and Living Skills2]),""))</f>
        <v/>
      </c>
      <c r="GG405" s="44" t="str">
        <f>IF(Table1[Leaving Date]="","",IF(AND(Table1[Leaving Date]&gt;42460,Table1[Leaving Date]&lt;42826),IF(Table1[Date of Last Assessment]="",Table1[Managing Money and Personal Administration],Table1[Managing Money and Personal Administration2]),""))</f>
        <v/>
      </c>
      <c r="GH405" s="44" t="str">
        <f>IF(Table1[Leaving Date]="","",IF(AND(Table1[Leaving Date]&gt;42460,Table1[Leaving Date]&lt;42826),IF(Table1[Date of Last Assessment]="",Table1[Social Networks and Relationships],Table1[Social Networks and Relationships2]),""))</f>
        <v/>
      </c>
      <c r="GI405" s="44" t="str">
        <f>IF(Table1[Leaving Date]="","",IF(AND(Table1[Leaving Date]&gt;42460,Table1[Leaving Date]&lt;42826),IF(Table1[Date of Last Assessment]="",Table1[Drug and Alcohol Misuse],Table1[Drug and Alcohol Misuse2]),""))</f>
        <v/>
      </c>
      <c r="GJ405" s="44" t="str">
        <f>IF(Table1[Leaving Date]="","",IF(AND(Table1[Leaving Date]&gt;42460,Table1[Leaving Date]&lt;42826),IF(Table1[Date of Last Assessment]="",Table1[Physical Health],Table1[Physical Health2]),""))</f>
        <v/>
      </c>
      <c r="GK405" s="44" t="str">
        <f>IF(Table1[Leaving Date]="","",IF(AND(Table1[Leaving Date]&gt;42460,Table1[Leaving Date]&lt;42826),IF(Table1[Date of Last Assessment]="",Table1[Emotional and Mental Health],Table1[Emotional and Mental Health2]),""))</f>
        <v/>
      </c>
      <c r="GL405" s="44" t="str">
        <f>IF(Table1[Leaving Date]="","",IF(AND(Table1[Leaving Date]&gt;42460,Table1[Leaving Date]&lt;42826),IF(Table1[Date of Last Assessment]="",Table1[Meaningful Use of Time],Table1[Meaningful Use of Time2]),""))</f>
        <v/>
      </c>
      <c r="GM405" s="44" t="str">
        <f>IF(Table1[Leaving Date]="","",IF(AND(Table1[Leaving Date]&gt;42460,Table1[Leaving Date]&lt;42826),IF(Table1[Date of Last Assessment]="",Table1[Managing Tenancy and Accommodation],Table1[Managing Tenancy and Accommodation2]),""))</f>
        <v/>
      </c>
      <c r="GN405" s="44" t="str">
        <f>IF(Table1[Leaving Date]="","",IF(AND(Table1[Leaving Date]&gt;42460,Table1[Leaving Date]&lt;42826),IF(Table1[Date of Last Assessment]="",Table1[Offending],Table1[Offending2]),""))</f>
        <v/>
      </c>
    </row>
    <row r="406" spans="2:196" ht="20.100000000000001" customHeight="1" x14ac:dyDescent="0.2">
      <c r="B406" s="86">
        <f>+'Service Data'!$C$5:$C$5</f>
        <v>0</v>
      </c>
      <c r="C406" s="86"/>
      <c r="D406" s="86"/>
      <c r="E406" s="86"/>
      <c r="F406" s="86"/>
      <c r="G406" s="86"/>
      <c r="H406" s="6"/>
      <c r="I406" s="99" t="str">
        <f ca="1">IF(Table1[[#This Row],[Date of Birth]]="","",SUM(TODAY()-Table1[[#This Row],[Date of Birth]])/365)</f>
        <v/>
      </c>
      <c r="L406" s="86"/>
      <c r="M406" s="77"/>
      <c r="N406" s="86"/>
      <c r="O406" s="86"/>
      <c r="P406" s="91"/>
      <c r="Q406" s="86"/>
      <c r="R406" s="77"/>
      <c r="S406" s="77"/>
      <c r="T406" s="68"/>
      <c r="U406" s="68"/>
      <c r="V406" s="67"/>
      <c r="W406" s="67"/>
      <c r="X406" s="67"/>
      <c r="Y406" s="67"/>
      <c r="Z406" s="67"/>
      <c r="AA406" s="67"/>
      <c r="AB406" s="67"/>
      <c r="AC406" s="67"/>
      <c r="AD406" s="67"/>
      <c r="AE406" s="67"/>
      <c r="AF406" s="67"/>
      <c r="AG406" s="67"/>
      <c r="AH406" s="67"/>
      <c r="AI406" s="67"/>
      <c r="AJ406" s="67"/>
      <c r="AK406" s="67"/>
      <c r="AL406" s="67"/>
      <c r="AM406" s="67"/>
      <c r="AN406" s="77"/>
      <c r="AO406" s="76"/>
      <c r="AP406" s="77"/>
      <c r="AQ406" s="76"/>
      <c r="AR406" s="76"/>
      <c r="AS406" s="76"/>
      <c r="AT406" s="76"/>
      <c r="AU406" s="76"/>
      <c r="AV406" s="77"/>
      <c r="AW406" s="76"/>
      <c r="AX406" s="77"/>
      <c r="AY406" s="76"/>
      <c r="AZ406" s="76"/>
      <c r="BA406" s="76"/>
      <c r="BB406" s="76"/>
      <c r="BC406" s="76"/>
      <c r="BD406" s="77"/>
      <c r="BE406" s="76"/>
      <c r="BF406" s="77"/>
      <c r="BG406" s="76"/>
      <c r="BH406" s="76"/>
      <c r="BI406" s="76"/>
      <c r="BJ406" s="76"/>
      <c r="BK406" s="76"/>
      <c r="BL406" s="77"/>
      <c r="BM406" s="76"/>
      <c r="BN406" s="77"/>
      <c r="BO406" s="76"/>
      <c r="BP406" s="76"/>
      <c r="BQ406" s="76"/>
      <c r="BR406" s="76"/>
      <c r="BS406" s="76"/>
      <c r="BT406" s="77"/>
      <c r="BU406" s="76"/>
      <c r="BV406" s="77"/>
      <c r="BW406" s="76"/>
      <c r="BX406" s="76"/>
      <c r="BY406" s="76"/>
      <c r="BZ406" s="76"/>
      <c r="CA406" s="76"/>
      <c r="CB406" s="77"/>
      <c r="CC406" s="76"/>
      <c r="CD406" s="77"/>
      <c r="CE406" s="76"/>
      <c r="CF406" s="76"/>
      <c r="CG406" s="76"/>
      <c r="CH406" s="76"/>
      <c r="CI406" s="76"/>
      <c r="CJ406" s="77"/>
      <c r="CK406" s="76"/>
      <c r="CL406" s="77"/>
      <c r="CM406" s="76"/>
      <c r="CN406" s="76"/>
      <c r="CO406" s="76"/>
      <c r="CP406" s="76"/>
      <c r="CQ406" s="76"/>
      <c r="CR406" s="78" t="str">
        <f t="shared" si="111"/>
        <v/>
      </c>
      <c r="CS406" s="79" t="str">
        <f t="shared" si="112"/>
        <v/>
      </c>
      <c r="CT406" s="79" t="str">
        <f t="shared" si="113"/>
        <v/>
      </c>
      <c r="CU406" s="79" t="str">
        <f t="shared" si="114"/>
        <v/>
      </c>
      <c r="CV406" s="79" t="str">
        <f t="shared" si="115"/>
        <v/>
      </c>
      <c r="CW406" s="79" t="str">
        <f t="shared" si="116"/>
        <v/>
      </c>
      <c r="CX406" s="79" t="str">
        <f t="shared" si="117"/>
        <v/>
      </c>
      <c r="CY406" s="79" t="str">
        <f t="shared" si="118"/>
        <v/>
      </c>
      <c r="CZ406" s="79" t="str">
        <f t="shared" si="119"/>
        <v/>
      </c>
      <c r="DA406" s="79" t="str">
        <f t="shared" si="120"/>
        <v/>
      </c>
      <c r="DB406" s="79" t="str">
        <f t="shared" si="121"/>
        <v/>
      </c>
      <c r="DC406" s="79" t="str">
        <f t="shared" si="122"/>
        <v/>
      </c>
      <c r="DD406" s="79" t="str">
        <f t="shared" si="123"/>
        <v/>
      </c>
      <c r="DE406" s="79" t="str">
        <f t="shared" si="124"/>
        <v/>
      </c>
      <c r="DF406" s="79" t="str">
        <f t="shared" si="125"/>
        <v/>
      </c>
      <c r="DG406" s="79" t="str">
        <f t="shared" si="126"/>
        <v/>
      </c>
      <c r="DH406" s="76"/>
      <c r="DI406" s="78"/>
      <c r="DJ406" s="76"/>
      <c r="DK406" s="77"/>
      <c r="DL406" s="77"/>
      <c r="DM406" s="77"/>
      <c r="DN406" s="80"/>
      <c r="DO406" s="80"/>
      <c r="DP406" s="92" t="str">
        <f>IF(Table1[Start Date]="","",IF(Table1[Start Date]&gt;42185,"",IF(AND(Table1[Leaving Date]&gt;1,Table1[Leaving Date]&lt;42095),"",1)))</f>
        <v/>
      </c>
      <c r="DQ406" s="92" t="str">
        <f>IF(Table1[Start Date]="","",IF(Table1[Start Date]&gt;42277,"",IF(AND(Table1[Leaving Date]&gt;1,Table1[Leaving Date]&lt;42186),"",1)))</f>
        <v/>
      </c>
      <c r="DR406" s="92" t="str">
        <f>IF(Table1[Start Date]="","",IF(Table1[Start Date]&gt;42369,"",IF(AND(Table1[Leaving Date]&gt;1,Table1[Leaving Date]&lt;42278),"",1)))</f>
        <v/>
      </c>
      <c r="DS406" s="92" t="str">
        <f>IF(Table1[Start Date]="","",IF(Table1[Start Date]&gt;42460,"",IF(AND(Table1[Leaving Date]&gt;1,Table1[Leaving Date]&lt;42370),"",1)))</f>
        <v/>
      </c>
      <c r="DT406" s="92" t="str">
        <f>IF(Table1[Start Date]="","",IF(Table1[Start Date]&gt;42551,"",IF(AND(Table1[Leaving Date]&gt;1,Table1[Leaving Date]&lt;42461),"",1)))</f>
        <v/>
      </c>
      <c r="DU406" s="92" t="str">
        <f>IF(Table1[Start Date]="","",IF(Table1[Start Date]&gt;42643,"",IF(AND(Table1[Leaving Date]&gt;1,Table1[Leaving Date]&lt;42552),"",1)))</f>
        <v/>
      </c>
      <c r="DV406" s="92" t="str">
        <f>IF(Table1[Start Date]="","",IF(Table1[Start Date]&gt;42735,"",IF(AND(Table1[Leaving Date]&gt;1,Table1[Leaving Date]&lt;42644),"",1)))</f>
        <v/>
      </c>
      <c r="DW406" s="92" t="str">
        <f>IF(Table1[Start Date]="","",IF(Table1[Start Date]&gt;42825,"",IF(AND(Table1[Leaving Date]&gt;1,Table1[Leaving Date]&lt;42736),"",1)))</f>
        <v/>
      </c>
      <c r="DX406"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406" s="44" t="e">
        <f>VLOOKUP(Table1[Referral Source],Lists!$G$2:$H$20,2,FALSE)</f>
        <v>#N/A</v>
      </c>
      <c r="DZ406" s="93" t="e">
        <f>SUM(Table1[Data Referral Quarter]+Table1[Data Referral Source])</f>
        <v>#N/A</v>
      </c>
      <c r="EA406" s="44" t="b">
        <f>IF(Table1[Referral Decision]="Accepted",100,IF(Table1[Referral Decision]="Rejected by Provider",200,IF(Table1[Referral Decision]="Rejected by Applicant",300)))</f>
        <v>0</v>
      </c>
      <c r="EB406" s="44">
        <f>SUM(Table1[Data Referral Quarter]+Table1[Data Referral Decision])</f>
        <v>0</v>
      </c>
      <c r="EC406" s="44" t="b">
        <f>IF(Table1[Start Date]&gt;42735,8000,IF(Table1[Start Date]&gt;42643,7000,IF(Table1[Start Date]&gt;42551,6000,IF(Table1[Start Date]&gt;42460,5000,IF(Table1[Start Date]&gt;42369,4000,IF(Table1[Start Date]&gt;42277,3000,IF(Table1[Start Date]&gt;42185,2000,IF(Table1[Start Date]&gt;42094,1000))))))))</f>
        <v>0</v>
      </c>
      <c r="ED406" s="44" t="str">
        <f>IF(Table1[Start Date]="","",IF(Table1[Current Local Authority]="Swindon",1,"2"))</f>
        <v/>
      </c>
      <c r="EE406" s="44" t="e">
        <f>SUM(Table1[Data Start Date]+Table1[Data Local Authority])</f>
        <v>#VALUE!</v>
      </c>
      <c r="EF406" s="44">
        <f>IF(Table1[Registered with GP]="Yes",1,0)</f>
        <v>0</v>
      </c>
      <c r="EG406" s="44">
        <f>SUM(Table1[Data Start Date]+Table1[Data GP Start])</f>
        <v>0</v>
      </c>
      <c r="EH406" s="44" t="str">
        <f>IF(Table1[EET]="NEET",1,IF(Table1[EET]="Education",2,IF(Table1[EET]="Employment",2,IF(Table1[EET]="Training",2,IF(Table1[EET]="Retired",3,"")))))</f>
        <v/>
      </c>
      <c r="EI406" s="44" t="e">
        <f>Table1[Data Start Date]+Table1[Data EET Start]</f>
        <v>#VALUE!</v>
      </c>
      <c r="EJ406" s="44" t="b">
        <f>IF(Table1[Leaving Date]&gt;42735,8000,IF(Table1[Leaving Date]&gt;42643,7000,IF(Table1[Leaving Date]&gt;42551,6000,IF(Table1[Leaving Date]&gt;42460,5000,IF(Table1[Leaving Date]&gt;42369,4000,IF(Table1[Leaving Date]&gt;42277,3000,IF(Table1[Leaving Date]&gt;42185,2000,IF(Table1[Leaving Date]&gt;42094,1000))))))))</f>
        <v>0</v>
      </c>
      <c r="EK406" s="44" t="e">
        <f>VLOOKUP(Table1[Reason for Leaving],Lists!$T$2:$U$15,2,FALSE)</f>
        <v>#N/A</v>
      </c>
      <c r="EL406" s="44" t="e">
        <f>SUM(Table1[Data Leavers Date]+Table1[Data Move On])</f>
        <v>#N/A</v>
      </c>
      <c r="EM406" s="44" t="b">
        <f>IF(Table1[Registered with GP2]="Yes",1,IF(Table1[Registered with GP2]="No",0,IF(Table1[Registered with GP]="Yes",1,IF(Table1[Registered with GP]="No",0))))</f>
        <v>0</v>
      </c>
      <c r="EN406" s="44">
        <f>SUM(Table1[Data Leavers Date]+Table1[Data GP End])</f>
        <v>0</v>
      </c>
      <c r="EO406" s="44" t="str">
        <f>IF(Table1[EET2]="NEET",1,IF(Table1[EET2]="Employment",2,IF(Table1[EET2]="Education",2,IF(Table1[EET2]="Training",2,IF(Table1[EET2]="Retired",3,IF(Table1[EET]="NEET",1,IF(Table1[EET]="Employment",2,IF(Table1[EET]="Education",2,IF(Table1[EET]="Training",2,IF(Table1[EET]="Retired",3,""))))))))))</f>
        <v/>
      </c>
      <c r="EP406" s="44" t="e">
        <f>+Table1[[#This Row],[Data Leavers Date]]+Table1[[#This Row],[Data EET End]]</f>
        <v>#VALUE!</v>
      </c>
      <c r="EQ406" s="44">
        <f>IF(Table1[Exit Form Received]="Yes",1,0)</f>
        <v>0</v>
      </c>
      <c r="ER406" s="44">
        <f>+Table1[[#This Row],[Data Leavers Date]]+Table1[[#This Row],[Data Exit Forms]]</f>
        <v>0</v>
      </c>
      <c r="ES406" s="44" t="str">
        <f>IF(Table1[Data Leavers Date]=1000,SUM(Table1[Leaving Date]-Table1[Start Date]),"")</f>
        <v/>
      </c>
      <c r="ET406" s="44" t="str">
        <f>IF(Table1[Data Leavers Date]=2000,SUM(Table1[Leaving Date]-Table1[Start Date]),"")</f>
        <v/>
      </c>
      <c r="EU406" s="44" t="str">
        <f>IF(Table1[Data Leavers Date]=3000,SUM(Table1[Leaving Date]-Table1[Start Date]),"")</f>
        <v/>
      </c>
      <c r="EV406" s="44" t="str">
        <f>IF(Table1[Data Leavers Date]=4000,SUM(Table1[Leaving Date]-Table1[Start Date]),"")</f>
        <v/>
      </c>
      <c r="EW406" s="44" t="str">
        <f>IF(Table1[Data Leavers Date]=5000,SUM(Table1[Leaving Date]-Table1[Start Date]),"")</f>
        <v/>
      </c>
      <c r="EX406" s="44" t="str">
        <f>IF(Table1[Data Leavers Date]=6000,SUM(Table1[Leaving Date]-Table1[Start Date]),"")</f>
        <v/>
      </c>
      <c r="EY406" s="44" t="str">
        <f>IF(Table1[Data Leavers Date]=7000,SUM(Table1[Leaving Date]-Table1[Start Date]),"")</f>
        <v/>
      </c>
      <c r="EZ406" s="44" t="str">
        <f>IF(Table1[Data Leavers Date]=8000,SUM(Table1[Leaving Date]-Table1[Start Date]),"")</f>
        <v/>
      </c>
      <c r="FA406" s="44" t="str">
        <f>IF(Table1[Date of Initial Assessment]="","",IF(AND(Table1[Start Date]&gt;42094,Table1[Start Date]&lt;42461),Table1[Motivation and Taking Responsibility],""))</f>
        <v/>
      </c>
      <c r="FB406" s="44" t="str">
        <f>IF(Table1[Date of Initial Assessment]="","",IF(AND(Table1[Start Date]&gt;42094,Table1[Start Date]&lt;42461),Table1[Self-Care and Living Skills],""))</f>
        <v/>
      </c>
      <c r="FC406" s="44" t="str">
        <f>IF(Table1[Date of Initial Assessment]="","",IF(AND(Table1[Start Date]&gt;42094,Table1[Start Date]&lt;42461),Table1[Managing Money and Personal Administration],""))</f>
        <v/>
      </c>
      <c r="FD406" s="44" t="str">
        <f>IF(Table1[Date of Initial Assessment]="","",IF(AND(Table1[Start Date]&gt;42094,Table1[Start Date]&lt;42461),Table1[Social Networks and Relationships],""))</f>
        <v/>
      </c>
      <c r="FE406" s="44" t="str">
        <f>IF(Table1[Date of Initial Assessment]="","",IF(AND(Table1[Start Date]&gt;42094,Table1[Start Date]&lt;42461),Table1[Drug and Alcohol Misuse],""))</f>
        <v/>
      </c>
      <c r="FF406" s="44" t="str">
        <f>IF(Table1[Date of Initial Assessment]="","",IF(AND(Table1[Start Date]&gt;42094,Table1[Start Date]&lt;42461),Table1[Physical Health],""))</f>
        <v/>
      </c>
      <c r="FG406" s="44" t="str">
        <f>IF(Table1[Date of Initial Assessment]="","",IF(AND(Table1[Start Date]&gt;42094,Table1[Start Date]&lt;42461),Table1[Emotional and Mental Health],""))</f>
        <v/>
      </c>
      <c r="FH406" s="44" t="str">
        <f>IF(Table1[Date of Initial Assessment]="","",IF(AND(Table1[Start Date]&gt;42094,Table1[Start Date]&lt;42461),Table1[Meaningful Use of Time],""))</f>
        <v/>
      </c>
      <c r="FI406" s="44" t="str">
        <f>IF(Table1[Date of Initial Assessment]="","",IF(AND(Table1[Start Date]&gt;42094,Table1[Start Date]&lt;42461),Table1[Managing Tenancy and Accommodation],""))</f>
        <v/>
      </c>
      <c r="FJ406" s="44" t="str">
        <f>IF(Table1[Date of Initial Assessment]="","",IF(AND(Table1[Start Date]&gt;42094,Table1[Start Date]&lt;42461),Table1[Offending],""))</f>
        <v/>
      </c>
      <c r="FK406" s="44" t="str">
        <f>IF(Table1[Leaving Date]="","",IF(Table1[Date of Initial Assessment]="","",IF(AND(Table1[Leaving Date]&gt;42094,Table1[Leaving Date]&lt;42461),IF(Table1[Date of Last Assessment]="",Table1[Motivation and Taking Responsibility],Table1[Motivation and Taking Responsibility2]),"")))</f>
        <v/>
      </c>
      <c r="FL406" s="44" t="str">
        <f>IF(Table1[Leaving Date]="","",IF(Table1[Date of Initial Assessment]="","",IF(AND(Table1[Leaving Date]&gt;42094,Table1[Leaving Date]&lt;42461),IF(Table1[Date of Last Assessment]="",Table1[Self-Care and Living Skills],Table1[Self-Care and Living Skills2]),"")))</f>
        <v/>
      </c>
      <c r="FM406" s="44" t="str">
        <f>IF(Table1[Leaving Date]="","",IF(Table1[Date of Initial Assessment]="","",IF(AND(Table1[Leaving Date]&gt;42094,Table1[Leaving Date]&lt;42461),IF(Table1[Date of Last Assessment]="",Table1[Managing Money and Personal Administration],Table1[Managing Money and Personal Administration2]),"")))</f>
        <v/>
      </c>
      <c r="FN406" s="44" t="str">
        <f>IF(Table1[Leaving Date]="","",IF(Table1[Date of Initial Assessment]="","",IF(AND(Table1[Leaving Date]&gt;42094,Table1[Leaving Date]&lt;42461),IF(Table1[Date of Last Assessment]="",Table1[Social Networks and Relationships],Table1[Social Networks and Relationships2]),"")))</f>
        <v/>
      </c>
      <c r="FO406" s="44" t="str">
        <f>IF(Table1[Leaving Date]="","",IF(Table1[Date of Initial Assessment]="","",IF(AND(Table1[Leaving Date]&gt;42094,Table1[Leaving Date]&lt;42461),IF(Table1[Date of Last Assessment]="",Table1[Drug and Alcohol Misuse],Table1[Drug and Alcohol Misuse2]),"")))</f>
        <v/>
      </c>
      <c r="FP406" s="44" t="str">
        <f>IF(Table1[Leaving Date]="","",IF(Table1[Date of Initial Assessment]="","",IF(AND(Table1[Leaving Date]&gt;42094,Table1[Leaving Date]&lt;42461),IF(Table1[Date of Last Assessment]="",Table1[Physical Health],Table1[Physical Health2]),"")))</f>
        <v/>
      </c>
      <c r="FQ406" s="44" t="str">
        <f>IF(Table1[Leaving Date]="","",IF(Table1[Date of Initial Assessment]="","",IF(AND(Table1[Leaving Date]&gt;42094,Table1[Leaving Date]&lt;42461),IF(Table1[Date of Last Assessment]="",Table1[Emotional and Mental Health],Table1[Emotional and Mental Health2]),"")))</f>
        <v/>
      </c>
      <c r="FR406" s="44" t="str">
        <f>IF(Table1[Leaving Date]="","",IF(Table1[Date of Initial Assessment]="","",IF(AND(Table1[Leaving Date]&gt;42094,Table1[Leaving Date]&lt;42461),IF(Table1[Date of Last Assessment]="",Table1[Meaningful Use of Time],Table1[Meaningful Use of Time2]),"")))</f>
        <v/>
      </c>
      <c r="FS406" s="44" t="str">
        <f>IF(Table1[Leaving Date]="","",IF(Table1[Date of Initial Assessment]="","",IF(AND(Table1[Leaving Date]&gt;42094,Table1[Leaving Date]&lt;42461),IF(Table1[Date of Last Assessment]="",Table1[Managing Tenancy and Accommodation],Table1[Managing Tenancy and Accommodation2]),"")))</f>
        <v/>
      </c>
      <c r="FT406" s="44" t="str">
        <f>IF(Table1[Leaving Date]="","",IF(Table1[Date of Initial Assessment]="","",IF(AND(Table1[Leaving Date]&gt;42094,Table1[Leaving Date]&lt;42461),IF(Table1[Date of Last Assessment]="",Table1[Offending],Table1[Offending2]),"")))</f>
        <v/>
      </c>
      <c r="FU406" s="44" t="str">
        <f>IF(Table1[Date of Initial Assessment]="","",IF(AND(Table1[Start Date]&gt;42460,Table1[Start Date]&lt;42826),Table1[Motivation and Taking Responsibility],""))</f>
        <v/>
      </c>
      <c r="FV406" s="44" t="str">
        <f>IF(Table1[Date of Initial Assessment]="","",IF(AND(Table1[Start Date]&gt;42460,Table1[Start Date]&lt;42826),Table1[Self-Care and Living Skills],""))</f>
        <v/>
      </c>
      <c r="FW406" s="44" t="str">
        <f>IF(Table1[Date of Initial Assessment]="","",IF(AND(Table1[Start Date]&gt;42460,Table1[Start Date]&lt;42826),Table1[Managing Money and Personal Administration],""))</f>
        <v/>
      </c>
      <c r="FX406" s="44" t="str">
        <f>IF(Table1[Date of Initial Assessment]="","",IF(AND(Table1[Start Date]&gt;42460,Table1[Start Date]&lt;42826),Table1[Social Networks and Relationships],""))</f>
        <v/>
      </c>
      <c r="FY406" s="44" t="str">
        <f>IF(Table1[Date of Initial Assessment]="","",IF(AND(Table1[Start Date]&gt;42460,Table1[Start Date]&lt;42826),Table1[Drug and Alcohol Misuse],""))</f>
        <v/>
      </c>
      <c r="FZ406" s="44" t="str">
        <f>IF(Table1[Date of Initial Assessment]="","",IF(AND(Table1[Start Date]&gt;42460,Table1[Start Date]&lt;42826),Table1[Physical Health],""))</f>
        <v/>
      </c>
      <c r="GA406" s="44" t="str">
        <f>IF(Table1[Date of Initial Assessment]="","",IF(AND(Table1[Start Date]&gt;42460,Table1[Start Date]&lt;42826),Table1[Emotional and Mental Health],""))</f>
        <v/>
      </c>
      <c r="GB406" s="44" t="str">
        <f>IF(Table1[Date of Initial Assessment]="","",IF(AND(Table1[Start Date]&gt;42460,Table1[Start Date]&lt;42826),Table1[Meaningful Use of Time],""))</f>
        <v/>
      </c>
      <c r="GC406" s="44" t="str">
        <f>IF(Table1[Date of Initial Assessment]="","",IF(AND(Table1[Start Date]&gt;42460,Table1[Start Date]&lt;42826),Table1[Managing Tenancy and Accommodation],""))</f>
        <v/>
      </c>
      <c r="GD406" s="44" t="str">
        <f>IF(Table1[Date of Initial Assessment]="","",IF(AND(Table1[Start Date]&gt;42460,Table1[Start Date]&lt;42826),Table1[Offending],""))</f>
        <v/>
      </c>
      <c r="GE406" s="44" t="str">
        <f>IF(Table1[Leaving Date]="","",IF(AND(Table1[Leaving Date]&gt;42460,Table1[Leaving Date]&lt;42826),IF(Table1[Date of Last Assessment]="",Table1[Motivation and Taking Responsibility],Table1[Motivation and Taking Responsibility2]),""))</f>
        <v/>
      </c>
      <c r="GF406" s="44" t="str">
        <f>IF(Table1[Leaving Date]="","",IF(AND(Table1[Leaving Date]&gt;42460,Table1[Leaving Date]&lt;42826),IF(Table1[Date of Last Assessment]="",Table1[Self-Care and Living Skills],Table1[Self-Care and Living Skills2]),""))</f>
        <v/>
      </c>
      <c r="GG406" s="44" t="str">
        <f>IF(Table1[Leaving Date]="","",IF(AND(Table1[Leaving Date]&gt;42460,Table1[Leaving Date]&lt;42826),IF(Table1[Date of Last Assessment]="",Table1[Managing Money and Personal Administration],Table1[Managing Money and Personal Administration2]),""))</f>
        <v/>
      </c>
      <c r="GH406" s="44" t="str">
        <f>IF(Table1[Leaving Date]="","",IF(AND(Table1[Leaving Date]&gt;42460,Table1[Leaving Date]&lt;42826),IF(Table1[Date of Last Assessment]="",Table1[Social Networks and Relationships],Table1[Social Networks and Relationships2]),""))</f>
        <v/>
      </c>
      <c r="GI406" s="44" t="str">
        <f>IF(Table1[Leaving Date]="","",IF(AND(Table1[Leaving Date]&gt;42460,Table1[Leaving Date]&lt;42826),IF(Table1[Date of Last Assessment]="",Table1[Drug and Alcohol Misuse],Table1[Drug and Alcohol Misuse2]),""))</f>
        <v/>
      </c>
      <c r="GJ406" s="44" t="str">
        <f>IF(Table1[Leaving Date]="","",IF(AND(Table1[Leaving Date]&gt;42460,Table1[Leaving Date]&lt;42826),IF(Table1[Date of Last Assessment]="",Table1[Physical Health],Table1[Physical Health2]),""))</f>
        <v/>
      </c>
      <c r="GK406" s="44" t="str">
        <f>IF(Table1[Leaving Date]="","",IF(AND(Table1[Leaving Date]&gt;42460,Table1[Leaving Date]&lt;42826),IF(Table1[Date of Last Assessment]="",Table1[Emotional and Mental Health],Table1[Emotional and Mental Health2]),""))</f>
        <v/>
      </c>
      <c r="GL406" s="44" t="str">
        <f>IF(Table1[Leaving Date]="","",IF(AND(Table1[Leaving Date]&gt;42460,Table1[Leaving Date]&lt;42826),IF(Table1[Date of Last Assessment]="",Table1[Meaningful Use of Time],Table1[Meaningful Use of Time2]),""))</f>
        <v/>
      </c>
      <c r="GM406" s="44" t="str">
        <f>IF(Table1[Leaving Date]="","",IF(AND(Table1[Leaving Date]&gt;42460,Table1[Leaving Date]&lt;42826),IF(Table1[Date of Last Assessment]="",Table1[Managing Tenancy and Accommodation],Table1[Managing Tenancy and Accommodation2]),""))</f>
        <v/>
      </c>
      <c r="GN406" s="44" t="str">
        <f>IF(Table1[Leaving Date]="","",IF(AND(Table1[Leaving Date]&gt;42460,Table1[Leaving Date]&lt;42826),IF(Table1[Date of Last Assessment]="",Table1[Offending],Table1[Offending2]),""))</f>
        <v/>
      </c>
    </row>
    <row r="407" spans="2:196" ht="20.100000000000001" customHeight="1" x14ac:dyDescent="0.2">
      <c r="B407" s="86">
        <f>+'Service Data'!$C$5:$C$5</f>
        <v>0</v>
      </c>
      <c r="C407" s="86"/>
      <c r="D407" s="86"/>
      <c r="E407" s="86"/>
      <c r="F407" s="86"/>
      <c r="G407" s="86"/>
      <c r="H407" s="6"/>
      <c r="I407" s="99" t="str">
        <f ca="1">IF(Table1[[#This Row],[Date of Birth]]="","",SUM(TODAY()-Table1[[#This Row],[Date of Birth]])/365)</f>
        <v/>
      </c>
      <c r="L407" s="86"/>
      <c r="M407" s="77"/>
      <c r="N407" s="86"/>
      <c r="O407" s="86"/>
      <c r="P407" s="91"/>
      <c r="Q407" s="86"/>
      <c r="R407" s="77"/>
      <c r="S407" s="77"/>
      <c r="T407" s="68"/>
      <c r="U407" s="68"/>
      <c r="V407" s="67"/>
      <c r="W407" s="67"/>
      <c r="X407" s="67"/>
      <c r="Y407" s="67"/>
      <c r="Z407" s="67"/>
      <c r="AA407" s="67"/>
      <c r="AB407" s="67"/>
      <c r="AC407" s="67"/>
      <c r="AD407" s="67"/>
      <c r="AE407" s="67"/>
      <c r="AF407" s="67"/>
      <c r="AG407" s="67"/>
      <c r="AH407" s="67"/>
      <c r="AI407" s="67"/>
      <c r="AJ407" s="67"/>
      <c r="AK407" s="67"/>
      <c r="AL407" s="67"/>
      <c r="AM407" s="67"/>
      <c r="AN407" s="77"/>
      <c r="AO407" s="76"/>
      <c r="AP407" s="77"/>
      <c r="AQ407" s="76"/>
      <c r="AR407" s="76"/>
      <c r="AS407" s="76"/>
      <c r="AT407" s="76"/>
      <c r="AU407" s="76"/>
      <c r="AV407" s="77"/>
      <c r="AW407" s="76"/>
      <c r="AX407" s="77"/>
      <c r="AY407" s="76"/>
      <c r="AZ407" s="76"/>
      <c r="BA407" s="76"/>
      <c r="BB407" s="76"/>
      <c r="BC407" s="76"/>
      <c r="BD407" s="77"/>
      <c r="BE407" s="76"/>
      <c r="BF407" s="77"/>
      <c r="BG407" s="76"/>
      <c r="BH407" s="76"/>
      <c r="BI407" s="76"/>
      <c r="BJ407" s="76"/>
      <c r="BK407" s="76"/>
      <c r="BL407" s="77"/>
      <c r="BM407" s="76"/>
      <c r="BN407" s="77"/>
      <c r="BO407" s="76"/>
      <c r="BP407" s="76"/>
      <c r="BQ407" s="76"/>
      <c r="BR407" s="76"/>
      <c r="BS407" s="76"/>
      <c r="BT407" s="77"/>
      <c r="BU407" s="76"/>
      <c r="BV407" s="77"/>
      <c r="BW407" s="76"/>
      <c r="BX407" s="76"/>
      <c r="BY407" s="76"/>
      <c r="BZ407" s="76"/>
      <c r="CA407" s="76"/>
      <c r="CB407" s="77"/>
      <c r="CC407" s="76"/>
      <c r="CD407" s="77"/>
      <c r="CE407" s="76"/>
      <c r="CF407" s="76"/>
      <c r="CG407" s="76"/>
      <c r="CH407" s="76"/>
      <c r="CI407" s="76"/>
      <c r="CJ407" s="77"/>
      <c r="CK407" s="76"/>
      <c r="CL407" s="77"/>
      <c r="CM407" s="76"/>
      <c r="CN407" s="76"/>
      <c r="CO407" s="76"/>
      <c r="CP407" s="76"/>
      <c r="CQ407" s="76"/>
      <c r="CR407" s="78" t="str">
        <f t="shared" si="111"/>
        <v/>
      </c>
      <c r="CS407" s="79" t="str">
        <f t="shared" si="112"/>
        <v/>
      </c>
      <c r="CT407" s="79" t="str">
        <f t="shared" si="113"/>
        <v/>
      </c>
      <c r="CU407" s="79" t="str">
        <f t="shared" si="114"/>
        <v/>
      </c>
      <c r="CV407" s="79" t="str">
        <f t="shared" si="115"/>
        <v/>
      </c>
      <c r="CW407" s="79" t="str">
        <f t="shared" si="116"/>
        <v/>
      </c>
      <c r="CX407" s="79" t="str">
        <f t="shared" si="117"/>
        <v/>
      </c>
      <c r="CY407" s="79" t="str">
        <f t="shared" si="118"/>
        <v/>
      </c>
      <c r="CZ407" s="79" t="str">
        <f t="shared" si="119"/>
        <v/>
      </c>
      <c r="DA407" s="79" t="str">
        <f t="shared" si="120"/>
        <v/>
      </c>
      <c r="DB407" s="79" t="str">
        <f t="shared" si="121"/>
        <v/>
      </c>
      <c r="DC407" s="79" t="str">
        <f t="shared" si="122"/>
        <v/>
      </c>
      <c r="DD407" s="79" t="str">
        <f t="shared" si="123"/>
        <v/>
      </c>
      <c r="DE407" s="79" t="str">
        <f t="shared" si="124"/>
        <v/>
      </c>
      <c r="DF407" s="79" t="str">
        <f t="shared" si="125"/>
        <v/>
      </c>
      <c r="DG407" s="79" t="str">
        <f t="shared" si="126"/>
        <v/>
      </c>
      <c r="DH407" s="76"/>
      <c r="DI407" s="78"/>
      <c r="DJ407" s="76"/>
      <c r="DK407" s="77"/>
      <c r="DL407" s="77"/>
      <c r="DM407" s="77"/>
      <c r="DN407" s="80"/>
      <c r="DO407" s="80"/>
      <c r="DP407" s="92" t="str">
        <f>IF(Table1[Start Date]="","",IF(Table1[Start Date]&gt;42185,"",IF(AND(Table1[Leaving Date]&gt;1,Table1[Leaving Date]&lt;42095),"",1)))</f>
        <v/>
      </c>
      <c r="DQ407" s="92" t="str">
        <f>IF(Table1[Start Date]="","",IF(Table1[Start Date]&gt;42277,"",IF(AND(Table1[Leaving Date]&gt;1,Table1[Leaving Date]&lt;42186),"",1)))</f>
        <v/>
      </c>
      <c r="DR407" s="92" t="str">
        <f>IF(Table1[Start Date]="","",IF(Table1[Start Date]&gt;42369,"",IF(AND(Table1[Leaving Date]&gt;1,Table1[Leaving Date]&lt;42278),"",1)))</f>
        <v/>
      </c>
      <c r="DS407" s="92" t="str">
        <f>IF(Table1[Start Date]="","",IF(Table1[Start Date]&gt;42460,"",IF(AND(Table1[Leaving Date]&gt;1,Table1[Leaving Date]&lt;42370),"",1)))</f>
        <v/>
      </c>
      <c r="DT407" s="92" t="str">
        <f>IF(Table1[Start Date]="","",IF(Table1[Start Date]&gt;42551,"",IF(AND(Table1[Leaving Date]&gt;1,Table1[Leaving Date]&lt;42461),"",1)))</f>
        <v/>
      </c>
      <c r="DU407" s="92" t="str">
        <f>IF(Table1[Start Date]="","",IF(Table1[Start Date]&gt;42643,"",IF(AND(Table1[Leaving Date]&gt;1,Table1[Leaving Date]&lt;42552),"",1)))</f>
        <v/>
      </c>
      <c r="DV407" s="92" t="str">
        <f>IF(Table1[Start Date]="","",IF(Table1[Start Date]&gt;42735,"",IF(AND(Table1[Leaving Date]&gt;1,Table1[Leaving Date]&lt;42644),"",1)))</f>
        <v/>
      </c>
      <c r="DW407" s="92" t="str">
        <f>IF(Table1[Start Date]="","",IF(Table1[Start Date]&gt;42825,"",IF(AND(Table1[Leaving Date]&gt;1,Table1[Leaving Date]&lt;42736),"",1)))</f>
        <v/>
      </c>
      <c r="DX407"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407" s="44" t="e">
        <f>VLOOKUP(Table1[Referral Source],Lists!$G$2:$H$20,2,FALSE)</f>
        <v>#N/A</v>
      </c>
      <c r="DZ407" s="93" t="e">
        <f>SUM(Table1[Data Referral Quarter]+Table1[Data Referral Source])</f>
        <v>#N/A</v>
      </c>
      <c r="EA407" s="44" t="b">
        <f>IF(Table1[Referral Decision]="Accepted",100,IF(Table1[Referral Decision]="Rejected by Provider",200,IF(Table1[Referral Decision]="Rejected by Applicant",300)))</f>
        <v>0</v>
      </c>
      <c r="EB407" s="44">
        <f>SUM(Table1[Data Referral Quarter]+Table1[Data Referral Decision])</f>
        <v>0</v>
      </c>
      <c r="EC407" s="44" t="b">
        <f>IF(Table1[Start Date]&gt;42735,8000,IF(Table1[Start Date]&gt;42643,7000,IF(Table1[Start Date]&gt;42551,6000,IF(Table1[Start Date]&gt;42460,5000,IF(Table1[Start Date]&gt;42369,4000,IF(Table1[Start Date]&gt;42277,3000,IF(Table1[Start Date]&gt;42185,2000,IF(Table1[Start Date]&gt;42094,1000))))))))</f>
        <v>0</v>
      </c>
      <c r="ED407" s="44" t="str">
        <f>IF(Table1[Start Date]="","",IF(Table1[Current Local Authority]="Swindon",1,"2"))</f>
        <v/>
      </c>
      <c r="EE407" s="44" t="e">
        <f>SUM(Table1[Data Start Date]+Table1[Data Local Authority])</f>
        <v>#VALUE!</v>
      </c>
      <c r="EF407" s="44">
        <f>IF(Table1[Registered with GP]="Yes",1,0)</f>
        <v>0</v>
      </c>
      <c r="EG407" s="44">
        <f>SUM(Table1[Data Start Date]+Table1[Data GP Start])</f>
        <v>0</v>
      </c>
      <c r="EH407" s="44" t="str">
        <f>IF(Table1[EET]="NEET",1,IF(Table1[EET]="Education",2,IF(Table1[EET]="Employment",2,IF(Table1[EET]="Training",2,IF(Table1[EET]="Retired",3,"")))))</f>
        <v/>
      </c>
      <c r="EI407" s="44" t="e">
        <f>Table1[Data Start Date]+Table1[Data EET Start]</f>
        <v>#VALUE!</v>
      </c>
      <c r="EJ407" s="44" t="b">
        <f>IF(Table1[Leaving Date]&gt;42735,8000,IF(Table1[Leaving Date]&gt;42643,7000,IF(Table1[Leaving Date]&gt;42551,6000,IF(Table1[Leaving Date]&gt;42460,5000,IF(Table1[Leaving Date]&gt;42369,4000,IF(Table1[Leaving Date]&gt;42277,3000,IF(Table1[Leaving Date]&gt;42185,2000,IF(Table1[Leaving Date]&gt;42094,1000))))))))</f>
        <v>0</v>
      </c>
      <c r="EK407" s="44" t="e">
        <f>VLOOKUP(Table1[Reason for Leaving],Lists!$T$2:$U$15,2,FALSE)</f>
        <v>#N/A</v>
      </c>
      <c r="EL407" s="44" t="e">
        <f>SUM(Table1[Data Leavers Date]+Table1[Data Move On])</f>
        <v>#N/A</v>
      </c>
      <c r="EM407" s="44" t="b">
        <f>IF(Table1[Registered with GP2]="Yes",1,IF(Table1[Registered with GP2]="No",0,IF(Table1[Registered with GP]="Yes",1,IF(Table1[Registered with GP]="No",0))))</f>
        <v>0</v>
      </c>
      <c r="EN407" s="44">
        <f>SUM(Table1[Data Leavers Date]+Table1[Data GP End])</f>
        <v>0</v>
      </c>
      <c r="EO407" s="44" t="str">
        <f>IF(Table1[EET2]="NEET",1,IF(Table1[EET2]="Employment",2,IF(Table1[EET2]="Education",2,IF(Table1[EET2]="Training",2,IF(Table1[EET2]="Retired",3,IF(Table1[EET]="NEET",1,IF(Table1[EET]="Employment",2,IF(Table1[EET]="Education",2,IF(Table1[EET]="Training",2,IF(Table1[EET]="Retired",3,""))))))))))</f>
        <v/>
      </c>
      <c r="EP407" s="44" t="e">
        <f>+Table1[[#This Row],[Data Leavers Date]]+Table1[[#This Row],[Data EET End]]</f>
        <v>#VALUE!</v>
      </c>
      <c r="EQ407" s="44">
        <f>IF(Table1[Exit Form Received]="Yes",1,0)</f>
        <v>0</v>
      </c>
      <c r="ER407" s="44">
        <f>+Table1[[#This Row],[Data Leavers Date]]+Table1[[#This Row],[Data Exit Forms]]</f>
        <v>0</v>
      </c>
      <c r="ES407" s="44" t="str">
        <f>IF(Table1[Data Leavers Date]=1000,SUM(Table1[Leaving Date]-Table1[Start Date]),"")</f>
        <v/>
      </c>
      <c r="ET407" s="44" t="str">
        <f>IF(Table1[Data Leavers Date]=2000,SUM(Table1[Leaving Date]-Table1[Start Date]),"")</f>
        <v/>
      </c>
      <c r="EU407" s="44" t="str">
        <f>IF(Table1[Data Leavers Date]=3000,SUM(Table1[Leaving Date]-Table1[Start Date]),"")</f>
        <v/>
      </c>
      <c r="EV407" s="44" t="str">
        <f>IF(Table1[Data Leavers Date]=4000,SUM(Table1[Leaving Date]-Table1[Start Date]),"")</f>
        <v/>
      </c>
      <c r="EW407" s="44" t="str">
        <f>IF(Table1[Data Leavers Date]=5000,SUM(Table1[Leaving Date]-Table1[Start Date]),"")</f>
        <v/>
      </c>
      <c r="EX407" s="44" t="str">
        <f>IF(Table1[Data Leavers Date]=6000,SUM(Table1[Leaving Date]-Table1[Start Date]),"")</f>
        <v/>
      </c>
      <c r="EY407" s="44" t="str">
        <f>IF(Table1[Data Leavers Date]=7000,SUM(Table1[Leaving Date]-Table1[Start Date]),"")</f>
        <v/>
      </c>
      <c r="EZ407" s="44" t="str">
        <f>IF(Table1[Data Leavers Date]=8000,SUM(Table1[Leaving Date]-Table1[Start Date]),"")</f>
        <v/>
      </c>
      <c r="FA407" s="44" t="str">
        <f>IF(Table1[Date of Initial Assessment]="","",IF(AND(Table1[Start Date]&gt;42094,Table1[Start Date]&lt;42461),Table1[Motivation and Taking Responsibility],""))</f>
        <v/>
      </c>
      <c r="FB407" s="44" t="str">
        <f>IF(Table1[Date of Initial Assessment]="","",IF(AND(Table1[Start Date]&gt;42094,Table1[Start Date]&lt;42461),Table1[Self-Care and Living Skills],""))</f>
        <v/>
      </c>
      <c r="FC407" s="44" t="str">
        <f>IF(Table1[Date of Initial Assessment]="","",IF(AND(Table1[Start Date]&gt;42094,Table1[Start Date]&lt;42461),Table1[Managing Money and Personal Administration],""))</f>
        <v/>
      </c>
      <c r="FD407" s="44" t="str">
        <f>IF(Table1[Date of Initial Assessment]="","",IF(AND(Table1[Start Date]&gt;42094,Table1[Start Date]&lt;42461),Table1[Social Networks and Relationships],""))</f>
        <v/>
      </c>
      <c r="FE407" s="44" t="str">
        <f>IF(Table1[Date of Initial Assessment]="","",IF(AND(Table1[Start Date]&gt;42094,Table1[Start Date]&lt;42461),Table1[Drug and Alcohol Misuse],""))</f>
        <v/>
      </c>
      <c r="FF407" s="44" t="str">
        <f>IF(Table1[Date of Initial Assessment]="","",IF(AND(Table1[Start Date]&gt;42094,Table1[Start Date]&lt;42461),Table1[Physical Health],""))</f>
        <v/>
      </c>
      <c r="FG407" s="44" t="str">
        <f>IF(Table1[Date of Initial Assessment]="","",IF(AND(Table1[Start Date]&gt;42094,Table1[Start Date]&lt;42461),Table1[Emotional and Mental Health],""))</f>
        <v/>
      </c>
      <c r="FH407" s="44" t="str">
        <f>IF(Table1[Date of Initial Assessment]="","",IF(AND(Table1[Start Date]&gt;42094,Table1[Start Date]&lt;42461),Table1[Meaningful Use of Time],""))</f>
        <v/>
      </c>
      <c r="FI407" s="44" t="str">
        <f>IF(Table1[Date of Initial Assessment]="","",IF(AND(Table1[Start Date]&gt;42094,Table1[Start Date]&lt;42461),Table1[Managing Tenancy and Accommodation],""))</f>
        <v/>
      </c>
      <c r="FJ407" s="44" t="str">
        <f>IF(Table1[Date of Initial Assessment]="","",IF(AND(Table1[Start Date]&gt;42094,Table1[Start Date]&lt;42461),Table1[Offending],""))</f>
        <v/>
      </c>
      <c r="FK407" s="44" t="str">
        <f>IF(Table1[Leaving Date]="","",IF(Table1[Date of Initial Assessment]="","",IF(AND(Table1[Leaving Date]&gt;42094,Table1[Leaving Date]&lt;42461),IF(Table1[Date of Last Assessment]="",Table1[Motivation and Taking Responsibility],Table1[Motivation and Taking Responsibility2]),"")))</f>
        <v/>
      </c>
      <c r="FL407" s="44" t="str">
        <f>IF(Table1[Leaving Date]="","",IF(Table1[Date of Initial Assessment]="","",IF(AND(Table1[Leaving Date]&gt;42094,Table1[Leaving Date]&lt;42461),IF(Table1[Date of Last Assessment]="",Table1[Self-Care and Living Skills],Table1[Self-Care and Living Skills2]),"")))</f>
        <v/>
      </c>
      <c r="FM407" s="44" t="str">
        <f>IF(Table1[Leaving Date]="","",IF(Table1[Date of Initial Assessment]="","",IF(AND(Table1[Leaving Date]&gt;42094,Table1[Leaving Date]&lt;42461),IF(Table1[Date of Last Assessment]="",Table1[Managing Money and Personal Administration],Table1[Managing Money and Personal Administration2]),"")))</f>
        <v/>
      </c>
      <c r="FN407" s="44" t="str">
        <f>IF(Table1[Leaving Date]="","",IF(Table1[Date of Initial Assessment]="","",IF(AND(Table1[Leaving Date]&gt;42094,Table1[Leaving Date]&lt;42461),IF(Table1[Date of Last Assessment]="",Table1[Social Networks and Relationships],Table1[Social Networks and Relationships2]),"")))</f>
        <v/>
      </c>
      <c r="FO407" s="44" t="str">
        <f>IF(Table1[Leaving Date]="","",IF(Table1[Date of Initial Assessment]="","",IF(AND(Table1[Leaving Date]&gt;42094,Table1[Leaving Date]&lt;42461),IF(Table1[Date of Last Assessment]="",Table1[Drug and Alcohol Misuse],Table1[Drug and Alcohol Misuse2]),"")))</f>
        <v/>
      </c>
      <c r="FP407" s="44" t="str">
        <f>IF(Table1[Leaving Date]="","",IF(Table1[Date of Initial Assessment]="","",IF(AND(Table1[Leaving Date]&gt;42094,Table1[Leaving Date]&lt;42461),IF(Table1[Date of Last Assessment]="",Table1[Physical Health],Table1[Physical Health2]),"")))</f>
        <v/>
      </c>
      <c r="FQ407" s="44" t="str">
        <f>IF(Table1[Leaving Date]="","",IF(Table1[Date of Initial Assessment]="","",IF(AND(Table1[Leaving Date]&gt;42094,Table1[Leaving Date]&lt;42461),IF(Table1[Date of Last Assessment]="",Table1[Emotional and Mental Health],Table1[Emotional and Mental Health2]),"")))</f>
        <v/>
      </c>
      <c r="FR407" s="44" t="str">
        <f>IF(Table1[Leaving Date]="","",IF(Table1[Date of Initial Assessment]="","",IF(AND(Table1[Leaving Date]&gt;42094,Table1[Leaving Date]&lt;42461),IF(Table1[Date of Last Assessment]="",Table1[Meaningful Use of Time],Table1[Meaningful Use of Time2]),"")))</f>
        <v/>
      </c>
      <c r="FS407" s="44" t="str">
        <f>IF(Table1[Leaving Date]="","",IF(Table1[Date of Initial Assessment]="","",IF(AND(Table1[Leaving Date]&gt;42094,Table1[Leaving Date]&lt;42461),IF(Table1[Date of Last Assessment]="",Table1[Managing Tenancy and Accommodation],Table1[Managing Tenancy and Accommodation2]),"")))</f>
        <v/>
      </c>
      <c r="FT407" s="44" t="str">
        <f>IF(Table1[Leaving Date]="","",IF(Table1[Date of Initial Assessment]="","",IF(AND(Table1[Leaving Date]&gt;42094,Table1[Leaving Date]&lt;42461),IF(Table1[Date of Last Assessment]="",Table1[Offending],Table1[Offending2]),"")))</f>
        <v/>
      </c>
      <c r="FU407" s="44" t="str">
        <f>IF(Table1[Date of Initial Assessment]="","",IF(AND(Table1[Start Date]&gt;42460,Table1[Start Date]&lt;42826),Table1[Motivation and Taking Responsibility],""))</f>
        <v/>
      </c>
      <c r="FV407" s="44" t="str">
        <f>IF(Table1[Date of Initial Assessment]="","",IF(AND(Table1[Start Date]&gt;42460,Table1[Start Date]&lt;42826),Table1[Self-Care and Living Skills],""))</f>
        <v/>
      </c>
      <c r="FW407" s="44" t="str">
        <f>IF(Table1[Date of Initial Assessment]="","",IF(AND(Table1[Start Date]&gt;42460,Table1[Start Date]&lt;42826),Table1[Managing Money and Personal Administration],""))</f>
        <v/>
      </c>
      <c r="FX407" s="44" t="str">
        <f>IF(Table1[Date of Initial Assessment]="","",IF(AND(Table1[Start Date]&gt;42460,Table1[Start Date]&lt;42826),Table1[Social Networks and Relationships],""))</f>
        <v/>
      </c>
      <c r="FY407" s="44" t="str">
        <f>IF(Table1[Date of Initial Assessment]="","",IF(AND(Table1[Start Date]&gt;42460,Table1[Start Date]&lt;42826),Table1[Drug and Alcohol Misuse],""))</f>
        <v/>
      </c>
      <c r="FZ407" s="44" t="str">
        <f>IF(Table1[Date of Initial Assessment]="","",IF(AND(Table1[Start Date]&gt;42460,Table1[Start Date]&lt;42826),Table1[Physical Health],""))</f>
        <v/>
      </c>
      <c r="GA407" s="44" t="str">
        <f>IF(Table1[Date of Initial Assessment]="","",IF(AND(Table1[Start Date]&gt;42460,Table1[Start Date]&lt;42826),Table1[Emotional and Mental Health],""))</f>
        <v/>
      </c>
      <c r="GB407" s="44" t="str">
        <f>IF(Table1[Date of Initial Assessment]="","",IF(AND(Table1[Start Date]&gt;42460,Table1[Start Date]&lt;42826),Table1[Meaningful Use of Time],""))</f>
        <v/>
      </c>
      <c r="GC407" s="44" t="str">
        <f>IF(Table1[Date of Initial Assessment]="","",IF(AND(Table1[Start Date]&gt;42460,Table1[Start Date]&lt;42826),Table1[Managing Tenancy and Accommodation],""))</f>
        <v/>
      </c>
      <c r="GD407" s="44" t="str">
        <f>IF(Table1[Date of Initial Assessment]="","",IF(AND(Table1[Start Date]&gt;42460,Table1[Start Date]&lt;42826),Table1[Offending],""))</f>
        <v/>
      </c>
      <c r="GE407" s="44" t="str">
        <f>IF(Table1[Leaving Date]="","",IF(AND(Table1[Leaving Date]&gt;42460,Table1[Leaving Date]&lt;42826),IF(Table1[Date of Last Assessment]="",Table1[Motivation and Taking Responsibility],Table1[Motivation and Taking Responsibility2]),""))</f>
        <v/>
      </c>
      <c r="GF407" s="44" t="str">
        <f>IF(Table1[Leaving Date]="","",IF(AND(Table1[Leaving Date]&gt;42460,Table1[Leaving Date]&lt;42826),IF(Table1[Date of Last Assessment]="",Table1[Self-Care and Living Skills],Table1[Self-Care and Living Skills2]),""))</f>
        <v/>
      </c>
      <c r="GG407" s="44" t="str">
        <f>IF(Table1[Leaving Date]="","",IF(AND(Table1[Leaving Date]&gt;42460,Table1[Leaving Date]&lt;42826),IF(Table1[Date of Last Assessment]="",Table1[Managing Money and Personal Administration],Table1[Managing Money and Personal Administration2]),""))</f>
        <v/>
      </c>
      <c r="GH407" s="44" t="str">
        <f>IF(Table1[Leaving Date]="","",IF(AND(Table1[Leaving Date]&gt;42460,Table1[Leaving Date]&lt;42826),IF(Table1[Date of Last Assessment]="",Table1[Social Networks and Relationships],Table1[Social Networks and Relationships2]),""))</f>
        <v/>
      </c>
      <c r="GI407" s="44" t="str">
        <f>IF(Table1[Leaving Date]="","",IF(AND(Table1[Leaving Date]&gt;42460,Table1[Leaving Date]&lt;42826),IF(Table1[Date of Last Assessment]="",Table1[Drug and Alcohol Misuse],Table1[Drug and Alcohol Misuse2]),""))</f>
        <v/>
      </c>
      <c r="GJ407" s="44" t="str">
        <f>IF(Table1[Leaving Date]="","",IF(AND(Table1[Leaving Date]&gt;42460,Table1[Leaving Date]&lt;42826),IF(Table1[Date of Last Assessment]="",Table1[Physical Health],Table1[Physical Health2]),""))</f>
        <v/>
      </c>
      <c r="GK407" s="44" t="str">
        <f>IF(Table1[Leaving Date]="","",IF(AND(Table1[Leaving Date]&gt;42460,Table1[Leaving Date]&lt;42826),IF(Table1[Date of Last Assessment]="",Table1[Emotional and Mental Health],Table1[Emotional and Mental Health2]),""))</f>
        <v/>
      </c>
      <c r="GL407" s="44" t="str">
        <f>IF(Table1[Leaving Date]="","",IF(AND(Table1[Leaving Date]&gt;42460,Table1[Leaving Date]&lt;42826),IF(Table1[Date of Last Assessment]="",Table1[Meaningful Use of Time],Table1[Meaningful Use of Time2]),""))</f>
        <v/>
      </c>
      <c r="GM407" s="44" t="str">
        <f>IF(Table1[Leaving Date]="","",IF(AND(Table1[Leaving Date]&gt;42460,Table1[Leaving Date]&lt;42826),IF(Table1[Date of Last Assessment]="",Table1[Managing Tenancy and Accommodation],Table1[Managing Tenancy and Accommodation2]),""))</f>
        <v/>
      </c>
      <c r="GN407" s="44" t="str">
        <f>IF(Table1[Leaving Date]="","",IF(AND(Table1[Leaving Date]&gt;42460,Table1[Leaving Date]&lt;42826),IF(Table1[Date of Last Assessment]="",Table1[Offending],Table1[Offending2]),""))</f>
        <v/>
      </c>
    </row>
    <row r="408" spans="2:196" ht="20.100000000000001" customHeight="1" x14ac:dyDescent="0.2">
      <c r="B408" s="86">
        <f>+'Service Data'!$C$5:$C$5</f>
        <v>0</v>
      </c>
      <c r="C408" s="86"/>
      <c r="D408" s="86"/>
      <c r="E408" s="86"/>
      <c r="F408" s="86"/>
      <c r="G408" s="86"/>
      <c r="H408" s="6"/>
      <c r="I408" s="99" t="str">
        <f ca="1">IF(Table1[[#This Row],[Date of Birth]]="","",SUM(TODAY()-Table1[[#This Row],[Date of Birth]])/365)</f>
        <v/>
      </c>
      <c r="L408" s="86"/>
      <c r="M408" s="77"/>
      <c r="N408" s="86"/>
      <c r="O408" s="86"/>
      <c r="P408" s="91"/>
      <c r="Q408" s="86"/>
      <c r="R408" s="77"/>
      <c r="S408" s="77"/>
      <c r="T408" s="68"/>
      <c r="U408" s="68"/>
      <c r="V408" s="67"/>
      <c r="W408" s="67"/>
      <c r="X408" s="67"/>
      <c r="Y408" s="67"/>
      <c r="Z408" s="67"/>
      <c r="AA408" s="67"/>
      <c r="AB408" s="67"/>
      <c r="AC408" s="67"/>
      <c r="AD408" s="67"/>
      <c r="AE408" s="67"/>
      <c r="AF408" s="67"/>
      <c r="AG408" s="67"/>
      <c r="AH408" s="67"/>
      <c r="AI408" s="67"/>
      <c r="AJ408" s="67"/>
      <c r="AK408" s="67"/>
      <c r="AL408" s="67"/>
      <c r="AM408" s="67"/>
      <c r="AN408" s="77"/>
      <c r="AO408" s="76"/>
      <c r="AP408" s="77"/>
      <c r="AQ408" s="76"/>
      <c r="AR408" s="76"/>
      <c r="AS408" s="76"/>
      <c r="AT408" s="76"/>
      <c r="AU408" s="76"/>
      <c r="AV408" s="77"/>
      <c r="AW408" s="76"/>
      <c r="AX408" s="77"/>
      <c r="AY408" s="76"/>
      <c r="AZ408" s="76"/>
      <c r="BA408" s="76"/>
      <c r="BB408" s="76"/>
      <c r="BC408" s="76"/>
      <c r="BD408" s="77"/>
      <c r="BE408" s="76"/>
      <c r="BF408" s="77"/>
      <c r="BG408" s="76"/>
      <c r="BH408" s="76"/>
      <c r="BI408" s="76"/>
      <c r="BJ408" s="76"/>
      <c r="BK408" s="76"/>
      <c r="BL408" s="77"/>
      <c r="BM408" s="76"/>
      <c r="BN408" s="77"/>
      <c r="BO408" s="76"/>
      <c r="BP408" s="76"/>
      <c r="BQ408" s="76"/>
      <c r="BR408" s="76"/>
      <c r="BS408" s="76"/>
      <c r="BT408" s="77"/>
      <c r="BU408" s="76"/>
      <c r="BV408" s="77"/>
      <c r="BW408" s="76"/>
      <c r="BX408" s="76"/>
      <c r="BY408" s="76"/>
      <c r="BZ408" s="76"/>
      <c r="CA408" s="76"/>
      <c r="CB408" s="77"/>
      <c r="CC408" s="76"/>
      <c r="CD408" s="77"/>
      <c r="CE408" s="76"/>
      <c r="CF408" s="76"/>
      <c r="CG408" s="76"/>
      <c r="CH408" s="76"/>
      <c r="CI408" s="76"/>
      <c r="CJ408" s="77"/>
      <c r="CK408" s="76"/>
      <c r="CL408" s="77"/>
      <c r="CM408" s="76"/>
      <c r="CN408" s="76"/>
      <c r="CO408" s="76"/>
      <c r="CP408" s="76"/>
      <c r="CQ408" s="76"/>
      <c r="CR408" s="78" t="str">
        <f t="shared" si="111"/>
        <v/>
      </c>
      <c r="CS408" s="79" t="str">
        <f t="shared" si="112"/>
        <v/>
      </c>
      <c r="CT408" s="79" t="str">
        <f t="shared" si="113"/>
        <v/>
      </c>
      <c r="CU408" s="79" t="str">
        <f t="shared" si="114"/>
        <v/>
      </c>
      <c r="CV408" s="79" t="str">
        <f t="shared" si="115"/>
        <v/>
      </c>
      <c r="CW408" s="79" t="str">
        <f t="shared" si="116"/>
        <v/>
      </c>
      <c r="CX408" s="79" t="str">
        <f t="shared" si="117"/>
        <v/>
      </c>
      <c r="CY408" s="79" t="str">
        <f t="shared" si="118"/>
        <v/>
      </c>
      <c r="CZ408" s="79" t="str">
        <f t="shared" si="119"/>
        <v/>
      </c>
      <c r="DA408" s="79" t="str">
        <f t="shared" si="120"/>
        <v/>
      </c>
      <c r="DB408" s="79" t="str">
        <f t="shared" si="121"/>
        <v/>
      </c>
      <c r="DC408" s="79" t="str">
        <f t="shared" si="122"/>
        <v/>
      </c>
      <c r="DD408" s="79" t="str">
        <f t="shared" si="123"/>
        <v/>
      </c>
      <c r="DE408" s="79" t="str">
        <f t="shared" si="124"/>
        <v/>
      </c>
      <c r="DF408" s="79" t="str">
        <f t="shared" si="125"/>
        <v/>
      </c>
      <c r="DG408" s="79" t="str">
        <f t="shared" si="126"/>
        <v/>
      </c>
      <c r="DH408" s="76"/>
      <c r="DI408" s="78"/>
      <c r="DJ408" s="76"/>
      <c r="DK408" s="77"/>
      <c r="DL408" s="77"/>
      <c r="DM408" s="77"/>
      <c r="DN408" s="80"/>
      <c r="DO408" s="80"/>
      <c r="DP408" s="92" t="str">
        <f>IF(Table1[Start Date]="","",IF(Table1[Start Date]&gt;42185,"",IF(AND(Table1[Leaving Date]&gt;1,Table1[Leaving Date]&lt;42095),"",1)))</f>
        <v/>
      </c>
      <c r="DQ408" s="92" t="str">
        <f>IF(Table1[Start Date]="","",IF(Table1[Start Date]&gt;42277,"",IF(AND(Table1[Leaving Date]&gt;1,Table1[Leaving Date]&lt;42186),"",1)))</f>
        <v/>
      </c>
      <c r="DR408" s="92" t="str">
        <f>IF(Table1[Start Date]="","",IF(Table1[Start Date]&gt;42369,"",IF(AND(Table1[Leaving Date]&gt;1,Table1[Leaving Date]&lt;42278),"",1)))</f>
        <v/>
      </c>
      <c r="DS408" s="92" t="str">
        <f>IF(Table1[Start Date]="","",IF(Table1[Start Date]&gt;42460,"",IF(AND(Table1[Leaving Date]&gt;1,Table1[Leaving Date]&lt;42370),"",1)))</f>
        <v/>
      </c>
      <c r="DT408" s="92" t="str">
        <f>IF(Table1[Start Date]="","",IF(Table1[Start Date]&gt;42551,"",IF(AND(Table1[Leaving Date]&gt;1,Table1[Leaving Date]&lt;42461),"",1)))</f>
        <v/>
      </c>
      <c r="DU408" s="92" t="str">
        <f>IF(Table1[Start Date]="","",IF(Table1[Start Date]&gt;42643,"",IF(AND(Table1[Leaving Date]&gt;1,Table1[Leaving Date]&lt;42552),"",1)))</f>
        <v/>
      </c>
      <c r="DV408" s="92" t="str">
        <f>IF(Table1[Start Date]="","",IF(Table1[Start Date]&gt;42735,"",IF(AND(Table1[Leaving Date]&gt;1,Table1[Leaving Date]&lt;42644),"",1)))</f>
        <v/>
      </c>
      <c r="DW408" s="92" t="str">
        <f>IF(Table1[Start Date]="","",IF(Table1[Start Date]&gt;42825,"",IF(AND(Table1[Leaving Date]&gt;1,Table1[Leaving Date]&lt;42736),"",1)))</f>
        <v/>
      </c>
      <c r="DX408"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408" s="44" t="e">
        <f>VLOOKUP(Table1[Referral Source],Lists!$G$2:$H$20,2,FALSE)</f>
        <v>#N/A</v>
      </c>
      <c r="DZ408" s="93" t="e">
        <f>SUM(Table1[Data Referral Quarter]+Table1[Data Referral Source])</f>
        <v>#N/A</v>
      </c>
      <c r="EA408" s="44" t="b">
        <f>IF(Table1[Referral Decision]="Accepted",100,IF(Table1[Referral Decision]="Rejected by Provider",200,IF(Table1[Referral Decision]="Rejected by Applicant",300)))</f>
        <v>0</v>
      </c>
      <c r="EB408" s="44">
        <f>SUM(Table1[Data Referral Quarter]+Table1[Data Referral Decision])</f>
        <v>0</v>
      </c>
      <c r="EC408" s="44" t="b">
        <f>IF(Table1[Start Date]&gt;42735,8000,IF(Table1[Start Date]&gt;42643,7000,IF(Table1[Start Date]&gt;42551,6000,IF(Table1[Start Date]&gt;42460,5000,IF(Table1[Start Date]&gt;42369,4000,IF(Table1[Start Date]&gt;42277,3000,IF(Table1[Start Date]&gt;42185,2000,IF(Table1[Start Date]&gt;42094,1000))))))))</f>
        <v>0</v>
      </c>
      <c r="ED408" s="44" t="str">
        <f>IF(Table1[Start Date]="","",IF(Table1[Current Local Authority]="Swindon",1,"2"))</f>
        <v/>
      </c>
      <c r="EE408" s="44" t="e">
        <f>SUM(Table1[Data Start Date]+Table1[Data Local Authority])</f>
        <v>#VALUE!</v>
      </c>
      <c r="EF408" s="44">
        <f>IF(Table1[Registered with GP]="Yes",1,0)</f>
        <v>0</v>
      </c>
      <c r="EG408" s="44">
        <f>SUM(Table1[Data Start Date]+Table1[Data GP Start])</f>
        <v>0</v>
      </c>
      <c r="EH408" s="44" t="str">
        <f>IF(Table1[EET]="NEET",1,IF(Table1[EET]="Education",2,IF(Table1[EET]="Employment",2,IF(Table1[EET]="Training",2,IF(Table1[EET]="Retired",3,"")))))</f>
        <v/>
      </c>
      <c r="EI408" s="44" t="e">
        <f>Table1[Data Start Date]+Table1[Data EET Start]</f>
        <v>#VALUE!</v>
      </c>
      <c r="EJ408" s="44" t="b">
        <f>IF(Table1[Leaving Date]&gt;42735,8000,IF(Table1[Leaving Date]&gt;42643,7000,IF(Table1[Leaving Date]&gt;42551,6000,IF(Table1[Leaving Date]&gt;42460,5000,IF(Table1[Leaving Date]&gt;42369,4000,IF(Table1[Leaving Date]&gt;42277,3000,IF(Table1[Leaving Date]&gt;42185,2000,IF(Table1[Leaving Date]&gt;42094,1000))))))))</f>
        <v>0</v>
      </c>
      <c r="EK408" s="44" t="e">
        <f>VLOOKUP(Table1[Reason for Leaving],Lists!$T$2:$U$15,2,FALSE)</f>
        <v>#N/A</v>
      </c>
      <c r="EL408" s="44" t="e">
        <f>SUM(Table1[Data Leavers Date]+Table1[Data Move On])</f>
        <v>#N/A</v>
      </c>
      <c r="EM408" s="44" t="b">
        <f>IF(Table1[Registered with GP2]="Yes",1,IF(Table1[Registered with GP2]="No",0,IF(Table1[Registered with GP]="Yes",1,IF(Table1[Registered with GP]="No",0))))</f>
        <v>0</v>
      </c>
      <c r="EN408" s="44">
        <f>SUM(Table1[Data Leavers Date]+Table1[Data GP End])</f>
        <v>0</v>
      </c>
      <c r="EO408" s="44" t="str">
        <f>IF(Table1[EET2]="NEET",1,IF(Table1[EET2]="Employment",2,IF(Table1[EET2]="Education",2,IF(Table1[EET2]="Training",2,IF(Table1[EET2]="Retired",3,IF(Table1[EET]="NEET",1,IF(Table1[EET]="Employment",2,IF(Table1[EET]="Education",2,IF(Table1[EET]="Training",2,IF(Table1[EET]="Retired",3,""))))))))))</f>
        <v/>
      </c>
      <c r="EP408" s="44" t="e">
        <f>+Table1[[#This Row],[Data Leavers Date]]+Table1[[#This Row],[Data EET End]]</f>
        <v>#VALUE!</v>
      </c>
      <c r="EQ408" s="44">
        <f>IF(Table1[Exit Form Received]="Yes",1,0)</f>
        <v>0</v>
      </c>
      <c r="ER408" s="44">
        <f>+Table1[[#This Row],[Data Leavers Date]]+Table1[[#This Row],[Data Exit Forms]]</f>
        <v>0</v>
      </c>
      <c r="ES408" s="44" t="str">
        <f>IF(Table1[Data Leavers Date]=1000,SUM(Table1[Leaving Date]-Table1[Start Date]),"")</f>
        <v/>
      </c>
      <c r="ET408" s="44" t="str">
        <f>IF(Table1[Data Leavers Date]=2000,SUM(Table1[Leaving Date]-Table1[Start Date]),"")</f>
        <v/>
      </c>
      <c r="EU408" s="44" t="str">
        <f>IF(Table1[Data Leavers Date]=3000,SUM(Table1[Leaving Date]-Table1[Start Date]),"")</f>
        <v/>
      </c>
      <c r="EV408" s="44" t="str">
        <f>IF(Table1[Data Leavers Date]=4000,SUM(Table1[Leaving Date]-Table1[Start Date]),"")</f>
        <v/>
      </c>
      <c r="EW408" s="44" t="str">
        <f>IF(Table1[Data Leavers Date]=5000,SUM(Table1[Leaving Date]-Table1[Start Date]),"")</f>
        <v/>
      </c>
      <c r="EX408" s="44" t="str">
        <f>IF(Table1[Data Leavers Date]=6000,SUM(Table1[Leaving Date]-Table1[Start Date]),"")</f>
        <v/>
      </c>
      <c r="EY408" s="44" t="str">
        <f>IF(Table1[Data Leavers Date]=7000,SUM(Table1[Leaving Date]-Table1[Start Date]),"")</f>
        <v/>
      </c>
      <c r="EZ408" s="44" t="str">
        <f>IF(Table1[Data Leavers Date]=8000,SUM(Table1[Leaving Date]-Table1[Start Date]),"")</f>
        <v/>
      </c>
      <c r="FA408" s="44" t="str">
        <f>IF(Table1[Date of Initial Assessment]="","",IF(AND(Table1[Start Date]&gt;42094,Table1[Start Date]&lt;42461),Table1[Motivation and Taking Responsibility],""))</f>
        <v/>
      </c>
      <c r="FB408" s="44" t="str">
        <f>IF(Table1[Date of Initial Assessment]="","",IF(AND(Table1[Start Date]&gt;42094,Table1[Start Date]&lt;42461),Table1[Self-Care and Living Skills],""))</f>
        <v/>
      </c>
      <c r="FC408" s="44" t="str">
        <f>IF(Table1[Date of Initial Assessment]="","",IF(AND(Table1[Start Date]&gt;42094,Table1[Start Date]&lt;42461),Table1[Managing Money and Personal Administration],""))</f>
        <v/>
      </c>
      <c r="FD408" s="44" t="str">
        <f>IF(Table1[Date of Initial Assessment]="","",IF(AND(Table1[Start Date]&gt;42094,Table1[Start Date]&lt;42461),Table1[Social Networks and Relationships],""))</f>
        <v/>
      </c>
      <c r="FE408" s="44" t="str">
        <f>IF(Table1[Date of Initial Assessment]="","",IF(AND(Table1[Start Date]&gt;42094,Table1[Start Date]&lt;42461),Table1[Drug and Alcohol Misuse],""))</f>
        <v/>
      </c>
      <c r="FF408" s="44" t="str">
        <f>IF(Table1[Date of Initial Assessment]="","",IF(AND(Table1[Start Date]&gt;42094,Table1[Start Date]&lt;42461),Table1[Physical Health],""))</f>
        <v/>
      </c>
      <c r="FG408" s="44" t="str">
        <f>IF(Table1[Date of Initial Assessment]="","",IF(AND(Table1[Start Date]&gt;42094,Table1[Start Date]&lt;42461),Table1[Emotional and Mental Health],""))</f>
        <v/>
      </c>
      <c r="FH408" s="44" t="str">
        <f>IF(Table1[Date of Initial Assessment]="","",IF(AND(Table1[Start Date]&gt;42094,Table1[Start Date]&lt;42461),Table1[Meaningful Use of Time],""))</f>
        <v/>
      </c>
      <c r="FI408" s="44" t="str">
        <f>IF(Table1[Date of Initial Assessment]="","",IF(AND(Table1[Start Date]&gt;42094,Table1[Start Date]&lt;42461),Table1[Managing Tenancy and Accommodation],""))</f>
        <v/>
      </c>
      <c r="FJ408" s="44" t="str">
        <f>IF(Table1[Date of Initial Assessment]="","",IF(AND(Table1[Start Date]&gt;42094,Table1[Start Date]&lt;42461),Table1[Offending],""))</f>
        <v/>
      </c>
      <c r="FK408" s="44" t="str">
        <f>IF(Table1[Leaving Date]="","",IF(Table1[Date of Initial Assessment]="","",IF(AND(Table1[Leaving Date]&gt;42094,Table1[Leaving Date]&lt;42461),IF(Table1[Date of Last Assessment]="",Table1[Motivation and Taking Responsibility],Table1[Motivation and Taking Responsibility2]),"")))</f>
        <v/>
      </c>
      <c r="FL408" s="44" t="str">
        <f>IF(Table1[Leaving Date]="","",IF(Table1[Date of Initial Assessment]="","",IF(AND(Table1[Leaving Date]&gt;42094,Table1[Leaving Date]&lt;42461),IF(Table1[Date of Last Assessment]="",Table1[Self-Care and Living Skills],Table1[Self-Care and Living Skills2]),"")))</f>
        <v/>
      </c>
      <c r="FM408" s="44" t="str">
        <f>IF(Table1[Leaving Date]="","",IF(Table1[Date of Initial Assessment]="","",IF(AND(Table1[Leaving Date]&gt;42094,Table1[Leaving Date]&lt;42461),IF(Table1[Date of Last Assessment]="",Table1[Managing Money and Personal Administration],Table1[Managing Money and Personal Administration2]),"")))</f>
        <v/>
      </c>
      <c r="FN408" s="44" t="str">
        <f>IF(Table1[Leaving Date]="","",IF(Table1[Date of Initial Assessment]="","",IF(AND(Table1[Leaving Date]&gt;42094,Table1[Leaving Date]&lt;42461),IF(Table1[Date of Last Assessment]="",Table1[Social Networks and Relationships],Table1[Social Networks and Relationships2]),"")))</f>
        <v/>
      </c>
      <c r="FO408" s="44" t="str">
        <f>IF(Table1[Leaving Date]="","",IF(Table1[Date of Initial Assessment]="","",IF(AND(Table1[Leaving Date]&gt;42094,Table1[Leaving Date]&lt;42461),IF(Table1[Date of Last Assessment]="",Table1[Drug and Alcohol Misuse],Table1[Drug and Alcohol Misuse2]),"")))</f>
        <v/>
      </c>
      <c r="FP408" s="44" t="str">
        <f>IF(Table1[Leaving Date]="","",IF(Table1[Date of Initial Assessment]="","",IF(AND(Table1[Leaving Date]&gt;42094,Table1[Leaving Date]&lt;42461),IF(Table1[Date of Last Assessment]="",Table1[Physical Health],Table1[Physical Health2]),"")))</f>
        <v/>
      </c>
      <c r="FQ408" s="44" t="str">
        <f>IF(Table1[Leaving Date]="","",IF(Table1[Date of Initial Assessment]="","",IF(AND(Table1[Leaving Date]&gt;42094,Table1[Leaving Date]&lt;42461),IF(Table1[Date of Last Assessment]="",Table1[Emotional and Mental Health],Table1[Emotional and Mental Health2]),"")))</f>
        <v/>
      </c>
      <c r="FR408" s="44" t="str">
        <f>IF(Table1[Leaving Date]="","",IF(Table1[Date of Initial Assessment]="","",IF(AND(Table1[Leaving Date]&gt;42094,Table1[Leaving Date]&lt;42461),IF(Table1[Date of Last Assessment]="",Table1[Meaningful Use of Time],Table1[Meaningful Use of Time2]),"")))</f>
        <v/>
      </c>
      <c r="FS408" s="44" t="str">
        <f>IF(Table1[Leaving Date]="","",IF(Table1[Date of Initial Assessment]="","",IF(AND(Table1[Leaving Date]&gt;42094,Table1[Leaving Date]&lt;42461),IF(Table1[Date of Last Assessment]="",Table1[Managing Tenancy and Accommodation],Table1[Managing Tenancy and Accommodation2]),"")))</f>
        <v/>
      </c>
      <c r="FT408" s="44" t="str">
        <f>IF(Table1[Leaving Date]="","",IF(Table1[Date of Initial Assessment]="","",IF(AND(Table1[Leaving Date]&gt;42094,Table1[Leaving Date]&lt;42461),IF(Table1[Date of Last Assessment]="",Table1[Offending],Table1[Offending2]),"")))</f>
        <v/>
      </c>
      <c r="FU408" s="44" t="str">
        <f>IF(Table1[Date of Initial Assessment]="","",IF(AND(Table1[Start Date]&gt;42460,Table1[Start Date]&lt;42826),Table1[Motivation and Taking Responsibility],""))</f>
        <v/>
      </c>
      <c r="FV408" s="44" t="str">
        <f>IF(Table1[Date of Initial Assessment]="","",IF(AND(Table1[Start Date]&gt;42460,Table1[Start Date]&lt;42826),Table1[Self-Care and Living Skills],""))</f>
        <v/>
      </c>
      <c r="FW408" s="44" t="str">
        <f>IF(Table1[Date of Initial Assessment]="","",IF(AND(Table1[Start Date]&gt;42460,Table1[Start Date]&lt;42826),Table1[Managing Money and Personal Administration],""))</f>
        <v/>
      </c>
      <c r="FX408" s="44" t="str">
        <f>IF(Table1[Date of Initial Assessment]="","",IF(AND(Table1[Start Date]&gt;42460,Table1[Start Date]&lt;42826),Table1[Social Networks and Relationships],""))</f>
        <v/>
      </c>
      <c r="FY408" s="44" t="str">
        <f>IF(Table1[Date of Initial Assessment]="","",IF(AND(Table1[Start Date]&gt;42460,Table1[Start Date]&lt;42826),Table1[Drug and Alcohol Misuse],""))</f>
        <v/>
      </c>
      <c r="FZ408" s="44" t="str">
        <f>IF(Table1[Date of Initial Assessment]="","",IF(AND(Table1[Start Date]&gt;42460,Table1[Start Date]&lt;42826),Table1[Physical Health],""))</f>
        <v/>
      </c>
      <c r="GA408" s="44" t="str">
        <f>IF(Table1[Date of Initial Assessment]="","",IF(AND(Table1[Start Date]&gt;42460,Table1[Start Date]&lt;42826),Table1[Emotional and Mental Health],""))</f>
        <v/>
      </c>
      <c r="GB408" s="44" t="str">
        <f>IF(Table1[Date of Initial Assessment]="","",IF(AND(Table1[Start Date]&gt;42460,Table1[Start Date]&lt;42826),Table1[Meaningful Use of Time],""))</f>
        <v/>
      </c>
      <c r="GC408" s="44" t="str">
        <f>IF(Table1[Date of Initial Assessment]="","",IF(AND(Table1[Start Date]&gt;42460,Table1[Start Date]&lt;42826),Table1[Managing Tenancy and Accommodation],""))</f>
        <v/>
      </c>
      <c r="GD408" s="44" t="str">
        <f>IF(Table1[Date of Initial Assessment]="","",IF(AND(Table1[Start Date]&gt;42460,Table1[Start Date]&lt;42826),Table1[Offending],""))</f>
        <v/>
      </c>
      <c r="GE408" s="44" t="str">
        <f>IF(Table1[Leaving Date]="","",IF(AND(Table1[Leaving Date]&gt;42460,Table1[Leaving Date]&lt;42826),IF(Table1[Date of Last Assessment]="",Table1[Motivation and Taking Responsibility],Table1[Motivation and Taking Responsibility2]),""))</f>
        <v/>
      </c>
      <c r="GF408" s="44" t="str">
        <f>IF(Table1[Leaving Date]="","",IF(AND(Table1[Leaving Date]&gt;42460,Table1[Leaving Date]&lt;42826),IF(Table1[Date of Last Assessment]="",Table1[Self-Care and Living Skills],Table1[Self-Care and Living Skills2]),""))</f>
        <v/>
      </c>
      <c r="GG408" s="44" t="str">
        <f>IF(Table1[Leaving Date]="","",IF(AND(Table1[Leaving Date]&gt;42460,Table1[Leaving Date]&lt;42826),IF(Table1[Date of Last Assessment]="",Table1[Managing Money and Personal Administration],Table1[Managing Money and Personal Administration2]),""))</f>
        <v/>
      </c>
      <c r="GH408" s="44" t="str">
        <f>IF(Table1[Leaving Date]="","",IF(AND(Table1[Leaving Date]&gt;42460,Table1[Leaving Date]&lt;42826),IF(Table1[Date of Last Assessment]="",Table1[Social Networks and Relationships],Table1[Social Networks and Relationships2]),""))</f>
        <v/>
      </c>
      <c r="GI408" s="44" t="str">
        <f>IF(Table1[Leaving Date]="","",IF(AND(Table1[Leaving Date]&gt;42460,Table1[Leaving Date]&lt;42826),IF(Table1[Date of Last Assessment]="",Table1[Drug and Alcohol Misuse],Table1[Drug and Alcohol Misuse2]),""))</f>
        <v/>
      </c>
      <c r="GJ408" s="44" t="str">
        <f>IF(Table1[Leaving Date]="","",IF(AND(Table1[Leaving Date]&gt;42460,Table1[Leaving Date]&lt;42826),IF(Table1[Date of Last Assessment]="",Table1[Physical Health],Table1[Physical Health2]),""))</f>
        <v/>
      </c>
      <c r="GK408" s="44" t="str">
        <f>IF(Table1[Leaving Date]="","",IF(AND(Table1[Leaving Date]&gt;42460,Table1[Leaving Date]&lt;42826),IF(Table1[Date of Last Assessment]="",Table1[Emotional and Mental Health],Table1[Emotional and Mental Health2]),""))</f>
        <v/>
      </c>
      <c r="GL408" s="44" t="str">
        <f>IF(Table1[Leaving Date]="","",IF(AND(Table1[Leaving Date]&gt;42460,Table1[Leaving Date]&lt;42826),IF(Table1[Date of Last Assessment]="",Table1[Meaningful Use of Time],Table1[Meaningful Use of Time2]),""))</f>
        <v/>
      </c>
      <c r="GM408" s="44" t="str">
        <f>IF(Table1[Leaving Date]="","",IF(AND(Table1[Leaving Date]&gt;42460,Table1[Leaving Date]&lt;42826),IF(Table1[Date of Last Assessment]="",Table1[Managing Tenancy and Accommodation],Table1[Managing Tenancy and Accommodation2]),""))</f>
        <v/>
      </c>
      <c r="GN408" s="44" t="str">
        <f>IF(Table1[Leaving Date]="","",IF(AND(Table1[Leaving Date]&gt;42460,Table1[Leaving Date]&lt;42826),IF(Table1[Date of Last Assessment]="",Table1[Offending],Table1[Offending2]),""))</f>
        <v/>
      </c>
    </row>
    <row r="409" spans="2:196" ht="20.100000000000001" customHeight="1" x14ac:dyDescent="0.2">
      <c r="B409" s="86">
        <f>+'Service Data'!$C$5:$C$5</f>
        <v>0</v>
      </c>
      <c r="C409" s="86"/>
      <c r="D409" s="86"/>
      <c r="E409" s="86"/>
      <c r="F409" s="86"/>
      <c r="G409" s="86"/>
      <c r="H409" s="6"/>
      <c r="I409" s="99" t="str">
        <f ca="1">IF(Table1[[#This Row],[Date of Birth]]="","",SUM(TODAY()-Table1[[#This Row],[Date of Birth]])/365)</f>
        <v/>
      </c>
      <c r="L409" s="86"/>
      <c r="M409" s="77"/>
      <c r="N409" s="86"/>
      <c r="O409" s="86"/>
      <c r="P409" s="91"/>
      <c r="Q409" s="86"/>
      <c r="R409" s="77"/>
      <c r="S409" s="77"/>
      <c r="T409" s="68"/>
      <c r="U409" s="68"/>
      <c r="V409" s="67"/>
      <c r="W409" s="67"/>
      <c r="X409" s="67"/>
      <c r="Y409" s="67"/>
      <c r="Z409" s="67"/>
      <c r="AA409" s="67"/>
      <c r="AB409" s="67"/>
      <c r="AC409" s="67"/>
      <c r="AD409" s="67"/>
      <c r="AE409" s="67"/>
      <c r="AF409" s="67"/>
      <c r="AG409" s="67"/>
      <c r="AH409" s="67"/>
      <c r="AI409" s="67"/>
      <c r="AJ409" s="67"/>
      <c r="AK409" s="67"/>
      <c r="AL409" s="67"/>
      <c r="AM409" s="67"/>
      <c r="AN409" s="77"/>
      <c r="AO409" s="76"/>
      <c r="AP409" s="77"/>
      <c r="AQ409" s="76"/>
      <c r="AR409" s="76"/>
      <c r="AS409" s="76"/>
      <c r="AT409" s="76"/>
      <c r="AU409" s="76"/>
      <c r="AV409" s="77"/>
      <c r="AW409" s="76"/>
      <c r="AX409" s="77"/>
      <c r="AY409" s="76"/>
      <c r="AZ409" s="76"/>
      <c r="BA409" s="76"/>
      <c r="BB409" s="76"/>
      <c r="BC409" s="76"/>
      <c r="BD409" s="77"/>
      <c r="BE409" s="76"/>
      <c r="BF409" s="77"/>
      <c r="BG409" s="76"/>
      <c r="BH409" s="76"/>
      <c r="BI409" s="76"/>
      <c r="BJ409" s="76"/>
      <c r="BK409" s="76"/>
      <c r="BL409" s="77"/>
      <c r="BM409" s="76"/>
      <c r="BN409" s="77"/>
      <c r="BO409" s="76"/>
      <c r="BP409" s="76"/>
      <c r="BQ409" s="76"/>
      <c r="BR409" s="76"/>
      <c r="BS409" s="76"/>
      <c r="BT409" s="77"/>
      <c r="BU409" s="76"/>
      <c r="BV409" s="77"/>
      <c r="BW409" s="76"/>
      <c r="BX409" s="76"/>
      <c r="BY409" s="76"/>
      <c r="BZ409" s="76"/>
      <c r="CA409" s="76"/>
      <c r="CB409" s="77"/>
      <c r="CC409" s="76"/>
      <c r="CD409" s="77"/>
      <c r="CE409" s="76"/>
      <c r="CF409" s="76"/>
      <c r="CG409" s="76"/>
      <c r="CH409" s="76"/>
      <c r="CI409" s="76"/>
      <c r="CJ409" s="77"/>
      <c r="CK409" s="76"/>
      <c r="CL409" s="77"/>
      <c r="CM409" s="76"/>
      <c r="CN409" s="76"/>
      <c r="CO409" s="76"/>
      <c r="CP409" s="76"/>
      <c r="CQ409" s="76"/>
      <c r="CR409" s="78" t="str">
        <f t="shared" si="111"/>
        <v/>
      </c>
      <c r="CS409" s="79" t="str">
        <f t="shared" si="112"/>
        <v/>
      </c>
      <c r="CT409" s="79" t="str">
        <f t="shared" si="113"/>
        <v/>
      </c>
      <c r="CU409" s="79" t="str">
        <f t="shared" si="114"/>
        <v/>
      </c>
      <c r="CV409" s="79" t="str">
        <f t="shared" si="115"/>
        <v/>
      </c>
      <c r="CW409" s="79" t="str">
        <f t="shared" si="116"/>
        <v/>
      </c>
      <c r="CX409" s="79" t="str">
        <f t="shared" si="117"/>
        <v/>
      </c>
      <c r="CY409" s="79" t="str">
        <f t="shared" si="118"/>
        <v/>
      </c>
      <c r="CZ409" s="79" t="str">
        <f t="shared" si="119"/>
        <v/>
      </c>
      <c r="DA409" s="79" t="str">
        <f t="shared" si="120"/>
        <v/>
      </c>
      <c r="DB409" s="79" t="str">
        <f t="shared" si="121"/>
        <v/>
      </c>
      <c r="DC409" s="79" t="str">
        <f t="shared" si="122"/>
        <v/>
      </c>
      <c r="DD409" s="79" t="str">
        <f t="shared" si="123"/>
        <v/>
      </c>
      <c r="DE409" s="79" t="str">
        <f t="shared" si="124"/>
        <v/>
      </c>
      <c r="DF409" s="79" t="str">
        <f t="shared" si="125"/>
        <v/>
      </c>
      <c r="DG409" s="79" t="str">
        <f t="shared" si="126"/>
        <v/>
      </c>
      <c r="DH409" s="76"/>
      <c r="DI409" s="78"/>
      <c r="DJ409" s="76"/>
      <c r="DK409" s="77"/>
      <c r="DL409" s="77"/>
      <c r="DM409" s="77"/>
      <c r="DN409" s="80"/>
      <c r="DO409" s="80"/>
      <c r="DP409" s="92" t="str">
        <f>IF(Table1[Start Date]="","",IF(Table1[Start Date]&gt;42185,"",IF(AND(Table1[Leaving Date]&gt;1,Table1[Leaving Date]&lt;42095),"",1)))</f>
        <v/>
      </c>
      <c r="DQ409" s="92" t="str">
        <f>IF(Table1[Start Date]="","",IF(Table1[Start Date]&gt;42277,"",IF(AND(Table1[Leaving Date]&gt;1,Table1[Leaving Date]&lt;42186),"",1)))</f>
        <v/>
      </c>
      <c r="DR409" s="92" t="str">
        <f>IF(Table1[Start Date]="","",IF(Table1[Start Date]&gt;42369,"",IF(AND(Table1[Leaving Date]&gt;1,Table1[Leaving Date]&lt;42278),"",1)))</f>
        <v/>
      </c>
      <c r="DS409" s="92" t="str">
        <f>IF(Table1[Start Date]="","",IF(Table1[Start Date]&gt;42460,"",IF(AND(Table1[Leaving Date]&gt;1,Table1[Leaving Date]&lt;42370),"",1)))</f>
        <v/>
      </c>
      <c r="DT409" s="92" t="str">
        <f>IF(Table1[Start Date]="","",IF(Table1[Start Date]&gt;42551,"",IF(AND(Table1[Leaving Date]&gt;1,Table1[Leaving Date]&lt;42461),"",1)))</f>
        <v/>
      </c>
      <c r="DU409" s="92" t="str">
        <f>IF(Table1[Start Date]="","",IF(Table1[Start Date]&gt;42643,"",IF(AND(Table1[Leaving Date]&gt;1,Table1[Leaving Date]&lt;42552),"",1)))</f>
        <v/>
      </c>
      <c r="DV409" s="92" t="str">
        <f>IF(Table1[Start Date]="","",IF(Table1[Start Date]&gt;42735,"",IF(AND(Table1[Leaving Date]&gt;1,Table1[Leaving Date]&lt;42644),"",1)))</f>
        <v/>
      </c>
      <c r="DW409" s="92" t="str">
        <f>IF(Table1[Start Date]="","",IF(Table1[Start Date]&gt;42825,"",IF(AND(Table1[Leaving Date]&gt;1,Table1[Leaving Date]&lt;42736),"",1)))</f>
        <v/>
      </c>
      <c r="DX409"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409" s="44" t="e">
        <f>VLOOKUP(Table1[Referral Source],Lists!$G$2:$H$20,2,FALSE)</f>
        <v>#N/A</v>
      </c>
      <c r="DZ409" s="93" t="e">
        <f>SUM(Table1[Data Referral Quarter]+Table1[Data Referral Source])</f>
        <v>#N/A</v>
      </c>
      <c r="EA409" s="44" t="b">
        <f>IF(Table1[Referral Decision]="Accepted",100,IF(Table1[Referral Decision]="Rejected by Provider",200,IF(Table1[Referral Decision]="Rejected by Applicant",300)))</f>
        <v>0</v>
      </c>
      <c r="EB409" s="44">
        <f>SUM(Table1[Data Referral Quarter]+Table1[Data Referral Decision])</f>
        <v>0</v>
      </c>
      <c r="EC409" s="44" t="b">
        <f>IF(Table1[Start Date]&gt;42735,8000,IF(Table1[Start Date]&gt;42643,7000,IF(Table1[Start Date]&gt;42551,6000,IF(Table1[Start Date]&gt;42460,5000,IF(Table1[Start Date]&gt;42369,4000,IF(Table1[Start Date]&gt;42277,3000,IF(Table1[Start Date]&gt;42185,2000,IF(Table1[Start Date]&gt;42094,1000))))))))</f>
        <v>0</v>
      </c>
      <c r="ED409" s="44" t="str">
        <f>IF(Table1[Start Date]="","",IF(Table1[Current Local Authority]="Swindon",1,"2"))</f>
        <v/>
      </c>
      <c r="EE409" s="44" t="e">
        <f>SUM(Table1[Data Start Date]+Table1[Data Local Authority])</f>
        <v>#VALUE!</v>
      </c>
      <c r="EF409" s="44">
        <f>IF(Table1[Registered with GP]="Yes",1,0)</f>
        <v>0</v>
      </c>
      <c r="EG409" s="44">
        <f>SUM(Table1[Data Start Date]+Table1[Data GP Start])</f>
        <v>0</v>
      </c>
      <c r="EH409" s="44" t="str">
        <f>IF(Table1[EET]="NEET",1,IF(Table1[EET]="Education",2,IF(Table1[EET]="Employment",2,IF(Table1[EET]="Training",2,IF(Table1[EET]="Retired",3,"")))))</f>
        <v/>
      </c>
      <c r="EI409" s="44" t="e">
        <f>Table1[Data Start Date]+Table1[Data EET Start]</f>
        <v>#VALUE!</v>
      </c>
      <c r="EJ409" s="44" t="b">
        <f>IF(Table1[Leaving Date]&gt;42735,8000,IF(Table1[Leaving Date]&gt;42643,7000,IF(Table1[Leaving Date]&gt;42551,6000,IF(Table1[Leaving Date]&gt;42460,5000,IF(Table1[Leaving Date]&gt;42369,4000,IF(Table1[Leaving Date]&gt;42277,3000,IF(Table1[Leaving Date]&gt;42185,2000,IF(Table1[Leaving Date]&gt;42094,1000))))))))</f>
        <v>0</v>
      </c>
      <c r="EK409" s="44" t="e">
        <f>VLOOKUP(Table1[Reason for Leaving],Lists!$T$2:$U$15,2,FALSE)</f>
        <v>#N/A</v>
      </c>
      <c r="EL409" s="44" t="e">
        <f>SUM(Table1[Data Leavers Date]+Table1[Data Move On])</f>
        <v>#N/A</v>
      </c>
      <c r="EM409" s="44" t="b">
        <f>IF(Table1[Registered with GP2]="Yes",1,IF(Table1[Registered with GP2]="No",0,IF(Table1[Registered with GP]="Yes",1,IF(Table1[Registered with GP]="No",0))))</f>
        <v>0</v>
      </c>
      <c r="EN409" s="44">
        <f>SUM(Table1[Data Leavers Date]+Table1[Data GP End])</f>
        <v>0</v>
      </c>
      <c r="EO409" s="44" t="str">
        <f>IF(Table1[EET2]="NEET",1,IF(Table1[EET2]="Employment",2,IF(Table1[EET2]="Education",2,IF(Table1[EET2]="Training",2,IF(Table1[EET2]="Retired",3,IF(Table1[EET]="NEET",1,IF(Table1[EET]="Employment",2,IF(Table1[EET]="Education",2,IF(Table1[EET]="Training",2,IF(Table1[EET]="Retired",3,""))))))))))</f>
        <v/>
      </c>
      <c r="EP409" s="44" t="e">
        <f>+Table1[[#This Row],[Data Leavers Date]]+Table1[[#This Row],[Data EET End]]</f>
        <v>#VALUE!</v>
      </c>
      <c r="EQ409" s="44">
        <f>IF(Table1[Exit Form Received]="Yes",1,0)</f>
        <v>0</v>
      </c>
      <c r="ER409" s="44">
        <f>+Table1[[#This Row],[Data Leavers Date]]+Table1[[#This Row],[Data Exit Forms]]</f>
        <v>0</v>
      </c>
      <c r="ES409" s="44" t="str">
        <f>IF(Table1[Data Leavers Date]=1000,SUM(Table1[Leaving Date]-Table1[Start Date]),"")</f>
        <v/>
      </c>
      <c r="ET409" s="44" t="str">
        <f>IF(Table1[Data Leavers Date]=2000,SUM(Table1[Leaving Date]-Table1[Start Date]),"")</f>
        <v/>
      </c>
      <c r="EU409" s="44" t="str">
        <f>IF(Table1[Data Leavers Date]=3000,SUM(Table1[Leaving Date]-Table1[Start Date]),"")</f>
        <v/>
      </c>
      <c r="EV409" s="44" t="str">
        <f>IF(Table1[Data Leavers Date]=4000,SUM(Table1[Leaving Date]-Table1[Start Date]),"")</f>
        <v/>
      </c>
      <c r="EW409" s="44" t="str">
        <f>IF(Table1[Data Leavers Date]=5000,SUM(Table1[Leaving Date]-Table1[Start Date]),"")</f>
        <v/>
      </c>
      <c r="EX409" s="44" t="str">
        <f>IF(Table1[Data Leavers Date]=6000,SUM(Table1[Leaving Date]-Table1[Start Date]),"")</f>
        <v/>
      </c>
      <c r="EY409" s="44" t="str">
        <f>IF(Table1[Data Leavers Date]=7000,SUM(Table1[Leaving Date]-Table1[Start Date]),"")</f>
        <v/>
      </c>
      <c r="EZ409" s="44" t="str">
        <f>IF(Table1[Data Leavers Date]=8000,SUM(Table1[Leaving Date]-Table1[Start Date]),"")</f>
        <v/>
      </c>
      <c r="FA409" s="44" t="str">
        <f>IF(Table1[Date of Initial Assessment]="","",IF(AND(Table1[Start Date]&gt;42094,Table1[Start Date]&lt;42461),Table1[Motivation and Taking Responsibility],""))</f>
        <v/>
      </c>
      <c r="FB409" s="44" t="str">
        <f>IF(Table1[Date of Initial Assessment]="","",IF(AND(Table1[Start Date]&gt;42094,Table1[Start Date]&lt;42461),Table1[Self-Care and Living Skills],""))</f>
        <v/>
      </c>
      <c r="FC409" s="44" t="str">
        <f>IF(Table1[Date of Initial Assessment]="","",IF(AND(Table1[Start Date]&gt;42094,Table1[Start Date]&lt;42461),Table1[Managing Money and Personal Administration],""))</f>
        <v/>
      </c>
      <c r="FD409" s="44" t="str">
        <f>IF(Table1[Date of Initial Assessment]="","",IF(AND(Table1[Start Date]&gt;42094,Table1[Start Date]&lt;42461),Table1[Social Networks and Relationships],""))</f>
        <v/>
      </c>
      <c r="FE409" s="44" t="str">
        <f>IF(Table1[Date of Initial Assessment]="","",IF(AND(Table1[Start Date]&gt;42094,Table1[Start Date]&lt;42461),Table1[Drug and Alcohol Misuse],""))</f>
        <v/>
      </c>
      <c r="FF409" s="44" t="str">
        <f>IF(Table1[Date of Initial Assessment]="","",IF(AND(Table1[Start Date]&gt;42094,Table1[Start Date]&lt;42461),Table1[Physical Health],""))</f>
        <v/>
      </c>
      <c r="FG409" s="44" t="str">
        <f>IF(Table1[Date of Initial Assessment]="","",IF(AND(Table1[Start Date]&gt;42094,Table1[Start Date]&lt;42461),Table1[Emotional and Mental Health],""))</f>
        <v/>
      </c>
      <c r="FH409" s="44" t="str">
        <f>IF(Table1[Date of Initial Assessment]="","",IF(AND(Table1[Start Date]&gt;42094,Table1[Start Date]&lt;42461),Table1[Meaningful Use of Time],""))</f>
        <v/>
      </c>
      <c r="FI409" s="44" t="str">
        <f>IF(Table1[Date of Initial Assessment]="","",IF(AND(Table1[Start Date]&gt;42094,Table1[Start Date]&lt;42461),Table1[Managing Tenancy and Accommodation],""))</f>
        <v/>
      </c>
      <c r="FJ409" s="44" t="str">
        <f>IF(Table1[Date of Initial Assessment]="","",IF(AND(Table1[Start Date]&gt;42094,Table1[Start Date]&lt;42461),Table1[Offending],""))</f>
        <v/>
      </c>
      <c r="FK409" s="44" t="str">
        <f>IF(Table1[Leaving Date]="","",IF(Table1[Date of Initial Assessment]="","",IF(AND(Table1[Leaving Date]&gt;42094,Table1[Leaving Date]&lt;42461),IF(Table1[Date of Last Assessment]="",Table1[Motivation and Taking Responsibility],Table1[Motivation and Taking Responsibility2]),"")))</f>
        <v/>
      </c>
      <c r="FL409" s="44" t="str">
        <f>IF(Table1[Leaving Date]="","",IF(Table1[Date of Initial Assessment]="","",IF(AND(Table1[Leaving Date]&gt;42094,Table1[Leaving Date]&lt;42461),IF(Table1[Date of Last Assessment]="",Table1[Self-Care and Living Skills],Table1[Self-Care and Living Skills2]),"")))</f>
        <v/>
      </c>
      <c r="FM409" s="44" t="str">
        <f>IF(Table1[Leaving Date]="","",IF(Table1[Date of Initial Assessment]="","",IF(AND(Table1[Leaving Date]&gt;42094,Table1[Leaving Date]&lt;42461),IF(Table1[Date of Last Assessment]="",Table1[Managing Money and Personal Administration],Table1[Managing Money and Personal Administration2]),"")))</f>
        <v/>
      </c>
      <c r="FN409" s="44" t="str">
        <f>IF(Table1[Leaving Date]="","",IF(Table1[Date of Initial Assessment]="","",IF(AND(Table1[Leaving Date]&gt;42094,Table1[Leaving Date]&lt;42461),IF(Table1[Date of Last Assessment]="",Table1[Social Networks and Relationships],Table1[Social Networks and Relationships2]),"")))</f>
        <v/>
      </c>
      <c r="FO409" s="44" t="str">
        <f>IF(Table1[Leaving Date]="","",IF(Table1[Date of Initial Assessment]="","",IF(AND(Table1[Leaving Date]&gt;42094,Table1[Leaving Date]&lt;42461),IF(Table1[Date of Last Assessment]="",Table1[Drug and Alcohol Misuse],Table1[Drug and Alcohol Misuse2]),"")))</f>
        <v/>
      </c>
      <c r="FP409" s="44" t="str">
        <f>IF(Table1[Leaving Date]="","",IF(Table1[Date of Initial Assessment]="","",IF(AND(Table1[Leaving Date]&gt;42094,Table1[Leaving Date]&lt;42461),IF(Table1[Date of Last Assessment]="",Table1[Physical Health],Table1[Physical Health2]),"")))</f>
        <v/>
      </c>
      <c r="FQ409" s="44" t="str">
        <f>IF(Table1[Leaving Date]="","",IF(Table1[Date of Initial Assessment]="","",IF(AND(Table1[Leaving Date]&gt;42094,Table1[Leaving Date]&lt;42461),IF(Table1[Date of Last Assessment]="",Table1[Emotional and Mental Health],Table1[Emotional and Mental Health2]),"")))</f>
        <v/>
      </c>
      <c r="FR409" s="44" t="str">
        <f>IF(Table1[Leaving Date]="","",IF(Table1[Date of Initial Assessment]="","",IF(AND(Table1[Leaving Date]&gt;42094,Table1[Leaving Date]&lt;42461),IF(Table1[Date of Last Assessment]="",Table1[Meaningful Use of Time],Table1[Meaningful Use of Time2]),"")))</f>
        <v/>
      </c>
      <c r="FS409" s="44" t="str">
        <f>IF(Table1[Leaving Date]="","",IF(Table1[Date of Initial Assessment]="","",IF(AND(Table1[Leaving Date]&gt;42094,Table1[Leaving Date]&lt;42461),IF(Table1[Date of Last Assessment]="",Table1[Managing Tenancy and Accommodation],Table1[Managing Tenancy and Accommodation2]),"")))</f>
        <v/>
      </c>
      <c r="FT409" s="44" t="str">
        <f>IF(Table1[Leaving Date]="","",IF(Table1[Date of Initial Assessment]="","",IF(AND(Table1[Leaving Date]&gt;42094,Table1[Leaving Date]&lt;42461),IF(Table1[Date of Last Assessment]="",Table1[Offending],Table1[Offending2]),"")))</f>
        <v/>
      </c>
      <c r="FU409" s="44" t="str">
        <f>IF(Table1[Date of Initial Assessment]="","",IF(AND(Table1[Start Date]&gt;42460,Table1[Start Date]&lt;42826),Table1[Motivation and Taking Responsibility],""))</f>
        <v/>
      </c>
      <c r="FV409" s="44" t="str">
        <f>IF(Table1[Date of Initial Assessment]="","",IF(AND(Table1[Start Date]&gt;42460,Table1[Start Date]&lt;42826),Table1[Self-Care and Living Skills],""))</f>
        <v/>
      </c>
      <c r="FW409" s="44" t="str">
        <f>IF(Table1[Date of Initial Assessment]="","",IF(AND(Table1[Start Date]&gt;42460,Table1[Start Date]&lt;42826),Table1[Managing Money and Personal Administration],""))</f>
        <v/>
      </c>
      <c r="FX409" s="44" t="str">
        <f>IF(Table1[Date of Initial Assessment]="","",IF(AND(Table1[Start Date]&gt;42460,Table1[Start Date]&lt;42826),Table1[Social Networks and Relationships],""))</f>
        <v/>
      </c>
      <c r="FY409" s="44" t="str">
        <f>IF(Table1[Date of Initial Assessment]="","",IF(AND(Table1[Start Date]&gt;42460,Table1[Start Date]&lt;42826),Table1[Drug and Alcohol Misuse],""))</f>
        <v/>
      </c>
      <c r="FZ409" s="44" t="str">
        <f>IF(Table1[Date of Initial Assessment]="","",IF(AND(Table1[Start Date]&gt;42460,Table1[Start Date]&lt;42826),Table1[Physical Health],""))</f>
        <v/>
      </c>
      <c r="GA409" s="44" t="str">
        <f>IF(Table1[Date of Initial Assessment]="","",IF(AND(Table1[Start Date]&gt;42460,Table1[Start Date]&lt;42826),Table1[Emotional and Mental Health],""))</f>
        <v/>
      </c>
      <c r="GB409" s="44" t="str">
        <f>IF(Table1[Date of Initial Assessment]="","",IF(AND(Table1[Start Date]&gt;42460,Table1[Start Date]&lt;42826),Table1[Meaningful Use of Time],""))</f>
        <v/>
      </c>
      <c r="GC409" s="44" t="str">
        <f>IF(Table1[Date of Initial Assessment]="","",IF(AND(Table1[Start Date]&gt;42460,Table1[Start Date]&lt;42826),Table1[Managing Tenancy and Accommodation],""))</f>
        <v/>
      </c>
      <c r="GD409" s="44" t="str">
        <f>IF(Table1[Date of Initial Assessment]="","",IF(AND(Table1[Start Date]&gt;42460,Table1[Start Date]&lt;42826),Table1[Offending],""))</f>
        <v/>
      </c>
      <c r="GE409" s="44" t="str">
        <f>IF(Table1[Leaving Date]="","",IF(AND(Table1[Leaving Date]&gt;42460,Table1[Leaving Date]&lt;42826),IF(Table1[Date of Last Assessment]="",Table1[Motivation and Taking Responsibility],Table1[Motivation and Taking Responsibility2]),""))</f>
        <v/>
      </c>
      <c r="GF409" s="44" t="str">
        <f>IF(Table1[Leaving Date]="","",IF(AND(Table1[Leaving Date]&gt;42460,Table1[Leaving Date]&lt;42826),IF(Table1[Date of Last Assessment]="",Table1[Self-Care and Living Skills],Table1[Self-Care and Living Skills2]),""))</f>
        <v/>
      </c>
      <c r="GG409" s="44" t="str">
        <f>IF(Table1[Leaving Date]="","",IF(AND(Table1[Leaving Date]&gt;42460,Table1[Leaving Date]&lt;42826),IF(Table1[Date of Last Assessment]="",Table1[Managing Money and Personal Administration],Table1[Managing Money and Personal Administration2]),""))</f>
        <v/>
      </c>
      <c r="GH409" s="44" t="str">
        <f>IF(Table1[Leaving Date]="","",IF(AND(Table1[Leaving Date]&gt;42460,Table1[Leaving Date]&lt;42826),IF(Table1[Date of Last Assessment]="",Table1[Social Networks and Relationships],Table1[Social Networks and Relationships2]),""))</f>
        <v/>
      </c>
      <c r="GI409" s="44" t="str">
        <f>IF(Table1[Leaving Date]="","",IF(AND(Table1[Leaving Date]&gt;42460,Table1[Leaving Date]&lt;42826),IF(Table1[Date of Last Assessment]="",Table1[Drug and Alcohol Misuse],Table1[Drug and Alcohol Misuse2]),""))</f>
        <v/>
      </c>
      <c r="GJ409" s="44" t="str">
        <f>IF(Table1[Leaving Date]="","",IF(AND(Table1[Leaving Date]&gt;42460,Table1[Leaving Date]&lt;42826),IF(Table1[Date of Last Assessment]="",Table1[Physical Health],Table1[Physical Health2]),""))</f>
        <v/>
      </c>
      <c r="GK409" s="44" t="str">
        <f>IF(Table1[Leaving Date]="","",IF(AND(Table1[Leaving Date]&gt;42460,Table1[Leaving Date]&lt;42826),IF(Table1[Date of Last Assessment]="",Table1[Emotional and Mental Health],Table1[Emotional and Mental Health2]),""))</f>
        <v/>
      </c>
      <c r="GL409" s="44" t="str">
        <f>IF(Table1[Leaving Date]="","",IF(AND(Table1[Leaving Date]&gt;42460,Table1[Leaving Date]&lt;42826),IF(Table1[Date of Last Assessment]="",Table1[Meaningful Use of Time],Table1[Meaningful Use of Time2]),""))</f>
        <v/>
      </c>
      <c r="GM409" s="44" t="str">
        <f>IF(Table1[Leaving Date]="","",IF(AND(Table1[Leaving Date]&gt;42460,Table1[Leaving Date]&lt;42826),IF(Table1[Date of Last Assessment]="",Table1[Managing Tenancy and Accommodation],Table1[Managing Tenancy and Accommodation2]),""))</f>
        <v/>
      </c>
      <c r="GN409" s="44" t="str">
        <f>IF(Table1[Leaving Date]="","",IF(AND(Table1[Leaving Date]&gt;42460,Table1[Leaving Date]&lt;42826),IF(Table1[Date of Last Assessment]="",Table1[Offending],Table1[Offending2]),""))</f>
        <v/>
      </c>
    </row>
    <row r="410" spans="2:196" ht="20.100000000000001" customHeight="1" x14ac:dyDescent="0.2">
      <c r="B410" s="86">
        <f>+'Service Data'!$C$5:$C$5</f>
        <v>0</v>
      </c>
      <c r="C410" s="86"/>
      <c r="D410" s="86"/>
      <c r="E410" s="86"/>
      <c r="F410" s="86"/>
      <c r="G410" s="86"/>
      <c r="H410" s="6"/>
      <c r="I410" s="99" t="str">
        <f ca="1">IF(Table1[[#This Row],[Date of Birth]]="","",SUM(TODAY()-Table1[[#This Row],[Date of Birth]])/365)</f>
        <v/>
      </c>
      <c r="L410" s="86"/>
      <c r="M410" s="77"/>
      <c r="N410" s="86"/>
      <c r="O410" s="86"/>
      <c r="P410" s="91"/>
      <c r="Q410" s="86"/>
      <c r="R410" s="77"/>
      <c r="S410" s="77"/>
      <c r="T410" s="68"/>
      <c r="U410" s="68"/>
      <c r="V410" s="67"/>
      <c r="W410" s="67"/>
      <c r="X410" s="67"/>
      <c r="Y410" s="67"/>
      <c r="Z410" s="67"/>
      <c r="AA410" s="67"/>
      <c r="AB410" s="67"/>
      <c r="AC410" s="67"/>
      <c r="AD410" s="67"/>
      <c r="AE410" s="67"/>
      <c r="AF410" s="67"/>
      <c r="AG410" s="67"/>
      <c r="AH410" s="67"/>
      <c r="AI410" s="67"/>
      <c r="AJ410" s="67"/>
      <c r="AK410" s="67"/>
      <c r="AL410" s="67"/>
      <c r="AM410" s="67"/>
      <c r="AN410" s="77"/>
      <c r="AO410" s="76"/>
      <c r="AP410" s="77"/>
      <c r="AQ410" s="76"/>
      <c r="AR410" s="76"/>
      <c r="AS410" s="76"/>
      <c r="AT410" s="76"/>
      <c r="AU410" s="76"/>
      <c r="AV410" s="77"/>
      <c r="AW410" s="76"/>
      <c r="AX410" s="77"/>
      <c r="AY410" s="76"/>
      <c r="AZ410" s="76"/>
      <c r="BA410" s="76"/>
      <c r="BB410" s="76"/>
      <c r="BC410" s="76"/>
      <c r="BD410" s="77"/>
      <c r="BE410" s="76"/>
      <c r="BF410" s="77"/>
      <c r="BG410" s="76"/>
      <c r="BH410" s="76"/>
      <c r="BI410" s="76"/>
      <c r="BJ410" s="76"/>
      <c r="BK410" s="76"/>
      <c r="BL410" s="77"/>
      <c r="BM410" s="76"/>
      <c r="BN410" s="77"/>
      <c r="BO410" s="76"/>
      <c r="BP410" s="76"/>
      <c r="BQ410" s="76"/>
      <c r="BR410" s="76"/>
      <c r="BS410" s="76"/>
      <c r="BT410" s="77"/>
      <c r="BU410" s="76"/>
      <c r="BV410" s="77"/>
      <c r="BW410" s="76"/>
      <c r="BX410" s="76"/>
      <c r="BY410" s="76"/>
      <c r="BZ410" s="76"/>
      <c r="CA410" s="76"/>
      <c r="CB410" s="77"/>
      <c r="CC410" s="76"/>
      <c r="CD410" s="77"/>
      <c r="CE410" s="76"/>
      <c r="CF410" s="76"/>
      <c r="CG410" s="76"/>
      <c r="CH410" s="76"/>
      <c r="CI410" s="76"/>
      <c r="CJ410" s="77"/>
      <c r="CK410" s="76"/>
      <c r="CL410" s="77"/>
      <c r="CM410" s="76"/>
      <c r="CN410" s="76"/>
      <c r="CO410" s="76"/>
      <c r="CP410" s="76"/>
      <c r="CQ410" s="76"/>
      <c r="CR410" s="78" t="str">
        <f t="shared" si="111"/>
        <v/>
      </c>
      <c r="CS410" s="79" t="str">
        <f t="shared" si="112"/>
        <v/>
      </c>
      <c r="CT410" s="79" t="str">
        <f t="shared" si="113"/>
        <v/>
      </c>
      <c r="CU410" s="79" t="str">
        <f t="shared" si="114"/>
        <v/>
      </c>
      <c r="CV410" s="79" t="str">
        <f t="shared" si="115"/>
        <v/>
      </c>
      <c r="CW410" s="79" t="str">
        <f t="shared" si="116"/>
        <v/>
      </c>
      <c r="CX410" s="79" t="str">
        <f t="shared" si="117"/>
        <v/>
      </c>
      <c r="CY410" s="79" t="str">
        <f t="shared" si="118"/>
        <v/>
      </c>
      <c r="CZ410" s="79" t="str">
        <f t="shared" si="119"/>
        <v/>
      </c>
      <c r="DA410" s="79" t="str">
        <f t="shared" si="120"/>
        <v/>
      </c>
      <c r="DB410" s="79" t="str">
        <f t="shared" si="121"/>
        <v/>
      </c>
      <c r="DC410" s="79" t="str">
        <f t="shared" si="122"/>
        <v/>
      </c>
      <c r="DD410" s="79" t="str">
        <f t="shared" si="123"/>
        <v/>
      </c>
      <c r="DE410" s="79" t="str">
        <f t="shared" si="124"/>
        <v/>
      </c>
      <c r="DF410" s="79" t="str">
        <f t="shared" si="125"/>
        <v/>
      </c>
      <c r="DG410" s="79" t="str">
        <f t="shared" si="126"/>
        <v/>
      </c>
      <c r="DH410" s="76"/>
      <c r="DI410" s="78"/>
      <c r="DJ410" s="76"/>
      <c r="DK410" s="77"/>
      <c r="DL410" s="77"/>
      <c r="DM410" s="77"/>
      <c r="DN410" s="80"/>
      <c r="DO410" s="80"/>
      <c r="DP410" s="92" t="str">
        <f>IF(Table1[Start Date]="","",IF(Table1[Start Date]&gt;42185,"",IF(AND(Table1[Leaving Date]&gt;1,Table1[Leaving Date]&lt;42095),"",1)))</f>
        <v/>
      </c>
      <c r="DQ410" s="92" t="str">
        <f>IF(Table1[Start Date]="","",IF(Table1[Start Date]&gt;42277,"",IF(AND(Table1[Leaving Date]&gt;1,Table1[Leaving Date]&lt;42186),"",1)))</f>
        <v/>
      </c>
      <c r="DR410" s="92" t="str">
        <f>IF(Table1[Start Date]="","",IF(Table1[Start Date]&gt;42369,"",IF(AND(Table1[Leaving Date]&gt;1,Table1[Leaving Date]&lt;42278),"",1)))</f>
        <v/>
      </c>
      <c r="DS410" s="92" t="str">
        <f>IF(Table1[Start Date]="","",IF(Table1[Start Date]&gt;42460,"",IF(AND(Table1[Leaving Date]&gt;1,Table1[Leaving Date]&lt;42370),"",1)))</f>
        <v/>
      </c>
      <c r="DT410" s="92" t="str">
        <f>IF(Table1[Start Date]="","",IF(Table1[Start Date]&gt;42551,"",IF(AND(Table1[Leaving Date]&gt;1,Table1[Leaving Date]&lt;42461),"",1)))</f>
        <v/>
      </c>
      <c r="DU410" s="92" t="str">
        <f>IF(Table1[Start Date]="","",IF(Table1[Start Date]&gt;42643,"",IF(AND(Table1[Leaving Date]&gt;1,Table1[Leaving Date]&lt;42552),"",1)))</f>
        <v/>
      </c>
      <c r="DV410" s="92" t="str">
        <f>IF(Table1[Start Date]="","",IF(Table1[Start Date]&gt;42735,"",IF(AND(Table1[Leaving Date]&gt;1,Table1[Leaving Date]&lt;42644),"",1)))</f>
        <v/>
      </c>
      <c r="DW410" s="92" t="str">
        <f>IF(Table1[Start Date]="","",IF(Table1[Start Date]&gt;42825,"",IF(AND(Table1[Leaving Date]&gt;1,Table1[Leaving Date]&lt;42736),"",1)))</f>
        <v/>
      </c>
      <c r="DX410"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410" s="44" t="e">
        <f>VLOOKUP(Table1[Referral Source],Lists!$G$2:$H$20,2,FALSE)</f>
        <v>#N/A</v>
      </c>
      <c r="DZ410" s="93" t="e">
        <f>SUM(Table1[Data Referral Quarter]+Table1[Data Referral Source])</f>
        <v>#N/A</v>
      </c>
      <c r="EA410" s="44" t="b">
        <f>IF(Table1[Referral Decision]="Accepted",100,IF(Table1[Referral Decision]="Rejected by Provider",200,IF(Table1[Referral Decision]="Rejected by Applicant",300)))</f>
        <v>0</v>
      </c>
      <c r="EB410" s="44">
        <f>SUM(Table1[Data Referral Quarter]+Table1[Data Referral Decision])</f>
        <v>0</v>
      </c>
      <c r="EC410" s="44" t="b">
        <f>IF(Table1[Start Date]&gt;42735,8000,IF(Table1[Start Date]&gt;42643,7000,IF(Table1[Start Date]&gt;42551,6000,IF(Table1[Start Date]&gt;42460,5000,IF(Table1[Start Date]&gt;42369,4000,IF(Table1[Start Date]&gt;42277,3000,IF(Table1[Start Date]&gt;42185,2000,IF(Table1[Start Date]&gt;42094,1000))))))))</f>
        <v>0</v>
      </c>
      <c r="ED410" s="44" t="str">
        <f>IF(Table1[Start Date]="","",IF(Table1[Current Local Authority]="Swindon",1,"2"))</f>
        <v/>
      </c>
      <c r="EE410" s="44" t="e">
        <f>SUM(Table1[Data Start Date]+Table1[Data Local Authority])</f>
        <v>#VALUE!</v>
      </c>
      <c r="EF410" s="44">
        <f>IF(Table1[Registered with GP]="Yes",1,0)</f>
        <v>0</v>
      </c>
      <c r="EG410" s="44">
        <f>SUM(Table1[Data Start Date]+Table1[Data GP Start])</f>
        <v>0</v>
      </c>
      <c r="EH410" s="44" t="str">
        <f>IF(Table1[EET]="NEET",1,IF(Table1[EET]="Education",2,IF(Table1[EET]="Employment",2,IF(Table1[EET]="Training",2,IF(Table1[EET]="Retired",3,"")))))</f>
        <v/>
      </c>
      <c r="EI410" s="44" t="e">
        <f>Table1[Data Start Date]+Table1[Data EET Start]</f>
        <v>#VALUE!</v>
      </c>
      <c r="EJ410" s="44" t="b">
        <f>IF(Table1[Leaving Date]&gt;42735,8000,IF(Table1[Leaving Date]&gt;42643,7000,IF(Table1[Leaving Date]&gt;42551,6000,IF(Table1[Leaving Date]&gt;42460,5000,IF(Table1[Leaving Date]&gt;42369,4000,IF(Table1[Leaving Date]&gt;42277,3000,IF(Table1[Leaving Date]&gt;42185,2000,IF(Table1[Leaving Date]&gt;42094,1000))))))))</f>
        <v>0</v>
      </c>
      <c r="EK410" s="44" t="e">
        <f>VLOOKUP(Table1[Reason for Leaving],Lists!$T$2:$U$15,2,FALSE)</f>
        <v>#N/A</v>
      </c>
      <c r="EL410" s="44" t="e">
        <f>SUM(Table1[Data Leavers Date]+Table1[Data Move On])</f>
        <v>#N/A</v>
      </c>
      <c r="EM410" s="44" t="b">
        <f>IF(Table1[Registered with GP2]="Yes",1,IF(Table1[Registered with GP2]="No",0,IF(Table1[Registered with GP]="Yes",1,IF(Table1[Registered with GP]="No",0))))</f>
        <v>0</v>
      </c>
      <c r="EN410" s="44">
        <f>SUM(Table1[Data Leavers Date]+Table1[Data GP End])</f>
        <v>0</v>
      </c>
      <c r="EO410" s="44" t="str">
        <f>IF(Table1[EET2]="NEET",1,IF(Table1[EET2]="Employment",2,IF(Table1[EET2]="Education",2,IF(Table1[EET2]="Training",2,IF(Table1[EET2]="Retired",3,IF(Table1[EET]="NEET",1,IF(Table1[EET]="Employment",2,IF(Table1[EET]="Education",2,IF(Table1[EET]="Training",2,IF(Table1[EET]="Retired",3,""))))))))))</f>
        <v/>
      </c>
      <c r="EP410" s="44" t="e">
        <f>+Table1[[#This Row],[Data Leavers Date]]+Table1[[#This Row],[Data EET End]]</f>
        <v>#VALUE!</v>
      </c>
      <c r="EQ410" s="44">
        <f>IF(Table1[Exit Form Received]="Yes",1,0)</f>
        <v>0</v>
      </c>
      <c r="ER410" s="44">
        <f>+Table1[[#This Row],[Data Leavers Date]]+Table1[[#This Row],[Data Exit Forms]]</f>
        <v>0</v>
      </c>
      <c r="ES410" s="44" t="str">
        <f>IF(Table1[Data Leavers Date]=1000,SUM(Table1[Leaving Date]-Table1[Start Date]),"")</f>
        <v/>
      </c>
      <c r="ET410" s="44" t="str">
        <f>IF(Table1[Data Leavers Date]=2000,SUM(Table1[Leaving Date]-Table1[Start Date]),"")</f>
        <v/>
      </c>
      <c r="EU410" s="44" t="str">
        <f>IF(Table1[Data Leavers Date]=3000,SUM(Table1[Leaving Date]-Table1[Start Date]),"")</f>
        <v/>
      </c>
      <c r="EV410" s="44" t="str">
        <f>IF(Table1[Data Leavers Date]=4000,SUM(Table1[Leaving Date]-Table1[Start Date]),"")</f>
        <v/>
      </c>
      <c r="EW410" s="44" t="str">
        <f>IF(Table1[Data Leavers Date]=5000,SUM(Table1[Leaving Date]-Table1[Start Date]),"")</f>
        <v/>
      </c>
      <c r="EX410" s="44" t="str">
        <f>IF(Table1[Data Leavers Date]=6000,SUM(Table1[Leaving Date]-Table1[Start Date]),"")</f>
        <v/>
      </c>
      <c r="EY410" s="44" t="str">
        <f>IF(Table1[Data Leavers Date]=7000,SUM(Table1[Leaving Date]-Table1[Start Date]),"")</f>
        <v/>
      </c>
      <c r="EZ410" s="44" t="str">
        <f>IF(Table1[Data Leavers Date]=8000,SUM(Table1[Leaving Date]-Table1[Start Date]),"")</f>
        <v/>
      </c>
      <c r="FA410" s="44" t="str">
        <f>IF(Table1[Date of Initial Assessment]="","",IF(AND(Table1[Start Date]&gt;42094,Table1[Start Date]&lt;42461),Table1[Motivation and Taking Responsibility],""))</f>
        <v/>
      </c>
      <c r="FB410" s="44" t="str">
        <f>IF(Table1[Date of Initial Assessment]="","",IF(AND(Table1[Start Date]&gt;42094,Table1[Start Date]&lt;42461),Table1[Self-Care and Living Skills],""))</f>
        <v/>
      </c>
      <c r="FC410" s="44" t="str">
        <f>IF(Table1[Date of Initial Assessment]="","",IF(AND(Table1[Start Date]&gt;42094,Table1[Start Date]&lt;42461),Table1[Managing Money and Personal Administration],""))</f>
        <v/>
      </c>
      <c r="FD410" s="44" t="str">
        <f>IF(Table1[Date of Initial Assessment]="","",IF(AND(Table1[Start Date]&gt;42094,Table1[Start Date]&lt;42461),Table1[Social Networks and Relationships],""))</f>
        <v/>
      </c>
      <c r="FE410" s="44" t="str">
        <f>IF(Table1[Date of Initial Assessment]="","",IF(AND(Table1[Start Date]&gt;42094,Table1[Start Date]&lt;42461),Table1[Drug and Alcohol Misuse],""))</f>
        <v/>
      </c>
      <c r="FF410" s="44" t="str">
        <f>IF(Table1[Date of Initial Assessment]="","",IF(AND(Table1[Start Date]&gt;42094,Table1[Start Date]&lt;42461),Table1[Physical Health],""))</f>
        <v/>
      </c>
      <c r="FG410" s="44" t="str">
        <f>IF(Table1[Date of Initial Assessment]="","",IF(AND(Table1[Start Date]&gt;42094,Table1[Start Date]&lt;42461),Table1[Emotional and Mental Health],""))</f>
        <v/>
      </c>
      <c r="FH410" s="44" t="str">
        <f>IF(Table1[Date of Initial Assessment]="","",IF(AND(Table1[Start Date]&gt;42094,Table1[Start Date]&lt;42461),Table1[Meaningful Use of Time],""))</f>
        <v/>
      </c>
      <c r="FI410" s="44" t="str">
        <f>IF(Table1[Date of Initial Assessment]="","",IF(AND(Table1[Start Date]&gt;42094,Table1[Start Date]&lt;42461),Table1[Managing Tenancy and Accommodation],""))</f>
        <v/>
      </c>
      <c r="FJ410" s="44" t="str">
        <f>IF(Table1[Date of Initial Assessment]="","",IF(AND(Table1[Start Date]&gt;42094,Table1[Start Date]&lt;42461),Table1[Offending],""))</f>
        <v/>
      </c>
      <c r="FK410" s="44" t="str">
        <f>IF(Table1[Leaving Date]="","",IF(Table1[Date of Initial Assessment]="","",IF(AND(Table1[Leaving Date]&gt;42094,Table1[Leaving Date]&lt;42461),IF(Table1[Date of Last Assessment]="",Table1[Motivation and Taking Responsibility],Table1[Motivation and Taking Responsibility2]),"")))</f>
        <v/>
      </c>
      <c r="FL410" s="44" t="str">
        <f>IF(Table1[Leaving Date]="","",IF(Table1[Date of Initial Assessment]="","",IF(AND(Table1[Leaving Date]&gt;42094,Table1[Leaving Date]&lt;42461),IF(Table1[Date of Last Assessment]="",Table1[Self-Care and Living Skills],Table1[Self-Care and Living Skills2]),"")))</f>
        <v/>
      </c>
      <c r="FM410" s="44" t="str">
        <f>IF(Table1[Leaving Date]="","",IF(Table1[Date of Initial Assessment]="","",IF(AND(Table1[Leaving Date]&gt;42094,Table1[Leaving Date]&lt;42461),IF(Table1[Date of Last Assessment]="",Table1[Managing Money and Personal Administration],Table1[Managing Money and Personal Administration2]),"")))</f>
        <v/>
      </c>
      <c r="FN410" s="44" t="str">
        <f>IF(Table1[Leaving Date]="","",IF(Table1[Date of Initial Assessment]="","",IF(AND(Table1[Leaving Date]&gt;42094,Table1[Leaving Date]&lt;42461),IF(Table1[Date of Last Assessment]="",Table1[Social Networks and Relationships],Table1[Social Networks and Relationships2]),"")))</f>
        <v/>
      </c>
      <c r="FO410" s="44" t="str">
        <f>IF(Table1[Leaving Date]="","",IF(Table1[Date of Initial Assessment]="","",IF(AND(Table1[Leaving Date]&gt;42094,Table1[Leaving Date]&lt;42461),IF(Table1[Date of Last Assessment]="",Table1[Drug and Alcohol Misuse],Table1[Drug and Alcohol Misuse2]),"")))</f>
        <v/>
      </c>
      <c r="FP410" s="44" t="str">
        <f>IF(Table1[Leaving Date]="","",IF(Table1[Date of Initial Assessment]="","",IF(AND(Table1[Leaving Date]&gt;42094,Table1[Leaving Date]&lt;42461),IF(Table1[Date of Last Assessment]="",Table1[Physical Health],Table1[Physical Health2]),"")))</f>
        <v/>
      </c>
      <c r="FQ410" s="44" t="str">
        <f>IF(Table1[Leaving Date]="","",IF(Table1[Date of Initial Assessment]="","",IF(AND(Table1[Leaving Date]&gt;42094,Table1[Leaving Date]&lt;42461),IF(Table1[Date of Last Assessment]="",Table1[Emotional and Mental Health],Table1[Emotional and Mental Health2]),"")))</f>
        <v/>
      </c>
      <c r="FR410" s="44" t="str">
        <f>IF(Table1[Leaving Date]="","",IF(Table1[Date of Initial Assessment]="","",IF(AND(Table1[Leaving Date]&gt;42094,Table1[Leaving Date]&lt;42461),IF(Table1[Date of Last Assessment]="",Table1[Meaningful Use of Time],Table1[Meaningful Use of Time2]),"")))</f>
        <v/>
      </c>
      <c r="FS410" s="44" t="str">
        <f>IF(Table1[Leaving Date]="","",IF(Table1[Date of Initial Assessment]="","",IF(AND(Table1[Leaving Date]&gt;42094,Table1[Leaving Date]&lt;42461),IF(Table1[Date of Last Assessment]="",Table1[Managing Tenancy and Accommodation],Table1[Managing Tenancy and Accommodation2]),"")))</f>
        <v/>
      </c>
      <c r="FT410" s="44" t="str">
        <f>IF(Table1[Leaving Date]="","",IF(Table1[Date of Initial Assessment]="","",IF(AND(Table1[Leaving Date]&gt;42094,Table1[Leaving Date]&lt;42461),IF(Table1[Date of Last Assessment]="",Table1[Offending],Table1[Offending2]),"")))</f>
        <v/>
      </c>
      <c r="FU410" s="44" t="str">
        <f>IF(Table1[Date of Initial Assessment]="","",IF(AND(Table1[Start Date]&gt;42460,Table1[Start Date]&lt;42826),Table1[Motivation and Taking Responsibility],""))</f>
        <v/>
      </c>
      <c r="FV410" s="44" t="str">
        <f>IF(Table1[Date of Initial Assessment]="","",IF(AND(Table1[Start Date]&gt;42460,Table1[Start Date]&lt;42826),Table1[Self-Care and Living Skills],""))</f>
        <v/>
      </c>
      <c r="FW410" s="44" t="str">
        <f>IF(Table1[Date of Initial Assessment]="","",IF(AND(Table1[Start Date]&gt;42460,Table1[Start Date]&lt;42826),Table1[Managing Money and Personal Administration],""))</f>
        <v/>
      </c>
      <c r="FX410" s="44" t="str">
        <f>IF(Table1[Date of Initial Assessment]="","",IF(AND(Table1[Start Date]&gt;42460,Table1[Start Date]&lt;42826),Table1[Social Networks and Relationships],""))</f>
        <v/>
      </c>
      <c r="FY410" s="44" t="str">
        <f>IF(Table1[Date of Initial Assessment]="","",IF(AND(Table1[Start Date]&gt;42460,Table1[Start Date]&lt;42826),Table1[Drug and Alcohol Misuse],""))</f>
        <v/>
      </c>
      <c r="FZ410" s="44" t="str">
        <f>IF(Table1[Date of Initial Assessment]="","",IF(AND(Table1[Start Date]&gt;42460,Table1[Start Date]&lt;42826),Table1[Physical Health],""))</f>
        <v/>
      </c>
      <c r="GA410" s="44" t="str">
        <f>IF(Table1[Date of Initial Assessment]="","",IF(AND(Table1[Start Date]&gt;42460,Table1[Start Date]&lt;42826),Table1[Emotional and Mental Health],""))</f>
        <v/>
      </c>
      <c r="GB410" s="44" t="str">
        <f>IF(Table1[Date of Initial Assessment]="","",IF(AND(Table1[Start Date]&gt;42460,Table1[Start Date]&lt;42826),Table1[Meaningful Use of Time],""))</f>
        <v/>
      </c>
      <c r="GC410" s="44" t="str">
        <f>IF(Table1[Date of Initial Assessment]="","",IF(AND(Table1[Start Date]&gt;42460,Table1[Start Date]&lt;42826),Table1[Managing Tenancy and Accommodation],""))</f>
        <v/>
      </c>
      <c r="GD410" s="44" t="str">
        <f>IF(Table1[Date of Initial Assessment]="","",IF(AND(Table1[Start Date]&gt;42460,Table1[Start Date]&lt;42826),Table1[Offending],""))</f>
        <v/>
      </c>
      <c r="GE410" s="44" t="str">
        <f>IF(Table1[Leaving Date]="","",IF(AND(Table1[Leaving Date]&gt;42460,Table1[Leaving Date]&lt;42826),IF(Table1[Date of Last Assessment]="",Table1[Motivation and Taking Responsibility],Table1[Motivation and Taking Responsibility2]),""))</f>
        <v/>
      </c>
      <c r="GF410" s="44" t="str">
        <f>IF(Table1[Leaving Date]="","",IF(AND(Table1[Leaving Date]&gt;42460,Table1[Leaving Date]&lt;42826),IF(Table1[Date of Last Assessment]="",Table1[Self-Care and Living Skills],Table1[Self-Care and Living Skills2]),""))</f>
        <v/>
      </c>
      <c r="GG410" s="44" t="str">
        <f>IF(Table1[Leaving Date]="","",IF(AND(Table1[Leaving Date]&gt;42460,Table1[Leaving Date]&lt;42826),IF(Table1[Date of Last Assessment]="",Table1[Managing Money and Personal Administration],Table1[Managing Money and Personal Administration2]),""))</f>
        <v/>
      </c>
      <c r="GH410" s="44" t="str">
        <f>IF(Table1[Leaving Date]="","",IF(AND(Table1[Leaving Date]&gt;42460,Table1[Leaving Date]&lt;42826),IF(Table1[Date of Last Assessment]="",Table1[Social Networks and Relationships],Table1[Social Networks and Relationships2]),""))</f>
        <v/>
      </c>
      <c r="GI410" s="44" t="str">
        <f>IF(Table1[Leaving Date]="","",IF(AND(Table1[Leaving Date]&gt;42460,Table1[Leaving Date]&lt;42826),IF(Table1[Date of Last Assessment]="",Table1[Drug and Alcohol Misuse],Table1[Drug and Alcohol Misuse2]),""))</f>
        <v/>
      </c>
      <c r="GJ410" s="44" t="str">
        <f>IF(Table1[Leaving Date]="","",IF(AND(Table1[Leaving Date]&gt;42460,Table1[Leaving Date]&lt;42826),IF(Table1[Date of Last Assessment]="",Table1[Physical Health],Table1[Physical Health2]),""))</f>
        <v/>
      </c>
      <c r="GK410" s="44" t="str">
        <f>IF(Table1[Leaving Date]="","",IF(AND(Table1[Leaving Date]&gt;42460,Table1[Leaving Date]&lt;42826),IF(Table1[Date of Last Assessment]="",Table1[Emotional and Mental Health],Table1[Emotional and Mental Health2]),""))</f>
        <v/>
      </c>
      <c r="GL410" s="44" t="str">
        <f>IF(Table1[Leaving Date]="","",IF(AND(Table1[Leaving Date]&gt;42460,Table1[Leaving Date]&lt;42826),IF(Table1[Date of Last Assessment]="",Table1[Meaningful Use of Time],Table1[Meaningful Use of Time2]),""))</f>
        <v/>
      </c>
      <c r="GM410" s="44" t="str">
        <f>IF(Table1[Leaving Date]="","",IF(AND(Table1[Leaving Date]&gt;42460,Table1[Leaving Date]&lt;42826),IF(Table1[Date of Last Assessment]="",Table1[Managing Tenancy and Accommodation],Table1[Managing Tenancy and Accommodation2]),""))</f>
        <v/>
      </c>
      <c r="GN410" s="44" t="str">
        <f>IF(Table1[Leaving Date]="","",IF(AND(Table1[Leaving Date]&gt;42460,Table1[Leaving Date]&lt;42826),IF(Table1[Date of Last Assessment]="",Table1[Offending],Table1[Offending2]),""))</f>
        <v/>
      </c>
    </row>
    <row r="411" spans="2:196" ht="20.100000000000001" customHeight="1" x14ac:dyDescent="0.2">
      <c r="B411" s="86">
        <f>+'Service Data'!$C$5:$C$5</f>
        <v>0</v>
      </c>
      <c r="C411" s="86"/>
      <c r="D411" s="86"/>
      <c r="E411" s="86"/>
      <c r="F411" s="86"/>
      <c r="G411" s="86"/>
      <c r="H411" s="6"/>
      <c r="I411" s="99" t="str">
        <f ca="1">IF(Table1[[#This Row],[Date of Birth]]="","",SUM(TODAY()-Table1[[#This Row],[Date of Birth]])/365)</f>
        <v/>
      </c>
      <c r="L411" s="86"/>
      <c r="M411" s="77"/>
      <c r="N411" s="86"/>
      <c r="O411" s="86"/>
      <c r="P411" s="91"/>
      <c r="Q411" s="86"/>
      <c r="R411" s="77"/>
      <c r="S411" s="77"/>
      <c r="T411" s="68"/>
      <c r="U411" s="68"/>
      <c r="V411" s="67"/>
      <c r="W411" s="67"/>
      <c r="X411" s="67"/>
      <c r="Y411" s="67"/>
      <c r="Z411" s="67"/>
      <c r="AA411" s="67"/>
      <c r="AB411" s="67"/>
      <c r="AC411" s="67"/>
      <c r="AD411" s="67"/>
      <c r="AE411" s="67"/>
      <c r="AF411" s="67"/>
      <c r="AG411" s="67"/>
      <c r="AH411" s="67"/>
      <c r="AI411" s="67"/>
      <c r="AJ411" s="67"/>
      <c r="AK411" s="67"/>
      <c r="AL411" s="67"/>
      <c r="AM411" s="67"/>
      <c r="AN411" s="77"/>
      <c r="AO411" s="76"/>
      <c r="AP411" s="77"/>
      <c r="AQ411" s="76"/>
      <c r="AR411" s="76"/>
      <c r="AS411" s="76"/>
      <c r="AT411" s="76"/>
      <c r="AU411" s="76"/>
      <c r="AV411" s="77"/>
      <c r="AW411" s="76"/>
      <c r="AX411" s="77"/>
      <c r="AY411" s="76"/>
      <c r="AZ411" s="76"/>
      <c r="BA411" s="76"/>
      <c r="BB411" s="76"/>
      <c r="BC411" s="76"/>
      <c r="BD411" s="77"/>
      <c r="BE411" s="76"/>
      <c r="BF411" s="77"/>
      <c r="BG411" s="76"/>
      <c r="BH411" s="76"/>
      <c r="BI411" s="76"/>
      <c r="BJ411" s="76"/>
      <c r="BK411" s="76"/>
      <c r="BL411" s="77"/>
      <c r="BM411" s="76"/>
      <c r="BN411" s="77"/>
      <c r="BO411" s="76"/>
      <c r="BP411" s="76"/>
      <c r="BQ411" s="76"/>
      <c r="BR411" s="76"/>
      <c r="BS411" s="76"/>
      <c r="BT411" s="77"/>
      <c r="BU411" s="76"/>
      <c r="BV411" s="77"/>
      <c r="BW411" s="76"/>
      <c r="BX411" s="76"/>
      <c r="BY411" s="76"/>
      <c r="BZ411" s="76"/>
      <c r="CA411" s="76"/>
      <c r="CB411" s="77"/>
      <c r="CC411" s="76"/>
      <c r="CD411" s="77"/>
      <c r="CE411" s="76"/>
      <c r="CF411" s="76"/>
      <c r="CG411" s="76"/>
      <c r="CH411" s="76"/>
      <c r="CI411" s="76"/>
      <c r="CJ411" s="77"/>
      <c r="CK411" s="76"/>
      <c r="CL411" s="77"/>
      <c r="CM411" s="76"/>
      <c r="CN411" s="76"/>
      <c r="CO411" s="76"/>
      <c r="CP411" s="76"/>
      <c r="CQ411" s="76"/>
      <c r="CR411" s="78" t="str">
        <f t="shared" si="111"/>
        <v/>
      </c>
      <c r="CS411" s="79" t="str">
        <f t="shared" si="112"/>
        <v/>
      </c>
      <c r="CT411" s="79" t="str">
        <f t="shared" si="113"/>
        <v/>
      </c>
      <c r="CU411" s="79" t="str">
        <f t="shared" si="114"/>
        <v/>
      </c>
      <c r="CV411" s="79" t="str">
        <f t="shared" si="115"/>
        <v/>
      </c>
      <c r="CW411" s="79" t="str">
        <f t="shared" si="116"/>
        <v/>
      </c>
      <c r="CX411" s="79" t="str">
        <f t="shared" si="117"/>
        <v/>
      </c>
      <c r="CY411" s="79" t="str">
        <f t="shared" si="118"/>
        <v/>
      </c>
      <c r="CZ411" s="79" t="str">
        <f t="shared" si="119"/>
        <v/>
      </c>
      <c r="DA411" s="79" t="str">
        <f t="shared" si="120"/>
        <v/>
      </c>
      <c r="DB411" s="79" t="str">
        <f t="shared" si="121"/>
        <v/>
      </c>
      <c r="DC411" s="79" t="str">
        <f t="shared" si="122"/>
        <v/>
      </c>
      <c r="DD411" s="79" t="str">
        <f t="shared" si="123"/>
        <v/>
      </c>
      <c r="DE411" s="79" t="str">
        <f t="shared" si="124"/>
        <v/>
      </c>
      <c r="DF411" s="79" t="str">
        <f t="shared" si="125"/>
        <v/>
      </c>
      <c r="DG411" s="79" t="str">
        <f t="shared" si="126"/>
        <v/>
      </c>
      <c r="DH411" s="76"/>
      <c r="DI411" s="78"/>
      <c r="DJ411" s="76"/>
      <c r="DK411" s="77"/>
      <c r="DL411" s="77"/>
      <c r="DM411" s="77"/>
      <c r="DN411" s="80"/>
      <c r="DO411" s="80"/>
      <c r="DP411" s="92" t="str">
        <f>IF(Table1[Start Date]="","",IF(Table1[Start Date]&gt;42185,"",IF(AND(Table1[Leaving Date]&gt;1,Table1[Leaving Date]&lt;42095),"",1)))</f>
        <v/>
      </c>
      <c r="DQ411" s="92" t="str">
        <f>IF(Table1[Start Date]="","",IF(Table1[Start Date]&gt;42277,"",IF(AND(Table1[Leaving Date]&gt;1,Table1[Leaving Date]&lt;42186),"",1)))</f>
        <v/>
      </c>
      <c r="DR411" s="92" t="str">
        <f>IF(Table1[Start Date]="","",IF(Table1[Start Date]&gt;42369,"",IF(AND(Table1[Leaving Date]&gt;1,Table1[Leaving Date]&lt;42278),"",1)))</f>
        <v/>
      </c>
      <c r="DS411" s="92" t="str">
        <f>IF(Table1[Start Date]="","",IF(Table1[Start Date]&gt;42460,"",IF(AND(Table1[Leaving Date]&gt;1,Table1[Leaving Date]&lt;42370),"",1)))</f>
        <v/>
      </c>
      <c r="DT411" s="92" t="str">
        <f>IF(Table1[Start Date]="","",IF(Table1[Start Date]&gt;42551,"",IF(AND(Table1[Leaving Date]&gt;1,Table1[Leaving Date]&lt;42461),"",1)))</f>
        <v/>
      </c>
      <c r="DU411" s="92" t="str">
        <f>IF(Table1[Start Date]="","",IF(Table1[Start Date]&gt;42643,"",IF(AND(Table1[Leaving Date]&gt;1,Table1[Leaving Date]&lt;42552),"",1)))</f>
        <v/>
      </c>
      <c r="DV411" s="92" t="str">
        <f>IF(Table1[Start Date]="","",IF(Table1[Start Date]&gt;42735,"",IF(AND(Table1[Leaving Date]&gt;1,Table1[Leaving Date]&lt;42644),"",1)))</f>
        <v/>
      </c>
      <c r="DW411" s="92" t="str">
        <f>IF(Table1[Start Date]="","",IF(Table1[Start Date]&gt;42825,"",IF(AND(Table1[Leaving Date]&gt;1,Table1[Leaving Date]&lt;42736),"",1)))</f>
        <v/>
      </c>
      <c r="DX411"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411" s="44" t="e">
        <f>VLOOKUP(Table1[Referral Source],Lists!$G$2:$H$20,2,FALSE)</f>
        <v>#N/A</v>
      </c>
      <c r="DZ411" s="93" t="e">
        <f>SUM(Table1[Data Referral Quarter]+Table1[Data Referral Source])</f>
        <v>#N/A</v>
      </c>
      <c r="EA411" s="44" t="b">
        <f>IF(Table1[Referral Decision]="Accepted",100,IF(Table1[Referral Decision]="Rejected by Provider",200,IF(Table1[Referral Decision]="Rejected by Applicant",300)))</f>
        <v>0</v>
      </c>
      <c r="EB411" s="44">
        <f>SUM(Table1[Data Referral Quarter]+Table1[Data Referral Decision])</f>
        <v>0</v>
      </c>
      <c r="EC411" s="44" t="b">
        <f>IF(Table1[Start Date]&gt;42735,8000,IF(Table1[Start Date]&gt;42643,7000,IF(Table1[Start Date]&gt;42551,6000,IF(Table1[Start Date]&gt;42460,5000,IF(Table1[Start Date]&gt;42369,4000,IF(Table1[Start Date]&gt;42277,3000,IF(Table1[Start Date]&gt;42185,2000,IF(Table1[Start Date]&gt;42094,1000))))))))</f>
        <v>0</v>
      </c>
      <c r="ED411" s="44" t="str">
        <f>IF(Table1[Start Date]="","",IF(Table1[Current Local Authority]="Swindon",1,"2"))</f>
        <v/>
      </c>
      <c r="EE411" s="44" t="e">
        <f>SUM(Table1[Data Start Date]+Table1[Data Local Authority])</f>
        <v>#VALUE!</v>
      </c>
      <c r="EF411" s="44">
        <f>IF(Table1[Registered with GP]="Yes",1,0)</f>
        <v>0</v>
      </c>
      <c r="EG411" s="44">
        <f>SUM(Table1[Data Start Date]+Table1[Data GP Start])</f>
        <v>0</v>
      </c>
      <c r="EH411" s="44" t="str">
        <f>IF(Table1[EET]="NEET",1,IF(Table1[EET]="Education",2,IF(Table1[EET]="Employment",2,IF(Table1[EET]="Training",2,IF(Table1[EET]="Retired",3,"")))))</f>
        <v/>
      </c>
      <c r="EI411" s="44" t="e">
        <f>Table1[Data Start Date]+Table1[Data EET Start]</f>
        <v>#VALUE!</v>
      </c>
      <c r="EJ411" s="44" t="b">
        <f>IF(Table1[Leaving Date]&gt;42735,8000,IF(Table1[Leaving Date]&gt;42643,7000,IF(Table1[Leaving Date]&gt;42551,6000,IF(Table1[Leaving Date]&gt;42460,5000,IF(Table1[Leaving Date]&gt;42369,4000,IF(Table1[Leaving Date]&gt;42277,3000,IF(Table1[Leaving Date]&gt;42185,2000,IF(Table1[Leaving Date]&gt;42094,1000))))))))</f>
        <v>0</v>
      </c>
      <c r="EK411" s="44" t="e">
        <f>VLOOKUP(Table1[Reason for Leaving],Lists!$T$2:$U$15,2,FALSE)</f>
        <v>#N/A</v>
      </c>
      <c r="EL411" s="44" t="e">
        <f>SUM(Table1[Data Leavers Date]+Table1[Data Move On])</f>
        <v>#N/A</v>
      </c>
      <c r="EM411" s="44" t="b">
        <f>IF(Table1[Registered with GP2]="Yes",1,IF(Table1[Registered with GP2]="No",0,IF(Table1[Registered with GP]="Yes",1,IF(Table1[Registered with GP]="No",0))))</f>
        <v>0</v>
      </c>
      <c r="EN411" s="44">
        <f>SUM(Table1[Data Leavers Date]+Table1[Data GP End])</f>
        <v>0</v>
      </c>
      <c r="EO411" s="44" t="str">
        <f>IF(Table1[EET2]="NEET",1,IF(Table1[EET2]="Employment",2,IF(Table1[EET2]="Education",2,IF(Table1[EET2]="Training",2,IF(Table1[EET2]="Retired",3,IF(Table1[EET]="NEET",1,IF(Table1[EET]="Employment",2,IF(Table1[EET]="Education",2,IF(Table1[EET]="Training",2,IF(Table1[EET]="Retired",3,""))))))))))</f>
        <v/>
      </c>
      <c r="EP411" s="44" t="e">
        <f>+Table1[[#This Row],[Data Leavers Date]]+Table1[[#This Row],[Data EET End]]</f>
        <v>#VALUE!</v>
      </c>
      <c r="EQ411" s="44">
        <f>IF(Table1[Exit Form Received]="Yes",1,0)</f>
        <v>0</v>
      </c>
      <c r="ER411" s="44">
        <f>+Table1[[#This Row],[Data Leavers Date]]+Table1[[#This Row],[Data Exit Forms]]</f>
        <v>0</v>
      </c>
      <c r="ES411" s="44" t="str">
        <f>IF(Table1[Data Leavers Date]=1000,SUM(Table1[Leaving Date]-Table1[Start Date]),"")</f>
        <v/>
      </c>
      <c r="ET411" s="44" t="str">
        <f>IF(Table1[Data Leavers Date]=2000,SUM(Table1[Leaving Date]-Table1[Start Date]),"")</f>
        <v/>
      </c>
      <c r="EU411" s="44" t="str">
        <f>IF(Table1[Data Leavers Date]=3000,SUM(Table1[Leaving Date]-Table1[Start Date]),"")</f>
        <v/>
      </c>
      <c r="EV411" s="44" t="str">
        <f>IF(Table1[Data Leavers Date]=4000,SUM(Table1[Leaving Date]-Table1[Start Date]),"")</f>
        <v/>
      </c>
      <c r="EW411" s="44" t="str">
        <f>IF(Table1[Data Leavers Date]=5000,SUM(Table1[Leaving Date]-Table1[Start Date]),"")</f>
        <v/>
      </c>
      <c r="EX411" s="44" t="str">
        <f>IF(Table1[Data Leavers Date]=6000,SUM(Table1[Leaving Date]-Table1[Start Date]),"")</f>
        <v/>
      </c>
      <c r="EY411" s="44" t="str">
        <f>IF(Table1[Data Leavers Date]=7000,SUM(Table1[Leaving Date]-Table1[Start Date]),"")</f>
        <v/>
      </c>
      <c r="EZ411" s="44" t="str">
        <f>IF(Table1[Data Leavers Date]=8000,SUM(Table1[Leaving Date]-Table1[Start Date]),"")</f>
        <v/>
      </c>
      <c r="FA411" s="44" t="str">
        <f>IF(Table1[Date of Initial Assessment]="","",IF(AND(Table1[Start Date]&gt;42094,Table1[Start Date]&lt;42461),Table1[Motivation and Taking Responsibility],""))</f>
        <v/>
      </c>
      <c r="FB411" s="44" t="str">
        <f>IF(Table1[Date of Initial Assessment]="","",IF(AND(Table1[Start Date]&gt;42094,Table1[Start Date]&lt;42461),Table1[Self-Care and Living Skills],""))</f>
        <v/>
      </c>
      <c r="FC411" s="44" t="str">
        <f>IF(Table1[Date of Initial Assessment]="","",IF(AND(Table1[Start Date]&gt;42094,Table1[Start Date]&lt;42461),Table1[Managing Money and Personal Administration],""))</f>
        <v/>
      </c>
      <c r="FD411" s="44" t="str">
        <f>IF(Table1[Date of Initial Assessment]="","",IF(AND(Table1[Start Date]&gt;42094,Table1[Start Date]&lt;42461),Table1[Social Networks and Relationships],""))</f>
        <v/>
      </c>
      <c r="FE411" s="44" t="str">
        <f>IF(Table1[Date of Initial Assessment]="","",IF(AND(Table1[Start Date]&gt;42094,Table1[Start Date]&lt;42461),Table1[Drug and Alcohol Misuse],""))</f>
        <v/>
      </c>
      <c r="FF411" s="44" t="str">
        <f>IF(Table1[Date of Initial Assessment]="","",IF(AND(Table1[Start Date]&gt;42094,Table1[Start Date]&lt;42461),Table1[Physical Health],""))</f>
        <v/>
      </c>
      <c r="FG411" s="44" t="str">
        <f>IF(Table1[Date of Initial Assessment]="","",IF(AND(Table1[Start Date]&gt;42094,Table1[Start Date]&lt;42461),Table1[Emotional and Mental Health],""))</f>
        <v/>
      </c>
      <c r="FH411" s="44" t="str">
        <f>IF(Table1[Date of Initial Assessment]="","",IF(AND(Table1[Start Date]&gt;42094,Table1[Start Date]&lt;42461),Table1[Meaningful Use of Time],""))</f>
        <v/>
      </c>
      <c r="FI411" s="44" t="str">
        <f>IF(Table1[Date of Initial Assessment]="","",IF(AND(Table1[Start Date]&gt;42094,Table1[Start Date]&lt;42461),Table1[Managing Tenancy and Accommodation],""))</f>
        <v/>
      </c>
      <c r="FJ411" s="44" t="str">
        <f>IF(Table1[Date of Initial Assessment]="","",IF(AND(Table1[Start Date]&gt;42094,Table1[Start Date]&lt;42461),Table1[Offending],""))</f>
        <v/>
      </c>
      <c r="FK411" s="44" t="str">
        <f>IF(Table1[Leaving Date]="","",IF(Table1[Date of Initial Assessment]="","",IF(AND(Table1[Leaving Date]&gt;42094,Table1[Leaving Date]&lt;42461),IF(Table1[Date of Last Assessment]="",Table1[Motivation and Taking Responsibility],Table1[Motivation and Taking Responsibility2]),"")))</f>
        <v/>
      </c>
      <c r="FL411" s="44" t="str">
        <f>IF(Table1[Leaving Date]="","",IF(Table1[Date of Initial Assessment]="","",IF(AND(Table1[Leaving Date]&gt;42094,Table1[Leaving Date]&lt;42461),IF(Table1[Date of Last Assessment]="",Table1[Self-Care and Living Skills],Table1[Self-Care and Living Skills2]),"")))</f>
        <v/>
      </c>
      <c r="FM411" s="44" t="str">
        <f>IF(Table1[Leaving Date]="","",IF(Table1[Date of Initial Assessment]="","",IF(AND(Table1[Leaving Date]&gt;42094,Table1[Leaving Date]&lt;42461),IF(Table1[Date of Last Assessment]="",Table1[Managing Money and Personal Administration],Table1[Managing Money and Personal Administration2]),"")))</f>
        <v/>
      </c>
      <c r="FN411" s="44" t="str">
        <f>IF(Table1[Leaving Date]="","",IF(Table1[Date of Initial Assessment]="","",IF(AND(Table1[Leaving Date]&gt;42094,Table1[Leaving Date]&lt;42461),IF(Table1[Date of Last Assessment]="",Table1[Social Networks and Relationships],Table1[Social Networks and Relationships2]),"")))</f>
        <v/>
      </c>
      <c r="FO411" s="44" t="str">
        <f>IF(Table1[Leaving Date]="","",IF(Table1[Date of Initial Assessment]="","",IF(AND(Table1[Leaving Date]&gt;42094,Table1[Leaving Date]&lt;42461),IF(Table1[Date of Last Assessment]="",Table1[Drug and Alcohol Misuse],Table1[Drug and Alcohol Misuse2]),"")))</f>
        <v/>
      </c>
      <c r="FP411" s="44" t="str">
        <f>IF(Table1[Leaving Date]="","",IF(Table1[Date of Initial Assessment]="","",IF(AND(Table1[Leaving Date]&gt;42094,Table1[Leaving Date]&lt;42461),IF(Table1[Date of Last Assessment]="",Table1[Physical Health],Table1[Physical Health2]),"")))</f>
        <v/>
      </c>
      <c r="FQ411" s="44" t="str">
        <f>IF(Table1[Leaving Date]="","",IF(Table1[Date of Initial Assessment]="","",IF(AND(Table1[Leaving Date]&gt;42094,Table1[Leaving Date]&lt;42461),IF(Table1[Date of Last Assessment]="",Table1[Emotional and Mental Health],Table1[Emotional and Mental Health2]),"")))</f>
        <v/>
      </c>
      <c r="FR411" s="44" t="str">
        <f>IF(Table1[Leaving Date]="","",IF(Table1[Date of Initial Assessment]="","",IF(AND(Table1[Leaving Date]&gt;42094,Table1[Leaving Date]&lt;42461),IF(Table1[Date of Last Assessment]="",Table1[Meaningful Use of Time],Table1[Meaningful Use of Time2]),"")))</f>
        <v/>
      </c>
      <c r="FS411" s="44" t="str">
        <f>IF(Table1[Leaving Date]="","",IF(Table1[Date of Initial Assessment]="","",IF(AND(Table1[Leaving Date]&gt;42094,Table1[Leaving Date]&lt;42461),IF(Table1[Date of Last Assessment]="",Table1[Managing Tenancy and Accommodation],Table1[Managing Tenancy and Accommodation2]),"")))</f>
        <v/>
      </c>
      <c r="FT411" s="44" t="str">
        <f>IF(Table1[Leaving Date]="","",IF(Table1[Date of Initial Assessment]="","",IF(AND(Table1[Leaving Date]&gt;42094,Table1[Leaving Date]&lt;42461),IF(Table1[Date of Last Assessment]="",Table1[Offending],Table1[Offending2]),"")))</f>
        <v/>
      </c>
      <c r="FU411" s="44" t="str">
        <f>IF(Table1[Date of Initial Assessment]="","",IF(AND(Table1[Start Date]&gt;42460,Table1[Start Date]&lt;42826),Table1[Motivation and Taking Responsibility],""))</f>
        <v/>
      </c>
      <c r="FV411" s="44" t="str">
        <f>IF(Table1[Date of Initial Assessment]="","",IF(AND(Table1[Start Date]&gt;42460,Table1[Start Date]&lt;42826),Table1[Self-Care and Living Skills],""))</f>
        <v/>
      </c>
      <c r="FW411" s="44" t="str">
        <f>IF(Table1[Date of Initial Assessment]="","",IF(AND(Table1[Start Date]&gt;42460,Table1[Start Date]&lt;42826),Table1[Managing Money and Personal Administration],""))</f>
        <v/>
      </c>
      <c r="FX411" s="44" t="str">
        <f>IF(Table1[Date of Initial Assessment]="","",IF(AND(Table1[Start Date]&gt;42460,Table1[Start Date]&lt;42826),Table1[Social Networks and Relationships],""))</f>
        <v/>
      </c>
      <c r="FY411" s="44" t="str">
        <f>IF(Table1[Date of Initial Assessment]="","",IF(AND(Table1[Start Date]&gt;42460,Table1[Start Date]&lt;42826),Table1[Drug and Alcohol Misuse],""))</f>
        <v/>
      </c>
      <c r="FZ411" s="44" t="str">
        <f>IF(Table1[Date of Initial Assessment]="","",IF(AND(Table1[Start Date]&gt;42460,Table1[Start Date]&lt;42826),Table1[Physical Health],""))</f>
        <v/>
      </c>
      <c r="GA411" s="44" t="str">
        <f>IF(Table1[Date of Initial Assessment]="","",IF(AND(Table1[Start Date]&gt;42460,Table1[Start Date]&lt;42826),Table1[Emotional and Mental Health],""))</f>
        <v/>
      </c>
      <c r="GB411" s="44" t="str">
        <f>IF(Table1[Date of Initial Assessment]="","",IF(AND(Table1[Start Date]&gt;42460,Table1[Start Date]&lt;42826),Table1[Meaningful Use of Time],""))</f>
        <v/>
      </c>
      <c r="GC411" s="44" t="str">
        <f>IF(Table1[Date of Initial Assessment]="","",IF(AND(Table1[Start Date]&gt;42460,Table1[Start Date]&lt;42826),Table1[Managing Tenancy and Accommodation],""))</f>
        <v/>
      </c>
      <c r="GD411" s="44" t="str">
        <f>IF(Table1[Date of Initial Assessment]="","",IF(AND(Table1[Start Date]&gt;42460,Table1[Start Date]&lt;42826),Table1[Offending],""))</f>
        <v/>
      </c>
      <c r="GE411" s="44" t="str">
        <f>IF(Table1[Leaving Date]="","",IF(AND(Table1[Leaving Date]&gt;42460,Table1[Leaving Date]&lt;42826),IF(Table1[Date of Last Assessment]="",Table1[Motivation and Taking Responsibility],Table1[Motivation and Taking Responsibility2]),""))</f>
        <v/>
      </c>
      <c r="GF411" s="44" t="str">
        <f>IF(Table1[Leaving Date]="","",IF(AND(Table1[Leaving Date]&gt;42460,Table1[Leaving Date]&lt;42826),IF(Table1[Date of Last Assessment]="",Table1[Self-Care and Living Skills],Table1[Self-Care and Living Skills2]),""))</f>
        <v/>
      </c>
      <c r="GG411" s="44" t="str">
        <f>IF(Table1[Leaving Date]="","",IF(AND(Table1[Leaving Date]&gt;42460,Table1[Leaving Date]&lt;42826),IF(Table1[Date of Last Assessment]="",Table1[Managing Money and Personal Administration],Table1[Managing Money and Personal Administration2]),""))</f>
        <v/>
      </c>
      <c r="GH411" s="44" t="str">
        <f>IF(Table1[Leaving Date]="","",IF(AND(Table1[Leaving Date]&gt;42460,Table1[Leaving Date]&lt;42826),IF(Table1[Date of Last Assessment]="",Table1[Social Networks and Relationships],Table1[Social Networks and Relationships2]),""))</f>
        <v/>
      </c>
      <c r="GI411" s="44" t="str">
        <f>IF(Table1[Leaving Date]="","",IF(AND(Table1[Leaving Date]&gt;42460,Table1[Leaving Date]&lt;42826),IF(Table1[Date of Last Assessment]="",Table1[Drug and Alcohol Misuse],Table1[Drug and Alcohol Misuse2]),""))</f>
        <v/>
      </c>
      <c r="GJ411" s="44" t="str">
        <f>IF(Table1[Leaving Date]="","",IF(AND(Table1[Leaving Date]&gt;42460,Table1[Leaving Date]&lt;42826),IF(Table1[Date of Last Assessment]="",Table1[Physical Health],Table1[Physical Health2]),""))</f>
        <v/>
      </c>
      <c r="GK411" s="44" t="str">
        <f>IF(Table1[Leaving Date]="","",IF(AND(Table1[Leaving Date]&gt;42460,Table1[Leaving Date]&lt;42826),IF(Table1[Date of Last Assessment]="",Table1[Emotional and Mental Health],Table1[Emotional and Mental Health2]),""))</f>
        <v/>
      </c>
      <c r="GL411" s="44" t="str">
        <f>IF(Table1[Leaving Date]="","",IF(AND(Table1[Leaving Date]&gt;42460,Table1[Leaving Date]&lt;42826),IF(Table1[Date of Last Assessment]="",Table1[Meaningful Use of Time],Table1[Meaningful Use of Time2]),""))</f>
        <v/>
      </c>
      <c r="GM411" s="44" t="str">
        <f>IF(Table1[Leaving Date]="","",IF(AND(Table1[Leaving Date]&gt;42460,Table1[Leaving Date]&lt;42826),IF(Table1[Date of Last Assessment]="",Table1[Managing Tenancy and Accommodation],Table1[Managing Tenancy and Accommodation2]),""))</f>
        <v/>
      </c>
      <c r="GN411" s="44" t="str">
        <f>IF(Table1[Leaving Date]="","",IF(AND(Table1[Leaving Date]&gt;42460,Table1[Leaving Date]&lt;42826),IF(Table1[Date of Last Assessment]="",Table1[Offending],Table1[Offending2]),""))</f>
        <v/>
      </c>
    </row>
    <row r="412" spans="2:196" ht="20.100000000000001" customHeight="1" x14ac:dyDescent="0.2">
      <c r="B412" s="86">
        <f>+'Service Data'!$C$5:$C$5</f>
        <v>0</v>
      </c>
      <c r="C412" s="86"/>
      <c r="D412" s="86"/>
      <c r="E412" s="86"/>
      <c r="F412" s="86"/>
      <c r="G412" s="86"/>
      <c r="H412" s="6"/>
      <c r="I412" s="99" t="str">
        <f ca="1">IF(Table1[[#This Row],[Date of Birth]]="","",SUM(TODAY()-Table1[[#This Row],[Date of Birth]])/365)</f>
        <v/>
      </c>
      <c r="L412" s="86"/>
      <c r="M412" s="77"/>
      <c r="N412" s="86"/>
      <c r="O412" s="86"/>
      <c r="P412" s="91"/>
      <c r="Q412" s="86"/>
      <c r="R412" s="77"/>
      <c r="S412" s="77"/>
      <c r="T412" s="68"/>
      <c r="U412" s="68"/>
      <c r="V412" s="67"/>
      <c r="W412" s="67"/>
      <c r="X412" s="67"/>
      <c r="Y412" s="67"/>
      <c r="Z412" s="67"/>
      <c r="AA412" s="67"/>
      <c r="AB412" s="67"/>
      <c r="AC412" s="67"/>
      <c r="AD412" s="67"/>
      <c r="AE412" s="67"/>
      <c r="AF412" s="67"/>
      <c r="AG412" s="67"/>
      <c r="AH412" s="67"/>
      <c r="AI412" s="67"/>
      <c r="AJ412" s="67"/>
      <c r="AK412" s="67"/>
      <c r="AL412" s="67"/>
      <c r="AM412" s="67"/>
      <c r="AN412" s="77"/>
      <c r="AO412" s="76"/>
      <c r="AP412" s="77"/>
      <c r="AQ412" s="76"/>
      <c r="AR412" s="76"/>
      <c r="AS412" s="76"/>
      <c r="AT412" s="76"/>
      <c r="AU412" s="76"/>
      <c r="AV412" s="77"/>
      <c r="AW412" s="76"/>
      <c r="AX412" s="77"/>
      <c r="AY412" s="76"/>
      <c r="AZ412" s="76"/>
      <c r="BA412" s="76"/>
      <c r="BB412" s="76"/>
      <c r="BC412" s="76"/>
      <c r="BD412" s="77"/>
      <c r="BE412" s="76"/>
      <c r="BF412" s="77"/>
      <c r="BG412" s="76"/>
      <c r="BH412" s="76"/>
      <c r="BI412" s="76"/>
      <c r="BJ412" s="76"/>
      <c r="BK412" s="76"/>
      <c r="BL412" s="77"/>
      <c r="BM412" s="76"/>
      <c r="BN412" s="77"/>
      <c r="BO412" s="76"/>
      <c r="BP412" s="76"/>
      <c r="BQ412" s="76"/>
      <c r="BR412" s="76"/>
      <c r="BS412" s="76"/>
      <c r="BT412" s="77"/>
      <c r="BU412" s="76"/>
      <c r="BV412" s="77"/>
      <c r="BW412" s="76"/>
      <c r="BX412" s="76"/>
      <c r="BY412" s="76"/>
      <c r="BZ412" s="76"/>
      <c r="CA412" s="76"/>
      <c r="CB412" s="77"/>
      <c r="CC412" s="76"/>
      <c r="CD412" s="77"/>
      <c r="CE412" s="76"/>
      <c r="CF412" s="76"/>
      <c r="CG412" s="76"/>
      <c r="CH412" s="76"/>
      <c r="CI412" s="76"/>
      <c r="CJ412" s="77"/>
      <c r="CK412" s="76"/>
      <c r="CL412" s="77"/>
      <c r="CM412" s="76"/>
      <c r="CN412" s="76"/>
      <c r="CO412" s="76"/>
      <c r="CP412" s="76"/>
      <c r="CQ412" s="76"/>
      <c r="CR412" s="78" t="str">
        <f t="shared" si="111"/>
        <v/>
      </c>
      <c r="CS412" s="79" t="str">
        <f t="shared" si="112"/>
        <v/>
      </c>
      <c r="CT412" s="79" t="str">
        <f t="shared" si="113"/>
        <v/>
      </c>
      <c r="CU412" s="79" t="str">
        <f t="shared" si="114"/>
        <v/>
      </c>
      <c r="CV412" s="79" t="str">
        <f t="shared" si="115"/>
        <v/>
      </c>
      <c r="CW412" s="79" t="str">
        <f t="shared" si="116"/>
        <v/>
      </c>
      <c r="CX412" s="79" t="str">
        <f t="shared" si="117"/>
        <v/>
      </c>
      <c r="CY412" s="79" t="str">
        <f t="shared" si="118"/>
        <v/>
      </c>
      <c r="CZ412" s="79" t="str">
        <f t="shared" si="119"/>
        <v/>
      </c>
      <c r="DA412" s="79" t="str">
        <f t="shared" si="120"/>
        <v/>
      </c>
      <c r="DB412" s="79" t="str">
        <f t="shared" si="121"/>
        <v/>
      </c>
      <c r="DC412" s="79" t="str">
        <f t="shared" si="122"/>
        <v/>
      </c>
      <c r="DD412" s="79" t="str">
        <f t="shared" si="123"/>
        <v/>
      </c>
      <c r="DE412" s="79" t="str">
        <f t="shared" si="124"/>
        <v/>
      </c>
      <c r="DF412" s="79" t="str">
        <f t="shared" si="125"/>
        <v/>
      </c>
      <c r="DG412" s="79" t="str">
        <f t="shared" si="126"/>
        <v/>
      </c>
      <c r="DH412" s="76"/>
      <c r="DI412" s="78"/>
      <c r="DJ412" s="76"/>
      <c r="DK412" s="77"/>
      <c r="DL412" s="77"/>
      <c r="DM412" s="77"/>
      <c r="DN412" s="80"/>
      <c r="DO412" s="80"/>
      <c r="DP412" s="92" t="str">
        <f>IF(Table1[Start Date]="","",IF(Table1[Start Date]&gt;42185,"",IF(AND(Table1[Leaving Date]&gt;1,Table1[Leaving Date]&lt;42095),"",1)))</f>
        <v/>
      </c>
      <c r="DQ412" s="92" t="str">
        <f>IF(Table1[Start Date]="","",IF(Table1[Start Date]&gt;42277,"",IF(AND(Table1[Leaving Date]&gt;1,Table1[Leaving Date]&lt;42186),"",1)))</f>
        <v/>
      </c>
      <c r="DR412" s="92" t="str">
        <f>IF(Table1[Start Date]="","",IF(Table1[Start Date]&gt;42369,"",IF(AND(Table1[Leaving Date]&gt;1,Table1[Leaving Date]&lt;42278),"",1)))</f>
        <v/>
      </c>
      <c r="DS412" s="92" t="str">
        <f>IF(Table1[Start Date]="","",IF(Table1[Start Date]&gt;42460,"",IF(AND(Table1[Leaving Date]&gt;1,Table1[Leaving Date]&lt;42370),"",1)))</f>
        <v/>
      </c>
      <c r="DT412" s="92" t="str">
        <f>IF(Table1[Start Date]="","",IF(Table1[Start Date]&gt;42551,"",IF(AND(Table1[Leaving Date]&gt;1,Table1[Leaving Date]&lt;42461),"",1)))</f>
        <v/>
      </c>
      <c r="DU412" s="92" t="str">
        <f>IF(Table1[Start Date]="","",IF(Table1[Start Date]&gt;42643,"",IF(AND(Table1[Leaving Date]&gt;1,Table1[Leaving Date]&lt;42552),"",1)))</f>
        <v/>
      </c>
      <c r="DV412" s="92" t="str">
        <f>IF(Table1[Start Date]="","",IF(Table1[Start Date]&gt;42735,"",IF(AND(Table1[Leaving Date]&gt;1,Table1[Leaving Date]&lt;42644),"",1)))</f>
        <v/>
      </c>
      <c r="DW412" s="92" t="str">
        <f>IF(Table1[Start Date]="","",IF(Table1[Start Date]&gt;42825,"",IF(AND(Table1[Leaving Date]&gt;1,Table1[Leaving Date]&lt;42736),"",1)))</f>
        <v/>
      </c>
      <c r="DX412"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412" s="44" t="e">
        <f>VLOOKUP(Table1[Referral Source],Lists!$G$2:$H$20,2,FALSE)</f>
        <v>#N/A</v>
      </c>
      <c r="DZ412" s="93" t="e">
        <f>SUM(Table1[Data Referral Quarter]+Table1[Data Referral Source])</f>
        <v>#N/A</v>
      </c>
      <c r="EA412" s="44" t="b">
        <f>IF(Table1[Referral Decision]="Accepted",100,IF(Table1[Referral Decision]="Rejected by Provider",200,IF(Table1[Referral Decision]="Rejected by Applicant",300)))</f>
        <v>0</v>
      </c>
      <c r="EB412" s="44">
        <f>SUM(Table1[Data Referral Quarter]+Table1[Data Referral Decision])</f>
        <v>0</v>
      </c>
      <c r="EC412" s="44" t="b">
        <f>IF(Table1[Start Date]&gt;42735,8000,IF(Table1[Start Date]&gt;42643,7000,IF(Table1[Start Date]&gt;42551,6000,IF(Table1[Start Date]&gt;42460,5000,IF(Table1[Start Date]&gt;42369,4000,IF(Table1[Start Date]&gt;42277,3000,IF(Table1[Start Date]&gt;42185,2000,IF(Table1[Start Date]&gt;42094,1000))))))))</f>
        <v>0</v>
      </c>
      <c r="ED412" s="44" t="str">
        <f>IF(Table1[Start Date]="","",IF(Table1[Current Local Authority]="Swindon",1,"2"))</f>
        <v/>
      </c>
      <c r="EE412" s="44" t="e">
        <f>SUM(Table1[Data Start Date]+Table1[Data Local Authority])</f>
        <v>#VALUE!</v>
      </c>
      <c r="EF412" s="44">
        <f>IF(Table1[Registered with GP]="Yes",1,0)</f>
        <v>0</v>
      </c>
      <c r="EG412" s="44">
        <f>SUM(Table1[Data Start Date]+Table1[Data GP Start])</f>
        <v>0</v>
      </c>
      <c r="EH412" s="44" t="str">
        <f>IF(Table1[EET]="NEET",1,IF(Table1[EET]="Education",2,IF(Table1[EET]="Employment",2,IF(Table1[EET]="Training",2,IF(Table1[EET]="Retired",3,"")))))</f>
        <v/>
      </c>
      <c r="EI412" s="44" t="e">
        <f>Table1[Data Start Date]+Table1[Data EET Start]</f>
        <v>#VALUE!</v>
      </c>
      <c r="EJ412" s="44" t="b">
        <f>IF(Table1[Leaving Date]&gt;42735,8000,IF(Table1[Leaving Date]&gt;42643,7000,IF(Table1[Leaving Date]&gt;42551,6000,IF(Table1[Leaving Date]&gt;42460,5000,IF(Table1[Leaving Date]&gt;42369,4000,IF(Table1[Leaving Date]&gt;42277,3000,IF(Table1[Leaving Date]&gt;42185,2000,IF(Table1[Leaving Date]&gt;42094,1000))))))))</f>
        <v>0</v>
      </c>
      <c r="EK412" s="44" t="e">
        <f>VLOOKUP(Table1[Reason for Leaving],Lists!$T$2:$U$15,2,FALSE)</f>
        <v>#N/A</v>
      </c>
      <c r="EL412" s="44" t="e">
        <f>SUM(Table1[Data Leavers Date]+Table1[Data Move On])</f>
        <v>#N/A</v>
      </c>
      <c r="EM412" s="44" t="b">
        <f>IF(Table1[Registered with GP2]="Yes",1,IF(Table1[Registered with GP2]="No",0,IF(Table1[Registered with GP]="Yes",1,IF(Table1[Registered with GP]="No",0))))</f>
        <v>0</v>
      </c>
      <c r="EN412" s="44">
        <f>SUM(Table1[Data Leavers Date]+Table1[Data GP End])</f>
        <v>0</v>
      </c>
      <c r="EO412" s="44" t="str">
        <f>IF(Table1[EET2]="NEET",1,IF(Table1[EET2]="Employment",2,IF(Table1[EET2]="Education",2,IF(Table1[EET2]="Training",2,IF(Table1[EET2]="Retired",3,IF(Table1[EET]="NEET",1,IF(Table1[EET]="Employment",2,IF(Table1[EET]="Education",2,IF(Table1[EET]="Training",2,IF(Table1[EET]="Retired",3,""))))))))))</f>
        <v/>
      </c>
      <c r="EP412" s="44" t="e">
        <f>+Table1[[#This Row],[Data Leavers Date]]+Table1[[#This Row],[Data EET End]]</f>
        <v>#VALUE!</v>
      </c>
      <c r="EQ412" s="44">
        <f>IF(Table1[Exit Form Received]="Yes",1,0)</f>
        <v>0</v>
      </c>
      <c r="ER412" s="44">
        <f>+Table1[[#This Row],[Data Leavers Date]]+Table1[[#This Row],[Data Exit Forms]]</f>
        <v>0</v>
      </c>
      <c r="ES412" s="44" t="str">
        <f>IF(Table1[Data Leavers Date]=1000,SUM(Table1[Leaving Date]-Table1[Start Date]),"")</f>
        <v/>
      </c>
      <c r="ET412" s="44" t="str">
        <f>IF(Table1[Data Leavers Date]=2000,SUM(Table1[Leaving Date]-Table1[Start Date]),"")</f>
        <v/>
      </c>
      <c r="EU412" s="44" t="str">
        <f>IF(Table1[Data Leavers Date]=3000,SUM(Table1[Leaving Date]-Table1[Start Date]),"")</f>
        <v/>
      </c>
      <c r="EV412" s="44" t="str">
        <f>IF(Table1[Data Leavers Date]=4000,SUM(Table1[Leaving Date]-Table1[Start Date]),"")</f>
        <v/>
      </c>
      <c r="EW412" s="44" t="str">
        <f>IF(Table1[Data Leavers Date]=5000,SUM(Table1[Leaving Date]-Table1[Start Date]),"")</f>
        <v/>
      </c>
      <c r="EX412" s="44" t="str">
        <f>IF(Table1[Data Leavers Date]=6000,SUM(Table1[Leaving Date]-Table1[Start Date]),"")</f>
        <v/>
      </c>
      <c r="EY412" s="44" t="str">
        <f>IF(Table1[Data Leavers Date]=7000,SUM(Table1[Leaving Date]-Table1[Start Date]),"")</f>
        <v/>
      </c>
      <c r="EZ412" s="44" t="str">
        <f>IF(Table1[Data Leavers Date]=8000,SUM(Table1[Leaving Date]-Table1[Start Date]),"")</f>
        <v/>
      </c>
      <c r="FA412" s="44" t="str">
        <f>IF(Table1[Date of Initial Assessment]="","",IF(AND(Table1[Start Date]&gt;42094,Table1[Start Date]&lt;42461),Table1[Motivation and Taking Responsibility],""))</f>
        <v/>
      </c>
      <c r="FB412" s="44" t="str">
        <f>IF(Table1[Date of Initial Assessment]="","",IF(AND(Table1[Start Date]&gt;42094,Table1[Start Date]&lt;42461),Table1[Self-Care and Living Skills],""))</f>
        <v/>
      </c>
      <c r="FC412" s="44" t="str">
        <f>IF(Table1[Date of Initial Assessment]="","",IF(AND(Table1[Start Date]&gt;42094,Table1[Start Date]&lt;42461),Table1[Managing Money and Personal Administration],""))</f>
        <v/>
      </c>
      <c r="FD412" s="44" t="str">
        <f>IF(Table1[Date of Initial Assessment]="","",IF(AND(Table1[Start Date]&gt;42094,Table1[Start Date]&lt;42461),Table1[Social Networks and Relationships],""))</f>
        <v/>
      </c>
      <c r="FE412" s="44" t="str">
        <f>IF(Table1[Date of Initial Assessment]="","",IF(AND(Table1[Start Date]&gt;42094,Table1[Start Date]&lt;42461),Table1[Drug and Alcohol Misuse],""))</f>
        <v/>
      </c>
      <c r="FF412" s="44" t="str">
        <f>IF(Table1[Date of Initial Assessment]="","",IF(AND(Table1[Start Date]&gt;42094,Table1[Start Date]&lt;42461),Table1[Physical Health],""))</f>
        <v/>
      </c>
      <c r="FG412" s="44" t="str">
        <f>IF(Table1[Date of Initial Assessment]="","",IF(AND(Table1[Start Date]&gt;42094,Table1[Start Date]&lt;42461),Table1[Emotional and Mental Health],""))</f>
        <v/>
      </c>
      <c r="FH412" s="44" t="str">
        <f>IF(Table1[Date of Initial Assessment]="","",IF(AND(Table1[Start Date]&gt;42094,Table1[Start Date]&lt;42461),Table1[Meaningful Use of Time],""))</f>
        <v/>
      </c>
      <c r="FI412" s="44" t="str">
        <f>IF(Table1[Date of Initial Assessment]="","",IF(AND(Table1[Start Date]&gt;42094,Table1[Start Date]&lt;42461),Table1[Managing Tenancy and Accommodation],""))</f>
        <v/>
      </c>
      <c r="FJ412" s="44" t="str">
        <f>IF(Table1[Date of Initial Assessment]="","",IF(AND(Table1[Start Date]&gt;42094,Table1[Start Date]&lt;42461),Table1[Offending],""))</f>
        <v/>
      </c>
      <c r="FK412" s="44" t="str">
        <f>IF(Table1[Leaving Date]="","",IF(Table1[Date of Initial Assessment]="","",IF(AND(Table1[Leaving Date]&gt;42094,Table1[Leaving Date]&lt;42461),IF(Table1[Date of Last Assessment]="",Table1[Motivation and Taking Responsibility],Table1[Motivation and Taking Responsibility2]),"")))</f>
        <v/>
      </c>
      <c r="FL412" s="44" t="str">
        <f>IF(Table1[Leaving Date]="","",IF(Table1[Date of Initial Assessment]="","",IF(AND(Table1[Leaving Date]&gt;42094,Table1[Leaving Date]&lt;42461),IF(Table1[Date of Last Assessment]="",Table1[Self-Care and Living Skills],Table1[Self-Care and Living Skills2]),"")))</f>
        <v/>
      </c>
      <c r="FM412" s="44" t="str">
        <f>IF(Table1[Leaving Date]="","",IF(Table1[Date of Initial Assessment]="","",IF(AND(Table1[Leaving Date]&gt;42094,Table1[Leaving Date]&lt;42461),IF(Table1[Date of Last Assessment]="",Table1[Managing Money and Personal Administration],Table1[Managing Money and Personal Administration2]),"")))</f>
        <v/>
      </c>
      <c r="FN412" s="44" t="str">
        <f>IF(Table1[Leaving Date]="","",IF(Table1[Date of Initial Assessment]="","",IF(AND(Table1[Leaving Date]&gt;42094,Table1[Leaving Date]&lt;42461),IF(Table1[Date of Last Assessment]="",Table1[Social Networks and Relationships],Table1[Social Networks and Relationships2]),"")))</f>
        <v/>
      </c>
      <c r="FO412" s="44" t="str">
        <f>IF(Table1[Leaving Date]="","",IF(Table1[Date of Initial Assessment]="","",IF(AND(Table1[Leaving Date]&gt;42094,Table1[Leaving Date]&lt;42461),IF(Table1[Date of Last Assessment]="",Table1[Drug and Alcohol Misuse],Table1[Drug and Alcohol Misuse2]),"")))</f>
        <v/>
      </c>
      <c r="FP412" s="44" t="str">
        <f>IF(Table1[Leaving Date]="","",IF(Table1[Date of Initial Assessment]="","",IF(AND(Table1[Leaving Date]&gt;42094,Table1[Leaving Date]&lt;42461),IF(Table1[Date of Last Assessment]="",Table1[Physical Health],Table1[Physical Health2]),"")))</f>
        <v/>
      </c>
      <c r="FQ412" s="44" t="str">
        <f>IF(Table1[Leaving Date]="","",IF(Table1[Date of Initial Assessment]="","",IF(AND(Table1[Leaving Date]&gt;42094,Table1[Leaving Date]&lt;42461),IF(Table1[Date of Last Assessment]="",Table1[Emotional and Mental Health],Table1[Emotional and Mental Health2]),"")))</f>
        <v/>
      </c>
      <c r="FR412" s="44" t="str">
        <f>IF(Table1[Leaving Date]="","",IF(Table1[Date of Initial Assessment]="","",IF(AND(Table1[Leaving Date]&gt;42094,Table1[Leaving Date]&lt;42461),IF(Table1[Date of Last Assessment]="",Table1[Meaningful Use of Time],Table1[Meaningful Use of Time2]),"")))</f>
        <v/>
      </c>
      <c r="FS412" s="44" t="str">
        <f>IF(Table1[Leaving Date]="","",IF(Table1[Date of Initial Assessment]="","",IF(AND(Table1[Leaving Date]&gt;42094,Table1[Leaving Date]&lt;42461),IF(Table1[Date of Last Assessment]="",Table1[Managing Tenancy and Accommodation],Table1[Managing Tenancy and Accommodation2]),"")))</f>
        <v/>
      </c>
      <c r="FT412" s="44" t="str">
        <f>IF(Table1[Leaving Date]="","",IF(Table1[Date of Initial Assessment]="","",IF(AND(Table1[Leaving Date]&gt;42094,Table1[Leaving Date]&lt;42461),IF(Table1[Date of Last Assessment]="",Table1[Offending],Table1[Offending2]),"")))</f>
        <v/>
      </c>
      <c r="FU412" s="44" t="str">
        <f>IF(Table1[Date of Initial Assessment]="","",IF(AND(Table1[Start Date]&gt;42460,Table1[Start Date]&lt;42826),Table1[Motivation and Taking Responsibility],""))</f>
        <v/>
      </c>
      <c r="FV412" s="44" t="str">
        <f>IF(Table1[Date of Initial Assessment]="","",IF(AND(Table1[Start Date]&gt;42460,Table1[Start Date]&lt;42826),Table1[Self-Care and Living Skills],""))</f>
        <v/>
      </c>
      <c r="FW412" s="44" t="str">
        <f>IF(Table1[Date of Initial Assessment]="","",IF(AND(Table1[Start Date]&gt;42460,Table1[Start Date]&lt;42826),Table1[Managing Money and Personal Administration],""))</f>
        <v/>
      </c>
      <c r="FX412" s="44" t="str">
        <f>IF(Table1[Date of Initial Assessment]="","",IF(AND(Table1[Start Date]&gt;42460,Table1[Start Date]&lt;42826),Table1[Social Networks and Relationships],""))</f>
        <v/>
      </c>
      <c r="FY412" s="44" t="str">
        <f>IF(Table1[Date of Initial Assessment]="","",IF(AND(Table1[Start Date]&gt;42460,Table1[Start Date]&lt;42826),Table1[Drug and Alcohol Misuse],""))</f>
        <v/>
      </c>
      <c r="FZ412" s="44" t="str">
        <f>IF(Table1[Date of Initial Assessment]="","",IF(AND(Table1[Start Date]&gt;42460,Table1[Start Date]&lt;42826),Table1[Physical Health],""))</f>
        <v/>
      </c>
      <c r="GA412" s="44" t="str">
        <f>IF(Table1[Date of Initial Assessment]="","",IF(AND(Table1[Start Date]&gt;42460,Table1[Start Date]&lt;42826),Table1[Emotional and Mental Health],""))</f>
        <v/>
      </c>
      <c r="GB412" s="44" t="str">
        <f>IF(Table1[Date of Initial Assessment]="","",IF(AND(Table1[Start Date]&gt;42460,Table1[Start Date]&lt;42826),Table1[Meaningful Use of Time],""))</f>
        <v/>
      </c>
      <c r="GC412" s="44" t="str">
        <f>IF(Table1[Date of Initial Assessment]="","",IF(AND(Table1[Start Date]&gt;42460,Table1[Start Date]&lt;42826),Table1[Managing Tenancy and Accommodation],""))</f>
        <v/>
      </c>
      <c r="GD412" s="44" t="str">
        <f>IF(Table1[Date of Initial Assessment]="","",IF(AND(Table1[Start Date]&gt;42460,Table1[Start Date]&lt;42826),Table1[Offending],""))</f>
        <v/>
      </c>
      <c r="GE412" s="44" t="str">
        <f>IF(Table1[Leaving Date]="","",IF(AND(Table1[Leaving Date]&gt;42460,Table1[Leaving Date]&lt;42826),IF(Table1[Date of Last Assessment]="",Table1[Motivation and Taking Responsibility],Table1[Motivation and Taking Responsibility2]),""))</f>
        <v/>
      </c>
      <c r="GF412" s="44" t="str">
        <f>IF(Table1[Leaving Date]="","",IF(AND(Table1[Leaving Date]&gt;42460,Table1[Leaving Date]&lt;42826),IF(Table1[Date of Last Assessment]="",Table1[Self-Care and Living Skills],Table1[Self-Care and Living Skills2]),""))</f>
        <v/>
      </c>
      <c r="GG412" s="44" t="str">
        <f>IF(Table1[Leaving Date]="","",IF(AND(Table1[Leaving Date]&gt;42460,Table1[Leaving Date]&lt;42826),IF(Table1[Date of Last Assessment]="",Table1[Managing Money and Personal Administration],Table1[Managing Money and Personal Administration2]),""))</f>
        <v/>
      </c>
      <c r="GH412" s="44" t="str">
        <f>IF(Table1[Leaving Date]="","",IF(AND(Table1[Leaving Date]&gt;42460,Table1[Leaving Date]&lt;42826),IF(Table1[Date of Last Assessment]="",Table1[Social Networks and Relationships],Table1[Social Networks and Relationships2]),""))</f>
        <v/>
      </c>
      <c r="GI412" s="44" t="str">
        <f>IF(Table1[Leaving Date]="","",IF(AND(Table1[Leaving Date]&gt;42460,Table1[Leaving Date]&lt;42826),IF(Table1[Date of Last Assessment]="",Table1[Drug and Alcohol Misuse],Table1[Drug and Alcohol Misuse2]),""))</f>
        <v/>
      </c>
      <c r="GJ412" s="44" t="str">
        <f>IF(Table1[Leaving Date]="","",IF(AND(Table1[Leaving Date]&gt;42460,Table1[Leaving Date]&lt;42826),IF(Table1[Date of Last Assessment]="",Table1[Physical Health],Table1[Physical Health2]),""))</f>
        <v/>
      </c>
      <c r="GK412" s="44" t="str">
        <f>IF(Table1[Leaving Date]="","",IF(AND(Table1[Leaving Date]&gt;42460,Table1[Leaving Date]&lt;42826),IF(Table1[Date of Last Assessment]="",Table1[Emotional and Mental Health],Table1[Emotional and Mental Health2]),""))</f>
        <v/>
      </c>
      <c r="GL412" s="44" t="str">
        <f>IF(Table1[Leaving Date]="","",IF(AND(Table1[Leaving Date]&gt;42460,Table1[Leaving Date]&lt;42826),IF(Table1[Date of Last Assessment]="",Table1[Meaningful Use of Time],Table1[Meaningful Use of Time2]),""))</f>
        <v/>
      </c>
      <c r="GM412" s="44" t="str">
        <f>IF(Table1[Leaving Date]="","",IF(AND(Table1[Leaving Date]&gt;42460,Table1[Leaving Date]&lt;42826),IF(Table1[Date of Last Assessment]="",Table1[Managing Tenancy and Accommodation],Table1[Managing Tenancy and Accommodation2]),""))</f>
        <v/>
      </c>
      <c r="GN412" s="44" t="str">
        <f>IF(Table1[Leaving Date]="","",IF(AND(Table1[Leaving Date]&gt;42460,Table1[Leaving Date]&lt;42826),IF(Table1[Date of Last Assessment]="",Table1[Offending],Table1[Offending2]),""))</f>
        <v/>
      </c>
    </row>
    <row r="413" spans="2:196" ht="20.100000000000001" customHeight="1" x14ac:dyDescent="0.2">
      <c r="B413" s="86">
        <f>+'Service Data'!$C$5:$C$5</f>
        <v>0</v>
      </c>
      <c r="C413" s="86"/>
      <c r="D413" s="86"/>
      <c r="E413" s="86"/>
      <c r="F413" s="86"/>
      <c r="G413" s="86"/>
      <c r="H413" s="6"/>
      <c r="I413" s="99" t="str">
        <f ca="1">IF(Table1[[#This Row],[Date of Birth]]="","",SUM(TODAY()-Table1[[#This Row],[Date of Birth]])/365)</f>
        <v/>
      </c>
      <c r="L413" s="86"/>
      <c r="M413" s="77"/>
      <c r="N413" s="86"/>
      <c r="O413" s="86"/>
      <c r="P413" s="91"/>
      <c r="Q413" s="86"/>
      <c r="R413" s="77"/>
      <c r="S413" s="77"/>
      <c r="T413" s="68"/>
      <c r="U413" s="68"/>
      <c r="V413" s="67"/>
      <c r="W413" s="67"/>
      <c r="X413" s="67"/>
      <c r="Y413" s="67"/>
      <c r="Z413" s="67"/>
      <c r="AA413" s="67"/>
      <c r="AB413" s="67"/>
      <c r="AC413" s="67"/>
      <c r="AD413" s="67"/>
      <c r="AE413" s="67"/>
      <c r="AF413" s="67"/>
      <c r="AG413" s="67"/>
      <c r="AH413" s="67"/>
      <c r="AI413" s="67"/>
      <c r="AJ413" s="67"/>
      <c r="AK413" s="67"/>
      <c r="AL413" s="67"/>
      <c r="AM413" s="67"/>
      <c r="AN413" s="77"/>
      <c r="AO413" s="76"/>
      <c r="AP413" s="77"/>
      <c r="AQ413" s="76"/>
      <c r="AR413" s="76"/>
      <c r="AS413" s="76"/>
      <c r="AT413" s="76"/>
      <c r="AU413" s="76"/>
      <c r="AV413" s="77"/>
      <c r="AW413" s="76"/>
      <c r="AX413" s="77"/>
      <c r="AY413" s="76"/>
      <c r="AZ413" s="76"/>
      <c r="BA413" s="76"/>
      <c r="BB413" s="76"/>
      <c r="BC413" s="76"/>
      <c r="BD413" s="77"/>
      <c r="BE413" s="76"/>
      <c r="BF413" s="77"/>
      <c r="BG413" s="76"/>
      <c r="BH413" s="76"/>
      <c r="BI413" s="76"/>
      <c r="BJ413" s="76"/>
      <c r="BK413" s="76"/>
      <c r="BL413" s="77"/>
      <c r="BM413" s="76"/>
      <c r="BN413" s="77"/>
      <c r="BO413" s="76"/>
      <c r="BP413" s="76"/>
      <c r="BQ413" s="76"/>
      <c r="BR413" s="76"/>
      <c r="BS413" s="76"/>
      <c r="BT413" s="77"/>
      <c r="BU413" s="76"/>
      <c r="BV413" s="77"/>
      <c r="BW413" s="76"/>
      <c r="BX413" s="76"/>
      <c r="BY413" s="76"/>
      <c r="BZ413" s="76"/>
      <c r="CA413" s="76"/>
      <c r="CB413" s="77"/>
      <c r="CC413" s="76"/>
      <c r="CD413" s="77"/>
      <c r="CE413" s="76"/>
      <c r="CF413" s="76"/>
      <c r="CG413" s="76"/>
      <c r="CH413" s="76"/>
      <c r="CI413" s="76"/>
      <c r="CJ413" s="77"/>
      <c r="CK413" s="76"/>
      <c r="CL413" s="77"/>
      <c r="CM413" s="76"/>
      <c r="CN413" s="76"/>
      <c r="CO413" s="76"/>
      <c r="CP413" s="76"/>
      <c r="CQ413" s="76"/>
      <c r="CR413" s="78" t="str">
        <f t="shared" si="111"/>
        <v/>
      </c>
      <c r="CS413" s="79" t="str">
        <f t="shared" si="112"/>
        <v/>
      </c>
      <c r="CT413" s="79" t="str">
        <f t="shared" si="113"/>
        <v/>
      </c>
      <c r="CU413" s="79" t="str">
        <f t="shared" si="114"/>
        <v/>
      </c>
      <c r="CV413" s="79" t="str">
        <f t="shared" si="115"/>
        <v/>
      </c>
      <c r="CW413" s="79" t="str">
        <f t="shared" si="116"/>
        <v/>
      </c>
      <c r="CX413" s="79" t="str">
        <f t="shared" si="117"/>
        <v/>
      </c>
      <c r="CY413" s="79" t="str">
        <f t="shared" si="118"/>
        <v/>
      </c>
      <c r="CZ413" s="79" t="str">
        <f t="shared" si="119"/>
        <v/>
      </c>
      <c r="DA413" s="79" t="str">
        <f t="shared" si="120"/>
        <v/>
      </c>
      <c r="DB413" s="79" t="str">
        <f t="shared" si="121"/>
        <v/>
      </c>
      <c r="DC413" s="79" t="str">
        <f t="shared" si="122"/>
        <v/>
      </c>
      <c r="DD413" s="79" t="str">
        <f t="shared" si="123"/>
        <v/>
      </c>
      <c r="DE413" s="79" t="str">
        <f t="shared" si="124"/>
        <v/>
      </c>
      <c r="DF413" s="79" t="str">
        <f t="shared" si="125"/>
        <v/>
      </c>
      <c r="DG413" s="79" t="str">
        <f t="shared" si="126"/>
        <v/>
      </c>
      <c r="DH413" s="76"/>
      <c r="DI413" s="78"/>
      <c r="DJ413" s="76"/>
      <c r="DK413" s="77"/>
      <c r="DL413" s="77"/>
      <c r="DM413" s="77"/>
      <c r="DN413" s="80"/>
      <c r="DO413" s="80"/>
      <c r="DP413" s="92" t="str">
        <f>IF(Table1[Start Date]="","",IF(Table1[Start Date]&gt;42185,"",IF(AND(Table1[Leaving Date]&gt;1,Table1[Leaving Date]&lt;42095),"",1)))</f>
        <v/>
      </c>
      <c r="DQ413" s="92" t="str">
        <f>IF(Table1[Start Date]="","",IF(Table1[Start Date]&gt;42277,"",IF(AND(Table1[Leaving Date]&gt;1,Table1[Leaving Date]&lt;42186),"",1)))</f>
        <v/>
      </c>
      <c r="DR413" s="92" t="str">
        <f>IF(Table1[Start Date]="","",IF(Table1[Start Date]&gt;42369,"",IF(AND(Table1[Leaving Date]&gt;1,Table1[Leaving Date]&lt;42278),"",1)))</f>
        <v/>
      </c>
      <c r="DS413" s="92" t="str">
        <f>IF(Table1[Start Date]="","",IF(Table1[Start Date]&gt;42460,"",IF(AND(Table1[Leaving Date]&gt;1,Table1[Leaving Date]&lt;42370),"",1)))</f>
        <v/>
      </c>
      <c r="DT413" s="92" t="str">
        <f>IF(Table1[Start Date]="","",IF(Table1[Start Date]&gt;42551,"",IF(AND(Table1[Leaving Date]&gt;1,Table1[Leaving Date]&lt;42461),"",1)))</f>
        <v/>
      </c>
      <c r="DU413" s="92" t="str">
        <f>IF(Table1[Start Date]="","",IF(Table1[Start Date]&gt;42643,"",IF(AND(Table1[Leaving Date]&gt;1,Table1[Leaving Date]&lt;42552),"",1)))</f>
        <v/>
      </c>
      <c r="DV413" s="92" t="str">
        <f>IF(Table1[Start Date]="","",IF(Table1[Start Date]&gt;42735,"",IF(AND(Table1[Leaving Date]&gt;1,Table1[Leaving Date]&lt;42644),"",1)))</f>
        <v/>
      </c>
      <c r="DW413" s="92" t="str">
        <f>IF(Table1[Start Date]="","",IF(Table1[Start Date]&gt;42825,"",IF(AND(Table1[Leaving Date]&gt;1,Table1[Leaving Date]&lt;42736),"",1)))</f>
        <v/>
      </c>
      <c r="DX413"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413" s="44" t="e">
        <f>VLOOKUP(Table1[Referral Source],Lists!$G$2:$H$20,2,FALSE)</f>
        <v>#N/A</v>
      </c>
      <c r="DZ413" s="93" t="e">
        <f>SUM(Table1[Data Referral Quarter]+Table1[Data Referral Source])</f>
        <v>#N/A</v>
      </c>
      <c r="EA413" s="44" t="b">
        <f>IF(Table1[Referral Decision]="Accepted",100,IF(Table1[Referral Decision]="Rejected by Provider",200,IF(Table1[Referral Decision]="Rejected by Applicant",300)))</f>
        <v>0</v>
      </c>
      <c r="EB413" s="44">
        <f>SUM(Table1[Data Referral Quarter]+Table1[Data Referral Decision])</f>
        <v>0</v>
      </c>
      <c r="EC413" s="44" t="b">
        <f>IF(Table1[Start Date]&gt;42735,8000,IF(Table1[Start Date]&gt;42643,7000,IF(Table1[Start Date]&gt;42551,6000,IF(Table1[Start Date]&gt;42460,5000,IF(Table1[Start Date]&gt;42369,4000,IF(Table1[Start Date]&gt;42277,3000,IF(Table1[Start Date]&gt;42185,2000,IF(Table1[Start Date]&gt;42094,1000))))))))</f>
        <v>0</v>
      </c>
      <c r="ED413" s="44" t="str">
        <f>IF(Table1[Start Date]="","",IF(Table1[Current Local Authority]="Swindon",1,"2"))</f>
        <v/>
      </c>
      <c r="EE413" s="44" t="e">
        <f>SUM(Table1[Data Start Date]+Table1[Data Local Authority])</f>
        <v>#VALUE!</v>
      </c>
      <c r="EF413" s="44">
        <f>IF(Table1[Registered with GP]="Yes",1,0)</f>
        <v>0</v>
      </c>
      <c r="EG413" s="44">
        <f>SUM(Table1[Data Start Date]+Table1[Data GP Start])</f>
        <v>0</v>
      </c>
      <c r="EH413" s="44" t="str">
        <f>IF(Table1[EET]="NEET",1,IF(Table1[EET]="Education",2,IF(Table1[EET]="Employment",2,IF(Table1[EET]="Training",2,IF(Table1[EET]="Retired",3,"")))))</f>
        <v/>
      </c>
      <c r="EI413" s="44" t="e">
        <f>Table1[Data Start Date]+Table1[Data EET Start]</f>
        <v>#VALUE!</v>
      </c>
      <c r="EJ413" s="44" t="b">
        <f>IF(Table1[Leaving Date]&gt;42735,8000,IF(Table1[Leaving Date]&gt;42643,7000,IF(Table1[Leaving Date]&gt;42551,6000,IF(Table1[Leaving Date]&gt;42460,5000,IF(Table1[Leaving Date]&gt;42369,4000,IF(Table1[Leaving Date]&gt;42277,3000,IF(Table1[Leaving Date]&gt;42185,2000,IF(Table1[Leaving Date]&gt;42094,1000))))))))</f>
        <v>0</v>
      </c>
      <c r="EK413" s="44" t="e">
        <f>VLOOKUP(Table1[Reason for Leaving],Lists!$T$2:$U$15,2,FALSE)</f>
        <v>#N/A</v>
      </c>
      <c r="EL413" s="44" t="e">
        <f>SUM(Table1[Data Leavers Date]+Table1[Data Move On])</f>
        <v>#N/A</v>
      </c>
      <c r="EM413" s="44" t="b">
        <f>IF(Table1[Registered with GP2]="Yes",1,IF(Table1[Registered with GP2]="No",0,IF(Table1[Registered with GP]="Yes",1,IF(Table1[Registered with GP]="No",0))))</f>
        <v>0</v>
      </c>
      <c r="EN413" s="44">
        <f>SUM(Table1[Data Leavers Date]+Table1[Data GP End])</f>
        <v>0</v>
      </c>
      <c r="EO413" s="44" t="str">
        <f>IF(Table1[EET2]="NEET",1,IF(Table1[EET2]="Employment",2,IF(Table1[EET2]="Education",2,IF(Table1[EET2]="Training",2,IF(Table1[EET2]="Retired",3,IF(Table1[EET]="NEET",1,IF(Table1[EET]="Employment",2,IF(Table1[EET]="Education",2,IF(Table1[EET]="Training",2,IF(Table1[EET]="Retired",3,""))))))))))</f>
        <v/>
      </c>
      <c r="EP413" s="44" t="e">
        <f>+Table1[[#This Row],[Data Leavers Date]]+Table1[[#This Row],[Data EET End]]</f>
        <v>#VALUE!</v>
      </c>
      <c r="EQ413" s="44">
        <f>IF(Table1[Exit Form Received]="Yes",1,0)</f>
        <v>0</v>
      </c>
      <c r="ER413" s="44">
        <f>+Table1[[#This Row],[Data Leavers Date]]+Table1[[#This Row],[Data Exit Forms]]</f>
        <v>0</v>
      </c>
      <c r="ES413" s="44" t="str">
        <f>IF(Table1[Data Leavers Date]=1000,SUM(Table1[Leaving Date]-Table1[Start Date]),"")</f>
        <v/>
      </c>
      <c r="ET413" s="44" t="str">
        <f>IF(Table1[Data Leavers Date]=2000,SUM(Table1[Leaving Date]-Table1[Start Date]),"")</f>
        <v/>
      </c>
      <c r="EU413" s="44" t="str">
        <f>IF(Table1[Data Leavers Date]=3000,SUM(Table1[Leaving Date]-Table1[Start Date]),"")</f>
        <v/>
      </c>
      <c r="EV413" s="44" t="str">
        <f>IF(Table1[Data Leavers Date]=4000,SUM(Table1[Leaving Date]-Table1[Start Date]),"")</f>
        <v/>
      </c>
      <c r="EW413" s="44" t="str">
        <f>IF(Table1[Data Leavers Date]=5000,SUM(Table1[Leaving Date]-Table1[Start Date]),"")</f>
        <v/>
      </c>
      <c r="EX413" s="44" t="str">
        <f>IF(Table1[Data Leavers Date]=6000,SUM(Table1[Leaving Date]-Table1[Start Date]),"")</f>
        <v/>
      </c>
      <c r="EY413" s="44" t="str">
        <f>IF(Table1[Data Leavers Date]=7000,SUM(Table1[Leaving Date]-Table1[Start Date]),"")</f>
        <v/>
      </c>
      <c r="EZ413" s="44" t="str">
        <f>IF(Table1[Data Leavers Date]=8000,SUM(Table1[Leaving Date]-Table1[Start Date]),"")</f>
        <v/>
      </c>
      <c r="FA413" s="44" t="str">
        <f>IF(Table1[Date of Initial Assessment]="","",IF(AND(Table1[Start Date]&gt;42094,Table1[Start Date]&lt;42461),Table1[Motivation and Taking Responsibility],""))</f>
        <v/>
      </c>
      <c r="FB413" s="44" t="str">
        <f>IF(Table1[Date of Initial Assessment]="","",IF(AND(Table1[Start Date]&gt;42094,Table1[Start Date]&lt;42461),Table1[Self-Care and Living Skills],""))</f>
        <v/>
      </c>
      <c r="FC413" s="44" t="str">
        <f>IF(Table1[Date of Initial Assessment]="","",IF(AND(Table1[Start Date]&gt;42094,Table1[Start Date]&lt;42461),Table1[Managing Money and Personal Administration],""))</f>
        <v/>
      </c>
      <c r="FD413" s="44" t="str">
        <f>IF(Table1[Date of Initial Assessment]="","",IF(AND(Table1[Start Date]&gt;42094,Table1[Start Date]&lt;42461),Table1[Social Networks and Relationships],""))</f>
        <v/>
      </c>
      <c r="FE413" s="44" t="str">
        <f>IF(Table1[Date of Initial Assessment]="","",IF(AND(Table1[Start Date]&gt;42094,Table1[Start Date]&lt;42461),Table1[Drug and Alcohol Misuse],""))</f>
        <v/>
      </c>
      <c r="FF413" s="44" t="str">
        <f>IF(Table1[Date of Initial Assessment]="","",IF(AND(Table1[Start Date]&gt;42094,Table1[Start Date]&lt;42461),Table1[Physical Health],""))</f>
        <v/>
      </c>
      <c r="FG413" s="44" t="str">
        <f>IF(Table1[Date of Initial Assessment]="","",IF(AND(Table1[Start Date]&gt;42094,Table1[Start Date]&lt;42461),Table1[Emotional and Mental Health],""))</f>
        <v/>
      </c>
      <c r="FH413" s="44" t="str">
        <f>IF(Table1[Date of Initial Assessment]="","",IF(AND(Table1[Start Date]&gt;42094,Table1[Start Date]&lt;42461),Table1[Meaningful Use of Time],""))</f>
        <v/>
      </c>
      <c r="FI413" s="44" t="str">
        <f>IF(Table1[Date of Initial Assessment]="","",IF(AND(Table1[Start Date]&gt;42094,Table1[Start Date]&lt;42461),Table1[Managing Tenancy and Accommodation],""))</f>
        <v/>
      </c>
      <c r="FJ413" s="44" t="str">
        <f>IF(Table1[Date of Initial Assessment]="","",IF(AND(Table1[Start Date]&gt;42094,Table1[Start Date]&lt;42461),Table1[Offending],""))</f>
        <v/>
      </c>
      <c r="FK413" s="44" t="str">
        <f>IF(Table1[Leaving Date]="","",IF(Table1[Date of Initial Assessment]="","",IF(AND(Table1[Leaving Date]&gt;42094,Table1[Leaving Date]&lt;42461),IF(Table1[Date of Last Assessment]="",Table1[Motivation and Taking Responsibility],Table1[Motivation and Taking Responsibility2]),"")))</f>
        <v/>
      </c>
      <c r="FL413" s="44" t="str">
        <f>IF(Table1[Leaving Date]="","",IF(Table1[Date of Initial Assessment]="","",IF(AND(Table1[Leaving Date]&gt;42094,Table1[Leaving Date]&lt;42461),IF(Table1[Date of Last Assessment]="",Table1[Self-Care and Living Skills],Table1[Self-Care and Living Skills2]),"")))</f>
        <v/>
      </c>
      <c r="FM413" s="44" t="str">
        <f>IF(Table1[Leaving Date]="","",IF(Table1[Date of Initial Assessment]="","",IF(AND(Table1[Leaving Date]&gt;42094,Table1[Leaving Date]&lt;42461),IF(Table1[Date of Last Assessment]="",Table1[Managing Money and Personal Administration],Table1[Managing Money and Personal Administration2]),"")))</f>
        <v/>
      </c>
      <c r="FN413" s="44" t="str">
        <f>IF(Table1[Leaving Date]="","",IF(Table1[Date of Initial Assessment]="","",IF(AND(Table1[Leaving Date]&gt;42094,Table1[Leaving Date]&lt;42461),IF(Table1[Date of Last Assessment]="",Table1[Social Networks and Relationships],Table1[Social Networks and Relationships2]),"")))</f>
        <v/>
      </c>
      <c r="FO413" s="44" t="str">
        <f>IF(Table1[Leaving Date]="","",IF(Table1[Date of Initial Assessment]="","",IF(AND(Table1[Leaving Date]&gt;42094,Table1[Leaving Date]&lt;42461),IF(Table1[Date of Last Assessment]="",Table1[Drug and Alcohol Misuse],Table1[Drug and Alcohol Misuse2]),"")))</f>
        <v/>
      </c>
      <c r="FP413" s="44" t="str">
        <f>IF(Table1[Leaving Date]="","",IF(Table1[Date of Initial Assessment]="","",IF(AND(Table1[Leaving Date]&gt;42094,Table1[Leaving Date]&lt;42461),IF(Table1[Date of Last Assessment]="",Table1[Physical Health],Table1[Physical Health2]),"")))</f>
        <v/>
      </c>
      <c r="FQ413" s="44" t="str">
        <f>IF(Table1[Leaving Date]="","",IF(Table1[Date of Initial Assessment]="","",IF(AND(Table1[Leaving Date]&gt;42094,Table1[Leaving Date]&lt;42461),IF(Table1[Date of Last Assessment]="",Table1[Emotional and Mental Health],Table1[Emotional and Mental Health2]),"")))</f>
        <v/>
      </c>
      <c r="FR413" s="44" t="str">
        <f>IF(Table1[Leaving Date]="","",IF(Table1[Date of Initial Assessment]="","",IF(AND(Table1[Leaving Date]&gt;42094,Table1[Leaving Date]&lt;42461),IF(Table1[Date of Last Assessment]="",Table1[Meaningful Use of Time],Table1[Meaningful Use of Time2]),"")))</f>
        <v/>
      </c>
      <c r="FS413" s="44" t="str">
        <f>IF(Table1[Leaving Date]="","",IF(Table1[Date of Initial Assessment]="","",IF(AND(Table1[Leaving Date]&gt;42094,Table1[Leaving Date]&lt;42461),IF(Table1[Date of Last Assessment]="",Table1[Managing Tenancy and Accommodation],Table1[Managing Tenancy and Accommodation2]),"")))</f>
        <v/>
      </c>
      <c r="FT413" s="44" t="str">
        <f>IF(Table1[Leaving Date]="","",IF(Table1[Date of Initial Assessment]="","",IF(AND(Table1[Leaving Date]&gt;42094,Table1[Leaving Date]&lt;42461),IF(Table1[Date of Last Assessment]="",Table1[Offending],Table1[Offending2]),"")))</f>
        <v/>
      </c>
      <c r="FU413" s="44" t="str">
        <f>IF(Table1[Date of Initial Assessment]="","",IF(AND(Table1[Start Date]&gt;42460,Table1[Start Date]&lt;42826),Table1[Motivation and Taking Responsibility],""))</f>
        <v/>
      </c>
      <c r="FV413" s="44" t="str">
        <f>IF(Table1[Date of Initial Assessment]="","",IF(AND(Table1[Start Date]&gt;42460,Table1[Start Date]&lt;42826),Table1[Self-Care and Living Skills],""))</f>
        <v/>
      </c>
      <c r="FW413" s="44" t="str">
        <f>IF(Table1[Date of Initial Assessment]="","",IF(AND(Table1[Start Date]&gt;42460,Table1[Start Date]&lt;42826),Table1[Managing Money and Personal Administration],""))</f>
        <v/>
      </c>
      <c r="FX413" s="44" t="str">
        <f>IF(Table1[Date of Initial Assessment]="","",IF(AND(Table1[Start Date]&gt;42460,Table1[Start Date]&lt;42826),Table1[Social Networks and Relationships],""))</f>
        <v/>
      </c>
      <c r="FY413" s="44" t="str">
        <f>IF(Table1[Date of Initial Assessment]="","",IF(AND(Table1[Start Date]&gt;42460,Table1[Start Date]&lt;42826),Table1[Drug and Alcohol Misuse],""))</f>
        <v/>
      </c>
      <c r="FZ413" s="44" t="str">
        <f>IF(Table1[Date of Initial Assessment]="","",IF(AND(Table1[Start Date]&gt;42460,Table1[Start Date]&lt;42826),Table1[Physical Health],""))</f>
        <v/>
      </c>
      <c r="GA413" s="44" t="str">
        <f>IF(Table1[Date of Initial Assessment]="","",IF(AND(Table1[Start Date]&gt;42460,Table1[Start Date]&lt;42826),Table1[Emotional and Mental Health],""))</f>
        <v/>
      </c>
      <c r="GB413" s="44" t="str">
        <f>IF(Table1[Date of Initial Assessment]="","",IF(AND(Table1[Start Date]&gt;42460,Table1[Start Date]&lt;42826),Table1[Meaningful Use of Time],""))</f>
        <v/>
      </c>
      <c r="GC413" s="44" t="str">
        <f>IF(Table1[Date of Initial Assessment]="","",IF(AND(Table1[Start Date]&gt;42460,Table1[Start Date]&lt;42826),Table1[Managing Tenancy and Accommodation],""))</f>
        <v/>
      </c>
      <c r="GD413" s="44" t="str">
        <f>IF(Table1[Date of Initial Assessment]="","",IF(AND(Table1[Start Date]&gt;42460,Table1[Start Date]&lt;42826),Table1[Offending],""))</f>
        <v/>
      </c>
      <c r="GE413" s="44" t="str">
        <f>IF(Table1[Leaving Date]="","",IF(AND(Table1[Leaving Date]&gt;42460,Table1[Leaving Date]&lt;42826),IF(Table1[Date of Last Assessment]="",Table1[Motivation and Taking Responsibility],Table1[Motivation and Taking Responsibility2]),""))</f>
        <v/>
      </c>
      <c r="GF413" s="44" t="str">
        <f>IF(Table1[Leaving Date]="","",IF(AND(Table1[Leaving Date]&gt;42460,Table1[Leaving Date]&lt;42826),IF(Table1[Date of Last Assessment]="",Table1[Self-Care and Living Skills],Table1[Self-Care and Living Skills2]),""))</f>
        <v/>
      </c>
      <c r="GG413" s="44" t="str">
        <f>IF(Table1[Leaving Date]="","",IF(AND(Table1[Leaving Date]&gt;42460,Table1[Leaving Date]&lt;42826),IF(Table1[Date of Last Assessment]="",Table1[Managing Money and Personal Administration],Table1[Managing Money and Personal Administration2]),""))</f>
        <v/>
      </c>
      <c r="GH413" s="44" t="str">
        <f>IF(Table1[Leaving Date]="","",IF(AND(Table1[Leaving Date]&gt;42460,Table1[Leaving Date]&lt;42826),IF(Table1[Date of Last Assessment]="",Table1[Social Networks and Relationships],Table1[Social Networks and Relationships2]),""))</f>
        <v/>
      </c>
      <c r="GI413" s="44" t="str">
        <f>IF(Table1[Leaving Date]="","",IF(AND(Table1[Leaving Date]&gt;42460,Table1[Leaving Date]&lt;42826),IF(Table1[Date of Last Assessment]="",Table1[Drug and Alcohol Misuse],Table1[Drug and Alcohol Misuse2]),""))</f>
        <v/>
      </c>
      <c r="GJ413" s="44" t="str">
        <f>IF(Table1[Leaving Date]="","",IF(AND(Table1[Leaving Date]&gt;42460,Table1[Leaving Date]&lt;42826),IF(Table1[Date of Last Assessment]="",Table1[Physical Health],Table1[Physical Health2]),""))</f>
        <v/>
      </c>
      <c r="GK413" s="44" t="str">
        <f>IF(Table1[Leaving Date]="","",IF(AND(Table1[Leaving Date]&gt;42460,Table1[Leaving Date]&lt;42826),IF(Table1[Date of Last Assessment]="",Table1[Emotional and Mental Health],Table1[Emotional and Mental Health2]),""))</f>
        <v/>
      </c>
      <c r="GL413" s="44" t="str">
        <f>IF(Table1[Leaving Date]="","",IF(AND(Table1[Leaving Date]&gt;42460,Table1[Leaving Date]&lt;42826),IF(Table1[Date of Last Assessment]="",Table1[Meaningful Use of Time],Table1[Meaningful Use of Time2]),""))</f>
        <v/>
      </c>
      <c r="GM413" s="44" t="str">
        <f>IF(Table1[Leaving Date]="","",IF(AND(Table1[Leaving Date]&gt;42460,Table1[Leaving Date]&lt;42826),IF(Table1[Date of Last Assessment]="",Table1[Managing Tenancy and Accommodation],Table1[Managing Tenancy and Accommodation2]),""))</f>
        <v/>
      </c>
      <c r="GN413" s="44" t="str">
        <f>IF(Table1[Leaving Date]="","",IF(AND(Table1[Leaving Date]&gt;42460,Table1[Leaving Date]&lt;42826),IF(Table1[Date of Last Assessment]="",Table1[Offending],Table1[Offending2]),""))</f>
        <v/>
      </c>
    </row>
    <row r="414" spans="2:196" ht="20.100000000000001" customHeight="1" x14ac:dyDescent="0.2">
      <c r="B414" s="86">
        <f>+'Service Data'!$C$5:$C$5</f>
        <v>0</v>
      </c>
      <c r="C414" s="86"/>
      <c r="D414" s="86"/>
      <c r="E414" s="86"/>
      <c r="F414" s="86"/>
      <c r="G414" s="86"/>
      <c r="H414" s="6"/>
      <c r="I414" s="99" t="str">
        <f ca="1">IF(Table1[[#This Row],[Date of Birth]]="","",SUM(TODAY()-Table1[[#This Row],[Date of Birth]])/365)</f>
        <v/>
      </c>
      <c r="L414" s="86"/>
      <c r="M414" s="77"/>
      <c r="N414" s="86"/>
      <c r="O414" s="86"/>
      <c r="P414" s="91"/>
      <c r="Q414" s="86"/>
      <c r="R414" s="77"/>
      <c r="S414" s="77"/>
      <c r="T414" s="68"/>
      <c r="U414" s="68"/>
      <c r="V414" s="67"/>
      <c r="W414" s="67"/>
      <c r="X414" s="67"/>
      <c r="Y414" s="67"/>
      <c r="Z414" s="67"/>
      <c r="AA414" s="67"/>
      <c r="AB414" s="67"/>
      <c r="AC414" s="67"/>
      <c r="AD414" s="67"/>
      <c r="AE414" s="67"/>
      <c r="AF414" s="67"/>
      <c r="AG414" s="67"/>
      <c r="AH414" s="67"/>
      <c r="AI414" s="67"/>
      <c r="AJ414" s="67"/>
      <c r="AK414" s="67"/>
      <c r="AL414" s="67"/>
      <c r="AM414" s="67"/>
      <c r="AN414" s="77"/>
      <c r="AO414" s="76"/>
      <c r="AP414" s="77"/>
      <c r="AQ414" s="76"/>
      <c r="AR414" s="76"/>
      <c r="AS414" s="76"/>
      <c r="AT414" s="76"/>
      <c r="AU414" s="76"/>
      <c r="AV414" s="77"/>
      <c r="AW414" s="76"/>
      <c r="AX414" s="77"/>
      <c r="AY414" s="76"/>
      <c r="AZ414" s="76"/>
      <c r="BA414" s="76"/>
      <c r="BB414" s="76"/>
      <c r="BC414" s="76"/>
      <c r="BD414" s="77"/>
      <c r="BE414" s="76"/>
      <c r="BF414" s="77"/>
      <c r="BG414" s="76"/>
      <c r="BH414" s="76"/>
      <c r="BI414" s="76"/>
      <c r="BJ414" s="76"/>
      <c r="BK414" s="76"/>
      <c r="BL414" s="77"/>
      <c r="BM414" s="76"/>
      <c r="BN414" s="77"/>
      <c r="BO414" s="76"/>
      <c r="BP414" s="76"/>
      <c r="BQ414" s="76"/>
      <c r="BR414" s="76"/>
      <c r="BS414" s="76"/>
      <c r="BT414" s="77"/>
      <c r="BU414" s="76"/>
      <c r="BV414" s="77"/>
      <c r="BW414" s="76"/>
      <c r="BX414" s="76"/>
      <c r="BY414" s="76"/>
      <c r="BZ414" s="76"/>
      <c r="CA414" s="76"/>
      <c r="CB414" s="77"/>
      <c r="CC414" s="76"/>
      <c r="CD414" s="77"/>
      <c r="CE414" s="76"/>
      <c r="CF414" s="76"/>
      <c r="CG414" s="76"/>
      <c r="CH414" s="76"/>
      <c r="CI414" s="76"/>
      <c r="CJ414" s="77"/>
      <c r="CK414" s="76"/>
      <c r="CL414" s="77"/>
      <c r="CM414" s="76"/>
      <c r="CN414" s="76"/>
      <c r="CO414" s="76"/>
      <c r="CP414" s="76"/>
      <c r="CQ414" s="76"/>
      <c r="CR414" s="78" t="str">
        <f t="shared" si="111"/>
        <v/>
      </c>
      <c r="CS414" s="79" t="str">
        <f t="shared" si="112"/>
        <v/>
      </c>
      <c r="CT414" s="79" t="str">
        <f t="shared" si="113"/>
        <v/>
      </c>
      <c r="CU414" s="79" t="str">
        <f t="shared" si="114"/>
        <v/>
      </c>
      <c r="CV414" s="79" t="str">
        <f t="shared" si="115"/>
        <v/>
      </c>
      <c r="CW414" s="79" t="str">
        <f t="shared" si="116"/>
        <v/>
      </c>
      <c r="CX414" s="79" t="str">
        <f t="shared" si="117"/>
        <v/>
      </c>
      <c r="CY414" s="79" t="str">
        <f t="shared" si="118"/>
        <v/>
      </c>
      <c r="CZ414" s="79" t="str">
        <f t="shared" si="119"/>
        <v/>
      </c>
      <c r="DA414" s="79" t="str">
        <f t="shared" si="120"/>
        <v/>
      </c>
      <c r="DB414" s="79" t="str">
        <f t="shared" si="121"/>
        <v/>
      </c>
      <c r="DC414" s="79" t="str">
        <f t="shared" si="122"/>
        <v/>
      </c>
      <c r="DD414" s="79" t="str">
        <f t="shared" si="123"/>
        <v/>
      </c>
      <c r="DE414" s="79" t="str">
        <f t="shared" si="124"/>
        <v/>
      </c>
      <c r="DF414" s="79" t="str">
        <f t="shared" si="125"/>
        <v/>
      </c>
      <c r="DG414" s="79" t="str">
        <f t="shared" si="126"/>
        <v/>
      </c>
      <c r="DH414" s="76"/>
      <c r="DI414" s="78"/>
      <c r="DJ414" s="76"/>
      <c r="DK414" s="77"/>
      <c r="DL414" s="77"/>
      <c r="DM414" s="77"/>
      <c r="DN414" s="80"/>
      <c r="DO414" s="80"/>
      <c r="DP414" s="92" t="str">
        <f>IF(Table1[Start Date]="","",IF(Table1[Start Date]&gt;42185,"",IF(AND(Table1[Leaving Date]&gt;1,Table1[Leaving Date]&lt;42095),"",1)))</f>
        <v/>
      </c>
      <c r="DQ414" s="92" t="str">
        <f>IF(Table1[Start Date]="","",IF(Table1[Start Date]&gt;42277,"",IF(AND(Table1[Leaving Date]&gt;1,Table1[Leaving Date]&lt;42186),"",1)))</f>
        <v/>
      </c>
      <c r="DR414" s="92" t="str">
        <f>IF(Table1[Start Date]="","",IF(Table1[Start Date]&gt;42369,"",IF(AND(Table1[Leaving Date]&gt;1,Table1[Leaving Date]&lt;42278),"",1)))</f>
        <v/>
      </c>
      <c r="DS414" s="92" t="str">
        <f>IF(Table1[Start Date]="","",IF(Table1[Start Date]&gt;42460,"",IF(AND(Table1[Leaving Date]&gt;1,Table1[Leaving Date]&lt;42370),"",1)))</f>
        <v/>
      </c>
      <c r="DT414" s="92" t="str">
        <f>IF(Table1[Start Date]="","",IF(Table1[Start Date]&gt;42551,"",IF(AND(Table1[Leaving Date]&gt;1,Table1[Leaving Date]&lt;42461),"",1)))</f>
        <v/>
      </c>
      <c r="DU414" s="92" t="str">
        <f>IF(Table1[Start Date]="","",IF(Table1[Start Date]&gt;42643,"",IF(AND(Table1[Leaving Date]&gt;1,Table1[Leaving Date]&lt;42552),"",1)))</f>
        <v/>
      </c>
      <c r="DV414" s="92" t="str">
        <f>IF(Table1[Start Date]="","",IF(Table1[Start Date]&gt;42735,"",IF(AND(Table1[Leaving Date]&gt;1,Table1[Leaving Date]&lt;42644),"",1)))</f>
        <v/>
      </c>
      <c r="DW414" s="92" t="str">
        <f>IF(Table1[Start Date]="","",IF(Table1[Start Date]&gt;42825,"",IF(AND(Table1[Leaving Date]&gt;1,Table1[Leaving Date]&lt;42736),"",1)))</f>
        <v/>
      </c>
      <c r="DX414"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414" s="44" t="e">
        <f>VLOOKUP(Table1[Referral Source],Lists!$G$2:$H$20,2,FALSE)</f>
        <v>#N/A</v>
      </c>
      <c r="DZ414" s="93" t="e">
        <f>SUM(Table1[Data Referral Quarter]+Table1[Data Referral Source])</f>
        <v>#N/A</v>
      </c>
      <c r="EA414" s="44" t="b">
        <f>IF(Table1[Referral Decision]="Accepted",100,IF(Table1[Referral Decision]="Rejected by Provider",200,IF(Table1[Referral Decision]="Rejected by Applicant",300)))</f>
        <v>0</v>
      </c>
      <c r="EB414" s="44">
        <f>SUM(Table1[Data Referral Quarter]+Table1[Data Referral Decision])</f>
        <v>0</v>
      </c>
      <c r="EC414" s="44" t="b">
        <f>IF(Table1[Start Date]&gt;42735,8000,IF(Table1[Start Date]&gt;42643,7000,IF(Table1[Start Date]&gt;42551,6000,IF(Table1[Start Date]&gt;42460,5000,IF(Table1[Start Date]&gt;42369,4000,IF(Table1[Start Date]&gt;42277,3000,IF(Table1[Start Date]&gt;42185,2000,IF(Table1[Start Date]&gt;42094,1000))))))))</f>
        <v>0</v>
      </c>
      <c r="ED414" s="44" t="str">
        <f>IF(Table1[Start Date]="","",IF(Table1[Current Local Authority]="Swindon",1,"2"))</f>
        <v/>
      </c>
      <c r="EE414" s="44" t="e">
        <f>SUM(Table1[Data Start Date]+Table1[Data Local Authority])</f>
        <v>#VALUE!</v>
      </c>
      <c r="EF414" s="44">
        <f>IF(Table1[Registered with GP]="Yes",1,0)</f>
        <v>0</v>
      </c>
      <c r="EG414" s="44">
        <f>SUM(Table1[Data Start Date]+Table1[Data GP Start])</f>
        <v>0</v>
      </c>
      <c r="EH414" s="44" t="str">
        <f>IF(Table1[EET]="NEET",1,IF(Table1[EET]="Education",2,IF(Table1[EET]="Employment",2,IF(Table1[EET]="Training",2,IF(Table1[EET]="Retired",3,"")))))</f>
        <v/>
      </c>
      <c r="EI414" s="44" t="e">
        <f>Table1[Data Start Date]+Table1[Data EET Start]</f>
        <v>#VALUE!</v>
      </c>
      <c r="EJ414" s="44" t="b">
        <f>IF(Table1[Leaving Date]&gt;42735,8000,IF(Table1[Leaving Date]&gt;42643,7000,IF(Table1[Leaving Date]&gt;42551,6000,IF(Table1[Leaving Date]&gt;42460,5000,IF(Table1[Leaving Date]&gt;42369,4000,IF(Table1[Leaving Date]&gt;42277,3000,IF(Table1[Leaving Date]&gt;42185,2000,IF(Table1[Leaving Date]&gt;42094,1000))))))))</f>
        <v>0</v>
      </c>
      <c r="EK414" s="44" t="e">
        <f>VLOOKUP(Table1[Reason for Leaving],Lists!$T$2:$U$15,2,FALSE)</f>
        <v>#N/A</v>
      </c>
      <c r="EL414" s="44" t="e">
        <f>SUM(Table1[Data Leavers Date]+Table1[Data Move On])</f>
        <v>#N/A</v>
      </c>
      <c r="EM414" s="44" t="b">
        <f>IF(Table1[Registered with GP2]="Yes",1,IF(Table1[Registered with GP2]="No",0,IF(Table1[Registered with GP]="Yes",1,IF(Table1[Registered with GP]="No",0))))</f>
        <v>0</v>
      </c>
      <c r="EN414" s="44">
        <f>SUM(Table1[Data Leavers Date]+Table1[Data GP End])</f>
        <v>0</v>
      </c>
      <c r="EO414" s="44" t="str">
        <f>IF(Table1[EET2]="NEET",1,IF(Table1[EET2]="Employment",2,IF(Table1[EET2]="Education",2,IF(Table1[EET2]="Training",2,IF(Table1[EET2]="Retired",3,IF(Table1[EET]="NEET",1,IF(Table1[EET]="Employment",2,IF(Table1[EET]="Education",2,IF(Table1[EET]="Training",2,IF(Table1[EET]="Retired",3,""))))))))))</f>
        <v/>
      </c>
      <c r="EP414" s="44" t="e">
        <f>+Table1[[#This Row],[Data Leavers Date]]+Table1[[#This Row],[Data EET End]]</f>
        <v>#VALUE!</v>
      </c>
      <c r="EQ414" s="44">
        <f>IF(Table1[Exit Form Received]="Yes",1,0)</f>
        <v>0</v>
      </c>
      <c r="ER414" s="44">
        <f>+Table1[[#This Row],[Data Leavers Date]]+Table1[[#This Row],[Data Exit Forms]]</f>
        <v>0</v>
      </c>
      <c r="ES414" s="44" t="str">
        <f>IF(Table1[Data Leavers Date]=1000,SUM(Table1[Leaving Date]-Table1[Start Date]),"")</f>
        <v/>
      </c>
      <c r="ET414" s="44" t="str">
        <f>IF(Table1[Data Leavers Date]=2000,SUM(Table1[Leaving Date]-Table1[Start Date]),"")</f>
        <v/>
      </c>
      <c r="EU414" s="44" t="str">
        <f>IF(Table1[Data Leavers Date]=3000,SUM(Table1[Leaving Date]-Table1[Start Date]),"")</f>
        <v/>
      </c>
      <c r="EV414" s="44" t="str">
        <f>IF(Table1[Data Leavers Date]=4000,SUM(Table1[Leaving Date]-Table1[Start Date]),"")</f>
        <v/>
      </c>
      <c r="EW414" s="44" t="str">
        <f>IF(Table1[Data Leavers Date]=5000,SUM(Table1[Leaving Date]-Table1[Start Date]),"")</f>
        <v/>
      </c>
      <c r="EX414" s="44" t="str">
        <f>IF(Table1[Data Leavers Date]=6000,SUM(Table1[Leaving Date]-Table1[Start Date]),"")</f>
        <v/>
      </c>
      <c r="EY414" s="44" t="str">
        <f>IF(Table1[Data Leavers Date]=7000,SUM(Table1[Leaving Date]-Table1[Start Date]),"")</f>
        <v/>
      </c>
      <c r="EZ414" s="44" t="str">
        <f>IF(Table1[Data Leavers Date]=8000,SUM(Table1[Leaving Date]-Table1[Start Date]),"")</f>
        <v/>
      </c>
      <c r="FA414" s="44" t="str">
        <f>IF(Table1[Date of Initial Assessment]="","",IF(AND(Table1[Start Date]&gt;42094,Table1[Start Date]&lt;42461),Table1[Motivation and Taking Responsibility],""))</f>
        <v/>
      </c>
      <c r="FB414" s="44" t="str">
        <f>IF(Table1[Date of Initial Assessment]="","",IF(AND(Table1[Start Date]&gt;42094,Table1[Start Date]&lt;42461),Table1[Self-Care and Living Skills],""))</f>
        <v/>
      </c>
      <c r="FC414" s="44" t="str">
        <f>IF(Table1[Date of Initial Assessment]="","",IF(AND(Table1[Start Date]&gt;42094,Table1[Start Date]&lt;42461),Table1[Managing Money and Personal Administration],""))</f>
        <v/>
      </c>
      <c r="FD414" s="44" t="str">
        <f>IF(Table1[Date of Initial Assessment]="","",IF(AND(Table1[Start Date]&gt;42094,Table1[Start Date]&lt;42461),Table1[Social Networks and Relationships],""))</f>
        <v/>
      </c>
      <c r="FE414" s="44" t="str">
        <f>IF(Table1[Date of Initial Assessment]="","",IF(AND(Table1[Start Date]&gt;42094,Table1[Start Date]&lt;42461),Table1[Drug and Alcohol Misuse],""))</f>
        <v/>
      </c>
      <c r="FF414" s="44" t="str">
        <f>IF(Table1[Date of Initial Assessment]="","",IF(AND(Table1[Start Date]&gt;42094,Table1[Start Date]&lt;42461),Table1[Physical Health],""))</f>
        <v/>
      </c>
      <c r="FG414" s="44" t="str">
        <f>IF(Table1[Date of Initial Assessment]="","",IF(AND(Table1[Start Date]&gt;42094,Table1[Start Date]&lt;42461),Table1[Emotional and Mental Health],""))</f>
        <v/>
      </c>
      <c r="FH414" s="44" t="str">
        <f>IF(Table1[Date of Initial Assessment]="","",IF(AND(Table1[Start Date]&gt;42094,Table1[Start Date]&lt;42461),Table1[Meaningful Use of Time],""))</f>
        <v/>
      </c>
      <c r="FI414" s="44" t="str">
        <f>IF(Table1[Date of Initial Assessment]="","",IF(AND(Table1[Start Date]&gt;42094,Table1[Start Date]&lt;42461),Table1[Managing Tenancy and Accommodation],""))</f>
        <v/>
      </c>
      <c r="FJ414" s="44" t="str">
        <f>IF(Table1[Date of Initial Assessment]="","",IF(AND(Table1[Start Date]&gt;42094,Table1[Start Date]&lt;42461),Table1[Offending],""))</f>
        <v/>
      </c>
      <c r="FK414" s="44" t="str">
        <f>IF(Table1[Leaving Date]="","",IF(Table1[Date of Initial Assessment]="","",IF(AND(Table1[Leaving Date]&gt;42094,Table1[Leaving Date]&lt;42461),IF(Table1[Date of Last Assessment]="",Table1[Motivation and Taking Responsibility],Table1[Motivation and Taking Responsibility2]),"")))</f>
        <v/>
      </c>
      <c r="FL414" s="44" t="str">
        <f>IF(Table1[Leaving Date]="","",IF(Table1[Date of Initial Assessment]="","",IF(AND(Table1[Leaving Date]&gt;42094,Table1[Leaving Date]&lt;42461),IF(Table1[Date of Last Assessment]="",Table1[Self-Care and Living Skills],Table1[Self-Care and Living Skills2]),"")))</f>
        <v/>
      </c>
      <c r="FM414" s="44" t="str">
        <f>IF(Table1[Leaving Date]="","",IF(Table1[Date of Initial Assessment]="","",IF(AND(Table1[Leaving Date]&gt;42094,Table1[Leaving Date]&lt;42461),IF(Table1[Date of Last Assessment]="",Table1[Managing Money and Personal Administration],Table1[Managing Money and Personal Administration2]),"")))</f>
        <v/>
      </c>
      <c r="FN414" s="44" t="str">
        <f>IF(Table1[Leaving Date]="","",IF(Table1[Date of Initial Assessment]="","",IF(AND(Table1[Leaving Date]&gt;42094,Table1[Leaving Date]&lt;42461),IF(Table1[Date of Last Assessment]="",Table1[Social Networks and Relationships],Table1[Social Networks and Relationships2]),"")))</f>
        <v/>
      </c>
      <c r="FO414" s="44" t="str">
        <f>IF(Table1[Leaving Date]="","",IF(Table1[Date of Initial Assessment]="","",IF(AND(Table1[Leaving Date]&gt;42094,Table1[Leaving Date]&lt;42461),IF(Table1[Date of Last Assessment]="",Table1[Drug and Alcohol Misuse],Table1[Drug and Alcohol Misuse2]),"")))</f>
        <v/>
      </c>
      <c r="FP414" s="44" t="str">
        <f>IF(Table1[Leaving Date]="","",IF(Table1[Date of Initial Assessment]="","",IF(AND(Table1[Leaving Date]&gt;42094,Table1[Leaving Date]&lt;42461),IF(Table1[Date of Last Assessment]="",Table1[Physical Health],Table1[Physical Health2]),"")))</f>
        <v/>
      </c>
      <c r="FQ414" s="44" t="str">
        <f>IF(Table1[Leaving Date]="","",IF(Table1[Date of Initial Assessment]="","",IF(AND(Table1[Leaving Date]&gt;42094,Table1[Leaving Date]&lt;42461),IF(Table1[Date of Last Assessment]="",Table1[Emotional and Mental Health],Table1[Emotional and Mental Health2]),"")))</f>
        <v/>
      </c>
      <c r="FR414" s="44" t="str">
        <f>IF(Table1[Leaving Date]="","",IF(Table1[Date of Initial Assessment]="","",IF(AND(Table1[Leaving Date]&gt;42094,Table1[Leaving Date]&lt;42461),IF(Table1[Date of Last Assessment]="",Table1[Meaningful Use of Time],Table1[Meaningful Use of Time2]),"")))</f>
        <v/>
      </c>
      <c r="FS414" s="44" t="str">
        <f>IF(Table1[Leaving Date]="","",IF(Table1[Date of Initial Assessment]="","",IF(AND(Table1[Leaving Date]&gt;42094,Table1[Leaving Date]&lt;42461),IF(Table1[Date of Last Assessment]="",Table1[Managing Tenancy and Accommodation],Table1[Managing Tenancy and Accommodation2]),"")))</f>
        <v/>
      </c>
      <c r="FT414" s="44" t="str">
        <f>IF(Table1[Leaving Date]="","",IF(Table1[Date of Initial Assessment]="","",IF(AND(Table1[Leaving Date]&gt;42094,Table1[Leaving Date]&lt;42461),IF(Table1[Date of Last Assessment]="",Table1[Offending],Table1[Offending2]),"")))</f>
        <v/>
      </c>
      <c r="FU414" s="44" t="str">
        <f>IF(Table1[Date of Initial Assessment]="","",IF(AND(Table1[Start Date]&gt;42460,Table1[Start Date]&lt;42826),Table1[Motivation and Taking Responsibility],""))</f>
        <v/>
      </c>
      <c r="FV414" s="44" t="str">
        <f>IF(Table1[Date of Initial Assessment]="","",IF(AND(Table1[Start Date]&gt;42460,Table1[Start Date]&lt;42826),Table1[Self-Care and Living Skills],""))</f>
        <v/>
      </c>
      <c r="FW414" s="44" t="str">
        <f>IF(Table1[Date of Initial Assessment]="","",IF(AND(Table1[Start Date]&gt;42460,Table1[Start Date]&lt;42826),Table1[Managing Money and Personal Administration],""))</f>
        <v/>
      </c>
      <c r="FX414" s="44" t="str">
        <f>IF(Table1[Date of Initial Assessment]="","",IF(AND(Table1[Start Date]&gt;42460,Table1[Start Date]&lt;42826),Table1[Social Networks and Relationships],""))</f>
        <v/>
      </c>
      <c r="FY414" s="44" t="str">
        <f>IF(Table1[Date of Initial Assessment]="","",IF(AND(Table1[Start Date]&gt;42460,Table1[Start Date]&lt;42826),Table1[Drug and Alcohol Misuse],""))</f>
        <v/>
      </c>
      <c r="FZ414" s="44" t="str">
        <f>IF(Table1[Date of Initial Assessment]="","",IF(AND(Table1[Start Date]&gt;42460,Table1[Start Date]&lt;42826),Table1[Physical Health],""))</f>
        <v/>
      </c>
      <c r="GA414" s="44" t="str">
        <f>IF(Table1[Date of Initial Assessment]="","",IF(AND(Table1[Start Date]&gt;42460,Table1[Start Date]&lt;42826),Table1[Emotional and Mental Health],""))</f>
        <v/>
      </c>
      <c r="GB414" s="44" t="str">
        <f>IF(Table1[Date of Initial Assessment]="","",IF(AND(Table1[Start Date]&gt;42460,Table1[Start Date]&lt;42826),Table1[Meaningful Use of Time],""))</f>
        <v/>
      </c>
      <c r="GC414" s="44" t="str">
        <f>IF(Table1[Date of Initial Assessment]="","",IF(AND(Table1[Start Date]&gt;42460,Table1[Start Date]&lt;42826),Table1[Managing Tenancy and Accommodation],""))</f>
        <v/>
      </c>
      <c r="GD414" s="44" t="str">
        <f>IF(Table1[Date of Initial Assessment]="","",IF(AND(Table1[Start Date]&gt;42460,Table1[Start Date]&lt;42826),Table1[Offending],""))</f>
        <v/>
      </c>
      <c r="GE414" s="44" t="str">
        <f>IF(Table1[Leaving Date]="","",IF(AND(Table1[Leaving Date]&gt;42460,Table1[Leaving Date]&lt;42826),IF(Table1[Date of Last Assessment]="",Table1[Motivation and Taking Responsibility],Table1[Motivation and Taking Responsibility2]),""))</f>
        <v/>
      </c>
      <c r="GF414" s="44" t="str">
        <f>IF(Table1[Leaving Date]="","",IF(AND(Table1[Leaving Date]&gt;42460,Table1[Leaving Date]&lt;42826),IF(Table1[Date of Last Assessment]="",Table1[Self-Care and Living Skills],Table1[Self-Care and Living Skills2]),""))</f>
        <v/>
      </c>
      <c r="GG414" s="44" t="str">
        <f>IF(Table1[Leaving Date]="","",IF(AND(Table1[Leaving Date]&gt;42460,Table1[Leaving Date]&lt;42826),IF(Table1[Date of Last Assessment]="",Table1[Managing Money and Personal Administration],Table1[Managing Money and Personal Administration2]),""))</f>
        <v/>
      </c>
      <c r="GH414" s="44" t="str">
        <f>IF(Table1[Leaving Date]="","",IF(AND(Table1[Leaving Date]&gt;42460,Table1[Leaving Date]&lt;42826),IF(Table1[Date of Last Assessment]="",Table1[Social Networks and Relationships],Table1[Social Networks and Relationships2]),""))</f>
        <v/>
      </c>
      <c r="GI414" s="44" t="str">
        <f>IF(Table1[Leaving Date]="","",IF(AND(Table1[Leaving Date]&gt;42460,Table1[Leaving Date]&lt;42826),IF(Table1[Date of Last Assessment]="",Table1[Drug and Alcohol Misuse],Table1[Drug and Alcohol Misuse2]),""))</f>
        <v/>
      </c>
      <c r="GJ414" s="44" t="str">
        <f>IF(Table1[Leaving Date]="","",IF(AND(Table1[Leaving Date]&gt;42460,Table1[Leaving Date]&lt;42826),IF(Table1[Date of Last Assessment]="",Table1[Physical Health],Table1[Physical Health2]),""))</f>
        <v/>
      </c>
      <c r="GK414" s="44" t="str">
        <f>IF(Table1[Leaving Date]="","",IF(AND(Table1[Leaving Date]&gt;42460,Table1[Leaving Date]&lt;42826),IF(Table1[Date of Last Assessment]="",Table1[Emotional and Mental Health],Table1[Emotional and Mental Health2]),""))</f>
        <v/>
      </c>
      <c r="GL414" s="44" t="str">
        <f>IF(Table1[Leaving Date]="","",IF(AND(Table1[Leaving Date]&gt;42460,Table1[Leaving Date]&lt;42826),IF(Table1[Date of Last Assessment]="",Table1[Meaningful Use of Time],Table1[Meaningful Use of Time2]),""))</f>
        <v/>
      </c>
      <c r="GM414" s="44" t="str">
        <f>IF(Table1[Leaving Date]="","",IF(AND(Table1[Leaving Date]&gt;42460,Table1[Leaving Date]&lt;42826),IF(Table1[Date of Last Assessment]="",Table1[Managing Tenancy and Accommodation],Table1[Managing Tenancy and Accommodation2]),""))</f>
        <v/>
      </c>
      <c r="GN414" s="44" t="str">
        <f>IF(Table1[Leaving Date]="","",IF(AND(Table1[Leaving Date]&gt;42460,Table1[Leaving Date]&lt;42826),IF(Table1[Date of Last Assessment]="",Table1[Offending],Table1[Offending2]),""))</f>
        <v/>
      </c>
    </row>
    <row r="415" spans="2:196" ht="20.100000000000001" customHeight="1" x14ac:dyDescent="0.2">
      <c r="B415" s="86">
        <f>+'Service Data'!$C$5:$C$5</f>
        <v>0</v>
      </c>
      <c r="C415" s="86"/>
      <c r="D415" s="86"/>
      <c r="E415" s="86"/>
      <c r="F415" s="86"/>
      <c r="G415" s="86"/>
      <c r="H415" s="6"/>
      <c r="I415" s="99" t="str">
        <f ca="1">IF(Table1[[#This Row],[Date of Birth]]="","",SUM(TODAY()-Table1[[#This Row],[Date of Birth]])/365)</f>
        <v/>
      </c>
      <c r="L415" s="86"/>
      <c r="M415" s="77"/>
      <c r="N415" s="86"/>
      <c r="O415" s="86"/>
      <c r="P415" s="91"/>
      <c r="Q415" s="86"/>
      <c r="R415" s="77"/>
      <c r="S415" s="77"/>
      <c r="T415" s="68"/>
      <c r="U415" s="68"/>
      <c r="V415" s="67"/>
      <c r="W415" s="67"/>
      <c r="X415" s="67"/>
      <c r="Y415" s="67"/>
      <c r="Z415" s="67"/>
      <c r="AA415" s="67"/>
      <c r="AB415" s="67"/>
      <c r="AC415" s="67"/>
      <c r="AD415" s="67"/>
      <c r="AE415" s="67"/>
      <c r="AF415" s="67"/>
      <c r="AG415" s="67"/>
      <c r="AH415" s="67"/>
      <c r="AI415" s="67"/>
      <c r="AJ415" s="67"/>
      <c r="AK415" s="67"/>
      <c r="AL415" s="67"/>
      <c r="AM415" s="67"/>
      <c r="AN415" s="77"/>
      <c r="AO415" s="76"/>
      <c r="AP415" s="77"/>
      <c r="AQ415" s="76"/>
      <c r="AR415" s="76"/>
      <c r="AS415" s="76"/>
      <c r="AT415" s="76"/>
      <c r="AU415" s="76"/>
      <c r="AV415" s="77"/>
      <c r="AW415" s="76"/>
      <c r="AX415" s="77"/>
      <c r="AY415" s="76"/>
      <c r="AZ415" s="76"/>
      <c r="BA415" s="76"/>
      <c r="BB415" s="76"/>
      <c r="BC415" s="76"/>
      <c r="BD415" s="77"/>
      <c r="BE415" s="76"/>
      <c r="BF415" s="77"/>
      <c r="BG415" s="76"/>
      <c r="BH415" s="76"/>
      <c r="BI415" s="76"/>
      <c r="BJ415" s="76"/>
      <c r="BK415" s="76"/>
      <c r="BL415" s="77"/>
      <c r="BM415" s="76"/>
      <c r="BN415" s="77"/>
      <c r="BO415" s="76"/>
      <c r="BP415" s="76"/>
      <c r="BQ415" s="76"/>
      <c r="BR415" s="76"/>
      <c r="BS415" s="76"/>
      <c r="BT415" s="77"/>
      <c r="BU415" s="76"/>
      <c r="BV415" s="77"/>
      <c r="BW415" s="76"/>
      <c r="BX415" s="76"/>
      <c r="BY415" s="76"/>
      <c r="BZ415" s="76"/>
      <c r="CA415" s="76"/>
      <c r="CB415" s="77"/>
      <c r="CC415" s="76"/>
      <c r="CD415" s="77"/>
      <c r="CE415" s="76"/>
      <c r="CF415" s="76"/>
      <c r="CG415" s="76"/>
      <c r="CH415" s="76"/>
      <c r="CI415" s="76"/>
      <c r="CJ415" s="77"/>
      <c r="CK415" s="76"/>
      <c r="CL415" s="77"/>
      <c r="CM415" s="76"/>
      <c r="CN415" s="76"/>
      <c r="CO415" s="76"/>
      <c r="CP415" s="76"/>
      <c r="CQ415" s="76"/>
      <c r="CR415" s="78" t="str">
        <f t="shared" si="111"/>
        <v/>
      </c>
      <c r="CS415" s="79" t="str">
        <f t="shared" si="112"/>
        <v/>
      </c>
      <c r="CT415" s="79" t="str">
        <f t="shared" si="113"/>
        <v/>
      </c>
      <c r="CU415" s="79" t="str">
        <f t="shared" si="114"/>
        <v/>
      </c>
      <c r="CV415" s="79" t="str">
        <f t="shared" si="115"/>
        <v/>
      </c>
      <c r="CW415" s="79" t="str">
        <f t="shared" si="116"/>
        <v/>
      </c>
      <c r="CX415" s="79" t="str">
        <f t="shared" si="117"/>
        <v/>
      </c>
      <c r="CY415" s="79" t="str">
        <f t="shared" si="118"/>
        <v/>
      </c>
      <c r="CZ415" s="79" t="str">
        <f t="shared" si="119"/>
        <v/>
      </c>
      <c r="DA415" s="79" t="str">
        <f t="shared" si="120"/>
        <v/>
      </c>
      <c r="DB415" s="79" t="str">
        <f t="shared" si="121"/>
        <v/>
      </c>
      <c r="DC415" s="79" t="str">
        <f t="shared" si="122"/>
        <v/>
      </c>
      <c r="DD415" s="79" t="str">
        <f t="shared" si="123"/>
        <v/>
      </c>
      <c r="DE415" s="79" t="str">
        <f t="shared" si="124"/>
        <v/>
      </c>
      <c r="DF415" s="79" t="str">
        <f t="shared" si="125"/>
        <v/>
      </c>
      <c r="DG415" s="79" t="str">
        <f t="shared" si="126"/>
        <v/>
      </c>
      <c r="DH415" s="76"/>
      <c r="DI415" s="78"/>
      <c r="DJ415" s="76"/>
      <c r="DK415" s="77"/>
      <c r="DL415" s="77"/>
      <c r="DM415" s="77"/>
      <c r="DN415" s="80"/>
      <c r="DO415" s="80"/>
      <c r="DP415" s="92" t="str">
        <f>IF(Table1[Start Date]="","",IF(Table1[Start Date]&gt;42185,"",IF(AND(Table1[Leaving Date]&gt;1,Table1[Leaving Date]&lt;42095),"",1)))</f>
        <v/>
      </c>
      <c r="DQ415" s="92" t="str">
        <f>IF(Table1[Start Date]="","",IF(Table1[Start Date]&gt;42277,"",IF(AND(Table1[Leaving Date]&gt;1,Table1[Leaving Date]&lt;42186),"",1)))</f>
        <v/>
      </c>
      <c r="DR415" s="92" t="str">
        <f>IF(Table1[Start Date]="","",IF(Table1[Start Date]&gt;42369,"",IF(AND(Table1[Leaving Date]&gt;1,Table1[Leaving Date]&lt;42278),"",1)))</f>
        <v/>
      </c>
      <c r="DS415" s="92" t="str">
        <f>IF(Table1[Start Date]="","",IF(Table1[Start Date]&gt;42460,"",IF(AND(Table1[Leaving Date]&gt;1,Table1[Leaving Date]&lt;42370),"",1)))</f>
        <v/>
      </c>
      <c r="DT415" s="92" t="str">
        <f>IF(Table1[Start Date]="","",IF(Table1[Start Date]&gt;42551,"",IF(AND(Table1[Leaving Date]&gt;1,Table1[Leaving Date]&lt;42461),"",1)))</f>
        <v/>
      </c>
      <c r="DU415" s="92" t="str">
        <f>IF(Table1[Start Date]="","",IF(Table1[Start Date]&gt;42643,"",IF(AND(Table1[Leaving Date]&gt;1,Table1[Leaving Date]&lt;42552),"",1)))</f>
        <v/>
      </c>
      <c r="DV415" s="92" t="str">
        <f>IF(Table1[Start Date]="","",IF(Table1[Start Date]&gt;42735,"",IF(AND(Table1[Leaving Date]&gt;1,Table1[Leaving Date]&lt;42644),"",1)))</f>
        <v/>
      </c>
      <c r="DW415" s="92" t="str">
        <f>IF(Table1[Start Date]="","",IF(Table1[Start Date]&gt;42825,"",IF(AND(Table1[Leaving Date]&gt;1,Table1[Leaving Date]&lt;42736),"",1)))</f>
        <v/>
      </c>
      <c r="DX415"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415" s="44" t="e">
        <f>VLOOKUP(Table1[Referral Source],Lists!$G$2:$H$20,2,FALSE)</f>
        <v>#N/A</v>
      </c>
      <c r="DZ415" s="93" t="e">
        <f>SUM(Table1[Data Referral Quarter]+Table1[Data Referral Source])</f>
        <v>#N/A</v>
      </c>
      <c r="EA415" s="44" t="b">
        <f>IF(Table1[Referral Decision]="Accepted",100,IF(Table1[Referral Decision]="Rejected by Provider",200,IF(Table1[Referral Decision]="Rejected by Applicant",300)))</f>
        <v>0</v>
      </c>
      <c r="EB415" s="44">
        <f>SUM(Table1[Data Referral Quarter]+Table1[Data Referral Decision])</f>
        <v>0</v>
      </c>
      <c r="EC415" s="44" t="b">
        <f>IF(Table1[Start Date]&gt;42735,8000,IF(Table1[Start Date]&gt;42643,7000,IF(Table1[Start Date]&gt;42551,6000,IF(Table1[Start Date]&gt;42460,5000,IF(Table1[Start Date]&gt;42369,4000,IF(Table1[Start Date]&gt;42277,3000,IF(Table1[Start Date]&gt;42185,2000,IF(Table1[Start Date]&gt;42094,1000))))))))</f>
        <v>0</v>
      </c>
      <c r="ED415" s="44" t="str">
        <f>IF(Table1[Start Date]="","",IF(Table1[Current Local Authority]="Swindon",1,"2"))</f>
        <v/>
      </c>
      <c r="EE415" s="44" t="e">
        <f>SUM(Table1[Data Start Date]+Table1[Data Local Authority])</f>
        <v>#VALUE!</v>
      </c>
      <c r="EF415" s="44">
        <f>IF(Table1[Registered with GP]="Yes",1,0)</f>
        <v>0</v>
      </c>
      <c r="EG415" s="44">
        <f>SUM(Table1[Data Start Date]+Table1[Data GP Start])</f>
        <v>0</v>
      </c>
      <c r="EH415" s="44" t="str">
        <f>IF(Table1[EET]="NEET",1,IF(Table1[EET]="Education",2,IF(Table1[EET]="Employment",2,IF(Table1[EET]="Training",2,IF(Table1[EET]="Retired",3,"")))))</f>
        <v/>
      </c>
      <c r="EI415" s="44" t="e">
        <f>Table1[Data Start Date]+Table1[Data EET Start]</f>
        <v>#VALUE!</v>
      </c>
      <c r="EJ415" s="44" t="b">
        <f>IF(Table1[Leaving Date]&gt;42735,8000,IF(Table1[Leaving Date]&gt;42643,7000,IF(Table1[Leaving Date]&gt;42551,6000,IF(Table1[Leaving Date]&gt;42460,5000,IF(Table1[Leaving Date]&gt;42369,4000,IF(Table1[Leaving Date]&gt;42277,3000,IF(Table1[Leaving Date]&gt;42185,2000,IF(Table1[Leaving Date]&gt;42094,1000))))))))</f>
        <v>0</v>
      </c>
      <c r="EK415" s="44" t="e">
        <f>VLOOKUP(Table1[Reason for Leaving],Lists!$T$2:$U$15,2,FALSE)</f>
        <v>#N/A</v>
      </c>
      <c r="EL415" s="44" t="e">
        <f>SUM(Table1[Data Leavers Date]+Table1[Data Move On])</f>
        <v>#N/A</v>
      </c>
      <c r="EM415" s="44" t="b">
        <f>IF(Table1[Registered with GP2]="Yes",1,IF(Table1[Registered with GP2]="No",0,IF(Table1[Registered with GP]="Yes",1,IF(Table1[Registered with GP]="No",0))))</f>
        <v>0</v>
      </c>
      <c r="EN415" s="44">
        <f>SUM(Table1[Data Leavers Date]+Table1[Data GP End])</f>
        <v>0</v>
      </c>
      <c r="EO415" s="44" t="str">
        <f>IF(Table1[EET2]="NEET",1,IF(Table1[EET2]="Employment",2,IF(Table1[EET2]="Education",2,IF(Table1[EET2]="Training",2,IF(Table1[EET2]="Retired",3,IF(Table1[EET]="NEET",1,IF(Table1[EET]="Employment",2,IF(Table1[EET]="Education",2,IF(Table1[EET]="Training",2,IF(Table1[EET]="Retired",3,""))))))))))</f>
        <v/>
      </c>
      <c r="EP415" s="44" t="e">
        <f>+Table1[[#This Row],[Data Leavers Date]]+Table1[[#This Row],[Data EET End]]</f>
        <v>#VALUE!</v>
      </c>
      <c r="EQ415" s="44">
        <f>IF(Table1[Exit Form Received]="Yes",1,0)</f>
        <v>0</v>
      </c>
      <c r="ER415" s="44">
        <f>+Table1[[#This Row],[Data Leavers Date]]+Table1[[#This Row],[Data Exit Forms]]</f>
        <v>0</v>
      </c>
      <c r="ES415" s="44" t="str">
        <f>IF(Table1[Data Leavers Date]=1000,SUM(Table1[Leaving Date]-Table1[Start Date]),"")</f>
        <v/>
      </c>
      <c r="ET415" s="44" t="str">
        <f>IF(Table1[Data Leavers Date]=2000,SUM(Table1[Leaving Date]-Table1[Start Date]),"")</f>
        <v/>
      </c>
      <c r="EU415" s="44" t="str">
        <f>IF(Table1[Data Leavers Date]=3000,SUM(Table1[Leaving Date]-Table1[Start Date]),"")</f>
        <v/>
      </c>
      <c r="EV415" s="44" t="str">
        <f>IF(Table1[Data Leavers Date]=4000,SUM(Table1[Leaving Date]-Table1[Start Date]),"")</f>
        <v/>
      </c>
      <c r="EW415" s="44" t="str">
        <f>IF(Table1[Data Leavers Date]=5000,SUM(Table1[Leaving Date]-Table1[Start Date]),"")</f>
        <v/>
      </c>
      <c r="EX415" s="44" t="str">
        <f>IF(Table1[Data Leavers Date]=6000,SUM(Table1[Leaving Date]-Table1[Start Date]),"")</f>
        <v/>
      </c>
      <c r="EY415" s="44" t="str">
        <f>IF(Table1[Data Leavers Date]=7000,SUM(Table1[Leaving Date]-Table1[Start Date]),"")</f>
        <v/>
      </c>
      <c r="EZ415" s="44" t="str">
        <f>IF(Table1[Data Leavers Date]=8000,SUM(Table1[Leaving Date]-Table1[Start Date]),"")</f>
        <v/>
      </c>
      <c r="FA415" s="44" t="str">
        <f>IF(Table1[Date of Initial Assessment]="","",IF(AND(Table1[Start Date]&gt;42094,Table1[Start Date]&lt;42461),Table1[Motivation and Taking Responsibility],""))</f>
        <v/>
      </c>
      <c r="FB415" s="44" t="str">
        <f>IF(Table1[Date of Initial Assessment]="","",IF(AND(Table1[Start Date]&gt;42094,Table1[Start Date]&lt;42461),Table1[Self-Care and Living Skills],""))</f>
        <v/>
      </c>
      <c r="FC415" s="44" t="str">
        <f>IF(Table1[Date of Initial Assessment]="","",IF(AND(Table1[Start Date]&gt;42094,Table1[Start Date]&lt;42461),Table1[Managing Money and Personal Administration],""))</f>
        <v/>
      </c>
      <c r="FD415" s="44" t="str">
        <f>IF(Table1[Date of Initial Assessment]="","",IF(AND(Table1[Start Date]&gt;42094,Table1[Start Date]&lt;42461),Table1[Social Networks and Relationships],""))</f>
        <v/>
      </c>
      <c r="FE415" s="44" t="str">
        <f>IF(Table1[Date of Initial Assessment]="","",IF(AND(Table1[Start Date]&gt;42094,Table1[Start Date]&lt;42461),Table1[Drug and Alcohol Misuse],""))</f>
        <v/>
      </c>
      <c r="FF415" s="44" t="str">
        <f>IF(Table1[Date of Initial Assessment]="","",IF(AND(Table1[Start Date]&gt;42094,Table1[Start Date]&lt;42461),Table1[Physical Health],""))</f>
        <v/>
      </c>
      <c r="FG415" s="44" t="str">
        <f>IF(Table1[Date of Initial Assessment]="","",IF(AND(Table1[Start Date]&gt;42094,Table1[Start Date]&lt;42461),Table1[Emotional and Mental Health],""))</f>
        <v/>
      </c>
      <c r="FH415" s="44" t="str">
        <f>IF(Table1[Date of Initial Assessment]="","",IF(AND(Table1[Start Date]&gt;42094,Table1[Start Date]&lt;42461),Table1[Meaningful Use of Time],""))</f>
        <v/>
      </c>
      <c r="FI415" s="44" t="str">
        <f>IF(Table1[Date of Initial Assessment]="","",IF(AND(Table1[Start Date]&gt;42094,Table1[Start Date]&lt;42461),Table1[Managing Tenancy and Accommodation],""))</f>
        <v/>
      </c>
      <c r="FJ415" s="44" t="str">
        <f>IF(Table1[Date of Initial Assessment]="","",IF(AND(Table1[Start Date]&gt;42094,Table1[Start Date]&lt;42461),Table1[Offending],""))</f>
        <v/>
      </c>
      <c r="FK415" s="44" t="str">
        <f>IF(Table1[Leaving Date]="","",IF(Table1[Date of Initial Assessment]="","",IF(AND(Table1[Leaving Date]&gt;42094,Table1[Leaving Date]&lt;42461),IF(Table1[Date of Last Assessment]="",Table1[Motivation and Taking Responsibility],Table1[Motivation and Taking Responsibility2]),"")))</f>
        <v/>
      </c>
      <c r="FL415" s="44" t="str">
        <f>IF(Table1[Leaving Date]="","",IF(Table1[Date of Initial Assessment]="","",IF(AND(Table1[Leaving Date]&gt;42094,Table1[Leaving Date]&lt;42461),IF(Table1[Date of Last Assessment]="",Table1[Self-Care and Living Skills],Table1[Self-Care and Living Skills2]),"")))</f>
        <v/>
      </c>
      <c r="FM415" s="44" t="str">
        <f>IF(Table1[Leaving Date]="","",IF(Table1[Date of Initial Assessment]="","",IF(AND(Table1[Leaving Date]&gt;42094,Table1[Leaving Date]&lt;42461),IF(Table1[Date of Last Assessment]="",Table1[Managing Money and Personal Administration],Table1[Managing Money and Personal Administration2]),"")))</f>
        <v/>
      </c>
      <c r="FN415" s="44" t="str">
        <f>IF(Table1[Leaving Date]="","",IF(Table1[Date of Initial Assessment]="","",IF(AND(Table1[Leaving Date]&gt;42094,Table1[Leaving Date]&lt;42461),IF(Table1[Date of Last Assessment]="",Table1[Social Networks and Relationships],Table1[Social Networks and Relationships2]),"")))</f>
        <v/>
      </c>
      <c r="FO415" s="44" t="str">
        <f>IF(Table1[Leaving Date]="","",IF(Table1[Date of Initial Assessment]="","",IF(AND(Table1[Leaving Date]&gt;42094,Table1[Leaving Date]&lt;42461),IF(Table1[Date of Last Assessment]="",Table1[Drug and Alcohol Misuse],Table1[Drug and Alcohol Misuse2]),"")))</f>
        <v/>
      </c>
      <c r="FP415" s="44" t="str">
        <f>IF(Table1[Leaving Date]="","",IF(Table1[Date of Initial Assessment]="","",IF(AND(Table1[Leaving Date]&gt;42094,Table1[Leaving Date]&lt;42461),IF(Table1[Date of Last Assessment]="",Table1[Physical Health],Table1[Physical Health2]),"")))</f>
        <v/>
      </c>
      <c r="FQ415" s="44" t="str">
        <f>IF(Table1[Leaving Date]="","",IF(Table1[Date of Initial Assessment]="","",IF(AND(Table1[Leaving Date]&gt;42094,Table1[Leaving Date]&lt;42461),IF(Table1[Date of Last Assessment]="",Table1[Emotional and Mental Health],Table1[Emotional and Mental Health2]),"")))</f>
        <v/>
      </c>
      <c r="FR415" s="44" t="str">
        <f>IF(Table1[Leaving Date]="","",IF(Table1[Date of Initial Assessment]="","",IF(AND(Table1[Leaving Date]&gt;42094,Table1[Leaving Date]&lt;42461),IF(Table1[Date of Last Assessment]="",Table1[Meaningful Use of Time],Table1[Meaningful Use of Time2]),"")))</f>
        <v/>
      </c>
      <c r="FS415" s="44" t="str">
        <f>IF(Table1[Leaving Date]="","",IF(Table1[Date of Initial Assessment]="","",IF(AND(Table1[Leaving Date]&gt;42094,Table1[Leaving Date]&lt;42461),IF(Table1[Date of Last Assessment]="",Table1[Managing Tenancy and Accommodation],Table1[Managing Tenancy and Accommodation2]),"")))</f>
        <v/>
      </c>
      <c r="FT415" s="44" t="str">
        <f>IF(Table1[Leaving Date]="","",IF(Table1[Date of Initial Assessment]="","",IF(AND(Table1[Leaving Date]&gt;42094,Table1[Leaving Date]&lt;42461),IF(Table1[Date of Last Assessment]="",Table1[Offending],Table1[Offending2]),"")))</f>
        <v/>
      </c>
      <c r="FU415" s="44" t="str">
        <f>IF(Table1[Date of Initial Assessment]="","",IF(AND(Table1[Start Date]&gt;42460,Table1[Start Date]&lt;42826),Table1[Motivation and Taking Responsibility],""))</f>
        <v/>
      </c>
      <c r="FV415" s="44" t="str">
        <f>IF(Table1[Date of Initial Assessment]="","",IF(AND(Table1[Start Date]&gt;42460,Table1[Start Date]&lt;42826),Table1[Self-Care and Living Skills],""))</f>
        <v/>
      </c>
      <c r="FW415" s="44" t="str">
        <f>IF(Table1[Date of Initial Assessment]="","",IF(AND(Table1[Start Date]&gt;42460,Table1[Start Date]&lt;42826),Table1[Managing Money and Personal Administration],""))</f>
        <v/>
      </c>
      <c r="FX415" s="44" t="str">
        <f>IF(Table1[Date of Initial Assessment]="","",IF(AND(Table1[Start Date]&gt;42460,Table1[Start Date]&lt;42826),Table1[Social Networks and Relationships],""))</f>
        <v/>
      </c>
      <c r="FY415" s="44" t="str">
        <f>IF(Table1[Date of Initial Assessment]="","",IF(AND(Table1[Start Date]&gt;42460,Table1[Start Date]&lt;42826),Table1[Drug and Alcohol Misuse],""))</f>
        <v/>
      </c>
      <c r="FZ415" s="44" t="str">
        <f>IF(Table1[Date of Initial Assessment]="","",IF(AND(Table1[Start Date]&gt;42460,Table1[Start Date]&lt;42826),Table1[Physical Health],""))</f>
        <v/>
      </c>
      <c r="GA415" s="44" t="str">
        <f>IF(Table1[Date of Initial Assessment]="","",IF(AND(Table1[Start Date]&gt;42460,Table1[Start Date]&lt;42826),Table1[Emotional and Mental Health],""))</f>
        <v/>
      </c>
      <c r="GB415" s="44" t="str">
        <f>IF(Table1[Date of Initial Assessment]="","",IF(AND(Table1[Start Date]&gt;42460,Table1[Start Date]&lt;42826),Table1[Meaningful Use of Time],""))</f>
        <v/>
      </c>
      <c r="GC415" s="44" t="str">
        <f>IF(Table1[Date of Initial Assessment]="","",IF(AND(Table1[Start Date]&gt;42460,Table1[Start Date]&lt;42826),Table1[Managing Tenancy and Accommodation],""))</f>
        <v/>
      </c>
      <c r="GD415" s="44" t="str">
        <f>IF(Table1[Date of Initial Assessment]="","",IF(AND(Table1[Start Date]&gt;42460,Table1[Start Date]&lt;42826),Table1[Offending],""))</f>
        <v/>
      </c>
      <c r="GE415" s="44" t="str">
        <f>IF(Table1[Leaving Date]="","",IF(AND(Table1[Leaving Date]&gt;42460,Table1[Leaving Date]&lt;42826),IF(Table1[Date of Last Assessment]="",Table1[Motivation and Taking Responsibility],Table1[Motivation and Taking Responsibility2]),""))</f>
        <v/>
      </c>
      <c r="GF415" s="44" t="str">
        <f>IF(Table1[Leaving Date]="","",IF(AND(Table1[Leaving Date]&gt;42460,Table1[Leaving Date]&lt;42826),IF(Table1[Date of Last Assessment]="",Table1[Self-Care and Living Skills],Table1[Self-Care and Living Skills2]),""))</f>
        <v/>
      </c>
      <c r="GG415" s="44" t="str">
        <f>IF(Table1[Leaving Date]="","",IF(AND(Table1[Leaving Date]&gt;42460,Table1[Leaving Date]&lt;42826),IF(Table1[Date of Last Assessment]="",Table1[Managing Money and Personal Administration],Table1[Managing Money and Personal Administration2]),""))</f>
        <v/>
      </c>
      <c r="GH415" s="44" t="str">
        <f>IF(Table1[Leaving Date]="","",IF(AND(Table1[Leaving Date]&gt;42460,Table1[Leaving Date]&lt;42826),IF(Table1[Date of Last Assessment]="",Table1[Social Networks and Relationships],Table1[Social Networks and Relationships2]),""))</f>
        <v/>
      </c>
      <c r="GI415" s="44" t="str">
        <f>IF(Table1[Leaving Date]="","",IF(AND(Table1[Leaving Date]&gt;42460,Table1[Leaving Date]&lt;42826),IF(Table1[Date of Last Assessment]="",Table1[Drug and Alcohol Misuse],Table1[Drug and Alcohol Misuse2]),""))</f>
        <v/>
      </c>
      <c r="GJ415" s="44" t="str">
        <f>IF(Table1[Leaving Date]="","",IF(AND(Table1[Leaving Date]&gt;42460,Table1[Leaving Date]&lt;42826),IF(Table1[Date of Last Assessment]="",Table1[Physical Health],Table1[Physical Health2]),""))</f>
        <v/>
      </c>
      <c r="GK415" s="44" t="str">
        <f>IF(Table1[Leaving Date]="","",IF(AND(Table1[Leaving Date]&gt;42460,Table1[Leaving Date]&lt;42826),IF(Table1[Date of Last Assessment]="",Table1[Emotional and Mental Health],Table1[Emotional and Mental Health2]),""))</f>
        <v/>
      </c>
      <c r="GL415" s="44" t="str">
        <f>IF(Table1[Leaving Date]="","",IF(AND(Table1[Leaving Date]&gt;42460,Table1[Leaving Date]&lt;42826),IF(Table1[Date of Last Assessment]="",Table1[Meaningful Use of Time],Table1[Meaningful Use of Time2]),""))</f>
        <v/>
      </c>
      <c r="GM415" s="44" t="str">
        <f>IF(Table1[Leaving Date]="","",IF(AND(Table1[Leaving Date]&gt;42460,Table1[Leaving Date]&lt;42826),IF(Table1[Date of Last Assessment]="",Table1[Managing Tenancy and Accommodation],Table1[Managing Tenancy and Accommodation2]),""))</f>
        <v/>
      </c>
      <c r="GN415" s="44" t="str">
        <f>IF(Table1[Leaving Date]="","",IF(AND(Table1[Leaving Date]&gt;42460,Table1[Leaving Date]&lt;42826),IF(Table1[Date of Last Assessment]="",Table1[Offending],Table1[Offending2]),""))</f>
        <v/>
      </c>
    </row>
    <row r="416" spans="2:196" ht="20.100000000000001" customHeight="1" x14ac:dyDescent="0.2">
      <c r="B416" s="86">
        <f>+'Service Data'!$C$5:$C$5</f>
        <v>0</v>
      </c>
      <c r="C416" s="86"/>
      <c r="D416" s="86"/>
      <c r="E416" s="86"/>
      <c r="F416" s="86"/>
      <c r="G416" s="86"/>
      <c r="H416" s="6"/>
      <c r="I416" s="99" t="str">
        <f ca="1">IF(Table1[[#This Row],[Date of Birth]]="","",SUM(TODAY()-Table1[[#This Row],[Date of Birth]])/365)</f>
        <v/>
      </c>
      <c r="L416" s="86"/>
      <c r="M416" s="77"/>
      <c r="N416" s="86"/>
      <c r="O416" s="86"/>
      <c r="P416" s="91"/>
      <c r="Q416" s="86"/>
      <c r="R416" s="77"/>
      <c r="S416" s="77"/>
      <c r="T416" s="68"/>
      <c r="U416" s="68"/>
      <c r="V416" s="67"/>
      <c r="W416" s="67"/>
      <c r="X416" s="67"/>
      <c r="Y416" s="67"/>
      <c r="Z416" s="67"/>
      <c r="AA416" s="67"/>
      <c r="AB416" s="67"/>
      <c r="AC416" s="67"/>
      <c r="AD416" s="67"/>
      <c r="AE416" s="67"/>
      <c r="AF416" s="67"/>
      <c r="AG416" s="67"/>
      <c r="AH416" s="67"/>
      <c r="AI416" s="67"/>
      <c r="AJ416" s="67"/>
      <c r="AK416" s="67"/>
      <c r="AL416" s="67"/>
      <c r="AM416" s="67"/>
      <c r="AN416" s="77"/>
      <c r="AO416" s="76"/>
      <c r="AP416" s="77"/>
      <c r="AQ416" s="76"/>
      <c r="AR416" s="76"/>
      <c r="AS416" s="76"/>
      <c r="AT416" s="76"/>
      <c r="AU416" s="76"/>
      <c r="AV416" s="77"/>
      <c r="AW416" s="76"/>
      <c r="AX416" s="77"/>
      <c r="AY416" s="76"/>
      <c r="AZ416" s="76"/>
      <c r="BA416" s="76"/>
      <c r="BB416" s="76"/>
      <c r="BC416" s="76"/>
      <c r="BD416" s="77"/>
      <c r="BE416" s="76"/>
      <c r="BF416" s="77"/>
      <c r="BG416" s="76"/>
      <c r="BH416" s="76"/>
      <c r="BI416" s="76"/>
      <c r="BJ416" s="76"/>
      <c r="BK416" s="76"/>
      <c r="BL416" s="77"/>
      <c r="BM416" s="76"/>
      <c r="BN416" s="77"/>
      <c r="BO416" s="76"/>
      <c r="BP416" s="76"/>
      <c r="BQ416" s="76"/>
      <c r="BR416" s="76"/>
      <c r="BS416" s="76"/>
      <c r="BT416" s="77"/>
      <c r="BU416" s="76"/>
      <c r="BV416" s="77"/>
      <c r="BW416" s="76"/>
      <c r="BX416" s="76"/>
      <c r="BY416" s="76"/>
      <c r="BZ416" s="76"/>
      <c r="CA416" s="76"/>
      <c r="CB416" s="77"/>
      <c r="CC416" s="76"/>
      <c r="CD416" s="77"/>
      <c r="CE416" s="76"/>
      <c r="CF416" s="76"/>
      <c r="CG416" s="76"/>
      <c r="CH416" s="76"/>
      <c r="CI416" s="76"/>
      <c r="CJ416" s="77"/>
      <c r="CK416" s="76"/>
      <c r="CL416" s="77"/>
      <c r="CM416" s="76"/>
      <c r="CN416" s="76"/>
      <c r="CO416" s="76"/>
      <c r="CP416" s="76"/>
      <c r="CQ416" s="76"/>
      <c r="CR416" s="78" t="str">
        <f t="shared" si="111"/>
        <v/>
      </c>
      <c r="CS416" s="79" t="str">
        <f t="shared" si="112"/>
        <v/>
      </c>
      <c r="CT416" s="79" t="str">
        <f t="shared" si="113"/>
        <v/>
      </c>
      <c r="CU416" s="79" t="str">
        <f t="shared" si="114"/>
        <v/>
      </c>
      <c r="CV416" s="79" t="str">
        <f t="shared" si="115"/>
        <v/>
      </c>
      <c r="CW416" s="79" t="str">
        <f t="shared" si="116"/>
        <v/>
      </c>
      <c r="CX416" s="79" t="str">
        <f t="shared" si="117"/>
        <v/>
      </c>
      <c r="CY416" s="79" t="str">
        <f t="shared" si="118"/>
        <v/>
      </c>
      <c r="CZ416" s="79" t="str">
        <f t="shared" si="119"/>
        <v/>
      </c>
      <c r="DA416" s="79" t="str">
        <f t="shared" si="120"/>
        <v/>
      </c>
      <c r="DB416" s="79" t="str">
        <f t="shared" si="121"/>
        <v/>
      </c>
      <c r="DC416" s="79" t="str">
        <f t="shared" si="122"/>
        <v/>
      </c>
      <c r="DD416" s="79" t="str">
        <f t="shared" si="123"/>
        <v/>
      </c>
      <c r="DE416" s="79" t="str">
        <f t="shared" si="124"/>
        <v/>
      </c>
      <c r="DF416" s="79" t="str">
        <f t="shared" si="125"/>
        <v/>
      </c>
      <c r="DG416" s="79" t="str">
        <f t="shared" si="126"/>
        <v/>
      </c>
      <c r="DH416" s="76"/>
      <c r="DI416" s="78"/>
      <c r="DJ416" s="76"/>
      <c r="DK416" s="77"/>
      <c r="DL416" s="77"/>
      <c r="DM416" s="77"/>
      <c r="DN416" s="80"/>
      <c r="DO416" s="80"/>
      <c r="DP416" s="92" t="str">
        <f>IF(Table1[Start Date]="","",IF(Table1[Start Date]&gt;42185,"",IF(AND(Table1[Leaving Date]&gt;1,Table1[Leaving Date]&lt;42095),"",1)))</f>
        <v/>
      </c>
      <c r="DQ416" s="92" t="str">
        <f>IF(Table1[Start Date]="","",IF(Table1[Start Date]&gt;42277,"",IF(AND(Table1[Leaving Date]&gt;1,Table1[Leaving Date]&lt;42186),"",1)))</f>
        <v/>
      </c>
      <c r="DR416" s="92" t="str">
        <f>IF(Table1[Start Date]="","",IF(Table1[Start Date]&gt;42369,"",IF(AND(Table1[Leaving Date]&gt;1,Table1[Leaving Date]&lt;42278),"",1)))</f>
        <v/>
      </c>
      <c r="DS416" s="92" t="str">
        <f>IF(Table1[Start Date]="","",IF(Table1[Start Date]&gt;42460,"",IF(AND(Table1[Leaving Date]&gt;1,Table1[Leaving Date]&lt;42370),"",1)))</f>
        <v/>
      </c>
      <c r="DT416" s="92" t="str">
        <f>IF(Table1[Start Date]="","",IF(Table1[Start Date]&gt;42551,"",IF(AND(Table1[Leaving Date]&gt;1,Table1[Leaving Date]&lt;42461),"",1)))</f>
        <v/>
      </c>
      <c r="DU416" s="92" t="str">
        <f>IF(Table1[Start Date]="","",IF(Table1[Start Date]&gt;42643,"",IF(AND(Table1[Leaving Date]&gt;1,Table1[Leaving Date]&lt;42552),"",1)))</f>
        <v/>
      </c>
      <c r="DV416" s="92" t="str">
        <f>IF(Table1[Start Date]="","",IF(Table1[Start Date]&gt;42735,"",IF(AND(Table1[Leaving Date]&gt;1,Table1[Leaving Date]&lt;42644),"",1)))</f>
        <v/>
      </c>
      <c r="DW416" s="92" t="str">
        <f>IF(Table1[Start Date]="","",IF(Table1[Start Date]&gt;42825,"",IF(AND(Table1[Leaving Date]&gt;1,Table1[Leaving Date]&lt;42736),"",1)))</f>
        <v/>
      </c>
      <c r="DX416"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416" s="44" t="e">
        <f>VLOOKUP(Table1[Referral Source],Lists!$G$2:$H$20,2,FALSE)</f>
        <v>#N/A</v>
      </c>
      <c r="DZ416" s="93" t="e">
        <f>SUM(Table1[Data Referral Quarter]+Table1[Data Referral Source])</f>
        <v>#N/A</v>
      </c>
      <c r="EA416" s="44" t="b">
        <f>IF(Table1[Referral Decision]="Accepted",100,IF(Table1[Referral Decision]="Rejected by Provider",200,IF(Table1[Referral Decision]="Rejected by Applicant",300)))</f>
        <v>0</v>
      </c>
      <c r="EB416" s="44">
        <f>SUM(Table1[Data Referral Quarter]+Table1[Data Referral Decision])</f>
        <v>0</v>
      </c>
      <c r="EC416" s="44" t="b">
        <f>IF(Table1[Start Date]&gt;42735,8000,IF(Table1[Start Date]&gt;42643,7000,IF(Table1[Start Date]&gt;42551,6000,IF(Table1[Start Date]&gt;42460,5000,IF(Table1[Start Date]&gt;42369,4000,IF(Table1[Start Date]&gt;42277,3000,IF(Table1[Start Date]&gt;42185,2000,IF(Table1[Start Date]&gt;42094,1000))))))))</f>
        <v>0</v>
      </c>
      <c r="ED416" s="44" t="str">
        <f>IF(Table1[Start Date]="","",IF(Table1[Current Local Authority]="Swindon",1,"2"))</f>
        <v/>
      </c>
      <c r="EE416" s="44" t="e">
        <f>SUM(Table1[Data Start Date]+Table1[Data Local Authority])</f>
        <v>#VALUE!</v>
      </c>
      <c r="EF416" s="44">
        <f>IF(Table1[Registered with GP]="Yes",1,0)</f>
        <v>0</v>
      </c>
      <c r="EG416" s="44">
        <f>SUM(Table1[Data Start Date]+Table1[Data GP Start])</f>
        <v>0</v>
      </c>
      <c r="EH416" s="44" t="str">
        <f>IF(Table1[EET]="NEET",1,IF(Table1[EET]="Education",2,IF(Table1[EET]="Employment",2,IF(Table1[EET]="Training",2,IF(Table1[EET]="Retired",3,"")))))</f>
        <v/>
      </c>
      <c r="EI416" s="44" t="e">
        <f>Table1[Data Start Date]+Table1[Data EET Start]</f>
        <v>#VALUE!</v>
      </c>
      <c r="EJ416" s="44" t="b">
        <f>IF(Table1[Leaving Date]&gt;42735,8000,IF(Table1[Leaving Date]&gt;42643,7000,IF(Table1[Leaving Date]&gt;42551,6000,IF(Table1[Leaving Date]&gt;42460,5000,IF(Table1[Leaving Date]&gt;42369,4000,IF(Table1[Leaving Date]&gt;42277,3000,IF(Table1[Leaving Date]&gt;42185,2000,IF(Table1[Leaving Date]&gt;42094,1000))))))))</f>
        <v>0</v>
      </c>
      <c r="EK416" s="44" t="e">
        <f>VLOOKUP(Table1[Reason for Leaving],Lists!$T$2:$U$15,2,FALSE)</f>
        <v>#N/A</v>
      </c>
      <c r="EL416" s="44" t="e">
        <f>SUM(Table1[Data Leavers Date]+Table1[Data Move On])</f>
        <v>#N/A</v>
      </c>
      <c r="EM416" s="44" t="b">
        <f>IF(Table1[Registered with GP2]="Yes",1,IF(Table1[Registered with GP2]="No",0,IF(Table1[Registered with GP]="Yes",1,IF(Table1[Registered with GP]="No",0))))</f>
        <v>0</v>
      </c>
      <c r="EN416" s="44">
        <f>SUM(Table1[Data Leavers Date]+Table1[Data GP End])</f>
        <v>0</v>
      </c>
      <c r="EO416" s="44" t="str">
        <f>IF(Table1[EET2]="NEET",1,IF(Table1[EET2]="Employment",2,IF(Table1[EET2]="Education",2,IF(Table1[EET2]="Training",2,IF(Table1[EET2]="Retired",3,IF(Table1[EET]="NEET",1,IF(Table1[EET]="Employment",2,IF(Table1[EET]="Education",2,IF(Table1[EET]="Training",2,IF(Table1[EET]="Retired",3,""))))))))))</f>
        <v/>
      </c>
      <c r="EP416" s="44" t="e">
        <f>+Table1[[#This Row],[Data Leavers Date]]+Table1[[#This Row],[Data EET End]]</f>
        <v>#VALUE!</v>
      </c>
      <c r="EQ416" s="44">
        <f>IF(Table1[Exit Form Received]="Yes",1,0)</f>
        <v>0</v>
      </c>
      <c r="ER416" s="44">
        <f>+Table1[[#This Row],[Data Leavers Date]]+Table1[[#This Row],[Data Exit Forms]]</f>
        <v>0</v>
      </c>
      <c r="ES416" s="44" t="str">
        <f>IF(Table1[Data Leavers Date]=1000,SUM(Table1[Leaving Date]-Table1[Start Date]),"")</f>
        <v/>
      </c>
      <c r="ET416" s="44" t="str">
        <f>IF(Table1[Data Leavers Date]=2000,SUM(Table1[Leaving Date]-Table1[Start Date]),"")</f>
        <v/>
      </c>
      <c r="EU416" s="44" t="str">
        <f>IF(Table1[Data Leavers Date]=3000,SUM(Table1[Leaving Date]-Table1[Start Date]),"")</f>
        <v/>
      </c>
      <c r="EV416" s="44" t="str">
        <f>IF(Table1[Data Leavers Date]=4000,SUM(Table1[Leaving Date]-Table1[Start Date]),"")</f>
        <v/>
      </c>
      <c r="EW416" s="44" t="str">
        <f>IF(Table1[Data Leavers Date]=5000,SUM(Table1[Leaving Date]-Table1[Start Date]),"")</f>
        <v/>
      </c>
      <c r="EX416" s="44" t="str">
        <f>IF(Table1[Data Leavers Date]=6000,SUM(Table1[Leaving Date]-Table1[Start Date]),"")</f>
        <v/>
      </c>
      <c r="EY416" s="44" t="str">
        <f>IF(Table1[Data Leavers Date]=7000,SUM(Table1[Leaving Date]-Table1[Start Date]),"")</f>
        <v/>
      </c>
      <c r="EZ416" s="44" t="str">
        <f>IF(Table1[Data Leavers Date]=8000,SUM(Table1[Leaving Date]-Table1[Start Date]),"")</f>
        <v/>
      </c>
      <c r="FA416" s="44" t="str">
        <f>IF(Table1[Date of Initial Assessment]="","",IF(AND(Table1[Start Date]&gt;42094,Table1[Start Date]&lt;42461),Table1[Motivation and Taking Responsibility],""))</f>
        <v/>
      </c>
      <c r="FB416" s="44" t="str">
        <f>IF(Table1[Date of Initial Assessment]="","",IF(AND(Table1[Start Date]&gt;42094,Table1[Start Date]&lt;42461),Table1[Self-Care and Living Skills],""))</f>
        <v/>
      </c>
      <c r="FC416" s="44" t="str">
        <f>IF(Table1[Date of Initial Assessment]="","",IF(AND(Table1[Start Date]&gt;42094,Table1[Start Date]&lt;42461),Table1[Managing Money and Personal Administration],""))</f>
        <v/>
      </c>
      <c r="FD416" s="44" t="str">
        <f>IF(Table1[Date of Initial Assessment]="","",IF(AND(Table1[Start Date]&gt;42094,Table1[Start Date]&lt;42461),Table1[Social Networks and Relationships],""))</f>
        <v/>
      </c>
      <c r="FE416" s="44" t="str">
        <f>IF(Table1[Date of Initial Assessment]="","",IF(AND(Table1[Start Date]&gt;42094,Table1[Start Date]&lt;42461),Table1[Drug and Alcohol Misuse],""))</f>
        <v/>
      </c>
      <c r="FF416" s="44" t="str">
        <f>IF(Table1[Date of Initial Assessment]="","",IF(AND(Table1[Start Date]&gt;42094,Table1[Start Date]&lt;42461),Table1[Physical Health],""))</f>
        <v/>
      </c>
      <c r="FG416" s="44" t="str">
        <f>IF(Table1[Date of Initial Assessment]="","",IF(AND(Table1[Start Date]&gt;42094,Table1[Start Date]&lt;42461),Table1[Emotional and Mental Health],""))</f>
        <v/>
      </c>
      <c r="FH416" s="44" t="str">
        <f>IF(Table1[Date of Initial Assessment]="","",IF(AND(Table1[Start Date]&gt;42094,Table1[Start Date]&lt;42461),Table1[Meaningful Use of Time],""))</f>
        <v/>
      </c>
      <c r="FI416" s="44" t="str">
        <f>IF(Table1[Date of Initial Assessment]="","",IF(AND(Table1[Start Date]&gt;42094,Table1[Start Date]&lt;42461),Table1[Managing Tenancy and Accommodation],""))</f>
        <v/>
      </c>
      <c r="FJ416" s="44" t="str">
        <f>IF(Table1[Date of Initial Assessment]="","",IF(AND(Table1[Start Date]&gt;42094,Table1[Start Date]&lt;42461),Table1[Offending],""))</f>
        <v/>
      </c>
      <c r="FK416" s="44" t="str">
        <f>IF(Table1[Leaving Date]="","",IF(Table1[Date of Initial Assessment]="","",IF(AND(Table1[Leaving Date]&gt;42094,Table1[Leaving Date]&lt;42461),IF(Table1[Date of Last Assessment]="",Table1[Motivation and Taking Responsibility],Table1[Motivation and Taking Responsibility2]),"")))</f>
        <v/>
      </c>
      <c r="FL416" s="44" t="str">
        <f>IF(Table1[Leaving Date]="","",IF(Table1[Date of Initial Assessment]="","",IF(AND(Table1[Leaving Date]&gt;42094,Table1[Leaving Date]&lt;42461),IF(Table1[Date of Last Assessment]="",Table1[Self-Care and Living Skills],Table1[Self-Care and Living Skills2]),"")))</f>
        <v/>
      </c>
      <c r="FM416" s="44" t="str">
        <f>IF(Table1[Leaving Date]="","",IF(Table1[Date of Initial Assessment]="","",IF(AND(Table1[Leaving Date]&gt;42094,Table1[Leaving Date]&lt;42461),IF(Table1[Date of Last Assessment]="",Table1[Managing Money and Personal Administration],Table1[Managing Money and Personal Administration2]),"")))</f>
        <v/>
      </c>
      <c r="FN416" s="44" t="str">
        <f>IF(Table1[Leaving Date]="","",IF(Table1[Date of Initial Assessment]="","",IF(AND(Table1[Leaving Date]&gt;42094,Table1[Leaving Date]&lt;42461),IF(Table1[Date of Last Assessment]="",Table1[Social Networks and Relationships],Table1[Social Networks and Relationships2]),"")))</f>
        <v/>
      </c>
      <c r="FO416" s="44" t="str">
        <f>IF(Table1[Leaving Date]="","",IF(Table1[Date of Initial Assessment]="","",IF(AND(Table1[Leaving Date]&gt;42094,Table1[Leaving Date]&lt;42461),IF(Table1[Date of Last Assessment]="",Table1[Drug and Alcohol Misuse],Table1[Drug and Alcohol Misuse2]),"")))</f>
        <v/>
      </c>
      <c r="FP416" s="44" t="str">
        <f>IF(Table1[Leaving Date]="","",IF(Table1[Date of Initial Assessment]="","",IF(AND(Table1[Leaving Date]&gt;42094,Table1[Leaving Date]&lt;42461),IF(Table1[Date of Last Assessment]="",Table1[Physical Health],Table1[Physical Health2]),"")))</f>
        <v/>
      </c>
      <c r="FQ416" s="44" t="str">
        <f>IF(Table1[Leaving Date]="","",IF(Table1[Date of Initial Assessment]="","",IF(AND(Table1[Leaving Date]&gt;42094,Table1[Leaving Date]&lt;42461),IF(Table1[Date of Last Assessment]="",Table1[Emotional and Mental Health],Table1[Emotional and Mental Health2]),"")))</f>
        <v/>
      </c>
      <c r="FR416" s="44" t="str">
        <f>IF(Table1[Leaving Date]="","",IF(Table1[Date of Initial Assessment]="","",IF(AND(Table1[Leaving Date]&gt;42094,Table1[Leaving Date]&lt;42461),IF(Table1[Date of Last Assessment]="",Table1[Meaningful Use of Time],Table1[Meaningful Use of Time2]),"")))</f>
        <v/>
      </c>
      <c r="FS416" s="44" t="str">
        <f>IF(Table1[Leaving Date]="","",IF(Table1[Date of Initial Assessment]="","",IF(AND(Table1[Leaving Date]&gt;42094,Table1[Leaving Date]&lt;42461),IF(Table1[Date of Last Assessment]="",Table1[Managing Tenancy and Accommodation],Table1[Managing Tenancy and Accommodation2]),"")))</f>
        <v/>
      </c>
      <c r="FT416" s="44" t="str">
        <f>IF(Table1[Leaving Date]="","",IF(Table1[Date of Initial Assessment]="","",IF(AND(Table1[Leaving Date]&gt;42094,Table1[Leaving Date]&lt;42461),IF(Table1[Date of Last Assessment]="",Table1[Offending],Table1[Offending2]),"")))</f>
        <v/>
      </c>
      <c r="FU416" s="44" t="str">
        <f>IF(Table1[Date of Initial Assessment]="","",IF(AND(Table1[Start Date]&gt;42460,Table1[Start Date]&lt;42826),Table1[Motivation and Taking Responsibility],""))</f>
        <v/>
      </c>
      <c r="FV416" s="44" t="str">
        <f>IF(Table1[Date of Initial Assessment]="","",IF(AND(Table1[Start Date]&gt;42460,Table1[Start Date]&lt;42826),Table1[Self-Care and Living Skills],""))</f>
        <v/>
      </c>
      <c r="FW416" s="44" t="str">
        <f>IF(Table1[Date of Initial Assessment]="","",IF(AND(Table1[Start Date]&gt;42460,Table1[Start Date]&lt;42826),Table1[Managing Money and Personal Administration],""))</f>
        <v/>
      </c>
      <c r="FX416" s="44" t="str">
        <f>IF(Table1[Date of Initial Assessment]="","",IF(AND(Table1[Start Date]&gt;42460,Table1[Start Date]&lt;42826),Table1[Social Networks and Relationships],""))</f>
        <v/>
      </c>
      <c r="FY416" s="44" t="str">
        <f>IF(Table1[Date of Initial Assessment]="","",IF(AND(Table1[Start Date]&gt;42460,Table1[Start Date]&lt;42826),Table1[Drug and Alcohol Misuse],""))</f>
        <v/>
      </c>
      <c r="FZ416" s="44" t="str">
        <f>IF(Table1[Date of Initial Assessment]="","",IF(AND(Table1[Start Date]&gt;42460,Table1[Start Date]&lt;42826),Table1[Physical Health],""))</f>
        <v/>
      </c>
      <c r="GA416" s="44" t="str">
        <f>IF(Table1[Date of Initial Assessment]="","",IF(AND(Table1[Start Date]&gt;42460,Table1[Start Date]&lt;42826),Table1[Emotional and Mental Health],""))</f>
        <v/>
      </c>
      <c r="GB416" s="44" t="str">
        <f>IF(Table1[Date of Initial Assessment]="","",IF(AND(Table1[Start Date]&gt;42460,Table1[Start Date]&lt;42826),Table1[Meaningful Use of Time],""))</f>
        <v/>
      </c>
      <c r="GC416" s="44" t="str">
        <f>IF(Table1[Date of Initial Assessment]="","",IF(AND(Table1[Start Date]&gt;42460,Table1[Start Date]&lt;42826),Table1[Managing Tenancy and Accommodation],""))</f>
        <v/>
      </c>
      <c r="GD416" s="44" t="str">
        <f>IF(Table1[Date of Initial Assessment]="","",IF(AND(Table1[Start Date]&gt;42460,Table1[Start Date]&lt;42826),Table1[Offending],""))</f>
        <v/>
      </c>
      <c r="GE416" s="44" t="str">
        <f>IF(Table1[Leaving Date]="","",IF(AND(Table1[Leaving Date]&gt;42460,Table1[Leaving Date]&lt;42826),IF(Table1[Date of Last Assessment]="",Table1[Motivation and Taking Responsibility],Table1[Motivation and Taking Responsibility2]),""))</f>
        <v/>
      </c>
      <c r="GF416" s="44" t="str">
        <f>IF(Table1[Leaving Date]="","",IF(AND(Table1[Leaving Date]&gt;42460,Table1[Leaving Date]&lt;42826),IF(Table1[Date of Last Assessment]="",Table1[Self-Care and Living Skills],Table1[Self-Care and Living Skills2]),""))</f>
        <v/>
      </c>
      <c r="GG416" s="44" t="str">
        <f>IF(Table1[Leaving Date]="","",IF(AND(Table1[Leaving Date]&gt;42460,Table1[Leaving Date]&lt;42826),IF(Table1[Date of Last Assessment]="",Table1[Managing Money and Personal Administration],Table1[Managing Money and Personal Administration2]),""))</f>
        <v/>
      </c>
      <c r="GH416" s="44" t="str">
        <f>IF(Table1[Leaving Date]="","",IF(AND(Table1[Leaving Date]&gt;42460,Table1[Leaving Date]&lt;42826),IF(Table1[Date of Last Assessment]="",Table1[Social Networks and Relationships],Table1[Social Networks and Relationships2]),""))</f>
        <v/>
      </c>
      <c r="GI416" s="44" t="str">
        <f>IF(Table1[Leaving Date]="","",IF(AND(Table1[Leaving Date]&gt;42460,Table1[Leaving Date]&lt;42826),IF(Table1[Date of Last Assessment]="",Table1[Drug and Alcohol Misuse],Table1[Drug and Alcohol Misuse2]),""))</f>
        <v/>
      </c>
      <c r="GJ416" s="44" t="str">
        <f>IF(Table1[Leaving Date]="","",IF(AND(Table1[Leaving Date]&gt;42460,Table1[Leaving Date]&lt;42826),IF(Table1[Date of Last Assessment]="",Table1[Physical Health],Table1[Physical Health2]),""))</f>
        <v/>
      </c>
      <c r="GK416" s="44" t="str">
        <f>IF(Table1[Leaving Date]="","",IF(AND(Table1[Leaving Date]&gt;42460,Table1[Leaving Date]&lt;42826),IF(Table1[Date of Last Assessment]="",Table1[Emotional and Mental Health],Table1[Emotional and Mental Health2]),""))</f>
        <v/>
      </c>
      <c r="GL416" s="44" t="str">
        <f>IF(Table1[Leaving Date]="","",IF(AND(Table1[Leaving Date]&gt;42460,Table1[Leaving Date]&lt;42826),IF(Table1[Date of Last Assessment]="",Table1[Meaningful Use of Time],Table1[Meaningful Use of Time2]),""))</f>
        <v/>
      </c>
      <c r="GM416" s="44" t="str">
        <f>IF(Table1[Leaving Date]="","",IF(AND(Table1[Leaving Date]&gt;42460,Table1[Leaving Date]&lt;42826),IF(Table1[Date of Last Assessment]="",Table1[Managing Tenancy and Accommodation],Table1[Managing Tenancy and Accommodation2]),""))</f>
        <v/>
      </c>
      <c r="GN416" s="44" t="str">
        <f>IF(Table1[Leaving Date]="","",IF(AND(Table1[Leaving Date]&gt;42460,Table1[Leaving Date]&lt;42826),IF(Table1[Date of Last Assessment]="",Table1[Offending],Table1[Offending2]),""))</f>
        <v/>
      </c>
    </row>
    <row r="417" spans="2:196" ht="20.100000000000001" customHeight="1" x14ac:dyDescent="0.2">
      <c r="B417" s="86">
        <f>+'Service Data'!$C$5:$C$5</f>
        <v>0</v>
      </c>
      <c r="C417" s="86"/>
      <c r="D417" s="86"/>
      <c r="E417" s="86"/>
      <c r="F417" s="86"/>
      <c r="G417" s="86"/>
      <c r="H417" s="6"/>
      <c r="I417" s="99" t="str">
        <f ca="1">IF(Table1[[#This Row],[Date of Birth]]="","",SUM(TODAY()-Table1[[#This Row],[Date of Birth]])/365)</f>
        <v/>
      </c>
      <c r="L417" s="86"/>
      <c r="M417" s="77"/>
      <c r="N417" s="86"/>
      <c r="O417" s="86"/>
      <c r="P417" s="91"/>
      <c r="Q417" s="86"/>
      <c r="R417" s="77"/>
      <c r="S417" s="77"/>
      <c r="T417" s="68"/>
      <c r="U417" s="68"/>
      <c r="V417" s="67"/>
      <c r="W417" s="67"/>
      <c r="X417" s="67"/>
      <c r="Y417" s="67"/>
      <c r="Z417" s="67"/>
      <c r="AA417" s="67"/>
      <c r="AB417" s="67"/>
      <c r="AC417" s="67"/>
      <c r="AD417" s="67"/>
      <c r="AE417" s="67"/>
      <c r="AF417" s="67"/>
      <c r="AG417" s="67"/>
      <c r="AH417" s="67"/>
      <c r="AI417" s="67"/>
      <c r="AJ417" s="67"/>
      <c r="AK417" s="67"/>
      <c r="AL417" s="67"/>
      <c r="AM417" s="67"/>
      <c r="AN417" s="77"/>
      <c r="AO417" s="76"/>
      <c r="AP417" s="77"/>
      <c r="AQ417" s="76"/>
      <c r="AR417" s="76"/>
      <c r="AS417" s="76"/>
      <c r="AT417" s="76"/>
      <c r="AU417" s="76"/>
      <c r="AV417" s="77"/>
      <c r="AW417" s="76"/>
      <c r="AX417" s="77"/>
      <c r="AY417" s="76"/>
      <c r="AZ417" s="76"/>
      <c r="BA417" s="76"/>
      <c r="BB417" s="76"/>
      <c r="BC417" s="76"/>
      <c r="BD417" s="77"/>
      <c r="BE417" s="76"/>
      <c r="BF417" s="77"/>
      <c r="BG417" s="76"/>
      <c r="BH417" s="76"/>
      <c r="BI417" s="76"/>
      <c r="BJ417" s="76"/>
      <c r="BK417" s="76"/>
      <c r="BL417" s="77"/>
      <c r="BM417" s="76"/>
      <c r="BN417" s="77"/>
      <c r="BO417" s="76"/>
      <c r="BP417" s="76"/>
      <c r="BQ417" s="76"/>
      <c r="BR417" s="76"/>
      <c r="BS417" s="76"/>
      <c r="BT417" s="77"/>
      <c r="BU417" s="76"/>
      <c r="BV417" s="77"/>
      <c r="BW417" s="76"/>
      <c r="BX417" s="76"/>
      <c r="BY417" s="76"/>
      <c r="BZ417" s="76"/>
      <c r="CA417" s="76"/>
      <c r="CB417" s="77"/>
      <c r="CC417" s="76"/>
      <c r="CD417" s="77"/>
      <c r="CE417" s="76"/>
      <c r="CF417" s="76"/>
      <c r="CG417" s="76"/>
      <c r="CH417" s="76"/>
      <c r="CI417" s="76"/>
      <c r="CJ417" s="77"/>
      <c r="CK417" s="76"/>
      <c r="CL417" s="77"/>
      <c r="CM417" s="76"/>
      <c r="CN417" s="76"/>
      <c r="CO417" s="76"/>
      <c r="CP417" s="76"/>
      <c r="CQ417" s="76"/>
      <c r="CR417" s="78" t="str">
        <f t="shared" si="111"/>
        <v/>
      </c>
      <c r="CS417" s="79" t="str">
        <f t="shared" si="112"/>
        <v/>
      </c>
      <c r="CT417" s="79" t="str">
        <f t="shared" si="113"/>
        <v/>
      </c>
      <c r="CU417" s="79" t="str">
        <f t="shared" si="114"/>
        <v/>
      </c>
      <c r="CV417" s="79" t="str">
        <f t="shared" si="115"/>
        <v/>
      </c>
      <c r="CW417" s="79" t="str">
        <f t="shared" si="116"/>
        <v/>
      </c>
      <c r="CX417" s="79" t="str">
        <f t="shared" si="117"/>
        <v/>
      </c>
      <c r="CY417" s="79" t="str">
        <f t="shared" si="118"/>
        <v/>
      </c>
      <c r="CZ417" s="79" t="str">
        <f t="shared" si="119"/>
        <v/>
      </c>
      <c r="DA417" s="79" t="str">
        <f t="shared" si="120"/>
        <v/>
      </c>
      <c r="DB417" s="79" t="str">
        <f t="shared" si="121"/>
        <v/>
      </c>
      <c r="DC417" s="79" t="str">
        <f t="shared" si="122"/>
        <v/>
      </c>
      <c r="DD417" s="79" t="str">
        <f t="shared" si="123"/>
        <v/>
      </c>
      <c r="DE417" s="79" t="str">
        <f t="shared" si="124"/>
        <v/>
      </c>
      <c r="DF417" s="79" t="str">
        <f t="shared" si="125"/>
        <v/>
      </c>
      <c r="DG417" s="79" t="str">
        <f t="shared" si="126"/>
        <v/>
      </c>
      <c r="DH417" s="76"/>
      <c r="DI417" s="78"/>
      <c r="DJ417" s="76"/>
      <c r="DK417" s="77"/>
      <c r="DL417" s="77"/>
      <c r="DM417" s="77"/>
      <c r="DN417" s="80"/>
      <c r="DO417" s="80"/>
      <c r="DP417" s="92" t="str">
        <f>IF(Table1[Start Date]="","",IF(Table1[Start Date]&gt;42185,"",IF(AND(Table1[Leaving Date]&gt;1,Table1[Leaving Date]&lt;42095),"",1)))</f>
        <v/>
      </c>
      <c r="DQ417" s="92" t="str">
        <f>IF(Table1[Start Date]="","",IF(Table1[Start Date]&gt;42277,"",IF(AND(Table1[Leaving Date]&gt;1,Table1[Leaving Date]&lt;42186),"",1)))</f>
        <v/>
      </c>
      <c r="DR417" s="92" t="str">
        <f>IF(Table1[Start Date]="","",IF(Table1[Start Date]&gt;42369,"",IF(AND(Table1[Leaving Date]&gt;1,Table1[Leaving Date]&lt;42278),"",1)))</f>
        <v/>
      </c>
      <c r="DS417" s="92" t="str">
        <f>IF(Table1[Start Date]="","",IF(Table1[Start Date]&gt;42460,"",IF(AND(Table1[Leaving Date]&gt;1,Table1[Leaving Date]&lt;42370),"",1)))</f>
        <v/>
      </c>
      <c r="DT417" s="92" t="str">
        <f>IF(Table1[Start Date]="","",IF(Table1[Start Date]&gt;42551,"",IF(AND(Table1[Leaving Date]&gt;1,Table1[Leaving Date]&lt;42461),"",1)))</f>
        <v/>
      </c>
      <c r="DU417" s="92" t="str">
        <f>IF(Table1[Start Date]="","",IF(Table1[Start Date]&gt;42643,"",IF(AND(Table1[Leaving Date]&gt;1,Table1[Leaving Date]&lt;42552),"",1)))</f>
        <v/>
      </c>
      <c r="DV417" s="92" t="str">
        <f>IF(Table1[Start Date]="","",IF(Table1[Start Date]&gt;42735,"",IF(AND(Table1[Leaving Date]&gt;1,Table1[Leaving Date]&lt;42644),"",1)))</f>
        <v/>
      </c>
      <c r="DW417" s="92" t="str">
        <f>IF(Table1[Start Date]="","",IF(Table1[Start Date]&gt;42825,"",IF(AND(Table1[Leaving Date]&gt;1,Table1[Leaving Date]&lt;42736),"",1)))</f>
        <v/>
      </c>
      <c r="DX417"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417" s="44" t="e">
        <f>VLOOKUP(Table1[Referral Source],Lists!$G$2:$H$20,2,FALSE)</f>
        <v>#N/A</v>
      </c>
      <c r="DZ417" s="93" t="e">
        <f>SUM(Table1[Data Referral Quarter]+Table1[Data Referral Source])</f>
        <v>#N/A</v>
      </c>
      <c r="EA417" s="44" t="b">
        <f>IF(Table1[Referral Decision]="Accepted",100,IF(Table1[Referral Decision]="Rejected by Provider",200,IF(Table1[Referral Decision]="Rejected by Applicant",300)))</f>
        <v>0</v>
      </c>
      <c r="EB417" s="44">
        <f>SUM(Table1[Data Referral Quarter]+Table1[Data Referral Decision])</f>
        <v>0</v>
      </c>
      <c r="EC417" s="44" t="b">
        <f>IF(Table1[Start Date]&gt;42735,8000,IF(Table1[Start Date]&gt;42643,7000,IF(Table1[Start Date]&gt;42551,6000,IF(Table1[Start Date]&gt;42460,5000,IF(Table1[Start Date]&gt;42369,4000,IF(Table1[Start Date]&gt;42277,3000,IF(Table1[Start Date]&gt;42185,2000,IF(Table1[Start Date]&gt;42094,1000))))))))</f>
        <v>0</v>
      </c>
      <c r="ED417" s="44" t="str">
        <f>IF(Table1[Start Date]="","",IF(Table1[Current Local Authority]="Swindon",1,"2"))</f>
        <v/>
      </c>
      <c r="EE417" s="44" t="e">
        <f>SUM(Table1[Data Start Date]+Table1[Data Local Authority])</f>
        <v>#VALUE!</v>
      </c>
      <c r="EF417" s="44">
        <f>IF(Table1[Registered with GP]="Yes",1,0)</f>
        <v>0</v>
      </c>
      <c r="EG417" s="44">
        <f>SUM(Table1[Data Start Date]+Table1[Data GP Start])</f>
        <v>0</v>
      </c>
      <c r="EH417" s="44" t="str">
        <f>IF(Table1[EET]="NEET",1,IF(Table1[EET]="Education",2,IF(Table1[EET]="Employment",2,IF(Table1[EET]="Training",2,IF(Table1[EET]="Retired",3,"")))))</f>
        <v/>
      </c>
      <c r="EI417" s="44" t="e">
        <f>Table1[Data Start Date]+Table1[Data EET Start]</f>
        <v>#VALUE!</v>
      </c>
      <c r="EJ417" s="44" t="b">
        <f>IF(Table1[Leaving Date]&gt;42735,8000,IF(Table1[Leaving Date]&gt;42643,7000,IF(Table1[Leaving Date]&gt;42551,6000,IF(Table1[Leaving Date]&gt;42460,5000,IF(Table1[Leaving Date]&gt;42369,4000,IF(Table1[Leaving Date]&gt;42277,3000,IF(Table1[Leaving Date]&gt;42185,2000,IF(Table1[Leaving Date]&gt;42094,1000))))))))</f>
        <v>0</v>
      </c>
      <c r="EK417" s="44" t="e">
        <f>VLOOKUP(Table1[Reason for Leaving],Lists!$T$2:$U$15,2,FALSE)</f>
        <v>#N/A</v>
      </c>
      <c r="EL417" s="44" t="e">
        <f>SUM(Table1[Data Leavers Date]+Table1[Data Move On])</f>
        <v>#N/A</v>
      </c>
      <c r="EM417" s="44" t="b">
        <f>IF(Table1[Registered with GP2]="Yes",1,IF(Table1[Registered with GP2]="No",0,IF(Table1[Registered with GP]="Yes",1,IF(Table1[Registered with GP]="No",0))))</f>
        <v>0</v>
      </c>
      <c r="EN417" s="44">
        <f>SUM(Table1[Data Leavers Date]+Table1[Data GP End])</f>
        <v>0</v>
      </c>
      <c r="EO417" s="44" t="str">
        <f>IF(Table1[EET2]="NEET",1,IF(Table1[EET2]="Employment",2,IF(Table1[EET2]="Education",2,IF(Table1[EET2]="Training",2,IF(Table1[EET2]="Retired",3,IF(Table1[EET]="NEET",1,IF(Table1[EET]="Employment",2,IF(Table1[EET]="Education",2,IF(Table1[EET]="Training",2,IF(Table1[EET]="Retired",3,""))))))))))</f>
        <v/>
      </c>
      <c r="EP417" s="44" t="e">
        <f>+Table1[[#This Row],[Data Leavers Date]]+Table1[[#This Row],[Data EET End]]</f>
        <v>#VALUE!</v>
      </c>
      <c r="EQ417" s="44">
        <f>IF(Table1[Exit Form Received]="Yes",1,0)</f>
        <v>0</v>
      </c>
      <c r="ER417" s="44">
        <f>+Table1[[#This Row],[Data Leavers Date]]+Table1[[#This Row],[Data Exit Forms]]</f>
        <v>0</v>
      </c>
      <c r="ES417" s="44" t="str">
        <f>IF(Table1[Data Leavers Date]=1000,SUM(Table1[Leaving Date]-Table1[Start Date]),"")</f>
        <v/>
      </c>
      <c r="ET417" s="44" t="str">
        <f>IF(Table1[Data Leavers Date]=2000,SUM(Table1[Leaving Date]-Table1[Start Date]),"")</f>
        <v/>
      </c>
      <c r="EU417" s="44" t="str">
        <f>IF(Table1[Data Leavers Date]=3000,SUM(Table1[Leaving Date]-Table1[Start Date]),"")</f>
        <v/>
      </c>
      <c r="EV417" s="44" t="str">
        <f>IF(Table1[Data Leavers Date]=4000,SUM(Table1[Leaving Date]-Table1[Start Date]),"")</f>
        <v/>
      </c>
      <c r="EW417" s="44" t="str">
        <f>IF(Table1[Data Leavers Date]=5000,SUM(Table1[Leaving Date]-Table1[Start Date]),"")</f>
        <v/>
      </c>
      <c r="EX417" s="44" t="str">
        <f>IF(Table1[Data Leavers Date]=6000,SUM(Table1[Leaving Date]-Table1[Start Date]),"")</f>
        <v/>
      </c>
      <c r="EY417" s="44" t="str">
        <f>IF(Table1[Data Leavers Date]=7000,SUM(Table1[Leaving Date]-Table1[Start Date]),"")</f>
        <v/>
      </c>
      <c r="EZ417" s="44" t="str">
        <f>IF(Table1[Data Leavers Date]=8000,SUM(Table1[Leaving Date]-Table1[Start Date]),"")</f>
        <v/>
      </c>
      <c r="FA417" s="44" t="str">
        <f>IF(Table1[Date of Initial Assessment]="","",IF(AND(Table1[Start Date]&gt;42094,Table1[Start Date]&lt;42461),Table1[Motivation and Taking Responsibility],""))</f>
        <v/>
      </c>
      <c r="FB417" s="44" t="str">
        <f>IF(Table1[Date of Initial Assessment]="","",IF(AND(Table1[Start Date]&gt;42094,Table1[Start Date]&lt;42461),Table1[Self-Care and Living Skills],""))</f>
        <v/>
      </c>
      <c r="FC417" s="44" t="str">
        <f>IF(Table1[Date of Initial Assessment]="","",IF(AND(Table1[Start Date]&gt;42094,Table1[Start Date]&lt;42461),Table1[Managing Money and Personal Administration],""))</f>
        <v/>
      </c>
      <c r="FD417" s="44" t="str">
        <f>IF(Table1[Date of Initial Assessment]="","",IF(AND(Table1[Start Date]&gt;42094,Table1[Start Date]&lt;42461),Table1[Social Networks and Relationships],""))</f>
        <v/>
      </c>
      <c r="FE417" s="44" t="str">
        <f>IF(Table1[Date of Initial Assessment]="","",IF(AND(Table1[Start Date]&gt;42094,Table1[Start Date]&lt;42461),Table1[Drug and Alcohol Misuse],""))</f>
        <v/>
      </c>
      <c r="FF417" s="44" t="str">
        <f>IF(Table1[Date of Initial Assessment]="","",IF(AND(Table1[Start Date]&gt;42094,Table1[Start Date]&lt;42461),Table1[Physical Health],""))</f>
        <v/>
      </c>
      <c r="FG417" s="44" t="str">
        <f>IF(Table1[Date of Initial Assessment]="","",IF(AND(Table1[Start Date]&gt;42094,Table1[Start Date]&lt;42461),Table1[Emotional and Mental Health],""))</f>
        <v/>
      </c>
      <c r="FH417" s="44" t="str">
        <f>IF(Table1[Date of Initial Assessment]="","",IF(AND(Table1[Start Date]&gt;42094,Table1[Start Date]&lt;42461),Table1[Meaningful Use of Time],""))</f>
        <v/>
      </c>
      <c r="FI417" s="44" t="str">
        <f>IF(Table1[Date of Initial Assessment]="","",IF(AND(Table1[Start Date]&gt;42094,Table1[Start Date]&lt;42461),Table1[Managing Tenancy and Accommodation],""))</f>
        <v/>
      </c>
      <c r="FJ417" s="44" t="str">
        <f>IF(Table1[Date of Initial Assessment]="","",IF(AND(Table1[Start Date]&gt;42094,Table1[Start Date]&lt;42461),Table1[Offending],""))</f>
        <v/>
      </c>
      <c r="FK417" s="44" t="str">
        <f>IF(Table1[Leaving Date]="","",IF(Table1[Date of Initial Assessment]="","",IF(AND(Table1[Leaving Date]&gt;42094,Table1[Leaving Date]&lt;42461),IF(Table1[Date of Last Assessment]="",Table1[Motivation and Taking Responsibility],Table1[Motivation and Taking Responsibility2]),"")))</f>
        <v/>
      </c>
      <c r="FL417" s="44" t="str">
        <f>IF(Table1[Leaving Date]="","",IF(Table1[Date of Initial Assessment]="","",IF(AND(Table1[Leaving Date]&gt;42094,Table1[Leaving Date]&lt;42461),IF(Table1[Date of Last Assessment]="",Table1[Self-Care and Living Skills],Table1[Self-Care and Living Skills2]),"")))</f>
        <v/>
      </c>
      <c r="FM417" s="44" t="str">
        <f>IF(Table1[Leaving Date]="","",IF(Table1[Date of Initial Assessment]="","",IF(AND(Table1[Leaving Date]&gt;42094,Table1[Leaving Date]&lt;42461),IF(Table1[Date of Last Assessment]="",Table1[Managing Money and Personal Administration],Table1[Managing Money and Personal Administration2]),"")))</f>
        <v/>
      </c>
      <c r="FN417" s="44" t="str">
        <f>IF(Table1[Leaving Date]="","",IF(Table1[Date of Initial Assessment]="","",IF(AND(Table1[Leaving Date]&gt;42094,Table1[Leaving Date]&lt;42461),IF(Table1[Date of Last Assessment]="",Table1[Social Networks and Relationships],Table1[Social Networks and Relationships2]),"")))</f>
        <v/>
      </c>
      <c r="FO417" s="44" t="str">
        <f>IF(Table1[Leaving Date]="","",IF(Table1[Date of Initial Assessment]="","",IF(AND(Table1[Leaving Date]&gt;42094,Table1[Leaving Date]&lt;42461),IF(Table1[Date of Last Assessment]="",Table1[Drug and Alcohol Misuse],Table1[Drug and Alcohol Misuse2]),"")))</f>
        <v/>
      </c>
      <c r="FP417" s="44" t="str">
        <f>IF(Table1[Leaving Date]="","",IF(Table1[Date of Initial Assessment]="","",IF(AND(Table1[Leaving Date]&gt;42094,Table1[Leaving Date]&lt;42461),IF(Table1[Date of Last Assessment]="",Table1[Physical Health],Table1[Physical Health2]),"")))</f>
        <v/>
      </c>
      <c r="FQ417" s="44" t="str">
        <f>IF(Table1[Leaving Date]="","",IF(Table1[Date of Initial Assessment]="","",IF(AND(Table1[Leaving Date]&gt;42094,Table1[Leaving Date]&lt;42461),IF(Table1[Date of Last Assessment]="",Table1[Emotional and Mental Health],Table1[Emotional and Mental Health2]),"")))</f>
        <v/>
      </c>
      <c r="FR417" s="44" t="str">
        <f>IF(Table1[Leaving Date]="","",IF(Table1[Date of Initial Assessment]="","",IF(AND(Table1[Leaving Date]&gt;42094,Table1[Leaving Date]&lt;42461),IF(Table1[Date of Last Assessment]="",Table1[Meaningful Use of Time],Table1[Meaningful Use of Time2]),"")))</f>
        <v/>
      </c>
      <c r="FS417" s="44" t="str">
        <f>IF(Table1[Leaving Date]="","",IF(Table1[Date of Initial Assessment]="","",IF(AND(Table1[Leaving Date]&gt;42094,Table1[Leaving Date]&lt;42461),IF(Table1[Date of Last Assessment]="",Table1[Managing Tenancy and Accommodation],Table1[Managing Tenancy and Accommodation2]),"")))</f>
        <v/>
      </c>
      <c r="FT417" s="44" t="str">
        <f>IF(Table1[Leaving Date]="","",IF(Table1[Date of Initial Assessment]="","",IF(AND(Table1[Leaving Date]&gt;42094,Table1[Leaving Date]&lt;42461),IF(Table1[Date of Last Assessment]="",Table1[Offending],Table1[Offending2]),"")))</f>
        <v/>
      </c>
      <c r="FU417" s="44" t="str">
        <f>IF(Table1[Date of Initial Assessment]="","",IF(AND(Table1[Start Date]&gt;42460,Table1[Start Date]&lt;42826),Table1[Motivation and Taking Responsibility],""))</f>
        <v/>
      </c>
      <c r="FV417" s="44" t="str">
        <f>IF(Table1[Date of Initial Assessment]="","",IF(AND(Table1[Start Date]&gt;42460,Table1[Start Date]&lt;42826),Table1[Self-Care and Living Skills],""))</f>
        <v/>
      </c>
      <c r="FW417" s="44" t="str">
        <f>IF(Table1[Date of Initial Assessment]="","",IF(AND(Table1[Start Date]&gt;42460,Table1[Start Date]&lt;42826),Table1[Managing Money and Personal Administration],""))</f>
        <v/>
      </c>
      <c r="FX417" s="44" t="str">
        <f>IF(Table1[Date of Initial Assessment]="","",IF(AND(Table1[Start Date]&gt;42460,Table1[Start Date]&lt;42826),Table1[Social Networks and Relationships],""))</f>
        <v/>
      </c>
      <c r="FY417" s="44" t="str">
        <f>IF(Table1[Date of Initial Assessment]="","",IF(AND(Table1[Start Date]&gt;42460,Table1[Start Date]&lt;42826),Table1[Drug and Alcohol Misuse],""))</f>
        <v/>
      </c>
      <c r="FZ417" s="44" t="str">
        <f>IF(Table1[Date of Initial Assessment]="","",IF(AND(Table1[Start Date]&gt;42460,Table1[Start Date]&lt;42826),Table1[Physical Health],""))</f>
        <v/>
      </c>
      <c r="GA417" s="44" t="str">
        <f>IF(Table1[Date of Initial Assessment]="","",IF(AND(Table1[Start Date]&gt;42460,Table1[Start Date]&lt;42826),Table1[Emotional and Mental Health],""))</f>
        <v/>
      </c>
      <c r="GB417" s="44" t="str">
        <f>IF(Table1[Date of Initial Assessment]="","",IF(AND(Table1[Start Date]&gt;42460,Table1[Start Date]&lt;42826),Table1[Meaningful Use of Time],""))</f>
        <v/>
      </c>
      <c r="GC417" s="44" t="str">
        <f>IF(Table1[Date of Initial Assessment]="","",IF(AND(Table1[Start Date]&gt;42460,Table1[Start Date]&lt;42826),Table1[Managing Tenancy and Accommodation],""))</f>
        <v/>
      </c>
      <c r="GD417" s="44" t="str">
        <f>IF(Table1[Date of Initial Assessment]="","",IF(AND(Table1[Start Date]&gt;42460,Table1[Start Date]&lt;42826),Table1[Offending],""))</f>
        <v/>
      </c>
      <c r="GE417" s="44" t="str">
        <f>IF(Table1[Leaving Date]="","",IF(AND(Table1[Leaving Date]&gt;42460,Table1[Leaving Date]&lt;42826),IF(Table1[Date of Last Assessment]="",Table1[Motivation and Taking Responsibility],Table1[Motivation and Taking Responsibility2]),""))</f>
        <v/>
      </c>
      <c r="GF417" s="44" t="str">
        <f>IF(Table1[Leaving Date]="","",IF(AND(Table1[Leaving Date]&gt;42460,Table1[Leaving Date]&lt;42826),IF(Table1[Date of Last Assessment]="",Table1[Self-Care and Living Skills],Table1[Self-Care and Living Skills2]),""))</f>
        <v/>
      </c>
      <c r="GG417" s="44" t="str">
        <f>IF(Table1[Leaving Date]="","",IF(AND(Table1[Leaving Date]&gt;42460,Table1[Leaving Date]&lt;42826),IF(Table1[Date of Last Assessment]="",Table1[Managing Money and Personal Administration],Table1[Managing Money and Personal Administration2]),""))</f>
        <v/>
      </c>
      <c r="GH417" s="44" t="str">
        <f>IF(Table1[Leaving Date]="","",IF(AND(Table1[Leaving Date]&gt;42460,Table1[Leaving Date]&lt;42826),IF(Table1[Date of Last Assessment]="",Table1[Social Networks and Relationships],Table1[Social Networks and Relationships2]),""))</f>
        <v/>
      </c>
      <c r="GI417" s="44" t="str">
        <f>IF(Table1[Leaving Date]="","",IF(AND(Table1[Leaving Date]&gt;42460,Table1[Leaving Date]&lt;42826),IF(Table1[Date of Last Assessment]="",Table1[Drug and Alcohol Misuse],Table1[Drug and Alcohol Misuse2]),""))</f>
        <v/>
      </c>
      <c r="GJ417" s="44" t="str">
        <f>IF(Table1[Leaving Date]="","",IF(AND(Table1[Leaving Date]&gt;42460,Table1[Leaving Date]&lt;42826),IF(Table1[Date of Last Assessment]="",Table1[Physical Health],Table1[Physical Health2]),""))</f>
        <v/>
      </c>
      <c r="GK417" s="44" t="str">
        <f>IF(Table1[Leaving Date]="","",IF(AND(Table1[Leaving Date]&gt;42460,Table1[Leaving Date]&lt;42826),IF(Table1[Date of Last Assessment]="",Table1[Emotional and Mental Health],Table1[Emotional and Mental Health2]),""))</f>
        <v/>
      </c>
      <c r="GL417" s="44" t="str">
        <f>IF(Table1[Leaving Date]="","",IF(AND(Table1[Leaving Date]&gt;42460,Table1[Leaving Date]&lt;42826),IF(Table1[Date of Last Assessment]="",Table1[Meaningful Use of Time],Table1[Meaningful Use of Time2]),""))</f>
        <v/>
      </c>
      <c r="GM417" s="44" t="str">
        <f>IF(Table1[Leaving Date]="","",IF(AND(Table1[Leaving Date]&gt;42460,Table1[Leaving Date]&lt;42826),IF(Table1[Date of Last Assessment]="",Table1[Managing Tenancy and Accommodation],Table1[Managing Tenancy and Accommodation2]),""))</f>
        <v/>
      </c>
      <c r="GN417" s="44" t="str">
        <f>IF(Table1[Leaving Date]="","",IF(AND(Table1[Leaving Date]&gt;42460,Table1[Leaving Date]&lt;42826),IF(Table1[Date of Last Assessment]="",Table1[Offending],Table1[Offending2]),""))</f>
        <v/>
      </c>
    </row>
    <row r="418" spans="2:196" ht="20.100000000000001" customHeight="1" x14ac:dyDescent="0.2">
      <c r="B418" s="86">
        <f>+'Service Data'!$C$5:$C$5</f>
        <v>0</v>
      </c>
      <c r="C418" s="86"/>
      <c r="D418" s="86"/>
      <c r="E418" s="86"/>
      <c r="F418" s="86"/>
      <c r="G418" s="86"/>
      <c r="H418" s="6"/>
      <c r="I418" s="99" t="str">
        <f ca="1">IF(Table1[[#This Row],[Date of Birth]]="","",SUM(TODAY()-Table1[[#This Row],[Date of Birth]])/365)</f>
        <v/>
      </c>
      <c r="L418" s="86"/>
      <c r="M418" s="77"/>
      <c r="N418" s="86"/>
      <c r="O418" s="86"/>
      <c r="P418" s="91"/>
      <c r="Q418" s="86"/>
      <c r="R418" s="77"/>
      <c r="S418" s="77"/>
      <c r="T418" s="68"/>
      <c r="U418" s="68"/>
      <c r="V418" s="67"/>
      <c r="W418" s="67"/>
      <c r="X418" s="67"/>
      <c r="Y418" s="67"/>
      <c r="Z418" s="67"/>
      <c r="AA418" s="67"/>
      <c r="AB418" s="67"/>
      <c r="AC418" s="67"/>
      <c r="AD418" s="67"/>
      <c r="AE418" s="67"/>
      <c r="AF418" s="67"/>
      <c r="AG418" s="67"/>
      <c r="AH418" s="67"/>
      <c r="AI418" s="67"/>
      <c r="AJ418" s="67"/>
      <c r="AK418" s="67"/>
      <c r="AL418" s="67"/>
      <c r="AM418" s="67"/>
      <c r="AN418" s="77"/>
      <c r="AO418" s="76"/>
      <c r="AP418" s="77"/>
      <c r="AQ418" s="76"/>
      <c r="AR418" s="76"/>
      <c r="AS418" s="76"/>
      <c r="AT418" s="76"/>
      <c r="AU418" s="76"/>
      <c r="AV418" s="77"/>
      <c r="AW418" s="76"/>
      <c r="AX418" s="77"/>
      <c r="AY418" s="76"/>
      <c r="AZ418" s="76"/>
      <c r="BA418" s="76"/>
      <c r="BB418" s="76"/>
      <c r="BC418" s="76"/>
      <c r="BD418" s="77"/>
      <c r="BE418" s="76"/>
      <c r="BF418" s="77"/>
      <c r="BG418" s="76"/>
      <c r="BH418" s="76"/>
      <c r="BI418" s="76"/>
      <c r="BJ418" s="76"/>
      <c r="BK418" s="76"/>
      <c r="BL418" s="77"/>
      <c r="BM418" s="76"/>
      <c r="BN418" s="77"/>
      <c r="BO418" s="76"/>
      <c r="BP418" s="76"/>
      <c r="BQ418" s="76"/>
      <c r="BR418" s="76"/>
      <c r="BS418" s="76"/>
      <c r="BT418" s="77"/>
      <c r="BU418" s="76"/>
      <c r="BV418" s="77"/>
      <c r="BW418" s="76"/>
      <c r="BX418" s="76"/>
      <c r="BY418" s="76"/>
      <c r="BZ418" s="76"/>
      <c r="CA418" s="76"/>
      <c r="CB418" s="77"/>
      <c r="CC418" s="76"/>
      <c r="CD418" s="77"/>
      <c r="CE418" s="76"/>
      <c r="CF418" s="76"/>
      <c r="CG418" s="76"/>
      <c r="CH418" s="76"/>
      <c r="CI418" s="76"/>
      <c r="CJ418" s="77"/>
      <c r="CK418" s="76"/>
      <c r="CL418" s="77"/>
      <c r="CM418" s="76"/>
      <c r="CN418" s="76"/>
      <c r="CO418" s="76"/>
      <c r="CP418" s="76"/>
      <c r="CQ418" s="76"/>
      <c r="CR418" s="78" t="str">
        <f t="shared" si="111"/>
        <v/>
      </c>
      <c r="CS418" s="79" t="str">
        <f t="shared" si="112"/>
        <v/>
      </c>
      <c r="CT418" s="79" t="str">
        <f t="shared" si="113"/>
        <v/>
      </c>
      <c r="CU418" s="79" t="str">
        <f t="shared" si="114"/>
        <v/>
      </c>
      <c r="CV418" s="79" t="str">
        <f t="shared" si="115"/>
        <v/>
      </c>
      <c r="CW418" s="79" t="str">
        <f t="shared" si="116"/>
        <v/>
      </c>
      <c r="CX418" s="79" t="str">
        <f t="shared" si="117"/>
        <v/>
      </c>
      <c r="CY418" s="79" t="str">
        <f t="shared" si="118"/>
        <v/>
      </c>
      <c r="CZ418" s="79" t="str">
        <f t="shared" si="119"/>
        <v/>
      </c>
      <c r="DA418" s="79" t="str">
        <f t="shared" si="120"/>
        <v/>
      </c>
      <c r="DB418" s="79" t="str">
        <f t="shared" si="121"/>
        <v/>
      </c>
      <c r="DC418" s="79" t="str">
        <f t="shared" si="122"/>
        <v/>
      </c>
      <c r="DD418" s="79" t="str">
        <f t="shared" si="123"/>
        <v/>
      </c>
      <c r="DE418" s="79" t="str">
        <f t="shared" si="124"/>
        <v/>
      </c>
      <c r="DF418" s="79" t="str">
        <f t="shared" si="125"/>
        <v/>
      </c>
      <c r="DG418" s="79" t="str">
        <f t="shared" si="126"/>
        <v/>
      </c>
      <c r="DH418" s="76"/>
      <c r="DI418" s="78"/>
      <c r="DJ418" s="76"/>
      <c r="DK418" s="77"/>
      <c r="DL418" s="77"/>
      <c r="DM418" s="77"/>
      <c r="DN418" s="80"/>
      <c r="DO418" s="80"/>
      <c r="DP418" s="92" t="str">
        <f>IF(Table1[Start Date]="","",IF(Table1[Start Date]&gt;42185,"",IF(AND(Table1[Leaving Date]&gt;1,Table1[Leaving Date]&lt;42095),"",1)))</f>
        <v/>
      </c>
      <c r="DQ418" s="92" t="str">
        <f>IF(Table1[Start Date]="","",IF(Table1[Start Date]&gt;42277,"",IF(AND(Table1[Leaving Date]&gt;1,Table1[Leaving Date]&lt;42186),"",1)))</f>
        <v/>
      </c>
      <c r="DR418" s="92" t="str">
        <f>IF(Table1[Start Date]="","",IF(Table1[Start Date]&gt;42369,"",IF(AND(Table1[Leaving Date]&gt;1,Table1[Leaving Date]&lt;42278),"",1)))</f>
        <v/>
      </c>
      <c r="DS418" s="92" t="str">
        <f>IF(Table1[Start Date]="","",IF(Table1[Start Date]&gt;42460,"",IF(AND(Table1[Leaving Date]&gt;1,Table1[Leaving Date]&lt;42370),"",1)))</f>
        <v/>
      </c>
      <c r="DT418" s="92" t="str">
        <f>IF(Table1[Start Date]="","",IF(Table1[Start Date]&gt;42551,"",IF(AND(Table1[Leaving Date]&gt;1,Table1[Leaving Date]&lt;42461),"",1)))</f>
        <v/>
      </c>
      <c r="DU418" s="92" t="str">
        <f>IF(Table1[Start Date]="","",IF(Table1[Start Date]&gt;42643,"",IF(AND(Table1[Leaving Date]&gt;1,Table1[Leaving Date]&lt;42552),"",1)))</f>
        <v/>
      </c>
      <c r="DV418" s="92" t="str">
        <f>IF(Table1[Start Date]="","",IF(Table1[Start Date]&gt;42735,"",IF(AND(Table1[Leaving Date]&gt;1,Table1[Leaving Date]&lt;42644),"",1)))</f>
        <v/>
      </c>
      <c r="DW418" s="92" t="str">
        <f>IF(Table1[Start Date]="","",IF(Table1[Start Date]&gt;42825,"",IF(AND(Table1[Leaving Date]&gt;1,Table1[Leaving Date]&lt;42736),"",1)))</f>
        <v/>
      </c>
      <c r="DX418"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418" s="44" t="e">
        <f>VLOOKUP(Table1[Referral Source],Lists!$G$2:$H$20,2,FALSE)</f>
        <v>#N/A</v>
      </c>
      <c r="DZ418" s="93" t="e">
        <f>SUM(Table1[Data Referral Quarter]+Table1[Data Referral Source])</f>
        <v>#N/A</v>
      </c>
      <c r="EA418" s="44" t="b">
        <f>IF(Table1[Referral Decision]="Accepted",100,IF(Table1[Referral Decision]="Rejected by Provider",200,IF(Table1[Referral Decision]="Rejected by Applicant",300)))</f>
        <v>0</v>
      </c>
      <c r="EB418" s="44">
        <f>SUM(Table1[Data Referral Quarter]+Table1[Data Referral Decision])</f>
        <v>0</v>
      </c>
      <c r="EC418" s="44" t="b">
        <f>IF(Table1[Start Date]&gt;42735,8000,IF(Table1[Start Date]&gt;42643,7000,IF(Table1[Start Date]&gt;42551,6000,IF(Table1[Start Date]&gt;42460,5000,IF(Table1[Start Date]&gt;42369,4000,IF(Table1[Start Date]&gt;42277,3000,IF(Table1[Start Date]&gt;42185,2000,IF(Table1[Start Date]&gt;42094,1000))))))))</f>
        <v>0</v>
      </c>
      <c r="ED418" s="44" t="str">
        <f>IF(Table1[Start Date]="","",IF(Table1[Current Local Authority]="Swindon",1,"2"))</f>
        <v/>
      </c>
      <c r="EE418" s="44" t="e">
        <f>SUM(Table1[Data Start Date]+Table1[Data Local Authority])</f>
        <v>#VALUE!</v>
      </c>
      <c r="EF418" s="44">
        <f>IF(Table1[Registered with GP]="Yes",1,0)</f>
        <v>0</v>
      </c>
      <c r="EG418" s="44">
        <f>SUM(Table1[Data Start Date]+Table1[Data GP Start])</f>
        <v>0</v>
      </c>
      <c r="EH418" s="44" t="str">
        <f>IF(Table1[EET]="NEET",1,IF(Table1[EET]="Education",2,IF(Table1[EET]="Employment",2,IF(Table1[EET]="Training",2,IF(Table1[EET]="Retired",3,"")))))</f>
        <v/>
      </c>
      <c r="EI418" s="44" t="e">
        <f>Table1[Data Start Date]+Table1[Data EET Start]</f>
        <v>#VALUE!</v>
      </c>
      <c r="EJ418" s="44" t="b">
        <f>IF(Table1[Leaving Date]&gt;42735,8000,IF(Table1[Leaving Date]&gt;42643,7000,IF(Table1[Leaving Date]&gt;42551,6000,IF(Table1[Leaving Date]&gt;42460,5000,IF(Table1[Leaving Date]&gt;42369,4000,IF(Table1[Leaving Date]&gt;42277,3000,IF(Table1[Leaving Date]&gt;42185,2000,IF(Table1[Leaving Date]&gt;42094,1000))))))))</f>
        <v>0</v>
      </c>
      <c r="EK418" s="44" t="e">
        <f>VLOOKUP(Table1[Reason for Leaving],Lists!$T$2:$U$15,2,FALSE)</f>
        <v>#N/A</v>
      </c>
      <c r="EL418" s="44" t="e">
        <f>SUM(Table1[Data Leavers Date]+Table1[Data Move On])</f>
        <v>#N/A</v>
      </c>
      <c r="EM418" s="44" t="b">
        <f>IF(Table1[Registered with GP2]="Yes",1,IF(Table1[Registered with GP2]="No",0,IF(Table1[Registered with GP]="Yes",1,IF(Table1[Registered with GP]="No",0))))</f>
        <v>0</v>
      </c>
      <c r="EN418" s="44">
        <f>SUM(Table1[Data Leavers Date]+Table1[Data GP End])</f>
        <v>0</v>
      </c>
      <c r="EO418" s="44" t="str">
        <f>IF(Table1[EET2]="NEET",1,IF(Table1[EET2]="Employment",2,IF(Table1[EET2]="Education",2,IF(Table1[EET2]="Training",2,IF(Table1[EET2]="Retired",3,IF(Table1[EET]="NEET",1,IF(Table1[EET]="Employment",2,IF(Table1[EET]="Education",2,IF(Table1[EET]="Training",2,IF(Table1[EET]="Retired",3,""))))))))))</f>
        <v/>
      </c>
      <c r="EP418" s="44" t="e">
        <f>+Table1[[#This Row],[Data Leavers Date]]+Table1[[#This Row],[Data EET End]]</f>
        <v>#VALUE!</v>
      </c>
      <c r="EQ418" s="44">
        <f>IF(Table1[Exit Form Received]="Yes",1,0)</f>
        <v>0</v>
      </c>
      <c r="ER418" s="44">
        <f>+Table1[[#This Row],[Data Leavers Date]]+Table1[[#This Row],[Data Exit Forms]]</f>
        <v>0</v>
      </c>
      <c r="ES418" s="44" t="str">
        <f>IF(Table1[Data Leavers Date]=1000,SUM(Table1[Leaving Date]-Table1[Start Date]),"")</f>
        <v/>
      </c>
      <c r="ET418" s="44" t="str">
        <f>IF(Table1[Data Leavers Date]=2000,SUM(Table1[Leaving Date]-Table1[Start Date]),"")</f>
        <v/>
      </c>
      <c r="EU418" s="44" t="str">
        <f>IF(Table1[Data Leavers Date]=3000,SUM(Table1[Leaving Date]-Table1[Start Date]),"")</f>
        <v/>
      </c>
      <c r="EV418" s="44" t="str">
        <f>IF(Table1[Data Leavers Date]=4000,SUM(Table1[Leaving Date]-Table1[Start Date]),"")</f>
        <v/>
      </c>
      <c r="EW418" s="44" t="str">
        <f>IF(Table1[Data Leavers Date]=5000,SUM(Table1[Leaving Date]-Table1[Start Date]),"")</f>
        <v/>
      </c>
      <c r="EX418" s="44" t="str">
        <f>IF(Table1[Data Leavers Date]=6000,SUM(Table1[Leaving Date]-Table1[Start Date]),"")</f>
        <v/>
      </c>
      <c r="EY418" s="44" t="str">
        <f>IF(Table1[Data Leavers Date]=7000,SUM(Table1[Leaving Date]-Table1[Start Date]),"")</f>
        <v/>
      </c>
      <c r="EZ418" s="44" t="str">
        <f>IF(Table1[Data Leavers Date]=8000,SUM(Table1[Leaving Date]-Table1[Start Date]),"")</f>
        <v/>
      </c>
      <c r="FA418" s="44" t="str">
        <f>IF(Table1[Date of Initial Assessment]="","",IF(AND(Table1[Start Date]&gt;42094,Table1[Start Date]&lt;42461),Table1[Motivation and Taking Responsibility],""))</f>
        <v/>
      </c>
      <c r="FB418" s="44" t="str">
        <f>IF(Table1[Date of Initial Assessment]="","",IF(AND(Table1[Start Date]&gt;42094,Table1[Start Date]&lt;42461),Table1[Self-Care and Living Skills],""))</f>
        <v/>
      </c>
      <c r="FC418" s="44" t="str">
        <f>IF(Table1[Date of Initial Assessment]="","",IF(AND(Table1[Start Date]&gt;42094,Table1[Start Date]&lt;42461),Table1[Managing Money and Personal Administration],""))</f>
        <v/>
      </c>
      <c r="FD418" s="44" t="str">
        <f>IF(Table1[Date of Initial Assessment]="","",IF(AND(Table1[Start Date]&gt;42094,Table1[Start Date]&lt;42461),Table1[Social Networks and Relationships],""))</f>
        <v/>
      </c>
      <c r="FE418" s="44" t="str">
        <f>IF(Table1[Date of Initial Assessment]="","",IF(AND(Table1[Start Date]&gt;42094,Table1[Start Date]&lt;42461),Table1[Drug and Alcohol Misuse],""))</f>
        <v/>
      </c>
      <c r="FF418" s="44" t="str">
        <f>IF(Table1[Date of Initial Assessment]="","",IF(AND(Table1[Start Date]&gt;42094,Table1[Start Date]&lt;42461),Table1[Physical Health],""))</f>
        <v/>
      </c>
      <c r="FG418" s="44" t="str">
        <f>IF(Table1[Date of Initial Assessment]="","",IF(AND(Table1[Start Date]&gt;42094,Table1[Start Date]&lt;42461),Table1[Emotional and Mental Health],""))</f>
        <v/>
      </c>
      <c r="FH418" s="44" t="str">
        <f>IF(Table1[Date of Initial Assessment]="","",IF(AND(Table1[Start Date]&gt;42094,Table1[Start Date]&lt;42461),Table1[Meaningful Use of Time],""))</f>
        <v/>
      </c>
      <c r="FI418" s="44" t="str">
        <f>IF(Table1[Date of Initial Assessment]="","",IF(AND(Table1[Start Date]&gt;42094,Table1[Start Date]&lt;42461),Table1[Managing Tenancy and Accommodation],""))</f>
        <v/>
      </c>
      <c r="FJ418" s="44" t="str">
        <f>IF(Table1[Date of Initial Assessment]="","",IF(AND(Table1[Start Date]&gt;42094,Table1[Start Date]&lt;42461),Table1[Offending],""))</f>
        <v/>
      </c>
      <c r="FK418" s="44" t="str">
        <f>IF(Table1[Leaving Date]="","",IF(Table1[Date of Initial Assessment]="","",IF(AND(Table1[Leaving Date]&gt;42094,Table1[Leaving Date]&lt;42461),IF(Table1[Date of Last Assessment]="",Table1[Motivation and Taking Responsibility],Table1[Motivation and Taking Responsibility2]),"")))</f>
        <v/>
      </c>
      <c r="FL418" s="44" t="str">
        <f>IF(Table1[Leaving Date]="","",IF(Table1[Date of Initial Assessment]="","",IF(AND(Table1[Leaving Date]&gt;42094,Table1[Leaving Date]&lt;42461),IF(Table1[Date of Last Assessment]="",Table1[Self-Care and Living Skills],Table1[Self-Care and Living Skills2]),"")))</f>
        <v/>
      </c>
      <c r="FM418" s="44" t="str">
        <f>IF(Table1[Leaving Date]="","",IF(Table1[Date of Initial Assessment]="","",IF(AND(Table1[Leaving Date]&gt;42094,Table1[Leaving Date]&lt;42461),IF(Table1[Date of Last Assessment]="",Table1[Managing Money and Personal Administration],Table1[Managing Money and Personal Administration2]),"")))</f>
        <v/>
      </c>
      <c r="FN418" s="44" t="str">
        <f>IF(Table1[Leaving Date]="","",IF(Table1[Date of Initial Assessment]="","",IF(AND(Table1[Leaving Date]&gt;42094,Table1[Leaving Date]&lt;42461),IF(Table1[Date of Last Assessment]="",Table1[Social Networks and Relationships],Table1[Social Networks and Relationships2]),"")))</f>
        <v/>
      </c>
      <c r="FO418" s="44" t="str">
        <f>IF(Table1[Leaving Date]="","",IF(Table1[Date of Initial Assessment]="","",IF(AND(Table1[Leaving Date]&gt;42094,Table1[Leaving Date]&lt;42461),IF(Table1[Date of Last Assessment]="",Table1[Drug and Alcohol Misuse],Table1[Drug and Alcohol Misuse2]),"")))</f>
        <v/>
      </c>
      <c r="FP418" s="44" t="str">
        <f>IF(Table1[Leaving Date]="","",IF(Table1[Date of Initial Assessment]="","",IF(AND(Table1[Leaving Date]&gt;42094,Table1[Leaving Date]&lt;42461),IF(Table1[Date of Last Assessment]="",Table1[Physical Health],Table1[Physical Health2]),"")))</f>
        <v/>
      </c>
      <c r="FQ418" s="44" t="str">
        <f>IF(Table1[Leaving Date]="","",IF(Table1[Date of Initial Assessment]="","",IF(AND(Table1[Leaving Date]&gt;42094,Table1[Leaving Date]&lt;42461),IF(Table1[Date of Last Assessment]="",Table1[Emotional and Mental Health],Table1[Emotional and Mental Health2]),"")))</f>
        <v/>
      </c>
      <c r="FR418" s="44" t="str">
        <f>IF(Table1[Leaving Date]="","",IF(Table1[Date of Initial Assessment]="","",IF(AND(Table1[Leaving Date]&gt;42094,Table1[Leaving Date]&lt;42461),IF(Table1[Date of Last Assessment]="",Table1[Meaningful Use of Time],Table1[Meaningful Use of Time2]),"")))</f>
        <v/>
      </c>
      <c r="FS418" s="44" t="str">
        <f>IF(Table1[Leaving Date]="","",IF(Table1[Date of Initial Assessment]="","",IF(AND(Table1[Leaving Date]&gt;42094,Table1[Leaving Date]&lt;42461),IF(Table1[Date of Last Assessment]="",Table1[Managing Tenancy and Accommodation],Table1[Managing Tenancy and Accommodation2]),"")))</f>
        <v/>
      </c>
      <c r="FT418" s="44" t="str">
        <f>IF(Table1[Leaving Date]="","",IF(Table1[Date of Initial Assessment]="","",IF(AND(Table1[Leaving Date]&gt;42094,Table1[Leaving Date]&lt;42461),IF(Table1[Date of Last Assessment]="",Table1[Offending],Table1[Offending2]),"")))</f>
        <v/>
      </c>
      <c r="FU418" s="44" t="str">
        <f>IF(Table1[Date of Initial Assessment]="","",IF(AND(Table1[Start Date]&gt;42460,Table1[Start Date]&lt;42826),Table1[Motivation and Taking Responsibility],""))</f>
        <v/>
      </c>
      <c r="FV418" s="44" t="str">
        <f>IF(Table1[Date of Initial Assessment]="","",IF(AND(Table1[Start Date]&gt;42460,Table1[Start Date]&lt;42826),Table1[Self-Care and Living Skills],""))</f>
        <v/>
      </c>
      <c r="FW418" s="44" t="str">
        <f>IF(Table1[Date of Initial Assessment]="","",IF(AND(Table1[Start Date]&gt;42460,Table1[Start Date]&lt;42826),Table1[Managing Money and Personal Administration],""))</f>
        <v/>
      </c>
      <c r="FX418" s="44" t="str">
        <f>IF(Table1[Date of Initial Assessment]="","",IF(AND(Table1[Start Date]&gt;42460,Table1[Start Date]&lt;42826),Table1[Social Networks and Relationships],""))</f>
        <v/>
      </c>
      <c r="FY418" s="44" t="str">
        <f>IF(Table1[Date of Initial Assessment]="","",IF(AND(Table1[Start Date]&gt;42460,Table1[Start Date]&lt;42826),Table1[Drug and Alcohol Misuse],""))</f>
        <v/>
      </c>
      <c r="FZ418" s="44" t="str">
        <f>IF(Table1[Date of Initial Assessment]="","",IF(AND(Table1[Start Date]&gt;42460,Table1[Start Date]&lt;42826),Table1[Physical Health],""))</f>
        <v/>
      </c>
      <c r="GA418" s="44" t="str">
        <f>IF(Table1[Date of Initial Assessment]="","",IF(AND(Table1[Start Date]&gt;42460,Table1[Start Date]&lt;42826),Table1[Emotional and Mental Health],""))</f>
        <v/>
      </c>
      <c r="GB418" s="44" t="str">
        <f>IF(Table1[Date of Initial Assessment]="","",IF(AND(Table1[Start Date]&gt;42460,Table1[Start Date]&lt;42826),Table1[Meaningful Use of Time],""))</f>
        <v/>
      </c>
      <c r="GC418" s="44" t="str">
        <f>IF(Table1[Date of Initial Assessment]="","",IF(AND(Table1[Start Date]&gt;42460,Table1[Start Date]&lt;42826),Table1[Managing Tenancy and Accommodation],""))</f>
        <v/>
      </c>
      <c r="GD418" s="44" t="str">
        <f>IF(Table1[Date of Initial Assessment]="","",IF(AND(Table1[Start Date]&gt;42460,Table1[Start Date]&lt;42826),Table1[Offending],""))</f>
        <v/>
      </c>
      <c r="GE418" s="44" t="str">
        <f>IF(Table1[Leaving Date]="","",IF(AND(Table1[Leaving Date]&gt;42460,Table1[Leaving Date]&lt;42826),IF(Table1[Date of Last Assessment]="",Table1[Motivation and Taking Responsibility],Table1[Motivation and Taking Responsibility2]),""))</f>
        <v/>
      </c>
      <c r="GF418" s="44" t="str">
        <f>IF(Table1[Leaving Date]="","",IF(AND(Table1[Leaving Date]&gt;42460,Table1[Leaving Date]&lt;42826),IF(Table1[Date of Last Assessment]="",Table1[Self-Care and Living Skills],Table1[Self-Care and Living Skills2]),""))</f>
        <v/>
      </c>
      <c r="GG418" s="44" t="str">
        <f>IF(Table1[Leaving Date]="","",IF(AND(Table1[Leaving Date]&gt;42460,Table1[Leaving Date]&lt;42826),IF(Table1[Date of Last Assessment]="",Table1[Managing Money and Personal Administration],Table1[Managing Money and Personal Administration2]),""))</f>
        <v/>
      </c>
      <c r="GH418" s="44" t="str">
        <f>IF(Table1[Leaving Date]="","",IF(AND(Table1[Leaving Date]&gt;42460,Table1[Leaving Date]&lt;42826),IF(Table1[Date of Last Assessment]="",Table1[Social Networks and Relationships],Table1[Social Networks and Relationships2]),""))</f>
        <v/>
      </c>
      <c r="GI418" s="44" t="str">
        <f>IF(Table1[Leaving Date]="","",IF(AND(Table1[Leaving Date]&gt;42460,Table1[Leaving Date]&lt;42826),IF(Table1[Date of Last Assessment]="",Table1[Drug and Alcohol Misuse],Table1[Drug and Alcohol Misuse2]),""))</f>
        <v/>
      </c>
      <c r="GJ418" s="44" t="str">
        <f>IF(Table1[Leaving Date]="","",IF(AND(Table1[Leaving Date]&gt;42460,Table1[Leaving Date]&lt;42826),IF(Table1[Date of Last Assessment]="",Table1[Physical Health],Table1[Physical Health2]),""))</f>
        <v/>
      </c>
      <c r="GK418" s="44" t="str">
        <f>IF(Table1[Leaving Date]="","",IF(AND(Table1[Leaving Date]&gt;42460,Table1[Leaving Date]&lt;42826),IF(Table1[Date of Last Assessment]="",Table1[Emotional and Mental Health],Table1[Emotional and Mental Health2]),""))</f>
        <v/>
      </c>
      <c r="GL418" s="44" t="str">
        <f>IF(Table1[Leaving Date]="","",IF(AND(Table1[Leaving Date]&gt;42460,Table1[Leaving Date]&lt;42826),IF(Table1[Date of Last Assessment]="",Table1[Meaningful Use of Time],Table1[Meaningful Use of Time2]),""))</f>
        <v/>
      </c>
      <c r="GM418" s="44" t="str">
        <f>IF(Table1[Leaving Date]="","",IF(AND(Table1[Leaving Date]&gt;42460,Table1[Leaving Date]&lt;42826),IF(Table1[Date of Last Assessment]="",Table1[Managing Tenancy and Accommodation],Table1[Managing Tenancy and Accommodation2]),""))</f>
        <v/>
      </c>
      <c r="GN418" s="44" t="str">
        <f>IF(Table1[Leaving Date]="","",IF(AND(Table1[Leaving Date]&gt;42460,Table1[Leaving Date]&lt;42826),IF(Table1[Date of Last Assessment]="",Table1[Offending],Table1[Offending2]),""))</f>
        <v/>
      </c>
    </row>
    <row r="419" spans="2:196" ht="20.100000000000001" customHeight="1" x14ac:dyDescent="0.2">
      <c r="B419" s="86">
        <f>+'Service Data'!$C$5:$C$5</f>
        <v>0</v>
      </c>
      <c r="C419" s="86"/>
      <c r="D419" s="86"/>
      <c r="E419" s="86"/>
      <c r="F419" s="86"/>
      <c r="G419" s="86"/>
      <c r="H419" s="6"/>
      <c r="I419" s="99" t="str">
        <f ca="1">IF(Table1[[#This Row],[Date of Birth]]="","",SUM(TODAY()-Table1[[#This Row],[Date of Birth]])/365)</f>
        <v/>
      </c>
      <c r="L419" s="86"/>
      <c r="M419" s="77"/>
      <c r="N419" s="86"/>
      <c r="O419" s="86"/>
      <c r="P419" s="91"/>
      <c r="Q419" s="86"/>
      <c r="R419" s="77"/>
      <c r="S419" s="77"/>
      <c r="T419" s="68"/>
      <c r="U419" s="68"/>
      <c r="V419" s="67"/>
      <c r="W419" s="67"/>
      <c r="X419" s="67"/>
      <c r="Y419" s="67"/>
      <c r="Z419" s="67"/>
      <c r="AA419" s="67"/>
      <c r="AB419" s="67"/>
      <c r="AC419" s="67"/>
      <c r="AD419" s="67"/>
      <c r="AE419" s="67"/>
      <c r="AF419" s="67"/>
      <c r="AG419" s="67"/>
      <c r="AH419" s="67"/>
      <c r="AI419" s="67"/>
      <c r="AJ419" s="67"/>
      <c r="AK419" s="67"/>
      <c r="AL419" s="67"/>
      <c r="AM419" s="67"/>
      <c r="AN419" s="77"/>
      <c r="AO419" s="76"/>
      <c r="AP419" s="77"/>
      <c r="AQ419" s="76"/>
      <c r="AR419" s="76"/>
      <c r="AS419" s="76"/>
      <c r="AT419" s="76"/>
      <c r="AU419" s="76"/>
      <c r="AV419" s="77"/>
      <c r="AW419" s="76"/>
      <c r="AX419" s="77"/>
      <c r="AY419" s="76"/>
      <c r="AZ419" s="76"/>
      <c r="BA419" s="76"/>
      <c r="BB419" s="76"/>
      <c r="BC419" s="76"/>
      <c r="BD419" s="77"/>
      <c r="BE419" s="76"/>
      <c r="BF419" s="77"/>
      <c r="BG419" s="76"/>
      <c r="BH419" s="76"/>
      <c r="BI419" s="76"/>
      <c r="BJ419" s="76"/>
      <c r="BK419" s="76"/>
      <c r="BL419" s="77"/>
      <c r="BM419" s="76"/>
      <c r="BN419" s="77"/>
      <c r="BO419" s="76"/>
      <c r="BP419" s="76"/>
      <c r="BQ419" s="76"/>
      <c r="BR419" s="76"/>
      <c r="BS419" s="76"/>
      <c r="BT419" s="77"/>
      <c r="BU419" s="76"/>
      <c r="BV419" s="77"/>
      <c r="BW419" s="76"/>
      <c r="BX419" s="76"/>
      <c r="BY419" s="76"/>
      <c r="BZ419" s="76"/>
      <c r="CA419" s="76"/>
      <c r="CB419" s="77"/>
      <c r="CC419" s="76"/>
      <c r="CD419" s="77"/>
      <c r="CE419" s="76"/>
      <c r="CF419" s="76"/>
      <c r="CG419" s="76"/>
      <c r="CH419" s="76"/>
      <c r="CI419" s="76"/>
      <c r="CJ419" s="77"/>
      <c r="CK419" s="76"/>
      <c r="CL419" s="77"/>
      <c r="CM419" s="76"/>
      <c r="CN419" s="76"/>
      <c r="CO419" s="76"/>
      <c r="CP419" s="76"/>
      <c r="CQ419" s="76"/>
      <c r="CR419" s="78" t="str">
        <f t="shared" si="111"/>
        <v/>
      </c>
      <c r="CS419" s="79" t="str">
        <f t="shared" si="112"/>
        <v/>
      </c>
      <c r="CT419" s="79" t="str">
        <f t="shared" si="113"/>
        <v/>
      </c>
      <c r="CU419" s="79" t="str">
        <f t="shared" si="114"/>
        <v/>
      </c>
      <c r="CV419" s="79" t="str">
        <f t="shared" si="115"/>
        <v/>
      </c>
      <c r="CW419" s="79" t="str">
        <f t="shared" si="116"/>
        <v/>
      </c>
      <c r="CX419" s="79" t="str">
        <f t="shared" si="117"/>
        <v/>
      </c>
      <c r="CY419" s="79" t="str">
        <f t="shared" si="118"/>
        <v/>
      </c>
      <c r="CZ419" s="79" t="str">
        <f t="shared" si="119"/>
        <v/>
      </c>
      <c r="DA419" s="79" t="str">
        <f t="shared" si="120"/>
        <v/>
      </c>
      <c r="DB419" s="79" t="str">
        <f t="shared" si="121"/>
        <v/>
      </c>
      <c r="DC419" s="79" t="str">
        <f t="shared" si="122"/>
        <v/>
      </c>
      <c r="DD419" s="79" t="str">
        <f t="shared" si="123"/>
        <v/>
      </c>
      <c r="DE419" s="79" t="str">
        <f t="shared" si="124"/>
        <v/>
      </c>
      <c r="DF419" s="79" t="str">
        <f t="shared" si="125"/>
        <v/>
      </c>
      <c r="DG419" s="79" t="str">
        <f t="shared" si="126"/>
        <v/>
      </c>
      <c r="DH419" s="76"/>
      <c r="DI419" s="78"/>
      <c r="DJ419" s="76"/>
      <c r="DK419" s="77"/>
      <c r="DL419" s="77"/>
      <c r="DM419" s="77"/>
      <c r="DN419" s="80"/>
      <c r="DO419" s="80"/>
      <c r="DP419" s="92" t="str">
        <f>IF(Table1[Start Date]="","",IF(Table1[Start Date]&gt;42185,"",IF(AND(Table1[Leaving Date]&gt;1,Table1[Leaving Date]&lt;42095),"",1)))</f>
        <v/>
      </c>
      <c r="DQ419" s="92" t="str">
        <f>IF(Table1[Start Date]="","",IF(Table1[Start Date]&gt;42277,"",IF(AND(Table1[Leaving Date]&gt;1,Table1[Leaving Date]&lt;42186),"",1)))</f>
        <v/>
      </c>
      <c r="DR419" s="92" t="str">
        <f>IF(Table1[Start Date]="","",IF(Table1[Start Date]&gt;42369,"",IF(AND(Table1[Leaving Date]&gt;1,Table1[Leaving Date]&lt;42278),"",1)))</f>
        <v/>
      </c>
      <c r="DS419" s="92" t="str">
        <f>IF(Table1[Start Date]="","",IF(Table1[Start Date]&gt;42460,"",IF(AND(Table1[Leaving Date]&gt;1,Table1[Leaving Date]&lt;42370),"",1)))</f>
        <v/>
      </c>
      <c r="DT419" s="92" t="str">
        <f>IF(Table1[Start Date]="","",IF(Table1[Start Date]&gt;42551,"",IF(AND(Table1[Leaving Date]&gt;1,Table1[Leaving Date]&lt;42461),"",1)))</f>
        <v/>
      </c>
      <c r="DU419" s="92" t="str">
        <f>IF(Table1[Start Date]="","",IF(Table1[Start Date]&gt;42643,"",IF(AND(Table1[Leaving Date]&gt;1,Table1[Leaving Date]&lt;42552),"",1)))</f>
        <v/>
      </c>
      <c r="DV419" s="92" t="str">
        <f>IF(Table1[Start Date]="","",IF(Table1[Start Date]&gt;42735,"",IF(AND(Table1[Leaving Date]&gt;1,Table1[Leaving Date]&lt;42644),"",1)))</f>
        <v/>
      </c>
      <c r="DW419" s="92" t="str">
        <f>IF(Table1[Start Date]="","",IF(Table1[Start Date]&gt;42825,"",IF(AND(Table1[Leaving Date]&gt;1,Table1[Leaving Date]&lt;42736),"",1)))</f>
        <v/>
      </c>
      <c r="DX419"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419" s="44" t="e">
        <f>VLOOKUP(Table1[Referral Source],Lists!$G$2:$H$20,2,FALSE)</f>
        <v>#N/A</v>
      </c>
      <c r="DZ419" s="93" t="e">
        <f>SUM(Table1[Data Referral Quarter]+Table1[Data Referral Source])</f>
        <v>#N/A</v>
      </c>
      <c r="EA419" s="44" t="b">
        <f>IF(Table1[Referral Decision]="Accepted",100,IF(Table1[Referral Decision]="Rejected by Provider",200,IF(Table1[Referral Decision]="Rejected by Applicant",300)))</f>
        <v>0</v>
      </c>
      <c r="EB419" s="44">
        <f>SUM(Table1[Data Referral Quarter]+Table1[Data Referral Decision])</f>
        <v>0</v>
      </c>
      <c r="EC419" s="44" t="b">
        <f>IF(Table1[Start Date]&gt;42735,8000,IF(Table1[Start Date]&gt;42643,7000,IF(Table1[Start Date]&gt;42551,6000,IF(Table1[Start Date]&gt;42460,5000,IF(Table1[Start Date]&gt;42369,4000,IF(Table1[Start Date]&gt;42277,3000,IF(Table1[Start Date]&gt;42185,2000,IF(Table1[Start Date]&gt;42094,1000))))))))</f>
        <v>0</v>
      </c>
      <c r="ED419" s="44" t="str">
        <f>IF(Table1[Start Date]="","",IF(Table1[Current Local Authority]="Swindon",1,"2"))</f>
        <v/>
      </c>
      <c r="EE419" s="44" t="e">
        <f>SUM(Table1[Data Start Date]+Table1[Data Local Authority])</f>
        <v>#VALUE!</v>
      </c>
      <c r="EF419" s="44">
        <f>IF(Table1[Registered with GP]="Yes",1,0)</f>
        <v>0</v>
      </c>
      <c r="EG419" s="44">
        <f>SUM(Table1[Data Start Date]+Table1[Data GP Start])</f>
        <v>0</v>
      </c>
      <c r="EH419" s="44" t="str">
        <f>IF(Table1[EET]="NEET",1,IF(Table1[EET]="Education",2,IF(Table1[EET]="Employment",2,IF(Table1[EET]="Training",2,IF(Table1[EET]="Retired",3,"")))))</f>
        <v/>
      </c>
      <c r="EI419" s="44" t="e">
        <f>Table1[Data Start Date]+Table1[Data EET Start]</f>
        <v>#VALUE!</v>
      </c>
      <c r="EJ419" s="44" t="b">
        <f>IF(Table1[Leaving Date]&gt;42735,8000,IF(Table1[Leaving Date]&gt;42643,7000,IF(Table1[Leaving Date]&gt;42551,6000,IF(Table1[Leaving Date]&gt;42460,5000,IF(Table1[Leaving Date]&gt;42369,4000,IF(Table1[Leaving Date]&gt;42277,3000,IF(Table1[Leaving Date]&gt;42185,2000,IF(Table1[Leaving Date]&gt;42094,1000))))))))</f>
        <v>0</v>
      </c>
      <c r="EK419" s="44" t="e">
        <f>VLOOKUP(Table1[Reason for Leaving],Lists!$T$2:$U$15,2,FALSE)</f>
        <v>#N/A</v>
      </c>
      <c r="EL419" s="44" t="e">
        <f>SUM(Table1[Data Leavers Date]+Table1[Data Move On])</f>
        <v>#N/A</v>
      </c>
      <c r="EM419" s="44" t="b">
        <f>IF(Table1[Registered with GP2]="Yes",1,IF(Table1[Registered with GP2]="No",0,IF(Table1[Registered with GP]="Yes",1,IF(Table1[Registered with GP]="No",0))))</f>
        <v>0</v>
      </c>
      <c r="EN419" s="44">
        <f>SUM(Table1[Data Leavers Date]+Table1[Data GP End])</f>
        <v>0</v>
      </c>
      <c r="EO419" s="44" t="str">
        <f>IF(Table1[EET2]="NEET",1,IF(Table1[EET2]="Employment",2,IF(Table1[EET2]="Education",2,IF(Table1[EET2]="Training",2,IF(Table1[EET2]="Retired",3,IF(Table1[EET]="NEET",1,IF(Table1[EET]="Employment",2,IF(Table1[EET]="Education",2,IF(Table1[EET]="Training",2,IF(Table1[EET]="Retired",3,""))))))))))</f>
        <v/>
      </c>
      <c r="EP419" s="44" t="e">
        <f>+Table1[[#This Row],[Data Leavers Date]]+Table1[[#This Row],[Data EET End]]</f>
        <v>#VALUE!</v>
      </c>
      <c r="EQ419" s="44">
        <f>IF(Table1[Exit Form Received]="Yes",1,0)</f>
        <v>0</v>
      </c>
      <c r="ER419" s="44">
        <f>+Table1[[#This Row],[Data Leavers Date]]+Table1[[#This Row],[Data Exit Forms]]</f>
        <v>0</v>
      </c>
      <c r="ES419" s="44" t="str">
        <f>IF(Table1[Data Leavers Date]=1000,SUM(Table1[Leaving Date]-Table1[Start Date]),"")</f>
        <v/>
      </c>
      <c r="ET419" s="44" t="str">
        <f>IF(Table1[Data Leavers Date]=2000,SUM(Table1[Leaving Date]-Table1[Start Date]),"")</f>
        <v/>
      </c>
      <c r="EU419" s="44" t="str">
        <f>IF(Table1[Data Leavers Date]=3000,SUM(Table1[Leaving Date]-Table1[Start Date]),"")</f>
        <v/>
      </c>
      <c r="EV419" s="44" t="str">
        <f>IF(Table1[Data Leavers Date]=4000,SUM(Table1[Leaving Date]-Table1[Start Date]),"")</f>
        <v/>
      </c>
      <c r="EW419" s="44" t="str">
        <f>IF(Table1[Data Leavers Date]=5000,SUM(Table1[Leaving Date]-Table1[Start Date]),"")</f>
        <v/>
      </c>
      <c r="EX419" s="44" t="str">
        <f>IF(Table1[Data Leavers Date]=6000,SUM(Table1[Leaving Date]-Table1[Start Date]),"")</f>
        <v/>
      </c>
      <c r="EY419" s="44" t="str">
        <f>IF(Table1[Data Leavers Date]=7000,SUM(Table1[Leaving Date]-Table1[Start Date]),"")</f>
        <v/>
      </c>
      <c r="EZ419" s="44" t="str">
        <f>IF(Table1[Data Leavers Date]=8000,SUM(Table1[Leaving Date]-Table1[Start Date]),"")</f>
        <v/>
      </c>
      <c r="FA419" s="44" t="str">
        <f>IF(Table1[Date of Initial Assessment]="","",IF(AND(Table1[Start Date]&gt;42094,Table1[Start Date]&lt;42461),Table1[Motivation and Taking Responsibility],""))</f>
        <v/>
      </c>
      <c r="FB419" s="44" t="str">
        <f>IF(Table1[Date of Initial Assessment]="","",IF(AND(Table1[Start Date]&gt;42094,Table1[Start Date]&lt;42461),Table1[Self-Care and Living Skills],""))</f>
        <v/>
      </c>
      <c r="FC419" s="44" t="str">
        <f>IF(Table1[Date of Initial Assessment]="","",IF(AND(Table1[Start Date]&gt;42094,Table1[Start Date]&lt;42461),Table1[Managing Money and Personal Administration],""))</f>
        <v/>
      </c>
      <c r="FD419" s="44" t="str">
        <f>IF(Table1[Date of Initial Assessment]="","",IF(AND(Table1[Start Date]&gt;42094,Table1[Start Date]&lt;42461),Table1[Social Networks and Relationships],""))</f>
        <v/>
      </c>
      <c r="FE419" s="44" t="str">
        <f>IF(Table1[Date of Initial Assessment]="","",IF(AND(Table1[Start Date]&gt;42094,Table1[Start Date]&lt;42461),Table1[Drug and Alcohol Misuse],""))</f>
        <v/>
      </c>
      <c r="FF419" s="44" t="str">
        <f>IF(Table1[Date of Initial Assessment]="","",IF(AND(Table1[Start Date]&gt;42094,Table1[Start Date]&lt;42461),Table1[Physical Health],""))</f>
        <v/>
      </c>
      <c r="FG419" s="44" t="str">
        <f>IF(Table1[Date of Initial Assessment]="","",IF(AND(Table1[Start Date]&gt;42094,Table1[Start Date]&lt;42461),Table1[Emotional and Mental Health],""))</f>
        <v/>
      </c>
      <c r="FH419" s="44" t="str">
        <f>IF(Table1[Date of Initial Assessment]="","",IF(AND(Table1[Start Date]&gt;42094,Table1[Start Date]&lt;42461),Table1[Meaningful Use of Time],""))</f>
        <v/>
      </c>
      <c r="FI419" s="44" t="str">
        <f>IF(Table1[Date of Initial Assessment]="","",IF(AND(Table1[Start Date]&gt;42094,Table1[Start Date]&lt;42461),Table1[Managing Tenancy and Accommodation],""))</f>
        <v/>
      </c>
      <c r="FJ419" s="44" t="str">
        <f>IF(Table1[Date of Initial Assessment]="","",IF(AND(Table1[Start Date]&gt;42094,Table1[Start Date]&lt;42461),Table1[Offending],""))</f>
        <v/>
      </c>
      <c r="FK419" s="44" t="str">
        <f>IF(Table1[Leaving Date]="","",IF(Table1[Date of Initial Assessment]="","",IF(AND(Table1[Leaving Date]&gt;42094,Table1[Leaving Date]&lt;42461),IF(Table1[Date of Last Assessment]="",Table1[Motivation and Taking Responsibility],Table1[Motivation and Taking Responsibility2]),"")))</f>
        <v/>
      </c>
      <c r="FL419" s="44" t="str">
        <f>IF(Table1[Leaving Date]="","",IF(Table1[Date of Initial Assessment]="","",IF(AND(Table1[Leaving Date]&gt;42094,Table1[Leaving Date]&lt;42461),IF(Table1[Date of Last Assessment]="",Table1[Self-Care and Living Skills],Table1[Self-Care and Living Skills2]),"")))</f>
        <v/>
      </c>
      <c r="FM419" s="44" t="str">
        <f>IF(Table1[Leaving Date]="","",IF(Table1[Date of Initial Assessment]="","",IF(AND(Table1[Leaving Date]&gt;42094,Table1[Leaving Date]&lt;42461),IF(Table1[Date of Last Assessment]="",Table1[Managing Money and Personal Administration],Table1[Managing Money and Personal Administration2]),"")))</f>
        <v/>
      </c>
      <c r="FN419" s="44" t="str">
        <f>IF(Table1[Leaving Date]="","",IF(Table1[Date of Initial Assessment]="","",IF(AND(Table1[Leaving Date]&gt;42094,Table1[Leaving Date]&lt;42461),IF(Table1[Date of Last Assessment]="",Table1[Social Networks and Relationships],Table1[Social Networks and Relationships2]),"")))</f>
        <v/>
      </c>
      <c r="FO419" s="44" t="str">
        <f>IF(Table1[Leaving Date]="","",IF(Table1[Date of Initial Assessment]="","",IF(AND(Table1[Leaving Date]&gt;42094,Table1[Leaving Date]&lt;42461),IF(Table1[Date of Last Assessment]="",Table1[Drug and Alcohol Misuse],Table1[Drug and Alcohol Misuse2]),"")))</f>
        <v/>
      </c>
      <c r="FP419" s="44" t="str">
        <f>IF(Table1[Leaving Date]="","",IF(Table1[Date of Initial Assessment]="","",IF(AND(Table1[Leaving Date]&gt;42094,Table1[Leaving Date]&lt;42461),IF(Table1[Date of Last Assessment]="",Table1[Physical Health],Table1[Physical Health2]),"")))</f>
        <v/>
      </c>
      <c r="FQ419" s="44" t="str">
        <f>IF(Table1[Leaving Date]="","",IF(Table1[Date of Initial Assessment]="","",IF(AND(Table1[Leaving Date]&gt;42094,Table1[Leaving Date]&lt;42461),IF(Table1[Date of Last Assessment]="",Table1[Emotional and Mental Health],Table1[Emotional and Mental Health2]),"")))</f>
        <v/>
      </c>
      <c r="FR419" s="44" t="str">
        <f>IF(Table1[Leaving Date]="","",IF(Table1[Date of Initial Assessment]="","",IF(AND(Table1[Leaving Date]&gt;42094,Table1[Leaving Date]&lt;42461),IF(Table1[Date of Last Assessment]="",Table1[Meaningful Use of Time],Table1[Meaningful Use of Time2]),"")))</f>
        <v/>
      </c>
      <c r="FS419" s="44" t="str">
        <f>IF(Table1[Leaving Date]="","",IF(Table1[Date of Initial Assessment]="","",IF(AND(Table1[Leaving Date]&gt;42094,Table1[Leaving Date]&lt;42461),IF(Table1[Date of Last Assessment]="",Table1[Managing Tenancy and Accommodation],Table1[Managing Tenancy and Accommodation2]),"")))</f>
        <v/>
      </c>
      <c r="FT419" s="44" t="str">
        <f>IF(Table1[Leaving Date]="","",IF(Table1[Date of Initial Assessment]="","",IF(AND(Table1[Leaving Date]&gt;42094,Table1[Leaving Date]&lt;42461),IF(Table1[Date of Last Assessment]="",Table1[Offending],Table1[Offending2]),"")))</f>
        <v/>
      </c>
      <c r="FU419" s="44" t="str">
        <f>IF(Table1[Date of Initial Assessment]="","",IF(AND(Table1[Start Date]&gt;42460,Table1[Start Date]&lt;42826),Table1[Motivation and Taking Responsibility],""))</f>
        <v/>
      </c>
      <c r="FV419" s="44" t="str">
        <f>IF(Table1[Date of Initial Assessment]="","",IF(AND(Table1[Start Date]&gt;42460,Table1[Start Date]&lt;42826),Table1[Self-Care and Living Skills],""))</f>
        <v/>
      </c>
      <c r="FW419" s="44" t="str">
        <f>IF(Table1[Date of Initial Assessment]="","",IF(AND(Table1[Start Date]&gt;42460,Table1[Start Date]&lt;42826),Table1[Managing Money and Personal Administration],""))</f>
        <v/>
      </c>
      <c r="FX419" s="44" t="str">
        <f>IF(Table1[Date of Initial Assessment]="","",IF(AND(Table1[Start Date]&gt;42460,Table1[Start Date]&lt;42826),Table1[Social Networks and Relationships],""))</f>
        <v/>
      </c>
      <c r="FY419" s="44" t="str">
        <f>IF(Table1[Date of Initial Assessment]="","",IF(AND(Table1[Start Date]&gt;42460,Table1[Start Date]&lt;42826),Table1[Drug and Alcohol Misuse],""))</f>
        <v/>
      </c>
      <c r="FZ419" s="44" t="str">
        <f>IF(Table1[Date of Initial Assessment]="","",IF(AND(Table1[Start Date]&gt;42460,Table1[Start Date]&lt;42826),Table1[Physical Health],""))</f>
        <v/>
      </c>
      <c r="GA419" s="44" t="str">
        <f>IF(Table1[Date of Initial Assessment]="","",IF(AND(Table1[Start Date]&gt;42460,Table1[Start Date]&lt;42826),Table1[Emotional and Mental Health],""))</f>
        <v/>
      </c>
      <c r="GB419" s="44" t="str">
        <f>IF(Table1[Date of Initial Assessment]="","",IF(AND(Table1[Start Date]&gt;42460,Table1[Start Date]&lt;42826),Table1[Meaningful Use of Time],""))</f>
        <v/>
      </c>
      <c r="GC419" s="44" t="str">
        <f>IF(Table1[Date of Initial Assessment]="","",IF(AND(Table1[Start Date]&gt;42460,Table1[Start Date]&lt;42826),Table1[Managing Tenancy and Accommodation],""))</f>
        <v/>
      </c>
      <c r="GD419" s="44" t="str">
        <f>IF(Table1[Date of Initial Assessment]="","",IF(AND(Table1[Start Date]&gt;42460,Table1[Start Date]&lt;42826),Table1[Offending],""))</f>
        <v/>
      </c>
      <c r="GE419" s="44" t="str">
        <f>IF(Table1[Leaving Date]="","",IF(AND(Table1[Leaving Date]&gt;42460,Table1[Leaving Date]&lt;42826),IF(Table1[Date of Last Assessment]="",Table1[Motivation and Taking Responsibility],Table1[Motivation and Taking Responsibility2]),""))</f>
        <v/>
      </c>
      <c r="GF419" s="44" t="str">
        <f>IF(Table1[Leaving Date]="","",IF(AND(Table1[Leaving Date]&gt;42460,Table1[Leaving Date]&lt;42826),IF(Table1[Date of Last Assessment]="",Table1[Self-Care and Living Skills],Table1[Self-Care and Living Skills2]),""))</f>
        <v/>
      </c>
      <c r="GG419" s="44" t="str">
        <f>IF(Table1[Leaving Date]="","",IF(AND(Table1[Leaving Date]&gt;42460,Table1[Leaving Date]&lt;42826),IF(Table1[Date of Last Assessment]="",Table1[Managing Money and Personal Administration],Table1[Managing Money and Personal Administration2]),""))</f>
        <v/>
      </c>
      <c r="GH419" s="44" t="str">
        <f>IF(Table1[Leaving Date]="","",IF(AND(Table1[Leaving Date]&gt;42460,Table1[Leaving Date]&lt;42826),IF(Table1[Date of Last Assessment]="",Table1[Social Networks and Relationships],Table1[Social Networks and Relationships2]),""))</f>
        <v/>
      </c>
      <c r="GI419" s="44" t="str">
        <f>IF(Table1[Leaving Date]="","",IF(AND(Table1[Leaving Date]&gt;42460,Table1[Leaving Date]&lt;42826),IF(Table1[Date of Last Assessment]="",Table1[Drug and Alcohol Misuse],Table1[Drug and Alcohol Misuse2]),""))</f>
        <v/>
      </c>
      <c r="GJ419" s="44" t="str">
        <f>IF(Table1[Leaving Date]="","",IF(AND(Table1[Leaving Date]&gt;42460,Table1[Leaving Date]&lt;42826),IF(Table1[Date of Last Assessment]="",Table1[Physical Health],Table1[Physical Health2]),""))</f>
        <v/>
      </c>
      <c r="GK419" s="44" t="str">
        <f>IF(Table1[Leaving Date]="","",IF(AND(Table1[Leaving Date]&gt;42460,Table1[Leaving Date]&lt;42826),IF(Table1[Date of Last Assessment]="",Table1[Emotional and Mental Health],Table1[Emotional and Mental Health2]),""))</f>
        <v/>
      </c>
      <c r="GL419" s="44" t="str">
        <f>IF(Table1[Leaving Date]="","",IF(AND(Table1[Leaving Date]&gt;42460,Table1[Leaving Date]&lt;42826),IF(Table1[Date of Last Assessment]="",Table1[Meaningful Use of Time],Table1[Meaningful Use of Time2]),""))</f>
        <v/>
      </c>
      <c r="GM419" s="44" t="str">
        <f>IF(Table1[Leaving Date]="","",IF(AND(Table1[Leaving Date]&gt;42460,Table1[Leaving Date]&lt;42826),IF(Table1[Date of Last Assessment]="",Table1[Managing Tenancy and Accommodation],Table1[Managing Tenancy and Accommodation2]),""))</f>
        <v/>
      </c>
      <c r="GN419" s="44" t="str">
        <f>IF(Table1[Leaving Date]="","",IF(AND(Table1[Leaving Date]&gt;42460,Table1[Leaving Date]&lt;42826),IF(Table1[Date of Last Assessment]="",Table1[Offending],Table1[Offending2]),""))</f>
        <v/>
      </c>
    </row>
    <row r="420" spans="2:196" ht="20.100000000000001" customHeight="1" x14ac:dyDescent="0.2">
      <c r="B420" s="86">
        <f>+'Service Data'!$C$5:$C$5</f>
        <v>0</v>
      </c>
      <c r="C420" s="86"/>
      <c r="D420" s="86"/>
      <c r="E420" s="86"/>
      <c r="F420" s="86"/>
      <c r="G420" s="86"/>
      <c r="H420" s="6"/>
      <c r="I420" s="99" t="str">
        <f ca="1">IF(Table1[[#This Row],[Date of Birth]]="","",SUM(TODAY()-Table1[[#This Row],[Date of Birth]])/365)</f>
        <v/>
      </c>
      <c r="L420" s="86"/>
      <c r="M420" s="77"/>
      <c r="N420" s="86"/>
      <c r="O420" s="86"/>
      <c r="P420" s="91"/>
      <c r="Q420" s="86"/>
      <c r="R420" s="77"/>
      <c r="S420" s="77"/>
      <c r="T420" s="68"/>
      <c r="U420" s="68"/>
      <c r="V420" s="67"/>
      <c r="W420" s="67"/>
      <c r="X420" s="67"/>
      <c r="Y420" s="67"/>
      <c r="Z420" s="67"/>
      <c r="AA420" s="67"/>
      <c r="AB420" s="67"/>
      <c r="AC420" s="67"/>
      <c r="AD420" s="67"/>
      <c r="AE420" s="67"/>
      <c r="AF420" s="67"/>
      <c r="AG420" s="67"/>
      <c r="AH420" s="67"/>
      <c r="AI420" s="67"/>
      <c r="AJ420" s="67"/>
      <c r="AK420" s="67"/>
      <c r="AL420" s="67"/>
      <c r="AM420" s="67"/>
      <c r="AN420" s="77"/>
      <c r="AO420" s="76"/>
      <c r="AP420" s="77"/>
      <c r="AQ420" s="76"/>
      <c r="AR420" s="76"/>
      <c r="AS420" s="76"/>
      <c r="AT420" s="76"/>
      <c r="AU420" s="76"/>
      <c r="AV420" s="77"/>
      <c r="AW420" s="76"/>
      <c r="AX420" s="77"/>
      <c r="AY420" s="76"/>
      <c r="AZ420" s="76"/>
      <c r="BA420" s="76"/>
      <c r="BB420" s="76"/>
      <c r="BC420" s="76"/>
      <c r="BD420" s="77"/>
      <c r="BE420" s="76"/>
      <c r="BF420" s="77"/>
      <c r="BG420" s="76"/>
      <c r="BH420" s="76"/>
      <c r="BI420" s="76"/>
      <c r="BJ420" s="76"/>
      <c r="BK420" s="76"/>
      <c r="BL420" s="77"/>
      <c r="BM420" s="76"/>
      <c r="BN420" s="77"/>
      <c r="BO420" s="76"/>
      <c r="BP420" s="76"/>
      <c r="BQ420" s="76"/>
      <c r="BR420" s="76"/>
      <c r="BS420" s="76"/>
      <c r="BT420" s="77"/>
      <c r="BU420" s="76"/>
      <c r="BV420" s="77"/>
      <c r="BW420" s="76"/>
      <c r="BX420" s="76"/>
      <c r="BY420" s="76"/>
      <c r="BZ420" s="76"/>
      <c r="CA420" s="76"/>
      <c r="CB420" s="77"/>
      <c r="CC420" s="76"/>
      <c r="CD420" s="77"/>
      <c r="CE420" s="76"/>
      <c r="CF420" s="76"/>
      <c r="CG420" s="76"/>
      <c r="CH420" s="76"/>
      <c r="CI420" s="76"/>
      <c r="CJ420" s="77"/>
      <c r="CK420" s="76"/>
      <c r="CL420" s="77"/>
      <c r="CM420" s="76"/>
      <c r="CN420" s="76"/>
      <c r="CO420" s="76"/>
      <c r="CP420" s="76"/>
      <c r="CQ420" s="76"/>
      <c r="CR420" s="78" t="str">
        <f t="shared" si="111"/>
        <v/>
      </c>
      <c r="CS420" s="79" t="str">
        <f t="shared" si="112"/>
        <v/>
      </c>
      <c r="CT420" s="79" t="str">
        <f t="shared" si="113"/>
        <v/>
      </c>
      <c r="CU420" s="79" t="str">
        <f t="shared" si="114"/>
        <v/>
      </c>
      <c r="CV420" s="79" t="str">
        <f t="shared" si="115"/>
        <v/>
      </c>
      <c r="CW420" s="79" t="str">
        <f t="shared" si="116"/>
        <v/>
      </c>
      <c r="CX420" s="79" t="str">
        <f t="shared" si="117"/>
        <v/>
      </c>
      <c r="CY420" s="79" t="str">
        <f t="shared" si="118"/>
        <v/>
      </c>
      <c r="CZ420" s="79" t="str">
        <f t="shared" si="119"/>
        <v/>
      </c>
      <c r="DA420" s="79" t="str">
        <f t="shared" si="120"/>
        <v/>
      </c>
      <c r="DB420" s="79" t="str">
        <f t="shared" si="121"/>
        <v/>
      </c>
      <c r="DC420" s="79" t="str">
        <f t="shared" si="122"/>
        <v/>
      </c>
      <c r="DD420" s="79" t="str">
        <f t="shared" si="123"/>
        <v/>
      </c>
      <c r="DE420" s="79" t="str">
        <f t="shared" si="124"/>
        <v/>
      </c>
      <c r="DF420" s="79" t="str">
        <f t="shared" si="125"/>
        <v/>
      </c>
      <c r="DG420" s="79" t="str">
        <f t="shared" si="126"/>
        <v/>
      </c>
      <c r="DH420" s="76"/>
      <c r="DI420" s="78"/>
      <c r="DJ420" s="76"/>
      <c r="DK420" s="77"/>
      <c r="DL420" s="77"/>
      <c r="DM420" s="77"/>
      <c r="DN420" s="80"/>
      <c r="DO420" s="80"/>
      <c r="DP420" s="92" t="str">
        <f>IF(Table1[Start Date]="","",IF(Table1[Start Date]&gt;42185,"",IF(AND(Table1[Leaving Date]&gt;1,Table1[Leaving Date]&lt;42095),"",1)))</f>
        <v/>
      </c>
      <c r="DQ420" s="92" t="str">
        <f>IF(Table1[Start Date]="","",IF(Table1[Start Date]&gt;42277,"",IF(AND(Table1[Leaving Date]&gt;1,Table1[Leaving Date]&lt;42186),"",1)))</f>
        <v/>
      </c>
      <c r="DR420" s="92" t="str">
        <f>IF(Table1[Start Date]="","",IF(Table1[Start Date]&gt;42369,"",IF(AND(Table1[Leaving Date]&gt;1,Table1[Leaving Date]&lt;42278),"",1)))</f>
        <v/>
      </c>
      <c r="DS420" s="92" t="str">
        <f>IF(Table1[Start Date]="","",IF(Table1[Start Date]&gt;42460,"",IF(AND(Table1[Leaving Date]&gt;1,Table1[Leaving Date]&lt;42370),"",1)))</f>
        <v/>
      </c>
      <c r="DT420" s="92" t="str">
        <f>IF(Table1[Start Date]="","",IF(Table1[Start Date]&gt;42551,"",IF(AND(Table1[Leaving Date]&gt;1,Table1[Leaving Date]&lt;42461),"",1)))</f>
        <v/>
      </c>
      <c r="DU420" s="92" t="str">
        <f>IF(Table1[Start Date]="","",IF(Table1[Start Date]&gt;42643,"",IF(AND(Table1[Leaving Date]&gt;1,Table1[Leaving Date]&lt;42552),"",1)))</f>
        <v/>
      </c>
      <c r="DV420" s="92" t="str">
        <f>IF(Table1[Start Date]="","",IF(Table1[Start Date]&gt;42735,"",IF(AND(Table1[Leaving Date]&gt;1,Table1[Leaving Date]&lt;42644),"",1)))</f>
        <v/>
      </c>
      <c r="DW420" s="92" t="str">
        <f>IF(Table1[Start Date]="","",IF(Table1[Start Date]&gt;42825,"",IF(AND(Table1[Leaving Date]&gt;1,Table1[Leaving Date]&lt;42736),"",1)))</f>
        <v/>
      </c>
      <c r="DX420"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420" s="44" t="e">
        <f>VLOOKUP(Table1[Referral Source],Lists!$G$2:$H$20,2,FALSE)</f>
        <v>#N/A</v>
      </c>
      <c r="DZ420" s="93" t="e">
        <f>SUM(Table1[Data Referral Quarter]+Table1[Data Referral Source])</f>
        <v>#N/A</v>
      </c>
      <c r="EA420" s="44" t="b">
        <f>IF(Table1[Referral Decision]="Accepted",100,IF(Table1[Referral Decision]="Rejected by Provider",200,IF(Table1[Referral Decision]="Rejected by Applicant",300)))</f>
        <v>0</v>
      </c>
      <c r="EB420" s="44">
        <f>SUM(Table1[Data Referral Quarter]+Table1[Data Referral Decision])</f>
        <v>0</v>
      </c>
      <c r="EC420" s="44" t="b">
        <f>IF(Table1[Start Date]&gt;42735,8000,IF(Table1[Start Date]&gt;42643,7000,IF(Table1[Start Date]&gt;42551,6000,IF(Table1[Start Date]&gt;42460,5000,IF(Table1[Start Date]&gt;42369,4000,IF(Table1[Start Date]&gt;42277,3000,IF(Table1[Start Date]&gt;42185,2000,IF(Table1[Start Date]&gt;42094,1000))))))))</f>
        <v>0</v>
      </c>
      <c r="ED420" s="44" t="str">
        <f>IF(Table1[Start Date]="","",IF(Table1[Current Local Authority]="Swindon",1,"2"))</f>
        <v/>
      </c>
      <c r="EE420" s="44" t="e">
        <f>SUM(Table1[Data Start Date]+Table1[Data Local Authority])</f>
        <v>#VALUE!</v>
      </c>
      <c r="EF420" s="44">
        <f>IF(Table1[Registered with GP]="Yes",1,0)</f>
        <v>0</v>
      </c>
      <c r="EG420" s="44">
        <f>SUM(Table1[Data Start Date]+Table1[Data GP Start])</f>
        <v>0</v>
      </c>
      <c r="EH420" s="44" t="str">
        <f>IF(Table1[EET]="NEET",1,IF(Table1[EET]="Education",2,IF(Table1[EET]="Employment",2,IF(Table1[EET]="Training",2,IF(Table1[EET]="Retired",3,"")))))</f>
        <v/>
      </c>
      <c r="EI420" s="44" t="e">
        <f>Table1[Data Start Date]+Table1[Data EET Start]</f>
        <v>#VALUE!</v>
      </c>
      <c r="EJ420" s="44" t="b">
        <f>IF(Table1[Leaving Date]&gt;42735,8000,IF(Table1[Leaving Date]&gt;42643,7000,IF(Table1[Leaving Date]&gt;42551,6000,IF(Table1[Leaving Date]&gt;42460,5000,IF(Table1[Leaving Date]&gt;42369,4000,IF(Table1[Leaving Date]&gt;42277,3000,IF(Table1[Leaving Date]&gt;42185,2000,IF(Table1[Leaving Date]&gt;42094,1000))))))))</f>
        <v>0</v>
      </c>
      <c r="EK420" s="44" t="e">
        <f>VLOOKUP(Table1[Reason for Leaving],Lists!$T$2:$U$15,2,FALSE)</f>
        <v>#N/A</v>
      </c>
      <c r="EL420" s="44" t="e">
        <f>SUM(Table1[Data Leavers Date]+Table1[Data Move On])</f>
        <v>#N/A</v>
      </c>
      <c r="EM420" s="44" t="b">
        <f>IF(Table1[Registered with GP2]="Yes",1,IF(Table1[Registered with GP2]="No",0,IF(Table1[Registered with GP]="Yes",1,IF(Table1[Registered with GP]="No",0))))</f>
        <v>0</v>
      </c>
      <c r="EN420" s="44">
        <f>SUM(Table1[Data Leavers Date]+Table1[Data GP End])</f>
        <v>0</v>
      </c>
      <c r="EO420" s="44" t="str">
        <f>IF(Table1[EET2]="NEET",1,IF(Table1[EET2]="Employment",2,IF(Table1[EET2]="Education",2,IF(Table1[EET2]="Training",2,IF(Table1[EET2]="Retired",3,IF(Table1[EET]="NEET",1,IF(Table1[EET]="Employment",2,IF(Table1[EET]="Education",2,IF(Table1[EET]="Training",2,IF(Table1[EET]="Retired",3,""))))))))))</f>
        <v/>
      </c>
      <c r="EP420" s="44" t="e">
        <f>+Table1[[#This Row],[Data Leavers Date]]+Table1[[#This Row],[Data EET End]]</f>
        <v>#VALUE!</v>
      </c>
      <c r="EQ420" s="44">
        <f>IF(Table1[Exit Form Received]="Yes",1,0)</f>
        <v>0</v>
      </c>
      <c r="ER420" s="44">
        <f>+Table1[[#This Row],[Data Leavers Date]]+Table1[[#This Row],[Data Exit Forms]]</f>
        <v>0</v>
      </c>
      <c r="ES420" s="44" t="str">
        <f>IF(Table1[Data Leavers Date]=1000,SUM(Table1[Leaving Date]-Table1[Start Date]),"")</f>
        <v/>
      </c>
      <c r="ET420" s="44" t="str">
        <f>IF(Table1[Data Leavers Date]=2000,SUM(Table1[Leaving Date]-Table1[Start Date]),"")</f>
        <v/>
      </c>
      <c r="EU420" s="44" t="str">
        <f>IF(Table1[Data Leavers Date]=3000,SUM(Table1[Leaving Date]-Table1[Start Date]),"")</f>
        <v/>
      </c>
      <c r="EV420" s="44" t="str">
        <f>IF(Table1[Data Leavers Date]=4000,SUM(Table1[Leaving Date]-Table1[Start Date]),"")</f>
        <v/>
      </c>
      <c r="EW420" s="44" t="str">
        <f>IF(Table1[Data Leavers Date]=5000,SUM(Table1[Leaving Date]-Table1[Start Date]),"")</f>
        <v/>
      </c>
      <c r="EX420" s="44" t="str">
        <f>IF(Table1[Data Leavers Date]=6000,SUM(Table1[Leaving Date]-Table1[Start Date]),"")</f>
        <v/>
      </c>
      <c r="EY420" s="44" t="str">
        <f>IF(Table1[Data Leavers Date]=7000,SUM(Table1[Leaving Date]-Table1[Start Date]),"")</f>
        <v/>
      </c>
      <c r="EZ420" s="44" t="str">
        <f>IF(Table1[Data Leavers Date]=8000,SUM(Table1[Leaving Date]-Table1[Start Date]),"")</f>
        <v/>
      </c>
      <c r="FA420" s="44" t="str">
        <f>IF(Table1[Date of Initial Assessment]="","",IF(AND(Table1[Start Date]&gt;42094,Table1[Start Date]&lt;42461),Table1[Motivation and Taking Responsibility],""))</f>
        <v/>
      </c>
      <c r="FB420" s="44" t="str">
        <f>IF(Table1[Date of Initial Assessment]="","",IF(AND(Table1[Start Date]&gt;42094,Table1[Start Date]&lt;42461),Table1[Self-Care and Living Skills],""))</f>
        <v/>
      </c>
      <c r="FC420" s="44" t="str">
        <f>IF(Table1[Date of Initial Assessment]="","",IF(AND(Table1[Start Date]&gt;42094,Table1[Start Date]&lt;42461),Table1[Managing Money and Personal Administration],""))</f>
        <v/>
      </c>
      <c r="FD420" s="44" t="str">
        <f>IF(Table1[Date of Initial Assessment]="","",IF(AND(Table1[Start Date]&gt;42094,Table1[Start Date]&lt;42461),Table1[Social Networks and Relationships],""))</f>
        <v/>
      </c>
      <c r="FE420" s="44" t="str">
        <f>IF(Table1[Date of Initial Assessment]="","",IF(AND(Table1[Start Date]&gt;42094,Table1[Start Date]&lt;42461),Table1[Drug and Alcohol Misuse],""))</f>
        <v/>
      </c>
      <c r="FF420" s="44" t="str">
        <f>IF(Table1[Date of Initial Assessment]="","",IF(AND(Table1[Start Date]&gt;42094,Table1[Start Date]&lt;42461),Table1[Physical Health],""))</f>
        <v/>
      </c>
      <c r="FG420" s="44" t="str">
        <f>IF(Table1[Date of Initial Assessment]="","",IF(AND(Table1[Start Date]&gt;42094,Table1[Start Date]&lt;42461),Table1[Emotional and Mental Health],""))</f>
        <v/>
      </c>
      <c r="FH420" s="44" t="str">
        <f>IF(Table1[Date of Initial Assessment]="","",IF(AND(Table1[Start Date]&gt;42094,Table1[Start Date]&lt;42461),Table1[Meaningful Use of Time],""))</f>
        <v/>
      </c>
      <c r="FI420" s="44" t="str">
        <f>IF(Table1[Date of Initial Assessment]="","",IF(AND(Table1[Start Date]&gt;42094,Table1[Start Date]&lt;42461),Table1[Managing Tenancy and Accommodation],""))</f>
        <v/>
      </c>
      <c r="FJ420" s="44" t="str">
        <f>IF(Table1[Date of Initial Assessment]="","",IF(AND(Table1[Start Date]&gt;42094,Table1[Start Date]&lt;42461),Table1[Offending],""))</f>
        <v/>
      </c>
      <c r="FK420" s="44" t="str">
        <f>IF(Table1[Leaving Date]="","",IF(Table1[Date of Initial Assessment]="","",IF(AND(Table1[Leaving Date]&gt;42094,Table1[Leaving Date]&lt;42461),IF(Table1[Date of Last Assessment]="",Table1[Motivation and Taking Responsibility],Table1[Motivation and Taking Responsibility2]),"")))</f>
        <v/>
      </c>
      <c r="FL420" s="44" t="str">
        <f>IF(Table1[Leaving Date]="","",IF(Table1[Date of Initial Assessment]="","",IF(AND(Table1[Leaving Date]&gt;42094,Table1[Leaving Date]&lt;42461),IF(Table1[Date of Last Assessment]="",Table1[Self-Care and Living Skills],Table1[Self-Care and Living Skills2]),"")))</f>
        <v/>
      </c>
      <c r="FM420" s="44" t="str">
        <f>IF(Table1[Leaving Date]="","",IF(Table1[Date of Initial Assessment]="","",IF(AND(Table1[Leaving Date]&gt;42094,Table1[Leaving Date]&lt;42461),IF(Table1[Date of Last Assessment]="",Table1[Managing Money and Personal Administration],Table1[Managing Money and Personal Administration2]),"")))</f>
        <v/>
      </c>
      <c r="FN420" s="44" t="str">
        <f>IF(Table1[Leaving Date]="","",IF(Table1[Date of Initial Assessment]="","",IF(AND(Table1[Leaving Date]&gt;42094,Table1[Leaving Date]&lt;42461),IF(Table1[Date of Last Assessment]="",Table1[Social Networks and Relationships],Table1[Social Networks and Relationships2]),"")))</f>
        <v/>
      </c>
      <c r="FO420" s="44" t="str">
        <f>IF(Table1[Leaving Date]="","",IF(Table1[Date of Initial Assessment]="","",IF(AND(Table1[Leaving Date]&gt;42094,Table1[Leaving Date]&lt;42461),IF(Table1[Date of Last Assessment]="",Table1[Drug and Alcohol Misuse],Table1[Drug and Alcohol Misuse2]),"")))</f>
        <v/>
      </c>
      <c r="FP420" s="44" t="str">
        <f>IF(Table1[Leaving Date]="","",IF(Table1[Date of Initial Assessment]="","",IF(AND(Table1[Leaving Date]&gt;42094,Table1[Leaving Date]&lt;42461),IF(Table1[Date of Last Assessment]="",Table1[Physical Health],Table1[Physical Health2]),"")))</f>
        <v/>
      </c>
      <c r="FQ420" s="44" t="str">
        <f>IF(Table1[Leaving Date]="","",IF(Table1[Date of Initial Assessment]="","",IF(AND(Table1[Leaving Date]&gt;42094,Table1[Leaving Date]&lt;42461),IF(Table1[Date of Last Assessment]="",Table1[Emotional and Mental Health],Table1[Emotional and Mental Health2]),"")))</f>
        <v/>
      </c>
      <c r="FR420" s="44" t="str">
        <f>IF(Table1[Leaving Date]="","",IF(Table1[Date of Initial Assessment]="","",IF(AND(Table1[Leaving Date]&gt;42094,Table1[Leaving Date]&lt;42461),IF(Table1[Date of Last Assessment]="",Table1[Meaningful Use of Time],Table1[Meaningful Use of Time2]),"")))</f>
        <v/>
      </c>
      <c r="FS420" s="44" t="str">
        <f>IF(Table1[Leaving Date]="","",IF(Table1[Date of Initial Assessment]="","",IF(AND(Table1[Leaving Date]&gt;42094,Table1[Leaving Date]&lt;42461),IF(Table1[Date of Last Assessment]="",Table1[Managing Tenancy and Accommodation],Table1[Managing Tenancy and Accommodation2]),"")))</f>
        <v/>
      </c>
      <c r="FT420" s="44" t="str">
        <f>IF(Table1[Leaving Date]="","",IF(Table1[Date of Initial Assessment]="","",IF(AND(Table1[Leaving Date]&gt;42094,Table1[Leaving Date]&lt;42461),IF(Table1[Date of Last Assessment]="",Table1[Offending],Table1[Offending2]),"")))</f>
        <v/>
      </c>
      <c r="FU420" s="44" t="str">
        <f>IF(Table1[Date of Initial Assessment]="","",IF(AND(Table1[Start Date]&gt;42460,Table1[Start Date]&lt;42826),Table1[Motivation and Taking Responsibility],""))</f>
        <v/>
      </c>
      <c r="FV420" s="44" t="str">
        <f>IF(Table1[Date of Initial Assessment]="","",IF(AND(Table1[Start Date]&gt;42460,Table1[Start Date]&lt;42826),Table1[Self-Care and Living Skills],""))</f>
        <v/>
      </c>
      <c r="FW420" s="44" t="str">
        <f>IF(Table1[Date of Initial Assessment]="","",IF(AND(Table1[Start Date]&gt;42460,Table1[Start Date]&lt;42826),Table1[Managing Money and Personal Administration],""))</f>
        <v/>
      </c>
      <c r="FX420" s="44" t="str">
        <f>IF(Table1[Date of Initial Assessment]="","",IF(AND(Table1[Start Date]&gt;42460,Table1[Start Date]&lt;42826),Table1[Social Networks and Relationships],""))</f>
        <v/>
      </c>
      <c r="FY420" s="44" t="str">
        <f>IF(Table1[Date of Initial Assessment]="","",IF(AND(Table1[Start Date]&gt;42460,Table1[Start Date]&lt;42826),Table1[Drug and Alcohol Misuse],""))</f>
        <v/>
      </c>
      <c r="FZ420" s="44" t="str">
        <f>IF(Table1[Date of Initial Assessment]="","",IF(AND(Table1[Start Date]&gt;42460,Table1[Start Date]&lt;42826),Table1[Physical Health],""))</f>
        <v/>
      </c>
      <c r="GA420" s="44" t="str">
        <f>IF(Table1[Date of Initial Assessment]="","",IF(AND(Table1[Start Date]&gt;42460,Table1[Start Date]&lt;42826),Table1[Emotional and Mental Health],""))</f>
        <v/>
      </c>
      <c r="GB420" s="44" t="str">
        <f>IF(Table1[Date of Initial Assessment]="","",IF(AND(Table1[Start Date]&gt;42460,Table1[Start Date]&lt;42826),Table1[Meaningful Use of Time],""))</f>
        <v/>
      </c>
      <c r="GC420" s="44" t="str">
        <f>IF(Table1[Date of Initial Assessment]="","",IF(AND(Table1[Start Date]&gt;42460,Table1[Start Date]&lt;42826),Table1[Managing Tenancy and Accommodation],""))</f>
        <v/>
      </c>
      <c r="GD420" s="44" t="str">
        <f>IF(Table1[Date of Initial Assessment]="","",IF(AND(Table1[Start Date]&gt;42460,Table1[Start Date]&lt;42826),Table1[Offending],""))</f>
        <v/>
      </c>
      <c r="GE420" s="44" t="str">
        <f>IF(Table1[Leaving Date]="","",IF(AND(Table1[Leaving Date]&gt;42460,Table1[Leaving Date]&lt;42826),IF(Table1[Date of Last Assessment]="",Table1[Motivation and Taking Responsibility],Table1[Motivation and Taking Responsibility2]),""))</f>
        <v/>
      </c>
      <c r="GF420" s="44" t="str">
        <f>IF(Table1[Leaving Date]="","",IF(AND(Table1[Leaving Date]&gt;42460,Table1[Leaving Date]&lt;42826),IF(Table1[Date of Last Assessment]="",Table1[Self-Care and Living Skills],Table1[Self-Care and Living Skills2]),""))</f>
        <v/>
      </c>
      <c r="GG420" s="44" t="str">
        <f>IF(Table1[Leaving Date]="","",IF(AND(Table1[Leaving Date]&gt;42460,Table1[Leaving Date]&lt;42826),IF(Table1[Date of Last Assessment]="",Table1[Managing Money and Personal Administration],Table1[Managing Money and Personal Administration2]),""))</f>
        <v/>
      </c>
      <c r="GH420" s="44" t="str">
        <f>IF(Table1[Leaving Date]="","",IF(AND(Table1[Leaving Date]&gt;42460,Table1[Leaving Date]&lt;42826),IF(Table1[Date of Last Assessment]="",Table1[Social Networks and Relationships],Table1[Social Networks and Relationships2]),""))</f>
        <v/>
      </c>
      <c r="GI420" s="44" t="str">
        <f>IF(Table1[Leaving Date]="","",IF(AND(Table1[Leaving Date]&gt;42460,Table1[Leaving Date]&lt;42826),IF(Table1[Date of Last Assessment]="",Table1[Drug and Alcohol Misuse],Table1[Drug and Alcohol Misuse2]),""))</f>
        <v/>
      </c>
      <c r="GJ420" s="44" t="str">
        <f>IF(Table1[Leaving Date]="","",IF(AND(Table1[Leaving Date]&gt;42460,Table1[Leaving Date]&lt;42826),IF(Table1[Date of Last Assessment]="",Table1[Physical Health],Table1[Physical Health2]),""))</f>
        <v/>
      </c>
      <c r="GK420" s="44" t="str">
        <f>IF(Table1[Leaving Date]="","",IF(AND(Table1[Leaving Date]&gt;42460,Table1[Leaving Date]&lt;42826),IF(Table1[Date of Last Assessment]="",Table1[Emotional and Mental Health],Table1[Emotional and Mental Health2]),""))</f>
        <v/>
      </c>
      <c r="GL420" s="44" t="str">
        <f>IF(Table1[Leaving Date]="","",IF(AND(Table1[Leaving Date]&gt;42460,Table1[Leaving Date]&lt;42826),IF(Table1[Date of Last Assessment]="",Table1[Meaningful Use of Time],Table1[Meaningful Use of Time2]),""))</f>
        <v/>
      </c>
      <c r="GM420" s="44" t="str">
        <f>IF(Table1[Leaving Date]="","",IF(AND(Table1[Leaving Date]&gt;42460,Table1[Leaving Date]&lt;42826),IF(Table1[Date of Last Assessment]="",Table1[Managing Tenancy and Accommodation],Table1[Managing Tenancy and Accommodation2]),""))</f>
        <v/>
      </c>
      <c r="GN420" s="44" t="str">
        <f>IF(Table1[Leaving Date]="","",IF(AND(Table1[Leaving Date]&gt;42460,Table1[Leaving Date]&lt;42826),IF(Table1[Date of Last Assessment]="",Table1[Offending],Table1[Offending2]),""))</f>
        <v/>
      </c>
    </row>
    <row r="421" spans="2:196" ht="20.100000000000001" customHeight="1" x14ac:dyDescent="0.2">
      <c r="B421" s="86">
        <f>+'Service Data'!$C$5:$C$5</f>
        <v>0</v>
      </c>
      <c r="C421" s="86"/>
      <c r="D421" s="86"/>
      <c r="E421" s="86"/>
      <c r="F421" s="86"/>
      <c r="G421" s="86"/>
      <c r="H421" s="6"/>
      <c r="I421" s="99" t="str">
        <f ca="1">IF(Table1[[#This Row],[Date of Birth]]="","",SUM(TODAY()-Table1[[#This Row],[Date of Birth]])/365)</f>
        <v/>
      </c>
      <c r="L421" s="86"/>
      <c r="M421" s="77"/>
      <c r="N421" s="86"/>
      <c r="O421" s="86"/>
      <c r="P421" s="91"/>
      <c r="Q421" s="86"/>
      <c r="R421" s="77"/>
      <c r="S421" s="77"/>
      <c r="T421" s="68"/>
      <c r="U421" s="68"/>
      <c r="V421" s="67"/>
      <c r="W421" s="67"/>
      <c r="X421" s="67"/>
      <c r="Y421" s="67"/>
      <c r="Z421" s="67"/>
      <c r="AA421" s="67"/>
      <c r="AB421" s="67"/>
      <c r="AC421" s="67"/>
      <c r="AD421" s="67"/>
      <c r="AE421" s="67"/>
      <c r="AF421" s="67"/>
      <c r="AG421" s="67"/>
      <c r="AH421" s="67"/>
      <c r="AI421" s="67"/>
      <c r="AJ421" s="67"/>
      <c r="AK421" s="67"/>
      <c r="AL421" s="67"/>
      <c r="AM421" s="67"/>
      <c r="AN421" s="77"/>
      <c r="AO421" s="76"/>
      <c r="AP421" s="77"/>
      <c r="AQ421" s="76"/>
      <c r="AR421" s="76"/>
      <c r="AS421" s="76"/>
      <c r="AT421" s="76"/>
      <c r="AU421" s="76"/>
      <c r="AV421" s="77"/>
      <c r="AW421" s="76"/>
      <c r="AX421" s="77"/>
      <c r="AY421" s="76"/>
      <c r="AZ421" s="76"/>
      <c r="BA421" s="76"/>
      <c r="BB421" s="76"/>
      <c r="BC421" s="76"/>
      <c r="BD421" s="77"/>
      <c r="BE421" s="76"/>
      <c r="BF421" s="77"/>
      <c r="BG421" s="76"/>
      <c r="BH421" s="76"/>
      <c r="BI421" s="76"/>
      <c r="BJ421" s="76"/>
      <c r="BK421" s="76"/>
      <c r="BL421" s="77"/>
      <c r="BM421" s="76"/>
      <c r="BN421" s="77"/>
      <c r="BO421" s="76"/>
      <c r="BP421" s="76"/>
      <c r="BQ421" s="76"/>
      <c r="BR421" s="76"/>
      <c r="BS421" s="76"/>
      <c r="BT421" s="77"/>
      <c r="BU421" s="76"/>
      <c r="BV421" s="77"/>
      <c r="BW421" s="76"/>
      <c r="BX421" s="76"/>
      <c r="BY421" s="76"/>
      <c r="BZ421" s="76"/>
      <c r="CA421" s="76"/>
      <c r="CB421" s="77"/>
      <c r="CC421" s="76"/>
      <c r="CD421" s="77"/>
      <c r="CE421" s="76"/>
      <c r="CF421" s="76"/>
      <c r="CG421" s="76"/>
      <c r="CH421" s="76"/>
      <c r="CI421" s="76"/>
      <c r="CJ421" s="77"/>
      <c r="CK421" s="76"/>
      <c r="CL421" s="77"/>
      <c r="CM421" s="76"/>
      <c r="CN421" s="76"/>
      <c r="CO421" s="76"/>
      <c r="CP421" s="76"/>
      <c r="CQ421" s="76"/>
      <c r="CR421" s="78" t="str">
        <f t="shared" si="111"/>
        <v/>
      </c>
      <c r="CS421" s="79" t="str">
        <f t="shared" si="112"/>
        <v/>
      </c>
      <c r="CT421" s="79" t="str">
        <f t="shared" si="113"/>
        <v/>
      </c>
      <c r="CU421" s="79" t="str">
        <f t="shared" si="114"/>
        <v/>
      </c>
      <c r="CV421" s="79" t="str">
        <f t="shared" si="115"/>
        <v/>
      </c>
      <c r="CW421" s="79" t="str">
        <f t="shared" si="116"/>
        <v/>
      </c>
      <c r="CX421" s="79" t="str">
        <f t="shared" si="117"/>
        <v/>
      </c>
      <c r="CY421" s="79" t="str">
        <f t="shared" si="118"/>
        <v/>
      </c>
      <c r="CZ421" s="79" t="str">
        <f t="shared" si="119"/>
        <v/>
      </c>
      <c r="DA421" s="79" t="str">
        <f t="shared" si="120"/>
        <v/>
      </c>
      <c r="DB421" s="79" t="str">
        <f t="shared" si="121"/>
        <v/>
      </c>
      <c r="DC421" s="79" t="str">
        <f t="shared" si="122"/>
        <v/>
      </c>
      <c r="DD421" s="79" t="str">
        <f t="shared" si="123"/>
        <v/>
      </c>
      <c r="DE421" s="79" t="str">
        <f t="shared" si="124"/>
        <v/>
      </c>
      <c r="DF421" s="79" t="str">
        <f t="shared" si="125"/>
        <v/>
      </c>
      <c r="DG421" s="79" t="str">
        <f t="shared" si="126"/>
        <v/>
      </c>
      <c r="DH421" s="76"/>
      <c r="DI421" s="78"/>
      <c r="DJ421" s="76"/>
      <c r="DK421" s="77"/>
      <c r="DL421" s="77"/>
      <c r="DM421" s="77"/>
      <c r="DN421" s="80"/>
      <c r="DO421" s="80"/>
      <c r="DP421" s="92" t="str">
        <f>IF(Table1[Start Date]="","",IF(Table1[Start Date]&gt;42185,"",IF(AND(Table1[Leaving Date]&gt;1,Table1[Leaving Date]&lt;42095),"",1)))</f>
        <v/>
      </c>
      <c r="DQ421" s="92" t="str">
        <f>IF(Table1[Start Date]="","",IF(Table1[Start Date]&gt;42277,"",IF(AND(Table1[Leaving Date]&gt;1,Table1[Leaving Date]&lt;42186),"",1)))</f>
        <v/>
      </c>
      <c r="DR421" s="92" t="str">
        <f>IF(Table1[Start Date]="","",IF(Table1[Start Date]&gt;42369,"",IF(AND(Table1[Leaving Date]&gt;1,Table1[Leaving Date]&lt;42278),"",1)))</f>
        <v/>
      </c>
      <c r="DS421" s="92" t="str">
        <f>IF(Table1[Start Date]="","",IF(Table1[Start Date]&gt;42460,"",IF(AND(Table1[Leaving Date]&gt;1,Table1[Leaving Date]&lt;42370),"",1)))</f>
        <v/>
      </c>
      <c r="DT421" s="92" t="str">
        <f>IF(Table1[Start Date]="","",IF(Table1[Start Date]&gt;42551,"",IF(AND(Table1[Leaving Date]&gt;1,Table1[Leaving Date]&lt;42461),"",1)))</f>
        <v/>
      </c>
      <c r="DU421" s="92" t="str">
        <f>IF(Table1[Start Date]="","",IF(Table1[Start Date]&gt;42643,"",IF(AND(Table1[Leaving Date]&gt;1,Table1[Leaving Date]&lt;42552),"",1)))</f>
        <v/>
      </c>
      <c r="DV421" s="92" t="str">
        <f>IF(Table1[Start Date]="","",IF(Table1[Start Date]&gt;42735,"",IF(AND(Table1[Leaving Date]&gt;1,Table1[Leaving Date]&lt;42644),"",1)))</f>
        <v/>
      </c>
      <c r="DW421" s="92" t="str">
        <f>IF(Table1[Start Date]="","",IF(Table1[Start Date]&gt;42825,"",IF(AND(Table1[Leaving Date]&gt;1,Table1[Leaving Date]&lt;42736),"",1)))</f>
        <v/>
      </c>
      <c r="DX421"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421" s="44" t="e">
        <f>VLOOKUP(Table1[Referral Source],Lists!$G$2:$H$20,2,FALSE)</f>
        <v>#N/A</v>
      </c>
      <c r="DZ421" s="93" t="e">
        <f>SUM(Table1[Data Referral Quarter]+Table1[Data Referral Source])</f>
        <v>#N/A</v>
      </c>
      <c r="EA421" s="44" t="b">
        <f>IF(Table1[Referral Decision]="Accepted",100,IF(Table1[Referral Decision]="Rejected by Provider",200,IF(Table1[Referral Decision]="Rejected by Applicant",300)))</f>
        <v>0</v>
      </c>
      <c r="EB421" s="44">
        <f>SUM(Table1[Data Referral Quarter]+Table1[Data Referral Decision])</f>
        <v>0</v>
      </c>
      <c r="EC421" s="44" t="b">
        <f>IF(Table1[Start Date]&gt;42735,8000,IF(Table1[Start Date]&gt;42643,7000,IF(Table1[Start Date]&gt;42551,6000,IF(Table1[Start Date]&gt;42460,5000,IF(Table1[Start Date]&gt;42369,4000,IF(Table1[Start Date]&gt;42277,3000,IF(Table1[Start Date]&gt;42185,2000,IF(Table1[Start Date]&gt;42094,1000))))))))</f>
        <v>0</v>
      </c>
      <c r="ED421" s="44" t="str">
        <f>IF(Table1[Start Date]="","",IF(Table1[Current Local Authority]="Swindon",1,"2"))</f>
        <v/>
      </c>
      <c r="EE421" s="44" t="e">
        <f>SUM(Table1[Data Start Date]+Table1[Data Local Authority])</f>
        <v>#VALUE!</v>
      </c>
      <c r="EF421" s="44">
        <f>IF(Table1[Registered with GP]="Yes",1,0)</f>
        <v>0</v>
      </c>
      <c r="EG421" s="44">
        <f>SUM(Table1[Data Start Date]+Table1[Data GP Start])</f>
        <v>0</v>
      </c>
      <c r="EH421" s="44" t="str">
        <f>IF(Table1[EET]="NEET",1,IF(Table1[EET]="Education",2,IF(Table1[EET]="Employment",2,IF(Table1[EET]="Training",2,IF(Table1[EET]="Retired",3,"")))))</f>
        <v/>
      </c>
      <c r="EI421" s="44" t="e">
        <f>Table1[Data Start Date]+Table1[Data EET Start]</f>
        <v>#VALUE!</v>
      </c>
      <c r="EJ421" s="44" t="b">
        <f>IF(Table1[Leaving Date]&gt;42735,8000,IF(Table1[Leaving Date]&gt;42643,7000,IF(Table1[Leaving Date]&gt;42551,6000,IF(Table1[Leaving Date]&gt;42460,5000,IF(Table1[Leaving Date]&gt;42369,4000,IF(Table1[Leaving Date]&gt;42277,3000,IF(Table1[Leaving Date]&gt;42185,2000,IF(Table1[Leaving Date]&gt;42094,1000))))))))</f>
        <v>0</v>
      </c>
      <c r="EK421" s="44" t="e">
        <f>VLOOKUP(Table1[Reason for Leaving],Lists!$T$2:$U$15,2,FALSE)</f>
        <v>#N/A</v>
      </c>
      <c r="EL421" s="44" t="e">
        <f>SUM(Table1[Data Leavers Date]+Table1[Data Move On])</f>
        <v>#N/A</v>
      </c>
      <c r="EM421" s="44" t="b">
        <f>IF(Table1[Registered with GP2]="Yes",1,IF(Table1[Registered with GP2]="No",0,IF(Table1[Registered with GP]="Yes",1,IF(Table1[Registered with GP]="No",0))))</f>
        <v>0</v>
      </c>
      <c r="EN421" s="44">
        <f>SUM(Table1[Data Leavers Date]+Table1[Data GP End])</f>
        <v>0</v>
      </c>
      <c r="EO421" s="44" t="str">
        <f>IF(Table1[EET2]="NEET",1,IF(Table1[EET2]="Employment",2,IF(Table1[EET2]="Education",2,IF(Table1[EET2]="Training",2,IF(Table1[EET2]="Retired",3,IF(Table1[EET]="NEET",1,IF(Table1[EET]="Employment",2,IF(Table1[EET]="Education",2,IF(Table1[EET]="Training",2,IF(Table1[EET]="Retired",3,""))))))))))</f>
        <v/>
      </c>
      <c r="EP421" s="44" t="e">
        <f>+Table1[[#This Row],[Data Leavers Date]]+Table1[[#This Row],[Data EET End]]</f>
        <v>#VALUE!</v>
      </c>
      <c r="EQ421" s="44">
        <f>IF(Table1[Exit Form Received]="Yes",1,0)</f>
        <v>0</v>
      </c>
      <c r="ER421" s="44">
        <f>+Table1[[#This Row],[Data Leavers Date]]+Table1[[#This Row],[Data Exit Forms]]</f>
        <v>0</v>
      </c>
      <c r="ES421" s="44" t="str">
        <f>IF(Table1[Data Leavers Date]=1000,SUM(Table1[Leaving Date]-Table1[Start Date]),"")</f>
        <v/>
      </c>
      <c r="ET421" s="44" t="str">
        <f>IF(Table1[Data Leavers Date]=2000,SUM(Table1[Leaving Date]-Table1[Start Date]),"")</f>
        <v/>
      </c>
      <c r="EU421" s="44" t="str">
        <f>IF(Table1[Data Leavers Date]=3000,SUM(Table1[Leaving Date]-Table1[Start Date]),"")</f>
        <v/>
      </c>
      <c r="EV421" s="44" t="str">
        <f>IF(Table1[Data Leavers Date]=4000,SUM(Table1[Leaving Date]-Table1[Start Date]),"")</f>
        <v/>
      </c>
      <c r="EW421" s="44" t="str">
        <f>IF(Table1[Data Leavers Date]=5000,SUM(Table1[Leaving Date]-Table1[Start Date]),"")</f>
        <v/>
      </c>
      <c r="EX421" s="44" t="str">
        <f>IF(Table1[Data Leavers Date]=6000,SUM(Table1[Leaving Date]-Table1[Start Date]),"")</f>
        <v/>
      </c>
      <c r="EY421" s="44" t="str">
        <f>IF(Table1[Data Leavers Date]=7000,SUM(Table1[Leaving Date]-Table1[Start Date]),"")</f>
        <v/>
      </c>
      <c r="EZ421" s="44" t="str">
        <f>IF(Table1[Data Leavers Date]=8000,SUM(Table1[Leaving Date]-Table1[Start Date]),"")</f>
        <v/>
      </c>
      <c r="FA421" s="44" t="str">
        <f>IF(Table1[Date of Initial Assessment]="","",IF(AND(Table1[Start Date]&gt;42094,Table1[Start Date]&lt;42461),Table1[Motivation and Taking Responsibility],""))</f>
        <v/>
      </c>
      <c r="FB421" s="44" t="str">
        <f>IF(Table1[Date of Initial Assessment]="","",IF(AND(Table1[Start Date]&gt;42094,Table1[Start Date]&lt;42461),Table1[Self-Care and Living Skills],""))</f>
        <v/>
      </c>
      <c r="FC421" s="44" t="str">
        <f>IF(Table1[Date of Initial Assessment]="","",IF(AND(Table1[Start Date]&gt;42094,Table1[Start Date]&lt;42461),Table1[Managing Money and Personal Administration],""))</f>
        <v/>
      </c>
      <c r="FD421" s="44" t="str">
        <f>IF(Table1[Date of Initial Assessment]="","",IF(AND(Table1[Start Date]&gt;42094,Table1[Start Date]&lt;42461),Table1[Social Networks and Relationships],""))</f>
        <v/>
      </c>
      <c r="FE421" s="44" t="str">
        <f>IF(Table1[Date of Initial Assessment]="","",IF(AND(Table1[Start Date]&gt;42094,Table1[Start Date]&lt;42461),Table1[Drug and Alcohol Misuse],""))</f>
        <v/>
      </c>
      <c r="FF421" s="44" t="str">
        <f>IF(Table1[Date of Initial Assessment]="","",IF(AND(Table1[Start Date]&gt;42094,Table1[Start Date]&lt;42461),Table1[Physical Health],""))</f>
        <v/>
      </c>
      <c r="FG421" s="44" t="str">
        <f>IF(Table1[Date of Initial Assessment]="","",IF(AND(Table1[Start Date]&gt;42094,Table1[Start Date]&lt;42461),Table1[Emotional and Mental Health],""))</f>
        <v/>
      </c>
      <c r="FH421" s="44" t="str">
        <f>IF(Table1[Date of Initial Assessment]="","",IF(AND(Table1[Start Date]&gt;42094,Table1[Start Date]&lt;42461),Table1[Meaningful Use of Time],""))</f>
        <v/>
      </c>
      <c r="FI421" s="44" t="str">
        <f>IF(Table1[Date of Initial Assessment]="","",IF(AND(Table1[Start Date]&gt;42094,Table1[Start Date]&lt;42461),Table1[Managing Tenancy and Accommodation],""))</f>
        <v/>
      </c>
      <c r="FJ421" s="44" t="str">
        <f>IF(Table1[Date of Initial Assessment]="","",IF(AND(Table1[Start Date]&gt;42094,Table1[Start Date]&lt;42461),Table1[Offending],""))</f>
        <v/>
      </c>
      <c r="FK421" s="44" t="str">
        <f>IF(Table1[Leaving Date]="","",IF(Table1[Date of Initial Assessment]="","",IF(AND(Table1[Leaving Date]&gt;42094,Table1[Leaving Date]&lt;42461),IF(Table1[Date of Last Assessment]="",Table1[Motivation and Taking Responsibility],Table1[Motivation and Taking Responsibility2]),"")))</f>
        <v/>
      </c>
      <c r="FL421" s="44" t="str">
        <f>IF(Table1[Leaving Date]="","",IF(Table1[Date of Initial Assessment]="","",IF(AND(Table1[Leaving Date]&gt;42094,Table1[Leaving Date]&lt;42461),IF(Table1[Date of Last Assessment]="",Table1[Self-Care and Living Skills],Table1[Self-Care and Living Skills2]),"")))</f>
        <v/>
      </c>
      <c r="FM421" s="44" t="str">
        <f>IF(Table1[Leaving Date]="","",IF(Table1[Date of Initial Assessment]="","",IF(AND(Table1[Leaving Date]&gt;42094,Table1[Leaving Date]&lt;42461),IF(Table1[Date of Last Assessment]="",Table1[Managing Money and Personal Administration],Table1[Managing Money and Personal Administration2]),"")))</f>
        <v/>
      </c>
      <c r="FN421" s="44" t="str">
        <f>IF(Table1[Leaving Date]="","",IF(Table1[Date of Initial Assessment]="","",IF(AND(Table1[Leaving Date]&gt;42094,Table1[Leaving Date]&lt;42461),IF(Table1[Date of Last Assessment]="",Table1[Social Networks and Relationships],Table1[Social Networks and Relationships2]),"")))</f>
        <v/>
      </c>
      <c r="FO421" s="44" t="str">
        <f>IF(Table1[Leaving Date]="","",IF(Table1[Date of Initial Assessment]="","",IF(AND(Table1[Leaving Date]&gt;42094,Table1[Leaving Date]&lt;42461),IF(Table1[Date of Last Assessment]="",Table1[Drug and Alcohol Misuse],Table1[Drug and Alcohol Misuse2]),"")))</f>
        <v/>
      </c>
      <c r="FP421" s="44" t="str">
        <f>IF(Table1[Leaving Date]="","",IF(Table1[Date of Initial Assessment]="","",IF(AND(Table1[Leaving Date]&gt;42094,Table1[Leaving Date]&lt;42461),IF(Table1[Date of Last Assessment]="",Table1[Physical Health],Table1[Physical Health2]),"")))</f>
        <v/>
      </c>
      <c r="FQ421" s="44" t="str">
        <f>IF(Table1[Leaving Date]="","",IF(Table1[Date of Initial Assessment]="","",IF(AND(Table1[Leaving Date]&gt;42094,Table1[Leaving Date]&lt;42461),IF(Table1[Date of Last Assessment]="",Table1[Emotional and Mental Health],Table1[Emotional and Mental Health2]),"")))</f>
        <v/>
      </c>
      <c r="FR421" s="44" t="str">
        <f>IF(Table1[Leaving Date]="","",IF(Table1[Date of Initial Assessment]="","",IF(AND(Table1[Leaving Date]&gt;42094,Table1[Leaving Date]&lt;42461),IF(Table1[Date of Last Assessment]="",Table1[Meaningful Use of Time],Table1[Meaningful Use of Time2]),"")))</f>
        <v/>
      </c>
      <c r="FS421" s="44" t="str">
        <f>IF(Table1[Leaving Date]="","",IF(Table1[Date of Initial Assessment]="","",IF(AND(Table1[Leaving Date]&gt;42094,Table1[Leaving Date]&lt;42461),IF(Table1[Date of Last Assessment]="",Table1[Managing Tenancy and Accommodation],Table1[Managing Tenancy and Accommodation2]),"")))</f>
        <v/>
      </c>
      <c r="FT421" s="44" t="str">
        <f>IF(Table1[Leaving Date]="","",IF(Table1[Date of Initial Assessment]="","",IF(AND(Table1[Leaving Date]&gt;42094,Table1[Leaving Date]&lt;42461),IF(Table1[Date of Last Assessment]="",Table1[Offending],Table1[Offending2]),"")))</f>
        <v/>
      </c>
      <c r="FU421" s="44" t="str">
        <f>IF(Table1[Date of Initial Assessment]="","",IF(AND(Table1[Start Date]&gt;42460,Table1[Start Date]&lt;42826),Table1[Motivation and Taking Responsibility],""))</f>
        <v/>
      </c>
      <c r="FV421" s="44" t="str">
        <f>IF(Table1[Date of Initial Assessment]="","",IF(AND(Table1[Start Date]&gt;42460,Table1[Start Date]&lt;42826),Table1[Self-Care and Living Skills],""))</f>
        <v/>
      </c>
      <c r="FW421" s="44" t="str">
        <f>IF(Table1[Date of Initial Assessment]="","",IF(AND(Table1[Start Date]&gt;42460,Table1[Start Date]&lt;42826),Table1[Managing Money and Personal Administration],""))</f>
        <v/>
      </c>
      <c r="FX421" s="44" t="str">
        <f>IF(Table1[Date of Initial Assessment]="","",IF(AND(Table1[Start Date]&gt;42460,Table1[Start Date]&lt;42826),Table1[Social Networks and Relationships],""))</f>
        <v/>
      </c>
      <c r="FY421" s="44" t="str">
        <f>IF(Table1[Date of Initial Assessment]="","",IF(AND(Table1[Start Date]&gt;42460,Table1[Start Date]&lt;42826),Table1[Drug and Alcohol Misuse],""))</f>
        <v/>
      </c>
      <c r="FZ421" s="44" t="str">
        <f>IF(Table1[Date of Initial Assessment]="","",IF(AND(Table1[Start Date]&gt;42460,Table1[Start Date]&lt;42826),Table1[Physical Health],""))</f>
        <v/>
      </c>
      <c r="GA421" s="44" t="str">
        <f>IF(Table1[Date of Initial Assessment]="","",IF(AND(Table1[Start Date]&gt;42460,Table1[Start Date]&lt;42826),Table1[Emotional and Mental Health],""))</f>
        <v/>
      </c>
      <c r="GB421" s="44" t="str">
        <f>IF(Table1[Date of Initial Assessment]="","",IF(AND(Table1[Start Date]&gt;42460,Table1[Start Date]&lt;42826),Table1[Meaningful Use of Time],""))</f>
        <v/>
      </c>
      <c r="GC421" s="44" t="str">
        <f>IF(Table1[Date of Initial Assessment]="","",IF(AND(Table1[Start Date]&gt;42460,Table1[Start Date]&lt;42826),Table1[Managing Tenancy and Accommodation],""))</f>
        <v/>
      </c>
      <c r="GD421" s="44" t="str">
        <f>IF(Table1[Date of Initial Assessment]="","",IF(AND(Table1[Start Date]&gt;42460,Table1[Start Date]&lt;42826),Table1[Offending],""))</f>
        <v/>
      </c>
      <c r="GE421" s="44" t="str">
        <f>IF(Table1[Leaving Date]="","",IF(AND(Table1[Leaving Date]&gt;42460,Table1[Leaving Date]&lt;42826),IF(Table1[Date of Last Assessment]="",Table1[Motivation and Taking Responsibility],Table1[Motivation and Taking Responsibility2]),""))</f>
        <v/>
      </c>
      <c r="GF421" s="44" t="str">
        <f>IF(Table1[Leaving Date]="","",IF(AND(Table1[Leaving Date]&gt;42460,Table1[Leaving Date]&lt;42826),IF(Table1[Date of Last Assessment]="",Table1[Self-Care and Living Skills],Table1[Self-Care and Living Skills2]),""))</f>
        <v/>
      </c>
      <c r="GG421" s="44" t="str">
        <f>IF(Table1[Leaving Date]="","",IF(AND(Table1[Leaving Date]&gt;42460,Table1[Leaving Date]&lt;42826),IF(Table1[Date of Last Assessment]="",Table1[Managing Money and Personal Administration],Table1[Managing Money and Personal Administration2]),""))</f>
        <v/>
      </c>
      <c r="GH421" s="44" t="str">
        <f>IF(Table1[Leaving Date]="","",IF(AND(Table1[Leaving Date]&gt;42460,Table1[Leaving Date]&lt;42826),IF(Table1[Date of Last Assessment]="",Table1[Social Networks and Relationships],Table1[Social Networks and Relationships2]),""))</f>
        <v/>
      </c>
      <c r="GI421" s="44" t="str">
        <f>IF(Table1[Leaving Date]="","",IF(AND(Table1[Leaving Date]&gt;42460,Table1[Leaving Date]&lt;42826),IF(Table1[Date of Last Assessment]="",Table1[Drug and Alcohol Misuse],Table1[Drug and Alcohol Misuse2]),""))</f>
        <v/>
      </c>
      <c r="GJ421" s="44" t="str">
        <f>IF(Table1[Leaving Date]="","",IF(AND(Table1[Leaving Date]&gt;42460,Table1[Leaving Date]&lt;42826),IF(Table1[Date of Last Assessment]="",Table1[Physical Health],Table1[Physical Health2]),""))</f>
        <v/>
      </c>
      <c r="GK421" s="44" t="str">
        <f>IF(Table1[Leaving Date]="","",IF(AND(Table1[Leaving Date]&gt;42460,Table1[Leaving Date]&lt;42826),IF(Table1[Date of Last Assessment]="",Table1[Emotional and Mental Health],Table1[Emotional and Mental Health2]),""))</f>
        <v/>
      </c>
      <c r="GL421" s="44" t="str">
        <f>IF(Table1[Leaving Date]="","",IF(AND(Table1[Leaving Date]&gt;42460,Table1[Leaving Date]&lt;42826),IF(Table1[Date of Last Assessment]="",Table1[Meaningful Use of Time],Table1[Meaningful Use of Time2]),""))</f>
        <v/>
      </c>
      <c r="GM421" s="44" t="str">
        <f>IF(Table1[Leaving Date]="","",IF(AND(Table1[Leaving Date]&gt;42460,Table1[Leaving Date]&lt;42826),IF(Table1[Date of Last Assessment]="",Table1[Managing Tenancy and Accommodation],Table1[Managing Tenancy and Accommodation2]),""))</f>
        <v/>
      </c>
      <c r="GN421" s="44" t="str">
        <f>IF(Table1[Leaving Date]="","",IF(AND(Table1[Leaving Date]&gt;42460,Table1[Leaving Date]&lt;42826),IF(Table1[Date of Last Assessment]="",Table1[Offending],Table1[Offending2]),""))</f>
        <v/>
      </c>
    </row>
    <row r="422" spans="2:196" ht="20.100000000000001" customHeight="1" x14ac:dyDescent="0.2">
      <c r="B422" s="86">
        <f>+'Service Data'!$C$5:$C$5</f>
        <v>0</v>
      </c>
      <c r="C422" s="86"/>
      <c r="D422" s="86"/>
      <c r="E422" s="86"/>
      <c r="F422" s="86"/>
      <c r="G422" s="86"/>
      <c r="H422" s="6"/>
      <c r="I422" s="99" t="str">
        <f ca="1">IF(Table1[[#This Row],[Date of Birth]]="","",SUM(TODAY()-Table1[[#This Row],[Date of Birth]])/365)</f>
        <v/>
      </c>
      <c r="L422" s="86"/>
      <c r="M422" s="77"/>
      <c r="N422" s="86"/>
      <c r="O422" s="86"/>
      <c r="P422" s="91"/>
      <c r="Q422" s="86"/>
      <c r="R422" s="77"/>
      <c r="S422" s="77"/>
      <c r="T422" s="68"/>
      <c r="U422" s="68"/>
      <c r="V422" s="67"/>
      <c r="W422" s="67"/>
      <c r="X422" s="67"/>
      <c r="Y422" s="67"/>
      <c r="Z422" s="67"/>
      <c r="AA422" s="67"/>
      <c r="AB422" s="67"/>
      <c r="AC422" s="67"/>
      <c r="AD422" s="67"/>
      <c r="AE422" s="67"/>
      <c r="AF422" s="67"/>
      <c r="AG422" s="67"/>
      <c r="AH422" s="67"/>
      <c r="AI422" s="67"/>
      <c r="AJ422" s="67"/>
      <c r="AK422" s="67"/>
      <c r="AL422" s="67"/>
      <c r="AM422" s="67"/>
      <c r="AN422" s="77"/>
      <c r="AO422" s="76"/>
      <c r="AP422" s="77"/>
      <c r="AQ422" s="76"/>
      <c r="AR422" s="76"/>
      <c r="AS422" s="76"/>
      <c r="AT422" s="76"/>
      <c r="AU422" s="76"/>
      <c r="AV422" s="77"/>
      <c r="AW422" s="76"/>
      <c r="AX422" s="77"/>
      <c r="AY422" s="76"/>
      <c r="AZ422" s="76"/>
      <c r="BA422" s="76"/>
      <c r="BB422" s="76"/>
      <c r="BC422" s="76"/>
      <c r="BD422" s="77"/>
      <c r="BE422" s="76"/>
      <c r="BF422" s="77"/>
      <c r="BG422" s="76"/>
      <c r="BH422" s="76"/>
      <c r="BI422" s="76"/>
      <c r="BJ422" s="76"/>
      <c r="BK422" s="76"/>
      <c r="BL422" s="77"/>
      <c r="BM422" s="76"/>
      <c r="BN422" s="77"/>
      <c r="BO422" s="76"/>
      <c r="BP422" s="76"/>
      <c r="BQ422" s="76"/>
      <c r="BR422" s="76"/>
      <c r="BS422" s="76"/>
      <c r="BT422" s="77"/>
      <c r="BU422" s="76"/>
      <c r="BV422" s="77"/>
      <c r="BW422" s="76"/>
      <c r="BX422" s="76"/>
      <c r="BY422" s="76"/>
      <c r="BZ422" s="76"/>
      <c r="CA422" s="76"/>
      <c r="CB422" s="77"/>
      <c r="CC422" s="76"/>
      <c r="CD422" s="77"/>
      <c r="CE422" s="76"/>
      <c r="CF422" s="76"/>
      <c r="CG422" s="76"/>
      <c r="CH422" s="76"/>
      <c r="CI422" s="76"/>
      <c r="CJ422" s="77"/>
      <c r="CK422" s="76"/>
      <c r="CL422" s="77"/>
      <c r="CM422" s="76"/>
      <c r="CN422" s="76"/>
      <c r="CO422" s="76"/>
      <c r="CP422" s="76"/>
      <c r="CQ422" s="76"/>
      <c r="CR422" s="78" t="str">
        <f t="shared" si="111"/>
        <v/>
      </c>
      <c r="CS422" s="79" t="str">
        <f t="shared" si="112"/>
        <v/>
      </c>
      <c r="CT422" s="79" t="str">
        <f t="shared" si="113"/>
        <v/>
      </c>
      <c r="CU422" s="79" t="str">
        <f t="shared" si="114"/>
        <v/>
      </c>
      <c r="CV422" s="79" t="str">
        <f t="shared" si="115"/>
        <v/>
      </c>
      <c r="CW422" s="79" t="str">
        <f t="shared" si="116"/>
        <v/>
      </c>
      <c r="CX422" s="79" t="str">
        <f t="shared" si="117"/>
        <v/>
      </c>
      <c r="CY422" s="79" t="str">
        <f t="shared" si="118"/>
        <v/>
      </c>
      <c r="CZ422" s="79" t="str">
        <f t="shared" si="119"/>
        <v/>
      </c>
      <c r="DA422" s="79" t="str">
        <f t="shared" si="120"/>
        <v/>
      </c>
      <c r="DB422" s="79" t="str">
        <f t="shared" si="121"/>
        <v/>
      </c>
      <c r="DC422" s="79" t="str">
        <f t="shared" si="122"/>
        <v/>
      </c>
      <c r="DD422" s="79" t="str">
        <f t="shared" si="123"/>
        <v/>
      </c>
      <c r="DE422" s="79" t="str">
        <f t="shared" si="124"/>
        <v/>
      </c>
      <c r="DF422" s="79" t="str">
        <f t="shared" si="125"/>
        <v/>
      </c>
      <c r="DG422" s="79" t="str">
        <f t="shared" si="126"/>
        <v/>
      </c>
      <c r="DH422" s="76"/>
      <c r="DI422" s="78"/>
      <c r="DJ422" s="76"/>
      <c r="DK422" s="77"/>
      <c r="DL422" s="77"/>
      <c r="DM422" s="77"/>
      <c r="DN422" s="80"/>
      <c r="DO422" s="80"/>
      <c r="DP422" s="92" t="str">
        <f>IF(Table1[Start Date]="","",IF(Table1[Start Date]&gt;42185,"",IF(AND(Table1[Leaving Date]&gt;1,Table1[Leaving Date]&lt;42095),"",1)))</f>
        <v/>
      </c>
      <c r="DQ422" s="92" t="str">
        <f>IF(Table1[Start Date]="","",IF(Table1[Start Date]&gt;42277,"",IF(AND(Table1[Leaving Date]&gt;1,Table1[Leaving Date]&lt;42186),"",1)))</f>
        <v/>
      </c>
      <c r="DR422" s="92" t="str">
        <f>IF(Table1[Start Date]="","",IF(Table1[Start Date]&gt;42369,"",IF(AND(Table1[Leaving Date]&gt;1,Table1[Leaving Date]&lt;42278),"",1)))</f>
        <v/>
      </c>
      <c r="DS422" s="92" t="str">
        <f>IF(Table1[Start Date]="","",IF(Table1[Start Date]&gt;42460,"",IF(AND(Table1[Leaving Date]&gt;1,Table1[Leaving Date]&lt;42370),"",1)))</f>
        <v/>
      </c>
      <c r="DT422" s="92" t="str">
        <f>IF(Table1[Start Date]="","",IF(Table1[Start Date]&gt;42551,"",IF(AND(Table1[Leaving Date]&gt;1,Table1[Leaving Date]&lt;42461),"",1)))</f>
        <v/>
      </c>
      <c r="DU422" s="92" t="str">
        <f>IF(Table1[Start Date]="","",IF(Table1[Start Date]&gt;42643,"",IF(AND(Table1[Leaving Date]&gt;1,Table1[Leaving Date]&lt;42552),"",1)))</f>
        <v/>
      </c>
      <c r="DV422" s="92" t="str">
        <f>IF(Table1[Start Date]="","",IF(Table1[Start Date]&gt;42735,"",IF(AND(Table1[Leaving Date]&gt;1,Table1[Leaving Date]&lt;42644),"",1)))</f>
        <v/>
      </c>
      <c r="DW422" s="92" t="str">
        <f>IF(Table1[Start Date]="","",IF(Table1[Start Date]&gt;42825,"",IF(AND(Table1[Leaving Date]&gt;1,Table1[Leaving Date]&lt;42736),"",1)))</f>
        <v/>
      </c>
      <c r="DX422"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422" s="44" t="e">
        <f>VLOOKUP(Table1[Referral Source],Lists!$G$2:$H$20,2,FALSE)</f>
        <v>#N/A</v>
      </c>
      <c r="DZ422" s="93" t="e">
        <f>SUM(Table1[Data Referral Quarter]+Table1[Data Referral Source])</f>
        <v>#N/A</v>
      </c>
      <c r="EA422" s="44" t="b">
        <f>IF(Table1[Referral Decision]="Accepted",100,IF(Table1[Referral Decision]="Rejected by Provider",200,IF(Table1[Referral Decision]="Rejected by Applicant",300)))</f>
        <v>0</v>
      </c>
      <c r="EB422" s="44">
        <f>SUM(Table1[Data Referral Quarter]+Table1[Data Referral Decision])</f>
        <v>0</v>
      </c>
      <c r="EC422" s="44" t="b">
        <f>IF(Table1[Start Date]&gt;42735,8000,IF(Table1[Start Date]&gt;42643,7000,IF(Table1[Start Date]&gt;42551,6000,IF(Table1[Start Date]&gt;42460,5000,IF(Table1[Start Date]&gt;42369,4000,IF(Table1[Start Date]&gt;42277,3000,IF(Table1[Start Date]&gt;42185,2000,IF(Table1[Start Date]&gt;42094,1000))))))))</f>
        <v>0</v>
      </c>
      <c r="ED422" s="44" t="str">
        <f>IF(Table1[Start Date]="","",IF(Table1[Current Local Authority]="Swindon",1,"2"))</f>
        <v/>
      </c>
      <c r="EE422" s="44" t="e">
        <f>SUM(Table1[Data Start Date]+Table1[Data Local Authority])</f>
        <v>#VALUE!</v>
      </c>
      <c r="EF422" s="44">
        <f>IF(Table1[Registered with GP]="Yes",1,0)</f>
        <v>0</v>
      </c>
      <c r="EG422" s="44">
        <f>SUM(Table1[Data Start Date]+Table1[Data GP Start])</f>
        <v>0</v>
      </c>
      <c r="EH422" s="44" t="str">
        <f>IF(Table1[EET]="NEET",1,IF(Table1[EET]="Education",2,IF(Table1[EET]="Employment",2,IF(Table1[EET]="Training",2,IF(Table1[EET]="Retired",3,"")))))</f>
        <v/>
      </c>
      <c r="EI422" s="44" t="e">
        <f>Table1[Data Start Date]+Table1[Data EET Start]</f>
        <v>#VALUE!</v>
      </c>
      <c r="EJ422" s="44" t="b">
        <f>IF(Table1[Leaving Date]&gt;42735,8000,IF(Table1[Leaving Date]&gt;42643,7000,IF(Table1[Leaving Date]&gt;42551,6000,IF(Table1[Leaving Date]&gt;42460,5000,IF(Table1[Leaving Date]&gt;42369,4000,IF(Table1[Leaving Date]&gt;42277,3000,IF(Table1[Leaving Date]&gt;42185,2000,IF(Table1[Leaving Date]&gt;42094,1000))))))))</f>
        <v>0</v>
      </c>
      <c r="EK422" s="44" t="e">
        <f>VLOOKUP(Table1[Reason for Leaving],Lists!$T$2:$U$15,2,FALSE)</f>
        <v>#N/A</v>
      </c>
      <c r="EL422" s="44" t="e">
        <f>SUM(Table1[Data Leavers Date]+Table1[Data Move On])</f>
        <v>#N/A</v>
      </c>
      <c r="EM422" s="44" t="b">
        <f>IF(Table1[Registered with GP2]="Yes",1,IF(Table1[Registered with GP2]="No",0,IF(Table1[Registered with GP]="Yes",1,IF(Table1[Registered with GP]="No",0))))</f>
        <v>0</v>
      </c>
      <c r="EN422" s="44">
        <f>SUM(Table1[Data Leavers Date]+Table1[Data GP End])</f>
        <v>0</v>
      </c>
      <c r="EO422" s="44" t="str">
        <f>IF(Table1[EET2]="NEET",1,IF(Table1[EET2]="Employment",2,IF(Table1[EET2]="Education",2,IF(Table1[EET2]="Training",2,IF(Table1[EET2]="Retired",3,IF(Table1[EET]="NEET",1,IF(Table1[EET]="Employment",2,IF(Table1[EET]="Education",2,IF(Table1[EET]="Training",2,IF(Table1[EET]="Retired",3,""))))))))))</f>
        <v/>
      </c>
      <c r="EP422" s="44" t="e">
        <f>+Table1[[#This Row],[Data Leavers Date]]+Table1[[#This Row],[Data EET End]]</f>
        <v>#VALUE!</v>
      </c>
      <c r="EQ422" s="44">
        <f>IF(Table1[Exit Form Received]="Yes",1,0)</f>
        <v>0</v>
      </c>
      <c r="ER422" s="44">
        <f>+Table1[[#This Row],[Data Leavers Date]]+Table1[[#This Row],[Data Exit Forms]]</f>
        <v>0</v>
      </c>
      <c r="ES422" s="44" t="str">
        <f>IF(Table1[Data Leavers Date]=1000,SUM(Table1[Leaving Date]-Table1[Start Date]),"")</f>
        <v/>
      </c>
      <c r="ET422" s="44" t="str">
        <f>IF(Table1[Data Leavers Date]=2000,SUM(Table1[Leaving Date]-Table1[Start Date]),"")</f>
        <v/>
      </c>
      <c r="EU422" s="44" t="str">
        <f>IF(Table1[Data Leavers Date]=3000,SUM(Table1[Leaving Date]-Table1[Start Date]),"")</f>
        <v/>
      </c>
      <c r="EV422" s="44" t="str">
        <f>IF(Table1[Data Leavers Date]=4000,SUM(Table1[Leaving Date]-Table1[Start Date]),"")</f>
        <v/>
      </c>
      <c r="EW422" s="44" t="str">
        <f>IF(Table1[Data Leavers Date]=5000,SUM(Table1[Leaving Date]-Table1[Start Date]),"")</f>
        <v/>
      </c>
      <c r="EX422" s="44" t="str">
        <f>IF(Table1[Data Leavers Date]=6000,SUM(Table1[Leaving Date]-Table1[Start Date]),"")</f>
        <v/>
      </c>
      <c r="EY422" s="44" t="str">
        <f>IF(Table1[Data Leavers Date]=7000,SUM(Table1[Leaving Date]-Table1[Start Date]),"")</f>
        <v/>
      </c>
      <c r="EZ422" s="44" t="str">
        <f>IF(Table1[Data Leavers Date]=8000,SUM(Table1[Leaving Date]-Table1[Start Date]),"")</f>
        <v/>
      </c>
      <c r="FA422" s="44" t="str">
        <f>IF(Table1[Date of Initial Assessment]="","",IF(AND(Table1[Start Date]&gt;42094,Table1[Start Date]&lt;42461),Table1[Motivation and Taking Responsibility],""))</f>
        <v/>
      </c>
      <c r="FB422" s="44" t="str">
        <f>IF(Table1[Date of Initial Assessment]="","",IF(AND(Table1[Start Date]&gt;42094,Table1[Start Date]&lt;42461),Table1[Self-Care and Living Skills],""))</f>
        <v/>
      </c>
      <c r="FC422" s="44" t="str">
        <f>IF(Table1[Date of Initial Assessment]="","",IF(AND(Table1[Start Date]&gt;42094,Table1[Start Date]&lt;42461),Table1[Managing Money and Personal Administration],""))</f>
        <v/>
      </c>
      <c r="FD422" s="44" t="str">
        <f>IF(Table1[Date of Initial Assessment]="","",IF(AND(Table1[Start Date]&gt;42094,Table1[Start Date]&lt;42461),Table1[Social Networks and Relationships],""))</f>
        <v/>
      </c>
      <c r="FE422" s="44" t="str">
        <f>IF(Table1[Date of Initial Assessment]="","",IF(AND(Table1[Start Date]&gt;42094,Table1[Start Date]&lt;42461),Table1[Drug and Alcohol Misuse],""))</f>
        <v/>
      </c>
      <c r="FF422" s="44" t="str">
        <f>IF(Table1[Date of Initial Assessment]="","",IF(AND(Table1[Start Date]&gt;42094,Table1[Start Date]&lt;42461),Table1[Physical Health],""))</f>
        <v/>
      </c>
      <c r="FG422" s="44" t="str">
        <f>IF(Table1[Date of Initial Assessment]="","",IF(AND(Table1[Start Date]&gt;42094,Table1[Start Date]&lt;42461),Table1[Emotional and Mental Health],""))</f>
        <v/>
      </c>
      <c r="FH422" s="44" t="str">
        <f>IF(Table1[Date of Initial Assessment]="","",IF(AND(Table1[Start Date]&gt;42094,Table1[Start Date]&lt;42461),Table1[Meaningful Use of Time],""))</f>
        <v/>
      </c>
      <c r="FI422" s="44" t="str">
        <f>IF(Table1[Date of Initial Assessment]="","",IF(AND(Table1[Start Date]&gt;42094,Table1[Start Date]&lt;42461),Table1[Managing Tenancy and Accommodation],""))</f>
        <v/>
      </c>
      <c r="FJ422" s="44" t="str">
        <f>IF(Table1[Date of Initial Assessment]="","",IF(AND(Table1[Start Date]&gt;42094,Table1[Start Date]&lt;42461),Table1[Offending],""))</f>
        <v/>
      </c>
      <c r="FK422" s="44" t="str">
        <f>IF(Table1[Leaving Date]="","",IF(Table1[Date of Initial Assessment]="","",IF(AND(Table1[Leaving Date]&gt;42094,Table1[Leaving Date]&lt;42461),IF(Table1[Date of Last Assessment]="",Table1[Motivation and Taking Responsibility],Table1[Motivation and Taking Responsibility2]),"")))</f>
        <v/>
      </c>
      <c r="FL422" s="44" t="str">
        <f>IF(Table1[Leaving Date]="","",IF(Table1[Date of Initial Assessment]="","",IF(AND(Table1[Leaving Date]&gt;42094,Table1[Leaving Date]&lt;42461),IF(Table1[Date of Last Assessment]="",Table1[Self-Care and Living Skills],Table1[Self-Care and Living Skills2]),"")))</f>
        <v/>
      </c>
      <c r="FM422" s="44" t="str">
        <f>IF(Table1[Leaving Date]="","",IF(Table1[Date of Initial Assessment]="","",IF(AND(Table1[Leaving Date]&gt;42094,Table1[Leaving Date]&lt;42461),IF(Table1[Date of Last Assessment]="",Table1[Managing Money and Personal Administration],Table1[Managing Money and Personal Administration2]),"")))</f>
        <v/>
      </c>
      <c r="FN422" s="44" t="str">
        <f>IF(Table1[Leaving Date]="","",IF(Table1[Date of Initial Assessment]="","",IF(AND(Table1[Leaving Date]&gt;42094,Table1[Leaving Date]&lt;42461),IF(Table1[Date of Last Assessment]="",Table1[Social Networks and Relationships],Table1[Social Networks and Relationships2]),"")))</f>
        <v/>
      </c>
      <c r="FO422" s="44" t="str">
        <f>IF(Table1[Leaving Date]="","",IF(Table1[Date of Initial Assessment]="","",IF(AND(Table1[Leaving Date]&gt;42094,Table1[Leaving Date]&lt;42461),IF(Table1[Date of Last Assessment]="",Table1[Drug and Alcohol Misuse],Table1[Drug and Alcohol Misuse2]),"")))</f>
        <v/>
      </c>
      <c r="FP422" s="44" t="str">
        <f>IF(Table1[Leaving Date]="","",IF(Table1[Date of Initial Assessment]="","",IF(AND(Table1[Leaving Date]&gt;42094,Table1[Leaving Date]&lt;42461),IF(Table1[Date of Last Assessment]="",Table1[Physical Health],Table1[Physical Health2]),"")))</f>
        <v/>
      </c>
      <c r="FQ422" s="44" t="str">
        <f>IF(Table1[Leaving Date]="","",IF(Table1[Date of Initial Assessment]="","",IF(AND(Table1[Leaving Date]&gt;42094,Table1[Leaving Date]&lt;42461),IF(Table1[Date of Last Assessment]="",Table1[Emotional and Mental Health],Table1[Emotional and Mental Health2]),"")))</f>
        <v/>
      </c>
      <c r="FR422" s="44" t="str">
        <f>IF(Table1[Leaving Date]="","",IF(Table1[Date of Initial Assessment]="","",IF(AND(Table1[Leaving Date]&gt;42094,Table1[Leaving Date]&lt;42461),IF(Table1[Date of Last Assessment]="",Table1[Meaningful Use of Time],Table1[Meaningful Use of Time2]),"")))</f>
        <v/>
      </c>
      <c r="FS422" s="44" t="str">
        <f>IF(Table1[Leaving Date]="","",IF(Table1[Date of Initial Assessment]="","",IF(AND(Table1[Leaving Date]&gt;42094,Table1[Leaving Date]&lt;42461),IF(Table1[Date of Last Assessment]="",Table1[Managing Tenancy and Accommodation],Table1[Managing Tenancy and Accommodation2]),"")))</f>
        <v/>
      </c>
      <c r="FT422" s="44" t="str">
        <f>IF(Table1[Leaving Date]="","",IF(Table1[Date of Initial Assessment]="","",IF(AND(Table1[Leaving Date]&gt;42094,Table1[Leaving Date]&lt;42461),IF(Table1[Date of Last Assessment]="",Table1[Offending],Table1[Offending2]),"")))</f>
        <v/>
      </c>
      <c r="FU422" s="44" t="str">
        <f>IF(Table1[Date of Initial Assessment]="","",IF(AND(Table1[Start Date]&gt;42460,Table1[Start Date]&lt;42826),Table1[Motivation and Taking Responsibility],""))</f>
        <v/>
      </c>
      <c r="FV422" s="44" t="str">
        <f>IF(Table1[Date of Initial Assessment]="","",IF(AND(Table1[Start Date]&gt;42460,Table1[Start Date]&lt;42826),Table1[Self-Care and Living Skills],""))</f>
        <v/>
      </c>
      <c r="FW422" s="44" t="str">
        <f>IF(Table1[Date of Initial Assessment]="","",IF(AND(Table1[Start Date]&gt;42460,Table1[Start Date]&lt;42826),Table1[Managing Money and Personal Administration],""))</f>
        <v/>
      </c>
      <c r="FX422" s="44" t="str">
        <f>IF(Table1[Date of Initial Assessment]="","",IF(AND(Table1[Start Date]&gt;42460,Table1[Start Date]&lt;42826),Table1[Social Networks and Relationships],""))</f>
        <v/>
      </c>
      <c r="FY422" s="44" t="str">
        <f>IF(Table1[Date of Initial Assessment]="","",IF(AND(Table1[Start Date]&gt;42460,Table1[Start Date]&lt;42826),Table1[Drug and Alcohol Misuse],""))</f>
        <v/>
      </c>
      <c r="FZ422" s="44" t="str">
        <f>IF(Table1[Date of Initial Assessment]="","",IF(AND(Table1[Start Date]&gt;42460,Table1[Start Date]&lt;42826),Table1[Physical Health],""))</f>
        <v/>
      </c>
      <c r="GA422" s="44" t="str">
        <f>IF(Table1[Date of Initial Assessment]="","",IF(AND(Table1[Start Date]&gt;42460,Table1[Start Date]&lt;42826),Table1[Emotional and Mental Health],""))</f>
        <v/>
      </c>
      <c r="GB422" s="44" t="str">
        <f>IF(Table1[Date of Initial Assessment]="","",IF(AND(Table1[Start Date]&gt;42460,Table1[Start Date]&lt;42826),Table1[Meaningful Use of Time],""))</f>
        <v/>
      </c>
      <c r="GC422" s="44" t="str">
        <f>IF(Table1[Date of Initial Assessment]="","",IF(AND(Table1[Start Date]&gt;42460,Table1[Start Date]&lt;42826),Table1[Managing Tenancy and Accommodation],""))</f>
        <v/>
      </c>
      <c r="GD422" s="44" t="str">
        <f>IF(Table1[Date of Initial Assessment]="","",IF(AND(Table1[Start Date]&gt;42460,Table1[Start Date]&lt;42826),Table1[Offending],""))</f>
        <v/>
      </c>
      <c r="GE422" s="44" t="str">
        <f>IF(Table1[Leaving Date]="","",IF(AND(Table1[Leaving Date]&gt;42460,Table1[Leaving Date]&lt;42826),IF(Table1[Date of Last Assessment]="",Table1[Motivation and Taking Responsibility],Table1[Motivation and Taking Responsibility2]),""))</f>
        <v/>
      </c>
      <c r="GF422" s="44" t="str">
        <f>IF(Table1[Leaving Date]="","",IF(AND(Table1[Leaving Date]&gt;42460,Table1[Leaving Date]&lt;42826),IF(Table1[Date of Last Assessment]="",Table1[Self-Care and Living Skills],Table1[Self-Care and Living Skills2]),""))</f>
        <v/>
      </c>
      <c r="GG422" s="44" t="str">
        <f>IF(Table1[Leaving Date]="","",IF(AND(Table1[Leaving Date]&gt;42460,Table1[Leaving Date]&lt;42826),IF(Table1[Date of Last Assessment]="",Table1[Managing Money and Personal Administration],Table1[Managing Money and Personal Administration2]),""))</f>
        <v/>
      </c>
      <c r="GH422" s="44" t="str">
        <f>IF(Table1[Leaving Date]="","",IF(AND(Table1[Leaving Date]&gt;42460,Table1[Leaving Date]&lt;42826),IF(Table1[Date of Last Assessment]="",Table1[Social Networks and Relationships],Table1[Social Networks and Relationships2]),""))</f>
        <v/>
      </c>
      <c r="GI422" s="44" t="str">
        <f>IF(Table1[Leaving Date]="","",IF(AND(Table1[Leaving Date]&gt;42460,Table1[Leaving Date]&lt;42826),IF(Table1[Date of Last Assessment]="",Table1[Drug and Alcohol Misuse],Table1[Drug and Alcohol Misuse2]),""))</f>
        <v/>
      </c>
      <c r="GJ422" s="44" t="str">
        <f>IF(Table1[Leaving Date]="","",IF(AND(Table1[Leaving Date]&gt;42460,Table1[Leaving Date]&lt;42826),IF(Table1[Date of Last Assessment]="",Table1[Physical Health],Table1[Physical Health2]),""))</f>
        <v/>
      </c>
      <c r="GK422" s="44" t="str">
        <f>IF(Table1[Leaving Date]="","",IF(AND(Table1[Leaving Date]&gt;42460,Table1[Leaving Date]&lt;42826),IF(Table1[Date of Last Assessment]="",Table1[Emotional and Mental Health],Table1[Emotional and Mental Health2]),""))</f>
        <v/>
      </c>
      <c r="GL422" s="44" t="str">
        <f>IF(Table1[Leaving Date]="","",IF(AND(Table1[Leaving Date]&gt;42460,Table1[Leaving Date]&lt;42826),IF(Table1[Date of Last Assessment]="",Table1[Meaningful Use of Time],Table1[Meaningful Use of Time2]),""))</f>
        <v/>
      </c>
      <c r="GM422" s="44" t="str">
        <f>IF(Table1[Leaving Date]="","",IF(AND(Table1[Leaving Date]&gt;42460,Table1[Leaving Date]&lt;42826),IF(Table1[Date of Last Assessment]="",Table1[Managing Tenancy and Accommodation],Table1[Managing Tenancy and Accommodation2]),""))</f>
        <v/>
      </c>
      <c r="GN422" s="44" t="str">
        <f>IF(Table1[Leaving Date]="","",IF(AND(Table1[Leaving Date]&gt;42460,Table1[Leaving Date]&lt;42826),IF(Table1[Date of Last Assessment]="",Table1[Offending],Table1[Offending2]),""))</f>
        <v/>
      </c>
    </row>
    <row r="423" spans="2:196" ht="20.100000000000001" customHeight="1" x14ac:dyDescent="0.2">
      <c r="B423" s="86">
        <f>+'Service Data'!$C$5:$C$5</f>
        <v>0</v>
      </c>
      <c r="C423" s="86"/>
      <c r="D423" s="86"/>
      <c r="E423" s="86"/>
      <c r="F423" s="86"/>
      <c r="G423" s="86"/>
      <c r="H423" s="6"/>
      <c r="I423" s="99" t="str">
        <f ca="1">IF(Table1[[#This Row],[Date of Birth]]="","",SUM(TODAY()-Table1[[#This Row],[Date of Birth]])/365)</f>
        <v/>
      </c>
      <c r="L423" s="86"/>
      <c r="M423" s="77"/>
      <c r="N423" s="86"/>
      <c r="O423" s="86"/>
      <c r="P423" s="91"/>
      <c r="Q423" s="86"/>
      <c r="R423" s="77"/>
      <c r="S423" s="77"/>
      <c r="T423" s="68"/>
      <c r="U423" s="68"/>
      <c r="V423" s="67"/>
      <c r="W423" s="67"/>
      <c r="X423" s="67"/>
      <c r="Y423" s="67"/>
      <c r="Z423" s="67"/>
      <c r="AA423" s="67"/>
      <c r="AB423" s="67"/>
      <c r="AC423" s="67"/>
      <c r="AD423" s="67"/>
      <c r="AE423" s="67"/>
      <c r="AF423" s="67"/>
      <c r="AG423" s="67"/>
      <c r="AH423" s="67"/>
      <c r="AI423" s="67"/>
      <c r="AJ423" s="67"/>
      <c r="AK423" s="67"/>
      <c r="AL423" s="67"/>
      <c r="AM423" s="67"/>
      <c r="AN423" s="77"/>
      <c r="AO423" s="76"/>
      <c r="AP423" s="77"/>
      <c r="AQ423" s="76"/>
      <c r="AR423" s="76"/>
      <c r="AS423" s="76"/>
      <c r="AT423" s="76"/>
      <c r="AU423" s="76"/>
      <c r="AV423" s="77"/>
      <c r="AW423" s="76"/>
      <c r="AX423" s="77"/>
      <c r="AY423" s="76"/>
      <c r="AZ423" s="76"/>
      <c r="BA423" s="76"/>
      <c r="BB423" s="76"/>
      <c r="BC423" s="76"/>
      <c r="BD423" s="77"/>
      <c r="BE423" s="76"/>
      <c r="BF423" s="77"/>
      <c r="BG423" s="76"/>
      <c r="BH423" s="76"/>
      <c r="BI423" s="76"/>
      <c r="BJ423" s="76"/>
      <c r="BK423" s="76"/>
      <c r="BL423" s="77"/>
      <c r="BM423" s="76"/>
      <c r="BN423" s="77"/>
      <c r="BO423" s="76"/>
      <c r="BP423" s="76"/>
      <c r="BQ423" s="76"/>
      <c r="BR423" s="76"/>
      <c r="BS423" s="76"/>
      <c r="BT423" s="77"/>
      <c r="BU423" s="76"/>
      <c r="BV423" s="77"/>
      <c r="BW423" s="76"/>
      <c r="BX423" s="76"/>
      <c r="BY423" s="76"/>
      <c r="BZ423" s="76"/>
      <c r="CA423" s="76"/>
      <c r="CB423" s="77"/>
      <c r="CC423" s="76"/>
      <c r="CD423" s="77"/>
      <c r="CE423" s="76"/>
      <c r="CF423" s="76"/>
      <c r="CG423" s="76"/>
      <c r="CH423" s="76"/>
      <c r="CI423" s="76"/>
      <c r="CJ423" s="77"/>
      <c r="CK423" s="76"/>
      <c r="CL423" s="77"/>
      <c r="CM423" s="76"/>
      <c r="CN423" s="76"/>
      <c r="CO423" s="76"/>
      <c r="CP423" s="76"/>
      <c r="CQ423" s="76"/>
      <c r="CR423" s="78" t="str">
        <f t="shared" si="111"/>
        <v/>
      </c>
      <c r="CS423" s="79" t="str">
        <f t="shared" si="112"/>
        <v/>
      </c>
      <c r="CT423" s="79" t="str">
        <f t="shared" si="113"/>
        <v/>
      </c>
      <c r="CU423" s="79" t="str">
        <f t="shared" si="114"/>
        <v/>
      </c>
      <c r="CV423" s="79" t="str">
        <f t="shared" si="115"/>
        <v/>
      </c>
      <c r="CW423" s="79" t="str">
        <f t="shared" si="116"/>
        <v/>
      </c>
      <c r="CX423" s="79" t="str">
        <f t="shared" si="117"/>
        <v/>
      </c>
      <c r="CY423" s="79" t="str">
        <f t="shared" si="118"/>
        <v/>
      </c>
      <c r="CZ423" s="79" t="str">
        <f t="shared" si="119"/>
        <v/>
      </c>
      <c r="DA423" s="79" t="str">
        <f t="shared" si="120"/>
        <v/>
      </c>
      <c r="DB423" s="79" t="str">
        <f t="shared" si="121"/>
        <v/>
      </c>
      <c r="DC423" s="79" t="str">
        <f t="shared" si="122"/>
        <v/>
      </c>
      <c r="DD423" s="79" t="str">
        <f t="shared" si="123"/>
        <v/>
      </c>
      <c r="DE423" s="79" t="str">
        <f t="shared" si="124"/>
        <v/>
      </c>
      <c r="DF423" s="79" t="str">
        <f t="shared" si="125"/>
        <v/>
      </c>
      <c r="DG423" s="79" t="str">
        <f t="shared" si="126"/>
        <v/>
      </c>
      <c r="DH423" s="76"/>
      <c r="DI423" s="78"/>
      <c r="DJ423" s="76"/>
      <c r="DK423" s="77"/>
      <c r="DL423" s="77"/>
      <c r="DM423" s="77"/>
      <c r="DN423" s="80"/>
      <c r="DO423" s="80"/>
      <c r="DP423" s="92" t="str">
        <f>IF(Table1[Start Date]="","",IF(Table1[Start Date]&gt;42185,"",IF(AND(Table1[Leaving Date]&gt;1,Table1[Leaving Date]&lt;42095),"",1)))</f>
        <v/>
      </c>
      <c r="DQ423" s="92" t="str">
        <f>IF(Table1[Start Date]="","",IF(Table1[Start Date]&gt;42277,"",IF(AND(Table1[Leaving Date]&gt;1,Table1[Leaving Date]&lt;42186),"",1)))</f>
        <v/>
      </c>
      <c r="DR423" s="92" t="str">
        <f>IF(Table1[Start Date]="","",IF(Table1[Start Date]&gt;42369,"",IF(AND(Table1[Leaving Date]&gt;1,Table1[Leaving Date]&lt;42278),"",1)))</f>
        <v/>
      </c>
      <c r="DS423" s="92" t="str">
        <f>IF(Table1[Start Date]="","",IF(Table1[Start Date]&gt;42460,"",IF(AND(Table1[Leaving Date]&gt;1,Table1[Leaving Date]&lt;42370),"",1)))</f>
        <v/>
      </c>
      <c r="DT423" s="92" t="str">
        <f>IF(Table1[Start Date]="","",IF(Table1[Start Date]&gt;42551,"",IF(AND(Table1[Leaving Date]&gt;1,Table1[Leaving Date]&lt;42461),"",1)))</f>
        <v/>
      </c>
      <c r="DU423" s="92" t="str">
        <f>IF(Table1[Start Date]="","",IF(Table1[Start Date]&gt;42643,"",IF(AND(Table1[Leaving Date]&gt;1,Table1[Leaving Date]&lt;42552),"",1)))</f>
        <v/>
      </c>
      <c r="DV423" s="92" t="str">
        <f>IF(Table1[Start Date]="","",IF(Table1[Start Date]&gt;42735,"",IF(AND(Table1[Leaving Date]&gt;1,Table1[Leaving Date]&lt;42644),"",1)))</f>
        <v/>
      </c>
      <c r="DW423" s="92" t="str">
        <f>IF(Table1[Start Date]="","",IF(Table1[Start Date]&gt;42825,"",IF(AND(Table1[Leaving Date]&gt;1,Table1[Leaving Date]&lt;42736),"",1)))</f>
        <v/>
      </c>
      <c r="DX423"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423" s="44" t="e">
        <f>VLOOKUP(Table1[Referral Source],Lists!$G$2:$H$20,2,FALSE)</f>
        <v>#N/A</v>
      </c>
      <c r="DZ423" s="93" t="e">
        <f>SUM(Table1[Data Referral Quarter]+Table1[Data Referral Source])</f>
        <v>#N/A</v>
      </c>
      <c r="EA423" s="44" t="b">
        <f>IF(Table1[Referral Decision]="Accepted",100,IF(Table1[Referral Decision]="Rejected by Provider",200,IF(Table1[Referral Decision]="Rejected by Applicant",300)))</f>
        <v>0</v>
      </c>
      <c r="EB423" s="44">
        <f>SUM(Table1[Data Referral Quarter]+Table1[Data Referral Decision])</f>
        <v>0</v>
      </c>
      <c r="EC423" s="44" t="b">
        <f>IF(Table1[Start Date]&gt;42735,8000,IF(Table1[Start Date]&gt;42643,7000,IF(Table1[Start Date]&gt;42551,6000,IF(Table1[Start Date]&gt;42460,5000,IF(Table1[Start Date]&gt;42369,4000,IF(Table1[Start Date]&gt;42277,3000,IF(Table1[Start Date]&gt;42185,2000,IF(Table1[Start Date]&gt;42094,1000))))))))</f>
        <v>0</v>
      </c>
      <c r="ED423" s="44" t="str">
        <f>IF(Table1[Start Date]="","",IF(Table1[Current Local Authority]="Swindon",1,"2"))</f>
        <v/>
      </c>
      <c r="EE423" s="44" t="e">
        <f>SUM(Table1[Data Start Date]+Table1[Data Local Authority])</f>
        <v>#VALUE!</v>
      </c>
      <c r="EF423" s="44">
        <f>IF(Table1[Registered with GP]="Yes",1,0)</f>
        <v>0</v>
      </c>
      <c r="EG423" s="44">
        <f>SUM(Table1[Data Start Date]+Table1[Data GP Start])</f>
        <v>0</v>
      </c>
      <c r="EH423" s="44" t="str">
        <f>IF(Table1[EET]="NEET",1,IF(Table1[EET]="Education",2,IF(Table1[EET]="Employment",2,IF(Table1[EET]="Training",2,IF(Table1[EET]="Retired",3,"")))))</f>
        <v/>
      </c>
      <c r="EI423" s="44" t="e">
        <f>Table1[Data Start Date]+Table1[Data EET Start]</f>
        <v>#VALUE!</v>
      </c>
      <c r="EJ423" s="44" t="b">
        <f>IF(Table1[Leaving Date]&gt;42735,8000,IF(Table1[Leaving Date]&gt;42643,7000,IF(Table1[Leaving Date]&gt;42551,6000,IF(Table1[Leaving Date]&gt;42460,5000,IF(Table1[Leaving Date]&gt;42369,4000,IF(Table1[Leaving Date]&gt;42277,3000,IF(Table1[Leaving Date]&gt;42185,2000,IF(Table1[Leaving Date]&gt;42094,1000))))))))</f>
        <v>0</v>
      </c>
      <c r="EK423" s="44" t="e">
        <f>VLOOKUP(Table1[Reason for Leaving],Lists!$T$2:$U$15,2,FALSE)</f>
        <v>#N/A</v>
      </c>
      <c r="EL423" s="44" t="e">
        <f>SUM(Table1[Data Leavers Date]+Table1[Data Move On])</f>
        <v>#N/A</v>
      </c>
      <c r="EM423" s="44" t="b">
        <f>IF(Table1[Registered with GP2]="Yes",1,IF(Table1[Registered with GP2]="No",0,IF(Table1[Registered with GP]="Yes",1,IF(Table1[Registered with GP]="No",0))))</f>
        <v>0</v>
      </c>
      <c r="EN423" s="44">
        <f>SUM(Table1[Data Leavers Date]+Table1[Data GP End])</f>
        <v>0</v>
      </c>
      <c r="EO423" s="44" t="str">
        <f>IF(Table1[EET2]="NEET",1,IF(Table1[EET2]="Employment",2,IF(Table1[EET2]="Education",2,IF(Table1[EET2]="Training",2,IF(Table1[EET2]="Retired",3,IF(Table1[EET]="NEET",1,IF(Table1[EET]="Employment",2,IF(Table1[EET]="Education",2,IF(Table1[EET]="Training",2,IF(Table1[EET]="Retired",3,""))))))))))</f>
        <v/>
      </c>
      <c r="EP423" s="44" t="e">
        <f>+Table1[[#This Row],[Data Leavers Date]]+Table1[[#This Row],[Data EET End]]</f>
        <v>#VALUE!</v>
      </c>
      <c r="EQ423" s="44">
        <f>IF(Table1[Exit Form Received]="Yes",1,0)</f>
        <v>0</v>
      </c>
      <c r="ER423" s="44">
        <f>+Table1[[#This Row],[Data Leavers Date]]+Table1[[#This Row],[Data Exit Forms]]</f>
        <v>0</v>
      </c>
      <c r="ES423" s="44" t="str">
        <f>IF(Table1[Data Leavers Date]=1000,SUM(Table1[Leaving Date]-Table1[Start Date]),"")</f>
        <v/>
      </c>
      <c r="ET423" s="44" t="str">
        <f>IF(Table1[Data Leavers Date]=2000,SUM(Table1[Leaving Date]-Table1[Start Date]),"")</f>
        <v/>
      </c>
      <c r="EU423" s="44" t="str">
        <f>IF(Table1[Data Leavers Date]=3000,SUM(Table1[Leaving Date]-Table1[Start Date]),"")</f>
        <v/>
      </c>
      <c r="EV423" s="44" t="str">
        <f>IF(Table1[Data Leavers Date]=4000,SUM(Table1[Leaving Date]-Table1[Start Date]),"")</f>
        <v/>
      </c>
      <c r="EW423" s="44" t="str">
        <f>IF(Table1[Data Leavers Date]=5000,SUM(Table1[Leaving Date]-Table1[Start Date]),"")</f>
        <v/>
      </c>
      <c r="EX423" s="44" t="str">
        <f>IF(Table1[Data Leavers Date]=6000,SUM(Table1[Leaving Date]-Table1[Start Date]),"")</f>
        <v/>
      </c>
      <c r="EY423" s="44" t="str">
        <f>IF(Table1[Data Leavers Date]=7000,SUM(Table1[Leaving Date]-Table1[Start Date]),"")</f>
        <v/>
      </c>
      <c r="EZ423" s="44" t="str">
        <f>IF(Table1[Data Leavers Date]=8000,SUM(Table1[Leaving Date]-Table1[Start Date]),"")</f>
        <v/>
      </c>
      <c r="FA423" s="44" t="str">
        <f>IF(Table1[Date of Initial Assessment]="","",IF(AND(Table1[Start Date]&gt;42094,Table1[Start Date]&lt;42461),Table1[Motivation and Taking Responsibility],""))</f>
        <v/>
      </c>
      <c r="FB423" s="44" t="str">
        <f>IF(Table1[Date of Initial Assessment]="","",IF(AND(Table1[Start Date]&gt;42094,Table1[Start Date]&lt;42461),Table1[Self-Care and Living Skills],""))</f>
        <v/>
      </c>
      <c r="FC423" s="44" t="str">
        <f>IF(Table1[Date of Initial Assessment]="","",IF(AND(Table1[Start Date]&gt;42094,Table1[Start Date]&lt;42461),Table1[Managing Money and Personal Administration],""))</f>
        <v/>
      </c>
      <c r="FD423" s="44" t="str">
        <f>IF(Table1[Date of Initial Assessment]="","",IF(AND(Table1[Start Date]&gt;42094,Table1[Start Date]&lt;42461),Table1[Social Networks and Relationships],""))</f>
        <v/>
      </c>
      <c r="FE423" s="44" t="str">
        <f>IF(Table1[Date of Initial Assessment]="","",IF(AND(Table1[Start Date]&gt;42094,Table1[Start Date]&lt;42461),Table1[Drug and Alcohol Misuse],""))</f>
        <v/>
      </c>
      <c r="FF423" s="44" t="str">
        <f>IF(Table1[Date of Initial Assessment]="","",IF(AND(Table1[Start Date]&gt;42094,Table1[Start Date]&lt;42461),Table1[Physical Health],""))</f>
        <v/>
      </c>
      <c r="FG423" s="44" t="str">
        <f>IF(Table1[Date of Initial Assessment]="","",IF(AND(Table1[Start Date]&gt;42094,Table1[Start Date]&lt;42461),Table1[Emotional and Mental Health],""))</f>
        <v/>
      </c>
      <c r="FH423" s="44" t="str">
        <f>IF(Table1[Date of Initial Assessment]="","",IF(AND(Table1[Start Date]&gt;42094,Table1[Start Date]&lt;42461),Table1[Meaningful Use of Time],""))</f>
        <v/>
      </c>
      <c r="FI423" s="44" t="str">
        <f>IF(Table1[Date of Initial Assessment]="","",IF(AND(Table1[Start Date]&gt;42094,Table1[Start Date]&lt;42461),Table1[Managing Tenancy and Accommodation],""))</f>
        <v/>
      </c>
      <c r="FJ423" s="44" t="str">
        <f>IF(Table1[Date of Initial Assessment]="","",IF(AND(Table1[Start Date]&gt;42094,Table1[Start Date]&lt;42461),Table1[Offending],""))</f>
        <v/>
      </c>
      <c r="FK423" s="44" t="str">
        <f>IF(Table1[Leaving Date]="","",IF(Table1[Date of Initial Assessment]="","",IF(AND(Table1[Leaving Date]&gt;42094,Table1[Leaving Date]&lt;42461),IF(Table1[Date of Last Assessment]="",Table1[Motivation and Taking Responsibility],Table1[Motivation and Taking Responsibility2]),"")))</f>
        <v/>
      </c>
      <c r="FL423" s="44" t="str">
        <f>IF(Table1[Leaving Date]="","",IF(Table1[Date of Initial Assessment]="","",IF(AND(Table1[Leaving Date]&gt;42094,Table1[Leaving Date]&lt;42461),IF(Table1[Date of Last Assessment]="",Table1[Self-Care and Living Skills],Table1[Self-Care and Living Skills2]),"")))</f>
        <v/>
      </c>
      <c r="FM423" s="44" t="str">
        <f>IF(Table1[Leaving Date]="","",IF(Table1[Date of Initial Assessment]="","",IF(AND(Table1[Leaving Date]&gt;42094,Table1[Leaving Date]&lt;42461),IF(Table1[Date of Last Assessment]="",Table1[Managing Money and Personal Administration],Table1[Managing Money and Personal Administration2]),"")))</f>
        <v/>
      </c>
      <c r="FN423" s="44" t="str">
        <f>IF(Table1[Leaving Date]="","",IF(Table1[Date of Initial Assessment]="","",IF(AND(Table1[Leaving Date]&gt;42094,Table1[Leaving Date]&lt;42461),IF(Table1[Date of Last Assessment]="",Table1[Social Networks and Relationships],Table1[Social Networks and Relationships2]),"")))</f>
        <v/>
      </c>
      <c r="FO423" s="44" t="str">
        <f>IF(Table1[Leaving Date]="","",IF(Table1[Date of Initial Assessment]="","",IF(AND(Table1[Leaving Date]&gt;42094,Table1[Leaving Date]&lt;42461),IF(Table1[Date of Last Assessment]="",Table1[Drug and Alcohol Misuse],Table1[Drug and Alcohol Misuse2]),"")))</f>
        <v/>
      </c>
      <c r="FP423" s="44" t="str">
        <f>IF(Table1[Leaving Date]="","",IF(Table1[Date of Initial Assessment]="","",IF(AND(Table1[Leaving Date]&gt;42094,Table1[Leaving Date]&lt;42461),IF(Table1[Date of Last Assessment]="",Table1[Physical Health],Table1[Physical Health2]),"")))</f>
        <v/>
      </c>
      <c r="FQ423" s="44" t="str">
        <f>IF(Table1[Leaving Date]="","",IF(Table1[Date of Initial Assessment]="","",IF(AND(Table1[Leaving Date]&gt;42094,Table1[Leaving Date]&lt;42461),IF(Table1[Date of Last Assessment]="",Table1[Emotional and Mental Health],Table1[Emotional and Mental Health2]),"")))</f>
        <v/>
      </c>
      <c r="FR423" s="44" t="str">
        <f>IF(Table1[Leaving Date]="","",IF(Table1[Date of Initial Assessment]="","",IF(AND(Table1[Leaving Date]&gt;42094,Table1[Leaving Date]&lt;42461),IF(Table1[Date of Last Assessment]="",Table1[Meaningful Use of Time],Table1[Meaningful Use of Time2]),"")))</f>
        <v/>
      </c>
      <c r="FS423" s="44" t="str">
        <f>IF(Table1[Leaving Date]="","",IF(Table1[Date of Initial Assessment]="","",IF(AND(Table1[Leaving Date]&gt;42094,Table1[Leaving Date]&lt;42461),IF(Table1[Date of Last Assessment]="",Table1[Managing Tenancy and Accommodation],Table1[Managing Tenancy and Accommodation2]),"")))</f>
        <v/>
      </c>
      <c r="FT423" s="44" t="str">
        <f>IF(Table1[Leaving Date]="","",IF(Table1[Date of Initial Assessment]="","",IF(AND(Table1[Leaving Date]&gt;42094,Table1[Leaving Date]&lt;42461),IF(Table1[Date of Last Assessment]="",Table1[Offending],Table1[Offending2]),"")))</f>
        <v/>
      </c>
      <c r="FU423" s="44" t="str">
        <f>IF(Table1[Date of Initial Assessment]="","",IF(AND(Table1[Start Date]&gt;42460,Table1[Start Date]&lt;42826),Table1[Motivation and Taking Responsibility],""))</f>
        <v/>
      </c>
      <c r="FV423" s="44" t="str">
        <f>IF(Table1[Date of Initial Assessment]="","",IF(AND(Table1[Start Date]&gt;42460,Table1[Start Date]&lt;42826),Table1[Self-Care and Living Skills],""))</f>
        <v/>
      </c>
      <c r="FW423" s="44" t="str">
        <f>IF(Table1[Date of Initial Assessment]="","",IF(AND(Table1[Start Date]&gt;42460,Table1[Start Date]&lt;42826),Table1[Managing Money and Personal Administration],""))</f>
        <v/>
      </c>
      <c r="FX423" s="44" t="str">
        <f>IF(Table1[Date of Initial Assessment]="","",IF(AND(Table1[Start Date]&gt;42460,Table1[Start Date]&lt;42826),Table1[Social Networks and Relationships],""))</f>
        <v/>
      </c>
      <c r="FY423" s="44" t="str">
        <f>IF(Table1[Date of Initial Assessment]="","",IF(AND(Table1[Start Date]&gt;42460,Table1[Start Date]&lt;42826),Table1[Drug and Alcohol Misuse],""))</f>
        <v/>
      </c>
      <c r="FZ423" s="44" t="str">
        <f>IF(Table1[Date of Initial Assessment]="","",IF(AND(Table1[Start Date]&gt;42460,Table1[Start Date]&lt;42826),Table1[Physical Health],""))</f>
        <v/>
      </c>
      <c r="GA423" s="44" t="str">
        <f>IF(Table1[Date of Initial Assessment]="","",IF(AND(Table1[Start Date]&gt;42460,Table1[Start Date]&lt;42826),Table1[Emotional and Mental Health],""))</f>
        <v/>
      </c>
      <c r="GB423" s="44" t="str">
        <f>IF(Table1[Date of Initial Assessment]="","",IF(AND(Table1[Start Date]&gt;42460,Table1[Start Date]&lt;42826),Table1[Meaningful Use of Time],""))</f>
        <v/>
      </c>
      <c r="GC423" s="44" t="str">
        <f>IF(Table1[Date of Initial Assessment]="","",IF(AND(Table1[Start Date]&gt;42460,Table1[Start Date]&lt;42826),Table1[Managing Tenancy and Accommodation],""))</f>
        <v/>
      </c>
      <c r="GD423" s="44" t="str">
        <f>IF(Table1[Date of Initial Assessment]="","",IF(AND(Table1[Start Date]&gt;42460,Table1[Start Date]&lt;42826),Table1[Offending],""))</f>
        <v/>
      </c>
      <c r="GE423" s="44" t="str">
        <f>IF(Table1[Leaving Date]="","",IF(AND(Table1[Leaving Date]&gt;42460,Table1[Leaving Date]&lt;42826),IF(Table1[Date of Last Assessment]="",Table1[Motivation and Taking Responsibility],Table1[Motivation and Taking Responsibility2]),""))</f>
        <v/>
      </c>
      <c r="GF423" s="44" t="str">
        <f>IF(Table1[Leaving Date]="","",IF(AND(Table1[Leaving Date]&gt;42460,Table1[Leaving Date]&lt;42826),IF(Table1[Date of Last Assessment]="",Table1[Self-Care and Living Skills],Table1[Self-Care and Living Skills2]),""))</f>
        <v/>
      </c>
      <c r="GG423" s="44" t="str">
        <f>IF(Table1[Leaving Date]="","",IF(AND(Table1[Leaving Date]&gt;42460,Table1[Leaving Date]&lt;42826),IF(Table1[Date of Last Assessment]="",Table1[Managing Money and Personal Administration],Table1[Managing Money and Personal Administration2]),""))</f>
        <v/>
      </c>
      <c r="GH423" s="44" t="str">
        <f>IF(Table1[Leaving Date]="","",IF(AND(Table1[Leaving Date]&gt;42460,Table1[Leaving Date]&lt;42826),IF(Table1[Date of Last Assessment]="",Table1[Social Networks and Relationships],Table1[Social Networks and Relationships2]),""))</f>
        <v/>
      </c>
      <c r="GI423" s="44" t="str">
        <f>IF(Table1[Leaving Date]="","",IF(AND(Table1[Leaving Date]&gt;42460,Table1[Leaving Date]&lt;42826),IF(Table1[Date of Last Assessment]="",Table1[Drug and Alcohol Misuse],Table1[Drug and Alcohol Misuse2]),""))</f>
        <v/>
      </c>
      <c r="GJ423" s="44" t="str">
        <f>IF(Table1[Leaving Date]="","",IF(AND(Table1[Leaving Date]&gt;42460,Table1[Leaving Date]&lt;42826),IF(Table1[Date of Last Assessment]="",Table1[Physical Health],Table1[Physical Health2]),""))</f>
        <v/>
      </c>
      <c r="GK423" s="44" t="str">
        <f>IF(Table1[Leaving Date]="","",IF(AND(Table1[Leaving Date]&gt;42460,Table1[Leaving Date]&lt;42826),IF(Table1[Date of Last Assessment]="",Table1[Emotional and Mental Health],Table1[Emotional and Mental Health2]),""))</f>
        <v/>
      </c>
      <c r="GL423" s="44" t="str">
        <f>IF(Table1[Leaving Date]="","",IF(AND(Table1[Leaving Date]&gt;42460,Table1[Leaving Date]&lt;42826),IF(Table1[Date of Last Assessment]="",Table1[Meaningful Use of Time],Table1[Meaningful Use of Time2]),""))</f>
        <v/>
      </c>
      <c r="GM423" s="44" t="str">
        <f>IF(Table1[Leaving Date]="","",IF(AND(Table1[Leaving Date]&gt;42460,Table1[Leaving Date]&lt;42826),IF(Table1[Date of Last Assessment]="",Table1[Managing Tenancy and Accommodation],Table1[Managing Tenancy and Accommodation2]),""))</f>
        <v/>
      </c>
      <c r="GN423" s="44" t="str">
        <f>IF(Table1[Leaving Date]="","",IF(AND(Table1[Leaving Date]&gt;42460,Table1[Leaving Date]&lt;42826),IF(Table1[Date of Last Assessment]="",Table1[Offending],Table1[Offending2]),""))</f>
        <v/>
      </c>
    </row>
    <row r="424" spans="2:196" ht="20.100000000000001" customHeight="1" x14ac:dyDescent="0.2">
      <c r="B424" s="86">
        <f>+'Service Data'!$C$5:$C$5</f>
        <v>0</v>
      </c>
      <c r="C424" s="86"/>
      <c r="D424" s="86"/>
      <c r="E424" s="86"/>
      <c r="F424" s="86"/>
      <c r="G424" s="86"/>
      <c r="H424" s="6"/>
      <c r="I424" s="99" t="str">
        <f ca="1">IF(Table1[[#This Row],[Date of Birth]]="","",SUM(TODAY()-Table1[[#This Row],[Date of Birth]])/365)</f>
        <v/>
      </c>
      <c r="L424" s="86"/>
      <c r="M424" s="77"/>
      <c r="N424" s="86"/>
      <c r="O424" s="86"/>
      <c r="P424" s="91"/>
      <c r="Q424" s="86"/>
      <c r="R424" s="77"/>
      <c r="S424" s="77"/>
      <c r="T424" s="68"/>
      <c r="U424" s="68"/>
      <c r="V424" s="67"/>
      <c r="W424" s="67"/>
      <c r="X424" s="67"/>
      <c r="Y424" s="67"/>
      <c r="Z424" s="67"/>
      <c r="AA424" s="67"/>
      <c r="AB424" s="67"/>
      <c r="AC424" s="67"/>
      <c r="AD424" s="67"/>
      <c r="AE424" s="67"/>
      <c r="AF424" s="67"/>
      <c r="AG424" s="67"/>
      <c r="AH424" s="67"/>
      <c r="AI424" s="67"/>
      <c r="AJ424" s="67"/>
      <c r="AK424" s="67"/>
      <c r="AL424" s="67"/>
      <c r="AM424" s="67"/>
      <c r="AN424" s="77"/>
      <c r="AO424" s="76"/>
      <c r="AP424" s="77"/>
      <c r="AQ424" s="76"/>
      <c r="AR424" s="76"/>
      <c r="AS424" s="76"/>
      <c r="AT424" s="76"/>
      <c r="AU424" s="76"/>
      <c r="AV424" s="77"/>
      <c r="AW424" s="76"/>
      <c r="AX424" s="77"/>
      <c r="AY424" s="76"/>
      <c r="AZ424" s="76"/>
      <c r="BA424" s="76"/>
      <c r="BB424" s="76"/>
      <c r="BC424" s="76"/>
      <c r="BD424" s="77"/>
      <c r="BE424" s="76"/>
      <c r="BF424" s="77"/>
      <c r="BG424" s="76"/>
      <c r="BH424" s="76"/>
      <c r="BI424" s="76"/>
      <c r="BJ424" s="76"/>
      <c r="BK424" s="76"/>
      <c r="BL424" s="77"/>
      <c r="BM424" s="76"/>
      <c r="BN424" s="77"/>
      <c r="BO424" s="76"/>
      <c r="BP424" s="76"/>
      <c r="BQ424" s="76"/>
      <c r="BR424" s="76"/>
      <c r="BS424" s="76"/>
      <c r="BT424" s="77"/>
      <c r="BU424" s="76"/>
      <c r="BV424" s="77"/>
      <c r="BW424" s="76"/>
      <c r="BX424" s="76"/>
      <c r="BY424" s="76"/>
      <c r="BZ424" s="76"/>
      <c r="CA424" s="76"/>
      <c r="CB424" s="77"/>
      <c r="CC424" s="76"/>
      <c r="CD424" s="77"/>
      <c r="CE424" s="76"/>
      <c r="CF424" s="76"/>
      <c r="CG424" s="76"/>
      <c r="CH424" s="76"/>
      <c r="CI424" s="76"/>
      <c r="CJ424" s="77"/>
      <c r="CK424" s="76"/>
      <c r="CL424" s="77"/>
      <c r="CM424" s="76"/>
      <c r="CN424" s="76"/>
      <c r="CO424" s="76"/>
      <c r="CP424" s="76"/>
      <c r="CQ424" s="76"/>
      <c r="CR424" s="78" t="str">
        <f t="shared" si="111"/>
        <v/>
      </c>
      <c r="CS424" s="79" t="str">
        <f t="shared" si="112"/>
        <v/>
      </c>
      <c r="CT424" s="79" t="str">
        <f t="shared" si="113"/>
        <v/>
      </c>
      <c r="CU424" s="79" t="str">
        <f t="shared" si="114"/>
        <v/>
      </c>
      <c r="CV424" s="79" t="str">
        <f t="shared" si="115"/>
        <v/>
      </c>
      <c r="CW424" s="79" t="str">
        <f t="shared" si="116"/>
        <v/>
      </c>
      <c r="CX424" s="79" t="str">
        <f t="shared" si="117"/>
        <v/>
      </c>
      <c r="CY424" s="79" t="str">
        <f t="shared" si="118"/>
        <v/>
      </c>
      <c r="CZ424" s="79" t="str">
        <f t="shared" si="119"/>
        <v/>
      </c>
      <c r="DA424" s="79" t="str">
        <f t="shared" si="120"/>
        <v/>
      </c>
      <c r="DB424" s="79" t="str">
        <f t="shared" si="121"/>
        <v/>
      </c>
      <c r="DC424" s="79" t="str">
        <f t="shared" si="122"/>
        <v/>
      </c>
      <c r="DD424" s="79" t="str">
        <f t="shared" si="123"/>
        <v/>
      </c>
      <c r="DE424" s="79" t="str">
        <f t="shared" si="124"/>
        <v/>
      </c>
      <c r="DF424" s="79" t="str">
        <f t="shared" si="125"/>
        <v/>
      </c>
      <c r="DG424" s="79" t="str">
        <f t="shared" si="126"/>
        <v/>
      </c>
      <c r="DH424" s="76"/>
      <c r="DI424" s="78"/>
      <c r="DJ424" s="76"/>
      <c r="DK424" s="77"/>
      <c r="DL424" s="77"/>
      <c r="DM424" s="77"/>
      <c r="DN424" s="80"/>
      <c r="DO424" s="80"/>
      <c r="DP424" s="92" t="str">
        <f>IF(Table1[Start Date]="","",IF(Table1[Start Date]&gt;42185,"",IF(AND(Table1[Leaving Date]&gt;1,Table1[Leaving Date]&lt;42095),"",1)))</f>
        <v/>
      </c>
      <c r="DQ424" s="92" t="str">
        <f>IF(Table1[Start Date]="","",IF(Table1[Start Date]&gt;42277,"",IF(AND(Table1[Leaving Date]&gt;1,Table1[Leaving Date]&lt;42186),"",1)))</f>
        <v/>
      </c>
      <c r="DR424" s="92" t="str">
        <f>IF(Table1[Start Date]="","",IF(Table1[Start Date]&gt;42369,"",IF(AND(Table1[Leaving Date]&gt;1,Table1[Leaving Date]&lt;42278),"",1)))</f>
        <v/>
      </c>
      <c r="DS424" s="92" t="str">
        <f>IF(Table1[Start Date]="","",IF(Table1[Start Date]&gt;42460,"",IF(AND(Table1[Leaving Date]&gt;1,Table1[Leaving Date]&lt;42370),"",1)))</f>
        <v/>
      </c>
      <c r="DT424" s="92" t="str">
        <f>IF(Table1[Start Date]="","",IF(Table1[Start Date]&gt;42551,"",IF(AND(Table1[Leaving Date]&gt;1,Table1[Leaving Date]&lt;42461),"",1)))</f>
        <v/>
      </c>
      <c r="DU424" s="92" t="str">
        <f>IF(Table1[Start Date]="","",IF(Table1[Start Date]&gt;42643,"",IF(AND(Table1[Leaving Date]&gt;1,Table1[Leaving Date]&lt;42552),"",1)))</f>
        <v/>
      </c>
      <c r="DV424" s="92" t="str">
        <f>IF(Table1[Start Date]="","",IF(Table1[Start Date]&gt;42735,"",IF(AND(Table1[Leaving Date]&gt;1,Table1[Leaving Date]&lt;42644),"",1)))</f>
        <v/>
      </c>
      <c r="DW424" s="92" t="str">
        <f>IF(Table1[Start Date]="","",IF(Table1[Start Date]&gt;42825,"",IF(AND(Table1[Leaving Date]&gt;1,Table1[Leaving Date]&lt;42736),"",1)))</f>
        <v/>
      </c>
      <c r="DX424"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424" s="44" t="e">
        <f>VLOOKUP(Table1[Referral Source],Lists!$G$2:$H$20,2,FALSE)</f>
        <v>#N/A</v>
      </c>
      <c r="DZ424" s="93" t="e">
        <f>SUM(Table1[Data Referral Quarter]+Table1[Data Referral Source])</f>
        <v>#N/A</v>
      </c>
      <c r="EA424" s="44" t="b">
        <f>IF(Table1[Referral Decision]="Accepted",100,IF(Table1[Referral Decision]="Rejected by Provider",200,IF(Table1[Referral Decision]="Rejected by Applicant",300)))</f>
        <v>0</v>
      </c>
      <c r="EB424" s="44">
        <f>SUM(Table1[Data Referral Quarter]+Table1[Data Referral Decision])</f>
        <v>0</v>
      </c>
      <c r="EC424" s="44" t="b">
        <f>IF(Table1[Start Date]&gt;42735,8000,IF(Table1[Start Date]&gt;42643,7000,IF(Table1[Start Date]&gt;42551,6000,IF(Table1[Start Date]&gt;42460,5000,IF(Table1[Start Date]&gt;42369,4000,IF(Table1[Start Date]&gt;42277,3000,IF(Table1[Start Date]&gt;42185,2000,IF(Table1[Start Date]&gt;42094,1000))))))))</f>
        <v>0</v>
      </c>
      <c r="ED424" s="44" t="str">
        <f>IF(Table1[Start Date]="","",IF(Table1[Current Local Authority]="Swindon",1,"2"))</f>
        <v/>
      </c>
      <c r="EE424" s="44" t="e">
        <f>SUM(Table1[Data Start Date]+Table1[Data Local Authority])</f>
        <v>#VALUE!</v>
      </c>
      <c r="EF424" s="44">
        <f>IF(Table1[Registered with GP]="Yes",1,0)</f>
        <v>0</v>
      </c>
      <c r="EG424" s="44">
        <f>SUM(Table1[Data Start Date]+Table1[Data GP Start])</f>
        <v>0</v>
      </c>
      <c r="EH424" s="44" t="str">
        <f>IF(Table1[EET]="NEET",1,IF(Table1[EET]="Education",2,IF(Table1[EET]="Employment",2,IF(Table1[EET]="Training",2,IF(Table1[EET]="Retired",3,"")))))</f>
        <v/>
      </c>
      <c r="EI424" s="44" t="e">
        <f>Table1[Data Start Date]+Table1[Data EET Start]</f>
        <v>#VALUE!</v>
      </c>
      <c r="EJ424" s="44" t="b">
        <f>IF(Table1[Leaving Date]&gt;42735,8000,IF(Table1[Leaving Date]&gt;42643,7000,IF(Table1[Leaving Date]&gt;42551,6000,IF(Table1[Leaving Date]&gt;42460,5000,IF(Table1[Leaving Date]&gt;42369,4000,IF(Table1[Leaving Date]&gt;42277,3000,IF(Table1[Leaving Date]&gt;42185,2000,IF(Table1[Leaving Date]&gt;42094,1000))))))))</f>
        <v>0</v>
      </c>
      <c r="EK424" s="44" t="e">
        <f>VLOOKUP(Table1[Reason for Leaving],Lists!$T$2:$U$15,2,FALSE)</f>
        <v>#N/A</v>
      </c>
      <c r="EL424" s="44" t="e">
        <f>SUM(Table1[Data Leavers Date]+Table1[Data Move On])</f>
        <v>#N/A</v>
      </c>
      <c r="EM424" s="44" t="b">
        <f>IF(Table1[Registered with GP2]="Yes",1,IF(Table1[Registered with GP2]="No",0,IF(Table1[Registered with GP]="Yes",1,IF(Table1[Registered with GP]="No",0))))</f>
        <v>0</v>
      </c>
      <c r="EN424" s="44">
        <f>SUM(Table1[Data Leavers Date]+Table1[Data GP End])</f>
        <v>0</v>
      </c>
      <c r="EO424" s="44" t="str">
        <f>IF(Table1[EET2]="NEET",1,IF(Table1[EET2]="Employment",2,IF(Table1[EET2]="Education",2,IF(Table1[EET2]="Training",2,IF(Table1[EET2]="Retired",3,IF(Table1[EET]="NEET",1,IF(Table1[EET]="Employment",2,IF(Table1[EET]="Education",2,IF(Table1[EET]="Training",2,IF(Table1[EET]="Retired",3,""))))))))))</f>
        <v/>
      </c>
      <c r="EP424" s="44" t="e">
        <f>+Table1[[#This Row],[Data Leavers Date]]+Table1[[#This Row],[Data EET End]]</f>
        <v>#VALUE!</v>
      </c>
      <c r="EQ424" s="44">
        <f>IF(Table1[Exit Form Received]="Yes",1,0)</f>
        <v>0</v>
      </c>
      <c r="ER424" s="44">
        <f>+Table1[[#This Row],[Data Leavers Date]]+Table1[[#This Row],[Data Exit Forms]]</f>
        <v>0</v>
      </c>
      <c r="ES424" s="44" t="str">
        <f>IF(Table1[Data Leavers Date]=1000,SUM(Table1[Leaving Date]-Table1[Start Date]),"")</f>
        <v/>
      </c>
      <c r="ET424" s="44" t="str">
        <f>IF(Table1[Data Leavers Date]=2000,SUM(Table1[Leaving Date]-Table1[Start Date]),"")</f>
        <v/>
      </c>
      <c r="EU424" s="44" t="str">
        <f>IF(Table1[Data Leavers Date]=3000,SUM(Table1[Leaving Date]-Table1[Start Date]),"")</f>
        <v/>
      </c>
      <c r="EV424" s="44" t="str">
        <f>IF(Table1[Data Leavers Date]=4000,SUM(Table1[Leaving Date]-Table1[Start Date]),"")</f>
        <v/>
      </c>
      <c r="EW424" s="44" t="str">
        <f>IF(Table1[Data Leavers Date]=5000,SUM(Table1[Leaving Date]-Table1[Start Date]),"")</f>
        <v/>
      </c>
      <c r="EX424" s="44" t="str">
        <f>IF(Table1[Data Leavers Date]=6000,SUM(Table1[Leaving Date]-Table1[Start Date]),"")</f>
        <v/>
      </c>
      <c r="EY424" s="44" t="str">
        <f>IF(Table1[Data Leavers Date]=7000,SUM(Table1[Leaving Date]-Table1[Start Date]),"")</f>
        <v/>
      </c>
      <c r="EZ424" s="44" t="str">
        <f>IF(Table1[Data Leavers Date]=8000,SUM(Table1[Leaving Date]-Table1[Start Date]),"")</f>
        <v/>
      </c>
      <c r="FA424" s="44" t="str">
        <f>IF(Table1[Date of Initial Assessment]="","",IF(AND(Table1[Start Date]&gt;42094,Table1[Start Date]&lt;42461),Table1[Motivation and Taking Responsibility],""))</f>
        <v/>
      </c>
      <c r="FB424" s="44" t="str">
        <f>IF(Table1[Date of Initial Assessment]="","",IF(AND(Table1[Start Date]&gt;42094,Table1[Start Date]&lt;42461),Table1[Self-Care and Living Skills],""))</f>
        <v/>
      </c>
      <c r="FC424" s="44" t="str">
        <f>IF(Table1[Date of Initial Assessment]="","",IF(AND(Table1[Start Date]&gt;42094,Table1[Start Date]&lt;42461),Table1[Managing Money and Personal Administration],""))</f>
        <v/>
      </c>
      <c r="FD424" s="44" t="str">
        <f>IF(Table1[Date of Initial Assessment]="","",IF(AND(Table1[Start Date]&gt;42094,Table1[Start Date]&lt;42461),Table1[Social Networks and Relationships],""))</f>
        <v/>
      </c>
      <c r="FE424" s="44" t="str">
        <f>IF(Table1[Date of Initial Assessment]="","",IF(AND(Table1[Start Date]&gt;42094,Table1[Start Date]&lt;42461),Table1[Drug and Alcohol Misuse],""))</f>
        <v/>
      </c>
      <c r="FF424" s="44" t="str">
        <f>IF(Table1[Date of Initial Assessment]="","",IF(AND(Table1[Start Date]&gt;42094,Table1[Start Date]&lt;42461),Table1[Physical Health],""))</f>
        <v/>
      </c>
      <c r="FG424" s="44" t="str">
        <f>IF(Table1[Date of Initial Assessment]="","",IF(AND(Table1[Start Date]&gt;42094,Table1[Start Date]&lt;42461),Table1[Emotional and Mental Health],""))</f>
        <v/>
      </c>
      <c r="FH424" s="44" t="str">
        <f>IF(Table1[Date of Initial Assessment]="","",IF(AND(Table1[Start Date]&gt;42094,Table1[Start Date]&lt;42461),Table1[Meaningful Use of Time],""))</f>
        <v/>
      </c>
      <c r="FI424" s="44" t="str">
        <f>IF(Table1[Date of Initial Assessment]="","",IF(AND(Table1[Start Date]&gt;42094,Table1[Start Date]&lt;42461),Table1[Managing Tenancy and Accommodation],""))</f>
        <v/>
      </c>
      <c r="FJ424" s="44" t="str">
        <f>IF(Table1[Date of Initial Assessment]="","",IF(AND(Table1[Start Date]&gt;42094,Table1[Start Date]&lt;42461),Table1[Offending],""))</f>
        <v/>
      </c>
      <c r="FK424" s="44" t="str">
        <f>IF(Table1[Leaving Date]="","",IF(Table1[Date of Initial Assessment]="","",IF(AND(Table1[Leaving Date]&gt;42094,Table1[Leaving Date]&lt;42461),IF(Table1[Date of Last Assessment]="",Table1[Motivation and Taking Responsibility],Table1[Motivation and Taking Responsibility2]),"")))</f>
        <v/>
      </c>
      <c r="FL424" s="44" t="str">
        <f>IF(Table1[Leaving Date]="","",IF(Table1[Date of Initial Assessment]="","",IF(AND(Table1[Leaving Date]&gt;42094,Table1[Leaving Date]&lt;42461),IF(Table1[Date of Last Assessment]="",Table1[Self-Care and Living Skills],Table1[Self-Care and Living Skills2]),"")))</f>
        <v/>
      </c>
      <c r="FM424" s="44" t="str">
        <f>IF(Table1[Leaving Date]="","",IF(Table1[Date of Initial Assessment]="","",IF(AND(Table1[Leaving Date]&gt;42094,Table1[Leaving Date]&lt;42461),IF(Table1[Date of Last Assessment]="",Table1[Managing Money and Personal Administration],Table1[Managing Money and Personal Administration2]),"")))</f>
        <v/>
      </c>
      <c r="FN424" s="44" t="str">
        <f>IF(Table1[Leaving Date]="","",IF(Table1[Date of Initial Assessment]="","",IF(AND(Table1[Leaving Date]&gt;42094,Table1[Leaving Date]&lt;42461),IF(Table1[Date of Last Assessment]="",Table1[Social Networks and Relationships],Table1[Social Networks and Relationships2]),"")))</f>
        <v/>
      </c>
      <c r="FO424" s="44" t="str">
        <f>IF(Table1[Leaving Date]="","",IF(Table1[Date of Initial Assessment]="","",IF(AND(Table1[Leaving Date]&gt;42094,Table1[Leaving Date]&lt;42461),IF(Table1[Date of Last Assessment]="",Table1[Drug and Alcohol Misuse],Table1[Drug and Alcohol Misuse2]),"")))</f>
        <v/>
      </c>
      <c r="FP424" s="44" t="str">
        <f>IF(Table1[Leaving Date]="","",IF(Table1[Date of Initial Assessment]="","",IF(AND(Table1[Leaving Date]&gt;42094,Table1[Leaving Date]&lt;42461),IF(Table1[Date of Last Assessment]="",Table1[Physical Health],Table1[Physical Health2]),"")))</f>
        <v/>
      </c>
      <c r="FQ424" s="44" t="str">
        <f>IF(Table1[Leaving Date]="","",IF(Table1[Date of Initial Assessment]="","",IF(AND(Table1[Leaving Date]&gt;42094,Table1[Leaving Date]&lt;42461),IF(Table1[Date of Last Assessment]="",Table1[Emotional and Mental Health],Table1[Emotional and Mental Health2]),"")))</f>
        <v/>
      </c>
      <c r="FR424" s="44" t="str">
        <f>IF(Table1[Leaving Date]="","",IF(Table1[Date of Initial Assessment]="","",IF(AND(Table1[Leaving Date]&gt;42094,Table1[Leaving Date]&lt;42461),IF(Table1[Date of Last Assessment]="",Table1[Meaningful Use of Time],Table1[Meaningful Use of Time2]),"")))</f>
        <v/>
      </c>
      <c r="FS424" s="44" t="str">
        <f>IF(Table1[Leaving Date]="","",IF(Table1[Date of Initial Assessment]="","",IF(AND(Table1[Leaving Date]&gt;42094,Table1[Leaving Date]&lt;42461),IF(Table1[Date of Last Assessment]="",Table1[Managing Tenancy and Accommodation],Table1[Managing Tenancy and Accommodation2]),"")))</f>
        <v/>
      </c>
      <c r="FT424" s="44" t="str">
        <f>IF(Table1[Leaving Date]="","",IF(Table1[Date of Initial Assessment]="","",IF(AND(Table1[Leaving Date]&gt;42094,Table1[Leaving Date]&lt;42461),IF(Table1[Date of Last Assessment]="",Table1[Offending],Table1[Offending2]),"")))</f>
        <v/>
      </c>
      <c r="FU424" s="44" t="str">
        <f>IF(Table1[Date of Initial Assessment]="","",IF(AND(Table1[Start Date]&gt;42460,Table1[Start Date]&lt;42826),Table1[Motivation and Taking Responsibility],""))</f>
        <v/>
      </c>
      <c r="FV424" s="44" t="str">
        <f>IF(Table1[Date of Initial Assessment]="","",IF(AND(Table1[Start Date]&gt;42460,Table1[Start Date]&lt;42826),Table1[Self-Care and Living Skills],""))</f>
        <v/>
      </c>
      <c r="FW424" s="44" t="str">
        <f>IF(Table1[Date of Initial Assessment]="","",IF(AND(Table1[Start Date]&gt;42460,Table1[Start Date]&lt;42826),Table1[Managing Money and Personal Administration],""))</f>
        <v/>
      </c>
      <c r="FX424" s="44" t="str">
        <f>IF(Table1[Date of Initial Assessment]="","",IF(AND(Table1[Start Date]&gt;42460,Table1[Start Date]&lt;42826),Table1[Social Networks and Relationships],""))</f>
        <v/>
      </c>
      <c r="FY424" s="44" t="str">
        <f>IF(Table1[Date of Initial Assessment]="","",IF(AND(Table1[Start Date]&gt;42460,Table1[Start Date]&lt;42826),Table1[Drug and Alcohol Misuse],""))</f>
        <v/>
      </c>
      <c r="FZ424" s="44" t="str">
        <f>IF(Table1[Date of Initial Assessment]="","",IF(AND(Table1[Start Date]&gt;42460,Table1[Start Date]&lt;42826),Table1[Physical Health],""))</f>
        <v/>
      </c>
      <c r="GA424" s="44" t="str">
        <f>IF(Table1[Date of Initial Assessment]="","",IF(AND(Table1[Start Date]&gt;42460,Table1[Start Date]&lt;42826),Table1[Emotional and Mental Health],""))</f>
        <v/>
      </c>
      <c r="GB424" s="44" t="str">
        <f>IF(Table1[Date of Initial Assessment]="","",IF(AND(Table1[Start Date]&gt;42460,Table1[Start Date]&lt;42826),Table1[Meaningful Use of Time],""))</f>
        <v/>
      </c>
      <c r="GC424" s="44" t="str">
        <f>IF(Table1[Date of Initial Assessment]="","",IF(AND(Table1[Start Date]&gt;42460,Table1[Start Date]&lt;42826),Table1[Managing Tenancy and Accommodation],""))</f>
        <v/>
      </c>
      <c r="GD424" s="44" t="str">
        <f>IF(Table1[Date of Initial Assessment]="","",IF(AND(Table1[Start Date]&gt;42460,Table1[Start Date]&lt;42826),Table1[Offending],""))</f>
        <v/>
      </c>
      <c r="GE424" s="44" t="str">
        <f>IF(Table1[Leaving Date]="","",IF(AND(Table1[Leaving Date]&gt;42460,Table1[Leaving Date]&lt;42826),IF(Table1[Date of Last Assessment]="",Table1[Motivation and Taking Responsibility],Table1[Motivation and Taking Responsibility2]),""))</f>
        <v/>
      </c>
      <c r="GF424" s="44" t="str">
        <f>IF(Table1[Leaving Date]="","",IF(AND(Table1[Leaving Date]&gt;42460,Table1[Leaving Date]&lt;42826),IF(Table1[Date of Last Assessment]="",Table1[Self-Care and Living Skills],Table1[Self-Care and Living Skills2]),""))</f>
        <v/>
      </c>
      <c r="GG424" s="44" t="str">
        <f>IF(Table1[Leaving Date]="","",IF(AND(Table1[Leaving Date]&gt;42460,Table1[Leaving Date]&lt;42826),IF(Table1[Date of Last Assessment]="",Table1[Managing Money and Personal Administration],Table1[Managing Money and Personal Administration2]),""))</f>
        <v/>
      </c>
      <c r="GH424" s="44" t="str">
        <f>IF(Table1[Leaving Date]="","",IF(AND(Table1[Leaving Date]&gt;42460,Table1[Leaving Date]&lt;42826),IF(Table1[Date of Last Assessment]="",Table1[Social Networks and Relationships],Table1[Social Networks and Relationships2]),""))</f>
        <v/>
      </c>
      <c r="GI424" s="44" t="str">
        <f>IF(Table1[Leaving Date]="","",IF(AND(Table1[Leaving Date]&gt;42460,Table1[Leaving Date]&lt;42826),IF(Table1[Date of Last Assessment]="",Table1[Drug and Alcohol Misuse],Table1[Drug and Alcohol Misuse2]),""))</f>
        <v/>
      </c>
      <c r="GJ424" s="44" t="str">
        <f>IF(Table1[Leaving Date]="","",IF(AND(Table1[Leaving Date]&gt;42460,Table1[Leaving Date]&lt;42826),IF(Table1[Date of Last Assessment]="",Table1[Physical Health],Table1[Physical Health2]),""))</f>
        <v/>
      </c>
      <c r="GK424" s="44" t="str">
        <f>IF(Table1[Leaving Date]="","",IF(AND(Table1[Leaving Date]&gt;42460,Table1[Leaving Date]&lt;42826),IF(Table1[Date of Last Assessment]="",Table1[Emotional and Mental Health],Table1[Emotional and Mental Health2]),""))</f>
        <v/>
      </c>
      <c r="GL424" s="44" t="str">
        <f>IF(Table1[Leaving Date]="","",IF(AND(Table1[Leaving Date]&gt;42460,Table1[Leaving Date]&lt;42826),IF(Table1[Date of Last Assessment]="",Table1[Meaningful Use of Time],Table1[Meaningful Use of Time2]),""))</f>
        <v/>
      </c>
      <c r="GM424" s="44" t="str">
        <f>IF(Table1[Leaving Date]="","",IF(AND(Table1[Leaving Date]&gt;42460,Table1[Leaving Date]&lt;42826),IF(Table1[Date of Last Assessment]="",Table1[Managing Tenancy and Accommodation],Table1[Managing Tenancy and Accommodation2]),""))</f>
        <v/>
      </c>
      <c r="GN424" s="44" t="str">
        <f>IF(Table1[Leaving Date]="","",IF(AND(Table1[Leaving Date]&gt;42460,Table1[Leaving Date]&lt;42826),IF(Table1[Date of Last Assessment]="",Table1[Offending],Table1[Offending2]),""))</f>
        <v/>
      </c>
    </row>
    <row r="425" spans="2:196" ht="20.100000000000001" customHeight="1" x14ac:dyDescent="0.2">
      <c r="B425" s="86">
        <f>+'Service Data'!$C$5:$C$5</f>
        <v>0</v>
      </c>
      <c r="C425" s="86"/>
      <c r="D425" s="86"/>
      <c r="E425" s="86"/>
      <c r="F425" s="86"/>
      <c r="G425" s="86"/>
      <c r="H425" s="6"/>
      <c r="I425" s="99" t="str">
        <f ca="1">IF(Table1[[#This Row],[Date of Birth]]="","",SUM(TODAY()-Table1[[#This Row],[Date of Birth]])/365)</f>
        <v/>
      </c>
      <c r="L425" s="86"/>
      <c r="M425" s="77"/>
      <c r="N425" s="86"/>
      <c r="O425" s="86"/>
      <c r="P425" s="91"/>
      <c r="Q425" s="86"/>
      <c r="R425" s="77"/>
      <c r="S425" s="77"/>
      <c r="T425" s="68"/>
      <c r="U425" s="68"/>
      <c r="V425" s="67"/>
      <c r="W425" s="67"/>
      <c r="X425" s="67"/>
      <c r="Y425" s="67"/>
      <c r="Z425" s="67"/>
      <c r="AA425" s="67"/>
      <c r="AB425" s="67"/>
      <c r="AC425" s="67"/>
      <c r="AD425" s="67"/>
      <c r="AE425" s="67"/>
      <c r="AF425" s="67"/>
      <c r="AG425" s="67"/>
      <c r="AH425" s="67"/>
      <c r="AI425" s="67"/>
      <c r="AJ425" s="67"/>
      <c r="AK425" s="67"/>
      <c r="AL425" s="67"/>
      <c r="AM425" s="67"/>
      <c r="AN425" s="77"/>
      <c r="AO425" s="76"/>
      <c r="AP425" s="77"/>
      <c r="AQ425" s="76"/>
      <c r="AR425" s="76"/>
      <c r="AS425" s="76"/>
      <c r="AT425" s="76"/>
      <c r="AU425" s="76"/>
      <c r="AV425" s="77"/>
      <c r="AW425" s="76"/>
      <c r="AX425" s="77"/>
      <c r="AY425" s="76"/>
      <c r="AZ425" s="76"/>
      <c r="BA425" s="76"/>
      <c r="BB425" s="76"/>
      <c r="BC425" s="76"/>
      <c r="BD425" s="77"/>
      <c r="BE425" s="76"/>
      <c r="BF425" s="77"/>
      <c r="BG425" s="76"/>
      <c r="BH425" s="76"/>
      <c r="BI425" s="76"/>
      <c r="BJ425" s="76"/>
      <c r="BK425" s="76"/>
      <c r="BL425" s="77"/>
      <c r="BM425" s="76"/>
      <c r="BN425" s="77"/>
      <c r="BO425" s="76"/>
      <c r="BP425" s="76"/>
      <c r="BQ425" s="76"/>
      <c r="BR425" s="76"/>
      <c r="BS425" s="76"/>
      <c r="BT425" s="77"/>
      <c r="BU425" s="76"/>
      <c r="BV425" s="77"/>
      <c r="BW425" s="76"/>
      <c r="BX425" s="76"/>
      <c r="BY425" s="76"/>
      <c r="BZ425" s="76"/>
      <c r="CA425" s="76"/>
      <c r="CB425" s="77"/>
      <c r="CC425" s="76"/>
      <c r="CD425" s="77"/>
      <c r="CE425" s="76"/>
      <c r="CF425" s="76"/>
      <c r="CG425" s="76"/>
      <c r="CH425" s="76"/>
      <c r="CI425" s="76"/>
      <c r="CJ425" s="77"/>
      <c r="CK425" s="76"/>
      <c r="CL425" s="77"/>
      <c r="CM425" s="76"/>
      <c r="CN425" s="76"/>
      <c r="CO425" s="76"/>
      <c r="CP425" s="76"/>
      <c r="CQ425" s="76"/>
      <c r="CR425" s="78" t="str">
        <f t="shared" si="111"/>
        <v/>
      </c>
      <c r="CS425" s="79" t="str">
        <f t="shared" si="112"/>
        <v/>
      </c>
      <c r="CT425" s="79" t="str">
        <f t="shared" si="113"/>
        <v/>
      </c>
      <c r="CU425" s="79" t="str">
        <f t="shared" si="114"/>
        <v/>
      </c>
      <c r="CV425" s="79" t="str">
        <f t="shared" si="115"/>
        <v/>
      </c>
      <c r="CW425" s="79" t="str">
        <f t="shared" si="116"/>
        <v/>
      </c>
      <c r="CX425" s="79" t="str">
        <f t="shared" si="117"/>
        <v/>
      </c>
      <c r="CY425" s="79" t="str">
        <f t="shared" si="118"/>
        <v/>
      </c>
      <c r="CZ425" s="79" t="str">
        <f t="shared" si="119"/>
        <v/>
      </c>
      <c r="DA425" s="79" t="str">
        <f t="shared" si="120"/>
        <v/>
      </c>
      <c r="DB425" s="79" t="str">
        <f t="shared" si="121"/>
        <v/>
      </c>
      <c r="DC425" s="79" t="str">
        <f t="shared" si="122"/>
        <v/>
      </c>
      <c r="DD425" s="79" t="str">
        <f t="shared" si="123"/>
        <v/>
      </c>
      <c r="DE425" s="79" t="str">
        <f t="shared" si="124"/>
        <v/>
      </c>
      <c r="DF425" s="79" t="str">
        <f t="shared" si="125"/>
        <v/>
      </c>
      <c r="DG425" s="79" t="str">
        <f t="shared" si="126"/>
        <v/>
      </c>
      <c r="DH425" s="76"/>
      <c r="DI425" s="78"/>
      <c r="DJ425" s="76"/>
      <c r="DK425" s="77"/>
      <c r="DL425" s="77"/>
      <c r="DM425" s="77"/>
      <c r="DN425" s="80"/>
      <c r="DO425" s="80"/>
      <c r="DP425" s="92" t="str">
        <f>IF(Table1[Start Date]="","",IF(Table1[Start Date]&gt;42185,"",IF(AND(Table1[Leaving Date]&gt;1,Table1[Leaving Date]&lt;42095),"",1)))</f>
        <v/>
      </c>
      <c r="DQ425" s="92" t="str">
        <f>IF(Table1[Start Date]="","",IF(Table1[Start Date]&gt;42277,"",IF(AND(Table1[Leaving Date]&gt;1,Table1[Leaving Date]&lt;42186),"",1)))</f>
        <v/>
      </c>
      <c r="DR425" s="92" t="str">
        <f>IF(Table1[Start Date]="","",IF(Table1[Start Date]&gt;42369,"",IF(AND(Table1[Leaving Date]&gt;1,Table1[Leaving Date]&lt;42278),"",1)))</f>
        <v/>
      </c>
      <c r="DS425" s="92" t="str">
        <f>IF(Table1[Start Date]="","",IF(Table1[Start Date]&gt;42460,"",IF(AND(Table1[Leaving Date]&gt;1,Table1[Leaving Date]&lt;42370),"",1)))</f>
        <v/>
      </c>
      <c r="DT425" s="92" t="str">
        <f>IF(Table1[Start Date]="","",IF(Table1[Start Date]&gt;42551,"",IF(AND(Table1[Leaving Date]&gt;1,Table1[Leaving Date]&lt;42461),"",1)))</f>
        <v/>
      </c>
      <c r="DU425" s="92" t="str">
        <f>IF(Table1[Start Date]="","",IF(Table1[Start Date]&gt;42643,"",IF(AND(Table1[Leaving Date]&gt;1,Table1[Leaving Date]&lt;42552),"",1)))</f>
        <v/>
      </c>
      <c r="DV425" s="92" t="str">
        <f>IF(Table1[Start Date]="","",IF(Table1[Start Date]&gt;42735,"",IF(AND(Table1[Leaving Date]&gt;1,Table1[Leaving Date]&lt;42644),"",1)))</f>
        <v/>
      </c>
      <c r="DW425" s="92" t="str">
        <f>IF(Table1[Start Date]="","",IF(Table1[Start Date]&gt;42825,"",IF(AND(Table1[Leaving Date]&gt;1,Table1[Leaving Date]&lt;42736),"",1)))</f>
        <v/>
      </c>
      <c r="DX425"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425" s="44" t="e">
        <f>VLOOKUP(Table1[Referral Source],Lists!$G$2:$H$20,2,FALSE)</f>
        <v>#N/A</v>
      </c>
      <c r="DZ425" s="93" t="e">
        <f>SUM(Table1[Data Referral Quarter]+Table1[Data Referral Source])</f>
        <v>#N/A</v>
      </c>
      <c r="EA425" s="44" t="b">
        <f>IF(Table1[Referral Decision]="Accepted",100,IF(Table1[Referral Decision]="Rejected by Provider",200,IF(Table1[Referral Decision]="Rejected by Applicant",300)))</f>
        <v>0</v>
      </c>
      <c r="EB425" s="44">
        <f>SUM(Table1[Data Referral Quarter]+Table1[Data Referral Decision])</f>
        <v>0</v>
      </c>
      <c r="EC425" s="44" t="b">
        <f>IF(Table1[Start Date]&gt;42735,8000,IF(Table1[Start Date]&gt;42643,7000,IF(Table1[Start Date]&gt;42551,6000,IF(Table1[Start Date]&gt;42460,5000,IF(Table1[Start Date]&gt;42369,4000,IF(Table1[Start Date]&gt;42277,3000,IF(Table1[Start Date]&gt;42185,2000,IF(Table1[Start Date]&gt;42094,1000))))))))</f>
        <v>0</v>
      </c>
      <c r="ED425" s="44" t="str">
        <f>IF(Table1[Start Date]="","",IF(Table1[Current Local Authority]="Swindon",1,"2"))</f>
        <v/>
      </c>
      <c r="EE425" s="44" t="e">
        <f>SUM(Table1[Data Start Date]+Table1[Data Local Authority])</f>
        <v>#VALUE!</v>
      </c>
      <c r="EF425" s="44">
        <f>IF(Table1[Registered with GP]="Yes",1,0)</f>
        <v>0</v>
      </c>
      <c r="EG425" s="44">
        <f>SUM(Table1[Data Start Date]+Table1[Data GP Start])</f>
        <v>0</v>
      </c>
      <c r="EH425" s="44" t="str">
        <f>IF(Table1[EET]="NEET",1,IF(Table1[EET]="Education",2,IF(Table1[EET]="Employment",2,IF(Table1[EET]="Training",2,IF(Table1[EET]="Retired",3,"")))))</f>
        <v/>
      </c>
      <c r="EI425" s="44" t="e">
        <f>Table1[Data Start Date]+Table1[Data EET Start]</f>
        <v>#VALUE!</v>
      </c>
      <c r="EJ425" s="44" t="b">
        <f>IF(Table1[Leaving Date]&gt;42735,8000,IF(Table1[Leaving Date]&gt;42643,7000,IF(Table1[Leaving Date]&gt;42551,6000,IF(Table1[Leaving Date]&gt;42460,5000,IF(Table1[Leaving Date]&gt;42369,4000,IF(Table1[Leaving Date]&gt;42277,3000,IF(Table1[Leaving Date]&gt;42185,2000,IF(Table1[Leaving Date]&gt;42094,1000))))))))</f>
        <v>0</v>
      </c>
      <c r="EK425" s="44" t="e">
        <f>VLOOKUP(Table1[Reason for Leaving],Lists!$T$2:$U$15,2,FALSE)</f>
        <v>#N/A</v>
      </c>
      <c r="EL425" s="44" t="e">
        <f>SUM(Table1[Data Leavers Date]+Table1[Data Move On])</f>
        <v>#N/A</v>
      </c>
      <c r="EM425" s="44" t="b">
        <f>IF(Table1[Registered with GP2]="Yes",1,IF(Table1[Registered with GP2]="No",0,IF(Table1[Registered with GP]="Yes",1,IF(Table1[Registered with GP]="No",0))))</f>
        <v>0</v>
      </c>
      <c r="EN425" s="44">
        <f>SUM(Table1[Data Leavers Date]+Table1[Data GP End])</f>
        <v>0</v>
      </c>
      <c r="EO425" s="44" t="str">
        <f>IF(Table1[EET2]="NEET",1,IF(Table1[EET2]="Employment",2,IF(Table1[EET2]="Education",2,IF(Table1[EET2]="Training",2,IF(Table1[EET2]="Retired",3,IF(Table1[EET]="NEET",1,IF(Table1[EET]="Employment",2,IF(Table1[EET]="Education",2,IF(Table1[EET]="Training",2,IF(Table1[EET]="Retired",3,""))))))))))</f>
        <v/>
      </c>
      <c r="EP425" s="44" t="e">
        <f>+Table1[[#This Row],[Data Leavers Date]]+Table1[[#This Row],[Data EET End]]</f>
        <v>#VALUE!</v>
      </c>
      <c r="EQ425" s="44">
        <f>IF(Table1[Exit Form Received]="Yes",1,0)</f>
        <v>0</v>
      </c>
      <c r="ER425" s="44">
        <f>+Table1[[#This Row],[Data Leavers Date]]+Table1[[#This Row],[Data Exit Forms]]</f>
        <v>0</v>
      </c>
      <c r="ES425" s="44" t="str">
        <f>IF(Table1[Data Leavers Date]=1000,SUM(Table1[Leaving Date]-Table1[Start Date]),"")</f>
        <v/>
      </c>
      <c r="ET425" s="44" t="str">
        <f>IF(Table1[Data Leavers Date]=2000,SUM(Table1[Leaving Date]-Table1[Start Date]),"")</f>
        <v/>
      </c>
      <c r="EU425" s="44" t="str">
        <f>IF(Table1[Data Leavers Date]=3000,SUM(Table1[Leaving Date]-Table1[Start Date]),"")</f>
        <v/>
      </c>
      <c r="EV425" s="44" t="str">
        <f>IF(Table1[Data Leavers Date]=4000,SUM(Table1[Leaving Date]-Table1[Start Date]),"")</f>
        <v/>
      </c>
      <c r="EW425" s="44" t="str">
        <f>IF(Table1[Data Leavers Date]=5000,SUM(Table1[Leaving Date]-Table1[Start Date]),"")</f>
        <v/>
      </c>
      <c r="EX425" s="44" t="str">
        <f>IF(Table1[Data Leavers Date]=6000,SUM(Table1[Leaving Date]-Table1[Start Date]),"")</f>
        <v/>
      </c>
      <c r="EY425" s="44" t="str">
        <f>IF(Table1[Data Leavers Date]=7000,SUM(Table1[Leaving Date]-Table1[Start Date]),"")</f>
        <v/>
      </c>
      <c r="EZ425" s="44" t="str">
        <f>IF(Table1[Data Leavers Date]=8000,SUM(Table1[Leaving Date]-Table1[Start Date]),"")</f>
        <v/>
      </c>
      <c r="FA425" s="44" t="str">
        <f>IF(Table1[Date of Initial Assessment]="","",IF(AND(Table1[Start Date]&gt;42094,Table1[Start Date]&lt;42461),Table1[Motivation and Taking Responsibility],""))</f>
        <v/>
      </c>
      <c r="FB425" s="44" t="str">
        <f>IF(Table1[Date of Initial Assessment]="","",IF(AND(Table1[Start Date]&gt;42094,Table1[Start Date]&lt;42461),Table1[Self-Care and Living Skills],""))</f>
        <v/>
      </c>
      <c r="FC425" s="44" t="str">
        <f>IF(Table1[Date of Initial Assessment]="","",IF(AND(Table1[Start Date]&gt;42094,Table1[Start Date]&lt;42461),Table1[Managing Money and Personal Administration],""))</f>
        <v/>
      </c>
      <c r="FD425" s="44" t="str">
        <f>IF(Table1[Date of Initial Assessment]="","",IF(AND(Table1[Start Date]&gt;42094,Table1[Start Date]&lt;42461),Table1[Social Networks and Relationships],""))</f>
        <v/>
      </c>
      <c r="FE425" s="44" t="str">
        <f>IF(Table1[Date of Initial Assessment]="","",IF(AND(Table1[Start Date]&gt;42094,Table1[Start Date]&lt;42461),Table1[Drug and Alcohol Misuse],""))</f>
        <v/>
      </c>
      <c r="FF425" s="44" t="str">
        <f>IF(Table1[Date of Initial Assessment]="","",IF(AND(Table1[Start Date]&gt;42094,Table1[Start Date]&lt;42461),Table1[Physical Health],""))</f>
        <v/>
      </c>
      <c r="FG425" s="44" t="str">
        <f>IF(Table1[Date of Initial Assessment]="","",IF(AND(Table1[Start Date]&gt;42094,Table1[Start Date]&lt;42461),Table1[Emotional and Mental Health],""))</f>
        <v/>
      </c>
      <c r="FH425" s="44" t="str">
        <f>IF(Table1[Date of Initial Assessment]="","",IF(AND(Table1[Start Date]&gt;42094,Table1[Start Date]&lt;42461),Table1[Meaningful Use of Time],""))</f>
        <v/>
      </c>
      <c r="FI425" s="44" t="str">
        <f>IF(Table1[Date of Initial Assessment]="","",IF(AND(Table1[Start Date]&gt;42094,Table1[Start Date]&lt;42461),Table1[Managing Tenancy and Accommodation],""))</f>
        <v/>
      </c>
      <c r="FJ425" s="44" t="str">
        <f>IF(Table1[Date of Initial Assessment]="","",IF(AND(Table1[Start Date]&gt;42094,Table1[Start Date]&lt;42461),Table1[Offending],""))</f>
        <v/>
      </c>
      <c r="FK425" s="44" t="str">
        <f>IF(Table1[Leaving Date]="","",IF(Table1[Date of Initial Assessment]="","",IF(AND(Table1[Leaving Date]&gt;42094,Table1[Leaving Date]&lt;42461),IF(Table1[Date of Last Assessment]="",Table1[Motivation and Taking Responsibility],Table1[Motivation and Taking Responsibility2]),"")))</f>
        <v/>
      </c>
      <c r="FL425" s="44" t="str">
        <f>IF(Table1[Leaving Date]="","",IF(Table1[Date of Initial Assessment]="","",IF(AND(Table1[Leaving Date]&gt;42094,Table1[Leaving Date]&lt;42461),IF(Table1[Date of Last Assessment]="",Table1[Self-Care and Living Skills],Table1[Self-Care and Living Skills2]),"")))</f>
        <v/>
      </c>
      <c r="FM425" s="44" t="str">
        <f>IF(Table1[Leaving Date]="","",IF(Table1[Date of Initial Assessment]="","",IF(AND(Table1[Leaving Date]&gt;42094,Table1[Leaving Date]&lt;42461),IF(Table1[Date of Last Assessment]="",Table1[Managing Money and Personal Administration],Table1[Managing Money and Personal Administration2]),"")))</f>
        <v/>
      </c>
      <c r="FN425" s="44" t="str">
        <f>IF(Table1[Leaving Date]="","",IF(Table1[Date of Initial Assessment]="","",IF(AND(Table1[Leaving Date]&gt;42094,Table1[Leaving Date]&lt;42461),IF(Table1[Date of Last Assessment]="",Table1[Social Networks and Relationships],Table1[Social Networks and Relationships2]),"")))</f>
        <v/>
      </c>
      <c r="FO425" s="44" t="str">
        <f>IF(Table1[Leaving Date]="","",IF(Table1[Date of Initial Assessment]="","",IF(AND(Table1[Leaving Date]&gt;42094,Table1[Leaving Date]&lt;42461),IF(Table1[Date of Last Assessment]="",Table1[Drug and Alcohol Misuse],Table1[Drug and Alcohol Misuse2]),"")))</f>
        <v/>
      </c>
      <c r="FP425" s="44" t="str">
        <f>IF(Table1[Leaving Date]="","",IF(Table1[Date of Initial Assessment]="","",IF(AND(Table1[Leaving Date]&gt;42094,Table1[Leaving Date]&lt;42461),IF(Table1[Date of Last Assessment]="",Table1[Physical Health],Table1[Physical Health2]),"")))</f>
        <v/>
      </c>
      <c r="FQ425" s="44" t="str">
        <f>IF(Table1[Leaving Date]="","",IF(Table1[Date of Initial Assessment]="","",IF(AND(Table1[Leaving Date]&gt;42094,Table1[Leaving Date]&lt;42461),IF(Table1[Date of Last Assessment]="",Table1[Emotional and Mental Health],Table1[Emotional and Mental Health2]),"")))</f>
        <v/>
      </c>
      <c r="FR425" s="44" t="str">
        <f>IF(Table1[Leaving Date]="","",IF(Table1[Date of Initial Assessment]="","",IF(AND(Table1[Leaving Date]&gt;42094,Table1[Leaving Date]&lt;42461),IF(Table1[Date of Last Assessment]="",Table1[Meaningful Use of Time],Table1[Meaningful Use of Time2]),"")))</f>
        <v/>
      </c>
      <c r="FS425" s="44" t="str">
        <f>IF(Table1[Leaving Date]="","",IF(Table1[Date of Initial Assessment]="","",IF(AND(Table1[Leaving Date]&gt;42094,Table1[Leaving Date]&lt;42461),IF(Table1[Date of Last Assessment]="",Table1[Managing Tenancy and Accommodation],Table1[Managing Tenancy and Accommodation2]),"")))</f>
        <v/>
      </c>
      <c r="FT425" s="44" t="str">
        <f>IF(Table1[Leaving Date]="","",IF(Table1[Date of Initial Assessment]="","",IF(AND(Table1[Leaving Date]&gt;42094,Table1[Leaving Date]&lt;42461),IF(Table1[Date of Last Assessment]="",Table1[Offending],Table1[Offending2]),"")))</f>
        <v/>
      </c>
      <c r="FU425" s="44" t="str">
        <f>IF(Table1[Date of Initial Assessment]="","",IF(AND(Table1[Start Date]&gt;42460,Table1[Start Date]&lt;42826),Table1[Motivation and Taking Responsibility],""))</f>
        <v/>
      </c>
      <c r="FV425" s="44" t="str">
        <f>IF(Table1[Date of Initial Assessment]="","",IF(AND(Table1[Start Date]&gt;42460,Table1[Start Date]&lt;42826),Table1[Self-Care and Living Skills],""))</f>
        <v/>
      </c>
      <c r="FW425" s="44" t="str">
        <f>IF(Table1[Date of Initial Assessment]="","",IF(AND(Table1[Start Date]&gt;42460,Table1[Start Date]&lt;42826),Table1[Managing Money and Personal Administration],""))</f>
        <v/>
      </c>
      <c r="FX425" s="44" t="str">
        <f>IF(Table1[Date of Initial Assessment]="","",IF(AND(Table1[Start Date]&gt;42460,Table1[Start Date]&lt;42826),Table1[Social Networks and Relationships],""))</f>
        <v/>
      </c>
      <c r="FY425" s="44" t="str">
        <f>IF(Table1[Date of Initial Assessment]="","",IF(AND(Table1[Start Date]&gt;42460,Table1[Start Date]&lt;42826),Table1[Drug and Alcohol Misuse],""))</f>
        <v/>
      </c>
      <c r="FZ425" s="44" t="str">
        <f>IF(Table1[Date of Initial Assessment]="","",IF(AND(Table1[Start Date]&gt;42460,Table1[Start Date]&lt;42826),Table1[Physical Health],""))</f>
        <v/>
      </c>
      <c r="GA425" s="44" t="str">
        <f>IF(Table1[Date of Initial Assessment]="","",IF(AND(Table1[Start Date]&gt;42460,Table1[Start Date]&lt;42826),Table1[Emotional and Mental Health],""))</f>
        <v/>
      </c>
      <c r="GB425" s="44" t="str">
        <f>IF(Table1[Date of Initial Assessment]="","",IF(AND(Table1[Start Date]&gt;42460,Table1[Start Date]&lt;42826),Table1[Meaningful Use of Time],""))</f>
        <v/>
      </c>
      <c r="GC425" s="44" t="str">
        <f>IF(Table1[Date of Initial Assessment]="","",IF(AND(Table1[Start Date]&gt;42460,Table1[Start Date]&lt;42826),Table1[Managing Tenancy and Accommodation],""))</f>
        <v/>
      </c>
      <c r="GD425" s="44" t="str">
        <f>IF(Table1[Date of Initial Assessment]="","",IF(AND(Table1[Start Date]&gt;42460,Table1[Start Date]&lt;42826),Table1[Offending],""))</f>
        <v/>
      </c>
      <c r="GE425" s="44" t="str">
        <f>IF(Table1[Leaving Date]="","",IF(AND(Table1[Leaving Date]&gt;42460,Table1[Leaving Date]&lt;42826),IF(Table1[Date of Last Assessment]="",Table1[Motivation and Taking Responsibility],Table1[Motivation and Taking Responsibility2]),""))</f>
        <v/>
      </c>
      <c r="GF425" s="44" t="str">
        <f>IF(Table1[Leaving Date]="","",IF(AND(Table1[Leaving Date]&gt;42460,Table1[Leaving Date]&lt;42826),IF(Table1[Date of Last Assessment]="",Table1[Self-Care and Living Skills],Table1[Self-Care and Living Skills2]),""))</f>
        <v/>
      </c>
      <c r="GG425" s="44" t="str">
        <f>IF(Table1[Leaving Date]="","",IF(AND(Table1[Leaving Date]&gt;42460,Table1[Leaving Date]&lt;42826),IF(Table1[Date of Last Assessment]="",Table1[Managing Money and Personal Administration],Table1[Managing Money and Personal Administration2]),""))</f>
        <v/>
      </c>
      <c r="GH425" s="44" t="str">
        <f>IF(Table1[Leaving Date]="","",IF(AND(Table1[Leaving Date]&gt;42460,Table1[Leaving Date]&lt;42826),IF(Table1[Date of Last Assessment]="",Table1[Social Networks and Relationships],Table1[Social Networks and Relationships2]),""))</f>
        <v/>
      </c>
      <c r="GI425" s="44" t="str">
        <f>IF(Table1[Leaving Date]="","",IF(AND(Table1[Leaving Date]&gt;42460,Table1[Leaving Date]&lt;42826),IF(Table1[Date of Last Assessment]="",Table1[Drug and Alcohol Misuse],Table1[Drug and Alcohol Misuse2]),""))</f>
        <v/>
      </c>
      <c r="GJ425" s="44" t="str">
        <f>IF(Table1[Leaving Date]="","",IF(AND(Table1[Leaving Date]&gt;42460,Table1[Leaving Date]&lt;42826),IF(Table1[Date of Last Assessment]="",Table1[Physical Health],Table1[Physical Health2]),""))</f>
        <v/>
      </c>
      <c r="GK425" s="44" t="str">
        <f>IF(Table1[Leaving Date]="","",IF(AND(Table1[Leaving Date]&gt;42460,Table1[Leaving Date]&lt;42826),IF(Table1[Date of Last Assessment]="",Table1[Emotional and Mental Health],Table1[Emotional and Mental Health2]),""))</f>
        <v/>
      </c>
      <c r="GL425" s="44" t="str">
        <f>IF(Table1[Leaving Date]="","",IF(AND(Table1[Leaving Date]&gt;42460,Table1[Leaving Date]&lt;42826),IF(Table1[Date of Last Assessment]="",Table1[Meaningful Use of Time],Table1[Meaningful Use of Time2]),""))</f>
        <v/>
      </c>
      <c r="GM425" s="44" t="str">
        <f>IF(Table1[Leaving Date]="","",IF(AND(Table1[Leaving Date]&gt;42460,Table1[Leaving Date]&lt;42826),IF(Table1[Date of Last Assessment]="",Table1[Managing Tenancy and Accommodation],Table1[Managing Tenancy and Accommodation2]),""))</f>
        <v/>
      </c>
      <c r="GN425" s="44" t="str">
        <f>IF(Table1[Leaving Date]="","",IF(AND(Table1[Leaving Date]&gt;42460,Table1[Leaving Date]&lt;42826),IF(Table1[Date of Last Assessment]="",Table1[Offending],Table1[Offending2]),""))</f>
        <v/>
      </c>
    </row>
    <row r="426" spans="2:196" ht="20.100000000000001" customHeight="1" x14ac:dyDescent="0.2">
      <c r="B426" s="86">
        <f>+'Service Data'!$C$5:$C$5</f>
        <v>0</v>
      </c>
      <c r="C426" s="86"/>
      <c r="D426" s="86"/>
      <c r="E426" s="86"/>
      <c r="F426" s="86"/>
      <c r="G426" s="86"/>
      <c r="H426" s="6"/>
      <c r="I426" s="99" t="str">
        <f ca="1">IF(Table1[[#This Row],[Date of Birth]]="","",SUM(TODAY()-Table1[[#This Row],[Date of Birth]])/365)</f>
        <v/>
      </c>
      <c r="L426" s="86"/>
      <c r="M426" s="77"/>
      <c r="N426" s="86"/>
      <c r="O426" s="86"/>
      <c r="P426" s="91"/>
      <c r="Q426" s="86"/>
      <c r="R426" s="77"/>
      <c r="S426" s="77"/>
      <c r="T426" s="68"/>
      <c r="U426" s="68"/>
      <c r="V426" s="67"/>
      <c r="W426" s="67"/>
      <c r="X426" s="67"/>
      <c r="Y426" s="67"/>
      <c r="Z426" s="67"/>
      <c r="AA426" s="67"/>
      <c r="AB426" s="67"/>
      <c r="AC426" s="67"/>
      <c r="AD426" s="67"/>
      <c r="AE426" s="67"/>
      <c r="AF426" s="67"/>
      <c r="AG426" s="67"/>
      <c r="AH426" s="67"/>
      <c r="AI426" s="67"/>
      <c r="AJ426" s="67"/>
      <c r="AK426" s="67"/>
      <c r="AL426" s="67"/>
      <c r="AM426" s="67"/>
      <c r="AN426" s="77"/>
      <c r="AO426" s="76"/>
      <c r="AP426" s="77"/>
      <c r="AQ426" s="76"/>
      <c r="AR426" s="76"/>
      <c r="AS426" s="76"/>
      <c r="AT426" s="76"/>
      <c r="AU426" s="76"/>
      <c r="AV426" s="77"/>
      <c r="AW426" s="76"/>
      <c r="AX426" s="77"/>
      <c r="AY426" s="76"/>
      <c r="AZ426" s="76"/>
      <c r="BA426" s="76"/>
      <c r="BB426" s="76"/>
      <c r="BC426" s="76"/>
      <c r="BD426" s="77"/>
      <c r="BE426" s="76"/>
      <c r="BF426" s="77"/>
      <c r="BG426" s="76"/>
      <c r="BH426" s="76"/>
      <c r="BI426" s="76"/>
      <c r="BJ426" s="76"/>
      <c r="BK426" s="76"/>
      <c r="BL426" s="77"/>
      <c r="BM426" s="76"/>
      <c r="BN426" s="77"/>
      <c r="BO426" s="76"/>
      <c r="BP426" s="76"/>
      <c r="BQ426" s="76"/>
      <c r="BR426" s="76"/>
      <c r="BS426" s="76"/>
      <c r="BT426" s="77"/>
      <c r="BU426" s="76"/>
      <c r="BV426" s="77"/>
      <c r="BW426" s="76"/>
      <c r="BX426" s="76"/>
      <c r="BY426" s="76"/>
      <c r="BZ426" s="76"/>
      <c r="CA426" s="76"/>
      <c r="CB426" s="77"/>
      <c r="CC426" s="76"/>
      <c r="CD426" s="77"/>
      <c r="CE426" s="76"/>
      <c r="CF426" s="76"/>
      <c r="CG426" s="76"/>
      <c r="CH426" s="76"/>
      <c r="CI426" s="76"/>
      <c r="CJ426" s="77"/>
      <c r="CK426" s="76"/>
      <c r="CL426" s="77"/>
      <c r="CM426" s="76"/>
      <c r="CN426" s="76"/>
      <c r="CO426" s="76"/>
      <c r="CP426" s="76"/>
      <c r="CQ426" s="76"/>
      <c r="CR426" s="78" t="str">
        <f t="shared" si="111"/>
        <v/>
      </c>
      <c r="CS426" s="79" t="str">
        <f t="shared" si="112"/>
        <v/>
      </c>
      <c r="CT426" s="79" t="str">
        <f t="shared" si="113"/>
        <v/>
      </c>
      <c r="CU426" s="79" t="str">
        <f t="shared" si="114"/>
        <v/>
      </c>
      <c r="CV426" s="79" t="str">
        <f t="shared" si="115"/>
        <v/>
      </c>
      <c r="CW426" s="79" t="str">
        <f t="shared" si="116"/>
        <v/>
      </c>
      <c r="CX426" s="79" t="str">
        <f t="shared" si="117"/>
        <v/>
      </c>
      <c r="CY426" s="79" t="str">
        <f t="shared" si="118"/>
        <v/>
      </c>
      <c r="CZ426" s="79" t="str">
        <f t="shared" si="119"/>
        <v/>
      </c>
      <c r="DA426" s="79" t="str">
        <f t="shared" si="120"/>
        <v/>
      </c>
      <c r="DB426" s="79" t="str">
        <f t="shared" si="121"/>
        <v/>
      </c>
      <c r="DC426" s="79" t="str">
        <f t="shared" si="122"/>
        <v/>
      </c>
      <c r="DD426" s="79" t="str">
        <f t="shared" si="123"/>
        <v/>
      </c>
      <c r="DE426" s="79" t="str">
        <f t="shared" si="124"/>
        <v/>
      </c>
      <c r="DF426" s="79" t="str">
        <f t="shared" si="125"/>
        <v/>
      </c>
      <c r="DG426" s="79" t="str">
        <f t="shared" si="126"/>
        <v/>
      </c>
      <c r="DH426" s="76"/>
      <c r="DI426" s="78"/>
      <c r="DJ426" s="76"/>
      <c r="DK426" s="77"/>
      <c r="DL426" s="77"/>
      <c r="DM426" s="77"/>
      <c r="DN426" s="80"/>
      <c r="DO426" s="80"/>
      <c r="DP426" s="92" t="str">
        <f>IF(Table1[Start Date]="","",IF(Table1[Start Date]&gt;42185,"",IF(AND(Table1[Leaving Date]&gt;1,Table1[Leaving Date]&lt;42095),"",1)))</f>
        <v/>
      </c>
      <c r="DQ426" s="92" t="str">
        <f>IF(Table1[Start Date]="","",IF(Table1[Start Date]&gt;42277,"",IF(AND(Table1[Leaving Date]&gt;1,Table1[Leaving Date]&lt;42186),"",1)))</f>
        <v/>
      </c>
      <c r="DR426" s="92" t="str">
        <f>IF(Table1[Start Date]="","",IF(Table1[Start Date]&gt;42369,"",IF(AND(Table1[Leaving Date]&gt;1,Table1[Leaving Date]&lt;42278),"",1)))</f>
        <v/>
      </c>
      <c r="DS426" s="92" t="str">
        <f>IF(Table1[Start Date]="","",IF(Table1[Start Date]&gt;42460,"",IF(AND(Table1[Leaving Date]&gt;1,Table1[Leaving Date]&lt;42370),"",1)))</f>
        <v/>
      </c>
      <c r="DT426" s="92" t="str">
        <f>IF(Table1[Start Date]="","",IF(Table1[Start Date]&gt;42551,"",IF(AND(Table1[Leaving Date]&gt;1,Table1[Leaving Date]&lt;42461),"",1)))</f>
        <v/>
      </c>
      <c r="DU426" s="92" t="str">
        <f>IF(Table1[Start Date]="","",IF(Table1[Start Date]&gt;42643,"",IF(AND(Table1[Leaving Date]&gt;1,Table1[Leaving Date]&lt;42552),"",1)))</f>
        <v/>
      </c>
      <c r="DV426" s="92" t="str">
        <f>IF(Table1[Start Date]="","",IF(Table1[Start Date]&gt;42735,"",IF(AND(Table1[Leaving Date]&gt;1,Table1[Leaving Date]&lt;42644),"",1)))</f>
        <v/>
      </c>
      <c r="DW426" s="92" t="str">
        <f>IF(Table1[Start Date]="","",IF(Table1[Start Date]&gt;42825,"",IF(AND(Table1[Leaving Date]&gt;1,Table1[Leaving Date]&lt;42736),"",1)))</f>
        <v/>
      </c>
      <c r="DX426"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426" s="44" t="e">
        <f>VLOOKUP(Table1[Referral Source],Lists!$G$2:$H$20,2,FALSE)</f>
        <v>#N/A</v>
      </c>
      <c r="DZ426" s="93" t="e">
        <f>SUM(Table1[Data Referral Quarter]+Table1[Data Referral Source])</f>
        <v>#N/A</v>
      </c>
      <c r="EA426" s="44" t="b">
        <f>IF(Table1[Referral Decision]="Accepted",100,IF(Table1[Referral Decision]="Rejected by Provider",200,IF(Table1[Referral Decision]="Rejected by Applicant",300)))</f>
        <v>0</v>
      </c>
      <c r="EB426" s="44">
        <f>SUM(Table1[Data Referral Quarter]+Table1[Data Referral Decision])</f>
        <v>0</v>
      </c>
      <c r="EC426" s="44" t="b">
        <f>IF(Table1[Start Date]&gt;42735,8000,IF(Table1[Start Date]&gt;42643,7000,IF(Table1[Start Date]&gt;42551,6000,IF(Table1[Start Date]&gt;42460,5000,IF(Table1[Start Date]&gt;42369,4000,IF(Table1[Start Date]&gt;42277,3000,IF(Table1[Start Date]&gt;42185,2000,IF(Table1[Start Date]&gt;42094,1000))))))))</f>
        <v>0</v>
      </c>
      <c r="ED426" s="44" t="str">
        <f>IF(Table1[Start Date]="","",IF(Table1[Current Local Authority]="Swindon",1,"2"))</f>
        <v/>
      </c>
      <c r="EE426" s="44" t="e">
        <f>SUM(Table1[Data Start Date]+Table1[Data Local Authority])</f>
        <v>#VALUE!</v>
      </c>
      <c r="EF426" s="44">
        <f>IF(Table1[Registered with GP]="Yes",1,0)</f>
        <v>0</v>
      </c>
      <c r="EG426" s="44">
        <f>SUM(Table1[Data Start Date]+Table1[Data GP Start])</f>
        <v>0</v>
      </c>
      <c r="EH426" s="44" t="str">
        <f>IF(Table1[EET]="NEET",1,IF(Table1[EET]="Education",2,IF(Table1[EET]="Employment",2,IF(Table1[EET]="Training",2,IF(Table1[EET]="Retired",3,"")))))</f>
        <v/>
      </c>
      <c r="EI426" s="44" t="e">
        <f>Table1[Data Start Date]+Table1[Data EET Start]</f>
        <v>#VALUE!</v>
      </c>
      <c r="EJ426" s="44" t="b">
        <f>IF(Table1[Leaving Date]&gt;42735,8000,IF(Table1[Leaving Date]&gt;42643,7000,IF(Table1[Leaving Date]&gt;42551,6000,IF(Table1[Leaving Date]&gt;42460,5000,IF(Table1[Leaving Date]&gt;42369,4000,IF(Table1[Leaving Date]&gt;42277,3000,IF(Table1[Leaving Date]&gt;42185,2000,IF(Table1[Leaving Date]&gt;42094,1000))))))))</f>
        <v>0</v>
      </c>
      <c r="EK426" s="44" t="e">
        <f>VLOOKUP(Table1[Reason for Leaving],Lists!$T$2:$U$15,2,FALSE)</f>
        <v>#N/A</v>
      </c>
      <c r="EL426" s="44" t="e">
        <f>SUM(Table1[Data Leavers Date]+Table1[Data Move On])</f>
        <v>#N/A</v>
      </c>
      <c r="EM426" s="44" t="b">
        <f>IF(Table1[Registered with GP2]="Yes",1,IF(Table1[Registered with GP2]="No",0,IF(Table1[Registered with GP]="Yes",1,IF(Table1[Registered with GP]="No",0))))</f>
        <v>0</v>
      </c>
      <c r="EN426" s="44">
        <f>SUM(Table1[Data Leavers Date]+Table1[Data GP End])</f>
        <v>0</v>
      </c>
      <c r="EO426" s="44" t="str">
        <f>IF(Table1[EET2]="NEET",1,IF(Table1[EET2]="Employment",2,IF(Table1[EET2]="Education",2,IF(Table1[EET2]="Training",2,IF(Table1[EET2]="Retired",3,IF(Table1[EET]="NEET",1,IF(Table1[EET]="Employment",2,IF(Table1[EET]="Education",2,IF(Table1[EET]="Training",2,IF(Table1[EET]="Retired",3,""))))))))))</f>
        <v/>
      </c>
      <c r="EP426" s="44" t="e">
        <f>+Table1[[#This Row],[Data Leavers Date]]+Table1[[#This Row],[Data EET End]]</f>
        <v>#VALUE!</v>
      </c>
      <c r="EQ426" s="44">
        <f>IF(Table1[Exit Form Received]="Yes",1,0)</f>
        <v>0</v>
      </c>
      <c r="ER426" s="44">
        <f>+Table1[[#This Row],[Data Leavers Date]]+Table1[[#This Row],[Data Exit Forms]]</f>
        <v>0</v>
      </c>
      <c r="ES426" s="44" t="str">
        <f>IF(Table1[Data Leavers Date]=1000,SUM(Table1[Leaving Date]-Table1[Start Date]),"")</f>
        <v/>
      </c>
      <c r="ET426" s="44" t="str">
        <f>IF(Table1[Data Leavers Date]=2000,SUM(Table1[Leaving Date]-Table1[Start Date]),"")</f>
        <v/>
      </c>
      <c r="EU426" s="44" t="str">
        <f>IF(Table1[Data Leavers Date]=3000,SUM(Table1[Leaving Date]-Table1[Start Date]),"")</f>
        <v/>
      </c>
      <c r="EV426" s="44" t="str">
        <f>IF(Table1[Data Leavers Date]=4000,SUM(Table1[Leaving Date]-Table1[Start Date]),"")</f>
        <v/>
      </c>
      <c r="EW426" s="44" t="str">
        <f>IF(Table1[Data Leavers Date]=5000,SUM(Table1[Leaving Date]-Table1[Start Date]),"")</f>
        <v/>
      </c>
      <c r="EX426" s="44" t="str">
        <f>IF(Table1[Data Leavers Date]=6000,SUM(Table1[Leaving Date]-Table1[Start Date]),"")</f>
        <v/>
      </c>
      <c r="EY426" s="44" t="str">
        <f>IF(Table1[Data Leavers Date]=7000,SUM(Table1[Leaving Date]-Table1[Start Date]),"")</f>
        <v/>
      </c>
      <c r="EZ426" s="44" t="str">
        <f>IF(Table1[Data Leavers Date]=8000,SUM(Table1[Leaving Date]-Table1[Start Date]),"")</f>
        <v/>
      </c>
      <c r="FA426" s="44" t="str">
        <f>IF(Table1[Date of Initial Assessment]="","",IF(AND(Table1[Start Date]&gt;42094,Table1[Start Date]&lt;42461),Table1[Motivation and Taking Responsibility],""))</f>
        <v/>
      </c>
      <c r="FB426" s="44" t="str">
        <f>IF(Table1[Date of Initial Assessment]="","",IF(AND(Table1[Start Date]&gt;42094,Table1[Start Date]&lt;42461),Table1[Self-Care and Living Skills],""))</f>
        <v/>
      </c>
      <c r="FC426" s="44" t="str">
        <f>IF(Table1[Date of Initial Assessment]="","",IF(AND(Table1[Start Date]&gt;42094,Table1[Start Date]&lt;42461),Table1[Managing Money and Personal Administration],""))</f>
        <v/>
      </c>
      <c r="FD426" s="44" t="str">
        <f>IF(Table1[Date of Initial Assessment]="","",IF(AND(Table1[Start Date]&gt;42094,Table1[Start Date]&lt;42461),Table1[Social Networks and Relationships],""))</f>
        <v/>
      </c>
      <c r="FE426" s="44" t="str">
        <f>IF(Table1[Date of Initial Assessment]="","",IF(AND(Table1[Start Date]&gt;42094,Table1[Start Date]&lt;42461),Table1[Drug and Alcohol Misuse],""))</f>
        <v/>
      </c>
      <c r="FF426" s="44" t="str">
        <f>IF(Table1[Date of Initial Assessment]="","",IF(AND(Table1[Start Date]&gt;42094,Table1[Start Date]&lt;42461),Table1[Physical Health],""))</f>
        <v/>
      </c>
      <c r="FG426" s="44" t="str">
        <f>IF(Table1[Date of Initial Assessment]="","",IF(AND(Table1[Start Date]&gt;42094,Table1[Start Date]&lt;42461),Table1[Emotional and Mental Health],""))</f>
        <v/>
      </c>
      <c r="FH426" s="44" t="str">
        <f>IF(Table1[Date of Initial Assessment]="","",IF(AND(Table1[Start Date]&gt;42094,Table1[Start Date]&lt;42461),Table1[Meaningful Use of Time],""))</f>
        <v/>
      </c>
      <c r="FI426" s="44" t="str">
        <f>IF(Table1[Date of Initial Assessment]="","",IF(AND(Table1[Start Date]&gt;42094,Table1[Start Date]&lt;42461),Table1[Managing Tenancy and Accommodation],""))</f>
        <v/>
      </c>
      <c r="FJ426" s="44" t="str">
        <f>IF(Table1[Date of Initial Assessment]="","",IF(AND(Table1[Start Date]&gt;42094,Table1[Start Date]&lt;42461),Table1[Offending],""))</f>
        <v/>
      </c>
      <c r="FK426" s="44" t="str">
        <f>IF(Table1[Leaving Date]="","",IF(Table1[Date of Initial Assessment]="","",IF(AND(Table1[Leaving Date]&gt;42094,Table1[Leaving Date]&lt;42461),IF(Table1[Date of Last Assessment]="",Table1[Motivation and Taking Responsibility],Table1[Motivation and Taking Responsibility2]),"")))</f>
        <v/>
      </c>
      <c r="FL426" s="44" t="str">
        <f>IF(Table1[Leaving Date]="","",IF(Table1[Date of Initial Assessment]="","",IF(AND(Table1[Leaving Date]&gt;42094,Table1[Leaving Date]&lt;42461),IF(Table1[Date of Last Assessment]="",Table1[Self-Care and Living Skills],Table1[Self-Care and Living Skills2]),"")))</f>
        <v/>
      </c>
      <c r="FM426" s="44" t="str">
        <f>IF(Table1[Leaving Date]="","",IF(Table1[Date of Initial Assessment]="","",IF(AND(Table1[Leaving Date]&gt;42094,Table1[Leaving Date]&lt;42461),IF(Table1[Date of Last Assessment]="",Table1[Managing Money and Personal Administration],Table1[Managing Money and Personal Administration2]),"")))</f>
        <v/>
      </c>
      <c r="FN426" s="44" t="str">
        <f>IF(Table1[Leaving Date]="","",IF(Table1[Date of Initial Assessment]="","",IF(AND(Table1[Leaving Date]&gt;42094,Table1[Leaving Date]&lt;42461),IF(Table1[Date of Last Assessment]="",Table1[Social Networks and Relationships],Table1[Social Networks and Relationships2]),"")))</f>
        <v/>
      </c>
      <c r="FO426" s="44" t="str">
        <f>IF(Table1[Leaving Date]="","",IF(Table1[Date of Initial Assessment]="","",IF(AND(Table1[Leaving Date]&gt;42094,Table1[Leaving Date]&lt;42461),IF(Table1[Date of Last Assessment]="",Table1[Drug and Alcohol Misuse],Table1[Drug and Alcohol Misuse2]),"")))</f>
        <v/>
      </c>
      <c r="FP426" s="44" t="str">
        <f>IF(Table1[Leaving Date]="","",IF(Table1[Date of Initial Assessment]="","",IF(AND(Table1[Leaving Date]&gt;42094,Table1[Leaving Date]&lt;42461),IF(Table1[Date of Last Assessment]="",Table1[Physical Health],Table1[Physical Health2]),"")))</f>
        <v/>
      </c>
      <c r="FQ426" s="44" t="str">
        <f>IF(Table1[Leaving Date]="","",IF(Table1[Date of Initial Assessment]="","",IF(AND(Table1[Leaving Date]&gt;42094,Table1[Leaving Date]&lt;42461),IF(Table1[Date of Last Assessment]="",Table1[Emotional and Mental Health],Table1[Emotional and Mental Health2]),"")))</f>
        <v/>
      </c>
      <c r="FR426" s="44" t="str">
        <f>IF(Table1[Leaving Date]="","",IF(Table1[Date of Initial Assessment]="","",IF(AND(Table1[Leaving Date]&gt;42094,Table1[Leaving Date]&lt;42461),IF(Table1[Date of Last Assessment]="",Table1[Meaningful Use of Time],Table1[Meaningful Use of Time2]),"")))</f>
        <v/>
      </c>
      <c r="FS426" s="44" t="str">
        <f>IF(Table1[Leaving Date]="","",IF(Table1[Date of Initial Assessment]="","",IF(AND(Table1[Leaving Date]&gt;42094,Table1[Leaving Date]&lt;42461),IF(Table1[Date of Last Assessment]="",Table1[Managing Tenancy and Accommodation],Table1[Managing Tenancy and Accommodation2]),"")))</f>
        <v/>
      </c>
      <c r="FT426" s="44" t="str">
        <f>IF(Table1[Leaving Date]="","",IF(Table1[Date of Initial Assessment]="","",IF(AND(Table1[Leaving Date]&gt;42094,Table1[Leaving Date]&lt;42461),IF(Table1[Date of Last Assessment]="",Table1[Offending],Table1[Offending2]),"")))</f>
        <v/>
      </c>
      <c r="FU426" s="44" t="str">
        <f>IF(Table1[Date of Initial Assessment]="","",IF(AND(Table1[Start Date]&gt;42460,Table1[Start Date]&lt;42826),Table1[Motivation and Taking Responsibility],""))</f>
        <v/>
      </c>
      <c r="FV426" s="44" t="str">
        <f>IF(Table1[Date of Initial Assessment]="","",IF(AND(Table1[Start Date]&gt;42460,Table1[Start Date]&lt;42826),Table1[Self-Care and Living Skills],""))</f>
        <v/>
      </c>
      <c r="FW426" s="44" t="str">
        <f>IF(Table1[Date of Initial Assessment]="","",IF(AND(Table1[Start Date]&gt;42460,Table1[Start Date]&lt;42826),Table1[Managing Money and Personal Administration],""))</f>
        <v/>
      </c>
      <c r="FX426" s="44" t="str">
        <f>IF(Table1[Date of Initial Assessment]="","",IF(AND(Table1[Start Date]&gt;42460,Table1[Start Date]&lt;42826),Table1[Social Networks and Relationships],""))</f>
        <v/>
      </c>
      <c r="FY426" s="44" t="str">
        <f>IF(Table1[Date of Initial Assessment]="","",IF(AND(Table1[Start Date]&gt;42460,Table1[Start Date]&lt;42826),Table1[Drug and Alcohol Misuse],""))</f>
        <v/>
      </c>
      <c r="FZ426" s="44" t="str">
        <f>IF(Table1[Date of Initial Assessment]="","",IF(AND(Table1[Start Date]&gt;42460,Table1[Start Date]&lt;42826),Table1[Physical Health],""))</f>
        <v/>
      </c>
      <c r="GA426" s="44" t="str">
        <f>IF(Table1[Date of Initial Assessment]="","",IF(AND(Table1[Start Date]&gt;42460,Table1[Start Date]&lt;42826),Table1[Emotional and Mental Health],""))</f>
        <v/>
      </c>
      <c r="GB426" s="44" t="str">
        <f>IF(Table1[Date of Initial Assessment]="","",IF(AND(Table1[Start Date]&gt;42460,Table1[Start Date]&lt;42826),Table1[Meaningful Use of Time],""))</f>
        <v/>
      </c>
      <c r="GC426" s="44" t="str">
        <f>IF(Table1[Date of Initial Assessment]="","",IF(AND(Table1[Start Date]&gt;42460,Table1[Start Date]&lt;42826),Table1[Managing Tenancy and Accommodation],""))</f>
        <v/>
      </c>
      <c r="GD426" s="44" t="str">
        <f>IF(Table1[Date of Initial Assessment]="","",IF(AND(Table1[Start Date]&gt;42460,Table1[Start Date]&lt;42826),Table1[Offending],""))</f>
        <v/>
      </c>
      <c r="GE426" s="44" t="str">
        <f>IF(Table1[Leaving Date]="","",IF(AND(Table1[Leaving Date]&gt;42460,Table1[Leaving Date]&lt;42826),IF(Table1[Date of Last Assessment]="",Table1[Motivation and Taking Responsibility],Table1[Motivation and Taking Responsibility2]),""))</f>
        <v/>
      </c>
      <c r="GF426" s="44" t="str">
        <f>IF(Table1[Leaving Date]="","",IF(AND(Table1[Leaving Date]&gt;42460,Table1[Leaving Date]&lt;42826),IF(Table1[Date of Last Assessment]="",Table1[Self-Care and Living Skills],Table1[Self-Care and Living Skills2]),""))</f>
        <v/>
      </c>
      <c r="GG426" s="44" t="str">
        <f>IF(Table1[Leaving Date]="","",IF(AND(Table1[Leaving Date]&gt;42460,Table1[Leaving Date]&lt;42826),IF(Table1[Date of Last Assessment]="",Table1[Managing Money and Personal Administration],Table1[Managing Money and Personal Administration2]),""))</f>
        <v/>
      </c>
      <c r="GH426" s="44" t="str">
        <f>IF(Table1[Leaving Date]="","",IF(AND(Table1[Leaving Date]&gt;42460,Table1[Leaving Date]&lt;42826),IF(Table1[Date of Last Assessment]="",Table1[Social Networks and Relationships],Table1[Social Networks and Relationships2]),""))</f>
        <v/>
      </c>
      <c r="GI426" s="44" t="str">
        <f>IF(Table1[Leaving Date]="","",IF(AND(Table1[Leaving Date]&gt;42460,Table1[Leaving Date]&lt;42826),IF(Table1[Date of Last Assessment]="",Table1[Drug and Alcohol Misuse],Table1[Drug and Alcohol Misuse2]),""))</f>
        <v/>
      </c>
      <c r="GJ426" s="44" t="str">
        <f>IF(Table1[Leaving Date]="","",IF(AND(Table1[Leaving Date]&gt;42460,Table1[Leaving Date]&lt;42826),IF(Table1[Date of Last Assessment]="",Table1[Physical Health],Table1[Physical Health2]),""))</f>
        <v/>
      </c>
      <c r="GK426" s="44" t="str">
        <f>IF(Table1[Leaving Date]="","",IF(AND(Table1[Leaving Date]&gt;42460,Table1[Leaving Date]&lt;42826),IF(Table1[Date of Last Assessment]="",Table1[Emotional and Mental Health],Table1[Emotional and Mental Health2]),""))</f>
        <v/>
      </c>
      <c r="GL426" s="44" t="str">
        <f>IF(Table1[Leaving Date]="","",IF(AND(Table1[Leaving Date]&gt;42460,Table1[Leaving Date]&lt;42826),IF(Table1[Date of Last Assessment]="",Table1[Meaningful Use of Time],Table1[Meaningful Use of Time2]),""))</f>
        <v/>
      </c>
      <c r="GM426" s="44" t="str">
        <f>IF(Table1[Leaving Date]="","",IF(AND(Table1[Leaving Date]&gt;42460,Table1[Leaving Date]&lt;42826),IF(Table1[Date of Last Assessment]="",Table1[Managing Tenancy and Accommodation],Table1[Managing Tenancy and Accommodation2]),""))</f>
        <v/>
      </c>
      <c r="GN426" s="44" t="str">
        <f>IF(Table1[Leaving Date]="","",IF(AND(Table1[Leaving Date]&gt;42460,Table1[Leaving Date]&lt;42826),IF(Table1[Date of Last Assessment]="",Table1[Offending],Table1[Offending2]),""))</f>
        <v/>
      </c>
    </row>
    <row r="427" spans="2:196" ht="20.100000000000001" customHeight="1" x14ac:dyDescent="0.2">
      <c r="B427" s="86">
        <f>+'Service Data'!$C$5:$C$5</f>
        <v>0</v>
      </c>
      <c r="C427" s="86"/>
      <c r="D427" s="86"/>
      <c r="E427" s="86"/>
      <c r="F427" s="86"/>
      <c r="G427" s="86"/>
      <c r="H427" s="6"/>
      <c r="I427" s="99" t="str">
        <f ca="1">IF(Table1[[#This Row],[Date of Birth]]="","",SUM(TODAY()-Table1[[#This Row],[Date of Birth]])/365)</f>
        <v/>
      </c>
      <c r="L427" s="86"/>
      <c r="M427" s="77"/>
      <c r="N427" s="86"/>
      <c r="O427" s="86"/>
      <c r="P427" s="91"/>
      <c r="Q427" s="86"/>
      <c r="R427" s="77"/>
      <c r="S427" s="77"/>
      <c r="T427" s="68"/>
      <c r="U427" s="68"/>
      <c r="V427" s="67"/>
      <c r="W427" s="67"/>
      <c r="X427" s="67"/>
      <c r="Y427" s="67"/>
      <c r="Z427" s="67"/>
      <c r="AA427" s="67"/>
      <c r="AB427" s="67"/>
      <c r="AC427" s="67"/>
      <c r="AD427" s="67"/>
      <c r="AE427" s="67"/>
      <c r="AF427" s="67"/>
      <c r="AG427" s="67"/>
      <c r="AH427" s="67"/>
      <c r="AI427" s="67"/>
      <c r="AJ427" s="67"/>
      <c r="AK427" s="67"/>
      <c r="AL427" s="67"/>
      <c r="AM427" s="67"/>
      <c r="AN427" s="77"/>
      <c r="AO427" s="76"/>
      <c r="AP427" s="77"/>
      <c r="AQ427" s="76"/>
      <c r="AR427" s="76"/>
      <c r="AS427" s="76"/>
      <c r="AT427" s="76"/>
      <c r="AU427" s="76"/>
      <c r="AV427" s="77"/>
      <c r="AW427" s="76"/>
      <c r="AX427" s="77"/>
      <c r="AY427" s="76"/>
      <c r="AZ427" s="76"/>
      <c r="BA427" s="76"/>
      <c r="BB427" s="76"/>
      <c r="BC427" s="76"/>
      <c r="BD427" s="77"/>
      <c r="BE427" s="76"/>
      <c r="BF427" s="77"/>
      <c r="BG427" s="76"/>
      <c r="BH427" s="76"/>
      <c r="BI427" s="76"/>
      <c r="BJ427" s="76"/>
      <c r="BK427" s="76"/>
      <c r="BL427" s="77"/>
      <c r="BM427" s="76"/>
      <c r="BN427" s="77"/>
      <c r="BO427" s="76"/>
      <c r="BP427" s="76"/>
      <c r="BQ427" s="76"/>
      <c r="BR427" s="76"/>
      <c r="BS427" s="76"/>
      <c r="BT427" s="77"/>
      <c r="BU427" s="76"/>
      <c r="BV427" s="77"/>
      <c r="BW427" s="76"/>
      <c r="BX427" s="76"/>
      <c r="BY427" s="76"/>
      <c r="BZ427" s="76"/>
      <c r="CA427" s="76"/>
      <c r="CB427" s="77"/>
      <c r="CC427" s="76"/>
      <c r="CD427" s="77"/>
      <c r="CE427" s="76"/>
      <c r="CF427" s="76"/>
      <c r="CG427" s="76"/>
      <c r="CH427" s="76"/>
      <c r="CI427" s="76"/>
      <c r="CJ427" s="77"/>
      <c r="CK427" s="76"/>
      <c r="CL427" s="77"/>
      <c r="CM427" s="76"/>
      <c r="CN427" s="76"/>
      <c r="CO427" s="76"/>
      <c r="CP427" s="76"/>
      <c r="CQ427" s="76"/>
      <c r="CR427" s="78" t="str">
        <f t="shared" si="111"/>
        <v/>
      </c>
      <c r="CS427" s="79" t="str">
        <f t="shared" si="112"/>
        <v/>
      </c>
      <c r="CT427" s="79" t="str">
        <f t="shared" si="113"/>
        <v/>
      </c>
      <c r="CU427" s="79" t="str">
        <f t="shared" si="114"/>
        <v/>
      </c>
      <c r="CV427" s="79" t="str">
        <f t="shared" si="115"/>
        <v/>
      </c>
      <c r="CW427" s="79" t="str">
        <f t="shared" si="116"/>
        <v/>
      </c>
      <c r="CX427" s="79" t="str">
        <f t="shared" si="117"/>
        <v/>
      </c>
      <c r="CY427" s="79" t="str">
        <f t="shared" si="118"/>
        <v/>
      </c>
      <c r="CZ427" s="79" t="str">
        <f t="shared" si="119"/>
        <v/>
      </c>
      <c r="DA427" s="79" t="str">
        <f t="shared" si="120"/>
        <v/>
      </c>
      <c r="DB427" s="79" t="str">
        <f t="shared" si="121"/>
        <v/>
      </c>
      <c r="DC427" s="79" t="str">
        <f t="shared" si="122"/>
        <v/>
      </c>
      <c r="DD427" s="79" t="str">
        <f t="shared" si="123"/>
        <v/>
      </c>
      <c r="DE427" s="79" t="str">
        <f t="shared" si="124"/>
        <v/>
      </c>
      <c r="DF427" s="79" t="str">
        <f t="shared" si="125"/>
        <v/>
      </c>
      <c r="DG427" s="79" t="str">
        <f t="shared" si="126"/>
        <v/>
      </c>
      <c r="DH427" s="76"/>
      <c r="DI427" s="78"/>
      <c r="DJ427" s="76"/>
      <c r="DK427" s="77"/>
      <c r="DL427" s="77"/>
      <c r="DM427" s="77"/>
      <c r="DN427" s="80"/>
      <c r="DO427" s="80"/>
      <c r="DP427" s="92" t="str">
        <f>IF(Table1[Start Date]="","",IF(Table1[Start Date]&gt;42185,"",IF(AND(Table1[Leaving Date]&gt;1,Table1[Leaving Date]&lt;42095),"",1)))</f>
        <v/>
      </c>
      <c r="DQ427" s="92" t="str">
        <f>IF(Table1[Start Date]="","",IF(Table1[Start Date]&gt;42277,"",IF(AND(Table1[Leaving Date]&gt;1,Table1[Leaving Date]&lt;42186),"",1)))</f>
        <v/>
      </c>
      <c r="DR427" s="92" t="str">
        <f>IF(Table1[Start Date]="","",IF(Table1[Start Date]&gt;42369,"",IF(AND(Table1[Leaving Date]&gt;1,Table1[Leaving Date]&lt;42278),"",1)))</f>
        <v/>
      </c>
      <c r="DS427" s="92" t="str">
        <f>IF(Table1[Start Date]="","",IF(Table1[Start Date]&gt;42460,"",IF(AND(Table1[Leaving Date]&gt;1,Table1[Leaving Date]&lt;42370),"",1)))</f>
        <v/>
      </c>
      <c r="DT427" s="92" t="str">
        <f>IF(Table1[Start Date]="","",IF(Table1[Start Date]&gt;42551,"",IF(AND(Table1[Leaving Date]&gt;1,Table1[Leaving Date]&lt;42461),"",1)))</f>
        <v/>
      </c>
      <c r="DU427" s="92" t="str">
        <f>IF(Table1[Start Date]="","",IF(Table1[Start Date]&gt;42643,"",IF(AND(Table1[Leaving Date]&gt;1,Table1[Leaving Date]&lt;42552),"",1)))</f>
        <v/>
      </c>
      <c r="DV427" s="92" t="str">
        <f>IF(Table1[Start Date]="","",IF(Table1[Start Date]&gt;42735,"",IF(AND(Table1[Leaving Date]&gt;1,Table1[Leaving Date]&lt;42644),"",1)))</f>
        <v/>
      </c>
      <c r="DW427" s="92" t="str">
        <f>IF(Table1[Start Date]="","",IF(Table1[Start Date]&gt;42825,"",IF(AND(Table1[Leaving Date]&gt;1,Table1[Leaving Date]&lt;42736),"",1)))</f>
        <v/>
      </c>
      <c r="DX427"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427" s="44" t="e">
        <f>VLOOKUP(Table1[Referral Source],Lists!$G$2:$H$20,2,FALSE)</f>
        <v>#N/A</v>
      </c>
      <c r="DZ427" s="93" t="e">
        <f>SUM(Table1[Data Referral Quarter]+Table1[Data Referral Source])</f>
        <v>#N/A</v>
      </c>
      <c r="EA427" s="44" t="b">
        <f>IF(Table1[Referral Decision]="Accepted",100,IF(Table1[Referral Decision]="Rejected by Provider",200,IF(Table1[Referral Decision]="Rejected by Applicant",300)))</f>
        <v>0</v>
      </c>
      <c r="EB427" s="44">
        <f>SUM(Table1[Data Referral Quarter]+Table1[Data Referral Decision])</f>
        <v>0</v>
      </c>
      <c r="EC427" s="44" t="b">
        <f>IF(Table1[Start Date]&gt;42735,8000,IF(Table1[Start Date]&gt;42643,7000,IF(Table1[Start Date]&gt;42551,6000,IF(Table1[Start Date]&gt;42460,5000,IF(Table1[Start Date]&gt;42369,4000,IF(Table1[Start Date]&gt;42277,3000,IF(Table1[Start Date]&gt;42185,2000,IF(Table1[Start Date]&gt;42094,1000))))))))</f>
        <v>0</v>
      </c>
      <c r="ED427" s="44" t="str">
        <f>IF(Table1[Start Date]="","",IF(Table1[Current Local Authority]="Swindon",1,"2"))</f>
        <v/>
      </c>
      <c r="EE427" s="44" t="e">
        <f>SUM(Table1[Data Start Date]+Table1[Data Local Authority])</f>
        <v>#VALUE!</v>
      </c>
      <c r="EF427" s="44">
        <f>IF(Table1[Registered with GP]="Yes",1,0)</f>
        <v>0</v>
      </c>
      <c r="EG427" s="44">
        <f>SUM(Table1[Data Start Date]+Table1[Data GP Start])</f>
        <v>0</v>
      </c>
      <c r="EH427" s="44" t="str">
        <f>IF(Table1[EET]="NEET",1,IF(Table1[EET]="Education",2,IF(Table1[EET]="Employment",2,IF(Table1[EET]="Training",2,IF(Table1[EET]="Retired",3,"")))))</f>
        <v/>
      </c>
      <c r="EI427" s="44" t="e">
        <f>Table1[Data Start Date]+Table1[Data EET Start]</f>
        <v>#VALUE!</v>
      </c>
      <c r="EJ427" s="44" t="b">
        <f>IF(Table1[Leaving Date]&gt;42735,8000,IF(Table1[Leaving Date]&gt;42643,7000,IF(Table1[Leaving Date]&gt;42551,6000,IF(Table1[Leaving Date]&gt;42460,5000,IF(Table1[Leaving Date]&gt;42369,4000,IF(Table1[Leaving Date]&gt;42277,3000,IF(Table1[Leaving Date]&gt;42185,2000,IF(Table1[Leaving Date]&gt;42094,1000))))))))</f>
        <v>0</v>
      </c>
      <c r="EK427" s="44" t="e">
        <f>VLOOKUP(Table1[Reason for Leaving],Lists!$T$2:$U$15,2,FALSE)</f>
        <v>#N/A</v>
      </c>
      <c r="EL427" s="44" t="e">
        <f>SUM(Table1[Data Leavers Date]+Table1[Data Move On])</f>
        <v>#N/A</v>
      </c>
      <c r="EM427" s="44" t="b">
        <f>IF(Table1[Registered with GP2]="Yes",1,IF(Table1[Registered with GP2]="No",0,IF(Table1[Registered with GP]="Yes",1,IF(Table1[Registered with GP]="No",0))))</f>
        <v>0</v>
      </c>
      <c r="EN427" s="44">
        <f>SUM(Table1[Data Leavers Date]+Table1[Data GP End])</f>
        <v>0</v>
      </c>
      <c r="EO427" s="44" t="str">
        <f>IF(Table1[EET2]="NEET",1,IF(Table1[EET2]="Employment",2,IF(Table1[EET2]="Education",2,IF(Table1[EET2]="Training",2,IF(Table1[EET2]="Retired",3,IF(Table1[EET]="NEET",1,IF(Table1[EET]="Employment",2,IF(Table1[EET]="Education",2,IF(Table1[EET]="Training",2,IF(Table1[EET]="Retired",3,""))))))))))</f>
        <v/>
      </c>
      <c r="EP427" s="44" t="e">
        <f>+Table1[[#This Row],[Data Leavers Date]]+Table1[[#This Row],[Data EET End]]</f>
        <v>#VALUE!</v>
      </c>
      <c r="EQ427" s="44">
        <f>IF(Table1[Exit Form Received]="Yes",1,0)</f>
        <v>0</v>
      </c>
      <c r="ER427" s="44">
        <f>+Table1[[#This Row],[Data Leavers Date]]+Table1[[#This Row],[Data Exit Forms]]</f>
        <v>0</v>
      </c>
      <c r="ES427" s="44" t="str">
        <f>IF(Table1[Data Leavers Date]=1000,SUM(Table1[Leaving Date]-Table1[Start Date]),"")</f>
        <v/>
      </c>
      <c r="ET427" s="44" t="str">
        <f>IF(Table1[Data Leavers Date]=2000,SUM(Table1[Leaving Date]-Table1[Start Date]),"")</f>
        <v/>
      </c>
      <c r="EU427" s="44" t="str">
        <f>IF(Table1[Data Leavers Date]=3000,SUM(Table1[Leaving Date]-Table1[Start Date]),"")</f>
        <v/>
      </c>
      <c r="EV427" s="44" t="str">
        <f>IF(Table1[Data Leavers Date]=4000,SUM(Table1[Leaving Date]-Table1[Start Date]),"")</f>
        <v/>
      </c>
      <c r="EW427" s="44" t="str">
        <f>IF(Table1[Data Leavers Date]=5000,SUM(Table1[Leaving Date]-Table1[Start Date]),"")</f>
        <v/>
      </c>
      <c r="EX427" s="44" t="str">
        <f>IF(Table1[Data Leavers Date]=6000,SUM(Table1[Leaving Date]-Table1[Start Date]),"")</f>
        <v/>
      </c>
      <c r="EY427" s="44" t="str">
        <f>IF(Table1[Data Leavers Date]=7000,SUM(Table1[Leaving Date]-Table1[Start Date]),"")</f>
        <v/>
      </c>
      <c r="EZ427" s="44" t="str">
        <f>IF(Table1[Data Leavers Date]=8000,SUM(Table1[Leaving Date]-Table1[Start Date]),"")</f>
        <v/>
      </c>
      <c r="FA427" s="44" t="str">
        <f>IF(Table1[Date of Initial Assessment]="","",IF(AND(Table1[Start Date]&gt;42094,Table1[Start Date]&lt;42461),Table1[Motivation and Taking Responsibility],""))</f>
        <v/>
      </c>
      <c r="FB427" s="44" t="str">
        <f>IF(Table1[Date of Initial Assessment]="","",IF(AND(Table1[Start Date]&gt;42094,Table1[Start Date]&lt;42461),Table1[Self-Care and Living Skills],""))</f>
        <v/>
      </c>
      <c r="FC427" s="44" t="str">
        <f>IF(Table1[Date of Initial Assessment]="","",IF(AND(Table1[Start Date]&gt;42094,Table1[Start Date]&lt;42461),Table1[Managing Money and Personal Administration],""))</f>
        <v/>
      </c>
      <c r="FD427" s="44" t="str">
        <f>IF(Table1[Date of Initial Assessment]="","",IF(AND(Table1[Start Date]&gt;42094,Table1[Start Date]&lt;42461),Table1[Social Networks and Relationships],""))</f>
        <v/>
      </c>
      <c r="FE427" s="44" t="str">
        <f>IF(Table1[Date of Initial Assessment]="","",IF(AND(Table1[Start Date]&gt;42094,Table1[Start Date]&lt;42461),Table1[Drug and Alcohol Misuse],""))</f>
        <v/>
      </c>
      <c r="FF427" s="44" t="str">
        <f>IF(Table1[Date of Initial Assessment]="","",IF(AND(Table1[Start Date]&gt;42094,Table1[Start Date]&lt;42461),Table1[Physical Health],""))</f>
        <v/>
      </c>
      <c r="FG427" s="44" t="str">
        <f>IF(Table1[Date of Initial Assessment]="","",IF(AND(Table1[Start Date]&gt;42094,Table1[Start Date]&lt;42461),Table1[Emotional and Mental Health],""))</f>
        <v/>
      </c>
      <c r="FH427" s="44" t="str">
        <f>IF(Table1[Date of Initial Assessment]="","",IF(AND(Table1[Start Date]&gt;42094,Table1[Start Date]&lt;42461),Table1[Meaningful Use of Time],""))</f>
        <v/>
      </c>
      <c r="FI427" s="44" t="str">
        <f>IF(Table1[Date of Initial Assessment]="","",IF(AND(Table1[Start Date]&gt;42094,Table1[Start Date]&lt;42461),Table1[Managing Tenancy and Accommodation],""))</f>
        <v/>
      </c>
      <c r="FJ427" s="44" t="str">
        <f>IF(Table1[Date of Initial Assessment]="","",IF(AND(Table1[Start Date]&gt;42094,Table1[Start Date]&lt;42461),Table1[Offending],""))</f>
        <v/>
      </c>
      <c r="FK427" s="44" t="str">
        <f>IF(Table1[Leaving Date]="","",IF(Table1[Date of Initial Assessment]="","",IF(AND(Table1[Leaving Date]&gt;42094,Table1[Leaving Date]&lt;42461),IF(Table1[Date of Last Assessment]="",Table1[Motivation and Taking Responsibility],Table1[Motivation and Taking Responsibility2]),"")))</f>
        <v/>
      </c>
      <c r="FL427" s="44" t="str">
        <f>IF(Table1[Leaving Date]="","",IF(Table1[Date of Initial Assessment]="","",IF(AND(Table1[Leaving Date]&gt;42094,Table1[Leaving Date]&lt;42461),IF(Table1[Date of Last Assessment]="",Table1[Self-Care and Living Skills],Table1[Self-Care and Living Skills2]),"")))</f>
        <v/>
      </c>
      <c r="FM427" s="44" t="str">
        <f>IF(Table1[Leaving Date]="","",IF(Table1[Date of Initial Assessment]="","",IF(AND(Table1[Leaving Date]&gt;42094,Table1[Leaving Date]&lt;42461),IF(Table1[Date of Last Assessment]="",Table1[Managing Money and Personal Administration],Table1[Managing Money and Personal Administration2]),"")))</f>
        <v/>
      </c>
      <c r="FN427" s="44" t="str">
        <f>IF(Table1[Leaving Date]="","",IF(Table1[Date of Initial Assessment]="","",IF(AND(Table1[Leaving Date]&gt;42094,Table1[Leaving Date]&lt;42461),IF(Table1[Date of Last Assessment]="",Table1[Social Networks and Relationships],Table1[Social Networks and Relationships2]),"")))</f>
        <v/>
      </c>
      <c r="FO427" s="44" t="str">
        <f>IF(Table1[Leaving Date]="","",IF(Table1[Date of Initial Assessment]="","",IF(AND(Table1[Leaving Date]&gt;42094,Table1[Leaving Date]&lt;42461),IF(Table1[Date of Last Assessment]="",Table1[Drug and Alcohol Misuse],Table1[Drug and Alcohol Misuse2]),"")))</f>
        <v/>
      </c>
      <c r="FP427" s="44" t="str">
        <f>IF(Table1[Leaving Date]="","",IF(Table1[Date of Initial Assessment]="","",IF(AND(Table1[Leaving Date]&gt;42094,Table1[Leaving Date]&lt;42461),IF(Table1[Date of Last Assessment]="",Table1[Physical Health],Table1[Physical Health2]),"")))</f>
        <v/>
      </c>
      <c r="FQ427" s="44" t="str">
        <f>IF(Table1[Leaving Date]="","",IF(Table1[Date of Initial Assessment]="","",IF(AND(Table1[Leaving Date]&gt;42094,Table1[Leaving Date]&lt;42461),IF(Table1[Date of Last Assessment]="",Table1[Emotional and Mental Health],Table1[Emotional and Mental Health2]),"")))</f>
        <v/>
      </c>
      <c r="FR427" s="44" t="str">
        <f>IF(Table1[Leaving Date]="","",IF(Table1[Date of Initial Assessment]="","",IF(AND(Table1[Leaving Date]&gt;42094,Table1[Leaving Date]&lt;42461),IF(Table1[Date of Last Assessment]="",Table1[Meaningful Use of Time],Table1[Meaningful Use of Time2]),"")))</f>
        <v/>
      </c>
      <c r="FS427" s="44" t="str">
        <f>IF(Table1[Leaving Date]="","",IF(Table1[Date of Initial Assessment]="","",IF(AND(Table1[Leaving Date]&gt;42094,Table1[Leaving Date]&lt;42461),IF(Table1[Date of Last Assessment]="",Table1[Managing Tenancy and Accommodation],Table1[Managing Tenancy and Accommodation2]),"")))</f>
        <v/>
      </c>
      <c r="FT427" s="44" t="str">
        <f>IF(Table1[Leaving Date]="","",IF(Table1[Date of Initial Assessment]="","",IF(AND(Table1[Leaving Date]&gt;42094,Table1[Leaving Date]&lt;42461),IF(Table1[Date of Last Assessment]="",Table1[Offending],Table1[Offending2]),"")))</f>
        <v/>
      </c>
      <c r="FU427" s="44" t="str">
        <f>IF(Table1[Date of Initial Assessment]="","",IF(AND(Table1[Start Date]&gt;42460,Table1[Start Date]&lt;42826),Table1[Motivation and Taking Responsibility],""))</f>
        <v/>
      </c>
      <c r="FV427" s="44" t="str">
        <f>IF(Table1[Date of Initial Assessment]="","",IF(AND(Table1[Start Date]&gt;42460,Table1[Start Date]&lt;42826),Table1[Self-Care and Living Skills],""))</f>
        <v/>
      </c>
      <c r="FW427" s="44" t="str">
        <f>IF(Table1[Date of Initial Assessment]="","",IF(AND(Table1[Start Date]&gt;42460,Table1[Start Date]&lt;42826),Table1[Managing Money and Personal Administration],""))</f>
        <v/>
      </c>
      <c r="FX427" s="44" t="str">
        <f>IF(Table1[Date of Initial Assessment]="","",IF(AND(Table1[Start Date]&gt;42460,Table1[Start Date]&lt;42826),Table1[Social Networks and Relationships],""))</f>
        <v/>
      </c>
      <c r="FY427" s="44" t="str">
        <f>IF(Table1[Date of Initial Assessment]="","",IF(AND(Table1[Start Date]&gt;42460,Table1[Start Date]&lt;42826),Table1[Drug and Alcohol Misuse],""))</f>
        <v/>
      </c>
      <c r="FZ427" s="44" t="str">
        <f>IF(Table1[Date of Initial Assessment]="","",IF(AND(Table1[Start Date]&gt;42460,Table1[Start Date]&lt;42826),Table1[Physical Health],""))</f>
        <v/>
      </c>
      <c r="GA427" s="44" t="str">
        <f>IF(Table1[Date of Initial Assessment]="","",IF(AND(Table1[Start Date]&gt;42460,Table1[Start Date]&lt;42826),Table1[Emotional and Mental Health],""))</f>
        <v/>
      </c>
      <c r="GB427" s="44" t="str">
        <f>IF(Table1[Date of Initial Assessment]="","",IF(AND(Table1[Start Date]&gt;42460,Table1[Start Date]&lt;42826),Table1[Meaningful Use of Time],""))</f>
        <v/>
      </c>
      <c r="GC427" s="44" t="str">
        <f>IF(Table1[Date of Initial Assessment]="","",IF(AND(Table1[Start Date]&gt;42460,Table1[Start Date]&lt;42826),Table1[Managing Tenancy and Accommodation],""))</f>
        <v/>
      </c>
      <c r="GD427" s="44" t="str">
        <f>IF(Table1[Date of Initial Assessment]="","",IF(AND(Table1[Start Date]&gt;42460,Table1[Start Date]&lt;42826),Table1[Offending],""))</f>
        <v/>
      </c>
      <c r="GE427" s="44" t="str">
        <f>IF(Table1[Leaving Date]="","",IF(AND(Table1[Leaving Date]&gt;42460,Table1[Leaving Date]&lt;42826),IF(Table1[Date of Last Assessment]="",Table1[Motivation and Taking Responsibility],Table1[Motivation and Taking Responsibility2]),""))</f>
        <v/>
      </c>
      <c r="GF427" s="44" t="str">
        <f>IF(Table1[Leaving Date]="","",IF(AND(Table1[Leaving Date]&gt;42460,Table1[Leaving Date]&lt;42826),IF(Table1[Date of Last Assessment]="",Table1[Self-Care and Living Skills],Table1[Self-Care and Living Skills2]),""))</f>
        <v/>
      </c>
      <c r="GG427" s="44" t="str">
        <f>IF(Table1[Leaving Date]="","",IF(AND(Table1[Leaving Date]&gt;42460,Table1[Leaving Date]&lt;42826),IF(Table1[Date of Last Assessment]="",Table1[Managing Money and Personal Administration],Table1[Managing Money and Personal Administration2]),""))</f>
        <v/>
      </c>
      <c r="GH427" s="44" t="str">
        <f>IF(Table1[Leaving Date]="","",IF(AND(Table1[Leaving Date]&gt;42460,Table1[Leaving Date]&lt;42826),IF(Table1[Date of Last Assessment]="",Table1[Social Networks and Relationships],Table1[Social Networks and Relationships2]),""))</f>
        <v/>
      </c>
      <c r="GI427" s="44" t="str">
        <f>IF(Table1[Leaving Date]="","",IF(AND(Table1[Leaving Date]&gt;42460,Table1[Leaving Date]&lt;42826),IF(Table1[Date of Last Assessment]="",Table1[Drug and Alcohol Misuse],Table1[Drug and Alcohol Misuse2]),""))</f>
        <v/>
      </c>
      <c r="GJ427" s="44" t="str">
        <f>IF(Table1[Leaving Date]="","",IF(AND(Table1[Leaving Date]&gt;42460,Table1[Leaving Date]&lt;42826),IF(Table1[Date of Last Assessment]="",Table1[Physical Health],Table1[Physical Health2]),""))</f>
        <v/>
      </c>
      <c r="GK427" s="44" t="str">
        <f>IF(Table1[Leaving Date]="","",IF(AND(Table1[Leaving Date]&gt;42460,Table1[Leaving Date]&lt;42826),IF(Table1[Date of Last Assessment]="",Table1[Emotional and Mental Health],Table1[Emotional and Mental Health2]),""))</f>
        <v/>
      </c>
      <c r="GL427" s="44" t="str">
        <f>IF(Table1[Leaving Date]="","",IF(AND(Table1[Leaving Date]&gt;42460,Table1[Leaving Date]&lt;42826),IF(Table1[Date of Last Assessment]="",Table1[Meaningful Use of Time],Table1[Meaningful Use of Time2]),""))</f>
        <v/>
      </c>
      <c r="GM427" s="44" t="str">
        <f>IF(Table1[Leaving Date]="","",IF(AND(Table1[Leaving Date]&gt;42460,Table1[Leaving Date]&lt;42826),IF(Table1[Date of Last Assessment]="",Table1[Managing Tenancy and Accommodation],Table1[Managing Tenancy and Accommodation2]),""))</f>
        <v/>
      </c>
      <c r="GN427" s="44" t="str">
        <f>IF(Table1[Leaving Date]="","",IF(AND(Table1[Leaving Date]&gt;42460,Table1[Leaving Date]&lt;42826),IF(Table1[Date of Last Assessment]="",Table1[Offending],Table1[Offending2]),""))</f>
        <v/>
      </c>
    </row>
    <row r="428" spans="2:196" ht="20.100000000000001" customHeight="1" x14ac:dyDescent="0.2">
      <c r="B428" s="86">
        <f>+'Service Data'!$C$5:$C$5</f>
        <v>0</v>
      </c>
      <c r="C428" s="86"/>
      <c r="D428" s="86"/>
      <c r="E428" s="86"/>
      <c r="F428" s="86"/>
      <c r="G428" s="86"/>
      <c r="H428" s="6"/>
      <c r="I428" s="99" t="str">
        <f ca="1">IF(Table1[[#This Row],[Date of Birth]]="","",SUM(TODAY()-Table1[[#This Row],[Date of Birth]])/365)</f>
        <v/>
      </c>
      <c r="L428" s="86"/>
      <c r="M428" s="77"/>
      <c r="N428" s="86"/>
      <c r="O428" s="86"/>
      <c r="P428" s="91"/>
      <c r="Q428" s="86"/>
      <c r="R428" s="77"/>
      <c r="S428" s="77"/>
      <c r="T428" s="68"/>
      <c r="U428" s="68"/>
      <c r="V428" s="67"/>
      <c r="W428" s="67"/>
      <c r="X428" s="67"/>
      <c r="Y428" s="67"/>
      <c r="Z428" s="67"/>
      <c r="AA428" s="67"/>
      <c r="AB428" s="67"/>
      <c r="AC428" s="67"/>
      <c r="AD428" s="67"/>
      <c r="AE428" s="67"/>
      <c r="AF428" s="67"/>
      <c r="AG428" s="67"/>
      <c r="AH428" s="67"/>
      <c r="AI428" s="67"/>
      <c r="AJ428" s="67"/>
      <c r="AK428" s="67"/>
      <c r="AL428" s="67"/>
      <c r="AM428" s="67"/>
      <c r="AN428" s="77"/>
      <c r="AO428" s="76"/>
      <c r="AP428" s="77"/>
      <c r="AQ428" s="76"/>
      <c r="AR428" s="76"/>
      <c r="AS428" s="76"/>
      <c r="AT428" s="76"/>
      <c r="AU428" s="76"/>
      <c r="AV428" s="77"/>
      <c r="AW428" s="76"/>
      <c r="AX428" s="77"/>
      <c r="AY428" s="76"/>
      <c r="AZ428" s="76"/>
      <c r="BA428" s="76"/>
      <c r="BB428" s="76"/>
      <c r="BC428" s="76"/>
      <c r="BD428" s="77"/>
      <c r="BE428" s="76"/>
      <c r="BF428" s="77"/>
      <c r="BG428" s="76"/>
      <c r="BH428" s="76"/>
      <c r="BI428" s="76"/>
      <c r="BJ428" s="76"/>
      <c r="BK428" s="76"/>
      <c r="BL428" s="77"/>
      <c r="BM428" s="76"/>
      <c r="BN428" s="77"/>
      <c r="BO428" s="76"/>
      <c r="BP428" s="76"/>
      <c r="BQ428" s="76"/>
      <c r="BR428" s="76"/>
      <c r="BS428" s="76"/>
      <c r="BT428" s="77"/>
      <c r="BU428" s="76"/>
      <c r="BV428" s="77"/>
      <c r="BW428" s="76"/>
      <c r="BX428" s="76"/>
      <c r="BY428" s="76"/>
      <c r="BZ428" s="76"/>
      <c r="CA428" s="76"/>
      <c r="CB428" s="77"/>
      <c r="CC428" s="76"/>
      <c r="CD428" s="77"/>
      <c r="CE428" s="76"/>
      <c r="CF428" s="76"/>
      <c r="CG428" s="76"/>
      <c r="CH428" s="76"/>
      <c r="CI428" s="76"/>
      <c r="CJ428" s="77"/>
      <c r="CK428" s="76"/>
      <c r="CL428" s="77"/>
      <c r="CM428" s="76"/>
      <c r="CN428" s="76"/>
      <c r="CO428" s="76"/>
      <c r="CP428" s="76"/>
      <c r="CQ428" s="76"/>
      <c r="CR428" s="78" t="str">
        <f t="shared" si="111"/>
        <v/>
      </c>
      <c r="CS428" s="79" t="str">
        <f t="shared" si="112"/>
        <v/>
      </c>
      <c r="CT428" s="79" t="str">
        <f t="shared" si="113"/>
        <v/>
      </c>
      <c r="CU428" s="79" t="str">
        <f t="shared" si="114"/>
        <v/>
      </c>
      <c r="CV428" s="79" t="str">
        <f t="shared" si="115"/>
        <v/>
      </c>
      <c r="CW428" s="79" t="str">
        <f t="shared" si="116"/>
        <v/>
      </c>
      <c r="CX428" s="79" t="str">
        <f t="shared" si="117"/>
        <v/>
      </c>
      <c r="CY428" s="79" t="str">
        <f t="shared" si="118"/>
        <v/>
      </c>
      <c r="CZ428" s="79" t="str">
        <f t="shared" si="119"/>
        <v/>
      </c>
      <c r="DA428" s="79" t="str">
        <f t="shared" si="120"/>
        <v/>
      </c>
      <c r="DB428" s="79" t="str">
        <f t="shared" si="121"/>
        <v/>
      </c>
      <c r="DC428" s="79" t="str">
        <f t="shared" si="122"/>
        <v/>
      </c>
      <c r="DD428" s="79" t="str">
        <f t="shared" si="123"/>
        <v/>
      </c>
      <c r="DE428" s="79" t="str">
        <f t="shared" si="124"/>
        <v/>
      </c>
      <c r="DF428" s="79" t="str">
        <f t="shared" si="125"/>
        <v/>
      </c>
      <c r="DG428" s="79" t="str">
        <f t="shared" si="126"/>
        <v/>
      </c>
      <c r="DH428" s="76"/>
      <c r="DI428" s="78"/>
      <c r="DJ428" s="76"/>
      <c r="DK428" s="77"/>
      <c r="DL428" s="77"/>
      <c r="DM428" s="77"/>
      <c r="DN428" s="80"/>
      <c r="DO428" s="80"/>
      <c r="DP428" s="92" t="str">
        <f>IF(Table1[Start Date]="","",IF(Table1[Start Date]&gt;42185,"",IF(AND(Table1[Leaving Date]&gt;1,Table1[Leaving Date]&lt;42095),"",1)))</f>
        <v/>
      </c>
      <c r="DQ428" s="92" t="str">
        <f>IF(Table1[Start Date]="","",IF(Table1[Start Date]&gt;42277,"",IF(AND(Table1[Leaving Date]&gt;1,Table1[Leaving Date]&lt;42186),"",1)))</f>
        <v/>
      </c>
      <c r="DR428" s="92" t="str">
        <f>IF(Table1[Start Date]="","",IF(Table1[Start Date]&gt;42369,"",IF(AND(Table1[Leaving Date]&gt;1,Table1[Leaving Date]&lt;42278),"",1)))</f>
        <v/>
      </c>
      <c r="DS428" s="92" t="str">
        <f>IF(Table1[Start Date]="","",IF(Table1[Start Date]&gt;42460,"",IF(AND(Table1[Leaving Date]&gt;1,Table1[Leaving Date]&lt;42370),"",1)))</f>
        <v/>
      </c>
      <c r="DT428" s="92" t="str">
        <f>IF(Table1[Start Date]="","",IF(Table1[Start Date]&gt;42551,"",IF(AND(Table1[Leaving Date]&gt;1,Table1[Leaving Date]&lt;42461),"",1)))</f>
        <v/>
      </c>
      <c r="DU428" s="92" t="str">
        <f>IF(Table1[Start Date]="","",IF(Table1[Start Date]&gt;42643,"",IF(AND(Table1[Leaving Date]&gt;1,Table1[Leaving Date]&lt;42552),"",1)))</f>
        <v/>
      </c>
      <c r="DV428" s="92" t="str">
        <f>IF(Table1[Start Date]="","",IF(Table1[Start Date]&gt;42735,"",IF(AND(Table1[Leaving Date]&gt;1,Table1[Leaving Date]&lt;42644),"",1)))</f>
        <v/>
      </c>
      <c r="DW428" s="92" t="str">
        <f>IF(Table1[Start Date]="","",IF(Table1[Start Date]&gt;42825,"",IF(AND(Table1[Leaving Date]&gt;1,Table1[Leaving Date]&lt;42736),"",1)))</f>
        <v/>
      </c>
      <c r="DX428"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428" s="44" t="e">
        <f>VLOOKUP(Table1[Referral Source],Lists!$G$2:$H$20,2,FALSE)</f>
        <v>#N/A</v>
      </c>
      <c r="DZ428" s="93" t="e">
        <f>SUM(Table1[Data Referral Quarter]+Table1[Data Referral Source])</f>
        <v>#N/A</v>
      </c>
      <c r="EA428" s="44" t="b">
        <f>IF(Table1[Referral Decision]="Accepted",100,IF(Table1[Referral Decision]="Rejected by Provider",200,IF(Table1[Referral Decision]="Rejected by Applicant",300)))</f>
        <v>0</v>
      </c>
      <c r="EB428" s="44">
        <f>SUM(Table1[Data Referral Quarter]+Table1[Data Referral Decision])</f>
        <v>0</v>
      </c>
      <c r="EC428" s="44" t="b">
        <f>IF(Table1[Start Date]&gt;42735,8000,IF(Table1[Start Date]&gt;42643,7000,IF(Table1[Start Date]&gt;42551,6000,IF(Table1[Start Date]&gt;42460,5000,IF(Table1[Start Date]&gt;42369,4000,IF(Table1[Start Date]&gt;42277,3000,IF(Table1[Start Date]&gt;42185,2000,IF(Table1[Start Date]&gt;42094,1000))))))))</f>
        <v>0</v>
      </c>
      <c r="ED428" s="44" t="str">
        <f>IF(Table1[Start Date]="","",IF(Table1[Current Local Authority]="Swindon",1,"2"))</f>
        <v/>
      </c>
      <c r="EE428" s="44" t="e">
        <f>SUM(Table1[Data Start Date]+Table1[Data Local Authority])</f>
        <v>#VALUE!</v>
      </c>
      <c r="EF428" s="44">
        <f>IF(Table1[Registered with GP]="Yes",1,0)</f>
        <v>0</v>
      </c>
      <c r="EG428" s="44">
        <f>SUM(Table1[Data Start Date]+Table1[Data GP Start])</f>
        <v>0</v>
      </c>
      <c r="EH428" s="44" t="str">
        <f>IF(Table1[EET]="NEET",1,IF(Table1[EET]="Education",2,IF(Table1[EET]="Employment",2,IF(Table1[EET]="Training",2,IF(Table1[EET]="Retired",3,"")))))</f>
        <v/>
      </c>
      <c r="EI428" s="44" t="e">
        <f>Table1[Data Start Date]+Table1[Data EET Start]</f>
        <v>#VALUE!</v>
      </c>
      <c r="EJ428" s="44" t="b">
        <f>IF(Table1[Leaving Date]&gt;42735,8000,IF(Table1[Leaving Date]&gt;42643,7000,IF(Table1[Leaving Date]&gt;42551,6000,IF(Table1[Leaving Date]&gt;42460,5000,IF(Table1[Leaving Date]&gt;42369,4000,IF(Table1[Leaving Date]&gt;42277,3000,IF(Table1[Leaving Date]&gt;42185,2000,IF(Table1[Leaving Date]&gt;42094,1000))))))))</f>
        <v>0</v>
      </c>
      <c r="EK428" s="44" t="e">
        <f>VLOOKUP(Table1[Reason for Leaving],Lists!$T$2:$U$15,2,FALSE)</f>
        <v>#N/A</v>
      </c>
      <c r="EL428" s="44" t="e">
        <f>SUM(Table1[Data Leavers Date]+Table1[Data Move On])</f>
        <v>#N/A</v>
      </c>
      <c r="EM428" s="44" t="b">
        <f>IF(Table1[Registered with GP2]="Yes",1,IF(Table1[Registered with GP2]="No",0,IF(Table1[Registered with GP]="Yes",1,IF(Table1[Registered with GP]="No",0))))</f>
        <v>0</v>
      </c>
      <c r="EN428" s="44">
        <f>SUM(Table1[Data Leavers Date]+Table1[Data GP End])</f>
        <v>0</v>
      </c>
      <c r="EO428" s="44" t="str">
        <f>IF(Table1[EET2]="NEET",1,IF(Table1[EET2]="Employment",2,IF(Table1[EET2]="Education",2,IF(Table1[EET2]="Training",2,IF(Table1[EET2]="Retired",3,IF(Table1[EET]="NEET",1,IF(Table1[EET]="Employment",2,IF(Table1[EET]="Education",2,IF(Table1[EET]="Training",2,IF(Table1[EET]="Retired",3,""))))))))))</f>
        <v/>
      </c>
      <c r="EP428" s="44" t="e">
        <f>+Table1[[#This Row],[Data Leavers Date]]+Table1[[#This Row],[Data EET End]]</f>
        <v>#VALUE!</v>
      </c>
      <c r="EQ428" s="44">
        <f>IF(Table1[Exit Form Received]="Yes",1,0)</f>
        <v>0</v>
      </c>
      <c r="ER428" s="44">
        <f>+Table1[[#This Row],[Data Leavers Date]]+Table1[[#This Row],[Data Exit Forms]]</f>
        <v>0</v>
      </c>
      <c r="ES428" s="44" t="str">
        <f>IF(Table1[Data Leavers Date]=1000,SUM(Table1[Leaving Date]-Table1[Start Date]),"")</f>
        <v/>
      </c>
      <c r="ET428" s="44" t="str">
        <f>IF(Table1[Data Leavers Date]=2000,SUM(Table1[Leaving Date]-Table1[Start Date]),"")</f>
        <v/>
      </c>
      <c r="EU428" s="44" t="str">
        <f>IF(Table1[Data Leavers Date]=3000,SUM(Table1[Leaving Date]-Table1[Start Date]),"")</f>
        <v/>
      </c>
      <c r="EV428" s="44" t="str">
        <f>IF(Table1[Data Leavers Date]=4000,SUM(Table1[Leaving Date]-Table1[Start Date]),"")</f>
        <v/>
      </c>
      <c r="EW428" s="44" t="str">
        <f>IF(Table1[Data Leavers Date]=5000,SUM(Table1[Leaving Date]-Table1[Start Date]),"")</f>
        <v/>
      </c>
      <c r="EX428" s="44" t="str">
        <f>IF(Table1[Data Leavers Date]=6000,SUM(Table1[Leaving Date]-Table1[Start Date]),"")</f>
        <v/>
      </c>
      <c r="EY428" s="44" t="str">
        <f>IF(Table1[Data Leavers Date]=7000,SUM(Table1[Leaving Date]-Table1[Start Date]),"")</f>
        <v/>
      </c>
      <c r="EZ428" s="44" t="str">
        <f>IF(Table1[Data Leavers Date]=8000,SUM(Table1[Leaving Date]-Table1[Start Date]),"")</f>
        <v/>
      </c>
      <c r="FA428" s="44" t="str">
        <f>IF(Table1[Date of Initial Assessment]="","",IF(AND(Table1[Start Date]&gt;42094,Table1[Start Date]&lt;42461),Table1[Motivation and Taking Responsibility],""))</f>
        <v/>
      </c>
      <c r="FB428" s="44" t="str">
        <f>IF(Table1[Date of Initial Assessment]="","",IF(AND(Table1[Start Date]&gt;42094,Table1[Start Date]&lt;42461),Table1[Self-Care and Living Skills],""))</f>
        <v/>
      </c>
      <c r="FC428" s="44" t="str">
        <f>IF(Table1[Date of Initial Assessment]="","",IF(AND(Table1[Start Date]&gt;42094,Table1[Start Date]&lt;42461),Table1[Managing Money and Personal Administration],""))</f>
        <v/>
      </c>
      <c r="FD428" s="44" t="str">
        <f>IF(Table1[Date of Initial Assessment]="","",IF(AND(Table1[Start Date]&gt;42094,Table1[Start Date]&lt;42461),Table1[Social Networks and Relationships],""))</f>
        <v/>
      </c>
      <c r="FE428" s="44" t="str">
        <f>IF(Table1[Date of Initial Assessment]="","",IF(AND(Table1[Start Date]&gt;42094,Table1[Start Date]&lt;42461),Table1[Drug and Alcohol Misuse],""))</f>
        <v/>
      </c>
      <c r="FF428" s="44" t="str">
        <f>IF(Table1[Date of Initial Assessment]="","",IF(AND(Table1[Start Date]&gt;42094,Table1[Start Date]&lt;42461),Table1[Physical Health],""))</f>
        <v/>
      </c>
      <c r="FG428" s="44" t="str">
        <f>IF(Table1[Date of Initial Assessment]="","",IF(AND(Table1[Start Date]&gt;42094,Table1[Start Date]&lt;42461),Table1[Emotional and Mental Health],""))</f>
        <v/>
      </c>
      <c r="FH428" s="44" t="str">
        <f>IF(Table1[Date of Initial Assessment]="","",IF(AND(Table1[Start Date]&gt;42094,Table1[Start Date]&lt;42461),Table1[Meaningful Use of Time],""))</f>
        <v/>
      </c>
      <c r="FI428" s="44" t="str">
        <f>IF(Table1[Date of Initial Assessment]="","",IF(AND(Table1[Start Date]&gt;42094,Table1[Start Date]&lt;42461),Table1[Managing Tenancy and Accommodation],""))</f>
        <v/>
      </c>
      <c r="FJ428" s="44" t="str">
        <f>IF(Table1[Date of Initial Assessment]="","",IF(AND(Table1[Start Date]&gt;42094,Table1[Start Date]&lt;42461),Table1[Offending],""))</f>
        <v/>
      </c>
      <c r="FK428" s="44" t="str">
        <f>IF(Table1[Leaving Date]="","",IF(Table1[Date of Initial Assessment]="","",IF(AND(Table1[Leaving Date]&gt;42094,Table1[Leaving Date]&lt;42461),IF(Table1[Date of Last Assessment]="",Table1[Motivation and Taking Responsibility],Table1[Motivation and Taking Responsibility2]),"")))</f>
        <v/>
      </c>
      <c r="FL428" s="44" t="str">
        <f>IF(Table1[Leaving Date]="","",IF(Table1[Date of Initial Assessment]="","",IF(AND(Table1[Leaving Date]&gt;42094,Table1[Leaving Date]&lt;42461),IF(Table1[Date of Last Assessment]="",Table1[Self-Care and Living Skills],Table1[Self-Care and Living Skills2]),"")))</f>
        <v/>
      </c>
      <c r="FM428" s="44" t="str">
        <f>IF(Table1[Leaving Date]="","",IF(Table1[Date of Initial Assessment]="","",IF(AND(Table1[Leaving Date]&gt;42094,Table1[Leaving Date]&lt;42461),IF(Table1[Date of Last Assessment]="",Table1[Managing Money and Personal Administration],Table1[Managing Money and Personal Administration2]),"")))</f>
        <v/>
      </c>
      <c r="FN428" s="44" t="str">
        <f>IF(Table1[Leaving Date]="","",IF(Table1[Date of Initial Assessment]="","",IF(AND(Table1[Leaving Date]&gt;42094,Table1[Leaving Date]&lt;42461),IF(Table1[Date of Last Assessment]="",Table1[Social Networks and Relationships],Table1[Social Networks and Relationships2]),"")))</f>
        <v/>
      </c>
      <c r="FO428" s="44" t="str">
        <f>IF(Table1[Leaving Date]="","",IF(Table1[Date of Initial Assessment]="","",IF(AND(Table1[Leaving Date]&gt;42094,Table1[Leaving Date]&lt;42461),IF(Table1[Date of Last Assessment]="",Table1[Drug and Alcohol Misuse],Table1[Drug and Alcohol Misuse2]),"")))</f>
        <v/>
      </c>
      <c r="FP428" s="44" t="str">
        <f>IF(Table1[Leaving Date]="","",IF(Table1[Date of Initial Assessment]="","",IF(AND(Table1[Leaving Date]&gt;42094,Table1[Leaving Date]&lt;42461),IF(Table1[Date of Last Assessment]="",Table1[Physical Health],Table1[Physical Health2]),"")))</f>
        <v/>
      </c>
      <c r="FQ428" s="44" t="str">
        <f>IF(Table1[Leaving Date]="","",IF(Table1[Date of Initial Assessment]="","",IF(AND(Table1[Leaving Date]&gt;42094,Table1[Leaving Date]&lt;42461),IF(Table1[Date of Last Assessment]="",Table1[Emotional and Mental Health],Table1[Emotional and Mental Health2]),"")))</f>
        <v/>
      </c>
      <c r="FR428" s="44" t="str">
        <f>IF(Table1[Leaving Date]="","",IF(Table1[Date of Initial Assessment]="","",IF(AND(Table1[Leaving Date]&gt;42094,Table1[Leaving Date]&lt;42461),IF(Table1[Date of Last Assessment]="",Table1[Meaningful Use of Time],Table1[Meaningful Use of Time2]),"")))</f>
        <v/>
      </c>
      <c r="FS428" s="44" t="str">
        <f>IF(Table1[Leaving Date]="","",IF(Table1[Date of Initial Assessment]="","",IF(AND(Table1[Leaving Date]&gt;42094,Table1[Leaving Date]&lt;42461),IF(Table1[Date of Last Assessment]="",Table1[Managing Tenancy and Accommodation],Table1[Managing Tenancy and Accommodation2]),"")))</f>
        <v/>
      </c>
      <c r="FT428" s="44" t="str">
        <f>IF(Table1[Leaving Date]="","",IF(Table1[Date of Initial Assessment]="","",IF(AND(Table1[Leaving Date]&gt;42094,Table1[Leaving Date]&lt;42461),IF(Table1[Date of Last Assessment]="",Table1[Offending],Table1[Offending2]),"")))</f>
        <v/>
      </c>
      <c r="FU428" s="44" t="str">
        <f>IF(Table1[Date of Initial Assessment]="","",IF(AND(Table1[Start Date]&gt;42460,Table1[Start Date]&lt;42826),Table1[Motivation and Taking Responsibility],""))</f>
        <v/>
      </c>
      <c r="FV428" s="44" t="str">
        <f>IF(Table1[Date of Initial Assessment]="","",IF(AND(Table1[Start Date]&gt;42460,Table1[Start Date]&lt;42826),Table1[Self-Care and Living Skills],""))</f>
        <v/>
      </c>
      <c r="FW428" s="44" t="str">
        <f>IF(Table1[Date of Initial Assessment]="","",IF(AND(Table1[Start Date]&gt;42460,Table1[Start Date]&lt;42826),Table1[Managing Money and Personal Administration],""))</f>
        <v/>
      </c>
      <c r="FX428" s="44" t="str">
        <f>IF(Table1[Date of Initial Assessment]="","",IF(AND(Table1[Start Date]&gt;42460,Table1[Start Date]&lt;42826),Table1[Social Networks and Relationships],""))</f>
        <v/>
      </c>
      <c r="FY428" s="44" t="str">
        <f>IF(Table1[Date of Initial Assessment]="","",IF(AND(Table1[Start Date]&gt;42460,Table1[Start Date]&lt;42826),Table1[Drug and Alcohol Misuse],""))</f>
        <v/>
      </c>
      <c r="FZ428" s="44" t="str">
        <f>IF(Table1[Date of Initial Assessment]="","",IF(AND(Table1[Start Date]&gt;42460,Table1[Start Date]&lt;42826),Table1[Physical Health],""))</f>
        <v/>
      </c>
      <c r="GA428" s="44" t="str">
        <f>IF(Table1[Date of Initial Assessment]="","",IF(AND(Table1[Start Date]&gt;42460,Table1[Start Date]&lt;42826),Table1[Emotional and Mental Health],""))</f>
        <v/>
      </c>
      <c r="GB428" s="44" t="str">
        <f>IF(Table1[Date of Initial Assessment]="","",IF(AND(Table1[Start Date]&gt;42460,Table1[Start Date]&lt;42826),Table1[Meaningful Use of Time],""))</f>
        <v/>
      </c>
      <c r="GC428" s="44" t="str">
        <f>IF(Table1[Date of Initial Assessment]="","",IF(AND(Table1[Start Date]&gt;42460,Table1[Start Date]&lt;42826),Table1[Managing Tenancy and Accommodation],""))</f>
        <v/>
      </c>
      <c r="GD428" s="44" t="str">
        <f>IF(Table1[Date of Initial Assessment]="","",IF(AND(Table1[Start Date]&gt;42460,Table1[Start Date]&lt;42826),Table1[Offending],""))</f>
        <v/>
      </c>
      <c r="GE428" s="44" t="str">
        <f>IF(Table1[Leaving Date]="","",IF(AND(Table1[Leaving Date]&gt;42460,Table1[Leaving Date]&lt;42826),IF(Table1[Date of Last Assessment]="",Table1[Motivation and Taking Responsibility],Table1[Motivation and Taking Responsibility2]),""))</f>
        <v/>
      </c>
      <c r="GF428" s="44" t="str">
        <f>IF(Table1[Leaving Date]="","",IF(AND(Table1[Leaving Date]&gt;42460,Table1[Leaving Date]&lt;42826),IF(Table1[Date of Last Assessment]="",Table1[Self-Care and Living Skills],Table1[Self-Care and Living Skills2]),""))</f>
        <v/>
      </c>
      <c r="GG428" s="44" t="str">
        <f>IF(Table1[Leaving Date]="","",IF(AND(Table1[Leaving Date]&gt;42460,Table1[Leaving Date]&lt;42826),IF(Table1[Date of Last Assessment]="",Table1[Managing Money and Personal Administration],Table1[Managing Money and Personal Administration2]),""))</f>
        <v/>
      </c>
      <c r="GH428" s="44" t="str">
        <f>IF(Table1[Leaving Date]="","",IF(AND(Table1[Leaving Date]&gt;42460,Table1[Leaving Date]&lt;42826),IF(Table1[Date of Last Assessment]="",Table1[Social Networks and Relationships],Table1[Social Networks and Relationships2]),""))</f>
        <v/>
      </c>
      <c r="GI428" s="44" t="str">
        <f>IF(Table1[Leaving Date]="","",IF(AND(Table1[Leaving Date]&gt;42460,Table1[Leaving Date]&lt;42826),IF(Table1[Date of Last Assessment]="",Table1[Drug and Alcohol Misuse],Table1[Drug and Alcohol Misuse2]),""))</f>
        <v/>
      </c>
      <c r="GJ428" s="44" t="str">
        <f>IF(Table1[Leaving Date]="","",IF(AND(Table1[Leaving Date]&gt;42460,Table1[Leaving Date]&lt;42826),IF(Table1[Date of Last Assessment]="",Table1[Physical Health],Table1[Physical Health2]),""))</f>
        <v/>
      </c>
      <c r="GK428" s="44" t="str">
        <f>IF(Table1[Leaving Date]="","",IF(AND(Table1[Leaving Date]&gt;42460,Table1[Leaving Date]&lt;42826),IF(Table1[Date of Last Assessment]="",Table1[Emotional and Mental Health],Table1[Emotional and Mental Health2]),""))</f>
        <v/>
      </c>
      <c r="GL428" s="44" t="str">
        <f>IF(Table1[Leaving Date]="","",IF(AND(Table1[Leaving Date]&gt;42460,Table1[Leaving Date]&lt;42826),IF(Table1[Date of Last Assessment]="",Table1[Meaningful Use of Time],Table1[Meaningful Use of Time2]),""))</f>
        <v/>
      </c>
      <c r="GM428" s="44" t="str">
        <f>IF(Table1[Leaving Date]="","",IF(AND(Table1[Leaving Date]&gt;42460,Table1[Leaving Date]&lt;42826),IF(Table1[Date of Last Assessment]="",Table1[Managing Tenancy and Accommodation],Table1[Managing Tenancy and Accommodation2]),""))</f>
        <v/>
      </c>
      <c r="GN428" s="44" t="str">
        <f>IF(Table1[Leaving Date]="","",IF(AND(Table1[Leaving Date]&gt;42460,Table1[Leaving Date]&lt;42826),IF(Table1[Date of Last Assessment]="",Table1[Offending],Table1[Offending2]),""))</f>
        <v/>
      </c>
    </row>
    <row r="429" spans="2:196" ht="20.100000000000001" customHeight="1" x14ac:dyDescent="0.2">
      <c r="B429" s="86">
        <f>+'Service Data'!$C$5:$C$5</f>
        <v>0</v>
      </c>
      <c r="C429" s="86"/>
      <c r="D429" s="86"/>
      <c r="E429" s="86"/>
      <c r="F429" s="86"/>
      <c r="G429" s="86"/>
      <c r="H429" s="6"/>
      <c r="I429" s="99" t="str">
        <f ca="1">IF(Table1[[#This Row],[Date of Birth]]="","",SUM(TODAY()-Table1[[#This Row],[Date of Birth]])/365)</f>
        <v/>
      </c>
      <c r="L429" s="86"/>
      <c r="M429" s="77"/>
      <c r="N429" s="86"/>
      <c r="O429" s="86"/>
      <c r="P429" s="91"/>
      <c r="Q429" s="86"/>
      <c r="R429" s="77"/>
      <c r="S429" s="77"/>
      <c r="T429" s="68"/>
      <c r="U429" s="68"/>
      <c r="V429" s="67"/>
      <c r="W429" s="67"/>
      <c r="X429" s="67"/>
      <c r="Y429" s="67"/>
      <c r="Z429" s="67"/>
      <c r="AA429" s="67"/>
      <c r="AB429" s="67"/>
      <c r="AC429" s="67"/>
      <c r="AD429" s="67"/>
      <c r="AE429" s="67"/>
      <c r="AF429" s="67"/>
      <c r="AG429" s="67"/>
      <c r="AH429" s="67"/>
      <c r="AI429" s="67"/>
      <c r="AJ429" s="67"/>
      <c r="AK429" s="67"/>
      <c r="AL429" s="67"/>
      <c r="AM429" s="67"/>
      <c r="AN429" s="77"/>
      <c r="AO429" s="76"/>
      <c r="AP429" s="77"/>
      <c r="AQ429" s="76"/>
      <c r="AR429" s="76"/>
      <c r="AS429" s="76"/>
      <c r="AT429" s="76"/>
      <c r="AU429" s="76"/>
      <c r="AV429" s="77"/>
      <c r="AW429" s="76"/>
      <c r="AX429" s="77"/>
      <c r="AY429" s="76"/>
      <c r="AZ429" s="76"/>
      <c r="BA429" s="76"/>
      <c r="BB429" s="76"/>
      <c r="BC429" s="76"/>
      <c r="BD429" s="77"/>
      <c r="BE429" s="76"/>
      <c r="BF429" s="77"/>
      <c r="BG429" s="76"/>
      <c r="BH429" s="76"/>
      <c r="BI429" s="76"/>
      <c r="BJ429" s="76"/>
      <c r="BK429" s="76"/>
      <c r="BL429" s="77"/>
      <c r="BM429" s="76"/>
      <c r="BN429" s="77"/>
      <c r="BO429" s="76"/>
      <c r="BP429" s="76"/>
      <c r="BQ429" s="76"/>
      <c r="BR429" s="76"/>
      <c r="BS429" s="76"/>
      <c r="BT429" s="77"/>
      <c r="BU429" s="76"/>
      <c r="BV429" s="77"/>
      <c r="BW429" s="76"/>
      <c r="BX429" s="76"/>
      <c r="BY429" s="76"/>
      <c r="BZ429" s="76"/>
      <c r="CA429" s="76"/>
      <c r="CB429" s="77"/>
      <c r="CC429" s="76"/>
      <c r="CD429" s="77"/>
      <c r="CE429" s="76"/>
      <c r="CF429" s="76"/>
      <c r="CG429" s="76"/>
      <c r="CH429" s="76"/>
      <c r="CI429" s="76"/>
      <c r="CJ429" s="77"/>
      <c r="CK429" s="76"/>
      <c r="CL429" s="77"/>
      <c r="CM429" s="76"/>
      <c r="CN429" s="76"/>
      <c r="CO429" s="76"/>
      <c r="CP429" s="76"/>
      <c r="CQ429" s="76"/>
      <c r="CR429" s="78" t="str">
        <f t="shared" si="111"/>
        <v/>
      </c>
      <c r="CS429" s="79" t="str">
        <f t="shared" si="112"/>
        <v/>
      </c>
      <c r="CT429" s="79" t="str">
        <f t="shared" si="113"/>
        <v/>
      </c>
      <c r="CU429" s="79" t="str">
        <f t="shared" si="114"/>
        <v/>
      </c>
      <c r="CV429" s="79" t="str">
        <f t="shared" si="115"/>
        <v/>
      </c>
      <c r="CW429" s="79" t="str">
        <f t="shared" si="116"/>
        <v/>
      </c>
      <c r="CX429" s="79" t="str">
        <f t="shared" si="117"/>
        <v/>
      </c>
      <c r="CY429" s="79" t="str">
        <f t="shared" si="118"/>
        <v/>
      </c>
      <c r="CZ429" s="79" t="str">
        <f t="shared" si="119"/>
        <v/>
      </c>
      <c r="DA429" s="79" t="str">
        <f t="shared" si="120"/>
        <v/>
      </c>
      <c r="DB429" s="79" t="str">
        <f t="shared" si="121"/>
        <v/>
      </c>
      <c r="DC429" s="79" t="str">
        <f t="shared" si="122"/>
        <v/>
      </c>
      <c r="DD429" s="79" t="str">
        <f t="shared" si="123"/>
        <v/>
      </c>
      <c r="DE429" s="79" t="str">
        <f t="shared" si="124"/>
        <v/>
      </c>
      <c r="DF429" s="79" t="str">
        <f t="shared" si="125"/>
        <v/>
      </c>
      <c r="DG429" s="79" t="str">
        <f t="shared" si="126"/>
        <v/>
      </c>
      <c r="DH429" s="76"/>
      <c r="DI429" s="78"/>
      <c r="DJ429" s="76"/>
      <c r="DK429" s="77"/>
      <c r="DL429" s="77"/>
      <c r="DM429" s="77"/>
      <c r="DN429" s="80"/>
      <c r="DO429" s="80"/>
      <c r="DP429" s="92" t="str">
        <f>IF(Table1[Start Date]="","",IF(Table1[Start Date]&gt;42185,"",IF(AND(Table1[Leaving Date]&gt;1,Table1[Leaving Date]&lt;42095),"",1)))</f>
        <v/>
      </c>
      <c r="DQ429" s="92" t="str">
        <f>IF(Table1[Start Date]="","",IF(Table1[Start Date]&gt;42277,"",IF(AND(Table1[Leaving Date]&gt;1,Table1[Leaving Date]&lt;42186),"",1)))</f>
        <v/>
      </c>
      <c r="DR429" s="92" t="str">
        <f>IF(Table1[Start Date]="","",IF(Table1[Start Date]&gt;42369,"",IF(AND(Table1[Leaving Date]&gt;1,Table1[Leaving Date]&lt;42278),"",1)))</f>
        <v/>
      </c>
      <c r="DS429" s="92" t="str">
        <f>IF(Table1[Start Date]="","",IF(Table1[Start Date]&gt;42460,"",IF(AND(Table1[Leaving Date]&gt;1,Table1[Leaving Date]&lt;42370),"",1)))</f>
        <v/>
      </c>
      <c r="DT429" s="92" t="str">
        <f>IF(Table1[Start Date]="","",IF(Table1[Start Date]&gt;42551,"",IF(AND(Table1[Leaving Date]&gt;1,Table1[Leaving Date]&lt;42461),"",1)))</f>
        <v/>
      </c>
      <c r="DU429" s="92" t="str">
        <f>IF(Table1[Start Date]="","",IF(Table1[Start Date]&gt;42643,"",IF(AND(Table1[Leaving Date]&gt;1,Table1[Leaving Date]&lt;42552),"",1)))</f>
        <v/>
      </c>
      <c r="DV429" s="92" t="str">
        <f>IF(Table1[Start Date]="","",IF(Table1[Start Date]&gt;42735,"",IF(AND(Table1[Leaving Date]&gt;1,Table1[Leaving Date]&lt;42644),"",1)))</f>
        <v/>
      </c>
      <c r="DW429" s="92" t="str">
        <f>IF(Table1[Start Date]="","",IF(Table1[Start Date]&gt;42825,"",IF(AND(Table1[Leaving Date]&gt;1,Table1[Leaving Date]&lt;42736),"",1)))</f>
        <v/>
      </c>
      <c r="DX429"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429" s="44" t="e">
        <f>VLOOKUP(Table1[Referral Source],Lists!$G$2:$H$20,2,FALSE)</f>
        <v>#N/A</v>
      </c>
      <c r="DZ429" s="93" t="e">
        <f>SUM(Table1[Data Referral Quarter]+Table1[Data Referral Source])</f>
        <v>#N/A</v>
      </c>
      <c r="EA429" s="44" t="b">
        <f>IF(Table1[Referral Decision]="Accepted",100,IF(Table1[Referral Decision]="Rejected by Provider",200,IF(Table1[Referral Decision]="Rejected by Applicant",300)))</f>
        <v>0</v>
      </c>
      <c r="EB429" s="44">
        <f>SUM(Table1[Data Referral Quarter]+Table1[Data Referral Decision])</f>
        <v>0</v>
      </c>
      <c r="EC429" s="44" t="b">
        <f>IF(Table1[Start Date]&gt;42735,8000,IF(Table1[Start Date]&gt;42643,7000,IF(Table1[Start Date]&gt;42551,6000,IF(Table1[Start Date]&gt;42460,5000,IF(Table1[Start Date]&gt;42369,4000,IF(Table1[Start Date]&gt;42277,3000,IF(Table1[Start Date]&gt;42185,2000,IF(Table1[Start Date]&gt;42094,1000))))))))</f>
        <v>0</v>
      </c>
      <c r="ED429" s="44" t="str">
        <f>IF(Table1[Start Date]="","",IF(Table1[Current Local Authority]="Swindon",1,"2"))</f>
        <v/>
      </c>
      <c r="EE429" s="44" t="e">
        <f>SUM(Table1[Data Start Date]+Table1[Data Local Authority])</f>
        <v>#VALUE!</v>
      </c>
      <c r="EF429" s="44">
        <f>IF(Table1[Registered with GP]="Yes",1,0)</f>
        <v>0</v>
      </c>
      <c r="EG429" s="44">
        <f>SUM(Table1[Data Start Date]+Table1[Data GP Start])</f>
        <v>0</v>
      </c>
      <c r="EH429" s="44" t="str">
        <f>IF(Table1[EET]="NEET",1,IF(Table1[EET]="Education",2,IF(Table1[EET]="Employment",2,IF(Table1[EET]="Training",2,IF(Table1[EET]="Retired",3,"")))))</f>
        <v/>
      </c>
      <c r="EI429" s="44" t="e">
        <f>Table1[Data Start Date]+Table1[Data EET Start]</f>
        <v>#VALUE!</v>
      </c>
      <c r="EJ429" s="44" t="b">
        <f>IF(Table1[Leaving Date]&gt;42735,8000,IF(Table1[Leaving Date]&gt;42643,7000,IF(Table1[Leaving Date]&gt;42551,6000,IF(Table1[Leaving Date]&gt;42460,5000,IF(Table1[Leaving Date]&gt;42369,4000,IF(Table1[Leaving Date]&gt;42277,3000,IF(Table1[Leaving Date]&gt;42185,2000,IF(Table1[Leaving Date]&gt;42094,1000))))))))</f>
        <v>0</v>
      </c>
      <c r="EK429" s="44" t="e">
        <f>VLOOKUP(Table1[Reason for Leaving],Lists!$T$2:$U$15,2,FALSE)</f>
        <v>#N/A</v>
      </c>
      <c r="EL429" s="44" t="e">
        <f>SUM(Table1[Data Leavers Date]+Table1[Data Move On])</f>
        <v>#N/A</v>
      </c>
      <c r="EM429" s="44" t="b">
        <f>IF(Table1[Registered with GP2]="Yes",1,IF(Table1[Registered with GP2]="No",0,IF(Table1[Registered with GP]="Yes",1,IF(Table1[Registered with GP]="No",0))))</f>
        <v>0</v>
      </c>
      <c r="EN429" s="44">
        <f>SUM(Table1[Data Leavers Date]+Table1[Data GP End])</f>
        <v>0</v>
      </c>
      <c r="EO429" s="44" t="str">
        <f>IF(Table1[EET2]="NEET",1,IF(Table1[EET2]="Employment",2,IF(Table1[EET2]="Education",2,IF(Table1[EET2]="Training",2,IF(Table1[EET2]="Retired",3,IF(Table1[EET]="NEET",1,IF(Table1[EET]="Employment",2,IF(Table1[EET]="Education",2,IF(Table1[EET]="Training",2,IF(Table1[EET]="Retired",3,""))))))))))</f>
        <v/>
      </c>
      <c r="EP429" s="44" t="e">
        <f>+Table1[[#This Row],[Data Leavers Date]]+Table1[[#This Row],[Data EET End]]</f>
        <v>#VALUE!</v>
      </c>
      <c r="EQ429" s="44">
        <f>IF(Table1[Exit Form Received]="Yes",1,0)</f>
        <v>0</v>
      </c>
      <c r="ER429" s="44">
        <f>+Table1[[#This Row],[Data Leavers Date]]+Table1[[#This Row],[Data Exit Forms]]</f>
        <v>0</v>
      </c>
      <c r="ES429" s="44" t="str">
        <f>IF(Table1[Data Leavers Date]=1000,SUM(Table1[Leaving Date]-Table1[Start Date]),"")</f>
        <v/>
      </c>
      <c r="ET429" s="44" t="str">
        <f>IF(Table1[Data Leavers Date]=2000,SUM(Table1[Leaving Date]-Table1[Start Date]),"")</f>
        <v/>
      </c>
      <c r="EU429" s="44" t="str">
        <f>IF(Table1[Data Leavers Date]=3000,SUM(Table1[Leaving Date]-Table1[Start Date]),"")</f>
        <v/>
      </c>
      <c r="EV429" s="44" t="str">
        <f>IF(Table1[Data Leavers Date]=4000,SUM(Table1[Leaving Date]-Table1[Start Date]),"")</f>
        <v/>
      </c>
      <c r="EW429" s="44" t="str">
        <f>IF(Table1[Data Leavers Date]=5000,SUM(Table1[Leaving Date]-Table1[Start Date]),"")</f>
        <v/>
      </c>
      <c r="EX429" s="44" t="str">
        <f>IF(Table1[Data Leavers Date]=6000,SUM(Table1[Leaving Date]-Table1[Start Date]),"")</f>
        <v/>
      </c>
      <c r="EY429" s="44" t="str">
        <f>IF(Table1[Data Leavers Date]=7000,SUM(Table1[Leaving Date]-Table1[Start Date]),"")</f>
        <v/>
      </c>
      <c r="EZ429" s="44" t="str">
        <f>IF(Table1[Data Leavers Date]=8000,SUM(Table1[Leaving Date]-Table1[Start Date]),"")</f>
        <v/>
      </c>
      <c r="FA429" s="44" t="str">
        <f>IF(Table1[Date of Initial Assessment]="","",IF(AND(Table1[Start Date]&gt;42094,Table1[Start Date]&lt;42461),Table1[Motivation and Taking Responsibility],""))</f>
        <v/>
      </c>
      <c r="FB429" s="44" t="str">
        <f>IF(Table1[Date of Initial Assessment]="","",IF(AND(Table1[Start Date]&gt;42094,Table1[Start Date]&lt;42461),Table1[Self-Care and Living Skills],""))</f>
        <v/>
      </c>
      <c r="FC429" s="44" t="str">
        <f>IF(Table1[Date of Initial Assessment]="","",IF(AND(Table1[Start Date]&gt;42094,Table1[Start Date]&lt;42461),Table1[Managing Money and Personal Administration],""))</f>
        <v/>
      </c>
      <c r="FD429" s="44" t="str">
        <f>IF(Table1[Date of Initial Assessment]="","",IF(AND(Table1[Start Date]&gt;42094,Table1[Start Date]&lt;42461),Table1[Social Networks and Relationships],""))</f>
        <v/>
      </c>
      <c r="FE429" s="44" t="str">
        <f>IF(Table1[Date of Initial Assessment]="","",IF(AND(Table1[Start Date]&gt;42094,Table1[Start Date]&lt;42461),Table1[Drug and Alcohol Misuse],""))</f>
        <v/>
      </c>
      <c r="FF429" s="44" t="str">
        <f>IF(Table1[Date of Initial Assessment]="","",IF(AND(Table1[Start Date]&gt;42094,Table1[Start Date]&lt;42461),Table1[Physical Health],""))</f>
        <v/>
      </c>
      <c r="FG429" s="44" t="str">
        <f>IF(Table1[Date of Initial Assessment]="","",IF(AND(Table1[Start Date]&gt;42094,Table1[Start Date]&lt;42461),Table1[Emotional and Mental Health],""))</f>
        <v/>
      </c>
      <c r="FH429" s="44" t="str">
        <f>IF(Table1[Date of Initial Assessment]="","",IF(AND(Table1[Start Date]&gt;42094,Table1[Start Date]&lt;42461),Table1[Meaningful Use of Time],""))</f>
        <v/>
      </c>
      <c r="FI429" s="44" t="str">
        <f>IF(Table1[Date of Initial Assessment]="","",IF(AND(Table1[Start Date]&gt;42094,Table1[Start Date]&lt;42461),Table1[Managing Tenancy and Accommodation],""))</f>
        <v/>
      </c>
      <c r="FJ429" s="44" t="str">
        <f>IF(Table1[Date of Initial Assessment]="","",IF(AND(Table1[Start Date]&gt;42094,Table1[Start Date]&lt;42461),Table1[Offending],""))</f>
        <v/>
      </c>
      <c r="FK429" s="44" t="str">
        <f>IF(Table1[Leaving Date]="","",IF(Table1[Date of Initial Assessment]="","",IF(AND(Table1[Leaving Date]&gt;42094,Table1[Leaving Date]&lt;42461),IF(Table1[Date of Last Assessment]="",Table1[Motivation and Taking Responsibility],Table1[Motivation and Taking Responsibility2]),"")))</f>
        <v/>
      </c>
      <c r="FL429" s="44" t="str">
        <f>IF(Table1[Leaving Date]="","",IF(Table1[Date of Initial Assessment]="","",IF(AND(Table1[Leaving Date]&gt;42094,Table1[Leaving Date]&lt;42461),IF(Table1[Date of Last Assessment]="",Table1[Self-Care and Living Skills],Table1[Self-Care and Living Skills2]),"")))</f>
        <v/>
      </c>
      <c r="FM429" s="44" t="str">
        <f>IF(Table1[Leaving Date]="","",IF(Table1[Date of Initial Assessment]="","",IF(AND(Table1[Leaving Date]&gt;42094,Table1[Leaving Date]&lt;42461),IF(Table1[Date of Last Assessment]="",Table1[Managing Money and Personal Administration],Table1[Managing Money and Personal Administration2]),"")))</f>
        <v/>
      </c>
      <c r="FN429" s="44" t="str">
        <f>IF(Table1[Leaving Date]="","",IF(Table1[Date of Initial Assessment]="","",IF(AND(Table1[Leaving Date]&gt;42094,Table1[Leaving Date]&lt;42461),IF(Table1[Date of Last Assessment]="",Table1[Social Networks and Relationships],Table1[Social Networks and Relationships2]),"")))</f>
        <v/>
      </c>
      <c r="FO429" s="44" t="str">
        <f>IF(Table1[Leaving Date]="","",IF(Table1[Date of Initial Assessment]="","",IF(AND(Table1[Leaving Date]&gt;42094,Table1[Leaving Date]&lt;42461),IF(Table1[Date of Last Assessment]="",Table1[Drug and Alcohol Misuse],Table1[Drug and Alcohol Misuse2]),"")))</f>
        <v/>
      </c>
      <c r="FP429" s="44" t="str">
        <f>IF(Table1[Leaving Date]="","",IF(Table1[Date of Initial Assessment]="","",IF(AND(Table1[Leaving Date]&gt;42094,Table1[Leaving Date]&lt;42461),IF(Table1[Date of Last Assessment]="",Table1[Physical Health],Table1[Physical Health2]),"")))</f>
        <v/>
      </c>
      <c r="FQ429" s="44" t="str">
        <f>IF(Table1[Leaving Date]="","",IF(Table1[Date of Initial Assessment]="","",IF(AND(Table1[Leaving Date]&gt;42094,Table1[Leaving Date]&lt;42461),IF(Table1[Date of Last Assessment]="",Table1[Emotional and Mental Health],Table1[Emotional and Mental Health2]),"")))</f>
        <v/>
      </c>
      <c r="FR429" s="44" t="str">
        <f>IF(Table1[Leaving Date]="","",IF(Table1[Date of Initial Assessment]="","",IF(AND(Table1[Leaving Date]&gt;42094,Table1[Leaving Date]&lt;42461),IF(Table1[Date of Last Assessment]="",Table1[Meaningful Use of Time],Table1[Meaningful Use of Time2]),"")))</f>
        <v/>
      </c>
      <c r="FS429" s="44" t="str">
        <f>IF(Table1[Leaving Date]="","",IF(Table1[Date of Initial Assessment]="","",IF(AND(Table1[Leaving Date]&gt;42094,Table1[Leaving Date]&lt;42461),IF(Table1[Date of Last Assessment]="",Table1[Managing Tenancy and Accommodation],Table1[Managing Tenancy and Accommodation2]),"")))</f>
        <v/>
      </c>
      <c r="FT429" s="44" t="str">
        <f>IF(Table1[Leaving Date]="","",IF(Table1[Date of Initial Assessment]="","",IF(AND(Table1[Leaving Date]&gt;42094,Table1[Leaving Date]&lt;42461),IF(Table1[Date of Last Assessment]="",Table1[Offending],Table1[Offending2]),"")))</f>
        <v/>
      </c>
      <c r="FU429" s="44" t="str">
        <f>IF(Table1[Date of Initial Assessment]="","",IF(AND(Table1[Start Date]&gt;42460,Table1[Start Date]&lt;42826),Table1[Motivation and Taking Responsibility],""))</f>
        <v/>
      </c>
      <c r="FV429" s="44" t="str">
        <f>IF(Table1[Date of Initial Assessment]="","",IF(AND(Table1[Start Date]&gt;42460,Table1[Start Date]&lt;42826),Table1[Self-Care and Living Skills],""))</f>
        <v/>
      </c>
      <c r="FW429" s="44" t="str">
        <f>IF(Table1[Date of Initial Assessment]="","",IF(AND(Table1[Start Date]&gt;42460,Table1[Start Date]&lt;42826),Table1[Managing Money and Personal Administration],""))</f>
        <v/>
      </c>
      <c r="FX429" s="44" t="str">
        <f>IF(Table1[Date of Initial Assessment]="","",IF(AND(Table1[Start Date]&gt;42460,Table1[Start Date]&lt;42826),Table1[Social Networks and Relationships],""))</f>
        <v/>
      </c>
      <c r="FY429" s="44" t="str">
        <f>IF(Table1[Date of Initial Assessment]="","",IF(AND(Table1[Start Date]&gt;42460,Table1[Start Date]&lt;42826),Table1[Drug and Alcohol Misuse],""))</f>
        <v/>
      </c>
      <c r="FZ429" s="44" t="str">
        <f>IF(Table1[Date of Initial Assessment]="","",IF(AND(Table1[Start Date]&gt;42460,Table1[Start Date]&lt;42826),Table1[Physical Health],""))</f>
        <v/>
      </c>
      <c r="GA429" s="44" t="str">
        <f>IF(Table1[Date of Initial Assessment]="","",IF(AND(Table1[Start Date]&gt;42460,Table1[Start Date]&lt;42826),Table1[Emotional and Mental Health],""))</f>
        <v/>
      </c>
      <c r="GB429" s="44" t="str">
        <f>IF(Table1[Date of Initial Assessment]="","",IF(AND(Table1[Start Date]&gt;42460,Table1[Start Date]&lt;42826),Table1[Meaningful Use of Time],""))</f>
        <v/>
      </c>
      <c r="GC429" s="44" t="str">
        <f>IF(Table1[Date of Initial Assessment]="","",IF(AND(Table1[Start Date]&gt;42460,Table1[Start Date]&lt;42826),Table1[Managing Tenancy and Accommodation],""))</f>
        <v/>
      </c>
      <c r="GD429" s="44" t="str">
        <f>IF(Table1[Date of Initial Assessment]="","",IF(AND(Table1[Start Date]&gt;42460,Table1[Start Date]&lt;42826),Table1[Offending],""))</f>
        <v/>
      </c>
      <c r="GE429" s="44" t="str">
        <f>IF(Table1[Leaving Date]="","",IF(AND(Table1[Leaving Date]&gt;42460,Table1[Leaving Date]&lt;42826),IF(Table1[Date of Last Assessment]="",Table1[Motivation and Taking Responsibility],Table1[Motivation and Taking Responsibility2]),""))</f>
        <v/>
      </c>
      <c r="GF429" s="44" t="str">
        <f>IF(Table1[Leaving Date]="","",IF(AND(Table1[Leaving Date]&gt;42460,Table1[Leaving Date]&lt;42826),IF(Table1[Date of Last Assessment]="",Table1[Self-Care and Living Skills],Table1[Self-Care and Living Skills2]),""))</f>
        <v/>
      </c>
      <c r="GG429" s="44" t="str">
        <f>IF(Table1[Leaving Date]="","",IF(AND(Table1[Leaving Date]&gt;42460,Table1[Leaving Date]&lt;42826),IF(Table1[Date of Last Assessment]="",Table1[Managing Money and Personal Administration],Table1[Managing Money and Personal Administration2]),""))</f>
        <v/>
      </c>
      <c r="GH429" s="44" t="str">
        <f>IF(Table1[Leaving Date]="","",IF(AND(Table1[Leaving Date]&gt;42460,Table1[Leaving Date]&lt;42826),IF(Table1[Date of Last Assessment]="",Table1[Social Networks and Relationships],Table1[Social Networks and Relationships2]),""))</f>
        <v/>
      </c>
      <c r="GI429" s="44" t="str">
        <f>IF(Table1[Leaving Date]="","",IF(AND(Table1[Leaving Date]&gt;42460,Table1[Leaving Date]&lt;42826),IF(Table1[Date of Last Assessment]="",Table1[Drug and Alcohol Misuse],Table1[Drug and Alcohol Misuse2]),""))</f>
        <v/>
      </c>
      <c r="GJ429" s="44" t="str">
        <f>IF(Table1[Leaving Date]="","",IF(AND(Table1[Leaving Date]&gt;42460,Table1[Leaving Date]&lt;42826),IF(Table1[Date of Last Assessment]="",Table1[Physical Health],Table1[Physical Health2]),""))</f>
        <v/>
      </c>
      <c r="GK429" s="44" t="str">
        <f>IF(Table1[Leaving Date]="","",IF(AND(Table1[Leaving Date]&gt;42460,Table1[Leaving Date]&lt;42826),IF(Table1[Date of Last Assessment]="",Table1[Emotional and Mental Health],Table1[Emotional and Mental Health2]),""))</f>
        <v/>
      </c>
      <c r="GL429" s="44" t="str">
        <f>IF(Table1[Leaving Date]="","",IF(AND(Table1[Leaving Date]&gt;42460,Table1[Leaving Date]&lt;42826),IF(Table1[Date of Last Assessment]="",Table1[Meaningful Use of Time],Table1[Meaningful Use of Time2]),""))</f>
        <v/>
      </c>
      <c r="GM429" s="44" t="str">
        <f>IF(Table1[Leaving Date]="","",IF(AND(Table1[Leaving Date]&gt;42460,Table1[Leaving Date]&lt;42826),IF(Table1[Date of Last Assessment]="",Table1[Managing Tenancy and Accommodation],Table1[Managing Tenancy and Accommodation2]),""))</f>
        <v/>
      </c>
      <c r="GN429" s="44" t="str">
        <f>IF(Table1[Leaving Date]="","",IF(AND(Table1[Leaving Date]&gt;42460,Table1[Leaving Date]&lt;42826),IF(Table1[Date of Last Assessment]="",Table1[Offending],Table1[Offending2]),""))</f>
        <v/>
      </c>
    </row>
    <row r="430" spans="2:196" ht="20.100000000000001" customHeight="1" x14ac:dyDescent="0.2">
      <c r="B430" s="86">
        <f>+'Service Data'!$C$5:$C$5</f>
        <v>0</v>
      </c>
      <c r="C430" s="86"/>
      <c r="D430" s="86"/>
      <c r="E430" s="86"/>
      <c r="F430" s="86"/>
      <c r="G430" s="86"/>
      <c r="H430" s="6"/>
      <c r="I430" s="99" t="str">
        <f ca="1">IF(Table1[[#This Row],[Date of Birth]]="","",SUM(TODAY()-Table1[[#This Row],[Date of Birth]])/365)</f>
        <v/>
      </c>
      <c r="L430" s="86"/>
      <c r="M430" s="77"/>
      <c r="N430" s="86"/>
      <c r="O430" s="86"/>
      <c r="P430" s="91"/>
      <c r="Q430" s="86"/>
      <c r="R430" s="77"/>
      <c r="S430" s="77"/>
      <c r="T430" s="68"/>
      <c r="U430" s="68"/>
      <c r="V430" s="67"/>
      <c r="W430" s="67"/>
      <c r="X430" s="67"/>
      <c r="Y430" s="67"/>
      <c r="Z430" s="67"/>
      <c r="AA430" s="67"/>
      <c r="AB430" s="67"/>
      <c r="AC430" s="67"/>
      <c r="AD430" s="67"/>
      <c r="AE430" s="67"/>
      <c r="AF430" s="67"/>
      <c r="AG430" s="67"/>
      <c r="AH430" s="67"/>
      <c r="AI430" s="67"/>
      <c r="AJ430" s="67"/>
      <c r="AK430" s="67"/>
      <c r="AL430" s="67"/>
      <c r="AM430" s="67"/>
      <c r="AN430" s="77"/>
      <c r="AO430" s="76"/>
      <c r="AP430" s="77"/>
      <c r="AQ430" s="76"/>
      <c r="AR430" s="76"/>
      <c r="AS430" s="76"/>
      <c r="AT430" s="76"/>
      <c r="AU430" s="76"/>
      <c r="AV430" s="77"/>
      <c r="AW430" s="76"/>
      <c r="AX430" s="77"/>
      <c r="AY430" s="76"/>
      <c r="AZ430" s="76"/>
      <c r="BA430" s="76"/>
      <c r="BB430" s="76"/>
      <c r="BC430" s="76"/>
      <c r="BD430" s="77"/>
      <c r="BE430" s="76"/>
      <c r="BF430" s="77"/>
      <c r="BG430" s="76"/>
      <c r="BH430" s="76"/>
      <c r="BI430" s="76"/>
      <c r="BJ430" s="76"/>
      <c r="BK430" s="76"/>
      <c r="BL430" s="77"/>
      <c r="BM430" s="76"/>
      <c r="BN430" s="77"/>
      <c r="BO430" s="76"/>
      <c r="BP430" s="76"/>
      <c r="BQ430" s="76"/>
      <c r="BR430" s="76"/>
      <c r="BS430" s="76"/>
      <c r="BT430" s="77"/>
      <c r="BU430" s="76"/>
      <c r="BV430" s="77"/>
      <c r="BW430" s="76"/>
      <c r="BX430" s="76"/>
      <c r="BY430" s="76"/>
      <c r="BZ430" s="76"/>
      <c r="CA430" s="76"/>
      <c r="CB430" s="77"/>
      <c r="CC430" s="76"/>
      <c r="CD430" s="77"/>
      <c r="CE430" s="76"/>
      <c r="CF430" s="76"/>
      <c r="CG430" s="76"/>
      <c r="CH430" s="76"/>
      <c r="CI430" s="76"/>
      <c r="CJ430" s="77"/>
      <c r="CK430" s="76"/>
      <c r="CL430" s="77"/>
      <c r="CM430" s="76"/>
      <c r="CN430" s="76"/>
      <c r="CO430" s="76"/>
      <c r="CP430" s="76"/>
      <c r="CQ430" s="76"/>
      <c r="CR430" s="78" t="str">
        <f t="shared" si="111"/>
        <v/>
      </c>
      <c r="CS430" s="79" t="str">
        <f t="shared" si="112"/>
        <v/>
      </c>
      <c r="CT430" s="79" t="str">
        <f t="shared" si="113"/>
        <v/>
      </c>
      <c r="CU430" s="79" t="str">
        <f t="shared" si="114"/>
        <v/>
      </c>
      <c r="CV430" s="79" t="str">
        <f t="shared" si="115"/>
        <v/>
      </c>
      <c r="CW430" s="79" t="str">
        <f t="shared" si="116"/>
        <v/>
      </c>
      <c r="CX430" s="79" t="str">
        <f t="shared" si="117"/>
        <v/>
      </c>
      <c r="CY430" s="79" t="str">
        <f t="shared" si="118"/>
        <v/>
      </c>
      <c r="CZ430" s="79" t="str">
        <f t="shared" si="119"/>
        <v/>
      </c>
      <c r="DA430" s="79" t="str">
        <f t="shared" si="120"/>
        <v/>
      </c>
      <c r="DB430" s="79" t="str">
        <f t="shared" si="121"/>
        <v/>
      </c>
      <c r="DC430" s="79" t="str">
        <f t="shared" si="122"/>
        <v/>
      </c>
      <c r="DD430" s="79" t="str">
        <f t="shared" si="123"/>
        <v/>
      </c>
      <c r="DE430" s="79" t="str">
        <f t="shared" si="124"/>
        <v/>
      </c>
      <c r="DF430" s="79" t="str">
        <f t="shared" si="125"/>
        <v/>
      </c>
      <c r="DG430" s="79" t="str">
        <f t="shared" si="126"/>
        <v/>
      </c>
      <c r="DH430" s="76"/>
      <c r="DI430" s="78"/>
      <c r="DJ430" s="76"/>
      <c r="DK430" s="77"/>
      <c r="DL430" s="77"/>
      <c r="DM430" s="77"/>
      <c r="DN430" s="80"/>
      <c r="DO430" s="80"/>
      <c r="DP430" s="92" t="str">
        <f>IF(Table1[Start Date]="","",IF(Table1[Start Date]&gt;42185,"",IF(AND(Table1[Leaving Date]&gt;1,Table1[Leaving Date]&lt;42095),"",1)))</f>
        <v/>
      </c>
      <c r="DQ430" s="92" t="str">
        <f>IF(Table1[Start Date]="","",IF(Table1[Start Date]&gt;42277,"",IF(AND(Table1[Leaving Date]&gt;1,Table1[Leaving Date]&lt;42186),"",1)))</f>
        <v/>
      </c>
      <c r="DR430" s="92" t="str">
        <f>IF(Table1[Start Date]="","",IF(Table1[Start Date]&gt;42369,"",IF(AND(Table1[Leaving Date]&gt;1,Table1[Leaving Date]&lt;42278),"",1)))</f>
        <v/>
      </c>
      <c r="DS430" s="92" t="str">
        <f>IF(Table1[Start Date]="","",IF(Table1[Start Date]&gt;42460,"",IF(AND(Table1[Leaving Date]&gt;1,Table1[Leaving Date]&lt;42370),"",1)))</f>
        <v/>
      </c>
      <c r="DT430" s="92" t="str">
        <f>IF(Table1[Start Date]="","",IF(Table1[Start Date]&gt;42551,"",IF(AND(Table1[Leaving Date]&gt;1,Table1[Leaving Date]&lt;42461),"",1)))</f>
        <v/>
      </c>
      <c r="DU430" s="92" t="str">
        <f>IF(Table1[Start Date]="","",IF(Table1[Start Date]&gt;42643,"",IF(AND(Table1[Leaving Date]&gt;1,Table1[Leaving Date]&lt;42552),"",1)))</f>
        <v/>
      </c>
      <c r="DV430" s="92" t="str">
        <f>IF(Table1[Start Date]="","",IF(Table1[Start Date]&gt;42735,"",IF(AND(Table1[Leaving Date]&gt;1,Table1[Leaving Date]&lt;42644),"",1)))</f>
        <v/>
      </c>
      <c r="DW430" s="92" t="str">
        <f>IF(Table1[Start Date]="","",IF(Table1[Start Date]&gt;42825,"",IF(AND(Table1[Leaving Date]&gt;1,Table1[Leaving Date]&lt;42736),"",1)))</f>
        <v/>
      </c>
      <c r="DX430"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430" s="44" t="e">
        <f>VLOOKUP(Table1[Referral Source],Lists!$G$2:$H$20,2,FALSE)</f>
        <v>#N/A</v>
      </c>
      <c r="DZ430" s="93" t="e">
        <f>SUM(Table1[Data Referral Quarter]+Table1[Data Referral Source])</f>
        <v>#N/A</v>
      </c>
      <c r="EA430" s="44" t="b">
        <f>IF(Table1[Referral Decision]="Accepted",100,IF(Table1[Referral Decision]="Rejected by Provider",200,IF(Table1[Referral Decision]="Rejected by Applicant",300)))</f>
        <v>0</v>
      </c>
      <c r="EB430" s="44">
        <f>SUM(Table1[Data Referral Quarter]+Table1[Data Referral Decision])</f>
        <v>0</v>
      </c>
      <c r="EC430" s="44" t="b">
        <f>IF(Table1[Start Date]&gt;42735,8000,IF(Table1[Start Date]&gt;42643,7000,IF(Table1[Start Date]&gt;42551,6000,IF(Table1[Start Date]&gt;42460,5000,IF(Table1[Start Date]&gt;42369,4000,IF(Table1[Start Date]&gt;42277,3000,IF(Table1[Start Date]&gt;42185,2000,IF(Table1[Start Date]&gt;42094,1000))))))))</f>
        <v>0</v>
      </c>
      <c r="ED430" s="44" t="str">
        <f>IF(Table1[Start Date]="","",IF(Table1[Current Local Authority]="Swindon",1,"2"))</f>
        <v/>
      </c>
      <c r="EE430" s="44" t="e">
        <f>SUM(Table1[Data Start Date]+Table1[Data Local Authority])</f>
        <v>#VALUE!</v>
      </c>
      <c r="EF430" s="44">
        <f>IF(Table1[Registered with GP]="Yes",1,0)</f>
        <v>0</v>
      </c>
      <c r="EG430" s="44">
        <f>SUM(Table1[Data Start Date]+Table1[Data GP Start])</f>
        <v>0</v>
      </c>
      <c r="EH430" s="44" t="str">
        <f>IF(Table1[EET]="NEET",1,IF(Table1[EET]="Education",2,IF(Table1[EET]="Employment",2,IF(Table1[EET]="Training",2,IF(Table1[EET]="Retired",3,"")))))</f>
        <v/>
      </c>
      <c r="EI430" s="44" t="e">
        <f>Table1[Data Start Date]+Table1[Data EET Start]</f>
        <v>#VALUE!</v>
      </c>
      <c r="EJ430" s="44" t="b">
        <f>IF(Table1[Leaving Date]&gt;42735,8000,IF(Table1[Leaving Date]&gt;42643,7000,IF(Table1[Leaving Date]&gt;42551,6000,IF(Table1[Leaving Date]&gt;42460,5000,IF(Table1[Leaving Date]&gt;42369,4000,IF(Table1[Leaving Date]&gt;42277,3000,IF(Table1[Leaving Date]&gt;42185,2000,IF(Table1[Leaving Date]&gt;42094,1000))))))))</f>
        <v>0</v>
      </c>
      <c r="EK430" s="44" t="e">
        <f>VLOOKUP(Table1[Reason for Leaving],Lists!$T$2:$U$15,2,FALSE)</f>
        <v>#N/A</v>
      </c>
      <c r="EL430" s="44" t="e">
        <f>SUM(Table1[Data Leavers Date]+Table1[Data Move On])</f>
        <v>#N/A</v>
      </c>
      <c r="EM430" s="44" t="b">
        <f>IF(Table1[Registered with GP2]="Yes",1,IF(Table1[Registered with GP2]="No",0,IF(Table1[Registered with GP]="Yes",1,IF(Table1[Registered with GP]="No",0))))</f>
        <v>0</v>
      </c>
      <c r="EN430" s="44">
        <f>SUM(Table1[Data Leavers Date]+Table1[Data GP End])</f>
        <v>0</v>
      </c>
      <c r="EO430" s="44" t="str">
        <f>IF(Table1[EET2]="NEET",1,IF(Table1[EET2]="Employment",2,IF(Table1[EET2]="Education",2,IF(Table1[EET2]="Training",2,IF(Table1[EET2]="Retired",3,IF(Table1[EET]="NEET",1,IF(Table1[EET]="Employment",2,IF(Table1[EET]="Education",2,IF(Table1[EET]="Training",2,IF(Table1[EET]="Retired",3,""))))))))))</f>
        <v/>
      </c>
      <c r="EP430" s="44" t="e">
        <f>+Table1[[#This Row],[Data Leavers Date]]+Table1[[#This Row],[Data EET End]]</f>
        <v>#VALUE!</v>
      </c>
      <c r="EQ430" s="44">
        <f>IF(Table1[Exit Form Received]="Yes",1,0)</f>
        <v>0</v>
      </c>
      <c r="ER430" s="44">
        <f>+Table1[[#This Row],[Data Leavers Date]]+Table1[[#This Row],[Data Exit Forms]]</f>
        <v>0</v>
      </c>
      <c r="ES430" s="44" t="str">
        <f>IF(Table1[Data Leavers Date]=1000,SUM(Table1[Leaving Date]-Table1[Start Date]),"")</f>
        <v/>
      </c>
      <c r="ET430" s="44" t="str">
        <f>IF(Table1[Data Leavers Date]=2000,SUM(Table1[Leaving Date]-Table1[Start Date]),"")</f>
        <v/>
      </c>
      <c r="EU430" s="44" t="str">
        <f>IF(Table1[Data Leavers Date]=3000,SUM(Table1[Leaving Date]-Table1[Start Date]),"")</f>
        <v/>
      </c>
      <c r="EV430" s="44" t="str">
        <f>IF(Table1[Data Leavers Date]=4000,SUM(Table1[Leaving Date]-Table1[Start Date]),"")</f>
        <v/>
      </c>
      <c r="EW430" s="44" t="str">
        <f>IF(Table1[Data Leavers Date]=5000,SUM(Table1[Leaving Date]-Table1[Start Date]),"")</f>
        <v/>
      </c>
      <c r="EX430" s="44" t="str">
        <f>IF(Table1[Data Leavers Date]=6000,SUM(Table1[Leaving Date]-Table1[Start Date]),"")</f>
        <v/>
      </c>
      <c r="EY430" s="44" t="str">
        <f>IF(Table1[Data Leavers Date]=7000,SUM(Table1[Leaving Date]-Table1[Start Date]),"")</f>
        <v/>
      </c>
      <c r="EZ430" s="44" t="str">
        <f>IF(Table1[Data Leavers Date]=8000,SUM(Table1[Leaving Date]-Table1[Start Date]),"")</f>
        <v/>
      </c>
      <c r="FA430" s="44" t="str">
        <f>IF(Table1[Date of Initial Assessment]="","",IF(AND(Table1[Start Date]&gt;42094,Table1[Start Date]&lt;42461),Table1[Motivation and Taking Responsibility],""))</f>
        <v/>
      </c>
      <c r="FB430" s="44" t="str">
        <f>IF(Table1[Date of Initial Assessment]="","",IF(AND(Table1[Start Date]&gt;42094,Table1[Start Date]&lt;42461),Table1[Self-Care and Living Skills],""))</f>
        <v/>
      </c>
      <c r="FC430" s="44" t="str">
        <f>IF(Table1[Date of Initial Assessment]="","",IF(AND(Table1[Start Date]&gt;42094,Table1[Start Date]&lt;42461),Table1[Managing Money and Personal Administration],""))</f>
        <v/>
      </c>
      <c r="FD430" s="44" t="str">
        <f>IF(Table1[Date of Initial Assessment]="","",IF(AND(Table1[Start Date]&gt;42094,Table1[Start Date]&lt;42461),Table1[Social Networks and Relationships],""))</f>
        <v/>
      </c>
      <c r="FE430" s="44" t="str">
        <f>IF(Table1[Date of Initial Assessment]="","",IF(AND(Table1[Start Date]&gt;42094,Table1[Start Date]&lt;42461),Table1[Drug and Alcohol Misuse],""))</f>
        <v/>
      </c>
      <c r="FF430" s="44" t="str">
        <f>IF(Table1[Date of Initial Assessment]="","",IF(AND(Table1[Start Date]&gt;42094,Table1[Start Date]&lt;42461),Table1[Physical Health],""))</f>
        <v/>
      </c>
      <c r="FG430" s="44" t="str">
        <f>IF(Table1[Date of Initial Assessment]="","",IF(AND(Table1[Start Date]&gt;42094,Table1[Start Date]&lt;42461),Table1[Emotional and Mental Health],""))</f>
        <v/>
      </c>
      <c r="FH430" s="44" t="str">
        <f>IF(Table1[Date of Initial Assessment]="","",IF(AND(Table1[Start Date]&gt;42094,Table1[Start Date]&lt;42461),Table1[Meaningful Use of Time],""))</f>
        <v/>
      </c>
      <c r="FI430" s="44" t="str">
        <f>IF(Table1[Date of Initial Assessment]="","",IF(AND(Table1[Start Date]&gt;42094,Table1[Start Date]&lt;42461),Table1[Managing Tenancy and Accommodation],""))</f>
        <v/>
      </c>
      <c r="FJ430" s="44" t="str">
        <f>IF(Table1[Date of Initial Assessment]="","",IF(AND(Table1[Start Date]&gt;42094,Table1[Start Date]&lt;42461),Table1[Offending],""))</f>
        <v/>
      </c>
      <c r="FK430" s="44" t="str">
        <f>IF(Table1[Leaving Date]="","",IF(Table1[Date of Initial Assessment]="","",IF(AND(Table1[Leaving Date]&gt;42094,Table1[Leaving Date]&lt;42461),IF(Table1[Date of Last Assessment]="",Table1[Motivation and Taking Responsibility],Table1[Motivation and Taking Responsibility2]),"")))</f>
        <v/>
      </c>
      <c r="FL430" s="44" t="str">
        <f>IF(Table1[Leaving Date]="","",IF(Table1[Date of Initial Assessment]="","",IF(AND(Table1[Leaving Date]&gt;42094,Table1[Leaving Date]&lt;42461),IF(Table1[Date of Last Assessment]="",Table1[Self-Care and Living Skills],Table1[Self-Care and Living Skills2]),"")))</f>
        <v/>
      </c>
      <c r="FM430" s="44" t="str">
        <f>IF(Table1[Leaving Date]="","",IF(Table1[Date of Initial Assessment]="","",IF(AND(Table1[Leaving Date]&gt;42094,Table1[Leaving Date]&lt;42461),IF(Table1[Date of Last Assessment]="",Table1[Managing Money and Personal Administration],Table1[Managing Money and Personal Administration2]),"")))</f>
        <v/>
      </c>
      <c r="FN430" s="44" t="str">
        <f>IF(Table1[Leaving Date]="","",IF(Table1[Date of Initial Assessment]="","",IF(AND(Table1[Leaving Date]&gt;42094,Table1[Leaving Date]&lt;42461),IF(Table1[Date of Last Assessment]="",Table1[Social Networks and Relationships],Table1[Social Networks and Relationships2]),"")))</f>
        <v/>
      </c>
      <c r="FO430" s="44" t="str">
        <f>IF(Table1[Leaving Date]="","",IF(Table1[Date of Initial Assessment]="","",IF(AND(Table1[Leaving Date]&gt;42094,Table1[Leaving Date]&lt;42461),IF(Table1[Date of Last Assessment]="",Table1[Drug and Alcohol Misuse],Table1[Drug and Alcohol Misuse2]),"")))</f>
        <v/>
      </c>
      <c r="FP430" s="44" t="str">
        <f>IF(Table1[Leaving Date]="","",IF(Table1[Date of Initial Assessment]="","",IF(AND(Table1[Leaving Date]&gt;42094,Table1[Leaving Date]&lt;42461),IF(Table1[Date of Last Assessment]="",Table1[Physical Health],Table1[Physical Health2]),"")))</f>
        <v/>
      </c>
      <c r="FQ430" s="44" t="str">
        <f>IF(Table1[Leaving Date]="","",IF(Table1[Date of Initial Assessment]="","",IF(AND(Table1[Leaving Date]&gt;42094,Table1[Leaving Date]&lt;42461),IF(Table1[Date of Last Assessment]="",Table1[Emotional and Mental Health],Table1[Emotional and Mental Health2]),"")))</f>
        <v/>
      </c>
      <c r="FR430" s="44" t="str">
        <f>IF(Table1[Leaving Date]="","",IF(Table1[Date of Initial Assessment]="","",IF(AND(Table1[Leaving Date]&gt;42094,Table1[Leaving Date]&lt;42461),IF(Table1[Date of Last Assessment]="",Table1[Meaningful Use of Time],Table1[Meaningful Use of Time2]),"")))</f>
        <v/>
      </c>
      <c r="FS430" s="44" t="str">
        <f>IF(Table1[Leaving Date]="","",IF(Table1[Date of Initial Assessment]="","",IF(AND(Table1[Leaving Date]&gt;42094,Table1[Leaving Date]&lt;42461),IF(Table1[Date of Last Assessment]="",Table1[Managing Tenancy and Accommodation],Table1[Managing Tenancy and Accommodation2]),"")))</f>
        <v/>
      </c>
      <c r="FT430" s="44" t="str">
        <f>IF(Table1[Leaving Date]="","",IF(Table1[Date of Initial Assessment]="","",IF(AND(Table1[Leaving Date]&gt;42094,Table1[Leaving Date]&lt;42461),IF(Table1[Date of Last Assessment]="",Table1[Offending],Table1[Offending2]),"")))</f>
        <v/>
      </c>
      <c r="FU430" s="44" t="str">
        <f>IF(Table1[Date of Initial Assessment]="","",IF(AND(Table1[Start Date]&gt;42460,Table1[Start Date]&lt;42826),Table1[Motivation and Taking Responsibility],""))</f>
        <v/>
      </c>
      <c r="FV430" s="44" t="str">
        <f>IF(Table1[Date of Initial Assessment]="","",IF(AND(Table1[Start Date]&gt;42460,Table1[Start Date]&lt;42826),Table1[Self-Care and Living Skills],""))</f>
        <v/>
      </c>
      <c r="FW430" s="44" t="str">
        <f>IF(Table1[Date of Initial Assessment]="","",IF(AND(Table1[Start Date]&gt;42460,Table1[Start Date]&lt;42826),Table1[Managing Money and Personal Administration],""))</f>
        <v/>
      </c>
      <c r="FX430" s="44" t="str">
        <f>IF(Table1[Date of Initial Assessment]="","",IF(AND(Table1[Start Date]&gt;42460,Table1[Start Date]&lt;42826),Table1[Social Networks and Relationships],""))</f>
        <v/>
      </c>
      <c r="FY430" s="44" t="str">
        <f>IF(Table1[Date of Initial Assessment]="","",IF(AND(Table1[Start Date]&gt;42460,Table1[Start Date]&lt;42826),Table1[Drug and Alcohol Misuse],""))</f>
        <v/>
      </c>
      <c r="FZ430" s="44" t="str">
        <f>IF(Table1[Date of Initial Assessment]="","",IF(AND(Table1[Start Date]&gt;42460,Table1[Start Date]&lt;42826),Table1[Physical Health],""))</f>
        <v/>
      </c>
      <c r="GA430" s="44" t="str">
        <f>IF(Table1[Date of Initial Assessment]="","",IF(AND(Table1[Start Date]&gt;42460,Table1[Start Date]&lt;42826),Table1[Emotional and Mental Health],""))</f>
        <v/>
      </c>
      <c r="GB430" s="44" t="str">
        <f>IF(Table1[Date of Initial Assessment]="","",IF(AND(Table1[Start Date]&gt;42460,Table1[Start Date]&lt;42826),Table1[Meaningful Use of Time],""))</f>
        <v/>
      </c>
      <c r="GC430" s="44" t="str">
        <f>IF(Table1[Date of Initial Assessment]="","",IF(AND(Table1[Start Date]&gt;42460,Table1[Start Date]&lt;42826),Table1[Managing Tenancy and Accommodation],""))</f>
        <v/>
      </c>
      <c r="GD430" s="44" t="str">
        <f>IF(Table1[Date of Initial Assessment]="","",IF(AND(Table1[Start Date]&gt;42460,Table1[Start Date]&lt;42826),Table1[Offending],""))</f>
        <v/>
      </c>
      <c r="GE430" s="44" t="str">
        <f>IF(Table1[Leaving Date]="","",IF(AND(Table1[Leaving Date]&gt;42460,Table1[Leaving Date]&lt;42826),IF(Table1[Date of Last Assessment]="",Table1[Motivation and Taking Responsibility],Table1[Motivation and Taking Responsibility2]),""))</f>
        <v/>
      </c>
      <c r="GF430" s="44" t="str">
        <f>IF(Table1[Leaving Date]="","",IF(AND(Table1[Leaving Date]&gt;42460,Table1[Leaving Date]&lt;42826),IF(Table1[Date of Last Assessment]="",Table1[Self-Care and Living Skills],Table1[Self-Care and Living Skills2]),""))</f>
        <v/>
      </c>
      <c r="GG430" s="44" t="str">
        <f>IF(Table1[Leaving Date]="","",IF(AND(Table1[Leaving Date]&gt;42460,Table1[Leaving Date]&lt;42826),IF(Table1[Date of Last Assessment]="",Table1[Managing Money and Personal Administration],Table1[Managing Money and Personal Administration2]),""))</f>
        <v/>
      </c>
      <c r="GH430" s="44" t="str">
        <f>IF(Table1[Leaving Date]="","",IF(AND(Table1[Leaving Date]&gt;42460,Table1[Leaving Date]&lt;42826),IF(Table1[Date of Last Assessment]="",Table1[Social Networks and Relationships],Table1[Social Networks and Relationships2]),""))</f>
        <v/>
      </c>
      <c r="GI430" s="44" t="str">
        <f>IF(Table1[Leaving Date]="","",IF(AND(Table1[Leaving Date]&gt;42460,Table1[Leaving Date]&lt;42826),IF(Table1[Date of Last Assessment]="",Table1[Drug and Alcohol Misuse],Table1[Drug and Alcohol Misuse2]),""))</f>
        <v/>
      </c>
      <c r="GJ430" s="44" t="str">
        <f>IF(Table1[Leaving Date]="","",IF(AND(Table1[Leaving Date]&gt;42460,Table1[Leaving Date]&lt;42826),IF(Table1[Date of Last Assessment]="",Table1[Physical Health],Table1[Physical Health2]),""))</f>
        <v/>
      </c>
      <c r="GK430" s="44" t="str">
        <f>IF(Table1[Leaving Date]="","",IF(AND(Table1[Leaving Date]&gt;42460,Table1[Leaving Date]&lt;42826),IF(Table1[Date of Last Assessment]="",Table1[Emotional and Mental Health],Table1[Emotional and Mental Health2]),""))</f>
        <v/>
      </c>
      <c r="GL430" s="44" t="str">
        <f>IF(Table1[Leaving Date]="","",IF(AND(Table1[Leaving Date]&gt;42460,Table1[Leaving Date]&lt;42826),IF(Table1[Date of Last Assessment]="",Table1[Meaningful Use of Time],Table1[Meaningful Use of Time2]),""))</f>
        <v/>
      </c>
      <c r="GM430" s="44" t="str">
        <f>IF(Table1[Leaving Date]="","",IF(AND(Table1[Leaving Date]&gt;42460,Table1[Leaving Date]&lt;42826),IF(Table1[Date of Last Assessment]="",Table1[Managing Tenancy and Accommodation],Table1[Managing Tenancy and Accommodation2]),""))</f>
        <v/>
      </c>
      <c r="GN430" s="44" t="str">
        <f>IF(Table1[Leaving Date]="","",IF(AND(Table1[Leaving Date]&gt;42460,Table1[Leaving Date]&lt;42826),IF(Table1[Date of Last Assessment]="",Table1[Offending],Table1[Offending2]),""))</f>
        <v/>
      </c>
    </row>
    <row r="431" spans="2:196" ht="20.100000000000001" customHeight="1" x14ac:dyDescent="0.2">
      <c r="B431" s="86">
        <f>+'Service Data'!$C$5:$C$5</f>
        <v>0</v>
      </c>
      <c r="C431" s="86"/>
      <c r="D431" s="86"/>
      <c r="E431" s="86"/>
      <c r="F431" s="86"/>
      <c r="G431" s="86"/>
      <c r="H431" s="6"/>
      <c r="I431" s="99" t="str">
        <f ca="1">IF(Table1[[#This Row],[Date of Birth]]="","",SUM(TODAY()-Table1[[#This Row],[Date of Birth]])/365)</f>
        <v/>
      </c>
      <c r="L431" s="86"/>
      <c r="M431" s="77"/>
      <c r="N431" s="86"/>
      <c r="O431" s="86"/>
      <c r="P431" s="91"/>
      <c r="Q431" s="86"/>
      <c r="R431" s="77"/>
      <c r="S431" s="77"/>
      <c r="T431" s="68"/>
      <c r="U431" s="68"/>
      <c r="V431" s="67"/>
      <c r="W431" s="67"/>
      <c r="X431" s="67"/>
      <c r="Y431" s="67"/>
      <c r="Z431" s="67"/>
      <c r="AA431" s="67"/>
      <c r="AB431" s="67"/>
      <c r="AC431" s="67"/>
      <c r="AD431" s="67"/>
      <c r="AE431" s="67"/>
      <c r="AF431" s="67"/>
      <c r="AG431" s="67"/>
      <c r="AH431" s="67"/>
      <c r="AI431" s="67"/>
      <c r="AJ431" s="67"/>
      <c r="AK431" s="67"/>
      <c r="AL431" s="67"/>
      <c r="AM431" s="67"/>
      <c r="AN431" s="77"/>
      <c r="AO431" s="76"/>
      <c r="AP431" s="77"/>
      <c r="AQ431" s="76"/>
      <c r="AR431" s="76"/>
      <c r="AS431" s="76"/>
      <c r="AT431" s="76"/>
      <c r="AU431" s="76"/>
      <c r="AV431" s="77"/>
      <c r="AW431" s="76"/>
      <c r="AX431" s="77"/>
      <c r="AY431" s="76"/>
      <c r="AZ431" s="76"/>
      <c r="BA431" s="76"/>
      <c r="BB431" s="76"/>
      <c r="BC431" s="76"/>
      <c r="BD431" s="77"/>
      <c r="BE431" s="76"/>
      <c r="BF431" s="77"/>
      <c r="BG431" s="76"/>
      <c r="BH431" s="76"/>
      <c r="BI431" s="76"/>
      <c r="BJ431" s="76"/>
      <c r="BK431" s="76"/>
      <c r="BL431" s="77"/>
      <c r="BM431" s="76"/>
      <c r="BN431" s="77"/>
      <c r="BO431" s="76"/>
      <c r="BP431" s="76"/>
      <c r="BQ431" s="76"/>
      <c r="BR431" s="76"/>
      <c r="BS431" s="76"/>
      <c r="BT431" s="77"/>
      <c r="BU431" s="76"/>
      <c r="BV431" s="77"/>
      <c r="BW431" s="76"/>
      <c r="BX431" s="76"/>
      <c r="BY431" s="76"/>
      <c r="BZ431" s="76"/>
      <c r="CA431" s="76"/>
      <c r="CB431" s="77"/>
      <c r="CC431" s="76"/>
      <c r="CD431" s="77"/>
      <c r="CE431" s="76"/>
      <c r="CF431" s="76"/>
      <c r="CG431" s="76"/>
      <c r="CH431" s="76"/>
      <c r="CI431" s="76"/>
      <c r="CJ431" s="77"/>
      <c r="CK431" s="76"/>
      <c r="CL431" s="77"/>
      <c r="CM431" s="76"/>
      <c r="CN431" s="76"/>
      <c r="CO431" s="76"/>
      <c r="CP431" s="76"/>
      <c r="CQ431" s="76"/>
      <c r="CR431" s="78" t="str">
        <f t="shared" si="111"/>
        <v/>
      </c>
      <c r="CS431" s="79" t="str">
        <f t="shared" si="112"/>
        <v/>
      </c>
      <c r="CT431" s="79" t="str">
        <f t="shared" si="113"/>
        <v/>
      </c>
      <c r="CU431" s="79" t="str">
        <f t="shared" si="114"/>
        <v/>
      </c>
      <c r="CV431" s="79" t="str">
        <f t="shared" si="115"/>
        <v/>
      </c>
      <c r="CW431" s="79" t="str">
        <f t="shared" si="116"/>
        <v/>
      </c>
      <c r="CX431" s="79" t="str">
        <f t="shared" si="117"/>
        <v/>
      </c>
      <c r="CY431" s="79" t="str">
        <f t="shared" si="118"/>
        <v/>
      </c>
      <c r="CZ431" s="79" t="str">
        <f t="shared" si="119"/>
        <v/>
      </c>
      <c r="DA431" s="79" t="str">
        <f t="shared" si="120"/>
        <v/>
      </c>
      <c r="DB431" s="79" t="str">
        <f t="shared" si="121"/>
        <v/>
      </c>
      <c r="DC431" s="79" t="str">
        <f t="shared" si="122"/>
        <v/>
      </c>
      <c r="DD431" s="79" t="str">
        <f t="shared" si="123"/>
        <v/>
      </c>
      <c r="DE431" s="79" t="str">
        <f t="shared" si="124"/>
        <v/>
      </c>
      <c r="DF431" s="79" t="str">
        <f t="shared" si="125"/>
        <v/>
      </c>
      <c r="DG431" s="79" t="str">
        <f t="shared" si="126"/>
        <v/>
      </c>
      <c r="DH431" s="76"/>
      <c r="DI431" s="78"/>
      <c r="DJ431" s="76"/>
      <c r="DK431" s="77"/>
      <c r="DL431" s="77"/>
      <c r="DM431" s="77"/>
      <c r="DN431" s="80"/>
      <c r="DO431" s="80"/>
      <c r="DP431" s="92" t="str">
        <f>IF(Table1[Start Date]="","",IF(Table1[Start Date]&gt;42185,"",IF(AND(Table1[Leaving Date]&gt;1,Table1[Leaving Date]&lt;42095),"",1)))</f>
        <v/>
      </c>
      <c r="DQ431" s="92" t="str">
        <f>IF(Table1[Start Date]="","",IF(Table1[Start Date]&gt;42277,"",IF(AND(Table1[Leaving Date]&gt;1,Table1[Leaving Date]&lt;42186),"",1)))</f>
        <v/>
      </c>
      <c r="DR431" s="92" t="str">
        <f>IF(Table1[Start Date]="","",IF(Table1[Start Date]&gt;42369,"",IF(AND(Table1[Leaving Date]&gt;1,Table1[Leaving Date]&lt;42278),"",1)))</f>
        <v/>
      </c>
      <c r="DS431" s="92" t="str">
        <f>IF(Table1[Start Date]="","",IF(Table1[Start Date]&gt;42460,"",IF(AND(Table1[Leaving Date]&gt;1,Table1[Leaving Date]&lt;42370),"",1)))</f>
        <v/>
      </c>
      <c r="DT431" s="92" t="str">
        <f>IF(Table1[Start Date]="","",IF(Table1[Start Date]&gt;42551,"",IF(AND(Table1[Leaving Date]&gt;1,Table1[Leaving Date]&lt;42461),"",1)))</f>
        <v/>
      </c>
      <c r="DU431" s="92" t="str">
        <f>IF(Table1[Start Date]="","",IF(Table1[Start Date]&gt;42643,"",IF(AND(Table1[Leaving Date]&gt;1,Table1[Leaving Date]&lt;42552),"",1)))</f>
        <v/>
      </c>
      <c r="DV431" s="92" t="str">
        <f>IF(Table1[Start Date]="","",IF(Table1[Start Date]&gt;42735,"",IF(AND(Table1[Leaving Date]&gt;1,Table1[Leaving Date]&lt;42644),"",1)))</f>
        <v/>
      </c>
      <c r="DW431" s="92" t="str">
        <f>IF(Table1[Start Date]="","",IF(Table1[Start Date]&gt;42825,"",IF(AND(Table1[Leaving Date]&gt;1,Table1[Leaving Date]&lt;42736),"",1)))</f>
        <v/>
      </c>
      <c r="DX431"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431" s="44" t="e">
        <f>VLOOKUP(Table1[Referral Source],Lists!$G$2:$H$20,2,FALSE)</f>
        <v>#N/A</v>
      </c>
      <c r="DZ431" s="93" t="e">
        <f>SUM(Table1[Data Referral Quarter]+Table1[Data Referral Source])</f>
        <v>#N/A</v>
      </c>
      <c r="EA431" s="44" t="b">
        <f>IF(Table1[Referral Decision]="Accepted",100,IF(Table1[Referral Decision]="Rejected by Provider",200,IF(Table1[Referral Decision]="Rejected by Applicant",300)))</f>
        <v>0</v>
      </c>
      <c r="EB431" s="44">
        <f>SUM(Table1[Data Referral Quarter]+Table1[Data Referral Decision])</f>
        <v>0</v>
      </c>
      <c r="EC431" s="44" t="b">
        <f>IF(Table1[Start Date]&gt;42735,8000,IF(Table1[Start Date]&gt;42643,7000,IF(Table1[Start Date]&gt;42551,6000,IF(Table1[Start Date]&gt;42460,5000,IF(Table1[Start Date]&gt;42369,4000,IF(Table1[Start Date]&gt;42277,3000,IF(Table1[Start Date]&gt;42185,2000,IF(Table1[Start Date]&gt;42094,1000))))))))</f>
        <v>0</v>
      </c>
      <c r="ED431" s="44" t="str">
        <f>IF(Table1[Start Date]="","",IF(Table1[Current Local Authority]="Swindon",1,"2"))</f>
        <v/>
      </c>
      <c r="EE431" s="44" t="e">
        <f>SUM(Table1[Data Start Date]+Table1[Data Local Authority])</f>
        <v>#VALUE!</v>
      </c>
      <c r="EF431" s="44">
        <f>IF(Table1[Registered with GP]="Yes",1,0)</f>
        <v>0</v>
      </c>
      <c r="EG431" s="44">
        <f>SUM(Table1[Data Start Date]+Table1[Data GP Start])</f>
        <v>0</v>
      </c>
      <c r="EH431" s="44" t="str">
        <f>IF(Table1[EET]="NEET",1,IF(Table1[EET]="Education",2,IF(Table1[EET]="Employment",2,IF(Table1[EET]="Training",2,IF(Table1[EET]="Retired",3,"")))))</f>
        <v/>
      </c>
      <c r="EI431" s="44" t="e">
        <f>Table1[Data Start Date]+Table1[Data EET Start]</f>
        <v>#VALUE!</v>
      </c>
      <c r="EJ431" s="44" t="b">
        <f>IF(Table1[Leaving Date]&gt;42735,8000,IF(Table1[Leaving Date]&gt;42643,7000,IF(Table1[Leaving Date]&gt;42551,6000,IF(Table1[Leaving Date]&gt;42460,5000,IF(Table1[Leaving Date]&gt;42369,4000,IF(Table1[Leaving Date]&gt;42277,3000,IF(Table1[Leaving Date]&gt;42185,2000,IF(Table1[Leaving Date]&gt;42094,1000))))))))</f>
        <v>0</v>
      </c>
      <c r="EK431" s="44" t="e">
        <f>VLOOKUP(Table1[Reason for Leaving],Lists!$T$2:$U$15,2,FALSE)</f>
        <v>#N/A</v>
      </c>
      <c r="EL431" s="44" t="e">
        <f>SUM(Table1[Data Leavers Date]+Table1[Data Move On])</f>
        <v>#N/A</v>
      </c>
      <c r="EM431" s="44" t="b">
        <f>IF(Table1[Registered with GP2]="Yes",1,IF(Table1[Registered with GP2]="No",0,IF(Table1[Registered with GP]="Yes",1,IF(Table1[Registered with GP]="No",0))))</f>
        <v>0</v>
      </c>
      <c r="EN431" s="44">
        <f>SUM(Table1[Data Leavers Date]+Table1[Data GP End])</f>
        <v>0</v>
      </c>
      <c r="EO431" s="44" t="str">
        <f>IF(Table1[EET2]="NEET",1,IF(Table1[EET2]="Employment",2,IF(Table1[EET2]="Education",2,IF(Table1[EET2]="Training",2,IF(Table1[EET2]="Retired",3,IF(Table1[EET]="NEET",1,IF(Table1[EET]="Employment",2,IF(Table1[EET]="Education",2,IF(Table1[EET]="Training",2,IF(Table1[EET]="Retired",3,""))))))))))</f>
        <v/>
      </c>
      <c r="EP431" s="44" t="e">
        <f>+Table1[[#This Row],[Data Leavers Date]]+Table1[[#This Row],[Data EET End]]</f>
        <v>#VALUE!</v>
      </c>
      <c r="EQ431" s="44">
        <f>IF(Table1[Exit Form Received]="Yes",1,0)</f>
        <v>0</v>
      </c>
      <c r="ER431" s="44">
        <f>+Table1[[#This Row],[Data Leavers Date]]+Table1[[#This Row],[Data Exit Forms]]</f>
        <v>0</v>
      </c>
      <c r="ES431" s="44" t="str">
        <f>IF(Table1[Data Leavers Date]=1000,SUM(Table1[Leaving Date]-Table1[Start Date]),"")</f>
        <v/>
      </c>
      <c r="ET431" s="44" t="str">
        <f>IF(Table1[Data Leavers Date]=2000,SUM(Table1[Leaving Date]-Table1[Start Date]),"")</f>
        <v/>
      </c>
      <c r="EU431" s="44" t="str">
        <f>IF(Table1[Data Leavers Date]=3000,SUM(Table1[Leaving Date]-Table1[Start Date]),"")</f>
        <v/>
      </c>
      <c r="EV431" s="44" t="str">
        <f>IF(Table1[Data Leavers Date]=4000,SUM(Table1[Leaving Date]-Table1[Start Date]),"")</f>
        <v/>
      </c>
      <c r="EW431" s="44" t="str">
        <f>IF(Table1[Data Leavers Date]=5000,SUM(Table1[Leaving Date]-Table1[Start Date]),"")</f>
        <v/>
      </c>
      <c r="EX431" s="44" t="str">
        <f>IF(Table1[Data Leavers Date]=6000,SUM(Table1[Leaving Date]-Table1[Start Date]),"")</f>
        <v/>
      </c>
      <c r="EY431" s="44" t="str">
        <f>IF(Table1[Data Leavers Date]=7000,SUM(Table1[Leaving Date]-Table1[Start Date]),"")</f>
        <v/>
      </c>
      <c r="EZ431" s="44" t="str">
        <f>IF(Table1[Data Leavers Date]=8000,SUM(Table1[Leaving Date]-Table1[Start Date]),"")</f>
        <v/>
      </c>
      <c r="FA431" s="44" t="str">
        <f>IF(Table1[Date of Initial Assessment]="","",IF(AND(Table1[Start Date]&gt;42094,Table1[Start Date]&lt;42461),Table1[Motivation and Taking Responsibility],""))</f>
        <v/>
      </c>
      <c r="FB431" s="44" t="str">
        <f>IF(Table1[Date of Initial Assessment]="","",IF(AND(Table1[Start Date]&gt;42094,Table1[Start Date]&lt;42461),Table1[Self-Care and Living Skills],""))</f>
        <v/>
      </c>
      <c r="FC431" s="44" t="str">
        <f>IF(Table1[Date of Initial Assessment]="","",IF(AND(Table1[Start Date]&gt;42094,Table1[Start Date]&lt;42461),Table1[Managing Money and Personal Administration],""))</f>
        <v/>
      </c>
      <c r="FD431" s="44" t="str">
        <f>IF(Table1[Date of Initial Assessment]="","",IF(AND(Table1[Start Date]&gt;42094,Table1[Start Date]&lt;42461),Table1[Social Networks and Relationships],""))</f>
        <v/>
      </c>
      <c r="FE431" s="44" t="str">
        <f>IF(Table1[Date of Initial Assessment]="","",IF(AND(Table1[Start Date]&gt;42094,Table1[Start Date]&lt;42461),Table1[Drug and Alcohol Misuse],""))</f>
        <v/>
      </c>
      <c r="FF431" s="44" t="str">
        <f>IF(Table1[Date of Initial Assessment]="","",IF(AND(Table1[Start Date]&gt;42094,Table1[Start Date]&lt;42461),Table1[Physical Health],""))</f>
        <v/>
      </c>
      <c r="FG431" s="44" t="str">
        <f>IF(Table1[Date of Initial Assessment]="","",IF(AND(Table1[Start Date]&gt;42094,Table1[Start Date]&lt;42461),Table1[Emotional and Mental Health],""))</f>
        <v/>
      </c>
      <c r="FH431" s="44" t="str">
        <f>IF(Table1[Date of Initial Assessment]="","",IF(AND(Table1[Start Date]&gt;42094,Table1[Start Date]&lt;42461),Table1[Meaningful Use of Time],""))</f>
        <v/>
      </c>
      <c r="FI431" s="44" t="str">
        <f>IF(Table1[Date of Initial Assessment]="","",IF(AND(Table1[Start Date]&gt;42094,Table1[Start Date]&lt;42461),Table1[Managing Tenancy and Accommodation],""))</f>
        <v/>
      </c>
      <c r="FJ431" s="44" t="str">
        <f>IF(Table1[Date of Initial Assessment]="","",IF(AND(Table1[Start Date]&gt;42094,Table1[Start Date]&lt;42461),Table1[Offending],""))</f>
        <v/>
      </c>
      <c r="FK431" s="44" t="str">
        <f>IF(Table1[Leaving Date]="","",IF(Table1[Date of Initial Assessment]="","",IF(AND(Table1[Leaving Date]&gt;42094,Table1[Leaving Date]&lt;42461),IF(Table1[Date of Last Assessment]="",Table1[Motivation and Taking Responsibility],Table1[Motivation and Taking Responsibility2]),"")))</f>
        <v/>
      </c>
      <c r="FL431" s="44" t="str">
        <f>IF(Table1[Leaving Date]="","",IF(Table1[Date of Initial Assessment]="","",IF(AND(Table1[Leaving Date]&gt;42094,Table1[Leaving Date]&lt;42461),IF(Table1[Date of Last Assessment]="",Table1[Self-Care and Living Skills],Table1[Self-Care and Living Skills2]),"")))</f>
        <v/>
      </c>
      <c r="FM431" s="44" t="str">
        <f>IF(Table1[Leaving Date]="","",IF(Table1[Date of Initial Assessment]="","",IF(AND(Table1[Leaving Date]&gt;42094,Table1[Leaving Date]&lt;42461),IF(Table1[Date of Last Assessment]="",Table1[Managing Money and Personal Administration],Table1[Managing Money and Personal Administration2]),"")))</f>
        <v/>
      </c>
      <c r="FN431" s="44" t="str">
        <f>IF(Table1[Leaving Date]="","",IF(Table1[Date of Initial Assessment]="","",IF(AND(Table1[Leaving Date]&gt;42094,Table1[Leaving Date]&lt;42461),IF(Table1[Date of Last Assessment]="",Table1[Social Networks and Relationships],Table1[Social Networks and Relationships2]),"")))</f>
        <v/>
      </c>
      <c r="FO431" s="44" t="str">
        <f>IF(Table1[Leaving Date]="","",IF(Table1[Date of Initial Assessment]="","",IF(AND(Table1[Leaving Date]&gt;42094,Table1[Leaving Date]&lt;42461),IF(Table1[Date of Last Assessment]="",Table1[Drug and Alcohol Misuse],Table1[Drug and Alcohol Misuse2]),"")))</f>
        <v/>
      </c>
      <c r="FP431" s="44" t="str">
        <f>IF(Table1[Leaving Date]="","",IF(Table1[Date of Initial Assessment]="","",IF(AND(Table1[Leaving Date]&gt;42094,Table1[Leaving Date]&lt;42461),IF(Table1[Date of Last Assessment]="",Table1[Physical Health],Table1[Physical Health2]),"")))</f>
        <v/>
      </c>
      <c r="FQ431" s="44" t="str">
        <f>IF(Table1[Leaving Date]="","",IF(Table1[Date of Initial Assessment]="","",IF(AND(Table1[Leaving Date]&gt;42094,Table1[Leaving Date]&lt;42461),IF(Table1[Date of Last Assessment]="",Table1[Emotional and Mental Health],Table1[Emotional and Mental Health2]),"")))</f>
        <v/>
      </c>
      <c r="FR431" s="44" t="str">
        <f>IF(Table1[Leaving Date]="","",IF(Table1[Date of Initial Assessment]="","",IF(AND(Table1[Leaving Date]&gt;42094,Table1[Leaving Date]&lt;42461),IF(Table1[Date of Last Assessment]="",Table1[Meaningful Use of Time],Table1[Meaningful Use of Time2]),"")))</f>
        <v/>
      </c>
      <c r="FS431" s="44" t="str">
        <f>IF(Table1[Leaving Date]="","",IF(Table1[Date of Initial Assessment]="","",IF(AND(Table1[Leaving Date]&gt;42094,Table1[Leaving Date]&lt;42461),IF(Table1[Date of Last Assessment]="",Table1[Managing Tenancy and Accommodation],Table1[Managing Tenancy and Accommodation2]),"")))</f>
        <v/>
      </c>
      <c r="FT431" s="44" t="str">
        <f>IF(Table1[Leaving Date]="","",IF(Table1[Date of Initial Assessment]="","",IF(AND(Table1[Leaving Date]&gt;42094,Table1[Leaving Date]&lt;42461),IF(Table1[Date of Last Assessment]="",Table1[Offending],Table1[Offending2]),"")))</f>
        <v/>
      </c>
      <c r="FU431" s="44" t="str">
        <f>IF(Table1[Date of Initial Assessment]="","",IF(AND(Table1[Start Date]&gt;42460,Table1[Start Date]&lt;42826),Table1[Motivation and Taking Responsibility],""))</f>
        <v/>
      </c>
      <c r="FV431" s="44" t="str">
        <f>IF(Table1[Date of Initial Assessment]="","",IF(AND(Table1[Start Date]&gt;42460,Table1[Start Date]&lt;42826),Table1[Self-Care and Living Skills],""))</f>
        <v/>
      </c>
      <c r="FW431" s="44" t="str">
        <f>IF(Table1[Date of Initial Assessment]="","",IF(AND(Table1[Start Date]&gt;42460,Table1[Start Date]&lt;42826),Table1[Managing Money and Personal Administration],""))</f>
        <v/>
      </c>
      <c r="FX431" s="44" t="str">
        <f>IF(Table1[Date of Initial Assessment]="","",IF(AND(Table1[Start Date]&gt;42460,Table1[Start Date]&lt;42826),Table1[Social Networks and Relationships],""))</f>
        <v/>
      </c>
      <c r="FY431" s="44" t="str">
        <f>IF(Table1[Date of Initial Assessment]="","",IF(AND(Table1[Start Date]&gt;42460,Table1[Start Date]&lt;42826),Table1[Drug and Alcohol Misuse],""))</f>
        <v/>
      </c>
      <c r="FZ431" s="44" t="str">
        <f>IF(Table1[Date of Initial Assessment]="","",IF(AND(Table1[Start Date]&gt;42460,Table1[Start Date]&lt;42826),Table1[Physical Health],""))</f>
        <v/>
      </c>
      <c r="GA431" s="44" t="str">
        <f>IF(Table1[Date of Initial Assessment]="","",IF(AND(Table1[Start Date]&gt;42460,Table1[Start Date]&lt;42826),Table1[Emotional and Mental Health],""))</f>
        <v/>
      </c>
      <c r="GB431" s="44" t="str">
        <f>IF(Table1[Date of Initial Assessment]="","",IF(AND(Table1[Start Date]&gt;42460,Table1[Start Date]&lt;42826),Table1[Meaningful Use of Time],""))</f>
        <v/>
      </c>
      <c r="GC431" s="44" t="str">
        <f>IF(Table1[Date of Initial Assessment]="","",IF(AND(Table1[Start Date]&gt;42460,Table1[Start Date]&lt;42826),Table1[Managing Tenancy and Accommodation],""))</f>
        <v/>
      </c>
      <c r="GD431" s="44" t="str">
        <f>IF(Table1[Date of Initial Assessment]="","",IF(AND(Table1[Start Date]&gt;42460,Table1[Start Date]&lt;42826),Table1[Offending],""))</f>
        <v/>
      </c>
      <c r="GE431" s="44" t="str">
        <f>IF(Table1[Leaving Date]="","",IF(AND(Table1[Leaving Date]&gt;42460,Table1[Leaving Date]&lt;42826),IF(Table1[Date of Last Assessment]="",Table1[Motivation and Taking Responsibility],Table1[Motivation and Taking Responsibility2]),""))</f>
        <v/>
      </c>
      <c r="GF431" s="44" t="str">
        <f>IF(Table1[Leaving Date]="","",IF(AND(Table1[Leaving Date]&gt;42460,Table1[Leaving Date]&lt;42826),IF(Table1[Date of Last Assessment]="",Table1[Self-Care and Living Skills],Table1[Self-Care and Living Skills2]),""))</f>
        <v/>
      </c>
      <c r="GG431" s="44" t="str">
        <f>IF(Table1[Leaving Date]="","",IF(AND(Table1[Leaving Date]&gt;42460,Table1[Leaving Date]&lt;42826),IF(Table1[Date of Last Assessment]="",Table1[Managing Money and Personal Administration],Table1[Managing Money and Personal Administration2]),""))</f>
        <v/>
      </c>
      <c r="GH431" s="44" t="str">
        <f>IF(Table1[Leaving Date]="","",IF(AND(Table1[Leaving Date]&gt;42460,Table1[Leaving Date]&lt;42826),IF(Table1[Date of Last Assessment]="",Table1[Social Networks and Relationships],Table1[Social Networks and Relationships2]),""))</f>
        <v/>
      </c>
      <c r="GI431" s="44" t="str">
        <f>IF(Table1[Leaving Date]="","",IF(AND(Table1[Leaving Date]&gt;42460,Table1[Leaving Date]&lt;42826),IF(Table1[Date of Last Assessment]="",Table1[Drug and Alcohol Misuse],Table1[Drug and Alcohol Misuse2]),""))</f>
        <v/>
      </c>
      <c r="GJ431" s="44" t="str">
        <f>IF(Table1[Leaving Date]="","",IF(AND(Table1[Leaving Date]&gt;42460,Table1[Leaving Date]&lt;42826),IF(Table1[Date of Last Assessment]="",Table1[Physical Health],Table1[Physical Health2]),""))</f>
        <v/>
      </c>
      <c r="GK431" s="44" t="str">
        <f>IF(Table1[Leaving Date]="","",IF(AND(Table1[Leaving Date]&gt;42460,Table1[Leaving Date]&lt;42826),IF(Table1[Date of Last Assessment]="",Table1[Emotional and Mental Health],Table1[Emotional and Mental Health2]),""))</f>
        <v/>
      </c>
      <c r="GL431" s="44" t="str">
        <f>IF(Table1[Leaving Date]="","",IF(AND(Table1[Leaving Date]&gt;42460,Table1[Leaving Date]&lt;42826),IF(Table1[Date of Last Assessment]="",Table1[Meaningful Use of Time],Table1[Meaningful Use of Time2]),""))</f>
        <v/>
      </c>
      <c r="GM431" s="44" t="str">
        <f>IF(Table1[Leaving Date]="","",IF(AND(Table1[Leaving Date]&gt;42460,Table1[Leaving Date]&lt;42826),IF(Table1[Date of Last Assessment]="",Table1[Managing Tenancy and Accommodation],Table1[Managing Tenancy and Accommodation2]),""))</f>
        <v/>
      </c>
      <c r="GN431" s="44" t="str">
        <f>IF(Table1[Leaving Date]="","",IF(AND(Table1[Leaving Date]&gt;42460,Table1[Leaving Date]&lt;42826),IF(Table1[Date of Last Assessment]="",Table1[Offending],Table1[Offending2]),""))</f>
        <v/>
      </c>
    </row>
    <row r="432" spans="2:196" ht="20.100000000000001" customHeight="1" x14ac:dyDescent="0.2">
      <c r="B432" s="86">
        <f>+'Service Data'!$C$5:$C$5</f>
        <v>0</v>
      </c>
      <c r="C432" s="86"/>
      <c r="D432" s="86"/>
      <c r="E432" s="86"/>
      <c r="F432" s="86"/>
      <c r="G432" s="86"/>
      <c r="H432" s="6"/>
      <c r="I432" s="99" t="str">
        <f ca="1">IF(Table1[[#This Row],[Date of Birth]]="","",SUM(TODAY()-Table1[[#This Row],[Date of Birth]])/365)</f>
        <v/>
      </c>
      <c r="L432" s="86"/>
      <c r="M432" s="77"/>
      <c r="N432" s="86"/>
      <c r="O432" s="86"/>
      <c r="P432" s="91"/>
      <c r="Q432" s="86"/>
      <c r="R432" s="77"/>
      <c r="S432" s="77"/>
      <c r="T432" s="68"/>
      <c r="U432" s="68"/>
      <c r="V432" s="67"/>
      <c r="W432" s="67"/>
      <c r="X432" s="67"/>
      <c r="Y432" s="67"/>
      <c r="Z432" s="67"/>
      <c r="AA432" s="67"/>
      <c r="AB432" s="67"/>
      <c r="AC432" s="67"/>
      <c r="AD432" s="67"/>
      <c r="AE432" s="67"/>
      <c r="AF432" s="67"/>
      <c r="AG432" s="67"/>
      <c r="AH432" s="67"/>
      <c r="AI432" s="67"/>
      <c r="AJ432" s="67"/>
      <c r="AK432" s="67"/>
      <c r="AL432" s="67"/>
      <c r="AM432" s="67"/>
      <c r="AN432" s="77"/>
      <c r="AO432" s="76"/>
      <c r="AP432" s="77"/>
      <c r="AQ432" s="76"/>
      <c r="AR432" s="76"/>
      <c r="AS432" s="76"/>
      <c r="AT432" s="76"/>
      <c r="AU432" s="76"/>
      <c r="AV432" s="77"/>
      <c r="AW432" s="76"/>
      <c r="AX432" s="77"/>
      <c r="AY432" s="76"/>
      <c r="AZ432" s="76"/>
      <c r="BA432" s="76"/>
      <c r="BB432" s="76"/>
      <c r="BC432" s="76"/>
      <c r="BD432" s="77"/>
      <c r="BE432" s="76"/>
      <c r="BF432" s="77"/>
      <c r="BG432" s="76"/>
      <c r="BH432" s="76"/>
      <c r="BI432" s="76"/>
      <c r="BJ432" s="76"/>
      <c r="BK432" s="76"/>
      <c r="BL432" s="77"/>
      <c r="BM432" s="76"/>
      <c r="BN432" s="77"/>
      <c r="BO432" s="76"/>
      <c r="BP432" s="76"/>
      <c r="BQ432" s="76"/>
      <c r="BR432" s="76"/>
      <c r="BS432" s="76"/>
      <c r="BT432" s="77"/>
      <c r="BU432" s="76"/>
      <c r="BV432" s="77"/>
      <c r="BW432" s="76"/>
      <c r="BX432" s="76"/>
      <c r="BY432" s="76"/>
      <c r="BZ432" s="76"/>
      <c r="CA432" s="76"/>
      <c r="CB432" s="77"/>
      <c r="CC432" s="76"/>
      <c r="CD432" s="77"/>
      <c r="CE432" s="76"/>
      <c r="CF432" s="76"/>
      <c r="CG432" s="76"/>
      <c r="CH432" s="76"/>
      <c r="CI432" s="76"/>
      <c r="CJ432" s="77"/>
      <c r="CK432" s="76"/>
      <c r="CL432" s="77"/>
      <c r="CM432" s="76"/>
      <c r="CN432" s="76"/>
      <c r="CO432" s="76"/>
      <c r="CP432" s="76"/>
      <c r="CQ432" s="76"/>
      <c r="CR432" s="78" t="str">
        <f t="shared" si="111"/>
        <v/>
      </c>
      <c r="CS432" s="79" t="str">
        <f t="shared" si="112"/>
        <v/>
      </c>
      <c r="CT432" s="79" t="str">
        <f t="shared" si="113"/>
        <v/>
      </c>
      <c r="CU432" s="79" t="str">
        <f t="shared" si="114"/>
        <v/>
      </c>
      <c r="CV432" s="79" t="str">
        <f t="shared" si="115"/>
        <v/>
      </c>
      <c r="CW432" s="79" t="str">
        <f t="shared" si="116"/>
        <v/>
      </c>
      <c r="CX432" s="79" t="str">
        <f t="shared" si="117"/>
        <v/>
      </c>
      <c r="CY432" s="79" t="str">
        <f t="shared" si="118"/>
        <v/>
      </c>
      <c r="CZ432" s="79" t="str">
        <f t="shared" si="119"/>
        <v/>
      </c>
      <c r="DA432" s="79" t="str">
        <f t="shared" si="120"/>
        <v/>
      </c>
      <c r="DB432" s="79" t="str">
        <f t="shared" si="121"/>
        <v/>
      </c>
      <c r="DC432" s="79" t="str">
        <f t="shared" si="122"/>
        <v/>
      </c>
      <c r="DD432" s="79" t="str">
        <f t="shared" si="123"/>
        <v/>
      </c>
      <c r="DE432" s="79" t="str">
        <f t="shared" si="124"/>
        <v/>
      </c>
      <c r="DF432" s="79" t="str">
        <f t="shared" si="125"/>
        <v/>
      </c>
      <c r="DG432" s="79" t="str">
        <f t="shared" si="126"/>
        <v/>
      </c>
      <c r="DH432" s="76"/>
      <c r="DI432" s="78"/>
      <c r="DJ432" s="76"/>
      <c r="DK432" s="77"/>
      <c r="DL432" s="77"/>
      <c r="DM432" s="77"/>
      <c r="DN432" s="80"/>
      <c r="DO432" s="80"/>
      <c r="DP432" s="92" t="str">
        <f>IF(Table1[Start Date]="","",IF(Table1[Start Date]&gt;42185,"",IF(AND(Table1[Leaving Date]&gt;1,Table1[Leaving Date]&lt;42095),"",1)))</f>
        <v/>
      </c>
      <c r="DQ432" s="92" t="str">
        <f>IF(Table1[Start Date]="","",IF(Table1[Start Date]&gt;42277,"",IF(AND(Table1[Leaving Date]&gt;1,Table1[Leaving Date]&lt;42186),"",1)))</f>
        <v/>
      </c>
      <c r="DR432" s="92" t="str">
        <f>IF(Table1[Start Date]="","",IF(Table1[Start Date]&gt;42369,"",IF(AND(Table1[Leaving Date]&gt;1,Table1[Leaving Date]&lt;42278),"",1)))</f>
        <v/>
      </c>
      <c r="DS432" s="92" t="str">
        <f>IF(Table1[Start Date]="","",IF(Table1[Start Date]&gt;42460,"",IF(AND(Table1[Leaving Date]&gt;1,Table1[Leaving Date]&lt;42370),"",1)))</f>
        <v/>
      </c>
      <c r="DT432" s="92" t="str">
        <f>IF(Table1[Start Date]="","",IF(Table1[Start Date]&gt;42551,"",IF(AND(Table1[Leaving Date]&gt;1,Table1[Leaving Date]&lt;42461),"",1)))</f>
        <v/>
      </c>
      <c r="DU432" s="92" t="str">
        <f>IF(Table1[Start Date]="","",IF(Table1[Start Date]&gt;42643,"",IF(AND(Table1[Leaving Date]&gt;1,Table1[Leaving Date]&lt;42552),"",1)))</f>
        <v/>
      </c>
      <c r="DV432" s="92" t="str">
        <f>IF(Table1[Start Date]="","",IF(Table1[Start Date]&gt;42735,"",IF(AND(Table1[Leaving Date]&gt;1,Table1[Leaving Date]&lt;42644),"",1)))</f>
        <v/>
      </c>
      <c r="DW432" s="92" t="str">
        <f>IF(Table1[Start Date]="","",IF(Table1[Start Date]&gt;42825,"",IF(AND(Table1[Leaving Date]&gt;1,Table1[Leaving Date]&lt;42736),"",1)))</f>
        <v/>
      </c>
      <c r="DX432"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432" s="44" t="e">
        <f>VLOOKUP(Table1[Referral Source],Lists!$G$2:$H$20,2,FALSE)</f>
        <v>#N/A</v>
      </c>
      <c r="DZ432" s="93" t="e">
        <f>SUM(Table1[Data Referral Quarter]+Table1[Data Referral Source])</f>
        <v>#N/A</v>
      </c>
      <c r="EA432" s="44" t="b">
        <f>IF(Table1[Referral Decision]="Accepted",100,IF(Table1[Referral Decision]="Rejected by Provider",200,IF(Table1[Referral Decision]="Rejected by Applicant",300)))</f>
        <v>0</v>
      </c>
      <c r="EB432" s="44">
        <f>SUM(Table1[Data Referral Quarter]+Table1[Data Referral Decision])</f>
        <v>0</v>
      </c>
      <c r="EC432" s="44" t="b">
        <f>IF(Table1[Start Date]&gt;42735,8000,IF(Table1[Start Date]&gt;42643,7000,IF(Table1[Start Date]&gt;42551,6000,IF(Table1[Start Date]&gt;42460,5000,IF(Table1[Start Date]&gt;42369,4000,IF(Table1[Start Date]&gt;42277,3000,IF(Table1[Start Date]&gt;42185,2000,IF(Table1[Start Date]&gt;42094,1000))))))))</f>
        <v>0</v>
      </c>
      <c r="ED432" s="44" t="str">
        <f>IF(Table1[Start Date]="","",IF(Table1[Current Local Authority]="Swindon",1,"2"))</f>
        <v/>
      </c>
      <c r="EE432" s="44" t="e">
        <f>SUM(Table1[Data Start Date]+Table1[Data Local Authority])</f>
        <v>#VALUE!</v>
      </c>
      <c r="EF432" s="44">
        <f>IF(Table1[Registered with GP]="Yes",1,0)</f>
        <v>0</v>
      </c>
      <c r="EG432" s="44">
        <f>SUM(Table1[Data Start Date]+Table1[Data GP Start])</f>
        <v>0</v>
      </c>
      <c r="EH432" s="44" t="str">
        <f>IF(Table1[EET]="NEET",1,IF(Table1[EET]="Education",2,IF(Table1[EET]="Employment",2,IF(Table1[EET]="Training",2,IF(Table1[EET]="Retired",3,"")))))</f>
        <v/>
      </c>
      <c r="EI432" s="44" t="e">
        <f>Table1[Data Start Date]+Table1[Data EET Start]</f>
        <v>#VALUE!</v>
      </c>
      <c r="EJ432" s="44" t="b">
        <f>IF(Table1[Leaving Date]&gt;42735,8000,IF(Table1[Leaving Date]&gt;42643,7000,IF(Table1[Leaving Date]&gt;42551,6000,IF(Table1[Leaving Date]&gt;42460,5000,IF(Table1[Leaving Date]&gt;42369,4000,IF(Table1[Leaving Date]&gt;42277,3000,IF(Table1[Leaving Date]&gt;42185,2000,IF(Table1[Leaving Date]&gt;42094,1000))))))))</f>
        <v>0</v>
      </c>
      <c r="EK432" s="44" t="e">
        <f>VLOOKUP(Table1[Reason for Leaving],Lists!$T$2:$U$15,2,FALSE)</f>
        <v>#N/A</v>
      </c>
      <c r="EL432" s="44" t="e">
        <f>SUM(Table1[Data Leavers Date]+Table1[Data Move On])</f>
        <v>#N/A</v>
      </c>
      <c r="EM432" s="44" t="b">
        <f>IF(Table1[Registered with GP2]="Yes",1,IF(Table1[Registered with GP2]="No",0,IF(Table1[Registered with GP]="Yes",1,IF(Table1[Registered with GP]="No",0))))</f>
        <v>0</v>
      </c>
      <c r="EN432" s="44">
        <f>SUM(Table1[Data Leavers Date]+Table1[Data GP End])</f>
        <v>0</v>
      </c>
      <c r="EO432" s="44" t="str">
        <f>IF(Table1[EET2]="NEET",1,IF(Table1[EET2]="Employment",2,IF(Table1[EET2]="Education",2,IF(Table1[EET2]="Training",2,IF(Table1[EET2]="Retired",3,IF(Table1[EET]="NEET",1,IF(Table1[EET]="Employment",2,IF(Table1[EET]="Education",2,IF(Table1[EET]="Training",2,IF(Table1[EET]="Retired",3,""))))))))))</f>
        <v/>
      </c>
      <c r="EP432" s="44" t="e">
        <f>+Table1[[#This Row],[Data Leavers Date]]+Table1[[#This Row],[Data EET End]]</f>
        <v>#VALUE!</v>
      </c>
      <c r="EQ432" s="44">
        <f>IF(Table1[Exit Form Received]="Yes",1,0)</f>
        <v>0</v>
      </c>
      <c r="ER432" s="44">
        <f>+Table1[[#This Row],[Data Leavers Date]]+Table1[[#This Row],[Data Exit Forms]]</f>
        <v>0</v>
      </c>
      <c r="ES432" s="44" t="str">
        <f>IF(Table1[Data Leavers Date]=1000,SUM(Table1[Leaving Date]-Table1[Start Date]),"")</f>
        <v/>
      </c>
      <c r="ET432" s="44" t="str">
        <f>IF(Table1[Data Leavers Date]=2000,SUM(Table1[Leaving Date]-Table1[Start Date]),"")</f>
        <v/>
      </c>
      <c r="EU432" s="44" t="str">
        <f>IF(Table1[Data Leavers Date]=3000,SUM(Table1[Leaving Date]-Table1[Start Date]),"")</f>
        <v/>
      </c>
      <c r="EV432" s="44" t="str">
        <f>IF(Table1[Data Leavers Date]=4000,SUM(Table1[Leaving Date]-Table1[Start Date]),"")</f>
        <v/>
      </c>
      <c r="EW432" s="44" t="str">
        <f>IF(Table1[Data Leavers Date]=5000,SUM(Table1[Leaving Date]-Table1[Start Date]),"")</f>
        <v/>
      </c>
      <c r="EX432" s="44" t="str">
        <f>IF(Table1[Data Leavers Date]=6000,SUM(Table1[Leaving Date]-Table1[Start Date]),"")</f>
        <v/>
      </c>
      <c r="EY432" s="44" t="str">
        <f>IF(Table1[Data Leavers Date]=7000,SUM(Table1[Leaving Date]-Table1[Start Date]),"")</f>
        <v/>
      </c>
      <c r="EZ432" s="44" t="str">
        <f>IF(Table1[Data Leavers Date]=8000,SUM(Table1[Leaving Date]-Table1[Start Date]),"")</f>
        <v/>
      </c>
      <c r="FA432" s="44" t="str">
        <f>IF(Table1[Date of Initial Assessment]="","",IF(AND(Table1[Start Date]&gt;42094,Table1[Start Date]&lt;42461),Table1[Motivation and Taking Responsibility],""))</f>
        <v/>
      </c>
      <c r="FB432" s="44" t="str">
        <f>IF(Table1[Date of Initial Assessment]="","",IF(AND(Table1[Start Date]&gt;42094,Table1[Start Date]&lt;42461),Table1[Self-Care and Living Skills],""))</f>
        <v/>
      </c>
      <c r="FC432" s="44" t="str">
        <f>IF(Table1[Date of Initial Assessment]="","",IF(AND(Table1[Start Date]&gt;42094,Table1[Start Date]&lt;42461),Table1[Managing Money and Personal Administration],""))</f>
        <v/>
      </c>
      <c r="FD432" s="44" t="str">
        <f>IF(Table1[Date of Initial Assessment]="","",IF(AND(Table1[Start Date]&gt;42094,Table1[Start Date]&lt;42461),Table1[Social Networks and Relationships],""))</f>
        <v/>
      </c>
      <c r="FE432" s="44" t="str">
        <f>IF(Table1[Date of Initial Assessment]="","",IF(AND(Table1[Start Date]&gt;42094,Table1[Start Date]&lt;42461),Table1[Drug and Alcohol Misuse],""))</f>
        <v/>
      </c>
      <c r="FF432" s="44" t="str">
        <f>IF(Table1[Date of Initial Assessment]="","",IF(AND(Table1[Start Date]&gt;42094,Table1[Start Date]&lt;42461),Table1[Physical Health],""))</f>
        <v/>
      </c>
      <c r="FG432" s="44" t="str">
        <f>IF(Table1[Date of Initial Assessment]="","",IF(AND(Table1[Start Date]&gt;42094,Table1[Start Date]&lt;42461),Table1[Emotional and Mental Health],""))</f>
        <v/>
      </c>
      <c r="FH432" s="44" t="str">
        <f>IF(Table1[Date of Initial Assessment]="","",IF(AND(Table1[Start Date]&gt;42094,Table1[Start Date]&lt;42461),Table1[Meaningful Use of Time],""))</f>
        <v/>
      </c>
      <c r="FI432" s="44" t="str">
        <f>IF(Table1[Date of Initial Assessment]="","",IF(AND(Table1[Start Date]&gt;42094,Table1[Start Date]&lt;42461),Table1[Managing Tenancy and Accommodation],""))</f>
        <v/>
      </c>
      <c r="FJ432" s="44" t="str">
        <f>IF(Table1[Date of Initial Assessment]="","",IF(AND(Table1[Start Date]&gt;42094,Table1[Start Date]&lt;42461),Table1[Offending],""))</f>
        <v/>
      </c>
      <c r="FK432" s="44" t="str">
        <f>IF(Table1[Leaving Date]="","",IF(Table1[Date of Initial Assessment]="","",IF(AND(Table1[Leaving Date]&gt;42094,Table1[Leaving Date]&lt;42461),IF(Table1[Date of Last Assessment]="",Table1[Motivation and Taking Responsibility],Table1[Motivation and Taking Responsibility2]),"")))</f>
        <v/>
      </c>
      <c r="FL432" s="44" t="str">
        <f>IF(Table1[Leaving Date]="","",IF(Table1[Date of Initial Assessment]="","",IF(AND(Table1[Leaving Date]&gt;42094,Table1[Leaving Date]&lt;42461),IF(Table1[Date of Last Assessment]="",Table1[Self-Care and Living Skills],Table1[Self-Care and Living Skills2]),"")))</f>
        <v/>
      </c>
      <c r="FM432" s="44" t="str">
        <f>IF(Table1[Leaving Date]="","",IF(Table1[Date of Initial Assessment]="","",IF(AND(Table1[Leaving Date]&gt;42094,Table1[Leaving Date]&lt;42461),IF(Table1[Date of Last Assessment]="",Table1[Managing Money and Personal Administration],Table1[Managing Money and Personal Administration2]),"")))</f>
        <v/>
      </c>
      <c r="FN432" s="44" t="str">
        <f>IF(Table1[Leaving Date]="","",IF(Table1[Date of Initial Assessment]="","",IF(AND(Table1[Leaving Date]&gt;42094,Table1[Leaving Date]&lt;42461),IF(Table1[Date of Last Assessment]="",Table1[Social Networks and Relationships],Table1[Social Networks and Relationships2]),"")))</f>
        <v/>
      </c>
      <c r="FO432" s="44" t="str">
        <f>IF(Table1[Leaving Date]="","",IF(Table1[Date of Initial Assessment]="","",IF(AND(Table1[Leaving Date]&gt;42094,Table1[Leaving Date]&lt;42461),IF(Table1[Date of Last Assessment]="",Table1[Drug and Alcohol Misuse],Table1[Drug and Alcohol Misuse2]),"")))</f>
        <v/>
      </c>
      <c r="FP432" s="44" t="str">
        <f>IF(Table1[Leaving Date]="","",IF(Table1[Date of Initial Assessment]="","",IF(AND(Table1[Leaving Date]&gt;42094,Table1[Leaving Date]&lt;42461),IF(Table1[Date of Last Assessment]="",Table1[Physical Health],Table1[Physical Health2]),"")))</f>
        <v/>
      </c>
      <c r="FQ432" s="44" t="str">
        <f>IF(Table1[Leaving Date]="","",IF(Table1[Date of Initial Assessment]="","",IF(AND(Table1[Leaving Date]&gt;42094,Table1[Leaving Date]&lt;42461),IF(Table1[Date of Last Assessment]="",Table1[Emotional and Mental Health],Table1[Emotional and Mental Health2]),"")))</f>
        <v/>
      </c>
      <c r="FR432" s="44" t="str">
        <f>IF(Table1[Leaving Date]="","",IF(Table1[Date of Initial Assessment]="","",IF(AND(Table1[Leaving Date]&gt;42094,Table1[Leaving Date]&lt;42461),IF(Table1[Date of Last Assessment]="",Table1[Meaningful Use of Time],Table1[Meaningful Use of Time2]),"")))</f>
        <v/>
      </c>
      <c r="FS432" s="44" t="str">
        <f>IF(Table1[Leaving Date]="","",IF(Table1[Date of Initial Assessment]="","",IF(AND(Table1[Leaving Date]&gt;42094,Table1[Leaving Date]&lt;42461),IF(Table1[Date of Last Assessment]="",Table1[Managing Tenancy and Accommodation],Table1[Managing Tenancy and Accommodation2]),"")))</f>
        <v/>
      </c>
      <c r="FT432" s="44" t="str">
        <f>IF(Table1[Leaving Date]="","",IF(Table1[Date of Initial Assessment]="","",IF(AND(Table1[Leaving Date]&gt;42094,Table1[Leaving Date]&lt;42461),IF(Table1[Date of Last Assessment]="",Table1[Offending],Table1[Offending2]),"")))</f>
        <v/>
      </c>
      <c r="FU432" s="44" t="str">
        <f>IF(Table1[Date of Initial Assessment]="","",IF(AND(Table1[Start Date]&gt;42460,Table1[Start Date]&lt;42826),Table1[Motivation and Taking Responsibility],""))</f>
        <v/>
      </c>
      <c r="FV432" s="44" t="str">
        <f>IF(Table1[Date of Initial Assessment]="","",IF(AND(Table1[Start Date]&gt;42460,Table1[Start Date]&lt;42826),Table1[Self-Care and Living Skills],""))</f>
        <v/>
      </c>
      <c r="FW432" s="44" t="str">
        <f>IF(Table1[Date of Initial Assessment]="","",IF(AND(Table1[Start Date]&gt;42460,Table1[Start Date]&lt;42826),Table1[Managing Money and Personal Administration],""))</f>
        <v/>
      </c>
      <c r="FX432" s="44" t="str">
        <f>IF(Table1[Date of Initial Assessment]="","",IF(AND(Table1[Start Date]&gt;42460,Table1[Start Date]&lt;42826),Table1[Social Networks and Relationships],""))</f>
        <v/>
      </c>
      <c r="FY432" s="44" t="str">
        <f>IF(Table1[Date of Initial Assessment]="","",IF(AND(Table1[Start Date]&gt;42460,Table1[Start Date]&lt;42826),Table1[Drug and Alcohol Misuse],""))</f>
        <v/>
      </c>
      <c r="FZ432" s="44" t="str">
        <f>IF(Table1[Date of Initial Assessment]="","",IF(AND(Table1[Start Date]&gt;42460,Table1[Start Date]&lt;42826),Table1[Physical Health],""))</f>
        <v/>
      </c>
      <c r="GA432" s="44" t="str">
        <f>IF(Table1[Date of Initial Assessment]="","",IF(AND(Table1[Start Date]&gt;42460,Table1[Start Date]&lt;42826),Table1[Emotional and Mental Health],""))</f>
        <v/>
      </c>
      <c r="GB432" s="44" t="str">
        <f>IF(Table1[Date of Initial Assessment]="","",IF(AND(Table1[Start Date]&gt;42460,Table1[Start Date]&lt;42826),Table1[Meaningful Use of Time],""))</f>
        <v/>
      </c>
      <c r="GC432" s="44" t="str">
        <f>IF(Table1[Date of Initial Assessment]="","",IF(AND(Table1[Start Date]&gt;42460,Table1[Start Date]&lt;42826),Table1[Managing Tenancy and Accommodation],""))</f>
        <v/>
      </c>
      <c r="GD432" s="44" t="str">
        <f>IF(Table1[Date of Initial Assessment]="","",IF(AND(Table1[Start Date]&gt;42460,Table1[Start Date]&lt;42826),Table1[Offending],""))</f>
        <v/>
      </c>
      <c r="GE432" s="44" t="str">
        <f>IF(Table1[Leaving Date]="","",IF(AND(Table1[Leaving Date]&gt;42460,Table1[Leaving Date]&lt;42826),IF(Table1[Date of Last Assessment]="",Table1[Motivation and Taking Responsibility],Table1[Motivation and Taking Responsibility2]),""))</f>
        <v/>
      </c>
      <c r="GF432" s="44" t="str">
        <f>IF(Table1[Leaving Date]="","",IF(AND(Table1[Leaving Date]&gt;42460,Table1[Leaving Date]&lt;42826),IF(Table1[Date of Last Assessment]="",Table1[Self-Care and Living Skills],Table1[Self-Care and Living Skills2]),""))</f>
        <v/>
      </c>
      <c r="GG432" s="44" t="str">
        <f>IF(Table1[Leaving Date]="","",IF(AND(Table1[Leaving Date]&gt;42460,Table1[Leaving Date]&lt;42826),IF(Table1[Date of Last Assessment]="",Table1[Managing Money and Personal Administration],Table1[Managing Money and Personal Administration2]),""))</f>
        <v/>
      </c>
      <c r="GH432" s="44" t="str">
        <f>IF(Table1[Leaving Date]="","",IF(AND(Table1[Leaving Date]&gt;42460,Table1[Leaving Date]&lt;42826),IF(Table1[Date of Last Assessment]="",Table1[Social Networks and Relationships],Table1[Social Networks and Relationships2]),""))</f>
        <v/>
      </c>
      <c r="GI432" s="44" t="str">
        <f>IF(Table1[Leaving Date]="","",IF(AND(Table1[Leaving Date]&gt;42460,Table1[Leaving Date]&lt;42826),IF(Table1[Date of Last Assessment]="",Table1[Drug and Alcohol Misuse],Table1[Drug and Alcohol Misuse2]),""))</f>
        <v/>
      </c>
      <c r="GJ432" s="44" t="str">
        <f>IF(Table1[Leaving Date]="","",IF(AND(Table1[Leaving Date]&gt;42460,Table1[Leaving Date]&lt;42826),IF(Table1[Date of Last Assessment]="",Table1[Physical Health],Table1[Physical Health2]),""))</f>
        <v/>
      </c>
      <c r="GK432" s="44" t="str">
        <f>IF(Table1[Leaving Date]="","",IF(AND(Table1[Leaving Date]&gt;42460,Table1[Leaving Date]&lt;42826),IF(Table1[Date of Last Assessment]="",Table1[Emotional and Mental Health],Table1[Emotional and Mental Health2]),""))</f>
        <v/>
      </c>
      <c r="GL432" s="44" t="str">
        <f>IF(Table1[Leaving Date]="","",IF(AND(Table1[Leaving Date]&gt;42460,Table1[Leaving Date]&lt;42826),IF(Table1[Date of Last Assessment]="",Table1[Meaningful Use of Time],Table1[Meaningful Use of Time2]),""))</f>
        <v/>
      </c>
      <c r="GM432" s="44" t="str">
        <f>IF(Table1[Leaving Date]="","",IF(AND(Table1[Leaving Date]&gt;42460,Table1[Leaving Date]&lt;42826),IF(Table1[Date of Last Assessment]="",Table1[Managing Tenancy and Accommodation],Table1[Managing Tenancy and Accommodation2]),""))</f>
        <v/>
      </c>
      <c r="GN432" s="44" t="str">
        <f>IF(Table1[Leaving Date]="","",IF(AND(Table1[Leaving Date]&gt;42460,Table1[Leaving Date]&lt;42826),IF(Table1[Date of Last Assessment]="",Table1[Offending],Table1[Offending2]),""))</f>
        <v/>
      </c>
    </row>
    <row r="433" spans="2:196" ht="20.100000000000001" customHeight="1" x14ac:dyDescent="0.2">
      <c r="B433" s="86">
        <f>+'Service Data'!$C$5:$C$5</f>
        <v>0</v>
      </c>
      <c r="C433" s="86"/>
      <c r="D433" s="86"/>
      <c r="E433" s="86"/>
      <c r="F433" s="86"/>
      <c r="G433" s="86"/>
      <c r="H433" s="6"/>
      <c r="I433" s="99" t="str">
        <f ca="1">IF(Table1[[#This Row],[Date of Birth]]="","",SUM(TODAY()-Table1[[#This Row],[Date of Birth]])/365)</f>
        <v/>
      </c>
      <c r="L433" s="86"/>
      <c r="M433" s="77"/>
      <c r="N433" s="86"/>
      <c r="O433" s="86"/>
      <c r="P433" s="91"/>
      <c r="Q433" s="86"/>
      <c r="R433" s="77"/>
      <c r="S433" s="77"/>
      <c r="T433" s="68"/>
      <c r="U433" s="68"/>
      <c r="V433" s="67"/>
      <c r="W433" s="67"/>
      <c r="X433" s="67"/>
      <c r="Y433" s="67"/>
      <c r="Z433" s="67"/>
      <c r="AA433" s="67"/>
      <c r="AB433" s="67"/>
      <c r="AC433" s="67"/>
      <c r="AD433" s="67"/>
      <c r="AE433" s="67"/>
      <c r="AF433" s="67"/>
      <c r="AG433" s="67"/>
      <c r="AH433" s="67"/>
      <c r="AI433" s="67"/>
      <c r="AJ433" s="67"/>
      <c r="AK433" s="67"/>
      <c r="AL433" s="67"/>
      <c r="AM433" s="67"/>
      <c r="AN433" s="77"/>
      <c r="AO433" s="76"/>
      <c r="AP433" s="77"/>
      <c r="AQ433" s="76"/>
      <c r="AR433" s="76"/>
      <c r="AS433" s="76"/>
      <c r="AT433" s="76"/>
      <c r="AU433" s="76"/>
      <c r="AV433" s="77"/>
      <c r="AW433" s="76"/>
      <c r="AX433" s="77"/>
      <c r="AY433" s="76"/>
      <c r="AZ433" s="76"/>
      <c r="BA433" s="76"/>
      <c r="BB433" s="76"/>
      <c r="BC433" s="76"/>
      <c r="BD433" s="77"/>
      <c r="BE433" s="76"/>
      <c r="BF433" s="77"/>
      <c r="BG433" s="76"/>
      <c r="BH433" s="76"/>
      <c r="BI433" s="76"/>
      <c r="BJ433" s="76"/>
      <c r="BK433" s="76"/>
      <c r="BL433" s="77"/>
      <c r="BM433" s="76"/>
      <c r="BN433" s="77"/>
      <c r="BO433" s="76"/>
      <c r="BP433" s="76"/>
      <c r="BQ433" s="76"/>
      <c r="BR433" s="76"/>
      <c r="BS433" s="76"/>
      <c r="BT433" s="77"/>
      <c r="BU433" s="76"/>
      <c r="BV433" s="77"/>
      <c r="BW433" s="76"/>
      <c r="BX433" s="76"/>
      <c r="BY433" s="76"/>
      <c r="BZ433" s="76"/>
      <c r="CA433" s="76"/>
      <c r="CB433" s="77"/>
      <c r="CC433" s="76"/>
      <c r="CD433" s="77"/>
      <c r="CE433" s="76"/>
      <c r="CF433" s="76"/>
      <c r="CG433" s="76"/>
      <c r="CH433" s="76"/>
      <c r="CI433" s="76"/>
      <c r="CJ433" s="77"/>
      <c r="CK433" s="76"/>
      <c r="CL433" s="77"/>
      <c r="CM433" s="76"/>
      <c r="CN433" s="76"/>
      <c r="CO433" s="76"/>
      <c r="CP433" s="76"/>
      <c r="CQ433" s="76"/>
      <c r="CR433" s="78" t="str">
        <f t="shared" si="111"/>
        <v/>
      </c>
      <c r="CS433" s="79" t="str">
        <f t="shared" si="112"/>
        <v/>
      </c>
      <c r="CT433" s="79" t="str">
        <f t="shared" si="113"/>
        <v/>
      </c>
      <c r="CU433" s="79" t="str">
        <f t="shared" si="114"/>
        <v/>
      </c>
      <c r="CV433" s="79" t="str">
        <f t="shared" si="115"/>
        <v/>
      </c>
      <c r="CW433" s="79" t="str">
        <f t="shared" si="116"/>
        <v/>
      </c>
      <c r="CX433" s="79" t="str">
        <f t="shared" si="117"/>
        <v/>
      </c>
      <c r="CY433" s="79" t="str">
        <f t="shared" si="118"/>
        <v/>
      </c>
      <c r="CZ433" s="79" t="str">
        <f t="shared" si="119"/>
        <v/>
      </c>
      <c r="DA433" s="79" t="str">
        <f t="shared" si="120"/>
        <v/>
      </c>
      <c r="DB433" s="79" t="str">
        <f t="shared" si="121"/>
        <v/>
      </c>
      <c r="DC433" s="79" t="str">
        <f t="shared" si="122"/>
        <v/>
      </c>
      <c r="DD433" s="79" t="str">
        <f t="shared" si="123"/>
        <v/>
      </c>
      <c r="DE433" s="79" t="str">
        <f t="shared" si="124"/>
        <v/>
      </c>
      <c r="DF433" s="79" t="str">
        <f t="shared" si="125"/>
        <v/>
      </c>
      <c r="DG433" s="79" t="str">
        <f t="shared" si="126"/>
        <v/>
      </c>
      <c r="DH433" s="76"/>
      <c r="DI433" s="78"/>
      <c r="DJ433" s="76"/>
      <c r="DK433" s="77"/>
      <c r="DL433" s="77"/>
      <c r="DM433" s="77"/>
      <c r="DN433" s="80"/>
      <c r="DO433" s="80"/>
      <c r="DP433" s="92" t="str">
        <f>IF(Table1[Start Date]="","",IF(Table1[Start Date]&gt;42185,"",IF(AND(Table1[Leaving Date]&gt;1,Table1[Leaving Date]&lt;42095),"",1)))</f>
        <v/>
      </c>
      <c r="DQ433" s="92" t="str">
        <f>IF(Table1[Start Date]="","",IF(Table1[Start Date]&gt;42277,"",IF(AND(Table1[Leaving Date]&gt;1,Table1[Leaving Date]&lt;42186),"",1)))</f>
        <v/>
      </c>
      <c r="DR433" s="92" t="str">
        <f>IF(Table1[Start Date]="","",IF(Table1[Start Date]&gt;42369,"",IF(AND(Table1[Leaving Date]&gt;1,Table1[Leaving Date]&lt;42278),"",1)))</f>
        <v/>
      </c>
      <c r="DS433" s="92" t="str">
        <f>IF(Table1[Start Date]="","",IF(Table1[Start Date]&gt;42460,"",IF(AND(Table1[Leaving Date]&gt;1,Table1[Leaving Date]&lt;42370),"",1)))</f>
        <v/>
      </c>
      <c r="DT433" s="92" t="str">
        <f>IF(Table1[Start Date]="","",IF(Table1[Start Date]&gt;42551,"",IF(AND(Table1[Leaving Date]&gt;1,Table1[Leaving Date]&lt;42461),"",1)))</f>
        <v/>
      </c>
      <c r="DU433" s="92" t="str">
        <f>IF(Table1[Start Date]="","",IF(Table1[Start Date]&gt;42643,"",IF(AND(Table1[Leaving Date]&gt;1,Table1[Leaving Date]&lt;42552),"",1)))</f>
        <v/>
      </c>
      <c r="DV433" s="92" t="str">
        <f>IF(Table1[Start Date]="","",IF(Table1[Start Date]&gt;42735,"",IF(AND(Table1[Leaving Date]&gt;1,Table1[Leaving Date]&lt;42644),"",1)))</f>
        <v/>
      </c>
      <c r="DW433" s="92" t="str">
        <f>IF(Table1[Start Date]="","",IF(Table1[Start Date]&gt;42825,"",IF(AND(Table1[Leaving Date]&gt;1,Table1[Leaving Date]&lt;42736),"",1)))</f>
        <v/>
      </c>
      <c r="DX433"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433" s="44" t="e">
        <f>VLOOKUP(Table1[Referral Source],Lists!$G$2:$H$20,2,FALSE)</f>
        <v>#N/A</v>
      </c>
      <c r="DZ433" s="93" t="e">
        <f>SUM(Table1[Data Referral Quarter]+Table1[Data Referral Source])</f>
        <v>#N/A</v>
      </c>
      <c r="EA433" s="44" t="b">
        <f>IF(Table1[Referral Decision]="Accepted",100,IF(Table1[Referral Decision]="Rejected by Provider",200,IF(Table1[Referral Decision]="Rejected by Applicant",300)))</f>
        <v>0</v>
      </c>
      <c r="EB433" s="44">
        <f>SUM(Table1[Data Referral Quarter]+Table1[Data Referral Decision])</f>
        <v>0</v>
      </c>
      <c r="EC433" s="44" t="b">
        <f>IF(Table1[Start Date]&gt;42735,8000,IF(Table1[Start Date]&gt;42643,7000,IF(Table1[Start Date]&gt;42551,6000,IF(Table1[Start Date]&gt;42460,5000,IF(Table1[Start Date]&gt;42369,4000,IF(Table1[Start Date]&gt;42277,3000,IF(Table1[Start Date]&gt;42185,2000,IF(Table1[Start Date]&gt;42094,1000))))))))</f>
        <v>0</v>
      </c>
      <c r="ED433" s="44" t="str">
        <f>IF(Table1[Start Date]="","",IF(Table1[Current Local Authority]="Swindon",1,"2"))</f>
        <v/>
      </c>
      <c r="EE433" s="44" t="e">
        <f>SUM(Table1[Data Start Date]+Table1[Data Local Authority])</f>
        <v>#VALUE!</v>
      </c>
      <c r="EF433" s="44">
        <f>IF(Table1[Registered with GP]="Yes",1,0)</f>
        <v>0</v>
      </c>
      <c r="EG433" s="44">
        <f>SUM(Table1[Data Start Date]+Table1[Data GP Start])</f>
        <v>0</v>
      </c>
      <c r="EH433" s="44" t="str">
        <f>IF(Table1[EET]="NEET",1,IF(Table1[EET]="Education",2,IF(Table1[EET]="Employment",2,IF(Table1[EET]="Training",2,IF(Table1[EET]="Retired",3,"")))))</f>
        <v/>
      </c>
      <c r="EI433" s="44" t="e">
        <f>Table1[Data Start Date]+Table1[Data EET Start]</f>
        <v>#VALUE!</v>
      </c>
      <c r="EJ433" s="44" t="b">
        <f>IF(Table1[Leaving Date]&gt;42735,8000,IF(Table1[Leaving Date]&gt;42643,7000,IF(Table1[Leaving Date]&gt;42551,6000,IF(Table1[Leaving Date]&gt;42460,5000,IF(Table1[Leaving Date]&gt;42369,4000,IF(Table1[Leaving Date]&gt;42277,3000,IF(Table1[Leaving Date]&gt;42185,2000,IF(Table1[Leaving Date]&gt;42094,1000))))))))</f>
        <v>0</v>
      </c>
      <c r="EK433" s="44" t="e">
        <f>VLOOKUP(Table1[Reason for Leaving],Lists!$T$2:$U$15,2,FALSE)</f>
        <v>#N/A</v>
      </c>
      <c r="EL433" s="44" t="e">
        <f>SUM(Table1[Data Leavers Date]+Table1[Data Move On])</f>
        <v>#N/A</v>
      </c>
      <c r="EM433" s="44" t="b">
        <f>IF(Table1[Registered with GP2]="Yes",1,IF(Table1[Registered with GP2]="No",0,IF(Table1[Registered with GP]="Yes",1,IF(Table1[Registered with GP]="No",0))))</f>
        <v>0</v>
      </c>
      <c r="EN433" s="44">
        <f>SUM(Table1[Data Leavers Date]+Table1[Data GP End])</f>
        <v>0</v>
      </c>
      <c r="EO433" s="44" t="str">
        <f>IF(Table1[EET2]="NEET",1,IF(Table1[EET2]="Employment",2,IF(Table1[EET2]="Education",2,IF(Table1[EET2]="Training",2,IF(Table1[EET2]="Retired",3,IF(Table1[EET]="NEET",1,IF(Table1[EET]="Employment",2,IF(Table1[EET]="Education",2,IF(Table1[EET]="Training",2,IF(Table1[EET]="Retired",3,""))))))))))</f>
        <v/>
      </c>
      <c r="EP433" s="44" t="e">
        <f>+Table1[[#This Row],[Data Leavers Date]]+Table1[[#This Row],[Data EET End]]</f>
        <v>#VALUE!</v>
      </c>
      <c r="EQ433" s="44">
        <f>IF(Table1[Exit Form Received]="Yes",1,0)</f>
        <v>0</v>
      </c>
      <c r="ER433" s="44">
        <f>+Table1[[#This Row],[Data Leavers Date]]+Table1[[#This Row],[Data Exit Forms]]</f>
        <v>0</v>
      </c>
      <c r="ES433" s="44" t="str">
        <f>IF(Table1[Data Leavers Date]=1000,SUM(Table1[Leaving Date]-Table1[Start Date]),"")</f>
        <v/>
      </c>
      <c r="ET433" s="44" t="str">
        <f>IF(Table1[Data Leavers Date]=2000,SUM(Table1[Leaving Date]-Table1[Start Date]),"")</f>
        <v/>
      </c>
      <c r="EU433" s="44" t="str">
        <f>IF(Table1[Data Leavers Date]=3000,SUM(Table1[Leaving Date]-Table1[Start Date]),"")</f>
        <v/>
      </c>
      <c r="EV433" s="44" t="str">
        <f>IF(Table1[Data Leavers Date]=4000,SUM(Table1[Leaving Date]-Table1[Start Date]),"")</f>
        <v/>
      </c>
      <c r="EW433" s="44" t="str">
        <f>IF(Table1[Data Leavers Date]=5000,SUM(Table1[Leaving Date]-Table1[Start Date]),"")</f>
        <v/>
      </c>
      <c r="EX433" s="44" t="str">
        <f>IF(Table1[Data Leavers Date]=6000,SUM(Table1[Leaving Date]-Table1[Start Date]),"")</f>
        <v/>
      </c>
      <c r="EY433" s="44" t="str">
        <f>IF(Table1[Data Leavers Date]=7000,SUM(Table1[Leaving Date]-Table1[Start Date]),"")</f>
        <v/>
      </c>
      <c r="EZ433" s="44" t="str">
        <f>IF(Table1[Data Leavers Date]=8000,SUM(Table1[Leaving Date]-Table1[Start Date]),"")</f>
        <v/>
      </c>
      <c r="FA433" s="44" t="str">
        <f>IF(Table1[Date of Initial Assessment]="","",IF(AND(Table1[Start Date]&gt;42094,Table1[Start Date]&lt;42461),Table1[Motivation and Taking Responsibility],""))</f>
        <v/>
      </c>
      <c r="FB433" s="44" t="str">
        <f>IF(Table1[Date of Initial Assessment]="","",IF(AND(Table1[Start Date]&gt;42094,Table1[Start Date]&lt;42461),Table1[Self-Care and Living Skills],""))</f>
        <v/>
      </c>
      <c r="FC433" s="44" t="str">
        <f>IF(Table1[Date of Initial Assessment]="","",IF(AND(Table1[Start Date]&gt;42094,Table1[Start Date]&lt;42461),Table1[Managing Money and Personal Administration],""))</f>
        <v/>
      </c>
      <c r="FD433" s="44" t="str">
        <f>IF(Table1[Date of Initial Assessment]="","",IF(AND(Table1[Start Date]&gt;42094,Table1[Start Date]&lt;42461),Table1[Social Networks and Relationships],""))</f>
        <v/>
      </c>
      <c r="FE433" s="44" t="str">
        <f>IF(Table1[Date of Initial Assessment]="","",IF(AND(Table1[Start Date]&gt;42094,Table1[Start Date]&lt;42461),Table1[Drug and Alcohol Misuse],""))</f>
        <v/>
      </c>
      <c r="FF433" s="44" t="str">
        <f>IF(Table1[Date of Initial Assessment]="","",IF(AND(Table1[Start Date]&gt;42094,Table1[Start Date]&lt;42461),Table1[Physical Health],""))</f>
        <v/>
      </c>
      <c r="FG433" s="44" t="str">
        <f>IF(Table1[Date of Initial Assessment]="","",IF(AND(Table1[Start Date]&gt;42094,Table1[Start Date]&lt;42461),Table1[Emotional and Mental Health],""))</f>
        <v/>
      </c>
      <c r="FH433" s="44" t="str">
        <f>IF(Table1[Date of Initial Assessment]="","",IF(AND(Table1[Start Date]&gt;42094,Table1[Start Date]&lt;42461),Table1[Meaningful Use of Time],""))</f>
        <v/>
      </c>
      <c r="FI433" s="44" t="str">
        <f>IF(Table1[Date of Initial Assessment]="","",IF(AND(Table1[Start Date]&gt;42094,Table1[Start Date]&lt;42461),Table1[Managing Tenancy and Accommodation],""))</f>
        <v/>
      </c>
      <c r="FJ433" s="44" t="str">
        <f>IF(Table1[Date of Initial Assessment]="","",IF(AND(Table1[Start Date]&gt;42094,Table1[Start Date]&lt;42461),Table1[Offending],""))</f>
        <v/>
      </c>
      <c r="FK433" s="44" t="str">
        <f>IF(Table1[Leaving Date]="","",IF(Table1[Date of Initial Assessment]="","",IF(AND(Table1[Leaving Date]&gt;42094,Table1[Leaving Date]&lt;42461),IF(Table1[Date of Last Assessment]="",Table1[Motivation and Taking Responsibility],Table1[Motivation and Taking Responsibility2]),"")))</f>
        <v/>
      </c>
      <c r="FL433" s="44" t="str">
        <f>IF(Table1[Leaving Date]="","",IF(Table1[Date of Initial Assessment]="","",IF(AND(Table1[Leaving Date]&gt;42094,Table1[Leaving Date]&lt;42461),IF(Table1[Date of Last Assessment]="",Table1[Self-Care and Living Skills],Table1[Self-Care and Living Skills2]),"")))</f>
        <v/>
      </c>
      <c r="FM433" s="44" t="str">
        <f>IF(Table1[Leaving Date]="","",IF(Table1[Date of Initial Assessment]="","",IF(AND(Table1[Leaving Date]&gt;42094,Table1[Leaving Date]&lt;42461),IF(Table1[Date of Last Assessment]="",Table1[Managing Money and Personal Administration],Table1[Managing Money and Personal Administration2]),"")))</f>
        <v/>
      </c>
      <c r="FN433" s="44" t="str">
        <f>IF(Table1[Leaving Date]="","",IF(Table1[Date of Initial Assessment]="","",IF(AND(Table1[Leaving Date]&gt;42094,Table1[Leaving Date]&lt;42461),IF(Table1[Date of Last Assessment]="",Table1[Social Networks and Relationships],Table1[Social Networks and Relationships2]),"")))</f>
        <v/>
      </c>
      <c r="FO433" s="44" t="str">
        <f>IF(Table1[Leaving Date]="","",IF(Table1[Date of Initial Assessment]="","",IF(AND(Table1[Leaving Date]&gt;42094,Table1[Leaving Date]&lt;42461),IF(Table1[Date of Last Assessment]="",Table1[Drug and Alcohol Misuse],Table1[Drug and Alcohol Misuse2]),"")))</f>
        <v/>
      </c>
      <c r="FP433" s="44" t="str">
        <f>IF(Table1[Leaving Date]="","",IF(Table1[Date of Initial Assessment]="","",IF(AND(Table1[Leaving Date]&gt;42094,Table1[Leaving Date]&lt;42461),IF(Table1[Date of Last Assessment]="",Table1[Physical Health],Table1[Physical Health2]),"")))</f>
        <v/>
      </c>
      <c r="FQ433" s="44" t="str">
        <f>IF(Table1[Leaving Date]="","",IF(Table1[Date of Initial Assessment]="","",IF(AND(Table1[Leaving Date]&gt;42094,Table1[Leaving Date]&lt;42461),IF(Table1[Date of Last Assessment]="",Table1[Emotional and Mental Health],Table1[Emotional and Mental Health2]),"")))</f>
        <v/>
      </c>
      <c r="FR433" s="44" t="str">
        <f>IF(Table1[Leaving Date]="","",IF(Table1[Date of Initial Assessment]="","",IF(AND(Table1[Leaving Date]&gt;42094,Table1[Leaving Date]&lt;42461),IF(Table1[Date of Last Assessment]="",Table1[Meaningful Use of Time],Table1[Meaningful Use of Time2]),"")))</f>
        <v/>
      </c>
      <c r="FS433" s="44" t="str">
        <f>IF(Table1[Leaving Date]="","",IF(Table1[Date of Initial Assessment]="","",IF(AND(Table1[Leaving Date]&gt;42094,Table1[Leaving Date]&lt;42461),IF(Table1[Date of Last Assessment]="",Table1[Managing Tenancy and Accommodation],Table1[Managing Tenancy and Accommodation2]),"")))</f>
        <v/>
      </c>
      <c r="FT433" s="44" t="str">
        <f>IF(Table1[Leaving Date]="","",IF(Table1[Date of Initial Assessment]="","",IF(AND(Table1[Leaving Date]&gt;42094,Table1[Leaving Date]&lt;42461),IF(Table1[Date of Last Assessment]="",Table1[Offending],Table1[Offending2]),"")))</f>
        <v/>
      </c>
      <c r="FU433" s="44" t="str">
        <f>IF(Table1[Date of Initial Assessment]="","",IF(AND(Table1[Start Date]&gt;42460,Table1[Start Date]&lt;42826),Table1[Motivation and Taking Responsibility],""))</f>
        <v/>
      </c>
      <c r="FV433" s="44" t="str">
        <f>IF(Table1[Date of Initial Assessment]="","",IF(AND(Table1[Start Date]&gt;42460,Table1[Start Date]&lt;42826),Table1[Self-Care and Living Skills],""))</f>
        <v/>
      </c>
      <c r="FW433" s="44" t="str">
        <f>IF(Table1[Date of Initial Assessment]="","",IF(AND(Table1[Start Date]&gt;42460,Table1[Start Date]&lt;42826),Table1[Managing Money and Personal Administration],""))</f>
        <v/>
      </c>
      <c r="FX433" s="44" t="str">
        <f>IF(Table1[Date of Initial Assessment]="","",IF(AND(Table1[Start Date]&gt;42460,Table1[Start Date]&lt;42826),Table1[Social Networks and Relationships],""))</f>
        <v/>
      </c>
      <c r="FY433" s="44" t="str">
        <f>IF(Table1[Date of Initial Assessment]="","",IF(AND(Table1[Start Date]&gt;42460,Table1[Start Date]&lt;42826),Table1[Drug and Alcohol Misuse],""))</f>
        <v/>
      </c>
      <c r="FZ433" s="44" t="str">
        <f>IF(Table1[Date of Initial Assessment]="","",IF(AND(Table1[Start Date]&gt;42460,Table1[Start Date]&lt;42826),Table1[Physical Health],""))</f>
        <v/>
      </c>
      <c r="GA433" s="44" t="str">
        <f>IF(Table1[Date of Initial Assessment]="","",IF(AND(Table1[Start Date]&gt;42460,Table1[Start Date]&lt;42826),Table1[Emotional and Mental Health],""))</f>
        <v/>
      </c>
      <c r="GB433" s="44" t="str">
        <f>IF(Table1[Date of Initial Assessment]="","",IF(AND(Table1[Start Date]&gt;42460,Table1[Start Date]&lt;42826),Table1[Meaningful Use of Time],""))</f>
        <v/>
      </c>
      <c r="GC433" s="44" t="str">
        <f>IF(Table1[Date of Initial Assessment]="","",IF(AND(Table1[Start Date]&gt;42460,Table1[Start Date]&lt;42826),Table1[Managing Tenancy and Accommodation],""))</f>
        <v/>
      </c>
      <c r="GD433" s="44" t="str">
        <f>IF(Table1[Date of Initial Assessment]="","",IF(AND(Table1[Start Date]&gt;42460,Table1[Start Date]&lt;42826),Table1[Offending],""))</f>
        <v/>
      </c>
      <c r="GE433" s="44" t="str">
        <f>IF(Table1[Leaving Date]="","",IF(AND(Table1[Leaving Date]&gt;42460,Table1[Leaving Date]&lt;42826),IF(Table1[Date of Last Assessment]="",Table1[Motivation and Taking Responsibility],Table1[Motivation and Taking Responsibility2]),""))</f>
        <v/>
      </c>
      <c r="GF433" s="44" t="str">
        <f>IF(Table1[Leaving Date]="","",IF(AND(Table1[Leaving Date]&gt;42460,Table1[Leaving Date]&lt;42826),IF(Table1[Date of Last Assessment]="",Table1[Self-Care and Living Skills],Table1[Self-Care and Living Skills2]),""))</f>
        <v/>
      </c>
      <c r="GG433" s="44" t="str">
        <f>IF(Table1[Leaving Date]="","",IF(AND(Table1[Leaving Date]&gt;42460,Table1[Leaving Date]&lt;42826),IF(Table1[Date of Last Assessment]="",Table1[Managing Money and Personal Administration],Table1[Managing Money and Personal Administration2]),""))</f>
        <v/>
      </c>
      <c r="GH433" s="44" t="str">
        <f>IF(Table1[Leaving Date]="","",IF(AND(Table1[Leaving Date]&gt;42460,Table1[Leaving Date]&lt;42826),IF(Table1[Date of Last Assessment]="",Table1[Social Networks and Relationships],Table1[Social Networks and Relationships2]),""))</f>
        <v/>
      </c>
      <c r="GI433" s="44" t="str">
        <f>IF(Table1[Leaving Date]="","",IF(AND(Table1[Leaving Date]&gt;42460,Table1[Leaving Date]&lt;42826),IF(Table1[Date of Last Assessment]="",Table1[Drug and Alcohol Misuse],Table1[Drug and Alcohol Misuse2]),""))</f>
        <v/>
      </c>
      <c r="GJ433" s="44" t="str">
        <f>IF(Table1[Leaving Date]="","",IF(AND(Table1[Leaving Date]&gt;42460,Table1[Leaving Date]&lt;42826),IF(Table1[Date of Last Assessment]="",Table1[Physical Health],Table1[Physical Health2]),""))</f>
        <v/>
      </c>
      <c r="GK433" s="44" t="str">
        <f>IF(Table1[Leaving Date]="","",IF(AND(Table1[Leaving Date]&gt;42460,Table1[Leaving Date]&lt;42826),IF(Table1[Date of Last Assessment]="",Table1[Emotional and Mental Health],Table1[Emotional and Mental Health2]),""))</f>
        <v/>
      </c>
      <c r="GL433" s="44" t="str">
        <f>IF(Table1[Leaving Date]="","",IF(AND(Table1[Leaving Date]&gt;42460,Table1[Leaving Date]&lt;42826),IF(Table1[Date of Last Assessment]="",Table1[Meaningful Use of Time],Table1[Meaningful Use of Time2]),""))</f>
        <v/>
      </c>
      <c r="GM433" s="44" t="str">
        <f>IF(Table1[Leaving Date]="","",IF(AND(Table1[Leaving Date]&gt;42460,Table1[Leaving Date]&lt;42826),IF(Table1[Date of Last Assessment]="",Table1[Managing Tenancy and Accommodation],Table1[Managing Tenancy and Accommodation2]),""))</f>
        <v/>
      </c>
      <c r="GN433" s="44" t="str">
        <f>IF(Table1[Leaving Date]="","",IF(AND(Table1[Leaving Date]&gt;42460,Table1[Leaving Date]&lt;42826),IF(Table1[Date of Last Assessment]="",Table1[Offending],Table1[Offending2]),""))</f>
        <v/>
      </c>
    </row>
    <row r="434" spans="2:196" ht="20.100000000000001" customHeight="1" x14ac:dyDescent="0.2">
      <c r="B434" s="86">
        <f>+'Service Data'!$C$5:$C$5</f>
        <v>0</v>
      </c>
      <c r="C434" s="86"/>
      <c r="D434" s="86"/>
      <c r="E434" s="86"/>
      <c r="F434" s="86"/>
      <c r="G434" s="86"/>
      <c r="H434" s="6"/>
      <c r="I434" s="99" t="str">
        <f ca="1">IF(Table1[[#This Row],[Date of Birth]]="","",SUM(TODAY()-Table1[[#This Row],[Date of Birth]])/365)</f>
        <v/>
      </c>
      <c r="L434" s="86"/>
      <c r="M434" s="77"/>
      <c r="N434" s="86"/>
      <c r="O434" s="86"/>
      <c r="P434" s="91"/>
      <c r="Q434" s="86"/>
      <c r="R434" s="77"/>
      <c r="S434" s="77"/>
      <c r="T434" s="68"/>
      <c r="U434" s="68"/>
      <c r="V434" s="67"/>
      <c r="W434" s="67"/>
      <c r="X434" s="67"/>
      <c r="Y434" s="67"/>
      <c r="Z434" s="67"/>
      <c r="AA434" s="67"/>
      <c r="AB434" s="67"/>
      <c r="AC434" s="67"/>
      <c r="AD434" s="67"/>
      <c r="AE434" s="67"/>
      <c r="AF434" s="67"/>
      <c r="AG434" s="67"/>
      <c r="AH434" s="67"/>
      <c r="AI434" s="67"/>
      <c r="AJ434" s="67"/>
      <c r="AK434" s="67"/>
      <c r="AL434" s="67"/>
      <c r="AM434" s="67"/>
      <c r="AN434" s="77"/>
      <c r="AO434" s="76"/>
      <c r="AP434" s="77"/>
      <c r="AQ434" s="76"/>
      <c r="AR434" s="76"/>
      <c r="AS434" s="76"/>
      <c r="AT434" s="76"/>
      <c r="AU434" s="76"/>
      <c r="AV434" s="77"/>
      <c r="AW434" s="76"/>
      <c r="AX434" s="77"/>
      <c r="AY434" s="76"/>
      <c r="AZ434" s="76"/>
      <c r="BA434" s="76"/>
      <c r="BB434" s="76"/>
      <c r="BC434" s="76"/>
      <c r="BD434" s="77"/>
      <c r="BE434" s="76"/>
      <c r="BF434" s="77"/>
      <c r="BG434" s="76"/>
      <c r="BH434" s="76"/>
      <c r="BI434" s="76"/>
      <c r="BJ434" s="76"/>
      <c r="BK434" s="76"/>
      <c r="BL434" s="77"/>
      <c r="BM434" s="76"/>
      <c r="BN434" s="77"/>
      <c r="BO434" s="76"/>
      <c r="BP434" s="76"/>
      <c r="BQ434" s="76"/>
      <c r="BR434" s="76"/>
      <c r="BS434" s="76"/>
      <c r="BT434" s="77"/>
      <c r="BU434" s="76"/>
      <c r="BV434" s="77"/>
      <c r="BW434" s="76"/>
      <c r="BX434" s="76"/>
      <c r="BY434" s="76"/>
      <c r="BZ434" s="76"/>
      <c r="CA434" s="76"/>
      <c r="CB434" s="77"/>
      <c r="CC434" s="76"/>
      <c r="CD434" s="77"/>
      <c r="CE434" s="76"/>
      <c r="CF434" s="76"/>
      <c r="CG434" s="76"/>
      <c r="CH434" s="76"/>
      <c r="CI434" s="76"/>
      <c r="CJ434" s="77"/>
      <c r="CK434" s="76"/>
      <c r="CL434" s="77"/>
      <c r="CM434" s="76"/>
      <c r="CN434" s="76"/>
      <c r="CO434" s="76"/>
      <c r="CP434" s="76"/>
      <c r="CQ434" s="76"/>
      <c r="CR434" s="78" t="str">
        <f t="shared" si="111"/>
        <v/>
      </c>
      <c r="CS434" s="79" t="str">
        <f t="shared" si="112"/>
        <v/>
      </c>
      <c r="CT434" s="79" t="str">
        <f t="shared" si="113"/>
        <v/>
      </c>
      <c r="CU434" s="79" t="str">
        <f t="shared" si="114"/>
        <v/>
      </c>
      <c r="CV434" s="79" t="str">
        <f t="shared" si="115"/>
        <v/>
      </c>
      <c r="CW434" s="79" t="str">
        <f t="shared" si="116"/>
        <v/>
      </c>
      <c r="CX434" s="79" t="str">
        <f t="shared" si="117"/>
        <v/>
      </c>
      <c r="CY434" s="79" t="str">
        <f t="shared" si="118"/>
        <v/>
      </c>
      <c r="CZ434" s="79" t="str">
        <f t="shared" si="119"/>
        <v/>
      </c>
      <c r="DA434" s="79" t="str">
        <f t="shared" si="120"/>
        <v/>
      </c>
      <c r="DB434" s="79" t="str">
        <f t="shared" si="121"/>
        <v/>
      </c>
      <c r="DC434" s="79" t="str">
        <f t="shared" si="122"/>
        <v/>
      </c>
      <c r="DD434" s="79" t="str">
        <f t="shared" si="123"/>
        <v/>
      </c>
      <c r="DE434" s="79" t="str">
        <f t="shared" si="124"/>
        <v/>
      </c>
      <c r="DF434" s="79" t="str">
        <f t="shared" si="125"/>
        <v/>
      </c>
      <c r="DG434" s="79" t="str">
        <f t="shared" si="126"/>
        <v/>
      </c>
      <c r="DH434" s="76"/>
      <c r="DI434" s="78"/>
      <c r="DJ434" s="76"/>
      <c r="DK434" s="77"/>
      <c r="DL434" s="77"/>
      <c r="DM434" s="77"/>
      <c r="DN434" s="80"/>
      <c r="DO434" s="80"/>
      <c r="DP434" s="92" t="str">
        <f>IF(Table1[Start Date]="","",IF(Table1[Start Date]&gt;42185,"",IF(AND(Table1[Leaving Date]&gt;1,Table1[Leaving Date]&lt;42095),"",1)))</f>
        <v/>
      </c>
      <c r="DQ434" s="92" t="str">
        <f>IF(Table1[Start Date]="","",IF(Table1[Start Date]&gt;42277,"",IF(AND(Table1[Leaving Date]&gt;1,Table1[Leaving Date]&lt;42186),"",1)))</f>
        <v/>
      </c>
      <c r="DR434" s="92" t="str">
        <f>IF(Table1[Start Date]="","",IF(Table1[Start Date]&gt;42369,"",IF(AND(Table1[Leaving Date]&gt;1,Table1[Leaving Date]&lt;42278),"",1)))</f>
        <v/>
      </c>
      <c r="DS434" s="92" t="str">
        <f>IF(Table1[Start Date]="","",IF(Table1[Start Date]&gt;42460,"",IF(AND(Table1[Leaving Date]&gt;1,Table1[Leaving Date]&lt;42370),"",1)))</f>
        <v/>
      </c>
      <c r="DT434" s="92" t="str">
        <f>IF(Table1[Start Date]="","",IF(Table1[Start Date]&gt;42551,"",IF(AND(Table1[Leaving Date]&gt;1,Table1[Leaving Date]&lt;42461),"",1)))</f>
        <v/>
      </c>
      <c r="DU434" s="92" t="str">
        <f>IF(Table1[Start Date]="","",IF(Table1[Start Date]&gt;42643,"",IF(AND(Table1[Leaving Date]&gt;1,Table1[Leaving Date]&lt;42552),"",1)))</f>
        <v/>
      </c>
      <c r="DV434" s="92" t="str">
        <f>IF(Table1[Start Date]="","",IF(Table1[Start Date]&gt;42735,"",IF(AND(Table1[Leaving Date]&gt;1,Table1[Leaving Date]&lt;42644),"",1)))</f>
        <v/>
      </c>
      <c r="DW434" s="92" t="str">
        <f>IF(Table1[Start Date]="","",IF(Table1[Start Date]&gt;42825,"",IF(AND(Table1[Leaving Date]&gt;1,Table1[Leaving Date]&lt;42736),"",1)))</f>
        <v/>
      </c>
      <c r="DX434"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434" s="44" t="e">
        <f>VLOOKUP(Table1[Referral Source],Lists!$G$2:$H$20,2,FALSE)</f>
        <v>#N/A</v>
      </c>
      <c r="DZ434" s="93" t="e">
        <f>SUM(Table1[Data Referral Quarter]+Table1[Data Referral Source])</f>
        <v>#N/A</v>
      </c>
      <c r="EA434" s="44" t="b">
        <f>IF(Table1[Referral Decision]="Accepted",100,IF(Table1[Referral Decision]="Rejected by Provider",200,IF(Table1[Referral Decision]="Rejected by Applicant",300)))</f>
        <v>0</v>
      </c>
      <c r="EB434" s="44">
        <f>SUM(Table1[Data Referral Quarter]+Table1[Data Referral Decision])</f>
        <v>0</v>
      </c>
      <c r="EC434" s="44" t="b">
        <f>IF(Table1[Start Date]&gt;42735,8000,IF(Table1[Start Date]&gt;42643,7000,IF(Table1[Start Date]&gt;42551,6000,IF(Table1[Start Date]&gt;42460,5000,IF(Table1[Start Date]&gt;42369,4000,IF(Table1[Start Date]&gt;42277,3000,IF(Table1[Start Date]&gt;42185,2000,IF(Table1[Start Date]&gt;42094,1000))))))))</f>
        <v>0</v>
      </c>
      <c r="ED434" s="44" t="str">
        <f>IF(Table1[Start Date]="","",IF(Table1[Current Local Authority]="Swindon",1,"2"))</f>
        <v/>
      </c>
      <c r="EE434" s="44" t="e">
        <f>SUM(Table1[Data Start Date]+Table1[Data Local Authority])</f>
        <v>#VALUE!</v>
      </c>
      <c r="EF434" s="44">
        <f>IF(Table1[Registered with GP]="Yes",1,0)</f>
        <v>0</v>
      </c>
      <c r="EG434" s="44">
        <f>SUM(Table1[Data Start Date]+Table1[Data GP Start])</f>
        <v>0</v>
      </c>
      <c r="EH434" s="44" t="str">
        <f>IF(Table1[EET]="NEET",1,IF(Table1[EET]="Education",2,IF(Table1[EET]="Employment",2,IF(Table1[EET]="Training",2,IF(Table1[EET]="Retired",3,"")))))</f>
        <v/>
      </c>
      <c r="EI434" s="44" t="e">
        <f>Table1[Data Start Date]+Table1[Data EET Start]</f>
        <v>#VALUE!</v>
      </c>
      <c r="EJ434" s="44" t="b">
        <f>IF(Table1[Leaving Date]&gt;42735,8000,IF(Table1[Leaving Date]&gt;42643,7000,IF(Table1[Leaving Date]&gt;42551,6000,IF(Table1[Leaving Date]&gt;42460,5000,IF(Table1[Leaving Date]&gt;42369,4000,IF(Table1[Leaving Date]&gt;42277,3000,IF(Table1[Leaving Date]&gt;42185,2000,IF(Table1[Leaving Date]&gt;42094,1000))))))))</f>
        <v>0</v>
      </c>
      <c r="EK434" s="44" t="e">
        <f>VLOOKUP(Table1[Reason for Leaving],Lists!$T$2:$U$15,2,FALSE)</f>
        <v>#N/A</v>
      </c>
      <c r="EL434" s="44" t="e">
        <f>SUM(Table1[Data Leavers Date]+Table1[Data Move On])</f>
        <v>#N/A</v>
      </c>
      <c r="EM434" s="44" t="b">
        <f>IF(Table1[Registered with GP2]="Yes",1,IF(Table1[Registered with GP2]="No",0,IF(Table1[Registered with GP]="Yes",1,IF(Table1[Registered with GP]="No",0))))</f>
        <v>0</v>
      </c>
      <c r="EN434" s="44">
        <f>SUM(Table1[Data Leavers Date]+Table1[Data GP End])</f>
        <v>0</v>
      </c>
      <c r="EO434" s="44" t="str">
        <f>IF(Table1[EET2]="NEET",1,IF(Table1[EET2]="Employment",2,IF(Table1[EET2]="Education",2,IF(Table1[EET2]="Training",2,IF(Table1[EET2]="Retired",3,IF(Table1[EET]="NEET",1,IF(Table1[EET]="Employment",2,IF(Table1[EET]="Education",2,IF(Table1[EET]="Training",2,IF(Table1[EET]="Retired",3,""))))))))))</f>
        <v/>
      </c>
      <c r="EP434" s="44" t="e">
        <f>+Table1[[#This Row],[Data Leavers Date]]+Table1[[#This Row],[Data EET End]]</f>
        <v>#VALUE!</v>
      </c>
      <c r="EQ434" s="44">
        <f>IF(Table1[Exit Form Received]="Yes",1,0)</f>
        <v>0</v>
      </c>
      <c r="ER434" s="44">
        <f>+Table1[[#This Row],[Data Leavers Date]]+Table1[[#This Row],[Data Exit Forms]]</f>
        <v>0</v>
      </c>
      <c r="ES434" s="44" t="str">
        <f>IF(Table1[Data Leavers Date]=1000,SUM(Table1[Leaving Date]-Table1[Start Date]),"")</f>
        <v/>
      </c>
      <c r="ET434" s="44" t="str">
        <f>IF(Table1[Data Leavers Date]=2000,SUM(Table1[Leaving Date]-Table1[Start Date]),"")</f>
        <v/>
      </c>
      <c r="EU434" s="44" t="str">
        <f>IF(Table1[Data Leavers Date]=3000,SUM(Table1[Leaving Date]-Table1[Start Date]),"")</f>
        <v/>
      </c>
      <c r="EV434" s="44" t="str">
        <f>IF(Table1[Data Leavers Date]=4000,SUM(Table1[Leaving Date]-Table1[Start Date]),"")</f>
        <v/>
      </c>
      <c r="EW434" s="44" t="str">
        <f>IF(Table1[Data Leavers Date]=5000,SUM(Table1[Leaving Date]-Table1[Start Date]),"")</f>
        <v/>
      </c>
      <c r="EX434" s="44" t="str">
        <f>IF(Table1[Data Leavers Date]=6000,SUM(Table1[Leaving Date]-Table1[Start Date]),"")</f>
        <v/>
      </c>
      <c r="EY434" s="44" t="str">
        <f>IF(Table1[Data Leavers Date]=7000,SUM(Table1[Leaving Date]-Table1[Start Date]),"")</f>
        <v/>
      </c>
      <c r="EZ434" s="44" t="str">
        <f>IF(Table1[Data Leavers Date]=8000,SUM(Table1[Leaving Date]-Table1[Start Date]),"")</f>
        <v/>
      </c>
      <c r="FA434" s="44" t="str">
        <f>IF(Table1[Date of Initial Assessment]="","",IF(AND(Table1[Start Date]&gt;42094,Table1[Start Date]&lt;42461),Table1[Motivation and Taking Responsibility],""))</f>
        <v/>
      </c>
      <c r="FB434" s="44" t="str">
        <f>IF(Table1[Date of Initial Assessment]="","",IF(AND(Table1[Start Date]&gt;42094,Table1[Start Date]&lt;42461),Table1[Self-Care and Living Skills],""))</f>
        <v/>
      </c>
      <c r="FC434" s="44" t="str">
        <f>IF(Table1[Date of Initial Assessment]="","",IF(AND(Table1[Start Date]&gt;42094,Table1[Start Date]&lt;42461),Table1[Managing Money and Personal Administration],""))</f>
        <v/>
      </c>
      <c r="FD434" s="44" t="str">
        <f>IF(Table1[Date of Initial Assessment]="","",IF(AND(Table1[Start Date]&gt;42094,Table1[Start Date]&lt;42461),Table1[Social Networks and Relationships],""))</f>
        <v/>
      </c>
      <c r="FE434" s="44" t="str">
        <f>IF(Table1[Date of Initial Assessment]="","",IF(AND(Table1[Start Date]&gt;42094,Table1[Start Date]&lt;42461),Table1[Drug and Alcohol Misuse],""))</f>
        <v/>
      </c>
      <c r="FF434" s="44" t="str">
        <f>IF(Table1[Date of Initial Assessment]="","",IF(AND(Table1[Start Date]&gt;42094,Table1[Start Date]&lt;42461),Table1[Physical Health],""))</f>
        <v/>
      </c>
      <c r="FG434" s="44" t="str">
        <f>IF(Table1[Date of Initial Assessment]="","",IF(AND(Table1[Start Date]&gt;42094,Table1[Start Date]&lt;42461),Table1[Emotional and Mental Health],""))</f>
        <v/>
      </c>
      <c r="FH434" s="44" t="str">
        <f>IF(Table1[Date of Initial Assessment]="","",IF(AND(Table1[Start Date]&gt;42094,Table1[Start Date]&lt;42461),Table1[Meaningful Use of Time],""))</f>
        <v/>
      </c>
      <c r="FI434" s="44" t="str">
        <f>IF(Table1[Date of Initial Assessment]="","",IF(AND(Table1[Start Date]&gt;42094,Table1[Start Date]&lt;42461),Table1[Managing Tenancy and Accommodation],""))</f>
        <v/>
      </c>
      <c r="FJ434" s="44" t="str">
        <f>IF(Table1[Date of Initial Assessment]="","",IF(AND(Table1[Start Date]&gt;42094,Table1[Start Date]&lt;42461),Table1[Offending],""))</f>
        <v/>
      </c>
      <c r="FK434" s="44" t="str">
        <f>IF(Table1[Leaving Date]="","",IF(Table1[Date of Initial Assessment]="","",IF(AND(Table1[Leaving Date]&gt;42094,Table1[Leaving Date]&lt;42461),IF(Table1[Date of Last Assessment]="",Table1[Motivation and Taking Responsibility],Table1[Motivation and Taking Responsibility2]),"")))</f>
        <v/>
      </c>
      <c r="FL434" s="44" t="str">
        <f>IF(Table1[Leaving Date]="","",IF(Table1[Date of Initial Assessment]="","",IF(AND(Table1[Leaving Date]&gt;42094,Table1[Leaving Date]&lt;42461),IF(Table1[Date of Last Assessment]="",Table1[Self-Care and Living Skills],Table1[Self-Care and Living Skills2]),"")))</f>
        <v/>
      </c>
      <c r="FM434" s="44" t="str">
        <f>IF(Table1[Leaving Date]="","",IF(Table1[Date of Initial Assessment]="","",IF(AND(Table1[Leaving Date]&gt;42094,Table1[Leaving Date]&lt;42461),IF(Table1[Date of Last Assessment]="",Table1[Managing Money and Personal Administration],Table1[Managing Money and Personal Administration2]),"")))</f>
        <v/>
      </c>
      <c r="FN434" s="44" t="str">
        <f>IF(Table1[Leaving Date]="","",IF(Table1[Date of Initial Assessment]="","",IF(AND(Table1[Leaving Date]&gt;42094,Table1[Leaving Date]&lt;42461),IF(Table1[Date of Last Assessment]="",Table1[Social Networks and Relationships],Table1[Social Networks and Relationships2]),"")))</f>
        <v/>
      </c>
      <c r="FO434" s="44" t="str">
        <f>IF(Table1[Leaving Date]="","",IF(Table1[Date of Initial Assessment]="","",IF(AND(Table1[Leaving Date]&gt;42094,Table1[Leaving Date]&lt;42461),IF(Table1[Date of Last Assessment]="",Table1[Drug and Alcohol Misuse],Table1[Drug and Alcohol Misuse2]),"")))</f>
        <v/>
      </c>
      <c r="FP434" s="44" t="str">
        <f>IF(Table1[Leaving Date]="","",IF(Table1[Date of Initial Assessment]="","",IF(AND(Table1[Leaving Date]&gt;42094,Table1[Leaving Date]&lt;42461),IF(Table1[Date of Last Assessment]="",Table1[Physical Health],Table1[Physical Health2]),"")))</f>
        <v/>
      </c>
      <c r="FQ434" s="44" t="str">
        <f>IF(Table1[Leaving Date]="","",IF(Table1[Date of Initial Assessment]="","",IF(AND(Table1[Leaving Date]&gt;42094,Table1[Leaving Date]&lt;42461),IF(Table1[Date of Last Assessment]="",Table1[Emotional and Mental Health],Table1[Emotional and Mental Health2]),"")))</f>
        <v/>
      </c>
      <c r="FR434" s="44" t="str">
        <f>IF(Table1[Leaving Date]="","",IF(Table1[Date of Initial Assessment]="","",IF(AND(Table1[Leaving Date]&gt;42094,Table1[Leaving Date]&lt;42461),IF(Table1[Date of Last Assessment]="",Table1[Meaningful Use of Time],Table1[Meaningful Use of Time2]),"")))</f>
        <v/>
      </c>
      <c r="FS434" s="44" t="str">
        <f>IF(Table1[Leaving Date]="","",IF(Table1[Date of Initial Assessment]="","",IF(AND(Table1[Leaving Date]&gt;42094,Table1[Leaving Date]&lt;42461),IF(Table1[Date of Last Assessment]="",Table1[Managing Tenancy and Accommodation],Table1[Managing Tenancy and Accommodation2]),"")))</f>
        <v/>
      </c>
      <c r="FT434" s="44" t="str">
        <f>IF(Table1[Leaving Date]="","",IF(Table1[Date of Initial Assessment]="","",IF(AND(Table1[Leaving Date]&gt;42094,Table1[Leaving Date]&lt;42461),IF(Table1[Date of Last Assessment]="",Table1[Offending],Table1[Offending2]),"")))</f>
        <v/>
      </c>
      <c r="FU434" s="44" t="str">
        <f>IF(Table1[Date of Initial Assessment]="","",IF(AND(Table1[Start Date]&gt;42460,Table1[Start Date]&lt;42826),Table1[Motivation and Taking Responsibility],""))</f>
        <v/>
      </c>
      <c r="FV434" s="44" t="str">
        <f>IF(Table1[Date of Initial Assessment]="","",IF(AND(Table1[Start Date]&gt;42460,Table1[Start Date]&lt;42826),Table1[Self-Care and Living Skills],""))</f>
        <v/>
      </c>
      <c r="FW434" s="44" t="str">
        <f>IF(Table1[Date of Initial Assessment]="","",IF(AND(Table1[Start Date]&gt;42460,Table1[Start Date]&lt;42826),Table1[Managing Money and Personal Administration],""))</f>
        <v/>
      </c>
      <c r="FX434" s="44" t="str">
        <f>IF(Table1[Date of Initial Assessment]="","",IF(AND(Table1[Start Date]&gt;42460,Table1[Start Date]&lt;42826),Table1[Social Networks and Relationships],""))</f>
        <v/>
      </c>
      <c r="FY434" s="44" t="str">
        <f>IF(Table1[Date of Initial Assessment]="","",IF(AND(Table1[Start Date]&gt;42460,Table1[Start Date]&lt;42826),Table1[Drug and Alcohol Misuse],""))</f>
        <v/>
      </c>
      <c r="FZ434" s="44" t="str">
        <f>IF(Table1[Date of Initial Assessment]="","",IF(AND(Table1[Start Date]&gt;42460,Table1[Start Date]&lt;42826),Table1[Physical Health],""))</f>
        <v/>
      </c>
      <c r="GA434" s="44" t="str">
        <f>IF(Table1[Date of Initial Assessment]="","",IF(AND(Table1[Start Date]&gt;42460,Table1[Start Date]&lt;42826),Table1[Emotional and Mental Health],""))</f>
        <v/>
      </c>
      <c r="GB434" s="44" t="str">
        <f>IF(Table1[Date of Initial Assessment]="","",IF(AND(Table1[Start Date]&gt;42460,Table1[Start Date]&lt;42826),Table1[Meaningful Use of Time],""))</f>
        <v/>
      </c>
      <c r="GC434" s="44" t="str">
        <f>IF(Table1[Date of Initial Assessment]="","",IF(AND(Table1[Start Date]&gt;42460,Table1[Start Date]&lt;42826),Table1[Managing Tenancy and Accommodation],""))</f>
        <v/>
      </c>
      <c r="GD434" s="44" t="str">
        <f>IF(Table1[Date of Initial Assessment]="","",IF(AND(Table1[Start Date]&gt;42460,Table1[Start Date]&lt;42826),Table1[Offending],""))</f>
        <v/>
      </c>
      <c r="GE434" s="44" t="str">
        <f>IF(Table1[Leaving Date]="","",IF(AND(Table1[Leaving Date]&gt;42460,Table1[Leaving Date]&lt;42826),IF(Table1[Date of Last Assessment]="",Table1[Motivation and Taking Responsibility],Table1[Motivation and Taking Responsibility2]),""))</f>
        <v/>
      </c>
      <c r="GF434" s="44" t="str">
        <f>IF(Table1[Leaving Date]="","",IF(AND(Table1[Leaving Date]&gt;42460,Table1[Leaving Date]&lt;42826),IF(Table1[Date of Last Assessment]="",Table1[Self-Care and Living Skills],Table1[Self-Care and Living Skills2]),""))</f>
        <v/>
      </c>
      <c r="GG434" s="44" t="str">
        <f>IF(Table1[Leaving Date]="","",IF(AND(Table1[Leaving Date]&gt;42460,Table1[Leaving Date]&lt;42826),IF(Table1[Date of Last Assessment]="",Table1[Managing Money and Personal Administration],Table1[Managing Money and Personal Administration2]),""))</f>
        <v/>
      </c>
      <c r="GH434" s="44" t="str">
        <f>IF(Table1[Leaving Date]="","",IF(AND(Table1[Leaving Date]&gt;42460,Table1[Leaving Date]&lt;42826),IF(Table1[Date of Last Assessment]="",Table1[Social Networks and Relationships],Table1[Social Networks and Relationships2]),""))</f>
        <v/>
      </c>
      <c r="GI434" s="44" t="str">
        <f>IF(Table1[Leaving Date]="","",IF(AND(Table1[Leaving Date]&gt;42460,Table1[Leaving Date]&lt;42826),IF(Table1[Date of Last Assessment]="",Table1[Drug and Alcohol Misuse],Table1[Drug and Alcohol Misuse2]),""))</f>
        <v/>
      </c>
      <c r="GJ434" s="44" t="str">
        <f>IF(Table1[Leaving Date]="","",IF(AND(Table1[Leaving Date]&gt;42460,Table1[Leaving Date]&lt;42826),IF(Table1[Date of Last Assessment]="",Table1[Physical Health],Table1[Physical Health2]),""))</f>
        <v/>
      </c>
      <c r="GK434" s="44" t="str">
        <f>IF(Table1[Leaving Date]="","",IF(AND(Table1[Leaving Date]&gt;42460,Table1[Leaving Date]&lt;42826),IF(Table1[Date of Last Assessment]="",Table1[Emotional and Mental Health],Table1[Emotional and Mental Health2]),""))</f>
        <v/>
      </c>
      <c r="GL434" s="44" t="str">
        <f>IF(Table1[Leaving Date]="","",IF(AND(Table1[Leaving Date]&gt;42460,Table1[Leaving Date]&lt;42826),IF(Table1[Date of Last Assessment]="",Table1[Meaningful Use of Time],Table1[Meaningful Use of Time2]),""))</f>
        <v/>
      </c>
      <c r="GM434" s="44" t="str">
        <f>IF(Table1[Leaving Date]="","",IF(AND(Table1[Leaving Date]&gt;42460,Table1[Leaving Date]&lt;42826),IF(Table1[Date of Last Assessment]="",Table1[Managing Tenancy and Accommodation],Table1[Managing Tenancy and Accommodation2]),""))</f>
        <v/>
      </c>
      <c r="GN434" s="44" t="str">
        <f>IF(Table1[Leaving Date]="","",IF(AND(Table1[Leaving Date]&gt;42460,Table1[Leaving Date]&lt;42826),IF(Table1[Date of Last Assessment]="",Table1[Offending],Table1[Offending2]),""))</f>
        <v/>
      </c>
    </row>
    <row r="435" spans="2:196" ht="20.100000000000001" customHeight="1" x14ac:dyDescent="0.2">
      <c r="B435" s="86">
        <f>+'Service Data'!$C$5:$C$5</f>
        <v>0</v>
      </c>
      <c r="C435" s="86"/>
      <c r="D435" s="86"/>
      <c r="E435" s="86"/>
      <c r="F435" s="86"/>
      <c r="G435" s="86"/>
      <c r="H435" s="6"/>
      <c r="I435" s="99" t="str">
        <f ca="1">IF(Table1[[#This Row],[Date of Birth]]="","",SUM(TODAY()-Table1[[#This Row],[Date of Birth]])/365)</f>
        <v/>
      </c>
      <c r="L435" s="86"/>
      <c r="M435" s="77"/>
      <c r="N435" s="86"/>
      <c r="O435" s="86"/>
      <c r="P435" s="91"/>
      <c r="Q435" s="86"/>
      <c r="R435" s="77"/>
      <c r="S435" s="77"/>
      <c r="T435" s="68"/>
      <c r="U435" s="68"/>
      <c r="V435" s="67"/>
      <c r="W435" s="67"/>
      <c r="X435" s="67"/>
      <c r="Y435" s="67"/>
      <c r="Z435" s="67"/>
      <c r="AA435" s="67"/>
      <c r="AB435" s="67"/>
      <c r="AC435" s="67"/>
      <c r="AD435" s="67"/>
      <c r="AE435" s="67"/>
      <c r="AF435" s="67"/>
      <c r="AG435" s="67"/>
      <c r="AH435" s="67"/>
      <c r="AI435" s="67"/>
      <c r="AJ435" s="67"/>
      <c r="AK435" s="67"/>
      <c r="AL435" s="67"/>
      <c r="AM435" s="67"/>
      <c r="AN435" s="77"/>
      <c r="AO435" s="76"/>
      <c r="AP435" s="77"/>
      <c r="AQ435" s="76"/>
      <c r="AR435" s="76"/>
      <c r="AS435" s="76"/>
      <c r="AT435" s="76"/>
      <c r="AU435" s="76"/>
      <c r="AV435" s="77"/>
      <c r="AW435" s="76"/>
      <c r="AX435" s="77"/>
      <c r="AY435" s="76"/>
      <c r="AZ435" s="76"/>
      <c r="BA435" s="76"/>
      <c r="BB435" s="76"/>
      <c r="BC435" s="76"/>
      <c r="BD435" s="77"/>
      <c r="BE435" s="76"/>
      <c r="BF435" s="77"/>
      <c r="BG435" s="76"/>
      <c r="BH435" s="76"/>
      <c r="BI435" s="76"/>
      <c r="BJ435" s="76"/>
      <c r="BK435" s="76"/>
      <c r="BL435" s="77"/>
      <c r="BM435" s="76"/>
      <c r="BN435" s="77"/>
      <c r="BO435" s="76"/>
      <c r="BP435" s="76"/>
      <c r="BQ435" s="76"/>
      <c r="BR435" s="76"/>
      <c r="BS435" s="76"/>
      <c r="BT435" s="77"/>
      <c r="BU435" s="76"/>
      <c r="BV435" s="77"/>
      <c r="BW435" s="76"/>
      <c r="BX435" s="76"/>
      <c r="BY435" s="76"/>
      <c r="BZ435" s="76"/>
      <c r="CA435" s="76"/>
      <c r="CB435" s="77"/>
      <c r="CC435" s="76"/>
      <c r="CD435" s="77"/>
      <c r="CE435" s="76"/>
      <c r="CF435" s="76"/>
      <c r="CG435" s="76"/>
      <c r="CH435" s="76"/>
      <c r="CI435" s="76"/>
      <c r="CJ435" s="77"/>
      <c r="CK435" s="76"/>
      <c r="CL435" s="77"/>
      <c r="CM435" s="76"/>
      <c r="CN435" s="76"/>
      <c r="CO435" s="76"/>
      <c r="CP435" s="76"/>
      <c r="CQ435" s="76"/>
      <c r="CR435" s="78" t="str">
        <f t="shared" si="111"/>
        <v/>
      </c>
      <c r="CS435" s="79" t="str">
        <f t="shared" si="112"/>
        <v/>
      </c>
      <c r="CT435" s="79" t="str">
        <f t="shared" si="113"/>
        <v/>
      </c>
      <c r="CU435" s="79" t="str">
        <f t="shared" si="114"/>
        <v/>
      </c>
      <c r="CV435" s="79" t="str">
        <f t="shared" si="115"/>
        <v/>
      </c>
      <c r="CW435" s="79" t="str">
        <f t="shared" si="116"/>
        <v/>
      </c>
      <c r="CX435" s="79" t="str">
        <f t="shared" si="117"/>
        <v/>
      </c>
      <c r="CY435" s="79" t="str">
        <f t="shared" si="118"/>
        <v/>
      </c>
      <c r="CZ435" s="79" t="str">
        <f t="shared" si="119"/>
        <v/>
      </c>
      <c r="DA435" s="79" t="str">
        <f t="shared" si="120"/>
        <v/>
      </c>
      <c r="DB435" s="79" t="str">
        <f t="shared" si="121"/>
        <v/>
      </c>
      <c r="DC435" s="79" t="str">
        <f t="shared" si="122"/>
        <v/>
      </c>
      <c r="DD435" s="79" t="str">
        <f t="shared" si="123"/>
        <v/>
      </c>
      <c r="DE435" s="79" t="str">
        <f t="shared" si="124"/>
        <v/>
      </c>
      <c r="DF435" s="79" t="str">
        <f t="shared" si="125"/>
        <v/>
      </c>
      <c r="DG435" s="79" t="str">
        <f t="shared" si="126"/>
        <v/>
      </c>
      <c r="DH435" s="76"/>
      <c r="DI435" s="78"/>
      <c r="DJ435" s="76"/>
      <c r="DK435" s="77"/>
      <c r="DL435" s="77"/>
      <c r="DM435" s="77"/>
      <c r="DN435" s="80"/>
      <c r="DO435" s="80"/>
      <c r="DP435" s="92" t="str">
        <f>IF(Table1[Start Date]="","",IF(Table1[Start Date]&gt;42185,"",IF(AND(Table1[Leaving Date]&gt;1,Table1[Leaving Date]&lt;42095),"",1)))</f>
        <v/>
      </c>
      <c r="DQ435" s="92" t="str">
        <f>IF(Table1[Start Date]="","",IF(Table1[Start Date]&gt;42277,"",IF(AND(Table1[Leaving Date]&gt;1,Table1[Leaving Date]&lt;42186),"",1)))</f>
        <v/>
      </c>
      <c r="DR435" s="92" t="str">
        <f>IF(Table1[Start Date]="","",IF(Table1[Start Date]&gt;42369,"",IF(AND(Table1[Leaving Date]&gt;1,Table1[Leaving Date]&lt;42278),"",1)))</f>
        <v/>
      </c>
      <c r="DS435" s="92" t="str">
        <f>IF(Table1[Start Date]="","",IF(Table1[Start Date]&gt;42460,"",IF(AND(Table1[Leaving Date]&gt;1,Table1[Leaving Date]&lt;42370),"",1)))</f>
        <v/>
      </c>
      <c r="DT435" s="92" t="str">
        <f>IF(Table1[Start Date]="","",IF(Table1[Start Date]&gt;42551,"",IF(AND(Table1[Leaving Date]&gt;1,Table1[Leaving Date]&lt;42461),"",1)))</f>
        <v/>
      </c>
      <c r="DU435" s="92" t="str">
        <f>IF(Table1[Start Date]="","",IF(Table1[Start Date]&gt;42643,"",IF(AND(Table1[Leaving Date]&gt;1,Table1[Leaving Date]&lt;42552),"",1)))</f>
        <v/>
      </c>
      <c r="DV435" s="92" t="str">
        <f>IF(Table1[Start Date]="","",IF(Table1[Start Date]&gt;42735,"",IF(AND(Table1[Leaving Date]&gt;1,Table1[Leaving Date]&lt;42644),"",1)))</f>
        <v/>
      </c>
      <c r="DW435" s="92" t="str">
        <f>IF(Table1[Start Date]="","",IF(Table1[Start Date]&gt;42825,"",IF(AND(Table1[Leaving Date]&gt;1,Table1[Leaving Date]&lt;42736),"",1)))</f>
        <v/>
      </c>
      <c r="DX435"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435" s="44" t="e">
        <f>VLOOKUP(Table1[Referral Source],Lists!$G$2:$H$20,2,FALSE)</f>
        <v>#N/A</v>
      </c>
      <c r="DZ435" s="93" t="e">
        <f>SUM(Table1[Data Referral Quarter]+Table1[Data Referral Source])</f>
        <v>#N/A</v>
      </c>
      <c r="EA435" s="44" t="b">
        <f>IF(Table1[Referral Decision]="Accepted",100,IF(Table1[Referral Decision]="Rejected by Provider",200,IF(Table1[Referral Decision]="Rejected by Applicant",300)))</f>
        <v>0</v>
      </c>
      <c r="EB435" s="44">
        <f>SUM(Table1[Data Referral Quarter]+Table1[Data Referral Decision])</f>
        <v>0</v>
      </c>
      <c r="EC435" s="44" t="b">
        <f>IF(Table1[Start Date]&gt;42735,8000,IF(Table1[Start Date]&gt;42643,7000,IF(Table1[Start Date]&gt;42551,6000,IF(Table1[Start Date]&gt;42460,5000,IF(Table1[Start Date]&gt;42369,4000,IF(Table1[Start Date]&gt;42277,3000,IF(Table1[Start Date]&gt;42185,2000,IF(Table1[Start Date]&gt;42094,1000))))))))</f>
        <v>0</v>
      </c>
      <c r="ED435" s="44" t="str">
        <f>IF(Table1[Start Date]="","",IF(Table1[Current Local Authority]="Swindon",1,"2"))</f>
        <v/>
      </c>
      <c r="EE435" s="44" t="e">
        <f>SUM(Table1[Data Start Date]+Table1[Data Local Authority])</f>
        <v>#VALUE!</v>
      </c>
      <c r="EF435" s="44">
        <f>IF(Table1[Registered with GP]="Yes",1,0)</f>
        <v>0</v>
      </c>
      <c r="EG435" s="44">
        <f>SUM(Table1[Data Start Date]+Table1[Data GP Start])</f>
        <v>0</v>
      </c>
      <c r="EH435" s="44" t="str">
        <f>IF(Table1[EET]="NEET",1,IF(Table1[EET]="Education",2,IF(Table1[EET]="Employment",2,IF(Table1[EET]="Training",2,IF(Table1[EET]="Retired",3,"")))))</f>
        <v/>
      </c>
      <c r="EI435" s="44" t="e">
        <f>Table1[Data Start Date]+Table1[Data EET Start]</f>
        <v>#VALUE!</v>
      </c>
      <c r="EJ435" s="44" t="b">
        <f>IF(Table1[Leaving Date]&gt;42735,8000,IF(Table1[Leaving Date]&gt;42643,7000,IF(Table1[Leaving Date]&gt;42551,6000,IF(Table1[Leaving Date]&gt;42460,5000,IF(Table1[Leaving Date]&gt;42369,4000,IF(Table1[Leaving Date]&gt;42277,3000,IF(Table1[Leaving Date]&gt;42185,2000,IF(Table1[Leaving Date]&gt;42094,1000))))))))</f>
        <v>0</v>
      </c>
      <c r="EK435" s="44" t="e">
        <f>VLOOKUP(Table1[Reason for Leaving],Lists!$T$2:$U$15,2,FALSE)</f>
        <v>#N/A</v>
      </c>
      <c r="EL435" s="44" t="e">
        <f>SUM(Table1[Data Leavers Date]+Table1[Data Move On])</f>
        <v>#N/A</v>
      </c>
      <c r="EM435" s="44" t="b">
        <f>IF(Table1[Registered with GP2]="Yes",1,IF(Table1[Registered with GP2]="No",0,IF(Table1[Registered with GP]="Yes",1,IF(Table1[Registered with GP]="No",0))))</f>
        <v>0</v>
      </c>
      <c r="EN435" s="44">
        <f>SUM(Table1[Data Leavers Date]+Table1[Data GP End])</f>
        <v>0</v>
      </c>
      <c r="EO435" s="44" t="str">
        <f>IF(Table1[EET2]="NEET",1,IF(Table1[EET2]="Employment",2,IF(Table1[EET2]="Education",2,IF(Table1[EET2]="Training",2,IF(Table1[EET2]="Retired",3,IF(Table1[EET]="NEET",1,IF(Table1[EET]="Employment",2,IF(Table1[EET]="Education",2,IF(Table1[EET]="Training",2,IF(Table1[EET]="Retired",3,""))))))))))</f>
        <v/>
      </c>
      <c r="EP435" s="44" t="e">
        <f>+Table1[[#This Row],[Data Leavers Date]]+Table1[[#This Row],[Data EET End]]</f>
        <v>#VALUE!</v>
      </c>
      <c r="EQ435" s="44">
        <f>IF(Table1[Exit Form Received]="Yes",1,0)</f>
        <v>0</v>
      </c>
      <c r="ER435" s="44">
        <f>+Table1[[#This Row],[Data Leavers Date]]+Table1[[#This Row],[Data Exit Forms]]</f>
        <v>0</v>
      </c>
      <c r="ES435" s="44" t="str">
        <f>IF(Table1[Data Leavers Date]=1000,SUM(Table1[Leaving Date]-Table1[Start Date]),"")</f>
        <v/>
      </c>
      <c r="ET435" s="44" t="str">
        <f>IF(Table1[Data Leavers Date]=2000,SUM(Table1[Leaving Date]-Table1[Start Date]),"")</f>
        <v/>
      </c>
      <c r="EU435" s="44" t="str">
        <f>IF(Table1[Data Leavers Date]=3000,SUM(Table1[Leaving Date]-Table1[Start Date]),"")</f>
        <v/>
      </c>
      <c r="EV435" s="44" t="str">
        <f>IF(Table1[Data Leavers Date]=4000,SUM(Table1[Leaving Date]-Table1[Start Date]),"")</f>
        <v/>
      </c>
      <c r="EW435" s="44" t="str">
        <f>IF(Table1[Data Leavers Date]=5000,SUM(Table1[Leaving Date]-Table1[Start Date]),"")</f>
        <v/>
      </c>
      <c r="EX435" s="44" t="str">
        <f>IF(Table1[Data Leavers Date]=6000,SUM(Table1[Leaving Date]-Table1[Start Date]),"")</f>
        <v/>
      </c>
      <c r="EY435" s="44" t="str">
        <f>IF(Table1[Data Leavers Date]=7000,SUM(Table1[Leaving Date]-Table1[Start Date]),"")</f>
        <v/>
      </c>
      <c r="EZ435" s="44" t="str">
        <f>IF(Table1[Data Leavers Date]=8000,SUM(Table1[Leaving Date]-Table1[Start Date]),"")</f>
        <v/>
      </c>
      <c r="FA435" s="44" t="str">
        <f>IF(Table1[Date of Initial Assessment]="","",IF(AND(Table1[Start Date]&gt;42094,Table1[Start Date]&lt;42461),Table1[Motivation and Taking Responsibility],""))</f>
        <v/>
      </c>
      <c r="FB435" s="44" t="str">
        <f>IF(Table1[Date of Initial Assessment]="","",IF(AND(Table1[Start Date]&gt;42094,Table1[Start Date]&lt;42461),Table1[Self-Care and Living Skills],""))</f>
        <v/>
      </c>
      <c r="FC435" s="44" t="str">
        <f>IF(Table1[Date of Initial Assessment]="","",IF(AND(Table1[Start Date]&gt;42094,Table1[Start Date]&lt;42461),Table1[Managing Money and Personal Administration],""))</f>
        <v/>
      </c>
      <c r="FD435" s="44" t="str">
        <f>IF(Table1[Date of Initial Assessment]="","",IF(AND(Table1[Start Date]&gt;42094,Table1[Start Date]&lt;42461),Table1[Social Networks and Relationships],""))</f>
        <v/>
      </c>
      <c r="FE435" s="44" t="str">
        <f>IF(Table1[Date of Initial Assessment]="","",IF(AND(Table1[Start Date]&gt;42094,Table1[Start Date]&lt;42461),Table1[Drug and Alcohol Misuse],""))</f>
        <v/>
      </c>
      <c r="FF435" s="44" t="str">
        <f>IF(Table1[Date of Initial Assessment]="","",IF(AND(Table1[Start Date]&gt;42094,Table1[Start Date]&lt;42461),Table1[Physical Health],""))</f>
        <v/>
      </c>
      <c r="FG435" s="44" t="str">
        <f>IF(Table1[Date of Initial Assessment]="","",IF(AND(Table1[Start Date]&gt;42094,Table1[Start Date]&lt;42461),Table1[Emotional and Mental Health],""))</f>
        <v/>
      </c>
      <c r="FH435" s="44" t="str">
        <f>IF(Table1[Date of Initial Assessment]="","",IF(AND(Table1[Start Date]&gt;42094,Table1[Start Date]&lt;42461),Table1[Meaningful Use of Time],""))</f>
        <v/>
      </c>
      <c r="FI435" s="44" t="str">
        <f>IF(Table1[Date of Initial Assessment]="","",IF(AND(Table1[Start Date]&gt;42094,Table1[Start Date]&lt;42461),Table1[Managing Tenancy and Accommodation],""))</f>
        <v/>
      </c>
      <c r="FJ435" s="44" t="str">
        <f>IF(Table1[Date of Initial Assessment]="","",IF(AND(Table1[Start Date]&gt;42094,Table1[Start Date]&lt;42461),Table1[Offending],""))</f>
        <v/>
      </c>
      <c r="FK435" s="44" t="str">
        <f>IF(Table1[Leaving Date]="","",IF(Table1[Date of Initial Assessment]="","",IF(AND(Table1[Leaving Date]&gt;42094,Table1[Leaving Date]&lt;42461),IF(Table1[Date of Last Assessment]="",Table1[Motivation and Taking Responsibility],Table1[Motivation and Taking Responsibility2]),"")))</f>
        <v/>
      </c>
      <c r="FL435" s="44" t="str">
        <f>IF(Table1[Leaving Date]="","",IF(Table1[Date of Initial Assessment]="","",IF(AND(Table1[Leaving Date]&gt;42094,Table1[Leaving Date]&lt;42461),IF(Table1[Date of Last Assessment]="",Table1[Self-Care and Living Skills],Table1[Self-Care and Living Skills2]),"")))</f>
        <v/>
      </c>
      <c r="FM435" s="44" t="str">
        <f>IF(Table1[Leaving Date]="","",IF(Table1[Date of Initial Assessment]="","",IF(AND(Table1[Leaving Date]&gt;42094,Table1[Leaving Date]&lt;42461),IF(Table1[Date of Last Assessment]="",Table1[Managing Money and Personal Administration],Table1[Managing Money and Personal Administration2]),"")))</f>
        <v/>
      </c>
      <c r="FN435" s="44" t="str">
        <f>IF(Table1[Leaving Date]="","",IF(Table1[Date of Initial Assessment]="","",IF(AND(Table1[Leaving Date]&gt;42094,Table1[Leaving Date]&lt;42461),IF(Table1[Date of Last Assessment]="",Table1[Social Networks and Relationships],Table1[Social Networks and Relationships2]),"")))</f>
        <v/>
      </c>
      <c r="FO435" s="44" t="str">
        <f>IF(Table1[Leaving Date]="","",IF(Table1[Date of Initial Assessment]="","",IF(AND(Table1[Leaving Date]&gt;42094,Table1[Leaving Date]&lt;42461),IF(Table1[Date of Last Assessment]="",Table1[Drug and Alcohol Misuse],Table1[Drug and Alcohol Misuse2]),"")))</f>
        <v/>
      </c>
      <c r="FP435" s="44" t="str">
        <f>IF(Table1[Leaving Date]="","",IF(Table1[Date of Initial Assessment]="","",IF(AND(Table1[Leaving Date]&gt;42094,Table1[Leaving Date]&lt;42461),IF(Table1[Date of Last Assessment]="",Table1[Physical Health],Table1[Physical Health2]),"")))</f>
        <v/>
      </c>
      <c r="FQ435" s="44" t="str">
        <f>IF(Table1[Leaving Date]="","",IF(Table1[Date of Initial Assessment]="","",IF(AND(Table1[Leaving Date]&gt;42094,Table1[Leaving Date]&lt;42461),IF(Table1[Date of Last Assessment]="",Table1[Emotional and Mental Health],Table1[Emotional and Mental Health2]),"")))</f>
        <v/>
      </c>
      <c r="FR435" s="44" t="str">
        <f>IF(Table1[Leaving Date]="","",IF(Table1[Date of Initial Assessment]="","",IF(AND(Table1[Leaving Date]&gt;42094,Table1[Leaving Date]&lt;42461),IF(Table1[Date of Last Assessment]="",Table1[Meaningful Use of Time],Table1[Meaningful Use of Time2]),"")))</f>
        <v/>
      </c>
      <c r="FS435" s="44" t="str">
        <f>IF(Table1[Leaving Date]="","",IF(Table1[Date of Initial Assessment]="","",IF(AND(Table1[Leaving Date]&gt;42094,Table1[Leaving Date]&lt;42461),IF(Table1[Date of Last Assessment]="",Table1[Managing Tenancy and Accommodation],Table1[Managing Tenancy and Accommodation2]),"")))</f>
        <v/>
      </c>
      <c r="FT435" s="44" t="str">
        <f>IF(Table1[Leaving Date]="","",IF(Table1[Date of Initial Assessment]="","",IF(AND(Table1[Leaving Date]&gt;42094,Table1[Leaving Date]&lt;42461),IF(Table1[Date of Last Assessment]="",Table1[Offending],Table1[Offending2]),"")))</f>
        <v/>
      </c>
      <c r="FU435" s="44" t="str">
        <f>IF(Table1[Date of Initial Assessment]="","",IF(AND(Table1[Start Date]&gt;42460,Table1[Start Date]&lt;42826),Table1[Motivation and Taking Responsibility],""))</f>
        <v/>
      </c>
      <c r="FV435" s="44" t="str">
        <f>IF(Table1[Date of Initial Assessment]="","",IF(AND(Table1[Start Date]&gt;42460,Table1[Start Date]&lt;42826),Table1[Self-Care and Living Skills],""))</f>
        <v/>
      </c>
      <c r="FW435" s="44" t="str">
        <f>IF(Table1[Date of Initial Assessment]="","",IF(AND(Table1[Start Date]&gt;42460,Table1[Start Date]&lt;42826),Table1[Managing Money and Personal Administration],""))</f>
        <v/>
      </c>
      <c r="FX435" s="44" t="str">
        <f>IF(Table1[Date of Initial Assessment]="","",IF(AND(Table1[Start Date]&gt;42460,Table1[Start Date]&lt;42826),Table1[Social Networks and Relationships],""))</f>
        <v/>
      </c>
      <c r="FY435" s="44" t="str">
        <f>IF(Table1[Date of Initial Assessment]="","",IF(AND(Table1[Start Date]&gt;42460,Table1[Start Date]&lt;42826),Table1[Drug and Alcohol Misuse],""))</f>
        <v/>
      </c>
      <c r="FZ435" s="44" t="str">
        <f>IF(Table1[Date of Initial Assessment]="","",IF(AND(Table1[Start Date]&gt;42460,Table1[Start Date]&lt;42826),Table1[Physical Health],""))</f>
        <v/>
      </c>
      <c r="GA435" s="44" t="str">
        <f>IF(Table1[Date of Initial Assessment]="","",IF(AND(Table1[Start Date]&gt;42460,Table1[Start Date]&lt;42826),Table1[Emotional and Mental Health],""))</f>
        <v/>
      </c>
      <c r="GB435" s="44" t="str">
        <f>IF(Table1[Date of Initial Assessment]="","",IF(AND(Table1[Start Date]&gt;42460,Table1[Start Date]&lt;42826),Table1[Meaningful Use of Time],""))</f>
        <v/>
      </c>
      <c r="GC435" s="44" t="str">
        <f>IF(Table1[Date of Initial Assessment]="","",IF(AND(Table1[Start Date]&gt;42460,Table1[Start Date]&lt;42826),Table1[Managing Tenancy and Accommodation],""))</f>
        <v/>
      </c>
      <c r="GD435" s="44" t="str">
        <f>IF(Table1[Date of Initial Assessment]="","",IF(AND(Table1[Start Date]&gt;42460,Table1[Start Date]&lt;42826),Table1[Offending],""))</f>
        <v/>
      </c>
      <c r="GE435" s="44" t="str">
        <f>IF(Table1[Leaving Date]="","",IF(AND(Table1[Leaving Date]&gt;42460,Table1[Leaving Date]&lt;42826),IF(Table1[Date of Last Assessment]="",Table1[Motivation and Taking Responsibility],Table1[Motivation and Taking Responsibility2]),""))</f>
        <v/>
      </c>
      <c r="GF435" s="44" t="str">
        <f>IF(Table1[Leaving Date]="","",IF(AND(Table1[Leaving Date]&gt;42460,Table1[Leaving Date]&lt;42826),IF(Table1[Date of Last Assessment]="",Table1[Self-Care and Living Skills],Table1[Self-Care and Living Skills2]),""))</f>
        <v/>
      </c>
      <c r="GG435" s="44" t="str">
        <f>IF(Table1[Leaving Date]="","",IF(AND(Table1[Leaving Date]&gt;42460,Table1[Leaving Date]&lt;42826),IF(Table1[Date of Last Assessment]="",Table1[Managing Money and Personal Administration],Table1[Managing Money and Personal Administration2]),""))</f>
        <v/>
      </c>
      <c r="GH435" s="44" t="str">
        <f>IF(Table1[Leaving Date]="","",IF(AND(Table1[Leaving Date]&gt;42460,Table1[Leaving Date]&lt;42826),IF(Table1[Date of Last Assessment]="",Table1[Social Networks and Relationships],Table1[Social Networks and Relationships2]),""))</f>
        <v/>
      </c>
      <c r="GI435" s="44" t="str">
        <f>IF(Table1[Leaving Date]="","",IF(AND(Table1[Leaving Date]&gt;42460,Table1[Leaving Date]&lt;42826),IF(Table1[Date of Last Assessment]="",Table1[Drug and Alcohol Misuse],Table1[Drug and Alcohol Misuse2]),""))</f>
        <v/>
      </c>
      <c r="GJ435" s="44" t="str">
        <f>IF(Table1[Leaving Date]="","",IF(AND(Table1[Leaving Date]&gt;42460,Table1[Leaving Date]&lt;42826),IF(Table1[Date of Last Assessment]="",Table1[Physical Health],Table1[Physical Health2]),""))</f>
        <v/>
      </c>
      <c r="GK435" s="44" t="str">
        <f>IF(Table1[Leaving Date]="","",IF(AND(Table1[Leaving Date]&gt;42460,Table1[Leaving Date]&lt;42826),IF(Table1[Date of Last Assessment]="",Table1[Emotional and Mental Health],Table1[Emotional and Mental Health2]),""))</f>
        <v/>
      </c>
      <c r="GL435" s="44" t="str">
        <f>IF(Table1[Leaving Date]="","",IF(AND(Table1[Leaving Date]&gt;42460,Table1[Leaving Date]&lt;42826),IF(Table1[Date of Last Assessment]="",Table1[Meaningful Use of Time],Table1[Meaningful Use of Time2]),""))</f>
        <v/>
      </c>
      <c r="GM435" s="44" t="str">
        <f>IF(Table1[Leaving Date]="","",IF(AND(Table1[Leaving Date]&gt;42460,Table1[Leaving Date]&lt;42826),IF(Table1[Date of Last Assessment]="",Table1[Managing Tenancy and Accommodation],Table1[Managing Tenancy and Accommodation2]),""))</f>
        <v/>
      </c>
      <c r="GN435" s="44" t="str">
        <f>IF(Table1[Leaving Date]="","",IF(AND(Table1[Leaving Date]&gt;42460,Table1[Leaving Date]&lt;42826),IF(Table1[Date of Last Assessment]="",Table1[Offending],Table1[Offending2]),""))</f>
        <v/>
      </c>
    </row>
    <row r="436" spans="2:196" ht="20.100000000000001" customHeight="1" x14ac:dyDescent="0.2">
      <c r="B436" s="86">
        <f>+'Service Data'!$C$5:$C$5</f>
        <v>0</v>
      </c>
      <c r="C436" s="86"/>
      <c r="D436" s="86"/>
      <c r="E436" s="86"/>
      <c r="F436" s="86"/>
      <c r="G436" s="86"/>
      <c r="H436" s="6"/>
      <c r="I436" s="99" t="str">
        <f ca="1">IF(Table1[[#This Row],[Date of Birth]]="","",SUM(TODAY()-Table1[[#This Row],[Date of Birth]])/365)</f>
        <v/>
      </c>
      <c r="L436" s="86"/>
      <c r="M436" s="77"/>
      <c r="N436" s="86"/>
      <c r="O436" s="86"/>
      <c r="P436" s="91"/>
      <c r="Q436" s="86"/>
      <c r="R436" s="77"/>
      <c r="S436" s="77"/>
      <c r="T436" s="68"/>
      <c r="U436" s="68"/>
      <c r="V436" s="67"/>
      <c r="W436" s="67"/>
      <c r="X436" s="67"/>
      <c r="Y436" s="67"/>
      <c r="Z436" s="67"/>
      <c r="AA436" s="67"/>
      <c r="AB436" s="67"/>
      <c r="AC436" s="67"/>
      <c r="AD436" s="67"/>
      <c r="AE436" s="67"/>
      <c r="AF436" s="67"/>
      <c r="AG436" s="67"/>
      <c r="AH436" s="67"/>
      <c r="AI436" s="67"/>
      <c r="AJ436" s="67"/>
      <c r="AK436" s="67"/>
      <c r="AL436" s="67"/>
      <c r="AM436" s="67"/>
      <c r="AN436" s="77"/>
      <c r="AO436" s="76"/>
      <c r="AP436" s="77"/>
      <c r="AQ436" s="76"/>
      <c r="AR436" s="76"/>
      <c r="AS436" s="76"/>
      <c r="AT436" s="76"/>
      <c r="AU436" s="76"/>
      <c r="AV436" s="77"/>
      <c r="AW436" s="76"/>
      <c r="AX436" s="77"/>
      <c r="AY436" s="76"/>
      <c r="AZ436" s="76"/>
      <c r="BA436" s="76"/>
      <c r="BB436" s="76"/>
      <c r="BC436" s="76"/>
      <c r="BD436" s="77"/>
      <c r="BE436" s="76"/>
      <c r="BF436" s="77"/>
      <c r="BG436" s="76"/>
      <c r="BH436" s="76"/>
      <c r="BI436" s="76"/>
      <c r="BJ436" s="76"/>
      <c r="BK436" s="76"/>
      <c r="BL436" s="77"/>
      <c r="BM436" s="76"/>
      <c r="BN436" s="77"/>
      <c r="BO436" s="76"/>
      <c r="BP436" s="76"/>
      <c r="BQ436" s="76"/>
      <c r="BR436" s="76"/>
      <c r="BS436" s="76"/>
      <c r="BT436" s="77"/>
      <c r="BU436" s="76"/>
      <c r="BV436" s="77"/>
      <c r="BW436" s="76"/>
      <c r="BX436" s="76"/>
      <c r="BY436" s="76"/>
      <c r="BZ436" s="76"/>
      <c r="CA436" s="76"/>
      <c r="CB436" s="77"/>
      <c r="CC436" s="76"/>
      <c r="CD436" s="77"/>
      <c r="CE436" s="76"/>
      <c r="CF436" s="76"/>
      <c r="CG436" s="76"/>
      <c r="CH436" s="76"/>
      <c r="CI436" s="76"/>
      <c r="CJ436" s="77"/>
      <c r="CK436" s="76"/>
      <c r="CL436" s="77"/>
      <c r="CM436" s="76"/>
      <c r="CN436" s="76"/>
      <c r="CO436" s="76"/>
      <c r="CP436" s="76"/>
      <c r="CQ436" s="76"/>
      <c r="CR436" s="78" t="str">
        <f t="shared" si="111"/>
        <v/>
      </c>
      <c r="CS436" s="79" t="str">
        <f t="shared" si="112"/>
        <v/>
      </c>
      <c r="CT436" s="79" t="str">
        <f t="shared" si="113"/>
        <v/>
      </c>
      <c r="CU436" s="79" t="str">
        <f t="shared" si="114"/>
        <v/>
      </c>
      <c r="CV436" s="79" t="str">
        <f t="shared" si="115"/>
        <v/>
      </c>
      <c r="CW436" s="79" t="str">
        <f t="shared" si="116"/>
        <v/>
      </c>
      <c r="CX436" s="79" t="str">
        <f t="shared" si="117"/>
        <v/>
      </c>
      <c r="CY436" s="79" t="str">
        <f t="shared" si="118"/>
        <v/>
      </c>
      <c r="CZ436" s="79" t="str">
        <f t="shared" si="119"/>
        <v/>
      </c>
      <c r="DA436" s="79" t="str">
        <f t="shared" si="120"/>
        <v/>
      </c>
      <c r="DB436" s="79" t="str">
        <f t="shared" si="121"/>
        <v/>
      </c>
      <c r="DC436" s="79" t="str">
        <f t="shared" si="122"/>
        <v/>
      </c>
      <c r="DD436" s="79" t="str">
        <f t="shared" si="123"/>
        <v/>
      </c>
      <c r="DE436" s="79" t="str">
        <f t="shared" si="124"/>
        <v/>
      </c>
      <c r="DF436" s="79" t="str">
        <f t="shared" si="125"/>
        <v/>
      </c>
      <c r="DG436" s="79" t="str">
        <f t="shared" si="126"/>
        <v/>
      </c>
      <c r="DH436" s="76"/>
      <c r="DI436" s="78"/>
      <c r="DJ436" s="76"/>
      <c r="DK436" s="77"/>
      <c r="DL436" s="77"/>
      <c r="DM436" s="77"/>
      <c r="DN436" s="80"/>
      <c r="DO436" s="80"/>
      <c r="DP436" s="92" t="str">
        <f>IF(Table1[Start Date]="","",IF(Table1[Start Date]&gt;42185,"",IF(AND(Table1[Leaving Date]&gt;1,Table1[Leaving Date]&lt;42095),"",1)))</f>
        <v/>
      </c>
      <c r="DQ436" s="92" t="str">
        <f>IF(Table1[Start Date]="","",IF(Table1[Start Date]&gt;42277,"",IF(AND(Table1[Leaving Date]&gt;1,Table1[Leaving Date]&lt;42186),"",1)))</f>
        <v/>
      </c>
      <c r="DR436" s="92" t="str">
        <f>IF(Table1[Start Date]="","",IF(Table1[Start Date]&gt;42369,"",IF(AND(Table1[Leaving Date]&gt;1,Table1[Leaving Date]&lt;42278),"",1)))</f>
        <v/>
      </c>
      <c r="DS436" s="92" t="str">
        <f>IF(Table1[Start Date]="","",IF(Table1[Start Date]&gt;42460,"",IF(AND(Table1[Leaving Date]&gt;1,Table1[Leaving Date]&lt;42370),"",1)))</f>
        <v/>
      </c>
      <c r="DT436" s="92" t="str">
        <f>IF(Table1[Start Date]="","",IF(Table1[Start Date]&gt;42551,"",IF(AND(Table1[Leaving Date]&gt;1,Table1[Leaving Date]&lt;42461),"",1)))</f>
        <v/>
      </c>
      <c r="DU436" s="92" t="str">
        <f>IF(Table1[Start Date]="","",IF(Table1[Start Date]&gt;42643,"",IF(AND(Table1[Leaving Date]&gt;1,Table1[Leaving Date]&lt;42552),"",1)))</f>
        <v/>
      </c>
      <c r="DV436" s="92" t="str">
        <f>IF(Table1[Start Date]="","",IF(Table1[Start Date]&gt;42735,"",IF(AND(Table1[Leaving Date]&gt;1,Table1[Leaving Date]&lt;42644),"",1)))</f>
        <v/>
      </c>
      <c r="DW436" s="92" t="str">
        <f>IF(Table1[Start Date]="","",IF(Table1[Start Date]&gt;42825,"",IF(AND(Table1[Leaving Date]&gt;1,Table1[Leaving Date]&lt;42736),"",1)))</f>
        <v/>
      </c>
      <c r="DX436"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436" s="44" t="e">
        <f>VLOOKUP(Table1[Referral Source],Lists!$G$2:$H$20,2,FALSE)</f>
        <v>#N/A</v>
      </c>
      <c r="DZ436" s="93" t="e">
        <f>SUM(Table1[Data Referral Quarter]+Table1[Data Referral Source])</f>
        <v>#N/A</v>
      </c>
      <c r="EA436" s="44" t="b">
        <f>IF(Table1[Referral Decision]="Accepted",100,IF(Table1[Referral Decision]="Rejected by Provider",200,IF(Table1[Referral Decision]="Rejected by Applicant",300)))</f>
        <v>0</v>
      </c>
      <c r="EB436" s="44">
        <f>SUM(Table1[Data Referral Quarter]+Table1[Data Referral Decision])</f>
        <v>0</v>
      </c>
      <c r="EC436" s="44" t="b">
        <f>IF(Table1[Start Date]&gt;42735,8000,IF(Table1[Start Date]&gt;42643,7000,IF(Table1[Start Date]&gt;42551,6000,IF(Table1[Start Date]&gt;42460,5000,IF(Table1[Start Date]&gt;42369,4000,IF(Table1[Start Date]&gt;42277,3000,IF(Table1[Start Date]&gt;42185,2000,IF(Table1[Start Date]&gt;42094,1000))))))))</f>
        <v>0</v>
      </c>
      <c r="ED436" s="44" t="str">
        <f>IF(Table1[Start Date]="","",IF(Table1[Current Local Authority]="Swindon",1,"2"))</f>
        <v/>
      </c>
      <c r="EE436" s="44" t="e">
        <f>SUM(Table1[Data Start Date]+Table1[Data Local Authority])</f>
        <v>#VALUE!</v>
      </c>
      <c r="EF436" s="44">
        <f>IF(Table1[Registered with GP]="Yes",1,0)</f>
        <v>0</v>
      </c>
      <c r="EG436" s="44">
        <f>SUM(Table1[Data Start Date]+Table1[Data GP Start])</f>
        <v>0</v>
      </c>
      <c r="EH436" s="44" t="str">
        <f>IF(Table1[EET]="NEET",1,IF(Table1[EET]="Education",2,IF(Table1[EET]="Employment",2,IF(Table1[EET]="Training",2,IF(Table1[EET]="Retired",3,"")))))</f>
        <v/>
      </c>
      <c r="EI436" s="44" t="e">
        <f>Table1[Data Start Date]+Table1[Data EET Start]</f>
        <v>#VALUE!</v>
      </c>
      <c r="EJ436" s="44" t="b">
        <f>IF(Table1[Leaving Date]&gt;42735,8000,IF(Table1[Leaving Date]&gt;42643,7000,IF(Table1[Leaving Date]&gt;42551,6000,IF(Table1[Leaving Date]&gt;42460,5000,IF(Table1[Leaving Date]&gt;42369,4000,IF(Table1[Leaving Date]&gt;42277,3000,IF(Table1[Leaving Date]&gt;42185,2000,IF(Table1[Leaving Date]&gt;42094,1000))))))))</f>
        <v>0</v>
      </c>
      <c r="EK436" s="44" t="e">
        <f>VLOOKUP(Table1[Reason for Leaving],Lists!$T$2:$U$15,2,FALSE)</f>
        <v>#N/A</v>
      </c>
      <c r="EL436" s="44" t="e">
        <f>SUM(Table1[Data Leavers Date]+Table1[Data Move On])</f>
        <v>#N/A</v>
      </c>
      <c r="EM436" s="44" t="b">
        <f>IF(Table1[Registered with GP2]="Yes",1,IF(Table1[Registered with GP2]="No",0,IF(Table1[Registered with GP]="Yes",1,IF(Table1[Registered with GP]="No",0))))</f>
        <v>0</v>
      </c>
      <c r="EN436" s="44">
        <f>SUM(Table1[Data Leavers Date]+Table1[Data GP End])</f>
        <v>0</v>
      </c>
      <c r="EO436" s="44" t="str">
        <f>IF(Table1[EET2]="NEET",1,IF(Table1[EET2]="Employment",2,IF(Table1[EET2]="Education",2,IF(Table1[EET2]="Training",2,IF(Table1[EET2]="Retired",3,IF(Table1[EET]="NEET",1,IF(Table1[EET]="Employment",2,IF(Table1[EET]="Education",2,IF(Table1[EET]="Training",2,IF(Table1[EET]="Retired",3,""))))))))))</f>
        <v/>
      </c>
      <c r="EP436" s="44" t="e">
        <f>+Table1[[#This Row],[Data Leavers Date]]+Table1[[#This Row],[Data EET End]]</f>
        <v>#VALUE!</v>
      </c>
      <c r="EQ436" s="44">
        <f>IF(Table1[Exit Form Received]="Yes",1,0)</f>
        <v>0</v>
      </c>
      <c r="ER436" s="44">
        <f>+Table1[[#This Row],[Data Leavers Date]]+Table1[[#This Row],[Data Exit Forms]]</f>
        <v>0</v>
      </c>
      <c r="ES436" s="44" t="str">
        <f>IF(Table1[Data Leavers Date]=1000,SUM(Table1[Leaving Date]-Table1[Start Date]),"")</f>
        <v/>
      </c>
      <c r="ET436" s="44" t="str">
        <f>IF(Table1[Data Leavers Date]=2000,SUM(Table1[Leaving Date]-Table1[Start Date]),"")</f>
        <v/>
      </c>
      <c r="EU436" s="44" t="str">
        <f>IF(Table1[Data Leavers Date]=3000,SUM(Table1[Leaving Date]-Table1[Start Date]),"")</f>
        <v/>
      </c>
      <c r="EV436" s="44" t="str">
        <f>IF(Table1[Data Leavers Date]=4000,SUM(Table1[Leaving Date]-Table1[Start Date]),"")</f>
        <v/>
      </c>
      <c r="EW436" s="44" t="str">
        <f>IF(Table1[Data Leavers Date]=5000,SUM(Table1[Leaving Date]-Table1[Start Date]),"")</f>
        <v/>
      </c>
      <c r="EX436" s="44" t="str">
        <f>IF(Table1[Data Leavers Date]=6000,SUM(Table1[Leaving Date]-Table1[Start Date]),"")</f>
        <v/>
      </c>
      <c r="EY436" s="44" t="str">
        <f>IF(Table1[Data Leavers Date]=7000,SUM(Table1[Leaving Date]-Table1[Start Date]),"")</f>
        <v/>
      </c>
      <c r="EZ436" s="44" t="str">
        <f>IF(Table1[Data Leavers Date]=8000,SUM(Table1[Leaving Date]-Table1[Start Date]),"")</f>
        <v/>
      </c>
      <c r="FA436" s="44" t="str">
        <f>IF(Table1[Date of Initial Assessment]="","",IF(AND(Table1[Start Date]&gt;42094,Table1[Start Date]&lt;42461),Table1[Motivation and Taking Responsibility],""))</f>
        <v/>
      </c>
      <c r="FB436" s="44" t="str">
        <f>IF(Table1[Date of Initial Assessment]="","",IF(AND(Table1[Start Date]&gt;42094,Table1[Start Date]&lt;42461),Table1[Self-Care and Living Skills],""))</f>
        <v/>
      </c>
      <c r="FC436" s="44" t="str">
        <f>IF(Table1[Date of Initial Assessment]="","",IF(AND(Table1[Start Date]&gt;42094,Table1[Start Date]&lt;42461),Table1[Managing Money and Personal Administration],""))</f>
        <v/>
      </c>
      <c r="FD436" s="44" t="str">
        <f>IF(Table1[Date of Initial Assessment]="","",IF(AND(Table1[Start Date]&gt;42094,Table1[Start Date]&lt;42461),Table1[Social Networks and Relationships],""))</f>
        <v/>
      </c>
      <c r="FE436" s="44" t="str">
        <f>IF(Table1[Date of Initial Assessment]="","",IF(AND(Table1[Start Date]&gt;42094,Table1[Start Date]&lt;42461),Table1[Drug and Alcohol Misuse],""))</f>
        <v/>
      </c>
      <c r="FF436" s="44" t="str">
        <f>IF(Table1[Date of Initial Assessment]="","",IF(AND(Table1[Start Date]&gt;42094,Table1[Start Date]&lt;42461),Table1[Physical Health],""))</f>
        <v/>
      </c>
      <c r="FG436" s="44" t="str">
        <f>IF(Table1[Date of Initial Assessment]="","",IF(AND(Table1[Start Date]&gt;42094,Table1[Start Date]&lt;42461),Table1[Emotional and Mental Health],""))</f>
        <v/>
      </c>
      <c r="FH436" s="44" t="str">
        <f>IF(Table1[Date of Initial Assessment]="","",IF(AND(Table1[Start Date]&gt;42094,Table1[Start Date]&lt;42461),Table1[Meaningful Use of Time],""))</f>
        <v/>
      </c>
      <c r="FI436" s="44" t="str">
        <f>IF(Table1[Date of Initial Assessment]="","",IF(AND(Table1[Start Date]&gt;42094,Table1[Start Date]&lt;42461),Table1[Managing Tenancy and Accommodation],""))</f>
        <v/>
      </c>
      <c r="FJ436" s="44" t="str">
        <f>IF(Table1[Date of Initial Assessment]="","",IF(AND(Table1[Start Date]&gt;42094,Table1[Start Date]&lt;42461),Table1[Offending],""))</f>
        <v/>
      </c>
      <c r="FK436" s="44" t="str">
        <f>IF(Table1[Leaving Date]="","",IF(Table1[Date of Initial Assessment]="","",IF(AND(Table1[Leaving Date]&gt;42094,Table1[Leaving Date]&lt;42461),IF(Table1[Date of Last Assessment]="",Table1[Motivation and Taking Responsibility],Table1[Motivation and Taking Responsibility2]),"")))</f>
        <v/>
      </c>
      <c r="FL436" s="44" t="str">
        <f>IF(Table1[Leaving Date]="","",IF(Table1[Date of Initial Assessment]="","",IF(AND(Table1[Leaving Date]&gt;42094,Table1[Leaving Date]&lt;42461),IF(Table1[Date of Last Assessment]="",Table1[Self-Care and Living Skills],Table1[Self-Care and Living Skills2]),"")))</f>
        <v/>
      </c>
      <c r="FM436" s="44" t="str">
        <f>IF(Table1[Leaving Date]="","",IF(Table1[Date of Initial Assessment]="","",IF(AND(Table1[Leaving Date]&gt;42094,Table1[Leaving Date]&lt;42461),IF(Table1[Date of Last Assessment]="",Table1[Managing Money and Personal Administration],Table1[Managing Money and Personal Administration2]),"")))</f>
        <v/>
      </c>
      <c r="FN436" s="44" t="str">
        <f>IF(Table1[Leaving Date]="","",IF(Table1[Date of Initial Assessment]="","",IF(AND(Table1[Leaving Date]&gt;42094,Table1[Leaving Date]&lt;42461),IF(Table1[Date of Last Assessment]="",Table1[Social Networks and Relationships],Table1[Social Networks and Relationships2]),"")))</f>
        <v/>
      </c>
      <c r="FO436" s="44" t="str">
        <f>IF(Table1[Leaving Date]="","",IF(Table1[Date of Initial Assessment]="","",IF(AND(Table1[Leaving Date]&gt;42094,Table1[Leaving Date]&lt;42461),IF(Table1[Date of Last Assessment]="",Table1[Drug and Alcohol Misuse],Table1[Drug and Alcohol Misuse2]),"")))</f>
        <v/>
      </c>
      <c r="FP436" s="44" t="str">
        <f>IF(Table1[Leaving Date]="","",IF(Table1[Date of Initial Assessment]="","",IF(AND(Table1[Leaving Date]&gt;42094,Table1[Leaving Date]&lt;42461),IF(Table1[Date of Last Assessment]="",Table1[Physical Health],Table1[Physical Health2]),"")))</f>
        <v/>
      </c>
      <c r="FQ436" s="44" t="str">
        <f>IF(Table1[Leaving Date]="","",IF(Table1[Date of Initial Assessment]="","",IF(AND(Table1[Leaving Date]&gt;42094,Table1[Leaving Date]&lt;42461),IF(Table1[Date of Last Assessment]="",Table1[Emotional and Mental Health],Table1[Emotional and Mental Health2]),"")))</f>
        <v/>
      </c>
      <c r="FR436" s="44" t="str">
        <f>IF(Table1[Leaving Date]="","",IF(Table1[Date of Initial Assessment]="","",IF(AND(Table1[Leaving Date]&gt;42094,Table1[Leaving Date]&lt;42461),IF(Table1[Date of Last Assessment]="",Table1[Meaningful Use of Time],Table1[Meaningful Use of Time2]),"")))</f>
        <v/>
      </c>
      <c r="FS436" s="44" t="str">
        <f>IF(Table1[Leaving Date]="","",IF(Table1[Date of Initial Assessment]="","",IF(AND(Table1[Leaving Date]&gt;42094,Table1[Leaving Date]&lt;42461),IF(Table1[Date of Last Assessment]="",Table1[Managing Tenancy and Accommodation],Table1[Managing Tenancy and Accommodation2]),"")))</f>
        <v/>
      </c>
      <c r="FT436" s="44" t="str">
        <f>IF(Table1[Leaving Date]="","",IF(Table1[Date of Initial Assessment]="","",IF(AND(Table1[Leaving Date]&gt;42094,Table1[Leaving Date]&lt;42461),IF(Table1[Date of Last Assessment]="",Table1[Offending],Table1[Offending2]),"")))</f>
        <v/>
      </c>
      <c r="FU436" s="44" t="str">
        <f>IF(Table1[Date of Initial Assessment]="","",IF(AND(Table1[Start Date]&gt;42460,Table1[Start Date]&lt;42826),Table1[Motivation and Taking Responsibility],""))</f>
        <v/>
      </c>
      <c r="FV436" s="44" t="str">
        <f>IF(Table1[Date of Initial Assessment]="","",IF(AND(Table1[Start Date]&gt;42460,Table1[Start Date]&lt;42826),Table1[Self-Care and Living Skills],""))</f>
        <v/>
      </c>
      <c r="FW436" s="44" t="str">
        <f>IF(Table1[Date of Initial Assessment]="","",IF(AND(Table1[Start Date]&gt;42460,Table1[Start Date]&lt;42826),Table1[Managing Money and Personal Administration],""))</f>
        <v/>
      </c>
      <c r="FX436" s="44" t="str">
        <f>IF(Table1[Date of Initial Assessment]="","",IF(AND(Table1[Start Date]&gt;42460,Table1[Start Date]&lt;42826),Table1[Social Networks and Relationships],""))</f>
        <v/>
      </c>
      <c r="FY436" s="44" t="str">
        <f>IF(Table1[Date of Initial Assessment]="","",IF(AND(Table1[Start Date]&gt;42460,Table1[Start Date]&lt;42826),Table1[Drug and Alcohol Misuse],""))</f>
        <v/>
      </c>
      <c r="FZ436" s="44" t="str">
        <f>IF(Table1[Date of Initial Assessment]="","",IF(AND(Table1[Start Date]&gt;42460,Table1[Start Date]&lt;42826),Table1[Physical Health],""))</f>
        <v/>
      </c>
      <c r="GA436" s="44" t="str">
        <f>IF(Table1[Date of Initial Assessment]="","",IF(AND(Table1[Start Date]&gt;42460,Table1[Start Date]&lt;42826),Table1[Emotional and Mental Health],""))</f>
        <v/>
      </c>
      <c r="GB436" s="44" t="str">
        <f>IF(Table1[Date of Initial Assessment]="","",IF(AND(Table1[Start Date]&gt;42460,Table1[Start Date]&lt;42826),Table1[Meaningful Use of Time],""))</f>
        <v/>
      </c>
      <c r="GC436" s="44" t="str">
        <f>IF(Table1[Date of Initial Assessment]="","",IF(AND(Table1[Start Date]&gt;42460,Table1[Start Date]&lt;42826),Table1[Managing Tenancy and Accommodation],""))</f>
        <v/>
      </c>
      <c r="GD436" s="44" t="str">
        <f>IF(Table1[Date of Initial Assessment]="","",IF(AND(Table1[Start Date]&gt;42460,Table1[Start Date]&lt;42826),Table1[Offending],""))</f>
        <v/>
      </c>
      <c r="GE436" s="44" t="str">
        <f>IF(Table1[Leaving Date]="","",IF(AND(Table1[Leaving Date]&gt;42460,Table1[Leaving Date]&lt;42826),IF(Table1[Date of Last Assessment]="",Table1[Motivation and Taking Responsibility],Table1[Motivation and Taking Responsibility2]),""))</f>
        <v/>
      </c>
      <c r="GF436" s="44" t="str">
        <f>IF(Table1[Leaving Date]="","",IF(AND(Table1[Leaving Date]&gt;42460,Table1[Leaving Date]&lt;42826),IF(Table1[Date of Last Assessment]="",Table1[Self-Care and Living Skills],Table1[Self-Care and Living Skills2]),""))</f>
        <v/>
      </c>
      <c r="GG436" s="44" t="str">
        <f>IF(Table1[Leaving Date]="","",IF(AND(Table1[Leaving Date]&gt;42460,Table1[Leaving Date]&lt;42826),IF(Table1[Date of Last Assessment]="",Table1[Managing Money and Personal Administration],Table1[Managing Money and Personal Administration2]),""))</f>
        <v/>
      </c>
      <c r="GH436" s="44" t="str">
        <f>IF(Table1[Leaving Date]="","",IF(AND(Table1[Leaving Date]&gt;42460,Table1[Leaving Date]&lt;42826),IF(Table1[Date of Last Assessment]="",Table1[Social Networks and Relationships],Table1[Social Networks and Relationships2]),""))</f>
        <v/>
      </c>
      <c r="GI436" s="44" t="str">
        <f>IF(Table1[Leaving Date]="","",IF(AND(Table1[Leaving Date]&gt;42460,Table1[Leaving Date]&lt;42826),IF(Table1[Date of Last Assessment]="",Table1[Drug and Alcohol Misuse],Table1[Drug and Alcohol Misuse2]),""))</f>
        <v/>
      </c>
      <c r="GJ436" s="44" t="str">
        <f>IF(Table1[Leaving Date]="","",IF(AND(Table1[Leaving Date]&gt;42460,Table1[Leaving Date]&lt;42826),IF(Table1[Date of Last Assessment]="",Table1[Physical Health],Table1[Physical Health2]),""))</f>
        <v/>
      </c>
      <c r="GK436" s="44" t="str">
        <f>IF(Table1[Leaving Date]="","",IF(AND(Table1[Leaving Date]&gt;42460,Table1[Leaving Date]&lt;42826),IF(Table1[Date of Last Assessment]="",Table1[Emotional and Mental Health],Table1[Emotional and Mental Health2]),""))</f>
        <v/>
      </c>
      <c r="GL436" s="44" t="str">
        <f>IF(Table1[Leaving Date]="","",IF(AND(Table1[Leaving Date]&gt;42460,Table1[Leaving Date]&lt;42826),IF(Table1[Date of Last Assessment]="",Table1[Meaningful Use of Time],Table1[Meaningful Use of Time2]),""))</f>
        <v/>
      </c>
      <c r="GM436" s="44" t="str">
        <f>IF(Table1[Leaving Date]="","",IF(AND(Table1[Leaving Date]&gt;42460,Table1[Leaving Date]&lt;42826),IF(Table1[Date of Last Assessment]="",Table1[Managing Tenancy and Accommodation],Table1[Managing Tenancy and Accommodation2]),""))</f>
        <v/>
      </c>
      <c r="GN436" s="44" t="str">
        <f>IF(Table1[Leaving Date]="","",IF(AND(Table1[Leaving Date]&gt;42460,Table1[Leaving Date]&lt;42826),IF(Table1[Date of Last Assessment]="",Table1[Offending],Table1[Offending2]),""))</f>
        <v/>
      </c>
    </row>
    <row r="437" spans="2:196" ht="20.100000000000001" customHeight="1" x14ac:dyDescent="0.2">
      <c r="B437" s="86">
        <f>+'Service Data'!$C$5:$C$5</f>
        <v>0</v>
      </c>
      <c r="C437" s="86"/>
      <c r="D437" s="86"/>
      <c r="E437" s="86"/>
      <c r="F437" s="86"/>
      <c r="G437" s="86"/>
      <c r="H437" s="6"/>
      <c r="I437" s="99" t="str">
        <f ca="1">IF(Table1[[#This Row],[Date of Birth]]="","",SUM(TODAY()-Table1[[#This Row],[Date of Birth]])/365)</f>
        <v/>
      </c>
      <c r="L437" s="86"/>
      <c r="M437" s="77"/>
      <c r="N437" s="86"/>
      <c r="O437" s="86"/>
      <c r="P437" s="91"/>
      <c r="Q437" s="86"/>
      <c r="R437" s="77"/>
      <c r="S437" s="77"/>
      <c r="T437" s="68"/>
      <c r="U437" s="68"/>
      <c r="V437" s="67"/>
      <c r="W437" s="67"/>
      <c r="X437" s="67"/>
      <c r="Y437" s="67"/>
      <c r="Z437" s="67"/>
      <c r="AA437" s="67"/>
      <c r="AB437" s="67"/>
      <c r="AC437" s="67"/>
      <c r="AD437" s="67"/>
      <c r="AE437" s="67"/>
      <c r="AF437" s="67"/>
      <c r="AG437" s="67"/>
      <c r="AH437" s="67"/>
      <c r="AI437" s="67"/>
      <c r="AJ437" s="67"/>
      <c r="AK437" s="67"/>
      <c r="AL437" s="67"/>
      <c r="AM437" s="67"/>
      <c r="AN437" s="77"/>
      <c r="AO437" s="76"/>
      <c r="AP437" s="77"/>
      <c r="AQ437" s="76"/>
      <c r="AR437" s="76"/>
      <c r="AS437" s="76"/>
      <c r="AT437" s="76"/>
      <c r="AU437" s="76"/>
      <c r="AV437" s="77"/>
      <c r="AW437" s="76"/>
      <c r="AX437" s="77"/>
      <c r="AY437" s="76"/>
      <c r="AZ437" s="76"/>
      <c r="BA437" s="76"/>
      <c r="BB437" s="76"/>
      <c r="BC437" s="76"/>
      <c r="BD437" s="77"/>
      <c r="BE437" s="76"/>
      <c r="BF437" s="77"/>
      <c r="BG437" s="76"/>
      <c r="BH437" s="76"/>
      <c r="BI437" s="76"/>
      <c r="BJ437" s="76"/>
      <c r="BK437" s="76"/>
      <c r="BL437" s="77"/>
      <c r="BM437" s="76"/>
      <c r="BN437" s="77"/>
      <c r="BO437" s="76"/>
      <c r="BP437" s="76"/>
      <c r="BQ437" s="76"/>
      <c r="BR437" s="76"/>
      <c r="BS437" s="76"/>
      <c r="BT437" s="77"/>
      <c r="BU437" s="76"/>
      <c r="BV437" s="77"/>
      <c r="BW437" s="76"/>
      <c r="BX437" s="76"/>
      <c r="BY437" s="76"/>
      <c r="BZ437" s="76"/>
      <c r="CA437" s="76"/>
      <c r="CB437" s="77"/>
      <c r="CC437" s="76"/>
      <c r="CD437" s="77"/>
      <c r="CE437" s="76"/>
      <c r="CF437" s="76"/>
      <c r="CG437" s="76"/>
      <c r="CH437" s="76"/>
      <c r="CI437" s="76"/>
      <c r="CJ437" s="77"/>
      <c r="CK437" s="76"/>
      <c r="CL437" s="77"/>
      <c r="CM437" s="76"/>
      <c r="CN437" s="76"/>
      <c r="CO437" s="76"/>
      <c r="CP437" s="76"/>
      <c r="CQ437" s="76"/>
      <c r="CR437" s="78" t="str">
        <f t="shared" si="111"/>
        <v/>
      </c>
      <c r="CS437" s="79" t="str">
        <f t="shared" si="112"/>
        <v/>
      </c>
      <c r="CT437" s="79" t="str">
        <f t="shared" si="113"/>
        <v/>
      </c>
      <c r="CU437" s="79" t="str">
        <f t="shared" si="114"/>
        <v/>
      </c>
      <c r="CV437" s="79" t="str">
        <f t="shared" si="115"/>
        <v/>
      </c>
      <c r="CW437" s="79" t="str">
        <f t="shared" si="116"/>
        <v/>
      </c>
      <c r="CX437" s="79" t="str">
        <f t="shared" si="117"/>
        <v/>
      </c>
      <c r="CY437" s="79" t="str">
        <f t="shared" si="118"/>
        <v/>
      </c>
      <c r="CZ437" s="79" t="str">
        <f t="shared" si="119"/>
        <v/>
      </c>
      <c r="DA437" s="79" t="str">
        <f t="shared" si="120"/>
        <v/>
      </c>
      <c r="DB437" s="79" t="str">
        <f t="shared" si="121"/>
        <v/>
      </c>
      <c r="DC437" s="79" t="str">
        <f t="shared" si="122"/>
        <v/>
      </c>
      <c r="DD437" s="79" t="str">
        <f t="shared" si="123"/>
        <v/>
      </c>
      <c r="DE437" s="79" t="str">
        <f t="shared" si="124"/>
        <v/>
      </c>
      <c r="DF437" s="79" t="str">
        <f t="shared" si="125"/>
        <v/>
      </c>
      <c r="DG437" s="79" t="str">
        <f t="shared" si="126"/>
        <v/>
      </c>
      <c r="DH437" s="76"/>
      <c r="DI437" s="78"/>
      <c r="DJ437" s="76"/>
      <c r="DK437" s="77"/>
      <c r="DL437" s="77"/>
      <c r="DM437" s="77"/>
      <c r="DN437" s="80"/>
      <c r="DO437" s="80"/>
      <c r="DP437" s="92" t="str">
        <f>IF(Table1[Start Date]="","",IF(Table1[Start Date]&gt;42185,"",IF(AND(Table1[Leaving Date]&gt;1,Table1[Leaving Date]&lt;42095),"",1)))</f>
        <v/>
      </c>
      <c r="DQ437" s="92" t="str">
        <f>IF(Table1[Start Date]="","",IF(Table1[Start Date]&gt;42277,"",IF(AND(Table1[Leaving Date]&gt;1,Table1[Leaving Date]&lt;42186),"",1)))</f>
        <v/>
      </c>
      <c r="DR437" s="92" t="str">
        <f>IF(Table1[Start Date]="","",IF(Table1[Start Date]&gt;42369,"",IF(AND(Table1[Leaving Date]&gt;1,Table1[Leaving Date]&lt;42278),"",1)))</f>
        <v/>
      </c>
      <c r="DS437" s="92" t="str">
        <f>IF(Table1[Start Date]="","",IF(Table1[Start Date]&gt;42460,"",IF(AND(Table1[Leaving Date]&gt;1,Table1[Leaving Date]&lt;42370),"",1)))</f>
        <v/>
      </c>
      <c r="DT437" s="92" t="str">
        <f>IF(Table1[Start Date]="","",IF(Table1[Start Date]&gt;42551,"",IF(AND(Table1[Leaving Date]&gt;1,Table1[Leaving Date]&lt;42461),"",1)))</f>
        <v/>
      </c>
      <c r="DU437" s="92" t="str">
        <f>IF(Table1[Start Date]="","",IF(Table1[Start Date]&gt;42643,"",IF(AND(Table1[Leaving Date]&gt;1,Table1[Leaving Date]&lt;42552),"",1)))</f>
        <v/>
      </c>
      <c r="DV437" s="92" t="str">
        <f>IF(Table1[Start Date]="","",IF(Table1[Start Date]&gt;42735,"",IF(AND(Table1[Leaving Date]&gt;1,Table1[Leaving Date]&lt;42644),"",1)))</f>
        <v/>
      </c>
      <c r="DW437" s="92" t="str">
        <f>IF(Table1[Start Date]="","",IF(Table1[Start Date]&gt;42825,"",IF(AND(Table1[Leaving Date]&gt;1,Table1[Leaving Date]&lt;42736),"",1)))</f>
        <v/>
      </c>
      <c r="DX437"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437" s="44" t="e">
        <f>VLOOKUP(Table1[Referral Source],Lists!$G$2:$H$20,2,FALSE)</f>
        <v>#N/A</v>
      </c>
      <c r="DZ437" s="93" t="e">
        <f>SUM(Table1[Data Referral Quarter]+Table1[Data Referral Source])</f>
        <v>#N/A</v>
      </c>
      <c r="EA437" s="44" t="b">
        <f>IF(Table1[Referral Decision]="Accepted",100,IF(Table1[Referral Decision]="Rejected by Provider",200,IF(Table1[Referral Decision]="Rejected by Applicant",300)))</f>
        <v>0</v>
      </c>
      <c r="EB437" s="44">
        <f>SUM(Table1[Data Referral Quarter]+Table1[Data Referral Decision])</f>
        <v>0</v>
      </c>
      <c r="EC437" s="44" t="b">
        <f>IF(Table1[Start Date]&gt;42735,8000,IF(Table1[Start Date]&gt;42643,7000,IF(Table1[Start Date]&gt;42551,6000,IF(Table1[Start Date]&gt;42460,5000,IF(Table1[Start Date]&gt;42369,4000,IF(Table1[Start Date]&gt;42277,3000,IF(Table1[Start Date]&gt;42185,2000,IF(Table1[Start Date]&gt;42094,1000))))))))</f>
        <v>0</v>
      </c>
      <c r="ED437" s="44" t="str">
        <f>IF(Table1[Start Date]="","",IF(Table1[Current Local Authority]="Swindon",1,"2"))</f>
        <v/>
      </c>
      <c r="EE437" s="44" t="e">
        <f>SUM(Table1[Data Start Date]+Table1[Data Local Authority])</f>
        <v>#VALUE!</v>
      </c>
      <c r="EF437" s="44">
        <f>IF(Table1[Registered with GP]="Yes",1,0)</f>
        <v>0</v>
      </c>
      <c r="EG437" s="44">
        <f>SUM(Table1[Data Start Date]+Table1[Data GP Start])</f>
        <v>0</v>
      </c>
      <c r="EH437" s="44" t="str">
        <f>IF(Table1[EET]="NEET",1,IF(Table1[EET]="Education",2,IF(Table1[EET]="Employment",2,IF(Table1[EET]="Training",2,IF(Table1[EET]="Retired",3,"")))))</f>
        <v/>
      </c>
      <c r="EI437" s="44" t="e">
        <f>Table1[Data Start Date]+Table1[Data EET Start]</f>
        <v>#VALUE!</v>
      </c>
      <c r="EJ437" s="44" t="b">
        <f>IF(Table1[Leaving Date]&gt;42735,8000,IF(Table1[Leaving Date]&gt;42643,7000,IF(Table1[Leaving Date]&gt;42551,6000,IF(Table1[Leaving Date]&gt;42460,5000,IF(Table1[Leaving Date]&gt;42369,4000,IF(Table1[Leaving Date]&gt;42277,3000,IF(Table1[Leaving Date]&gt;42185,2000,IF(Table1[Leaving Date]&gt;42094,1000))))))))</f>
        <v>0</v>
      </c>
      <c r="EK437" s="44" t="e">
        <f>VLOOKUP(Table1[Reason for Leaving],Lists!$T$2:$U$15,2,FALSE)</f>
        <v>#N/A</v>
      </c>
      <c r="EL437" s="44" t="e">
        <f>SUM(Table1[Data Leavers Date]+Table1[Data Move On])</f>
        <v>#N/A</v>
      </c>
      <c r="EM437" s="44" t="b">
        <f>IF(Table1[Registered with GP2]="Yes",1,IF(Table1[Registered with GP2]="No",0,IF(Table1[Registered with GP]="Yes",1,IF(Table1[Registered with GP]="No",0))))</f>
        <v>0</v>
      </c>
      <c r="EN437" s="44">
        <f>SUM(Table1[Data Leavers Date]+Table1[Data GP End])</f>
        <v>0</v>
      </c>
      <c r="EO437" s="44" t="str">
        <f>IF(Table1[EET2]="NEET",1,IF(Table1[EET2]="Employment",2,IF(Table1[EET2]="Education",2,IF(Table1[EET2]="Training",2,IF(Table1[EET2]="Retired",3,IF(Table1[EET]="NEET",1,IF(Table1[EET]="Employment",2,IF(Table1[EET]="Education",2,IF(Table1[EET]="Training",2,IF(Table1[EET]="Retired",3,""))))))))))</f>
        <v/>
      </c>
      <c r="EP437" s="44" t="e">
        <f>+Table1[[#This Row],[Data Leavers Date]]+Table1[[#This Row],[Data EET End]]</f>
        <v>#VALUE!</v>
      </c>
      <c r="EQ437" s="44">
        <f>IF(Table1[Exit Form Received]="Yes",1,0)</f>
        <v>0</v>
      </c>
      <c r="ER437" s="44">
        <f>+Table1[[#This Row],[Data Leavers Date]]+Table1[[#This Row],[Data Exit Forms]]</f>
        <v>0</v>
      </c>
      <c r="ES437" s="44" t="str">
        <f>IF(Table1[Data Leavers Date]=1000,SUM(Table1[Leaving Date]-Table1[Start Date]),"")</f>
        <v/>
      </c>
      <c r="ET437" s="44" t="str">
        <f>IF(Table1[Data Leavers Date]=2000,SUM(Table1[Leaving Date]-Table1[Start Date]),"")</f>
        <v/>
      </c>
      <c r="EU437" s="44" t="str">
        <f>IF(Table1[Data Leavers Date]=3000,SUM(Table1[Leaving Date]-Table1[Start Date]),"")</f>
        <v/>
      </c>
      <c r="EV437" s="44" t="str">
        <f>IF(Table1[Data Leavers Date]=4000,SUM(Table1[Leaving Date]-Table1[Start Date]),"")</f>
        <v/>
      </c>
      <c r="EW437" s="44" t="str">
        <f>IF(Table1[Data Leavers Date]=5000,SUM(Table1[Leaving Date]-Table1[Start Date]),"")</f>
        <v/>
      </c>
      <c r="EX437" s="44" t="str">
        <f>IF(Table1[Data Leavers Date]=6000,SUM(Table1[Leaving Date]-Table1[Start Date]),"")</f>
        <v/>
      </c>
      <c r="EY437" s="44" t="str">
        <f>IF(Table1[Data Leavers Date]=7000,SUM(Table1[Leaving Date]-Table1[Start Date]),"")</f>
        <v/>
      </c>
      <c r="EZ437" s="44" t="str">
        <f>IF(Table1[Data Leavers Date]=8000,SUM(Table1[Leaving Date]-Table1[Start Date]),"")</f>
        <v/>
      </c>
      <c r="FA437" s="44" t="str">
        <f>IF(Table1[Date of Initial Assessment]="","",IF(AND(Table1[Start Date]&gt;42094,Table1[Start Date]&lt;42461),Table1[Motivation and Taking Responsibility],""))</f>
        <v/>
      </c>
      <c r="FB437" s="44" t="str">
        <f>IF(Table1[Date of Initial Assessment]="","",IF(AND(Table1[Start Date]&gt;42094,Table1[Start Date]&lt;42461),Table1[Self-Care and Living Skills],""))</f>
        <v/>
      </c>
      <c r="FC437" s="44" t="str">
        <f>IF(Table1[Date of Initial Assessment]="","",IF(AND(Table1[Start Date]&gt;42094,Table1[Start Date]&lt;42461),Table1[Managing Money and Personal Administration],""))</f>
        <v/>
      </c>
      <c r="FD437" s="44" t="str">
        <f>IF(Table1[Date of Initial Assessment]="","",IF(AND(Table1[Start Date]&gt;42094,Table1[Start Date]&lt;42461),Table1[Social Networks and Relationships],""))</f>
        <v/>
      </c>
      <c r="FE437" s="44" t="str">
        <f>IF(Table1[Date of Initial Assessment]="","",IF(AND(Table1[Start Date]&gt;42094,Table1[Start Date]&lt;42461),Table1[Drug and Alcohol Misuse],""))</f>
        <v/>
      </c>
      <c r="FF437" s="44" t="str">
        <f>IF(Table1[Date of Initial Assessment]="","",IF(AND(Table1[Start Date]&gt;42094,Table1[Start Date]&lt;42461),Table1[Physical Health],""))</f>
        <v/>
      </c>
      <c r="FG437" s="44" t="str">
        <f>IF(Table1[Date of Initial Assessment]="","",IF(AND(Table1[Start Date]&gt;42094,Table1[Start Date]&lt;42461),Table1[Emotional and Mental Health],""))</f>
        <v/>
      </c>
      <c r="FH437" s="44" t="str">
        <f>IF(Table1[Date of Initial Assessment]="","",IF(AND(Table1[Start Date]&gt;42094,Table1[Start Date]&lt;42461),Table1[Meaningful Use of Time],""))</f>
        <v/>
      </c>
      <c r="FI437" s="44" t="str">
        <f>IF(Table1[Date of Initial Assessment]="","",IF(AND(Table1[Start Date]&gt;42094,Table1[Start Date]&lt;42461),Table1[Managing Tenancy and Accommodation],""))</f>
        <v/>
      </c>
      <c r="FJ437" s="44" t="str">
        <f>IF(Table1[Date of Initial Assessment]="","",IF(AND(Table1[Start Date]&gt;42094,Table1[Start Date]&lt;42461),Table1[Offending],""))</f>
        <v/>
      </c>
      <c r="FK437" s="44" t="str">
        <f>IF(Table1[Leaving Date]="","",IF(Table1[Date of Initial Assessment]="","",IF(AND(Table1[Leaving Date]&gt;42094,Table1[Leaving Date]&lt;42461),IF(Table1[Date of Last Assessment]="",Table1[Motivation and Taking Responsibility],Table1[Motivation and Taking Responsibility2]),"")))</f>
        <v/>
      </c>
      <c r="FL437" s="44" t="str">
        <f>IF(Table1[Leaving Date]="","",IF(Table1[Date of Initial Assessment]="","",IF(AND(Table1[Leaving Date]&gt;42094,Table1[Leaving Date]&lt;42461),IF(Table1[Date of Last Assessment]="",Table1[Self-Care and Living Skills],Table1[Self-Care and Living Skills2]),"")))</f>
        <v/>
      </c>
      <c r="FM437" s="44" t="str">
        <f>IF(Table1[Leaving Date]="","",IF(Table1[Date of Initial Assessment]="","",IF(AND(Table1[Leaving Date]&gt;42094,Table1[Leaving Date]&lt;42461),IF(Table1[Date of Last Assessment]="",Table1[Managing Money and Personal Administration],Table1[Managing Money and Personal Administration2]),"")))</f>
        <v/>
      </c>
      <c r="FN437" s="44" t="str">
        <f>IF(Table1[Leaving Date]="","",IF(Table1[Date of Initial Assessment]="","",IF(AND(Table1[Leaving Date]&gt;42094,Table1[Leaving Date]&lt;42461),IF(Table1[Date of Last Assessment]="",Table1[Social Networks and Relationships],Table1[Social Networks and Relationships2]),"")))</f>
        <v/>
      </c>
      <c r="FO437" s="44" t="str">
        <f>IF(Table1[Leaving Date]="","",IF(Table1[Date of Initial Assessment]="","",IF(AND(Table1[Leaving Date]&gt;42094,Table1[Leaving Date]&lt;42461),IF(Table1[Date of Last Assessment]="",Table1[Drug and Alcohol Misuse],Table1[Drug and Alcohol Misuse2]),"")))</f>
        <v/>
      </c>
      <c r="FP437" s="44" t="str">
        <f>IF(Table1[Leaving Date]="","",IF(Table1[Date of Initial Assessment]="","",IF(AND(Table1[Leaving Date]&gt;42094,Table1[Leaving Date]&lt;42461),IF(Table1[Date of Last Assessment]="",Table1[Physical Health],Table1[Physical Health2]),"")))</f>
        <v/>
      </c>
      <c r="FQ437" s="44" t="str">
        <f>IF(Table1[Leaving Date]="","",IF(Table1[Date of Initial Assessment]="","",IF(AND(Table1[Leaving Date]&gt;42094,Table1[Leaving Date]&lt;42461),IF(Table1[Date of Last Assessment]="",Table1[Emotional and Mental Health],Table1[Emotional and Mental Health2]),"")))</f>
        <v/>
      </c>
      <c r="FR437" s="44" t="str">
        <f>IF(Table1[Leaving Date]="","",IF(Table1[Date of Initial Assessment]="","",IF(AND(Table1[Leaving Date]&gt;42094,Table1[Leaving Date]&lt;42461),IF(Table1[Date of Last Assessment]="",Table1[Meaningful Use of Time],Table1[Meaningful Use of Time2]),"")))</f>
        <v/>
      </c>
      <c r="FS437" s="44" t="str">
        <f>IF(Table1[Leaving Date]="","",IF(Table1[Date of Initial Assessment]="","",IF(AND(Table1[Leaving Date]&gt;42094,Table1[Leaving Date]&lt;42461),IF(Table1[Date of Last Assessment]="",Table1[Managing Tenancy and Accommodation],Table1[Managing Tenancy and Accommodation2]),"")))</f>
        <v/>
      </c>
      <c r="FT437" s="44" t="str">
        <f>IF(Table1[Leaving Date]="","",IF(Table1[Date of Initial Assessment]="","",IF(AND(Table1[Leaving Date]&gt;42094,Table1[Leaving Date]&lt;42461),IF(Table1[Date of Last Assessment]="",Table1[Offending],Table1[Offending2]),"")))</f>
        <v/>
      </c>
      <c r="FU437" s="44" t="str">
        <f>IF(Table1[Date of Initial Assessment]="","",IF(AND(Table1[Start Date]&gt;42460,Table1[Start Date]&lt;42826),Table1[Motivation and Taking Responsibility],""))</f>
        <v/>
      </c>
      <c r="FV437" s="44" t="str">
        <f>IF(Table1[Date of Initial Assessment]="","",IF(AND(Table1[Start Date]&gt;42460,Table1[Start Date]&lt;42826),Table1[Self-Care and Living Skills],""))</f>
        <v/>
      </c>
      <c r="FW437" s="44" t="str">
        <f>IF(Table1[Date of Initial Assessment]="","",IF(AND(Table1[Start Date]&gt;42460,Table1[Start Date]&lt;42826),Table1[Managing Money and Personal Administration],""))</f>
        <v/>
      </c>
      <c r="FX437" s="44" t="str">
        <f>IF(Table1[Date of Initial Assessment]="","",IF(AND(Table1[Start Date]&gt;42460,Table1[Start Date]&lt;42826),Table1[Social Networks and Relationships],""))</f>
        <v/>
      </c>
      <c r="FY437" s="44" t="str">
        <f>IF(Table1[Date of Initial Assessment]="","",IF(AND(Table1[Start Date]&gt;42460,Table1[Start Date]&lt;42826),Table1[Drug and Alcohol Misuse],""))</f>
        <v/>
      </c>
      <c r="FZ437" s="44" t="str">
        <f>IF(Table1[Date of Initial Assessment]="","",IF(AND(Table1[Start Date]&gt;42460,Table1[Start Date]&lt;42826),Table1[Physical Health],""))</f>
        <v/>
      </c>
      <c r="GA437" s="44" t="str">
        <f>IF(Table1[Date of Initial Assessment]="","",IF(AND(Table1[Start Date]&gt;42460,Table1[Start Date]&lt;42826),Table1[Emotional and Mental Health],""))</f>
        <v/>
      </c>
      <c r="GB437" s="44" t="str">
        <f>IF(Table1[Date of Initial Assessment]="","",IF(AND(Table1[Start Date]&gt;42460,Table1[Start Date]&lt;42826),Table1[Meaningful Use of Time],""))</f>
        <v/>
      </c>
      <c r="GC437" s="44" t="str">
        <f>IF(Table1[Date of Initial Assessment]="","",IF(AND(Table1[Start Date]&gt;42460,Table1[Start Date]&lt;42826),Table1[Managing Tenancy and Accommodation],""))</f>
        <v/>
      </c>
      <c r="GD437" s="44" t="str">
        <f>IF(Table1[Date of Initial Assessment]="","",IF(AND(Table1[Start Date]&gt;42460,Table1[Start Date]&lt;42826),Table1[Offending],""))</f>
        <v/>
      </c>
      <c r="GE437" s="44" t="str">
        <f>IF(Table1[Leaving Date]="","",IF(AND(Table1[Leaving Date]&gt;42460,Table1[Leaving Date]&lt;42826),IF(Table1[Date of Last Assessment]="",Table1[Motivation and Taking Responsibility],Table1[Motivation and Taking Responsibility2]),""))</f>
        <v/>
      </c>
      <c r="GF437" s="44" t="str">
        <f>IF(Table1[Leaving Date]="","",IF(AND(Table1[Leaving Date]&gt;42460,Table1[Leaving Date]&lt;42826),IF(Table1[Date of Last Assessment]="",Table1[Self-Care and Living Skills],Table1[Self-Care and Living Skills2]),""))</f>
        <v/>
      </c>
      <c r="GG437" s="44" t="str">
        <f>IF(Table1[Leaving Date]="","",IF(AND(Table1[Leaving Date]&gt;42460,Table1[Leaving Date]&lt;42826),IF(Table1[Date of Last Assessment]="",Table1[Managing Money and Personal Administration],Table1[Managing Money and Personal Administration2]),""))</f>
        <v/>
      </c>
      <c r="GH437" s="44" t="str">
        <f>IF(Table1[Leaving Date]="","",IF(AND(Table1[Leaving Date]&gt;42460,Table1[Leaving Date]&lt;42826),IF(Table1[Date of Last Assessment]="",Table1[Social Networks and Relationships],Table1[Social Networks and Relationships2]),""))</f>
        <v/>
      </c>
      <c r="GI437" s="44" t="str">
        <f>IF(Table1[Leaving Date]="","",IF(AND(Table1[Leaving Date]&gt;42460,Table1[Leaving Date]&lt;42826),IF(Table1[Date of Last Assessment]="",Table1[Drug and Alcohol Misuse],Table1[Drug and Alcohol Misuse2]),""))</f>
        <v/>
      </c>
      <c r="GJ437" s="44" t="str">
        <f>IF(Table1[Leaving Date]="","",IF(AND(Table1[Leaving Date]&gt;42460,Table1[Leaving Date]&lt;42826),IF(Table1[Date of Last Assessment]="",Table1[Physical Health],Table1[Physical Health2]),""))</f>
        <v/>
      </c>
      <c r="GK437" s="44" t="str">
        <f>IF(Table1[Leaving Date]="","",IF(AND(Table1[Leaving Date]&gt;42460,Table1[Leaving Date]&lt;42826),IF(Table1[Date of Last Assessment]="",Table1[Emotional and Mental Health],Table1[Emotional and Mental Health2]),""))</f>
        <v/>
      </c>
      <c r="GL437" s="44" t="str">
        <f>IF(Table1[Leaving Date]="","",IF(AND(Table1[Leaving Date]&gt;42460,Table1[Leaving Date]&lt;42826),IF(Table1[Date of Last Assessment]="",Table1[Meaningful Use of Time],Table1[Meaningful Use of Time2]),""))</f>
        <v/>
      </c>
      <c r="GM437" s="44" t="str">
        <f>IF(Table1[Leaving Date]="","",IF(AND(Table1[Leaving Date]&gt;42460,Table1[Leaving Date]&lt;42826),IF(Table1[Date of Last Assessment]="",Table1[Managing Tenancy and Accommodation],Table1[Managing Tenancy and Accommodation2]),""))</f>
        <v/>
      </c>
      <c r="GN437" s="44" t="str">
        <f>IF(Table1[Leaving Date]="","",IF(AND(Table1[Leaving Date]&gt;42460,Table1[Leaving Date]&lt;42826),IF(Table1[Date of Last Assessment]="",Table1[Offending],Table1[Offending2]),""))</f>
        <v/>
      </c>
    </row>
    <row r="438" spans="2:196" ht="20.100000000000001" customHeight="1" x14ac:dyDescent="0.2">
      <c r="B438" s="86">
        <f>+'Service Data'!$C$5:$C$5</f>
        <v>0</v>
      </c>
      <c r="C438" s="86"/>
      <c r="D438" s="86"/>
      <c r="E438" s="86"/>
      <c r="F438" s="86"/>
      <c r="G438" s="86"/>
      <c r="H438" s="6"/>
      <c r="I438" s="99" t="str">
        <f ca="1">IF(Table1[[#This Row],[Date of Birth]]="","",SUM(TODAY()-Table1[[#This Row],[Date of Birth]])/365)</f>
        <v/>
      </c>
      <c r="L438" s="86"/>
      <c r="M438" s="77"/>
      <c r="N438" s="86"/>
      <c r="O438" s="86"/>
      <c r="P438" s="91"/>
      <c r="Q438" s="86"/>
      <c r="R438" s="77"/>
      <c r="S438" s="77"/>
      <c r="T438" s="68"/>
      <c r="U438" s="68"/>
      <c r="V438" s="67"/>
      <c r="W438" s="67"/>
      <c r="X438" s="67"/>
      <c r="Y438" s="67"/>
      <c r="Z438" s="67"/>
      <c r="AA438" s="67"/>
      <c r="AB438" s="67"/>
      <c r="AC438" s="67"/>
      <c r="AD438" s="67"/>
      <c r="AE438" s="67"/>
      <c r="AF438" s="67"/>
      <c r="AG438" s="67"/>
      <c r="AH438" s="67"/>
      <c r="AI438" s="67"/>
      <c r="AJ438" s="67"/>
      <c r="AK438" s="67"/>
      <c r="AL438" s="67"/>
      <c r="AM438" s="67"/>
      <c r="AN438" s="77"/>
      <c r="AO438" s="76"/>
      <c r="AP438" s="77"/>
      <c r="AQ438" s="76"/>
      <c r="AR438" s="76"/>
      <c r="AS438" s="76"/>
      <c r="AT438" s="76"/>
      <c r="AU438" s="76"/>
      <c r="AV438" s="77"/>
      <c r="AW438" s="76"/>
      <c r="AX438" s="77"/>
      <c r="AY438" s="76"/>
      <c r="AZ438" s="76"/>
      <c r="BA438" s="76"/>
      <c r="BB438" s="76"/>
      <c r="BC438" s="76"/>
      <c r="BD438" s="77"/>
      <c r="BE438" s="76"/>
      <c r="BF438" s="77"/>
      <c r="BG438" s="76"/>
      <c r="BH438" s="76"/>
      <c r="BI438" s="76"/>
      <c r="BJ438" s="76"/>
      <c r="BK438" s="76"/>
      <c r="BL438" s="77"/>
      <c r="BM438" s="76"/>
      <c r="BN438" s="77"/>
      <c r="BO438" s="76"/>
      <c r="BP438" s="76"/>
      <c r="BQ438" s="76"/>
      <c r="BR438" s="76"/>
      <c r="BS438" s="76"/>
      <c r="BT438" s="77"/>
      <c r="BU438" s="76"/>
      <c r="BV438" s="77"/>
      <c r="BW438" s="76"/>
      <c r="BX438" s="76"/>
      <c r="BY438" s="76"/>
      <c r="BZ438" s="76"/>
      <c r="CA438" s="76"/>
      <c r="CB438" s="77"/>
      <c r="CC438" s="76"/>
      <c r="CD438" s="77"/>
      <c r="CE438" s="76"/>
      <c r="CF438" s="76"/>
      <c r="CG438" s="76"/>
      <c r="CH438" s="76"/>
      <c r="CI438" s="76"/>
      <c r="CJ438" s="77"/>
      <c r="CK438" s="76"/>
      <c r="CL438" s="77"/>
      <c r="CM438" s="76"/>
      <c r="CN438" s="76"/>
      <c r="CO438" s="76"/>
      <c r="CP438" s="76"/>
      <c r="CQ438" s="76"/>
      <c r="CR438" s="78" t="str">
        <f t="shared" si="111"/>
        <v/>
      </c>
      <c r="CS438" s="79" t="str">
        <f t="shared" si="112"/>
        <v/>
      </c>
      <c r="CT438" s="79" t="str">
        <f t="shared" si="113"/>
        <v/>
      </c>
      <c r="CU438" s="79" t="str">
        <f t="shared" si="114"/>
        <v/>
      </c>
      <c r="CV438" s="79" t="str">
        <f t="shared" si="115"/>
        <v/>
      </c>
      <c r="CW438" s="79" t="str">
        <f t="shared" si="116"/>
        <v/>
      </c>
      <c r="CX438" s="79" t="str">
        <f t="shared" si="117"/>
        <v/>
      </c>
      <c r="CY438" s="79" t="str">
        <f t="shared" si="118"/>
        <v/>
      </c>
      <c r="CZ438" s="79" t="str">
        <f t="shared" si="119"/>
        <v/>
      </c>
      <c r="DA438" s="79" t="str">
        <f t="shared" si="120"/>
        <v/>
      </c>
      <c r="DB438" s="79" t="str">
        <f t="shared" si="121"/>
        <v/>
      </c>
      <c r="DC438" s="79" t="str">
        <f t="shared" si="122"/>
        <v/>
      </c>
      <c r="DD438" s="79" t="str">
        <f t="shared" si="123"/>
        <v/>
      </c>
      <c r="DE438" s="79" t="str">
        <f t="shared" si="124"/>
        <v/>
      </c>
      <c r="DF438" s="79" t="str">
        <f t="shared" si="125"/>
        <v/>
      </c>
      <c r="DG438" s="79" t="str">
        <f t="shared" si="126"/>
        <v/>
      </c>
      <c r="DH438" s="76"/>
      <c r="DI438" s="78"/>
      <c r="DJ438" s="76"/>
      <c r="DK438" s="77"/>
      <c r="DL438" s="77"/>
      <c r="DM438" s="77"/>
      <c r="DN438" s="80"/>
      <c r="DO438" s="80"/>
      <c r="DP438" s="92" t="str">
        <f>IF(Table1[Start Date]="","",IF(Table1[Start Date]&gt;42185,"",IF(AND(Table1[Leaving Date]&gt;1,Table1[Leaving Date]&lt;42095),"",1)))</f>
        <v/>
      </c>
      <c r="DQ438" s="92" t="str">
        <f>IF(Table1[Start Date]="","",IF(Table1[Start Date]&gt;42277,"",IF(AND(Table1[Leaving Date]&gt;1,Table1[Leaving Date]&lt;42186),"",1)))</f>
        <v/>
      </c>
      <c r="DR438" s="92" t="str">
        <f>IF(Table1[Start Date]="","",IF(Table1[Start Date]&gt;42369,"",IF(AND(Table1[Leaving Date]&gt;1,Table1[Leaving Date]&lt;42278),"",1)))</f>
        <v/>
      </c>
      <c r="DS438" s="92" t="str">
        <f>IF(Table1[Start Date]="","",IF(Table1[Start Date]&gt;42460,"",IF(AND(Table1[Leaving Date]&gt;1,Table1[Leaving Date]&lt;42370),"",1)))</f>
        <v/>
      </c>
      <c r="DT438" s="92" t="str">
        <f>IF(Table1[Start Date]="","",IF(Table1[Start Date]&gt;42551,"",IF(AND(Table1[Leaving Date]&gt;1,Table1[Leaving Date]&lt;42461),"",1)))</f>
        <v/>
      </c>
      <c r="DU438" s="92" t="str">
        <f>IF(Table1[Start Date]="","",IF(Table1[Start Date]&gt;42643,"",IF(AND(Table1[Leaving Date]&gt;1,Table1[Leaving Date]&lt;42552),"",1)))</f>
        <v/>
      </c>
      <c r="DV438" s="92" t="str">
        <f>IF(Table1[Start Date]="","",IF(Table1[Start Date]&gt;42735,"",IF(AND(Table1[Leaving Date]&gt;1,Table1[Leaving Date]&lt;42644),"",1)))</f>
        <v/>
      </c>
      <c r="DW438" s="92" t="str">
        <f>IF(Table1[Start Date]="","",IF(Table1[Start Date]&gt;42825,"",IF(AND(Table1[Leaving Date]&gt;1,Table1[Leaving Date]&lt;42736),"",1)))</f>
        <v/>
      </c>
      <c r="DX438"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438" s="44" t="e">
        <f>VLOOKUP(Table1[Referral Source],Lists!$G$2:$H$20,2,FALSE)</f>
        <v>#N/A</v>
      </c>
      <c r="DZ438" s="93" t="e">
        <f>SUM(Table1[Data Referral Quarter]+Table1[Data Referral Source])</f>
        <v>#N/A</v>
      </c>
      <c r="EA438" s="44" t="b">
        <f>IF(Table1[Referral Decision]="Accepted",100,IF(Table1[Referral Decision]="Rejected by Provider",200,IF(Table1[Referral Decision]="Rejected by Applicant",300)))</f>
        <v>0</v>
      </c>
      <c r="EB438" s="44">
        <f>SUM(Table1[Data Referral Quarter]+Table1[Data Referral Decision])</f>
        <v>0</v>
      </c>
      <c r="EC438" s="44" t="b">
        <f>IF(Table1[Start Date]&gt;42735,8000,IF(Table1[Start Date]&gt;42643,7000,IF(Table1[Start Date]&gt;42551,6000,IF(Table1[Start Date]&gt;42460,5000,IF(Table1[Start Date]&gt;42369,4000,IF(Table1[Start Date]&gt;42277,3000,IF(Table1[Start Date]&gt;42185,2000,IF(Table1[Start Date]&gt;42094,1000))))))))</f>
        <v>0</v>
      </c>
      <c r="ED438" s="44" t="str">
        <f>IF(Table1[Start Date]="","",IF(Table1[Current Local Authority]="Swindon",1,"2"))</f>
        <v/>
      </c>
      <c r="EE438" s="44" t="e">
        <f>SUM(Table1[Data Start Date]+Table1[Data Local Authority])</f>
        <v>#VALUE!</v>
      </c>
      <c r="EF438" s="44">
        <f>IF(Table1[Registered with GP]="Yes",1,0)</f>
        <v>0</v>
      </c>
      <c r="EG438" s="44">
        <f>SUM(Table1[Data Start Date]+Table1[Data GP Start])</f>
        <v>0</v>
      </c>
      <c r="EH438" s="44" t="str">
        <f>IF(Table1[EET]="NEET",1,IF(Table1[EET]="Education",2,IF(Table1[EET]="Employment",2,IF(Table1[EET]="Training",2,IF(Table1[EET]="Retired",3,"")))))</f>
        <v/>
      </c>
      <c r="EI438" s="44" t="e">
        <f>Table1[Data Start Date]+Table1[Data EET Start]</f>
        <v>#VALUE!</v>
      </c>
      <c r="EJ438" s="44" t="b">
        <f>IF(Table1[Leaving Date]&gt;42735,8000,IF(Table1[Leaving Date]&gt;42643,7000,IF(Table1[Leaving Date]&gt;42551,6000,IF(Table1[Leaving Date]&gt;42460,5000,IF(Table1[Leaving Date]&gt;42369,4000,IF(Table1[Leaving Date]&gt;42277,3000,IF(Table1[Leaving Date]&gt;42185,2000,IF(Table1[Leaving Date]&gt;42094,1000))))))))</f>
        <v>0</v>
      </c>
      <c r="EK438" s="44" t="e">
        <f>VLOOKUP(Table1[Reason for Leaving],Lists!$T$2:$U$15,2,FALSE)</f>
        <v>#N/A</v>
      </c>
      <c r="EL438" s="44" t="e">
        <f>SUM(Table1[Data Leavers Date]+Table1[Data Move On])</f>
        <v>#N/A</v>
      </c>
      <c r="EM438" s="44" t="b">
        <f>IF(Table1[Registered with GP2]="Yes",1,IF(Table1[Registered with GP2]="No",0,IF(Table1[Registered with GP]="Yes",1,IF(Table1[Registered with GP]="No",0))))</f>
        <v>0</v>
      </c>
      <c r="EN438" s="44">
        <f>SUM(Table1[Data Leavers Date]+Table1[Data GP End])</f>
        <v>0</v>
      </c>
      <c r="EO438" s="44" t="str">
        <f>IF(Table1[EET2]="NEET",1,IF(Table1[EET2]="Employment",2,IF(Table1[EET2]="Education",2,IF(Table1[EET2]="Training",2,IF(Table1[EET2]="Retired",3,IF(Table1[EET]="NEET",1,IF(Table1[EET]="Employment",2,IF(Table1[EET]="Education",2,IF(Table1[EET]="Training",2,IF(Table1[EET]="Retired",3,""))))))))))</f>
        <v/>
      </c>
      <c r="EP438" s="44" t="e">
        <f>+Table1[[#This Row],[Data Leavers Date]]+Table1[[#This Row],[Data EET End]]</f>
        <v>#VALUE!</v>
      </c>
      <c r="EQ438" s="44">
        <f>IF(Table1[Exit Form Received]="Yes",1,0)</f>
        <v>0</v>
      </c>
      <c r="ER438" s="44">
        <f>+Table1[[#This Row],[Data Leavers Date]]+Table1[[#This Row],[Data Exit Forms]]</f>
        <v>0</v>
      </c>
      <c r="ES438" s="44" t="str">
        <f>IF(Table1[Data Leavers Date]=1000,SUM(Table1[Leaving Date]-Table1[Start Date]),"")</f>
        <v/>
      </c>
      <c r="ET438" s="44" t="str">
        <f>IF(Table1[Data Leavers Date]=2000,SUM(Table1[Leaving Date]-Table1[Start Date]),"")</f>
        <v/>
      </c>
      <c r="EU438" s="44" t="str">
        <f>IF(Table1[Data Leavers Date]=3000,SUM(Table1[Leaving Date]-Table1[Start Date]),"")</f>
        <v/>
      </c>
      <c r="EV438" s="44" t="str">
        <f>IF(Table1[Data Leavers Date]=4000,SUM(Table1[Leaving Date]-Table1[Start Date]),"")</f>
        <v/>
      </c>
      <c r="EW438" s="44" t="str">
        <f>IF(Table1[Data Leavers Date]=5000,SUM(Table1[Leaving Date]-Table1[Start Date]),"")</f>
        <v/>
      </c>
      <c r="EX438" s="44" t="str">
        <f>IF(Table1[Data Leavers Date]=6000,SUM(Table1[Leaving Date]-Table1[Start Date]),"")</f>
        <v/>
      </c>
      <c r="EY438" s="44" t="str">
        <f>IF(Table1[Data Leavers Date]=7000,SUM(Table1[Leaving Date]-Table1[Start Date]),"")</f>
        <v/>
      </c>
      <c r="EZ438" s="44" t="str">
        <f>IF(Table1[Data Leavers Date]=8000,SUM(Table1[Leaving Date]-Table1[Start Date]),"")</f>
        <v/>
      </c>
      <c r="FA438" s="44" t="str">
        <f>IF(Table1[Date of Initial Assessment]="","",IF(AND(Table1[Start Date]&gt;42094,Table1[Start Date]&lt;42461),Table1[Motivation and Taking Responsibility],""))</f>
        <v/>
      </c>
      <c r="FB438" s="44" t="str">
        <f>IF(Table1[Date of Initial Assessment]="","",IF(AND(Table1[Start Date]&gt;42094,Table1[Start Date]&lt;42461),Table1[Self-Care and Living Skills],""))</f>
        <v/>
      </c>
      <c r="FC438" s="44" t="str">
        <f>IF(Table1[Date of Initial Assessment]="","",IF(AND(Table1[Start Date]&gt;42094,Table1[Start Date]&lt;42461),Table1[Managing Money and Personal Administration],""))</f>
        <v/>
      </c>
      <c r="FD438" s="44" t="str">
        <f>IF(Table1[Date of Initial Assessment]="","",IF(AND(Table1[Start Date]&gt;42094,Table1[Start Date]&lt;42461),Table1[Social Networks and Relationships],""))</f>
        <v/>
      </c>
      <c r="FE438" s="44" t="str">
        <f>IF(Table1[Date of Initial Assessment]="","",IF(AND(Table1[Start Date]&gt;42094,Table1[Start Date]&lt;42461),Table1[Drug and Alcohol Misuse],""))</f>
        <v/>
      </c>
      <c r="FF438" s="44" t="str">
        <f>IF(Table1[Date of Initial Assessment]="","",IF(AND(Table1[Start Date]&gt;42094,Table1[Start Date]&lt;42461),Table1[Physical Health],""))</f>
        <v/>
      </c>
      <c r="FG438" s="44" t="str">
        <f>IF(Table1[Date of Initial Assessment]="","",IF(AND(Table1[Start Date]&gt;42094,Table1[Start Date]&lt;42461),Table1[Emotional and Mental Health],""))</f>
        <v/>
      </c>
      <c r="FH438" s="44" t="str">
        <f>IF(Table1[Date of Initial Assessment]="","",IF(AND(Table1[Start Date]&gt;42094,Table1[Start Date]&lt;42461),Table1[Meaningful Use of Time],""))</f>
        <v/>
      </c>
      <c r="FI438" s="44" t="str">
        <f>IF(Table1[Date of Initial Assessment]="","",IF(AND(Table1[Start Date]&gt;42094,Table1[Start Date]&lt;42461),Table1[Managing Tenancy and Accommodation],""))</f>
        <v/>
      </c>
      <c r="FJ438" s="44" t="str">
        <f>IF(Table1[Date of Initial Assessment]="","",IF(AND(Table1[Start Date]&gt;42094,Table1[Start Date]&lt;42461),Table1[Offending],""))</f>
        <v/>
      </c>
      <c r="FK438" s="44" t="str">
        <f>IF(Table1[Leaving Date]="","",IF(Table1[Date of Initial Assessment]="","",IF(AND(Table1[Leaving Date]&gt;42094,Table1[Leaving Date]&lt;42461),IF(Table1[Date of Last Assessment]="",Table1[Motivation and Taking Responsibility],Table1[Motivation and Taking Responsibility2]),"")))</f>
        <v/>
      </c>
      <c r="FL438" s="44" t="str">
        <f>IF(Table1[Leaving Date]="","",IF(Table1[Date of Initial Assessment]="","",IF(AND(Table1[Leaving Date]&gt;42094,Table1[Leaving Date]&lt;42461),IF(Table1[Date of Last Assessment]="",Table1[Self-Care and Living Skills],Table1[Self-Care and Living Skills2]),"")))</f>
        <v/>
      </c>
      <c r="FM438" s="44" t="str">
        <f>IF(Table1[Leaving Date]="","",IF(Table1[Date of Initial Assessment]="","",IF(AND(Table1[Leaving Date]&gt;42094,Table1[Leaving Date]&lt;42461),IF(Table1[Date of Last Assessment]="",Table1[Managing Money and Personal Administration],Table1[Managing Money and Personal Administration2]),"")))</f>
        <v/>
      </c>
      <c r="FN438" s="44" t="str">
        <f>IF(Table1[Leaving Date]="","",IF(Table1[Date of Initial Assessment]="","",IF(AND(Table1[Leaving Date]&gt;42094,Table1[Leaving Date]&lt;42461),IF(Table1[Date of Last Assessment]="",Table1[Social Networks and Relationships],Table1[Social Networks and Relationships2]),"")))</f>
        <v/>
      </c>
      <c r="FO438" s="44" t="str">
        <f>IF(Table1[Leaving Date]="","",IF(Table1[Date of Initial Assessment]="","",IF(AND(Table1[Leaving Date]&gt;42094,Table1[Leaving Date]&lt;42461),IF(Table1[Date of Last Assessment]="",Table1[Drug and Alcohol Misuse],Table1[Drug and Alcohol Misuse2]),"")))</f>
        <v/>
      </c>
      <c r="FP438" s="44" t="str">
        <f>IF(Table1[Leaving Date]="","",IF(Table1[Date of Initial Assessment]="","",IF(AND(Table1[Leaving Date]&gt;42094,Table1[Leaving Date]&lt;42461),IF(Table1[Date of Last Assessment]="",Table1[Physical Health],Table1[Physical Health2]),"")))</f>
        <v/>
      </c>
      <c r="FQ438" s="44" t="str">
        <f>IF(Table1[Leaving Date]="","",IF(Table1[Date of Initial Assessment]="","",IF(AND(Table1[Leaving Date]&gt;42094,Table1[Leaving Date]&lt;42461),IF(Table1[Date of Last Assessment]="",Table1[Emotional and Mental Health],Table1[Emotional and Mental Health2]),"")))</f>
        <v/>
      </c>
      <c r="FR438" s="44" t="str">
        <f>IF(Table1[Leaving Date]="","",IF(Table1[Date of Initial Assessment]="","",IF(AND(Table1[Leaving Date]&gt;42094,Table1[Leaving Date]&lt;42461),IF(Table1[Date of Last Assessment]="",Table1[Meaningful Use of Time],Table1[Meaningful Use of Time2]),"")))</f>
        <v/>
      </c>
      <c r="FS438" s="44" t="str">
        <f>IF(Table1[Leaving Date]="","",IF(Table1[Date of Initial Assessment]="","",IF(AND(Table1[Leaving Date]&gt;42094,Table1[Leaving Date]&lt;42461),IF(Table1[Date of Last Assessment]="",Table1[Managing Tenancy and Accommodation],Table1[Managing Tenancy and Accommodation2]),"")))</f>
        <v/>
      </c>
      <c r="FT438" s="44" t="str">
        <f>IF(Table1[Leaving Date]="","",IF(Table1[Date of Initial Assessment]="","",IF(AND(Table1[Leaving Date]&gt;42094,Table1[Leaving Date]&lt;42461),IF(Table1[Date of Last Assessment]="",Table1[Offending],Table1[Offending2]),"")))</f>
        <v/>
      </c>
      <c r="FU438" s="44" t="str">
        <f>IF(Table1[Date of Initial Assessment]="","",IF(AND(Table1[Start Date]&gt;42460,Table1[Start Date]&lt;42826),Table1[Motivation and Taking Responsibility],""))</f>
        <v/>
      </c>
      <c r="FV438" s="44" t="str">
        <f>IF(Table1[Date of Initial Assessment]="","",IF(AND(Table1[Start Date]&gt;42460,Table1[Start Date]&lt;42826),Table1[Self-Care and Living Skills],""))</f>
        <v/>
      </c>
      <c r="FW438" s="44" t="str">
        <f>IF(Table1[Date of Initial Assessment]="","",IF(AND(Table1[Start Date]&gt;42460,Table1[Start Date]&lt;42826),Table1[Managing Money and Personal Administration],""))</f>
        <v/>
      </c>
      <c r="FX438" s="44" t="str">
        <f>IF(Table1[Date of Initial Assessment]="","",IF(AND(Table1[Start Date]&gt;42460,Table1[Start Date]&lt;42826),Table1[Social Networks and Relationships],""))</f>
        <v/>
      </c>
      <c r="FY438" s="44" t="str">
        <f>IF(Table1[Date of Initial Assessment]="","",IF(AND(Table1[Start Date]&gt;42460,Table1[Start Date]&lt;42826),Table1[Drug and Alcohol Misuse],""))</f>
        <v/>
      </c>
      <c r="FZ438" s="44" t="str">
        <f>IF(Table1[Date of Initial Assessment]="","",IF(AND(Table1[Start Date]&gt;42460,Table1[Start Date]&lt;42826),Table1[Physical Health],""))</f>
        <v/>
      </c>
      <c r="GA438" s="44" t="str">
        <f>IF(Table1[Date of Initial Assessment]="","",IF(AND(Table1[Start Date]&gt;42460,Table1[Start Date]&lt;42826),Table1[Emotional and Mental Health],""))</f>
        <v/>
      </c>
      <c r="GB438" s="44" t="str">
        <f>IF(Table1[Date of Initial Assessment]="","",IF(AND(Table1[Start Date]&gt;42460,Table1[Start Date]&lt;42826),Table1[Meaningful Use of Time],""))</f>
        <v/>
      </c>
      <c r="GC438" s="44" t="str">
        <f>IF(Table1[Date of Initial Assessment]="","",IF(AND(Table1[Start Date]&gt;42460,Table1[Start Date]&lt;42826),Table1[Managing Tenancy and Accommodation],""))</f>
        <v/>
      </c>
      <c r="GD438" s="44" t="str">
        <f>IF(Table1[Date of Initial Assessment]="","",IF(AND(Table1[Start Date]&gt;42460,Table1[Start Date]&lt;42826),Table1[Offending],""))</f>
        <v/>
      </c>
      <c r="GE438" s="44" t="str">
        <f>IF(Table1[Leaving Date]="","",IF(AND(Table1[Leaving Date]&gt;42460,Table1[Leaving Date]&lt;42826),IF(Table1[Date of Last Assessment]="",Table1[Motivation and Taking Responsibility],Table1[Motivation and Taking Responsibility2]),""))</f>
        <v/>
      </c>
      <c r="GF438" s="44" t="str">
        <f>IF(Table1[Leaving Date]="","",IF(AND(Table1[Leaving Date]&gt;42460,Table1[Leaving Date]&lt;42826),IF(Table1[Date of Last Assessment]="",Table1[Self-Care and Living Skills],Table1[Self-Care and Living Skills2]),""))</f>
        <v/>
      </c>
      <c r="GG438" s="44" t="str">
        <f>IF(Table1[Leaving Date]="","",IF(AND(Table1[Leaving Date]&gt;42460,Table1[Leaving Date]&lt;42826),IF(Table1[Date of Last Assessment]="",Table1[Managing Money and Personal Administration],Table1[Managing Money and Personal Administration2]),""))</f>
        <v/>
      </c>
      <c r="GH438" s="44" t="str">
        <f>IF(Table1[Leaving Date]="","",IF(AND(Table1[Leaving Date]&gt;42460,Table1[Leaving Date]&lt;42826),IF(Table1[Date of Last Assessment]="",Table1[Social Networks and Relationships],Table1[Social Networks and Relationships2]),""))</f>
        <v/>
      </c>
      <c r="GI438" s="44" t="str">
        <f>IF(Table1[Leaving Date]="","",IF(AND(Table1[Leaving Date]&gt;42460,Table1[Leaving Date]&lt;42826),IF(Table1[Date of Last Assessment]="",Table1[Drug and Alcohol Misuse],Table1[Drug and Alcohol Misuse2]),""))</f>
        <v/>
      </c>
      <c r="GJ438" s="44" t="str">
        <f>IF(Table1[Leaving Date]="","",IF(AND(Table1[Leaving Date]&gt;42460,Table1[Leaving Date]&lt;42826),IF(Table1[Date of Last Assessment]="",Table1[Physical Health],Table1[Physical Health2]),""))</f>
        <v/>
      </c>
      <c r="GK438" s="44" t="str">
        <f>IF(Table1[Leaving Date]="","",IF(AND(Table1[Leaving Date]&gt;42460,Table1[Leaving Date]&lt;42826),IF(Table1[Date of Last Assessment]="",Table1[Emotional and Mental Health],Table1[Emotional and Mental Health2]),""))</f>
        <v/>
      </c>
      <c r="GL438" s="44" t="str">
        <f>IF(Table1[Leaving Date]="","",IF(AND(Table1[Leaving Date]&gt;42460,Table1[Leaving Date]&lt;42826),IF(Table1[Date of Last Assessment]="",Table1[Meaningful Use of Time],Table1[Meaningful Use of Time2]),""))</f>
        <v/>
      </c>
      <c r="GM438" s="44" t="str">
        <f>IF(Table1[Leaving Date]="","",IF(AND(Table1[Leaving Date]&gt;42460,Table1[Leaving Date]&lt;42826),IF(Table1[Date of Last Assessment]="",Table1[Managing Tenancy and Accommodation],Table1[Managing Tenancy and Accommodation2]),""))</f>
        <v/>
      </c>
      <c r="GN438" s="44" t="str">
        <f>IF(Table1[Leaving Date]="","",IF(AND(Table1[Leaving Date]&gt;42460,Table1[Leaving Date]&lt;42826),IF(Table1[Date of Last Assessment]="",Table1[Offending],Table1[Offending2]),""))</f>
        <v/>
      </c>
    </row>
    <row r="439" spans="2:196" ht="20.100000000000001" customHeight="1" x14ac:dyDescent="0.2">
      <c r="B439" s="86">
        <f>+'Service Data'!$C$5:$C$5</f>
        <v>0</v>
      </c>
      <c r="C439" s="86"/>
      <c r="D439" s="86"/>
      <c r="E439" s="86"/>
      <c r="F439" s="86"/>
      <c r="G439" s="86"/>
      <c r="H439" s="6"/>
      <c r="I439" s="99" t="str">
        <f ca="1">IF(Table1[[#This Row],[Date of Birth]]="","",SUM(TODAY()-Table1[[#This Row],[Date of Birth]])/365)</f>
        <v/>
      </c>
      <c r="L439" s="86"/>
      <c r="M439" s="77"/>
      <c r="N439" s="86"/>
      <c r="O439" s="86"/>
      <c r="P439" s="91"/>
      <c r="Q439" s="86"/>
      <c r="R439" s="77"/>
      <c r="S439" s="77"/>
      <c r="T439" s="68"/>
      <c r="U439" s="68"/>
      <c r="V439" s="67"/>
      <c r="W439" s="67"/>
      <c r="X439" s="67"/>
      <c r="Y439" s="67"/>
      <c r="Z439" s="67"/>
      <c r="AA439" s="67"/>
      <c r="AB439" s="67"/>
      <c r="AC439" s="67"/>
      <c r="AD439" s="67"/>
      <c r="AE439" s="67"/>
      <c r="AF439" s="67"/>
      <c r="AG439" s="67"/>
      <c r="AH439" s="67"/>
      <c r="AI439" s="67"/>
      <c r="AJ439" s="67"/>
      <c r="AK439" s="67"/>
      <c r="AL439" s="67"/>
      <c r="AM439" s="67"/>
      <c r="AN439" s="77"/>
      <c r="AO439" s="76"/>
      <c r="AP439" s="77"/>
      <c r="AQ439" s="76"/>
      <c r="AR439" s="76"/>
      <c r="AS439" s="76"/>
      <c r="AT439" s="76"/>
      <c r="AU439" s="76"/>
      <c r="AV439" s="77"/>
      <c r="AW439" s="76"/>
      <c r="AX439" s="77"/>
      <c r="AY439" s="76"/>
      <c r="AZ439" s="76"/>
      <c r="BA439" s="76"/>
      <c r="BB439" s="76"/>
      <c r="BC439" s="76"/>
      <c r="BD439" s="77"/>
      <c r="BE439" s="76"/>
      <c r="BF439" s="77"/>
      <c r="BG439" s="76"/>
      <c r="BH439" s="76"/>
      <c r="BI439" s="76"/>
      <c r="BJ439" s="76"/>
      <c r="BK439" s="76"/>
      <c r="BL439" s="77"/>
      <c r="BM439" s="76"/>
      <c r="BN439" s="77"/>
      <c r="BO439" s="76"/>
      <c r="BP439" s="76"/>
      <c r="BQ439" s="76"/>
      <c r="BR439" s="76"/>
      <c r="BS439" s="76"/>
      <c r="BT439" s="77"/>
      <c r="BU439" s="76"/>
      <c r="BV439" s="77"/>
      <c r="BW439" s="76"/>
      <c r="BX439" s="76"/>
      <c r="BY439" s="76"/>
      <c r="BZ439" s="76"/>
      <c r="CA439" s="76"/>
      <c r="CB439" s="77"/>
      <c r="CC439" s="76"/>
      <c r="CD439" s="77"/>
      <c r="CE439" s="76"/>
      <c r="CF439" s="76"/>
      <c r="CG439" s="76"/>
      <c r="CH439" s="76"/>
      <c r="CI439" s="76"/>
      <c r="CJ439" s="77"/>
      <c r="CK439" s="76"/>
      <c r="CL439" s="77"/>
      <c r="CM439" s="76"/>
      <c r="CN439" s="76"/>
      <c r="CO439" s="76"/>
      <c r="CP439" s="76"/>
      <c r="CQ439" s="76"/>
      <c r="CR439" s="78" t="str">
        <f t="shared" si="111"/>
        <v/>
      </c>
      <c r="CS439" s="79" t="str">
        <f t="shared" si="112"/>
        <v/>
      </c>
      <c r="CT439" s="79" t="str">
        <f t="shared" si="113"/>
        <v/>
      </c>
      <c r="CU439" s="79" t="str">
        <f t="shared" si="114"/>
        <v/>
      </c>
      <c r="CV439" s="79" t="str">
        <f t="shared" si="115"/>
        <v/>
      </c>
      <c r="CW439" s="79" t="str">
        <f t="shared" si="116"/>
        <v/>
      </c>
      <c r="CX439" s="79" t="str">
        <f t="shared" si="117"/>
        <v/>
      </c>
      <c r="CY439" s="79" t="str">
        <f t="shared" si="118"/>
        <v/>
      </c>
      <c r="CZ439" s="79" t="str">
        <f t="shared" si="119"/>
        <v/>
      </c>
      <c r="DA439" s="79" t="str">
        <f t="shared" si="120"/>
        <v/>
      </c>
      <c r="DB439" s="79" t="str">
        <f t="shared" si="121"/>
        <v/>
      </c>
      <c r="DC439" s="79" t="str">
        <f t="shared" si="122"/>
        <v/>
      </c>
      <c r="DD439" s="79" t="str">
        <f t="shared" si="123"/>
        <v/>
      </c>
      <c r="DE439" s="79" t="str">
        <f t="shared" si="124"/>
        <v/>
      </c>
      <c r="DF439" s="79" t="str">
        <f t="shared" si="125"/>
        <v/>
      </c>
      <c r="DG439" s="79" t="str">
        <f t="shared" si="126"/>
        <v/>
      </c>
      <c r="DH439" s="76"/>
      <c r="DI439" s="78"/>
      <c r="DJ439" s="76"/>
      <c r="DK439" s="77"/>
      <c r="DL439" s="77"/>
      <c r="DM439" s="77"/>
      <c r="DN439" s="80"/>
      <c r="DO439" s="80"/>
      <c r="DP439" s="92" t="str">
        <f>IF(Table1[Start Date]="","",IF(Table1[Start Date]&gt;42185,"",IF(AND(Table1[Leaving Date]&gt;1,Table1[Leaving Date]&lt;42095),"",1)))</f>
        <v/>
      </c>
      <c r="DQ439" s="92" t="str">
        <f>IF(Table1[Start Date]="","",IF(Table1[Start Date]&gt;42277,"",IF(AND(Table1[Leaving Date]&gt;1,Table1[Leaving Date]&lt;42186),"",1)))</f>
        <v/>
      </c>
      <c r="DR439" s="92" t="str">
        <f>IF(Table1[Start Date]="","",IF(Table1[Start Date]&gt;42369,"",IF(AND(Table1[Leaving Date]&gt;1,Table1[Leaving Date]&lt;42278),"",1)))</f>
        <v/>
      </c>
      <c r="DS439" s="92" t="str">
        <f>IF(Table1[Start Date]="","",IF(Table1[Start Date]&gt;42460,"",IF(AND(Table1[Leaving Date]&gt;1,Table1[Leaving Date]&lt;42370),"",1)))</f>
        <v/>
      </c>
      <c r="DT439" s="92" t="str">
        <f>IF(Table1[Start Date]="","",IF(Table1[Start Date]&gt;42551,"",IF(AND(Table1[Leaving Date]&gt;1,Table1[Leaving Date]&lt;42461),"",1)))</f>
        <v/>
      </c>
      <c r="DU439" s="92" t="str">
        <f>IF(Table1[Start Date]="","",IF(Table1[Start Date]&gt;42643,"",IF(AND(Table1[Leaving Date]&gt;1,Table1[Leaving Date]&lt;42552),"",1)))</f>
        <v/>
      </c>
      <c r="DV439" s="92" t="str">
        <f>IF(Table1[Start Date]="","",IF(Table1[Start Date]&gt;42735,"",IF(AND(Table1[Leaving Date]&gt;1,Table1[Leaving Date]&lt;42644),"",1)))</f>
        <v/>
      </c>
      <c r="DW439" s="92" t="str">
        <f>IF(Table1[Start Date]="","",IF(Table1[Start Date]&gt;42825,"",IF(AND(Table1[Leaving Date]&gt;1,Table1[Leaving Date]&lt;42736),"",1)))</f>
        <v/>
      </c>
      <c r="DX439"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439" s="44" t="e">
        <f>VLOOKUP(Table1[Referral Source],Lists!$G$2:$H$20,2,FALSE)</f>
        <v>#N/A</v>
      </c>
      <c r="DZ439" s="93" t="e">
        <f>SUM(Table1[Data Referral Quarter]+Table1[Data Referral Source])</f>
        <v>#N/A</v>
      </c>
      <c r="EA439" s="44" t="b">
        <f>IF(Table1[Referral Decision]="Accepted",100,IF(Table1[Referral Decision]="Rejected by Provider",200,IF(Table1[Referral Decision]="Rejected by Applicant",300)))</f>
        <v>0</v>
      </c>
      <c r="EB439" s="44">
        <f>SUM(Table1[Data Referral Quarter]+Table1[Data Referral Decision])</f>
        <v>0</v>
      </c>
      <c r="EC439" s="44" t="b">
        <f>IF(Table1[Start Date]&gt;42735,8000,IF(Table1[Start Date]&gt;42643,7000,IF(Table1[Start Date]&gt;42551,6000,IF(Table1[Start Date]&gt;42460,5000,IF(Table1[Start Date]&gt;42369,4000,IF(Table1[Start Date]&gt;42277,3000,IF(Table1[Start Date]&gt;42185,2000,IF(Table1[Start Date]&gt;42094,1000))))))))</f>
        <v>0</v>
      </c>
      <c r="ED439" s="44" t="str">
        <f>IF(Table1[Start Date]="","",IF(Table1[Current Local Authority]="Swindon",1,"2"))</f>
        <v/>
      </c>
      <c r="EE439" s="44" t="e">
        <f>SUM(Table1[Data Start Date]+Table1[Data Local Authority])</f>
        <v>#VALUE!</v>
      </c>
      <c r="EF439" s="44">
        <f>IF(Table1[Registered with GP]="Yes",1,0)</f>
        <v>0</v>
      </c>
      <c r="EG439" s="44">
        <f>SUM(Table1[Data Start Date]+Table1[Data GP Start])</f>
        <v>0</v>
      </c>
      <c r="EH439" s="44" t="str">
        <f>IF(Table1[EET]="NEET",1,IF(Table1[EET]="Education",2,IF(Table1[EET]="Employment",2,IF(Table1[EET]="Training",2,IF(Table1[EET]="Retired",3,"")))))</f>
        <v/>
      </c>
      <c r="EI439" s="44" t="e">
        <f>Table1[Data Start Date]+Table1[Data EET Start]</f>
        <v>#VALUE!</v>
      </c>
      <c r="EJ439" s="44" t="b">
        <f>IF(Table1[Leaving Date]&gt;42735,8000,IF(Table1[Leaving Date]&gt;42643,7000,IF(Table1[Leaving Date]&gt;42551,6000,IF(Table1[Leaving Date]&gt;42460,5000,IF(Table1[Leaving Date]&gt;42369,4000,IF(Table1[Leaving Date]&gt;42277,3000,IF(Table1[Leaving Date]&gt;42185,2000,IF(Table1[Leaving Date]&gt;42094,1000))))))))</f>
        <v>0</v>
      </c>
      <c r="EK439" s="44" t="e">
        <f>VLOOKUP(Table1[Reason for Leaving],Lists!$T$2:$U$15,2,FALSE)</f>
        <v>#N/A</v>
      </c>
      <c r="EL439" s="44" t="e">
        <f>SUM(Table1[Data Leavers Date]+Table1[Data Move On])</f>
        <v>#N/A</v>
      </c>
      <c r="EM439" s="44" t="b">
        <f>IF(Table1[Registered with GP2]="Yes",1,IF(Table1[Registered with GP2]="No",0,IF(Table1[Registered with GP]="Yes",1,IF(Table1[Registered with GP]="No",0))))</f>
        <v>0</v>
      </c>
      <c r="EN439" s="44">
        <f>SUM(Table1[Data Leavers Date]+Table1[Data GP End])</f>
        <v>0</v>
      </c>
      <c r="EO439" s="44" t="str">
        <f>IF(Table1[EET2]="NEET",1,IF(Table1[EET2]="Employment",2,IF(Table1[EET2]="Education",2,IF(Table1[EET2]="Training",2,IF(Table1[EET2]="Retired",3,IF(Table1[EET]="NEET",1,IF(Table1[EET]="Employment",2,IF(Table1[EET]="Education",2,IF(Table1[EET]="Training",2,IF(Table1[EET]="Retired",3,""))))))))))</f>
        <v/>
      </c>
      <c r="EP439" s="44" t="e">
        <f>+Table1[[#This Row],[Data Leavers Date]]+Table1[[#This Row],[Data EET End]]</f>
        <v>#VALUE!</v>
      </c>
      <c r="EQ439" s="44">
        <f>IF(Table1[Exit Form Received]="Yes",1,0)</f>
        <v>0</v>
      </c>
      <c r="ER439" s="44">
        <f>+Table1[[#This Row],[Data Leavers Date]]+Table1[[#This Row],[Data Exit Forms]]</f>
        <v>0</v>
      </c>
      <c r="ES439" s="44" t="str">
        <f>IF(Table1[Data Leavers Date]=1000,SUM(Table1[Leaving Date]-Table1[Start Date]),"")</f>
        <v/>
      </c>
      <c r="ET439" s="44" t="str">
        <f>IF(Table1[Data Leavers Date]=2000,SUM(Table1[Leaving Date]-Table1[Start Date]),"")</f>
        <v/>
      </c>
      <c r="EU439" s="44" t="str">
        <f>IF(Table1[Data Leavers Date]=3000,SUM(Table1[Leaving Date]-Table1[Start Date]),"")</f>
        <v/>
      </c>
      <c r="EV439" s="44" t="str">
        <f>IF(Table1[Data Leavers Date]=4000,SUM(Table1[Leaving Date]-Table1[Start Date]),"")</f>
        <v/>
      </c>
      <c r="EW439" s="44" t="str">
        <f>IF(Table1[Data Leavers Date]=5000,SUM(Table1[Leaving Date]-Table1[Start Date]),"")</f>
        <v/>
      </c>
      <c r="EX439" s="44" t="str">
        <f>IF(Table1[Data Leavers Date]=6000,SUM(Table1[Leaving Date]-Table1[Start Date]),"")</f>
        <v/>
      </c>
      <c r="EY439" s="44" t="str">
        <f>IF(Table1[Data Leavers Date]=7000,SUM(Table1[Leaving Date]-Table1[Start Date]),"")</f>
        <v/>
      </c>
      <c r="EZ439" s="44" t="str">
        <f>IF(Table1[Data Leavers Date]=8000,SUM(Table1[Leaving Date]-Table1[Start Date]),"")</f>
        <v/>
      </c>
      <c r="FA439" s="44" t="str">
        <f>IF(Table1[Date of Initial Assessment]="","",IF(AND(Table1[Start Date]&gt;42094,Table1[Start Date]&lt;42461),Table1[Motivation and Taking Responsibility],""))</f>
        <v/>
      </c>
      <c r="FB439" s="44" t="str">
        <f>IF(Table1[Date of Initial Assessment]="","",IF(AND(Table1[Start Date]&gt;42094,Table1[Start Date]&lt;42461),Table1[Self-Care and Living Skills],""))</f>
        <v/>
      </c>
      <c r="FC439" s="44" t="str">
        <f>IF(Table1[Date of Initial Assessment]="","",IF(AND(Table1[Start Date]&gt;42094,Table1[Start Date]&lt;42461),Table1[Managing Money and Personal Administration],""))</f>
        <v/>
      </c>
      <c r="FD439" s="44" t="str">
        <f>IF(Table1[Date of Initial Assessment]="","",IF(AND(Table1[Start Date]&gt;42094,Table1[Start Date]&lt;42461),Table1[Social Networks and Relationships],""))</f>
        <v/>
      </c>
      <c r="FE439" s="44" t="str">
        <f>IF(Table1[Date of Initial Assessment]="","",IF(AND(Table1[Start Date]&gt;42094,Table1[Start Date]&lt;42461),Table1[Drug and Alcohol Misuse],""))</f>
        <v/>
      </c>
      <c r="FF439" s="44" t="str">
        <f>IF(Table1[Date of Initial Assessment]="","",IF(AND(Table1[Start Date]&gt;42094,Table1[Start Date]&lt;42461),Table1[Physical Health],""))</f>
        <v/>
      </c>
      <c r="FG439" s="44" t="str">
        <f>IF(Table1[Date of Initial Assessment]="","",IF(AND(Table1[Start Date]&gt;42094,Table1[Start Date]&lt;42461),Table1[Emotional and Mental Health],""))</f>
        <v/>
      </c>
      <c r="FH439" s="44" t="str">
        <f>IF(Table1[Date of Initial Assessment]="","",IF(AND(Table1[Start Date]&gt;42094,Table1[Start Date]&lt;42461),Table1[Meaningful Use of Time],""))</f>
        <v/>
      </c>
      <c r="FI439" s="44" t="str">
        <f>IF(Table1[Date of Initial Assessment]="","",IF(AND(Table1[Start Date]&gt;42094,Table1[Start Date]&lt;42461),Table1[Managing Tenancy and Accommodation],""))</f>
        <v/>
      </c>
      <c r="FJ439" s="44" t="str">
        <f>IF(Table1[Date of Initial Assessment]="","",IF(AND(Table1[Start Date]&gt;42094,Table1[Start Date]&lt;42461),Table1[Offending],""))</f>
        <v/>
      </c>
      <c r="FK439" s="44" t="str">
        <f>IF(Table1[Leaving Date]="","",IF(Table1[Date of Initial Assessment]="","",IF(AND(Table1[Leaving Date]&gt;42094,Table1[Leaving Date]&lt;42461),IF(Table1[Date of Last Assessment]="",Table1[Motivation and Taking Responsibility],Table1[Motivation and Taking Responsibility2]),"")))</f>
        <v/>
      </c>
      <c r="FL439" s="44" t="str">
        <f>IF(Table1[Leaving Date]="","",IF(Table1[Date of Initial Assessment]="","",IF(AND(Table1[Leaving Date]&gt;42094,Table1[Leaving Date]&lt;42461),IF(Table1[Date of Last Assessment]="",Table1[Self-Care and Living Skills],Table1[Self-Care and Living Skills2]),"")))</f>
        <v/>
      </c>
      <c r="FM439" s="44" t="str">
        <f>IF(Table1[Leaving Date]="","",IF(Table1[Date of Initial Assessment]="","",IF(AND(Table1[Leaving Date]&gt;42094,Table1[Leaving Date]&lt;42461),IF(Table1[Date of Last Assessment]="",Table1[Managing Money and Personal Administration],Table1[Managing Money and Personal Administration2]),"")))</f>
        <v/>
      </c>
      <c r="FN439" s="44" t="str">
        <f>IF(Table1[Leaving Date]="","",IF(Table1[Date of Initial Assessment]="","",IF(AND(Table1[Leaving Date]&gt;42094,Table1[Leaving Date]&lt;42461),IF(Table1[Date of Last Assessment]="",Table1[Social Networks and Relationships],Table1[Social Networks and Relationships2]),"")))</f>
        <v/>
      </c>
      <c r="FO439" s="44" t="str">
        <f>IF(Table1[Leaving Date]="","",IF(Table1[Date of Initial Assessment]="","",IF(AND(Table1[Leaving Date]&gt;42094,Table1[Leaving Date]&lt;42461),IF(Table1[Date of Last Assessment]="",Table1[Drug and Alcohol Misuse],Table1[Drug and Alcohol Misuse2]),"")))</f>
        <v/>
      </c>
      <c r="FP439" s="44" t="str">
        <f>IF(Table1[Leaving Date]="","",IF(Table1[Date of Initial Assessment]="","",IF(AND(Table1[Leaving Date]&gt;42094,Table1[Leaving Date]&lt;42461),IF(Table1[Date of Last Assessment]="",Table1[Physical Health],Table1[Physical Health2]),"")))</f>
        <v/>
      </c>
      <c r="FQ439" s="44" t="str">
        <f>IF(Table1[Leaving Date]="","",IF(Table1[Date of Initial Assessment]="","",IF(AND(Table1[Leaving Date]&gt;42094,Table1[Leaving Date]&lt;42461),IF(Table1[Date of Last Assessment]="",Table1[Emotional and Mental Health],Table1[Emotional and Mental Health2]),"")))</f>
        <v/>
      </c>
      <c r="FR439" s="44" t="str">
        <f>IF(Table1[Leaving Date]="","",IF(Table1[Date of Initial Assessment]="","",IF(AND(Table1[Leaving Date]&gt;42094,Table1[Leaving Date]&lt;42461),IF(Table1[Date of Last Assessment]="",Table1[Meaningful Use of Time],Table1[Meaningful Use of Time2]),"")))</f>
        <v/>
      </c>
      <c r="FS439" s="44" t="str">
        <f>IF(Table1[Leaving Date]="","",IF(Table1[Date of Initial Assessment]="","",IF(AND(Table1[Leaving Date]&gt;42094,Table1[Leaving Date]&lt;42461),IF(Table1[Date of Last Assessment]="",Table1[Managing Tenancy and Accommodation],Table1[Managing Tenancy and Accommodation2]),"")))</f>
        <v/>
      </c>
      <c r="FT439" s="44" t="str">
        <f>IF(Table1[Leaving Date]="","",IF(Table1[Date of Initial Assessment]="","",IF(AND(Table1[Leaving Date]&gt;42094,Table1[Leaving Date]&lt;42461),IF(Table1[Date of Last Assessment]="",Table1[Offending],Table1[Offending2]),"")))</f>
        <v/>
      </c>
      <c r="FU439" s="44" t="str">
        <f>IF(Table1[Date of Initial Assessment]="","",IF(AND(Table1[Start Date]&gt;42460,Table1[Start Date]&lt;42826),Table1[Motivation and Taking Responsibility],""))</f>
        <v/>
      </c>
      <c r="FV439" s="44" t="str">
        <f>IF(Table1[Date of Initial Assessment]="","",IF(AND(Table1[Start Date]&gt;42460,Table1[Start Date]&lt;42826),Table1[Self-Care and Living Skills],""))</f>
        <v/>
      </c>
      <c r="FW439" s="44" t="str">
        <f>IF(Table1[Date of Initial Assessment]="","",IF(AND(Table1[Start Date]&gt;42460,Table1[Start Date]&lt;42826),Table1[Managing Money and Personal Administration],""))</f>
        <v/>
      </c>
      <c r="FX439" s="44" t="str">
        <f>IF(Table1[Date of Initial Assessment]="","",IF(AND(Table1[Start Date]&gt;42460,Table1[Start Date]&lt;42826),Table1[Social Networks and Relationships],""))</f>
        <v/>
      </c>
      <c r="FY439" s="44" t="str">
        <f>IF(Table1[Date of Initial Assessment]="","",IF(AND(Table1[Start Date]&gt;42460,Table1[Start Date]&lt;42826),Table1[Drug and Alcohol Misuse],""))</f>
        <v/>
      </c>
      <c r="FZ439" s="44" t="str">
        <f>IF(Table1[Date of Initial Assessment]="","",IF(AND(Table1[Start Date]&gt;42460,Table1[Start Date]&lt;42826),Table1[Physical Health],""))</f>
        <v/>
      </c>
      <c r="GA439" s="44" t="str">
        <f>IF(Table1[Date of Initial Assessment]="","",IF(AND(Table1[Start Date]&gt;42460,Table1[Start Date]&lt;42826),Table1[Emotional and Mental Health],""))</f>
        <v/>
      </c>
      <c r="GB439" s="44" t="str">
        <f>IF(Table1[Date of Initial Assessment]="","",IF(AND(Table1[Start Date]&gt;42460,Table1[Start Date]&lt;42826),Table1[Meaningful Use of Time],""))</f>
        <v/>
      </c>
      <c r="GC439" s="44" t="str">
        <f>IF(Table1[Date of Initial Assessment]="","",IF(AND(Table1[Start Date]&gt;42460,Table1[Start Date]&lt;42826),Table1[Managing Tenancy and Accommodation],""))</f>
        <v/>
      </c>
      <c r="GD439" s="44" t="str">
        <f>IF(Table1[Date of Initial Assessment]="","",IF(AND(Table1[Start Date]&gt;42460,Table1[Start Date]&lt;42826),Table1[Offending],""))</f>
        <v/>
      </c>
      <c r="GE439" s="44" t="str">
        <f>IF(Table1[Leaving Date]="","",IF(AND(Table1[Leaving Date]&gt;42460,Table1[Leaving Date]&lt;42826),IF(Table1[Date of Last Assessment]="",Table1[Motivation and Taking Responsibility],Table1[Motivation and Taking Responsibility2]),""))</f>
        <v/>
      </c>
      <c r="GF439" s="44" t="str">
        <f>IF(Table1[Leaving Date]="","",IF(AND(Table1[Leaving Date]&gt;42460,Table1[Leaving Date]&lt;42826),IF(Table1[Date of Last Assessment]="",Table1[Self-Care and Living Skills],Table1[Self-Care and Living Skills2]),""))</f>
        <v/>
      </c>
      <c r="GG439" s="44" t="str">
        <f>IF(Table1[Leaving Date]="","",IF(AND(Table1[Leaving Date]&gt;42460,Table1[Leaving Date]&lt;42826),IF(Table1[Date of Last Assessment]="",Table1[Managing Money and Personal Administration],Table1[Managing Money and Personal Administration2]),""))</f>
        <v/>
      </c>
      <c r="GH439" s="44" t="str">
        <f>IF(Table1[Leaving Date]="","",IF(AND(Table1[Leaving Date]&gt;42460,Table1[Leaving Date]&lt;42826),IF(Table1[Date of Last Assessment]="",Table1[Social Networks and Relationships],Table1[Social Networks and Relationships2]),""))</f>
        <v/>
      </c>
      <c r="GI439" s="44" t="str">
        <f>IF(Table1[Leaving Date]="","",IF(AND(Table1[Leaving Date]&gt;42460,Table1[Leaving Date]&lt;42826),IF(Table1[Date of Last Assessment]="",Table1[Drug and Alcohol Misuse],Table1[Drug and Alcohol Misuse2]),""))</f>
        <v/>
      </c>
      <c r="GJ439" s="44" t="str">
        <f>IF(Table1[Leaving Date]="","",IF(AND(Table1[Leaving Date]&gt;42460,Table1[Leaving Date]&lt;42826),IF(Table1[Date of Last Assessment]="",Table1[Physical Health],Table1[Physical Health2]),""))</f>
        <v/>
      </c>
      <c r="GK439" s="44" t="str">
        <f>IF(Table1[Leaving Date]="","",IF(AND(Table1[Leaving Date]&gt;42460,Table1[Leaving Date]&lt;42826),IF(Table1[Date of Last Assessment]="",Table1[Emotional and Mental Health],Table1[Emotional and Mental Health2]),""))</f>
        <v/>
      </c>
      <c r="GL439" s="44" t="str">
        <f>IF(Table1[Leaving Date]="","",IF(AND(Table1[Leaving Date]&gt;42460,Table1[Leaving Date]&lt;42826),IF(Table1[Date of Last Assessment]="",Table1[Meaningful Use of Time],Table1[Meaningful Use of Time2]),""))</f>
        <v/>
      </c>
      <c r="GM439" s="44" t="str">
        <f>IF(Table1[Leaving Date]="","",IF(AND(Table1[Leaving Date]&gt;42460,Table1[Leaving Date]&lt;42826),IF(Table1[Date of Last Assessment]="",Table1[Managing Tenancy and Accommodation],Table1[Managing Tenancy and Accommodation2]),""))</f>
        <v/>
      </c>
      <c r="GN439" s="44" t="str">
        <f>IF(Table1[Leaving Date]="","",IF(AND(Table1[Leaving Date]&gt;42460,Table1[Leaving Date]&lt;42826),IF(Table1[Date of Last Assessment]="",Table1[Offending],Table1[Offending2]),""))</f>
        <v/>
      </c>
    </row>
    <row r="440" spans="2:196" ht="20.100000000000001" customHeight="1" x14ac:dyDescent="0.2">
      <c r="B440" s="86">
        <f>+'Service Data'!$C$5:$C$5</f>
        <v>0</v>
      </c>
      <c r="C440" s="86"/>
      <c r="D440" s="86"/>
      <c r="E440" s="86"/>
      <c r="F440" s="86"/>
      <c r="G440" s="86"/>
      <c r="H440" s="6"/>
      <c r="I440" s="99" t="str">
        <f ca="1">IF(Table1[[#This Row],[Date of Birth]]="","",SUM(TODAY()-Table1[[#This Row],[Date of Birth]])/365)</f>
        <v/>
      </c>
      <c r="L440" s="86"/>
      <c r="M440" s="77"/>
      <c r="N440" s="86"/>
      <c r="O440" s="86"/>
      <c r="P440" s="91"/>
      <c r="Q440" s="86"/>
      <c r="R440" s="77"/>
      <c r="S440" s="77"/>
      <c r="T440" s="68"/>
      <c r="U440" s="68"/>
      <c r="V440" s="67"/>
      <c r="W440" s="67"/>
      <c r="X440" s="67"/>
      <c r="Y440" s="67"/>
      <c r="Z440" s="67"/>
      <c r="AA440" s="67"/>
      <c r="AB440" s="67"/>
      <c r="AC440" s="67"/>
      <c r="AD440" s="67"/>
      <c r="AE440" s="67"/>
      <c r="AF440" s="67"/>
      <c r="AG440" s="67"/>
      <c r="AH440" s="67"/>
      <c r="AI440" s="67"/>
      <c r="AJ440" s="67"/>
      <c r="AK440" s="67"/>
      <c r="AL440" s="67"/>
      <c r="AM440" s="67"/>
      <c r="AN440" s="77"/>
      <c r="AO440" s="76"/>
      <c r="AP440" s="77"/>
      <c r="AQ440" s="76"/>
      <c r="AR440" s="76"/>
      <c r="AS440" s="76"/>
      <c r="AT440" s="76"/>
      <c r="AU440" s="76"/>
      <c r="AV440" s="77"/>
      <c r="AW440" s="76"/>
      <c r="AX440" s="77"/>
      <c r="AY440" s="76"/>
      <c r="AZ440" s="76"/>
      <c r="BA440" s="76"/>
      <c r="BB440" s="76"/>
      <c r="BC440" s="76"/>
      <c r="BD440" s="77"/>
      <c r="BE440" s="76"/>
      <c r="BF440" s="77"/>
      <c r="BG440" s="76"/>
      <c r="BH440" s="76"/>
      <c r="BI440" s="76"/>
      <c r="BJ440" s="76"/>
      <c r="BK440" s="76"/>
      <c r="BL440" s="77"/>
      <c r="BM440" s="76"/>
      <c r="BN440" s="77"/>
      <c r="BO440" s="76"/>
      <c r="BP440" s="76"/>
      <c r="BQ440" s="76"/>
      <c r="BR440" s="76"/>
      <c r="BS440" s="76"/>
      <c r="BT440" s="77"/>
      <c r="BU440" s="76"/>
      <c r="BV440" s="77"/>
      <c r="BW440" s="76"/>
      <c r="BX440" s="76"/>
      <c r="BY440" s="76"/>
      <c r="BZ440" s="76"/>
      <c r="CA440" s="76"/>
      <c r="CB440" s="77"/>
      <c r="CC440" s="76"/>
      <c r="CD440" s="77"/>
      <c r="CE440" s="76"/>
      <c r="CF440" s="76"/>
      <c r="CG440" s="76"/>
      <c r="CH440" s="76"/>
      <c r="CI440" s="76"/>
      <c r="CJ440" s="77"/>
      <c r="CK440" s="76"/>
      <c r="CL440" s="77"/>
      <c r="CM440" s="76"/>
      <c r="CN440" s="76"/>
      <c r="CO440" s="76"/>
      <c r="CP440" s="76"/>
      <c r="CQ440" s="76"/>
      <c r="CR440" s="78" t="str">
        <f t="shared" si="111"/>
        <v/>
      </c>
      <c r="CS440" s="79" t="str">
        <f t="shared" si="112"/>
        <v/>
      </c>
      <c r="CT440" s="79" t="str">
        <f t="shared" si="113"/>
        <v/>
      </c>
      <c r="CU440" s="79" t="str">
        <f t="shared" si="114"/>
        <v/>
      </c>
      <c r="CV440" s="79" t="str">
        <f t="shared" si="115"/>
        <v/>
      </c>
      <c r="CW440" s="79" t="str">
        <f t="shared" si="116"/>
        <v/>
      </c>
      <c r="CX440" s="79" t="str">
        <f t="shared" si="117"/>
        <v/>
      </c>
      <c r="CY440" s="79" t="str">
        <f t="shared" si="118"/>
        <v/>
      </c>
      <c r="CZ440" s="79" t="str">
        <f t="shared" si="119"/>
        <v/>
      </c>
      <c r="DA440" s="79" t="str">
        <f t="shared" si="120"/>
        <v/>
      </c>
      <c r="DB440" s="79" t="str">
        <f t="shared" si="121"/>
        <v/>
      </c>
      <c r="DC440" s="79" t="str">
        <f t="shared" si="122"/>
        <v/>
      </c>
      <c r="DD440" s="79" t="str">
        <f t="shared" si="123"/>
        <v/>
      </c>
      <c r="DE440" s="79" t="str">
        <f t="shared" si="124"/>
        <v/>
      </c>
      <c r="DF440" s="79" t="str">
        <f t="shared" si="125"/>
        <v/>
      </c>
      <c r="DG440" s="79" t="str">
        <f t="shared" si="126"/>
        <v/>
      </c>
      <c r="DH440" s="76"/>
      <c r="DI440" s="78"/>
      <c r="DJ440" s="76"/>
      <c r="DK440" s="77"/>
      <c r="DL440" s="77"/>
      <c r="DM440" s="77"/>
      <c r="DN440" s="80"/>
      <c r="DO440" s="80"/>
      <c r="DP440" s="92" t="str">
        <f>IF(Table1[Start Date]="","",IF(Table1[Start Date]&gt;42185,"",IF(AND(Table1[Leaving Date]&gt;1,Table1[Leaving Date]&lt;42095),"",1)))</f>
        <v/>
      </c>
      <c r="DQ440" s="92" t="str">
        <f>IF(Table1[Start Date]="","",IF(Table1[Start Date]&gt;42277,"",IF(AND(Table1[Leaving Date]&gt;1,Table1[Leaving Date]&lt;42186),"",1)))</f>
        <v/>
      </c>
      <c r="DR440" s="92" t="str">
        <f>IF(Table1[Start Date]="","",IF(Table1[Start Date]&gt;42369,"",IF(AND(Table1[Leaving Date]&gt;1,Table1[Leaving Date]&lt;42278),"",1)))</f>
        <v/>
      </c>
      <c r="DS440" s="92" t="str">
        <f>IF(Table1[Start Date]="","",IF(Table1[Start Date]&gt;42460,"",IF(AND(Table1[Leaving Date]&gt;1,Table1[Leaving Date]&lt;42370),"",1)))</f>
        <v/>
      </c>
      <c r="DT440" s="92" t="str">
        <f>IF(Table1[Start Date]="","",IF(Table1[Start Date]&gt;42551,"",IF(AND(Table1[Leaving Date]&gt;1,Table1[Leaving Date]&lt;42461),"",1)))</f>
        <v/>
      </c>
      <c r="DU440" s="92" t="str">
        <f>IF(Table1[Start Date]="","",IF(Table1[Start Date]&gt;42643,"",IF(AND(Table1[Leaving Date]&gt;1,Table1[Leaving Date]&lt;42552),"",1)))</f>
        <v/>
      </c>
      <c r="DV440" s="92" t="str">
        <f>IF(Table1[Start Date]="","",IF(Table1[Start Date]&gt;42735,"",IF(AND(Table1[Leaving Date]&gt;1,Table1[Leaving Date]&lt;42644),"",1)))</f>
        <v/>
      </c>
      <c r="DW440" s="92" t="str">
        <f>IF(Table1[Start Date]="","",IF(Table1[Start Date]&gt;42825,"",IF(AND(Table1[Leaving Date]&gt;1,Table1[Leaving Date]&lt;42736),"",1)))</f>
        <v/>
      </c>
      <c r="DX440"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440" s="44" t="e">
        <f>VLOOKUP(Table1[Referral Source],Lists!$G$2:$H$20,2,FALSE)</f>
        <v>#N/A</v>
      </c>
      <c r="DZ440" s="93" t="e">
        <f>SUM(Table1[Data Referral Quarter]+Table1[Data Referral Source])</f>
        <v>#N/A</v>
      </c>
      <c r="EA440" s="44" t="b">
        <f>IF(Table1[Referral Decision]="Accepted",100,IF(Table1[Referral Decision]="Rejected by Provider",200,IF(Table1[Referral Decision]="Rejected by Applicant",300)))</f>
        <v>0</v>
      </c>
      <c r="EB440" s="44">
        <f>SUM(Table1[Data Referral Quarter]+Table1[Data Referral Decision])</f>
        <v>0</v>
      </c>
      <c r="EC440" s="44" t="b">
        <f>IF(Table1[Start Date]&gt;42735,8000,IF(Table1[Start Date]&gt;42643,7000,IF(Table1[Start Date]&gt;42551,6000,IF(Table1[Start Date]&gt;42460,5000,IF(Table1[Start Date]&gt;42369,4000,IF(Table1[Start Date]&gt;42277,3000,IF(Table1[Start Date]&gt;42185,2000,IF(Table1[Start Date]&gt;42094,1000))))))))</f>
        <v>0</v>
      </c>
      <c r="ED440" s="44" t="str">
        <f>IF(Table1[Start Date]="","",IF(Table1[Current Local Authority]="Swindon",1,"2"))</f>
        <v/>
      </c>
      <c r="EE440" s="44" t="e">
        <f>SUM(Table1[Data Start Date]+Table1[Data Local Authority])</f>
        <v>#VALUE!</v>
      </c>
      <c r="EF440" s="44">
        <f>IF(Table1[Registered with GP]="Yes",1,0)</f>
        <v>0</v>
      </c>
      <c r="EG440" s="44">
        <f>SUM(Table1[Data Start Date]+Table1[Data GP Start])</f>
        <v>0</v>
      </c>
      <c r="EH440" s="44" t="str">
        <f>IF(Table1[EET]="NEET",1,IF(Table1[EET]="Education",2,IF(Table1[EET]="Employment",2,IF(Table1[EET]="Training",2,IF(Table1[EET]="Retired",3,"")))))</f>
        <v/>
      </c>
      <c r="EI440" s="44" t="e">
        <f>Table1[Data Start Date]+Table1[Data EET Start]</f>
        <v>#VALUE!</v>
      </c>
      <c r="EJ440" s="44" t="b">
        <f>IF(Table1[Leaving Date]&gt;42735,8000,IF(Table1[Leaving Date]&gt;42643,7000,IF(Table1[Leaving Date]&gt;42551,6000,IF(Table1[Leaving Date]&gt;42460,5000,IF(Table1[Leaving Date]&gt;42369,4000,IF(Table1[Leaving Date]&gt;42277,3000,IF(Table1[Leaving Date]&gt;42185,2000,IF(Table1[Leaving Date]&gt;42094,1000))))))))</f>
        <v>0</v>
      </c>
      <c r="EK440" s="44" t="e">
        <f>VLOOKUP(Table1[Reason for Leaving],Lists!$T$2:$U$15,2,FALSE)</f>
        <v>#N/A</v>
      </c>
      <c r="EL440" s="44" t="e">
        <f>SUM(Table1[Data Leavers Date]+Table1[Data Move On])</f>
        <v>#N/A</v>
      </c>
      <c r="EM440" s="44" t="b">
        <f>IF(Table1[Registered with GP2]="Yes",1,IF(Table1[Registered with GP2]="No",0,IF(Table1[Registered with GP]="Yes",1,IF(Table1[Registered with GP]="No",0))))</f>
        <v>0</v>
      </c>
      <c r="EN440" s="44">
        <f>SUM(Table1[Data Leavers Date]+Table1[Data GP End])</f>
        <v>0</v>
      </c>
      <c r="EO440" s="44" t="str">
        <f>IF(Table1[EET2]="NEET",1,IF(Table1[EET2]="Employment",2,IF(Table1[EET2]="Education",2,IF(Table1[EET2]="Training",2,IF(Table1[EET2]="Retired",3,IF(Table1[EET]="NEET",1,IF(Table1[EET]="Employment",2,IF(Table1[EET]="Education",2,IF(Table1[EET]="Training",2,IF(Table1[EET]="Retired",3,""))))))))))</f>
        <v/>
      </c>
      <c r="EP440" s="44" t="e">
        <f>+Table1[[#This Row],[Data Leavers Date]]+Table1[[#This Row],[Data EET End]]</f>
        <v>#VALUE!</v>
      </c>
      <c r="EQ440" s="44">
        <f>IF(Table1[Exit Form Received]="Yes",1,0)</f>
        <v>0</v>
      </c>
      <c r="ER440" s="44">
        <f>+Table1[[#This Row],[Data Leavers Date]]+Table1[[#This Row],[Data Exit Forms]]</f>
        <v>0</v>
      </c>
      <c r="ES440" s="44" t="str">
        <f>IF(Table1[Data Leavers Date]=1000,SUM(Table1[Leaving Date]-Table1[Start Date]),"")</f>
        <v/>
      </c>
      <c r="ET440" s="44" t="str">
        <f>IF(Table1[Data Leavers Date]=2000,SUM(Table1[Leaving Date]-Table1[Start Date]),"")</f>
        <v/>
      </c>
      <c r="EU440" s="44" t="str">
        <f>IF(Table1[Data Leavers Date]=3000,SUM(Table1[Leaving Date]-Table1[Start Date]),"")</f>
        <v/>
      </c>
      <c r="EV440" s="44" t="str">
        <f>IF(Table1[Data Leavers Date]=4000,SUM(Table1[Leaving Date]-Table1[Start Date]),"")</f>
        <v/>
      </c>
      <c r="EW440" s="44" t="str">
        <f>IF(Table1[Data Leavers Date]=5000,SUM(Table1[Leaving Date]-Table1[Start Date]),"")</f>
        <v/>
      </c>
      <c r="EX440" s="44" t="str">
        <f>IF(Table1[Data Leavers Date]=6000,SUM(Table1[Leaving Date]-Table1[Start Date]),"")</f>
        <v/>
      </c>
      <c r="EY440" s="44" t="str">
        <f>IF(Table1[Data Leavers Date]=7000,SUM(Table1[Leaving Date]-Table1[Start Date]),"")</f>
        <v/>
      </c>
      <c r="EZ440" s="44" t="str">
        <f>IF(Table1[Data Leavers Date]=8000,SUM(Table1[Leaving Date]-Table1[Start Date]),"")</f>
        <v/>
      </c>
      <c r="FA440" s="44" t="str">
        <f>IF(Table1[Date of Initial Assessment]="","",IF(AND(Table1[Start Date]&gt;42094,Table1[Start Date]&lt;42461),Table1[Motivation and Taking Responsibility],""))</f>
        <v/>
      </c>
      <c r="FB440" s="44" t="str">
        <f>IF(Table1[Date of Initial Assessment]="","",IF(AND(Table1[Start Date]&gt;42094,Table1[Start Date]&lt;42461),Table1[Self-Care and Living Skills],""))</f>
        <v/>
      </c>
      <c r="FC440" s="44" t="str">
        <f>IF(Table1[Date of Initial Assessment]="","",IF(AND(Table1[Start Date]&gt;42094,Table1[Start Date]&lt;42461),Table1[Managing Money and Personal Administration],""))</f>
        <v/>
      </c>
      <c r="FD440" s="44" t="str">
        <f>IF(Table1[Date of Initial Assessment]="","",IF(AND(Table1[Start Date]&gt;42094,Table1[Start Date]&lt;42461),Table1[Social Networks and Relationships],""))</f>
        <v/>
      </c>
      <c r="FE440" s="44" t="str">
        <f>IF(Table1[Date of Initial Assessment]="","",IF(AND(Table1[Start Date]&gt;42094,Table1[Start Date]&lt;42461),Table1[Drug and Alcohol Misuse],""))</f>
        <v/>
      </c>
      <c r="FF440" s="44" t="str">
        <f>IF(Table1[Date of Initial Assessment]="","",IF(AND(Table1[Start Date]&gt;42094,Table1[Start Date]&lt;42461),Table1[Physical Health],""))</f>
        <v/>
      </c>
      <c r="FG440" s="44" t="str">
        <f>IF(Table1[Date of Initial Assessment]="","",IF(AND(Table1[Start Date]&gt;42094,Table1[Start Date]&lt;42461),Table1[Emotional and Mental Health],""))</f>
        <v/>
      </c>
      <c r="FH440" s="44" t="str">
        <f>IF(Table1[Date of Initial Assessment]="","",IF(AND(Table1[Start Date]&gt;42094,Table1[Start Date]&lt;42461),Table1[Meaningful Use of Time],""))</f>
        <v/>
      </c>
      <c r="FI440" s="44" t="str">
        <f>IF(Table1[Date of Initial Assessment]="","",IF(AND(Table1[Start Date]&gt;42094,Table1[Start Date]&lt;42461),Table1[Managing Tenancy and Accommodation],""))</f>
        <v/>
      </c>
      <c r="FJ440" s="44" t="str">
        <f>IF(Table1[Date of Initial Assessment]="","",IF(AND(Table1[Start Date]&gt;42094,Table1[Start Date]&lt;42461),Table1[Offending],""))</f>
        <v/>
      </c>
      <c r="FK440" s="44" t="str">
        <f>IF(Table1[Leaving Date]="","",IF(Table1[Date of Initial Assessment]="","",IF(AND(Table1[Leaving Date]&gt;42094,Table1[Leaving Date]&lt;42461),IF(Table1[Date of Last Assessment]="",Table1[Motivation and Taking Responsibility],Table1[Motivation and Taking Responsibility2]),"")))</f>
        <v/>
      </c>
      <c r="FL440" s="44" t="str">
        <f>IF(Table1[Leaving Date]="","",IF(Table1[Date of Initial Assessment]="","",IF(AND(Table1[Leaving Date]&gt;42094,Table1[Leaving Date]&lt;42461),IF(Table1[Date of Last Assessment]="",Table1[Self-Care and Living Skills],Table1[Self-Care and Living Skills2]),"")))</f>
        <v/>
      </c>
      <c r="FM440" s="44" t="str">
        <f>IF(Table1[Leaving Date]="","",IF(Table1[Date of Initial Assessment]="","",IF(AND(Table1[Leaving Date]&gt;42094,Table1[Leaving Date]&lt;42461),IF(Table1[Date of Last Assessment]="",Table1[Managing Money and Personal Administration],Table1[Managing Money and Personal Administration2]),"")))</f>
        <v/>
      </c>
      <c r="FN440" s="44" t="str">
        <f>IF(Table1[Leaving Date]="","",IF(Table1[Date of Initial Assessment]="","",IF(AND(Table1[Leaving Date]&gt;42094,Table1[Leaving Date]&lt;42461),IF(Table1[Date of Last Assessment]="",Table1[Social Networks and Relationships],Table1[Social Networks and Relationships2]),"")))</f>
        <v/>
      </c>
      <c r="FO440" s="44" t="str">
        <f>IF(Table1[Leaving Date]="","",IF(Table1[Date of Initial Assessment]="","",IF(AND(Table1[Leaving Date]&gt;42094,Table1[Leaving Date]&lt;42461),IF(Table1[Date of Last Assessment]="",Table1[Drug and Alcohol Misuse],Table1[Drug and Alcohol Misuse2]),"")))</f>
        <v/>
      </c>
      <c r="FP440" s="44" t="str">
        <f>IF(Table1[Leaving Date]="","",IF(Table1[Date of Initial Assessment]="","",IF(AND(Table1[Leaving Date]&gt;42094,Table1[Leaving Date]&lt;42461),IF(Table1[Date of Last Assessment]="",Table1[Physical Health],Table1[Physical Health2]),"")))</f>
        <v/>
      </c>
      <c r="FQ440" s="44" t="str">
        <f>IF(Table1[Leaving Date]="","",IF(Table1[Date of Initial Assessment]="","",IF(AND(Table1[Leaving Date]&gt;42094,Table1[Leaving Date]&lt;42461),IF(Table1[Date of Last Assessment]="",Table1[Emotional and Mental Health],Table1[Emotional and Mental Health2]),"")))</f>
        <v/>
      </c>
      <c r="FR440" s="44" t="str">
        <f>IF(Table1[Leaving Date]="","",IF(Table1[Date of Initial Assessment]="","",IF(AND(Table1[Leaving Date]&gt;42094,Table1[Leaving Date]&lt;42461),IF(Table1[Date of Last Assessment]="",Table1[Meaningful Use of Time],Table1[Meaningful Use of Time2]),"")))</f>
        <v/>
      </c>
      <c r="FS440" s="44" t="str">
        <f>IF(Table1[Leaving Date]="","",IF(Table1[Date of Initial Assessment]="","",IF(AND(Table1[Leaving Date]&gt;42094,Table1[Leaving Date]&lt;42461),IF(Table1[Date of Last Assessment]="",Table1[Managing Tenancy and Accommodation],Table1[Managing Tenancy and Accommodation2]),"")))</f>
        <v/>
      </c>
      <c r="FT440" s="44" t="str">
        <f>IF(Table1[Leaving Date]="","",IF(Table1[Date of Initial Assessment]="","",IF(AND(Table1[Leaving Date]&gt;42094,Table1[Leaving Date]&lt;42461),IF(Table1[Date of Last Assessment]="",Table1[Offending],Table1[Offending2]),"")))</f>
        <v/>
      </c>
      <c r="FU440" s="44" t="str">
        <f>IF(Table1[Date of Initial Assessment]="","",IF(AND(Table1[Start Date]&gt;42460,Table1[Start Date]&lt;42826),Table1[Motivation and Taking Responsibility],""))</f>
        <v/>
      </c>
      <c r="FV440" s="44" t="str">
        <f>IF(Table1[Date of Initial Assessment]="","",IF(AND(Table1[Start Date]&gt;42460,Table1[Start Date]&lt;42826),Table1[Self-Care and Living Skills],""))</f>
        <v/>
      </c>
      <c r="FW440" s="44" t="str">
        <f>IF(Table1[Date of Initial Assessment]="","",IF(AND(Table1[Start Date]&gt;42460,Table1[Start Date]&lt;42826),Table1[Managing Money and Personal Administration],""))</f>
        <v/>
      </c>
      <c r="FX440" s="44" t="str">
        <f>IF(Table1[Date of Initial Assessment]="","",IF(AND(Table1[Start Date]&gt;42460,Table1[Start Date]&lt;42826),Table1[Social Networks and Relationships],""))</f>
        <v/>
      </c>
      <c r="FY440" s="44" t="str">
        <f>IF(Table1[Date of Initial Assessment]="","",IF(AND(Table1[Start Date]&gt;42460,Table1[Start Date]&lt;42826),Table1[Drug and Alcohol Misuse],""))</f>
        <v/>
      </c>
      <c r="FZ440" s="44" t="str">
        <f>IF(Table1[Date of Initial Assessment]="","",IF(AND(Table1[Start Date]&gt;42460,Table1[Start Date]&lt;42826),Table1[Physical Health],""))</f>
        <v/>
      </c>
      <c r="GA440" s="44" t="str">
        <f>IF(Table1[Date of Initial Assessment]="","",IF(AND(Table1[Start Date]&gt;42460,Table1[Start Date]&lt;42826),Table1[Emotional and Mental Health],""))</f>
        <v/>
      </c>
      <c r="GB440" s="44" t="str">
        <f>IF(Table1[Date of Initial Assessment]="","",IF(AND(Table1[Start Date]&gt;42460,Table1[Start Date]&lt;42826),Table1[Meaningful Use of Time],""))</f>
        <v/>
      </c>
      <c r="GC440" s="44" t="str">
        <f>IF(Table1[Date of Initial Assessment]="","",IF(AND(Table1[Start Date]&gt;42460,Table1[Start Date]&lt;42826),Table1[Managing Tenancy and Accommodation],""))</f>
        <v/>
      </c>
      <c r="GD440" s="44" t="str">
        <f>IF(Table1[Date of Initial Assessment]="","",IF(AND(Table1[Start Date]&gt;42460,Table1[Start Date]&lt;42826),Table1[Offending],""))</f>
        <v/>
      </c>
      <c r="GE440" s="44" t="str">
        <f>IF(Table1[Leaving Date]="","",IF(AND(Table1[Leaving Date]&gt;42460,Table1[Leaving Date]&lt;42826),IF(Table1[Date of Last Assessment]="",Table1[Motivation and Taking Responsibility],Table1[Motivation and Taking Responsibility2]),""))</f>
        <v/>
      </c>
      <c r="GF440" s="44" t="str">
        <f>IF(Table1[Leaving Date]="","",IF(AND(Table1[Leaving Date]&gt;42460,Table1[Leaving Date]&lt;42826),IF(Table1[Date of Last Assessment]="",Table1[Self-Care and Living Skills],Table1[Self-Care and Living Skills2]),""))</f>
        <v/>
      </c>
      <c r="GG440" s="44" t="str">
        <f>IF(Table1[Leaving Date]="","",IF(AND(Table1[Leaving Date]&gt;42460,Table1[Leaving Date]&lt;42826),IF(Table1[Date of Last Assessment]="",Table1[Managing Money and Personal Administration],Table1[Managing Money and Personal Administration2]),""))</f>
        <v/>
      </c>
      <c r="GH440" s="44" t="str">
        <f>IF(Table1[Leaving Date]="","",IF(AND(Table1[Leaving Date]&gt;42460,Table1[Leaving Date]&lt;42826),IF(Table1[Date of Last Assessment]="",Table1[Social Networks and Relationships],Table1[Social Networks and Relationships2]),""))</f>
        <v/>
      </c>
      <c r="GI440" s="44" t="str">
        <f>IF(Table1[Leaving Date]="","",IF(AND(Table1[Leaving Date]&gt;42460,Table1[Leaving Date]&lt;42826),IF(Table1[Date of Last Assessment]="",Table1[Drug and Alcohol Misuse],Table1[Drug and Alcohol Misuse2]),""))</f>
        <v/>
      </c>
      <c r="GJ440" s="44" t="str">
        <f>IF(Table1[Leaving Date]="","",IF(AND(Table1[Leaving Date]&gt;42460,Table1[Leaving Date]&lt;42826),IF(Table1[Date of Last Assessment]="",Table1[Physical Health],Table1[Physical Health2]),""))</f>
        <v/>
      </c>
      <c r="GK440" s="44" t="str">
        <f>IF(Table1[Leaving Date]="","",IF(AND(Table1[Leaving Date]&gt;42460,Table1[Leaving Date]&lt;42826),IF(Table1[Date of Last Assessment]="",Table1[Emotional and Mental Health],Table1[Emotional and Mental Health2]),""))</f>
        <v/>
      </c>
      <c r="GL440" s="44" t="str">
        <f>IF(Table1[Leaving Date]="","",IF(AND(Table1[Leaving Date]&gt;42460,Table1[Leaving Date]&lt;42826),IF(Table1[Date of Last Assessment]="",Table1[Meaningful Use of Time],Table1[Meaningful Use of Time2]),""))</f>
        <v/>
      </c>
      <c r="GM440" s="44" t="str">
        <f>IF(Table1[Leaving Date]="","",IF(AND(Table1[Leaving Date]&gt;42460,Table1[Leaving Date]&lt;42826),IF(Table1[Date of Last Assessment]="",Table1[Managing Tenancy and Accommodation],Table1[Managing Tenancy and Accommodation2]),""))</f>
        <v/>
      </c>
      <c r="GN440" s="44" t="str">
        <f>IF(Table1[Leaving Date]="","",IF(AND(Table1[Leaving Date]&gt;42460,Table1[Leaving Date]&lt;42826),IF(Table1[Date of Last Assessment]="",Table1[Offending],Table1[Offending2]),""))</f>
        <v/>
      </c>
    </row>
    <row r="441" spans="2:196" ht="20.100000000000001" customHeight="1" x14ac:dyDescent="0.2">
      <c r="B441" s="86">
        <f>+'Service Data'!$C$5:$C$5</f>
        <v>0</v>
      </c>
      <c r="C441" s="86"/>
      <c r="D441" s="86"/>
      <c r="E441" s="86"/>
      <c r="F441" s="86"/>
      <c r="G441" s="86"/>
      <c r="H441" s="6"/>
      <c r="I441" s="99" t="str">
        <f ca="1">IF(Table1[[#This Row],[Date of Birth]]="","",SUM(TODAY()-Table1[[#This Row],[Date of Birth]])/365)</f>
        <v/>
      </c>
      <c r="L441" s="86"/>
      <c r="M441" s="77"/>
      <c r="N441" s="86"/>
      <c r="O441" s="86"/>
      <c r="P441" s="91"/>
      <c r="Q441" s="86"/>
      <c r="R441" s="77"/>
      <c r="S441" s="77"/>
      <c r="T441" s="68"/>
      <c r="U441" s="68"/>
      <c r="V441" s="67"/>
      <c r="W441" s="67"/>
      <c r="X441" s="67"/>
      <c r="Y441" s="67"/>
      <c r="Z441" s="67"/>
      <c r="AA441" s="67"/>
      <c r="AB441" s="67"/>
      <c r="AC441" s="67"/>
      <c r="AD441" s="67"/>
      <c r="AE441" s="67"/>
      <c r="AF441" s="67"/>
      <c r="AG441" s="67"/>
      <c r="AH441" s="67"/>
      <c r="AI441" s="67"/>
      <c r="AJ441" s="67"/>
      <c r="AK441" s="67"/>
      <c r="AL441" s="67"/>
      <c r="AM441" s="67"/>
      <c r="AN441" s="77"/>
      <c r="AO441" s="76"/>
      <c r="AP441" s="77"/>
      <c r="AQ441" s="76"/>
      <c r="AR441" s="76"/>
      <c r="AS441" s="76"/>
      <c r="AT441" s="76"/>
      <c r="AU441" s="76"/>
      <c r="AV441" s="77"/>
      <c r="AW441" s="76"/>
      <c r="AX441" s="77"/>
      <c r="AY441" s="76"/>
      <c r="AZ441" s="76"/>
      <c r="BA441" s="76"/>
      <c r="BB441" s="76"/>
      <c r="BC441" s="76"/>
      <c r="BD441" s="77"/>
      <c r="BE441" s="76"/>
      <c r="BF441" s="77"/>
      <c r="BG441" s="76"/>
      <c r="BH441" s="76"/>
      <c r="BI441" s="76"/>
      <c r="BJ441" s="76"/>
      <c r="BK441" s="76"/>
      <c r="BL441" s="77"/>
      <c r="BM441" s="76"/>
      <c r="BN441" s="77"/>
      <c r="BO441" s="76"/>
      <c r="BP441" s="76"/>
      <c r="BQ441" s="76"/>
      <c r="BR441" s="76"/>
      <c r="BS441" s="76"/>
      <c r="BT441" s="77"/>
      <c r="BU441" s="76"/>
      <c r="BV441" s="77"/>
      <c r="BW441" s="76"/>
      <c r="BX441" s="76"/>
      <c r="BY441" s="76"/>
      <c r="BZ441" s="76"/>
      <c r="CA441" s="76"/>
      <c r="CB441" s="77"/>
      <c r="CC441" s="76"/>
      <c r="CD441" s="77"/>
      <c r="CE441" s="76"/>
      <c r="CF441" s="76"/>
      <c r="CG441" s="76"/>
      <c r="CH441" s="76"/>
      <c r="CI441" s="76"/>
      <c r="CJ441" s="77"/>
      <c r="CK441" s="76"/>
      <c r="CL441" s="77"/>
      <c r="CM441" s="76"/>
      <c r="CN441" s="76"/>
      <c r="CO441" s="76"/>
      <c r="CP441" s="76"/>
      <c r="CQ441" s="76"/>
      <c r="CR441" s="78" t="str">
        <f t="shared" si="111"/>
        <v/>
      </c>
      <c r="CS441" s="79" t="str">
        <f t="shared" si="112"/>
        <v/>
      </c>
      <c r="CT441" s="79" t="str">
        <f t="shared" si="113"/>
        <v/>
      </c>
      <c r="CU441" s="79" t="str">
        <f t="shared" si="114"/>
        <v/>
      </c>
      <c r="CV441" s="79" t="str">
        <f t="shared" si="115"/>
        <v/>
      </c>
      <c r="CW441" s="79" t="str">
        <f t="shared" si="116"/>
        <v/>
      </c>
      <c r="CX441" s="79" t="str">
        <f t="shared" si="117"/>
        <v/>
      </c>
      <c r="CY441" s="79" t="str">
        <f t="shared" si="118"/>
        <v/>
      </c>
      <c r="CZ441" s="79" t="str">
        <f t="shared" si="119"/>
        <v/>
      </c>
      <c r="DA441" s="79" t="str">
        <f t="shared" si="120"/>
        <v/>
      </c>
      <c r="DB441" s="79" t="str">
        <f t="shared" si="121"/>
        <v/>
      </c>
      <c r="DC441" s="79" t="str">
        <f t="shared" si="122"/>
        <v/>
      </c>
      <c r="DD441" s="79" t="str">
        <f t="shared" si="123"/>
        <v/>
      </c>
      <c r="DE441" s="79" t="str">
        <f t="shared" si="124"/>
        <v/>
      </c>
      <c r="DF441" s="79" t="str">
        <f t="shared" si="125"/>
        <v/>
      </c>
      <c r="DG441" s="79" t="str">
        <f t="shared" si="126"/>
        <v/>
      </c>
      <c r="DH441" s="76"/>
      <c r="DI441" s="78"/>
      <c r="DJ441" s="76"/>
      <c r="DK441" s="77"/>
      <c r="DL441" s="77"/>
      <c r="DM441" s="77"/>
      <c r="DN441" s="80"/>
      <c r="DO441" s="80"/>
      <c r="DP441" s="92" t="str">
        <f>IF(Table1[Start Date]="","",IF(Table1[Start Date]&gt;42185,"",IF(AND(Table1[Leaving Date]&gt;1,Table1[Leaving Date]&lt;42095),"",1)))</f>
        <v/>
      </c>
      <c r="DQ441" s="92" t="str">
        <f>IF(Table1[Start Date]="","",IF(Table1[Start Date]&gt;42277,"",IF(AND(Table1[Leaving Date]&gt;1,Table1[Leaving Date]&lt;42186),"",1)))</f>
        <v/>
      </c>
      <c r="DR441" s="92" t="str">
        <f>IF(Table1[Start Date]="","",IF(Table1[Start Date]&gt;42369,"",IF(AND(Table1[Leaving Date]&gt;1,Table1[Leaving Date]&lt;42278),"",1)))</f>
        <v/>
      </c>
      <c r="DS441" s="92" t="str">
        <f>IF(Table1[Start Date]="","",IF(Table1[Start Date]&gt;42460,"",IF(AND(Table1[Leaving Date]&gt;1,Table1[Leaving Date]&lt;42370),"",1)))</f>
        <v/>
      </c>
      <c r="DT441" s="92" t="str">
        <f>IF(Table1[Start Date]="","",IF(Table1[Start Date]&gt;42551,"",IF(AND(Table1[Leaving Date]&gt;1,Table1[Leaving Date]&lt;42461),"",1)))</f>
        <v/>
      </c>
      <c r="DU441" s="92" t="str">
        <f>IF(Table1[Start Date]="","",IF(Table1[Start Date]&gt;42643,"",IF(AND(Table1[Leaving Date]&gt;1,Table1[Leaving Date]&lt;42552),"",1)))</f>
        <v/>
      </c>
      <c r="DV441" s="92" t="str">
        <f>IF(Table1[Start Date]="","",IF(Table1[Start Date]&gt;42735,"",IF(AND(Table1[Leaving Date]&gt;1,Table1[Leaving Date]&lt;42644),"",1)))</f>
        <v/>
      </c>
      <c r="DW441" s="92" t="str">
        <f>IF(Table1[Start Date]="","",IF(Table1[Start Date]&gt;42825,"",IF(AND(Table1[Leaving Date]&gt;1,Table1[Leaving Date]&lt;42736),"",1)))</f>
        <v/>
      </c>
      <c r="DX441"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441" s="44" t="e">
        <f>VLOOKUP(Table1[Referral Source],Lists!$G$2:$H$20,2,FALSE)</f>
        <v>#N/A</v>
      </c>
      <c r="DZ441" s="93" t="e">
        <f>SUM(Table1[Data Referral Quarter]+Table1[Data Referral Source])</f>
        <v>#N/A</v>
      </c>
      <c r="EA441" s="44" t="b">
        <f>IF(Table1[Referral Decision]="Accepted",100,IF(Table1[Referral Decision]="Rejected by Provider",200,IF(Table1[Referral Decision]="Rejected by Applicant",300)))</f>
        <v>0</v>
      </c>
      <c r="EB441" s="44">
        <f>SUM(Table1[Data Referral Quarter]+Table1[Data Referral Decision])</f>
        <v>0</v>
      </c>
      <c r="EC441" s="44" t="b">
        <f>IF(Table1[Start Date]&gt;42735,8000,IF(Table1[Start Date]&gt;42643,7000,IF(Table1[Start Date]&gt;42551,6000,IF(Table1[Start Date]&gt;42460,5000,IF(Table1[Start Date]&gt;42369,4000,IF(Table1[Start Date]&gt;42277,3000,IF(Table1[Start Date]&gt;42185,2000,IF(Table1[Start Date]&gt;42094,1000))))))))</f>
        <v>0</v>
      </c>
      <c r="ED441" s="44" t="str">
        <f>IF(Table1[Start Date]="","",IF(Table1[Current Local Authority]="Swindon",1,"2"))</f>
        <v/>
      </c>
      <c r="EE441" s="44" t="e">
        <f>SUM(Table1[Data Start Date]+Table1[Data Local Authority])</f>
        <v>#VALUE!</v>
      </c>
      <c r="EF441" s="44">
        <f>IF(Table1[Registered with GP]="Yes",1,0)</f>
        <v>0</v>
      </c>
      <c r="EG441" s="44">
        <f>SUM(Table1[Data Start Date]+Table1[Data GP Start])</f>
        <v>0</v>
      </c>
      <c r="EH441" s="44" t="str">
        <f>IF(Table1[EET]="NEET",1,IF(Table1[EET]="Education",2,IF(Table1[EET]="Employment",2,IF(Table1[EET]="Training",2,IF(Table1[EET]="Retired",3,"")))))</f>
        <v/>
      </c>
      <c r="EI441" s="44" t="e">
        <f>Table1[Data Start Date]+Table1[Data EET Start]</f>
        <v>#VALUE!</v>
      </c>
      <c r="EJ441" s="44" t="b">
        <f>IF(Table1[Leaving Date]&gt;42735,8000,IF(Table1[Leaving Date]&gt;42643,7000,IF(Table1[Leaving Date]&gt;42551,6000,IF(Table1[Leaving Date]&gt;42460,5000,IF(Table1[Leaving Date]&gt;42369,4000,IF(Table1[Leaving Date]&gt;42277,3000,IF(Table1[Leaving Date]&gt;42185,2000,IF(Table1[Leaving Date]&gt;42094,1000))))))))</f>
        <v>0</v>
      </c>
      <c r="EK441" s="44" t="e">
        <f>VLOOKUP(Table1[Reason for Leaving],Lists!$T$2:$U$15,2,FALSE)</f>
        <v>#N/A</v>
      </c>
      <c r="EL441" s="44" t="e">
        <f>SUM(Table1[Data Leavers Date]+Table1[Data Move On])</f>
        <v>#N/A</v>
      </c>
      <c r="EM441" s="44" t="b">
        <f>IF(Table1[Registered with GP2]="Yes",1,IF(Table1[Registered with GP2]="No",0,IF(Table1[Registered with GP]="Yes",1,IF(Table1[Registered with GP]="No",0))))</f>
        <v>0</v>
      </c>
      <c r="EN441" s="44">
        <f>SUM(Table1[Data Leavers Date]+Table1[Data GP End])</f>
        <v>0</v>
      </c>
      <c r="EO441" s="44" t="str">
        <f>IF(Table1[EET2]="NEET",1,IF(Table1[EET2]="Employment",2,IF(Table1[EET2]="Education",2,IF(Table1[EET2]="Training",2,IF(Table1[EET2]="Retired",3,IF(Table1[EET]="NEET",1,IF(Table1[EET]="Employment",2,IF(Table1[EET]="Education",2,IF(Table1[EET]="Training",2,IF(Table1[EET]="Retired",3,""))))))))))</f>
        <v/>
      </c>
      <c r="EP441" s="44" t="e">
        <f>+Table1[[#This Row],[Data Leavers Date]]+Table1[[#This Row],[Data EET End]]</f>
        <v>#VALUE!</v>
      </c>
      <c r="EQ441" s="44">
        <f>IF(Table1[Exit Form Received]="Yes",1,0)</f>
        <v>0</v>
      </c>
      <c r="ER441" s="44">
        <f>+Table1[[#This Row],[Data Leavers Date]]+Table1[[#This Row],[Data Exit Forms]]</f>
        <v>0</v>
      </c>
      <c r="ES441" s="44" t="str">
        <f>IF(Table1[Data Leavers Date]=1000,SUM(Table1[Leaving Date]-Table1[Start Date]),"")</f>
        <v/>
      </c>
      <c r="ET441" s="44" t="str">
        <f>IF(Table1[Data Leavers Date]=2000,SUM(Table1[Leaving Date]-Table1[Start Date]),"")</f>
        <v/>
      </c>
      <c r="EU441" s="44" t="str">
        <f>IF(Table1[Data Leavers Date]=3000,SUM(Table1[Leaving Date]-Table1[Start Date]),"")</f>
        <v/>
      </c>
      <c r="EV441" s="44" t="str">
        <f>IF(Table1[Data Leavers Date]=4000,SUM(Table1[Leaving Date]-Table1[Start Date]),"")</f>
        <v/>
      </c>
      <c r="EW441" s="44" t="str">
        <f>IF(Table1[Data Leavers Date]=5000,SUM(Table1[Leaving Date]-Table1[Start Date]),"")</f>
        <v/>
      </c>
      <c r="EX441" s="44" t="str">
        <f>IF(Table1[Data Leavers Date]=6000,SUM(Table1[Leaving Date]-Table1[Start Date]),"")</f>
        <v/>
      </c>
      <c r="EY441" s="44" t="str">
        <f>IF(Table1[Data Leavers Date]=7000,SUM(Table1[Leaving Date]-Table1[Start Date]),"")</f>
        <v/>
      </c>
      <c r="EZ441" s="44" t="str">
        <f>IF(Table1[Data Leavers Date]=8000,SUM(Table1[Leaving Date]-Table1[Start Date]),"")</f>
        <v/>
      </c>
      <c r="FA441" s="44" t="str">
        <f>IF(Table1[Date of Initial Assessment]="","",IF(AND(Table1[Start Date]&gt;42094,Table1[Start Date]&lt;42461),Table1[Motivation and Taking Responsibility],""))</f>
        <v/>
      </c>
      <c r="FB441" s="44" t="str">
        <f>IF(Table1[Date of Initial Assessment]="","",IF(AND(Table1[Start Date]&gt;42094,Table1[Start Date]&lt;42461),Table1[Self-Care and Living Skills],""))</f>
        <v/>
      </c>
      <c r="FC441" s="44" t="str">
        <f>IF(Table1[Date of Initial Assessment]="","",IF(AND(Table1[Start Date]&gt;42094,Table1[Start Date]&lt;42461),Table1[Managing Money and Personal Administration],""))</f>
        <v/>
      </c>
      <c r="FD441" s="44" t="str">
        <f>IF(Table1[Date of Initial Assessment]="","",IF(AND(Table1[Start Date]&gt;42094,Table1[Start Date]&lt;42461),Table1[Social Networks and Relationships],""))</f>
        <v/>
      </c>
      <c r="FE441" s="44" t="str">
        <f>IF(Table1[Date of Initial Assessment]="","",IF(AND(Table1[Start Date]&gt;42094,Table1[Start Date]&lt;42461),Table1[Drug and Alcohol Misuse],""))</f>
        <v/>
      </c>
      <c r="FF441" s="44" t="str">
        <f>IF(Table1[Date of Initial Assessment]="","",IF(AND(Table1[Start Date]&gt;42094,Table1[Start Date]&lt;42461),Table1[Physical Health],""))</f>
        <v/>
      </c>
      <c r="FG441" s="44" t="str">
        <f>IF(Table1[Date of Initial Assessment]="","",IF(AND(Table1[Start Date]&gt;42094,Table1[Start Date]&lt;42461),Table1[Emotional and Mental Health],""))</f>
        <v/>
      </c>
      <c r="FH441" s="44" t="str">
        <f>IF(Table1[Date of Initial Assessment]="","",IF(AND(Table1[Start Date]&gt;42094,Table1[Start Date]&lt;42461),Table1[Meaningful Use of Time],""))</f>
        <v/>
      </c>
      <c r="FI441" s="44" t="str">
        <f>IF(Table1[Date of Initial Assessment]="","",IF(AND(Table1[Start Date]&gt;42094,Table1[Start Date]&lt;42461),Table1[Managing Tenancy and Accommodation],""))</f>
        <v/>
      </c>
      <c r="FJ441" s="44" t="str">
        <f>IF(Table1[Date of Initial Assessment]="","",IF(AND(Table1[Start Date]&gt;42094,Table1[Start Date]&lt;42461),Table1[Offending],""))</f>
        <v/>
      </c>
      <c r="FK441" s="44" t="str">
        <f>IF(Table1[Leaving Date]="","",IF(Table1[Date of Initial Assessment]="","",IF(AND(Table1[Leaving Date]&gt;42094,Table1[Leaving Date]&lt;42461),IF(Table1[Date of Last Assessment]="",Table1[Motivation and Taking Responsibility],Table1[Motivation and Taking Responsibility2]),"")))</f>
        <v/>
      </c>
      <c r="FL441" s="44" t="str">
        <f>IF(Table1[Leaving Date]="","",IF(Table1[Date of Initial Assessment]="","",IF(AND(Table1[Leaving Date]&gt;42094,Table1[Leaving Date]&lt;42461),IF(Table1[Date of Last Assessment]="",Table1[Self-Care and Living Skills],Table1[Self-Care and Living Skills2]),"")))</f>
        <v/>
      </c>
      <c r="FM441" s="44" t="str">
        <f>IF(Table1[Leaving Date]="","",IF(Table1[Date of Initial Assessment]="","",IF(AND(Table1[Leaving Date]&gt;42094,Table1[Leaving Date]&lt;42461),IF(Table1[Date of Last Assessment]="",Table1[Managing Money and Personal Administration],Table1[Managing Money and Personal Administration2]),"")))</f>
        <v/>
      </c>
      <c r="FN441" s="44" t="str">
        <f>IF(Table1[Leaving Date]="","",IF(Table1[Date of Initial Assessment]="","",IF(AND(Table1[Leaving Date]&gt;42094,Table1[Leaving Date]&lt;42461),IF(Table1[Date of Last Assessment]="",Table1[Social Networks and Relationships],Table1[Social Networks and Relationships2]),"")))</f>
        <v/>
      </c>
      <c r="FO441" s="44" t="str">
        <f>IF(Table1[Leaving Date]="","",IF(Table1[Date of Initial Assessment]="","",IF(AND(Table1[Leaving Date]&gt;42094,Table1[Leaving Date]&lt;42461),IF(Table1[Date of Last Assessment]="",Table1[Drug and Alcohol Misuse],Table1[Drug and Alcohol Misuse2]),"")))</f>
        <v/>
      </c>
      <c r="FP441" s="44" t="str">
        <f>IF(Table1[Leaving Date]="","",IF(Table1[Date of Initial Assessment]="","",IF(AND(Table1[Leaving Date]&gt;42094,Table1[Leaving Date]&lt;42461),IF(Table1[Date of Last Assessment]="",Table1[Physical Health],Table1[Physical Health2]),"")))</f>
        <v/>
      </c>
      <c r="FQ441" s="44" t="str">
        <f>IF(Table1[Leaving Date]="","",IF(Table1[Date of Initial Assessment]="","",IF(AND(Table1[Leaving Date]&gt;42094,Table1[Leaving Date]&lt;42461),IF(Table1[Date of Last Assessment]="",Table1[Emotional and Mental Health],Table1[Emotional and Mental Health2]),"")))</f>
        <v/>
      </c>
      <c r="FR441" s="44" t="str">
        <f>IF(Table1[Leaving Date]="","",IF(Table1[Date of Initial Assessment]="","",IF(AND(Table1[Leaving Date]&gt;42094,Table1[Leaving Date]&lt;42461),IF(Table1[Date of Last Assessment]="",Table1[Meaningful Use of Time],Table1[Meaningful Use of Time2]),"")))</f>
        <v/>
      </c>
      <c r="FS441" s="44" t="str">
        <f>IF(Table1[Leaving Date]="","",IF(Table1[Date of Initial Assessment]="","",IF(AND(Table1[Leaving Date]&gt;42094,Table1[Leaving Date]&lt;42461),IF(Table1[Date of Last Assessment]="",Table1[Managing Tenancy and Accommodation],Table1[Managing Tenancy and Accommodation2]),"")))</f>
        <v/>
      </c>
      <c r="FT441" s="44" t="str">
        <f>IF(Table1[Leaving Date]="","",IF(Table1[Date of Initial Assessment]="","",IF(AND(Table1[Leaving Date]&gt;42094,Table1[Leaving Date]&lt;42461),IF(Table1[Date of Last Assessment]="",Table1[Offending],Table1[Offending2]),"")))</f>
        <v/>
      </c>
      <c r="FU441" s="44" t="str">
        <f>IF(Table1[Date of Initial Assessment]="","",IF(AND(Table1[Start Date]&gt;42460,Table1[Start Date]&lt;42826),Table1[Motivation and Taking Responsibility],""))</f>
        <v/>
      </c>
      <c r="FV441" s="44" t="str">
        <f>IF(Table1[Date of Initial Assessment]="","",IF(AND(Table1[Start Date]&gt;42460,Table1[Start Date]&lt;42826),Table1[Self-Care and Living Skills],""))</f>
        <v/>
      </c>
      <c r="FW441" s="44" t="str">
        <f>IF(Table1[Date of Initial Assessment]="","",IF(AND(Table1[Start Date]&gt;42460,Table1[Start Date]&lt;42826),Table1[Managing Money and Personal Administration],""))</f>
        <v/>
      </c>
      <c r="FX441" s="44" t="str">
        <f>IF(Table1[Date of Initial Assessment]="","",IF(AND(Table1[Start Date]&gt;42460,Table1[Start Date]&lt;42826),Table1[Social Networks and Relationships],""))</f>
        <v/>
      </c>
      <c r="FY441" s="44" t="str">
        <f>IF(Table1[Date of Initial Assessment]="","",IF(AND(Table1[Start Date]&gt;42460,Table1[Start Date]&lt;42826),Table1[Drug and Alcohol Misuse],""))</f>
        <v/>
      </c>
      <c r="FZ441" s="44" t="str">
        <f>IF(Table1[Date of Initial Assessment]="","",IF(AND(Table1[Start Date]&gt;42460,Table1[Start Date]&lt;42826),Table1[Physical Health],""))</f>
        <v/>
      </c>
      <c r="GA441" s="44" t="str">
        <f>IF(Table1[Date of Initial Assessment]="","",IF(AND(Table1[Start Date]&gt;42460,Table1[Start Date]&lt;42826),Table1[Emotional and Mental Health],""))</f>
        <v/>
      </c>
      <c r="GB441" s="44" t="str">
        <f>IF(Table1[Date of Initial Assessment]="","",IF(AND(Table1[Start Date]&gt;42460,Table1[Start Date]&lt;42826),Table1[Meaningful Use of Time],""))</f>
        <v/>
      </c>
      <c r="GC441" s="44" t="str">
        <f>IF(Table1[Date of Initial Assessment]="","",IF(AND(Table1[Start Date]&gt;42460,Table1[Start Date]&lt;42826),Table1[Managing Tenancy and Accommodation],""))</f>
        <v/>
      </c>
      <c r="GD441" s="44" t="str">
        <f>IF(Table1[Date of Initial Assessment]="","",IF(AND(Table1[Start Date]&gt;42460,Table1[Start Date]&lt;42826),Table1[Offending],""))</f>
        <v/>
      </c>
      <c r="GE441" s="44" t="str">
        <f>IF(Table1[Leaving Date]="","",IF(AND(Table1[Leaving Date]&gt;42460,Table1[Leaving Date]&lt;42826),IF(Table1[Date of Last Assessment]="",Table1[Motivation and Taking Responsibility],Table1[Motivation and Taking Responsibility2]),""))</f>
        <v/>
      </c>
      <c r="GF441" s="44" t="str">
        <f>IF(Table1[Leaving Date]="","",IF(AND(Table1[Leaving Date]&gt;42460,Table1[Leaving Date]&lt;42826),IF(Table1[Date of Last Assessment]="",Table1[Self-Care and Living Skills],Table1[Self-Care and Living Skills2]),""))</f>
        <v/>
      </c>
      <c r="GG441" s="44" t="str">
        <f>IF(Table1[Leaving Date]="","",IF(AND(Table1[Leaving Date]&gt;42460,Table1[Leaving Date]&lt;42826),IF(Table1[Date of Last Assessment]="",Table1[Managing Money and Personal Administration],Table1[Managing Money and Personal Administration2]),""))</f>
        <v/>
      </c>
      <c r="GH441" s="44" t="str">
        <f>IF(Table1[Leaving Date]="","",IF(AND(Table1[Leaving Date]&gt;42460,Table1[Leaving Date]&lt;42826),IF(Table1[Date of Last Assessment]="",Table1[Social Networks and Relationships],Table1[Social Networks and Relationships2]),""))</f>
        <v/>
      </c>
      <c r="GI441" s="44" t="str">
        <f>IF(Table1[Leaving Date]="","",IF(AND(Table1[Leaving Date]&gt;42460,Table1[Leaving Date]&lt;42826),IF(Table1[Date of Last Assessment]="",Table1[Drug and Alcohol Misuse],Table1[Drug and Alcohol Misuse2]),""))</f>
        <v/>
      </c>
      <c r="GJ441" s="44" t="str">
        <f>IF(Table1[Leaving Date]="","",IF(AND(Table1[Leaving Date]&gt;42460,Table1[Leaving Date]&lt;42826),IF(Table1[Date of Last Assessment]="",Table1[Physical Health],Table1[Physical Health2]),""))</f>
        <v/>
      </c>
      <c r="GK441" s="44" t="str">
        <f>IF(Table1[Leaving Date]="","",IF(AND(Table1[Leaving Date]&gt;42460,Table1[Leaving Date]&lt;42826),IF(Table1[Date of Last Assessment]="",Table1[Emotional and Mental Health],Table1[Emotional and Mental Health2]),""))</f>
        <v/>
      </c>
      <c r="GL441" s="44" t="str">
        <f>IF(Table1[Leaving Date]="","",IF(AND(Table1[Leaving Date]&gt;42460,Table1[Leaving Date]&lt;42826),IF(Table1[Date of Last Assessment]="",Table1[Meaningful Use of Time],Table1[Meaningful Use of Time2]),""))</f>
        <v/>
      </c>
      <c r="GM441" s="44" t="str">
        <f>IF(Table1[Leaving Date]="","",IF(AND(Table1[Leaving Date]&gt;42460,Table1[Leaving Date]&lt;42826),IF(Table1[Date of Last Assessment]="",Table1[Managing Tenancy and Accommodation],Table1[Managing Tenancy and Accommodation2]),""))</f>
        <v/>
      </c>
      <c r="GN441" s="44" t="str">
        <f>IF(Table1[Leaving Date]="","",IF(AND(Table1[Leaving Date]&gt;42460,Table1[Leaving Date]&lt;42826),IF(Table1[Date of Last Assessment]="",Table1[Offending],Table1[Offending2]),""))</f>
        <v/>
      </c>
    </row>
    <row r="442" spans="2:196" ht="20.100000000000001" customHeight="1" x14ac:dyDescent="0.2">
      <c r="B442" s="86">
        <f>+'Service Data'!$C$5:$C$5</f>
        <v>0</v>
      </c>
      <c r="C442" s="86"/>
      <c r="D442" s="86"/>
      <c r="E442" s="86"/>
      <c r="F442" s="86"/>
      <c r="G442" s="86"/>
      <c r="H442" s="6"/>
      <c r="I442" s="99" t="str">
        <f ca="1">IF(Table1[[#This Row],[Date of Birth]]="","",SUM(TODAY()-Table1[[#This Row],[Date of Birth]])/365)</f>
        <v/>
      </c>
      <c r="L442" s="86"/>
      <c r="M442" s="77"/>
      <c r="N442" s="86"/>
      <c r="O442" s="86"/>
      <c r="P442" s="91"/>
      <c r="Q442" s="86"/>
      <c r="R442" s="77"/>
      <c r="S442" s="77"/>
      <c r="T442" s="68"/>
      <c r="U442" s="68"/>
      <c r="V442" s="67"/>
      <c r="W442" s="67"/>
      <c r="X442" s="67"/>
      <c r="Y442" s="67"/>
      <c r="Z442" s="67"/>
      <c r="AA442" s="67"/>
      <c r="AB442" s="67"/>
      <c r="AC442" s="67"/>
      <c r="AD442" s="67"/>
      <c r="AE442" s="67"/>
      <c r="AF442" s="67"/>
      <c r="AG442" s="67"/>
      <c r="AH442" s="67"/>
      <c r="AI442" s="67"/>
      <c r="AJ442" s="67"/>
      <c r="AK442" s="67"/>
      <c r="AL442" s="67"/>
      <c r="AM442" s="67"/>
      <c r="AN442" s="77"/>
      <c r="AO442" s="76"/>
      <c r="AP442" s="77"/>
      <c r="AQ442" s="76"/>
      <c r="AR442" s="76"/>
      <c r="AS442" s="76"/>
      <c r="AT442" s="76"/>
      <c r="AU442" s="76"/>
      <c r="AV442" s="77"/>
      <c r="AW442" s="76"/>
      <c r="AX442" s="77"/>
      <c r="AY442" s="76"/>
      <c r="AZ442" s="76"/>
      <c r="BA442" s="76"/>
      <c r="BB442" s="76"/>
      <c r="BC442" s="76"/>
      <c r="BD442" s="77"/>
      <c r="BE442" s="76"/>
      <c r="BF442" s="77"/>
      <c r="BG442" s="76"/>
      <c r="BH442" s="76"/>
      <c r="BI442" s="76"/>
      <c r="BJ442" s="76"/>
      <c r="BK442" s="76"/>
      <c r="BL442" s="77"/>
      <c r="BM442" s="76"/>
      <c r="BN442" s="77"/>
      <c r="BO442" s="76"/>
      <c r="BP442" s="76"/>
      <c r="BQ442" s="76"/>
      <c r="BR442" s="76"/>
      <c r="BS442" s="76"/>
      <c r="BT442" s="77"/>
      <c r="BU442" s="76"/>
      <c r="BV442" s="77"/>
      <c r="BW442" s="76"/>
      <c r="BX442" s="76"/>
      <c r="BY442" s="76"/>
      <c r="BZ442" s="76"/>
      <c r="CA442" s="76"/>
      <c r="CB442" s="77"/>
      <c r="CC442" s="76"/>
      <c r="CD442" s="77"/>
      <c r="CE442" s="76"/>
      <c r="CF442" s="76"/>
      <c r="CG442" s="76"/>
      <c r="CH442" s="76"/>
      <c r="CI442" s="76"/>
      <c r="CJ442" s="77"/>
      <c r="CK442" s="76"/>
      <c r="CL442" s="77"/>
      <c r="CM442" s="76"/>
      <c r="CN442" s="76"/>
      <c r="CO442" s="76"/>
      <c r="CP442" s="76"/>
      <c r="CQ442" s="76"/>
      <c r="CR442" s="78" t="str">
        <f t="shared" si="111"/>
        <v/>
      </c>
      <c r="CS442" s="79" t="str">
        <f t="shared" si="112"/>
        <v/>
      </c>
      <c r="CT442" s="79" t="str">
        <f t="shared" si="113"/>
        <v/>
      </c>
      <c r="CU442" s="79" t="str">
        <f t="shared" si="114"/>
        <v/>
      </c>
      <c r="CV442" s="79" t="str">
        <f t="shared" si="115"/>
        <v/>
      </c>
      <c r="CW442" s="79" t="str">
        <f t="shared" si="116"/>
        <v/>
      </c>
      <c r="CX442" s="79" t="str">
        <f t="shared" si="117"/>
        <v/>
      </c>
      <c r="CY442" s="79" t="str">
        <f t="shared" si="118"/>
        <v/>
      </c>
      <c r="CZ442" s="79" t="str">
        <f t="shared" si="119"/>
        <v/>
      </c>
      <c r="DA442" s="79" t="str">
        <f t="shared" si="120"/>
        <v/>
      </c>
      <c r="DB442" s="79" t="str">
        <f t="shared" si="121"/>
        <v/>
      </c>
      <c r="DC442" s="79" t="str">
        <f t="shared" si="122"/>
        <v/>
      </c>
      <c r="DD442" s="79" t="str">
        <f t="shared" si="123"/>
        <v/>
      </c>
      <c r="DE442" s="79" t="str">
        <f t="shared" si="124"/>
        <v/>
      </c>
      <c r="DF442" s="79" t="str">
        <f t="shared" si="125"/>
        <v/>
      </c>
      <c r="DG442" s="79" t="str">
        <f t="shared" si="126"/>
        <v/>
      </c>
      <c r="DH442" s="76"/>
      <c r="DI442" s="78"/>
      <c r="DJ442" s="76"/>
      <c r="DK442" s="77"/>
      <c r="DL442" s="77"/>
      <c r="DM442" s="77"/>
      <c r="DN442" s="80"/>
      <c r="DO442" s="80"/>
      <c r="DP442" s="92" t="str">
        <f>IF(Table1[Start Date]="","",IF(Table1[Start Date]&gt;42185,"",IF(AND(Table1[Leaving Date]&gt;1,Table1[Leaving Date]&lt;42095),"",1)))</f>
        <v/>
      </c>
      <c r="DQ442" s="92" t="str">
        <f>IF(Table1[Start Date]="","",IF(Table1[Start Date]&gt;42277,"",IF(AND(Table1[Leaving Date]&gt;1,Table1[Leaving Date]&lt;42186),"",1)))</f>
        <v/>
      </c>
      <c r="DR442" s="92" t="str">
        <f>IF(Table1[Start Date]="","",IF(Table1[Start Date]&gt;42369,"",IF(AND(Table1[Leaving Date]&gt;1,Table1[Leaving Date]&lt;42278),"",1)))</f>
        <v/>
      </c>
      <c r="DS442" s="92" t="str">
        <f>IF(Table1[Start Date]="","",IF(Table1[Start Date]&gt;42460,"",IF(AND(Table1[Leaving Date]&gt;1,Table1[Leaving Date]&lt;42370),"",1)))</f>
        <v/>
      </c>
      <c r="DT442" s="92" t="str">
        <f>IF(Table1[Start Date]="","",IF(Table1[Start Date]&gt;42551,"",IF(AND(Table1[Leaving Date]&gt;1,Table1[Leaving Date]&lt;42461),"",1)))</f>
        <v/>
      </c>
      <c r="DU442" s="92" t="str">
        <f>IF(Table1[Start Date]="","",IF(Table1[Start Date]&gt;42643,"",IF(AND(Table1[Leaving Date]&gt;1,Table1[Leaving Date]&lt;42552),"",1)))</f>
        <v/>
      </c>
      <c r="DV442" s="92" t="str">
        <f>IF(Table1[Start Date]="","",IF(Table1[Start Date]&gt;42735,"",IF(AND(Table1[Leaving Date]&gt;1,Table1[Leaving Date]&lt;42644),"",1)))</f>
        <v/>
      </c>
      <c r="DW442" s="92" t="str">
        <f>IF(Table1[Start Date]="","",IF(Table1[Start Date]&gt;42825,"",IF(AND(Table1[Leaving Date]&gt;1,Table1[Leaving Date]&lt;42736),"",1)))</f>
        <v/>
      </c>
      <c r="DX442"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442" s="44" t="e">
        <f>VLOOKUP(Table1[Referral Source],Lists!$G$2:$H$20,2,FALSE)</f>
        <v>#N/A</v>
      </c>
      <c r="DZ442" s="93" t="e">
        <f>SUM(Table1[Data Referral Quarter]+Table1[Data Referral Source])</f>
        <v>#N/A</v>
      </c>
      <c r="EA442" s="44" t="b">
        <f>IF(Table1[Referral Decision]="Accepted",100,IF(Table1[Referral Decision]="Rejected by Provider",200,IF(Table1[Referral Decision]="Rejected by Applicant",300)))</f>
        <v>0</v>
      </c>
      <c r="EB442" s="44">
        <f>SUM(Table1[Data Referral Quarter]+Table1[Data Referral Decision])</f>
        <v>0</v>
      </c>
      <c r="EC442" s="44" t="b">
        <f>IF(Table1[Start Date]&gt;42735,8000,IF(Table1[Start Date]&gt;42643,7000,IF(Table1[Start Date]&gt;42551,6000,IF(Table1[Start Date]&gt;42460,5000,IF(Table1[Start Date]&gt;42369,4000,IF(Table1[Start Date]&gt;42277,3000,IF(Table1[Start Date]&gt;42185,2000,IF(Table1[Start Date]&gt;42094,1000))))))))</f>
        <v>0</v>
      </c>
      <c r="ED442" s="44" t="str">
        <f>IF(Table1[Start Date]="","",IF(Table1[Current Local Authority]="Swindon",1,"2"))</f>
        <v/>
      </c>
      <c r="EE442" s="44" t="e">
        <f>SUM(Table1[Data Start Date]+Table1[Data Local Authority])</f>
        <v>#VALUE!</v>
      </c>
      <c r="EF442" s="44">
        <f>IF(Table1[Registered with GP]="Yes",1,0)</f>
        <v>0</v>
      </c>
      <c r="EG442" s="44">
        <f>SUM(Table1[Data Start Date]+Table1[Data GP Start])</f>
        <v>0</v>
      </c>
      <c r="EH442" s="44" t="str">
        <f>IF(Table1[EET]="NEET",1,IF(Table1[EET]="Education",2,IF(Table1[EET]="Employment",2,IF(Table1[EET]="Training",2,IF(Table1[EET]="Retired",3,"")))))</f>
        <v/>
      </c>
      <c r="EI442" s="44" t="e">
        <f>Table1[Data Start Date]+Table1[Data EET Start]</f>
        <v>#VALUE!</v>
      </c>
      <c r="EJ442" s="44" t="b">
        <f>IF(Table1[Leaving Date]&gt;42735,8000,IF(Table1[Leaving Date]&gt;42643,7000,IF(Table1[Leaving Date]&gt;42551,6000,IF(Table1[Leaving Date]&gt;42460,5000,IF(Table1[Leaving Date]&gt;42369,4000,IF(Table1[Leaving Date]&gt;42277,3000,IF(Table1[Leaving Date]&gt;42185,2000,IF(Table1[Leaving Date]&gt;42094,1000))))))))</f>
        <v>0</v>
      </c>
      <c r="EK442" s="44" t="e">
        <f>VLOOKUP(Table1[Reason for Leaving],Lists!$T$2:$U$15,2,FALSE)</f>
        <v>#N/A</v>
      </c>
      <c r="EL442" s="44" t="e">
        <f>SUM(Table1[Data Leavers Date]+Table1[Data Move On])</f>
        <v>#N/A</v>
      </c>
      <c r="EM442" s="44" t="b">
        <f>IF(Table1[Registered with GP2]="Yes",1,IF(Table1[Registered with GP2]="No",0,IF(Table1[Registered with GP]="Yes",1,IF(Table1[Registered with GP]="No",0))))</f>
        <v>0</v>
      </c>
      <c r="EN442" s="44">
        <f>SUM(Table1[Data Leavers Date]+Table1[Data GP End])</f>
        <v>0</v>
      </c>
      <c r="EO442" s="44" t="str">
        <f>IF(Table1[EET2]="NEET",1,IF(Table1[EET2]="Employment",2,IF(Table1[EET2]="Education",2,IF(Table1[EET2]="Training",2,IF(Table1[EET2]="Retired",3,IF(Table1[EET]="NEET",1,IF(Table1[EET]="Employment",2,IF(Table1[EET]="Education",2,IF(Table1[EET]="Training",2,IF(Table1[EET]="Retired",3,""))))))))))</f>
        <v/>
      </c>
      <c r="EP442" s="44" t="e">
        <f>+Table1[[#This Row],[Data Leavers Date]]+Table1[[#This Row],[Data EET End]]</f>
        <v>#VALUE!</v>
      </c>
      <c r="EQ442" s="44">
        <f>IF(Table1[Exit Form Received]="Yes",1,0)</f>
        <v>0</v>
      </c>
      <c r="ER442" s="44">
        <f>+Table1[[#This Row],[Data Leavers Date]]+Table1[[#This Row],[Data Exit Forms]]</f>
        <v>0</v>
      </c>
      <c r="ES442" s="44" t="str">
        <f>IF(Table1[Data Leavers Date]=1000,SUM(Table1[Leaving Date]-Table1[Start Date]),"")</f>
        <v/>
      </c>
      <c r="ET442" s="44" t="str">
        <f>IF(Table1[Data Leavers Date]=2000,SUM(Table1[Leaving Date]-Table1[Start Date]),"")</f>
        <v/>
      </c>
      <c r="EU442" s="44" t="str">
        <f>IF(Table1[Data Leavers Date]=3000,SUM(Table1[Leaving Date]-Table1[Start Date]),"")</f>
        <v/>
      </c>
      <c r="EV442" s="44" t="str">
        <f>IF(Table1[Data Leavers Date]=4000,SUM(Table1[Leaving Date]-Table1[Start Date]),"")</f>
        <v/>
      </c>
      <c r="EW442" s="44" t="str">
        <f>IF(Table1[Data Leavers Date]=5000,SUM(Table1[Leaving Date]-Table1[Start Date]),"")</f>
        <v/>
      </c>
      <c r="EX442" s="44" t="str">
        <f>IF(Table1[Data Leavers Date]=6000,SUM(Table1[Leaving Date]-Table1[Start Date]),"")</f>
        <v/>
      </c>
      <c r="EY442" s="44" t="str">
        <f>IF(Table1[Data Leavers Date]=7000,SUM(Table1[Leaving Date]-Table1[Start Date]),"")</f>
        <v/>
      </c>
      <c r="EZ442" s="44" t="str">
        <f>IF(Table1[Data Leavers Date]=8000,SUM(Table1[Leaving Date]-Table1[Start Date]),"")</f>
        <v/>
      </c>
      <c r="FA442" s="44" t="str">
        <f>IF(Table1[Date of Initial Assessment]="","",IF(AND(Table1[Start Date]&gt;42094,Table1[Start Date]&lt;42461),Table1[Motivation and Taking Responsibility],""))</f>
        <v/>
      </c>
      <c r="FB442" s="44" t="str">
        <f>IF(Table1[Date of Initial Assessment]="","",IF(AND(Table1[Start Date]&gt;42094,Table1[Start Date]&lt;42461),Table1[Self-Care and Living Skills],""))</f>
        <v/>
      </c>
      <c r="FC442" s="44" t="str">
        <f>IF(Table1[Date of Initial Assessment]="","",IF(AND(Table1[Start Date]&gt;42094,Table1[Start Date]&lt;42461),Table1[Managing Money and Personal Administration],""))</f>
        <v/>
      </c>
      <c r="FD442" s="44" t="str">
        <f>IF(Table1[Date of Initial Assessment]="","",IF(AND(Table1[Start Date]&gt;42094,Table1[Start Date]&lt;42461),Table1[Social Networks and Relationships],""))</f>
        <v/>
      </c>
      <c r="FE442" s="44" t="str">
        <f>IF(Table1[Date of Initial Assessment]="","",IF(AND(Table1[Start Date]&gt;42094,Table1[Start Date]&lt;42461),Table1[Drug and Alcohol Misuse],""))</f>
        <v/>
      </c>
      <c r="FF442" s="44" t="str">
        <f>IF(Table1[Date of Initial Assessment]="","",IF(AND(Table1[Start Date]&gt;42094,Table1[Start Date]&lt;42461),Table1[Physical Health],""))</f>
        <v/>
      </c>
      <c r="FG442" s="44" t="str">
        <f>IF(Table1[Date of Initial Assessment]="","",IF(AND(Table1[Start Date]&gt;42094,Table1[Start Date]&lt;42461),Table1[Emotional and Mental Health],""))</f>
        <v/>
      </c>
      <c r="FH442" s="44" t="str">
        <f>IF(Table1[Date of Initial Assessment]="","",IF(AND(Table1[Start Date]&gt;42094,Table1[Start Date]&lt;42461),Table1[Meaningful Use of Time],""))</f>
        <v/>
      </c>
      <c r="FI442" s="44" t="str">
        <f>IF(Table1[Date of Initial Assessment]="","",IF(AND(Table1[Start Date]&gt;42094,Table1[Start Date]&lt;42461),Table1[Managing Tenancy and Accommodation],""))</f>
        <v/>
      </c>
      <c r="FJ442" s="44" t="str">
        <f>IF(Table1[Date of Initial Assessment]="","",IF(AND(Table1[Start Date]&gt;42094,Table1[Start Date]&lt;42461),Table1[Offending],""))</f>
        <v/>
      </c>
      <c r="FK442" s="44" t="str">
        <f>IF(Table1[Leaving Date]="","",IF(Table1[Date of Initial Assessment]="","",IF(AND(Table1[Leaving Date]&gt;42094,Table1[Leaving Date]&lt;42461),IF(Table1[Date of Last Assessment]="",Table1[Motivation and Taking Responsibility],Table1[Motivation and Taking Responsibility2]),"")))</f>
        <v/>
      </c>
      <c r="FL442" s="44" t="str">
        <f>IF(Table1[Leaving Date]="","",IF(Table1[Date of Initial Assessment]="","",IF(AND(Table1[Leaving Date]&gt;42094,Table1[Leaving Date]&lt;42461),IF(Table1[Date of Last Assessment]="",Table1[Self-Care and Living Skills],Table1[Self-Care and Living Skills2]),"")))</f>
        <v/>
      </c>
      <c r="FM442" s="44" t="str">
        <f>IF(Table1[Leaving Date]="","",IF(Table1[Date of Initial Assessment]="","",IF(AND(Table1[Leaving Date]&gt;42094,Table1[Leaving Date]&lt;42461),IF(Table1[Date of Last Assessment]="",Table1[Managing Money and Personal Administration],Table1[Managing Money and Personal Administration2]),"")))</f>
        <v/>
      </c>
      <c r="FN442" s="44" t="str">
        <f>IF(Table1[Leaving Date]="","",IF(Table1[Date of Initial Assessment]="","",IF(AND(Table1[Leaving Date]&gt;42094,Table1[Leaving Date]&lt;42461),IF(Table1[Date of Last Assessment]="",Table1[Social Networks and Relationships],Table1[Social Networks and Relationships2]),"")))</f>
        <v/>
      </c>
      <c r="FO442" s="44" t="str">
        <f>IF(Table1[Leaving Date]="","",IF(Table1[Date of Initial Assessment]="","",IF(AND(Table1[Leaving Date]&gt;42094,Table1[Leaving Date]&lt;42461),IF(Table1[Date of Last Assessment]="",Table1[Drug and Alcohol Misuse],Table1[Drug and Alcohol Misuse2]),"")))</f>
        <v/>
      </c>
      <c r="FP442" s="44" t="str">
        <f>IF(Table1[Leaving Date]="","",IF(Table1[Date of Initial Assessment]="","",IF(AND(Table1[Leaving Date]&gt;42094,Table1[Leaving Date]&lt;42461),IF(Table1[Date of Last Assessment]="",Table1[Physical Health],Table1[Physical Health2]),"")))</f>
        <v/>
      </c>
      <c r="FQ442" s="44" t="str">
        <f>IF(Table1[Leaving Date]="","",IF(Table1[Date of Initial Assessment]="","",IF(AND(Table1[Leaving Date]&gt;42094,Table1[Leaving Date]&lt;42461),IF(Table1[Date of Last Assessment]="",Table1[Emotional and Mental Health],Table1[Emotional and Mental Health2]),"")))</f>
        <v/>
      </c>
      <c r="FR442" s="44" t="str">
        <f>IF(Table1[Leaving Date]="","",IF(Table1[Date of Initial Assessment]="","",IF(AND(Table1[Leaving Date]&gt;42094,Table1[Leaving Date]&lt;42461),IF(Table1[Date of Last Assessment]="",Table1[Meaningful Use of Time],Table1[Meaningful Use of Time2]),"")))</f>
        <v/>
      </c>
      <c r="FS442" s="44" t="str">
        <f>IF(Table1[Leaving Date]="","",IF(Table1[Date of Initial Assessment]="","",IF(AND(Table1[Leaving Date]&gt;42094,Table1[Leaving Date]&lt;42461),IF(Table1[Date of Last Assessment]="",Table1[Managing Tenancy and Accommodation],Table1[Managing Tenancy and Accommodation2]),"")))</f>
        <v/>
      </c>
      <c r="FT442" s="44" t="str">
        <f>IF(Table1[Leaving Date]="","",IF(Table1[Date of Initial Assessment]="","",IF(AND(Table1[Leaving Date]&gt;42094,Table1[Leaving Date]&lt;42461),IF(Table1[Date of Last Assessment]="",Table1[Offending],Table1[Offending2]),"")))</f>
        <v/>
      </c>
      <c r="FU442" s="44" t="str">
        <f>IF(Table1[Date of Initial Assessment]="","",IF(AND(Table1[Start Date]&gt;42460,Table1[Start Date]&lt;42826),Table1[Motivation and Taking Responsibility],""))</f>
        <v/>
      </c>
      <c r="FV442" s="44" t="str">
        <f>IF(Table1[Date of Initial Assessment]="","",IF(AND(Table1[Start Date]&gt;42460,Table1[Start Date]&lt;42826),Table1[Self-Care and Living Skills],""))</f>
        <v/>
      </c>
      <c r="FW442" s="44" t="str">
        <f>IF(Table1[Date of Initial Assessment]="","",IF(AND(Table1[Start Date]&gt;42460,Table1[Start Date]&lt;42826),Table1[Managing Money and Personal Administration],""))</f>
        <v/>
      </c>
      <c r="FX442" s="44" t="str">
        <f>IF(Table1[Date of Initial Assessment]="","",IF(AND(Table1[Start Date]&gt;42460,Table1[Start Date]&lt;42826),Table1[Social Networks and Relationships],""))</f>
        <v/>
      </c>
      <c r="FY442" s="44" t="str">
        <f>IF(Table1[Date of Initial Assessment]="","",IF(AND(Table1[Start Date]&gt;42460,Table1[Start Date]&lt;42826),Table1[Drug and Alcohol Misuse],""))</f>
        <v/>
      </c>
      <c r="FZ442" s="44" t="str">
        <f>IF(Table1[Date of Initial Assessment]="","",IF(AND(Table1[Start Date]&gt;42460,Table1[Start Date]&lt;42826),Table1[Physical Health],""))</f>
        <v/>
      </c>
      <c r="GA442" s="44" t="str">
        <f>IF(Table1[Date of Initial Assessment]="","",IF(AND(Table1[Start Date]&gt;42460,Table1[Start Date]&lt;42826),Table1[Emotional and Mental Health],""))</f>
        <v/>
      </c>
      <c r="GB442" s="44" t="str">
        <f>IF(Table1[Date of Initial Assessment]="","",IF(AND(Table1[Start Date]&gt;42460,Table1[Start Date]&lt;42826),Table1[Meaningful Use of Time],""))</f>
        <v/>
      </c>
      <c r="GC442" s="44" t="str">
        <f>IF(Table1[Date of Initial Assessment]="","",IF(AND(Table1[Start Date]&gt;42460,Table1[Start Date]&lt;42826),Table1[Managing Tenancy and Accommodation],""))</f>
        <v/>
      </c>
      <c r="GD442" s="44" t="str">
        <f>IF(Table1[Date of Initial Assessment]="","",IF(AND(Table1[Start Date]&gt;42460,Table1[Start Date]&lt;42826),Table1[Offending],""))</f>
        <v/>
      </c>
      <c r="GE442" s="44" t="str">
        <f>IF(Table1[Leaving Date]="","",IF(AND(Table1[Leaving Date]&gt;42460,Table1[Leaving Date]&lt;42826),IF(Table1[Date of Last Assessment]="",Table1[Motivation and Taking Responsibility],Table1[Motivation and Taking Responsibility2]),""))</f>
        <v/>
      </c>
      <c r="GF442" s="44" t="str">
        <f>IF(Table1[Leaving Date]="","",IF(AND(Table1[Leaving Date]&gt;42460,Table1[Leaving Date]&lt;42826),IF(Table1[Date of Last Assessment]="",Table1[Self-Care and Living Skills],Table1[Self-Care and Living Skills2]),""))</f>
        <v/>
      </c>
      <c r="GG442" s="44" t="str">
        <f>IF(Table1[Leaving Date]="","",IF(AND(Table1[Leaving Date]&gt;42460,Table1[Leaving Date]&lt;42826),IF(Table1[Date of Last Assessment]="",Table1[Managing Money and Personal Administration],Table1[Managing Money and Personal Administration2]),""))</f>
        <v/>
      </c>
      <c r="GH442" s="44" t="str">
        <f>IF(Table1[Leaving Date]="","",IF(AND(Table1[Leaving Date]&gt;42460,Table1[Leaving Date]&lt;42826),IF(Table1[Date of Last Assessment]="",Table1[Social Networks and Relationships],Table1[Social Networks and Relationships2]),""))</f>
        <v/>
      </c>
      <c r="GI442" s="44" t="str">
        <f>IF(Table1[Leaving Date]="","",IF(AND(Table1[Leaving Date]&gt;42460,Table1[Leaving Date]&lt;42826),IF(Table1[Date of Last Assessment]="",Table1[Drug and Alcohol Misuse],Table1[Drug and Alcohol Misuse2]),""))</f>
        <v/>
      </c>
      <c r="GJ442" s="44" t="str">
        <f>IF(Table1[Leaving Date]="","",IF(AND(Table1[Leaving Date]&gt;42460,Table1[Leaving Date]&lt;42826),IF(Table1[Date of Last Assessment]="",Table1[Physical Health],Table1[Physical Health2]),""))</f>
        <v/>
      </c>
      <c r="GK442" s="44" t="str">
        <f>IF(Table1[Leaving Date]="","",IF(AND(Table1[Leaving Date]&gt;42460,Table1[Leaving Date]&lt;42826),IF(Table1[Date of Last Assessment]="",Table1[Emotional and Mental Health],Table1[Emotional and Mental Health2]),""))</f>
        <v/>
      </c>
      <c r="GL442" s="44" t="str">
        <f>IF(Table1[Leaving Date]="","",IF(AND(Table1[Leaving Date]&gt;42460,Table1[Leaving Date]&lt;42826),IF(Table1[Date of Last Assessment]="",Table1[Meaningful Use of Time],Table1[Meaningful Use of Time2]),""))</f>
        <v/>
      </c>
      <c r="GM442" s="44" t="str">
        <f>IF(Table1[Leaving Date]="","",IF(AND(Table1[Leaving Date]&gt;42460,Table1[Leaving Date]&lt;42826),IF(Table1[Date of Last Assessment]="",Table1[Managing Tenancy and Accommodation],Table1[Managing Tenancy and Accommodation2]),""))</f>
        <v/>
      </c>
      <c r="GN442" s="44" t="str">
        <f>IF(Table1[Leaving Date]="","",IF(AND(Table1[Leaving Date]&gt;42460,Table1[Leaving Date]&lt;42826),IF(Table1[Date of Last Assessment]="",Table1[Offending],Table1[Offending2]),""))</f>
        <v/>
      </c>
    </row>
    <row r="443" spans="2:196" ht="20.100000000000001" customHeight="1" x14ac:dyDescent="0.2">
      <c r="B443" s="86">
        <f>+'Service Data'!$C$5:$C$5</f>
        <v>0</v>
      </c>
      <c r="C443" s="86"/>
      <c r="D443" s="86"/>
      <c r="E443" s="86"/>
      <c r="F443" s="86"/>
      <c r="G443" s="86"/>
      <c r="H443" s="6"/>
      <c r="I443" s="99" t="str">
        <f ca="1">IF(Table1[[#This Row],[Date of Birth]]="","",SUM(TODAY()-Table1[[#This Row],[Date of Birth]])/365)</f>
        <v/>
      </c>
      <c r="L443" s="86"/>
      <c r="M443" s="77"/>
      <c r="N443" s="86"/>
      <c r="O443" s="86"/>
      <c r="P443" s="91"/>
      <c r="Q443" s="86"/>
      <c r="R443" s="77"/>
      <c r="S443" s="77"/>
      <c r="T443" s="68"/>
      <c r="U443" s="68"/>
      <c r="V443" s="67"/>
      <c r="W443" s="67"/>
      <c r="X443" s="67"/>
      <c r="Y443" s="67"/>
      <c r="Z443" s="67"/>
      <c r="AA443" s="67"/>
      <c r="AB443" s="67"/>
      <c r="AC443" s="67"/>
      <c r="AD443" s="67"/>
      <c r="AE443" s="67"/>
      <c r="AF443" s="67"/>
      <c r="AG443" s="67"/>
      <c r="AH443" s="67"/>
      <c r="AI443" s="67"/>
      <c r="AJ443" s="67"/>
      <c r="AK443" s="67"/>
      <c r="AL443" s="67"/>
      <c r="AM443" s="67"/>
      <c r="AN443" s="77"/>
      <c r="AO443" s="76"/>
      <c r="AP443" s="77"/>
      <c r="AQ443" s="76"/>
      <c r="AR443" s="76"/>
      <c r="AS443" s="76"/>
      <c r="AT443" s="76"/>
      <c r="AU443" s="76"/>
      <c r="AV443" s="77"/>
      <c r="AW443" s="76"/>
      <c r="AX443" s="77"/>
      <c r="AY443" s="76"/>
      <c r="AZ443" s="76"/>
      <c r="BA443" s="76"/>
      <c r="BB443" s="76"/>
      <c r="BC443" s="76"/>
      <c r="BD443" s="77"/>
      <c r="BE443" s="76"/>
      <c r="BF443" s="77"/>
      <c r="BG443" s="76"/>
      <c r="BH443" s="76"/>
      <c r="BI443" s="76"/>
      <c r="BJ443" s="76"/>
      <c r="BK443" s="76"/>
      <c r="BL443" s="77"/>
      <c r="BM443" s="76"/>
      <c r="BN443" s="77"/>
      <c r="BO443" s="76"/>
      <c r="BP443" s="76"/>
      <c r="BQ443" s="76"/>
      <c r="BR443" s="76"/>
      <c r="BS443" s="76"/>
      <c r="BT443" s="77"/>
      <c r="BU443" s="76"/>
      <c r="BV443" s="77"/>
      <c r="BW443" s="76"/>
      <c r="BX443" s="76"/>
      <c r="BY443" s="76"/>
      <c r="BZ443" s="76"/>
      <c r="CA443" s="76"/>
      <c r="CB443" s="77"/>
      <c r="CC443" s="76"/>
      <c r="CD443" s="77"/>
      <c r="CE443" s="76"/>
      <c r="CF443" s="76"/>
      <c r="CG443" s="76"/>
      <c r="CH443" s="76"/>
      <c r="CI443" s="76"/>
      <c r="CJ443" s="77"/>
      <c r="CK443" s="76"/>
      <c r="CL443" s="77"/>
      <c r="CM443" s="76"/>
      <c r="CN443" s="76"/>
      <c r="CO443" s="76"/>
      <c r="CP443" s="76"/>
      <c r="CQ443" s="76"/>
      <c r="CR443" s="78" t="str">
        <f t="shared" si="111"/>
        <v/>
      </c>
      <c r="CS443" s="79" t="str">
        <f t="shared" si="112"/>
        <v/>
      </c>
      <c r="CT443" s="79" t="str">
        <f t="shared" si="113"/>
        <v/>
      </c>
      <c r="CU443" s="79" t="str">
        <f t="shared" si="114"/>
        <v/>
      </c>
      <c r="CV443" s="79" t="str">
        <f t="shared" si="115"/>
        <v/>
      </c>
      <c r="CW443" s="79" t="str">
        <f t="shared" si="116"/>
        <v/>
      </c>
      <c r="CX443" s="79" t="str">
        <f t="shared" si="117"/>
        <v/>
      </c>
      <c r="CY443" s="79" t="str">
        <f t="shared" si="118"/>
        <v/>
      </c>
      <c r="CZ443" s="79" t="str">
        <f t="shared" si="119"/>
        <v/>
      </c>
      <c r="DA443" s="79" t="str">
        <f t="shared" si="120"/>
        <v/>
      </c>
      <c r="DB443" s="79" t="str">
        <f t="shared" si="121"/>
        <v/>
      </c>
      <c r="DC443" s="79" t="str">
        <f t="shared" si="122"/>
        <v/>
      </c>
      <c r="DD443" s="79" t="str">
        <f t="shared" si="123"/>
        <v/>
      </c>
      <c r="DE443" s="79" t="str">
        <f t="shared" si="124"/>
        <v/>
      </c>
      <c r="DF443" s="79" t="str">
        <f t="shared" si="125"/>
        <v/>
      </c>
      <c r="DG443" s="79" t="str">
        <f t="shared" si="126"/>
        <v/>
      </c>
      <c r="DH443" s="76"/>
      <c r="DI443" s="78"/>
      <c r="DJ443" s="76"/>
      <c r="DK443" s="77"/>
      <c r="DL443" s="77"/>
      <c r="DM443" s="77"/>
      <c r="DN443" s="80"/>
      <c r="DO443" s="80"/>
      <c r="DP443" s="92" t="str">
        <f>IF(Table1[Start Date]="","",IF(Table1[Start Date]&gt;42185,"",IF(AND(Table1[Leaving Date]&gt;1,Table1[Leaving Date]&lt;42095),"",1)))</f>
        <v/>
      </c>
      <c r="DQ443" s="92" t="str">
        <f>IF(Table1[Start Date]="","",IF(Table1[Start Date]&gt;42277,"",IF(AND(Table1[Leaving Date]&gt;1,Table1[Leaving Date]&lt;42186),"",1)))</f>
        <v/>
      </c>
      <c r="DR443" s="92" t="str">
        <f>IF(Table1[Start Date]="","",IF(Table1[Start Date]&gt;42369,"",IF(AND(Table1[Leaving Date]&gt;1,Table1[Leaving Date]&lt;42278),"",1)))</f>
        <v/>
      </c>
      <c r="DS443" s="92" t="str">
        <f>IF(Table1[Start Date]="","",IF(Table1[Start Date]&gt;42460,"",IF(AND(Table1[Leaving Date]&gt;1,Table1[Leaving Date]&lt;42370),"",1)))</f>
        <v/>
      </c>
      <c r="DT443" s="92" t="str">
        <f>IF(Table1[Start Date]="","",IF(Table1[Start Date]&gt;42551,"",IF(AND(Table1[Leaving Date]&gt;1,Table1[Leaving Date]&lt;42461),"",1)))</f>
        <v/>
      </c>
      <c r="DU443" s="92" t="str">
        <f>IF(Table1[Start Date]="","",IF(Table1[Start Date]&gt;42643,"",IF(AND(Table1[Leaving Date]&gt;1,Table1[Leaving Date]&lt;42552),"",1)))</f>
        <v/>
      </c>
      <c r="DV443" s="92" t="str">
        <f>IF(Table1[Start Date]="","",IF(Table1[Start Date]&gt;42735,"",IF(AND(Table1[Leaving Date]&gt;1,Table1[Leaving Date]&lt;42644),"",1)))</f>
        <v/>
      </c>
      <c r="DW443" s="92" t="str">
        <f>IF(Table1[Start Date]="","",IF(Table1[Start Date]&gt;42825,"",IF(AND(Table1[Leaving Date]&gt;1,Table1[Leaving Date]&lt;42736),"",1)))</f>
        <v/>
      </c>
      <c r="DX443"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443" s="44" t="e">
        <f>VLOOKUP(Table1[Referral Source],Lists!$G$2:$H$20,2,FALSE)</f>
        <v>#N/A</v>
      </c>
      <c r="DZ443" s="93" t="e">
        <f>SUM(Table1[Data Referral Quarter]+Table1[Data Referral Source])</f>
        <v>#N/A</v>
      </c>
      <c r="EA443" s="44" t="b">
        <f>IF(Table1[Referral Decision]="Accepted",100,IF(Table1[Referral Decision]="Rejected by Provider",200,IF(Table1[Referral Decision]="Rejected by Applicant",300)))</f>
        <v>0</v>
      </c>
      <c r="EB443" s="44">
        <f>SUM(Table1[Data Referral Quarter]+Table1[Data Referral Decision])</f>
        <v>0</v>
      </c>
      <c r="EC443" s="44" t="b">
        <f>IF(Table1[Start Date]&gt;42735,8000,IF(Table1[Start Date]&gt;42643,7000,IF(Table1[Start Date]&gt;42551,6000,IF(Table1[Start Date]&gt;42460,5000,IF(Table1[Start Date]&gt;42369,4000,IF(Table1[Start Date]&gt;42277,3000,IF(Table1[Start Date]&gt;42185,2000,IF(Table1[Start Date]&gt;42094,1000))))))))</f>
        <v>0</v>
      </c>
      <c r="ED443" s="44" t="str">
        <f>IF(Table1[Start Date]="","",IF(Table1[Current Local Authority]="Swindon",1,"2"))</f>
        <v/>
      </c>
      <c r="EE443" s="44" t="e">
        <f>SUM(Table1[Data Start Date]+Table1[Data Local Authority])</f>
        <v>#VALUE!</v>
      </c>
      <c r="EF443" s="44">
        <f>IF(Table1[Registered with GP]="Yes",1,0)</f>
        <v>0</v>
      </c>
      <c r="EG443" s="44">
        <f>SUM(Table1[Data Start Date]+Table1[Data GP Start])</f>
        <v>0</v>
      </c>
      <c r="EH443" s="44" t="str">
        <f>IF(Table1[EET]="NEET",1,IF(Table1[EET]="Education",2,IF(Table1[EET]="Employment",2,IF(Table1[EET]="Training",2,IF(Table1[EET]="Retired",3,"")))))</f>
        <v/>
      </c>
      <c r="EI443" s="44" t="e">
        <f>Table1[Data Start Date]+Table1[Data EET Start]</f>
        <v>#VALUE!</v>
      </c>
      <c r="EJ443" s="44" t="b">
        <f>IF(Table1[Leaving Date]&gt;42735,8000,IF(Table1[Leaving Date]&gt;42643,7000,IF(Table1[Leaving Date]&gt;42551,6000,IF(Table1[Leaving Date]&gt;42460,5000,IF(Table1[Leaving Date]&gt;42369,4000,IF(Table1[Leaving Date]&gt;42277,3000,IF(Table1[Leaving Date]&gt;42185,2000,IF(Table1[Leaving Date]&gt;42094,1000))))))))</f>
        <v>0</v>
      </c>
      <c r="EK443" s="44" t="e">
        <f>VLOOKUP(Table1[Reason for Leaving],Lists!$T$2:$U$15,2,FALSE)</f>
        <v>#N/A</v>
      </c>
      <c r="EL443" s="44" t="e">
        <f>SUM(Table1[Data Leavers Date]+Table1[Data Move On])</f>
        <v>#N/A</v>
      </c>
      <c r="EM443" s="44" t="b">
        <f>IF(Table1[Registered with GP2]="Yes",1,IF(Table1[Registered with GP2]="No",0,IF(Table1[Registered with GP]="Yes",1,IF(Table1[Registered with GP]="No",0))))</f>
        <v>0</v>
      </c>
      <c r="EN443" s="44">
        <f>SUM(Table1[Data Leavers Date]+Table1[Data GP End])</f>
        <v>0</v>
      </c>
      <c r="EO443" s="44" t="str">
        <f>IF(Table1[EET2]="NEET",1,IF(Table1[EET2]="Employment",2,IF(Table1[EET2]="Education",2,IF(Table1[EET2]="Training",2,IF(Table1[EET2]="Retired",3,IF(Table1[EET]="NEET",1,IF(Table1[EET]="Employment",2,IF(Table1[EET]="Education",2,IF(Table1[EET]="Training",2,IF(Table1[EET]="Retired",3,""))))))))))</f>
        <v/>
      </c>
      <c r="EP443" s="44" t="e">
        <f>+Table1[[#This Row],[Data Leavers Date]]+Table1[[#This Row],[Data EET End]]</f>
        <v>#VALUE!</v>
      </c>
      <c r="EQ443" s="44">
        <f>IF(Table1[Exit Form Received]="Yes",1,0)</f>
        <v>0</v>
      </c>
      <c r="ER443" s="44">
        <f>+Table1[[#This Row],[Data Leavers Date]]+Table1[[#This Row],[Data Exit Forms]]</f>
        <v>0</v>
      </c>
      <c r="ES443" s="44" t="str">
        <f>IF(Table1[Data Leavers Date]=1000,SUM(Table1[Leaving Date]-Table1[Start Date]),"")</f>
        <v/>
      </c>
      <c r="ET443" s="44" t="str">
        <f>IF(Table1[Data Leavers Date]=2000,SUM(Table1[Leaving Date]-Table1[Start Date]),"")</f>
        <v/>
      </c>
      <c r="EU443" s="44" t="str">
        <f>IF(Table1[Data Leavers Date]=3000,SUM(Table1[Leaving Date]-Table1[Start Date]),"")</f>
        <v/>
      </c>
      <c r="EV443" s="44" t="str">
        <f>IF(Table1[Data Leavers Date]=4000,SUM(Table1[Leaving Date]-Table1[Start Date]),"")</f>
        <v/>
      </c>
      <c r="EW443" s="44" t="str">
        <f>IF(Table1[Data Leavers Date]=5000,SUM(Table1[Leaving Date]-Table1[Start Date]),"")</f>
        <v/>
      </c>
      <c r="EX443" s="44" t="str">
        <f>IF(Table1[Data Leavers Date]=6000,SUM(Table1[Leaving Date]-Table1[Start Date]),"")</f>
        <v/>
      </c>
      <c r="EY443" s="44" t="str">
        <f>IF(Table1[Data Leavers Date]=7000,SUM(Table1[Leaving Date]-Table1[Start Date]),"")</f>
        <v/>
      </c>
      <c r="EZ443" s="44" t="str">
        <f>IF(Table1[Data Leavers Date]=8000,SUM(Table1[Leaving Date]-Table1[Start Date]),"")</f>
        <v/>
      </c>
      <c r="FA443" s="44" t="str">
        <f>IF(Table1[Date of Initial Assessment]="","",IF(AND(Table1[Start Date]&gt;42094,Table1[Start Date]&lt;42461),Table1[Motivation and Taking Responsibility],""))</f>
        <v/>
      </c>
      <c r="FB443" s="44" t="str">
        <f>IF(Table1[Date of Initial Assessment]="","",IF(AND(Table1[Start Date]&gt;42094,Table1[Start Date]&lt;42461),Table1[Self-Care and Living Skills],""))</f>
        <v/>
      </c>
      <c r="FC443" s="44" t="str">
        <f>IF(Table1[Date of Initial Assessment]="","",IF(AND(Table1[Start Date]&gt;42094,Table1[Start Date]&lt;42461),Table1[Managing Money and Personal Administration],""))</f>
        <v/>
      </c>
      <c r="FD443" s="44" t="str">
        <f>IF(Table1[Date of Initial Assessment]="","",IF(AND(Table1[Start Date]&gt;42094,Table1[Start Date]&lt;42461),Table1[Social Networks and Relationships],""))</f>
        <v/>
      </c>
      <c r="FE443" s="44" t="str">
        <f>IF(Table1[Date of Initial Assessment]="","",IF(AND(Table1[Start Date]&gt;42094,Table1[Start Date]&lt;42461),Table1[Drug and Alcohol Misuse],""))</f>
        <v/>
      </c>
      <c r="FF443" s="44" t="str">
        <f>IF(Table1[Date of Initial Assessment]="","",IF(AND(Table1[Start Date]&gt;42094,Table1[Start Date]&lt;42461),Table1[Physical Health],""))</f>
        <v/>
      </c>
      <c r="FG443" s="44" t="str">
        <f>IF(Table1[Date of Initial Assessment]="","",IF(AND(Table1[Start Date]&gt;42094,Table1[Start Date]&lt;42461),Table1[Emotional and Mental Health],""))</f>
        <v/>
      </c>
      <c r="FH443" s="44" t="str">
        <f>IF(Table1[Date of Initial Assessment]="","",IF(AND(Table1[Start Date]&gt;42094,Table1[Start Date]&lt;42461),Table1[Meaningful Use of Time],""))</f>
        <v/>
      </c>
      <c r="FI443" s="44" t="str">
        <f>IF(Table1[Date of Initial Assessment]="","",IF(AND(Table1[Start Date]&gt;42094,Table1[Start Date]&lt;42461),Table1[Managing Tenancy and Accommodation],""))</f>
        <v/>
      </c>
      <c r="FJ443" s="44" t="str">
        <f>IF(Table1[Date of Initial Assessment]="","",IF(AND(Table1[Start Date]&gt;42094,Table1[Start Date]&lt;42461),Table1[Offending],""))</f>
        <v/>
      </c>
      <c r="FK443" s="44" t="str">
        <f>IF(Table1[Leaving Date]="","",IF(Table1[Date of Initial Assessment]="","",IF(AND(Table1[Leaving Date]&gt;42094,Table1[Leaving Date]&lt;42461),IF(Table1[Date of Last Assessment]="",Table1[Motivation and Taking Responsibility],Table1[Motivation and Taking Responsibility2]),"")))</f>
        <v/>
      </c>
      <c r="FL443" s="44" t="str">
        <f>IF(Table1[Leaving Date]="","",IF(Table1[Date of Initial Assessment]="","",IF(AND(Table1[Leaving Date]&gt;42094,Table1[Leaving Date]&lt;42461),IF(Table1[Date of Last Assessment]="",Table1[Self-Care and Living Skills],Table1[Self-Care and Living Skills2]),"")))</f>
        <v/>
      </c>
      <c r="FM443" s="44" t="str">
        <f>IF(Table1[Leaving Date]="","",IF(Table1[Date of Initial Assessment]="","",IF(AND(Table1[Leaving Date]&gt;42094,Table1[Leaving Date]&lt;42461),IF(Table1[Date of Last Assessment]="",Table1[Managing Money and Personal Administration],Table1[Managing Money and Personal Administration2]),"")))</f>
        <v/>
      </c>
      <c r="FN443" s="44" t="str">
        <f>IF(Table1[Leaving Date]="","",IF(Table1[Date of Initial Assessment]="","",IF(AND(Table1[Leaving Date]&gt;42094,Table1[Leaving Date]&lt;42461),IF(Table1[Date of Last Assessment]="",Table1[Social Networks and Relationships],Table1[Social Networks and Relationships2]),"")))</f>
        <v/>
      </c>
      <c r="FO443" s="44" t="str">
        <f>IF(Table1[Leaving Date]="","",IF(Table1[Date of Initial Assessment]="","",IF(AND(Table1[Leaving Date]&gt;42094,Table1[Leaving Date]&lt;42461),IF(Table1[Date of Last Assessment]="",Table1[Drug and Alcohol Misuse],Table1[Drug and Alcohol Misuse2]),"")))</f>
        <v/>
      </c>
      <c r="FP443" s="44" t="str">
        <f>IF(Table1[Leaving Date]="","",IF(Table1[Date of Initial Assessment]="","",IF(AND(Table1[Leaving Date]&gt;42094,Table1[Leaving Date]&lt;42461),IF(Table1[Date of Last Assessment]="",Table1[Physical Health],Table1[Physical Health2]),"")))</f>
        <v/>
      </c>
      <c r="FQ443" s="44" t="str">
        <f>IF(Table1[Leaving Date]="","",IF(Table1[Date of Initial Assessment]="","",IF(AND(Table1[Leaving Date]&gt;42094,Table1[Leaving Date]&lt;42461),IF(Table1[Date of Last Assessment]="",Table1[Emotional and Mental Health],Table1[Emotional and Mental Health2]),"")))</f>
        <v/>
      </c>
      <c r="FR443" s="44" t="str">
        <f>IF(Table1[Leaving Date]="","",IF(Table1[Date of Initial Assessment]="","",IF(AND(Table1[Leaving Date]&gt;42094,Table1[Leaving Date]&lt;42461),IF(Table1[Date of Last Assessment]="",Table1[Meaningful Use of Time],Table1[Meaningful Use of Time2]),"")))</f>
        <v/>
      </c>
      <c r="FS443" s="44" t="str">
        <f>IF(Table1[Leaving Date]="","",IF(Table1[Date of Initial Assessment]="","",IF(AND(Table1[Leaving Date]&gt;42094,Table1[Leaving Date]&lt;42461),IF(Table1[Date of Last Assessment]="",Table1[Managing Tenancy and Accommodation],Table1[Managing Tenancy and Accommodation2]),"")))</f>
        <v/>
      </c>
      <c r="FT443" s="44" t="str">
        <f>IF(Table1[Leaving Date]="","",IF(Table1[Date of Initial Assessment]="","",IF(AND(Table1[Leaving Date]&gt;42094,Table1[Leaving Date]&lt;42461),IF(Table1[Date of Last Assessment]="",Table1[Offending],Table1[Offending2]),"")))</f>
        <v/>
      </c>
      <c r="FU443" s="44" t="str">
        <f>IF(Table1[Date of Initial Assessment]="","",IF(AND(Table1[Start Date]&gt;42460,Table1[Start Date]&lt;42826),Table1[Motivation and Taking Responsibility],""))</f>
        <v/>
      </c>
      <c r="FV443" s="44" t="str">
        <f>IF(Table1[Date of Initial Assessment]="","",IF(AND(Table1[Start Date]&gt;42460,Table1[Start Date]&lt;42826),Table1[Self-Care and Living Skills],""))</f>
        <v/>
      </c>
      <c r="FW443" s="44" t="str">
        <f>IF(Table1[Date of Initial Assessment]="","",IF(AND(Table1[Start Date]&gt;42460,Table1[Start Date]&lt;42826),Table1[Managing Money and Personal Administration],""))</f>
        <v/>
      </c>
      <c r="FX443" s="44" t="str">
        <f>IF(Table1[Date of Initial Assessment]="","",IF(AND(Table1[Start Date]&gt;42460,Table1[Start Date]&lt;42826),Table1[Social Networks and Relationships],""))</f>
        <v/>
      </c>
      <c r="FY443" s="44" t="str">
        <f>IF(Table1[Date of Initial Assessment]="","",IF(AND(Table1[Start Date]&gt;42460,Table1[Start Date]&lt;42826),Table1[Drug and Alcohol Misuse],""))</f>
        <v/>
      </c>
      <c r="FZ443" s="44" t="str">
        <f>IF(Table1[Date of Initial Assessment]="","",IF(AND(Table1[Start Date]&gt;42460,Table1[Start Date]&lt;42826),Table1[Physical Health],""))</f>
        <v/>
      </c>
      <c r="GA443" s="44" t="str">
        <f>IF(Table1[Date of Initial Assessment]="","",IF(AND(Table1[Start Date]&gt;42460,Table1[Start Date]&lt;42826),Table1[Emotional and Mental Health],""))</f>
        <v/>
      </c>
      <c r="GB443" s="44" t="str">
        <f>IF(Table1[Date of Initial Assessment]="","",IF(AND(Table1[Start Date]&gt;42460,Table1[Start Date]&lt;42826),Table1[Meaningful Use of Time],""))</f>
        <v/>
      </c>
      <c r="GC443" s="44" t="str">
        <f>IF(Table1[Date of Initial Assessment]="","",IF(AND(Table1[Start Date]&gt;42460,Table1[Start Date]&lt;42826),Table1[Managing Tenancy and Accommodation],""))</f>
        <v/>
      </c>
      <c r="GD443" s="44" t="str">
        <f>IF(Table1[Date of Initial Assessment]="","",IF(AND(Table1[Start Date]&gt;42460,Table1[Start Date]&lt;42826),Table1[Offending],""))</f>
        <v/>
      </c>
      <c r="GE443" s="44" t="str">
        <f>IF(Table1[Leaving Date]="","",IF(AND(Table1[Leaving Date]&gt;42460,Table1[Leaving Date]&lt;42826),IF(Table1[Date of Last Assessment]="",Table1[Motivation and Taking Responsibility],Table1[Motivation and Taking Responsibility2]),""))</f>
        <v/>
      </c>
      <c r="GF443" s="44" t="str">
        <f>IF(Table1[Leaving Date]="","",IF(AND(Table1[Leaving Date]&gt;42460,Table1[Leaving Date]&lt;42826),IF(Table1[Date of Last Assessment]="",Table1[Self-Care and Living Skills],Table1[Self-Care and Living Skills2]),""))</f>
        <v/>
      </c>
      <c r="GG443" s="44" t="str">
        <f>IF(Table1[Leaving Date]="","",IF(AND(Table1[Leaving Date]&gt;42460,Table1[Leaving Date]&lt;42826),IF(Table1[Date of Last Assessment]="",Table1[Managing Money and Personal Administration],Table1[Managing Money and Personal Administration2]),""))</f>
        <v/>
      </c>
      <c r="GH443" s="44" t="str">
        <f>IF(Table1[Leaving Date]="","",IF(AND(Table1[Leaving Date]&gt;42460,Table1[Leaving Date]&lt;42826),IF(Table1[Date of Last Assessment]="",Table1[Social Networks and Relationships],Table1[Social Networks and Relationships2]),""))</f>
        <v/>
      </c>
      <c r="GI443" s="44" t="str">
        <f>IF(Table1[Leaving Date]="","",IF(AND(Table1[Leaving Date]&gt;42460,Table1[Leaving Date]&lt;42826),IF(Table1[Date of Last Assessment]="",Table1[Drug and Alcohol Misuse],Table1[Drug and Alcohol Misuse2]),""))</f>
        <v/>
      </c>
      <c r="GJ443" s="44" t="str">
        <f>IF(Table1[Leaving Date]="","",IF(AND(Table1[Leaving Date]&gt;42460,Table1[Leaving Date]&lt;42826),IF(Table1[Date of Last Assessment]="",Table1[Physical Health],Table1[Physical Health2]),""))</f>
        <v/>
      </c>
      <c r="GK443" s="44" t="str">
        <f>IF(Table1[Leaving Date]="","",IF(AND(Table1[Leaving Date]&gt;42460,Table1[Leaving Date]&lt;42826),IF(Table1[Date of Last Assessment]="",Table1[Emotional and Mental Health],Table1[Emotional and Mental Health2]),""))</f>
        <v/>
      </c>
      <c r="GL443" s="44" t="str">
        <f>IF(Table1[Leaving Date]="","",IF(AND(Table1[Leaving Date]&gt;42460,Table1[Leaving Date]&lt;42826),IF(Table1[Date of Last Assessment]="",Table1[Meaningful Use of Time],Table1[Meaningful Use of Time2]),""))</f>
        <v/>
      </c>
      <c r="GM443" s="44" t="str">
        <f>IF(Table1[Leaving Date]="","",IF(AND(Table1[Leaving Date]&gt;42460,Table1[Leaving Date]&lt;42826),IF(Table1[Date of Last Assessment]="",Table1[Managing Tenancy and Accommodation],Table1[Managing Tenancy and Accommodation2]),""))</f>
        <v/>
      </c>
      <c r="GN443" s="44" t="str">
        <f>IF(Table1[Leaving Date]="","",IF(AND(Table1[Leaving Date]&gt;42460,Table1[Leaving Date]&lt;42826),IF(Table1[Date of Last Assessment]="",Table1[Offending],Table1[Offending2]),""))</f>
        <v/>
      </c>
    </row>
    <row r="444" spans="2:196" ht="20.100000000000001" customHeight="1" x14ac:dyDescent="0.2">
      <c r="B444" s="86">
        <f>+'Service Data'!$C$5:$C$5</f>
        <v>0</v>
      </c>
      <c r="C444" s="86"/>
      <c r="D444" s="86"/>
      <c r="E444" s="86"/>
      <c r="F444" s="86"/>
      <c r="G444" s="86"/>
      <c r="H444" s="6"/>
      <c r="I444" s="99" t="str">
        <f ca="1">IF(Table1[[#This Row],[Date of Birth]]="","",SUM(TODAY()-Table1[[#This Row],[Date of Birth]])/365)</f>
        <v/>
      </c>
      <c r="L444" s="86"/>
      <c r="M444" s="77"/>
      <c r="N444" s="86"/>
      <c r="O444" s="86"/>
      <c r="P444" s="91"/>
      <c r="Q444" s="86"/>
      <c r="R444" s="77"/>
      <c r="S444" s="77"/>
      <c r="T444" s="68"/>
      <c r="U444" s="68"/>
      <c r="V444" s="67"/>
      <c r="W444" s="67"/>
      <c r="X444" s="67"/>
      <c r="Y444" s="67"/>
      <c r="Z444" s="67"/>
      <c r="AA444" s="67"/>
      <c r="AB444" s="67"/>
      <c r="AC444" s="67"/>
      <c r="AD444" s="67"/>
      <c r="AE444" s="67"/>
      <c r="AF444" s="67"/>
      <c r="AG444" s="67"/>
      <c r="AH444" s="67"/>
      <c r="AI444" s="67"/>
      <c r="AJ444" s="67"/>
      <c r="AK444" s="67"/>
      <c r="AL444" s="67"/>
      <c r="AM444" s="67"/>
      <c r="AN444" s="77"/>
      <c r="AO444" s="76"/>
      <c r="AP444" s="77"/>
      <c r="AQ444" s="76"/>
      <c r="AR444" s="76"/>
      <c r="AS444" s="76"/>
      <c r="AT444" s="76"/>
      <c r="AU444" s="76"/>
      <c r="AV444" s="77"/>
      <c r="AW444" s="76"/>
      <c r="AX444" s="77"/>
      <c r="AY444" s="76"/>
      <c r="AZ444" s="76"/>
      <c r="BA444" s="76"/>
      <c r="BB444" s="76"/>
      <c r="BC444" s="76"/>
      <c r="BD444" s="77"/>
      <c r="BE444" s="76"/>
      <c r="BF444" s="77"/>
      <c r="BG444" s="76"/>
      <c r="BH444" s="76"/>
      <c r="BI444" s="76"/>
      <c r="BJ444" s="76"/>
      <c r="BK444" s="76"/>
      <c r="BL444" s="77"/>
      <c r="BM444" s="76"/>
      <c r="BN444" s="77"/>
      <c r="BO444" s="76"/>
      <c r="BP444" s="76"/>
      <c r="BQ444" s="76"/>
      <c r="BR444" s="76"/>
      <c r="BS444" s="76"/>
      <c r="BT444" s="77"/>
      <c r="BU444" s="76"/>
      <c r="BV444" s="77"/>
      <c r="BW444" s="76"/>
      <c r="BX444" s="76"/>
      <c r="BY444" s="76"/>
      <c r="BZ444" s="76"/>
      <c r="CA444" s="76"/>
      <c r="CB444" s="77"/>
      <c r="CC444" s="76"/>
      <c r="CD444" s="77"/>
      <c r="CE444" s="76"/>
      <c r="CF444" s="76"/>
      <c r="CG444" s="76"/>
      <c r="CH444" s="76"/>
      <c r="CI444" s="76"/>
      <c r="CJ444" s="77"/>
      <c r="CK444" s="76"/>
      <c r="CL444" s="77"/>
      <c r="CM444" s="76"/>
      <c r="CN444" s="76"/>
      <c r="CO444" s="76"/>
      <c r="CP444" s="76"/>
      <c r="CQ444" s="76"/>
      <c r="CR444" s="78" t="str">
        <f t="shared" si="111"/>
        <v/>
      </c>
      <c r="CS444" s="79" t="str">
        <f t="shared" si="112"/>
        <v/>
      </c>
      <c r="CT444" s="79" t="str">
        <f t="shared" si="113"/>
        <v/>
      </c>
      <c r="CU444" s="79" t="str">
        <f t="shared" si="114"/>
        <v/>
      </c>
      <c r="CV444" s="79" t="str">
        <f t="shared" si="115"/>
        <v/>
      </c>
      <c r="CW444" s="79" t="str">
        <f t="shared" si="116"/>
        <v/>
      </c>
      <c r="CX444" s="79" t="str">
        <f t="shared" si="117"/>
        <v/>
      </c>
      <c r="CY444" s="79" t="str">
        <f t="shared" si="118"/>
        <v/>
      </c>
      <c r="CZ444" s="79" t="str">
        <f t="shared" si="119"/>
        <v/>
      </c>
      <c r="DA444" s="79" t="str">
        <f t="shared" si="120"/>
        <v/>
      </c>
      <c r="DB444" s="79" t="str">
        <f t="shared" si="121"/>
        <v/>
      </c>
      <c r="DC444" s="79" t="str">
        <f t="shared" si="122"/>
        <v/>
      </c>
      <c r="DD444" s="79" t="str">
        <f t="shared" si="123"/>
        <v/>
      </c>
      <c r="DE444" s="79" t="str">
        <f t="shared" si="124"/>
        <v/>
      </c>
      <c r="DF444" s="79" t="str">
        <f t="shared" si="125"/>
        <v/>
      </c>
      <c r="DG444" s="79" t="str">
        <f t="shared" si="126"/>
        <v/>
      </c>
      <c r="DH444" s="76"/>
      <c r="DI444" s="78"/>
      <c r="DJ444" s="76"/>
      <c r="DK444" s="77"/>
      <c r="DL444" s="77"/>
      <c r="DM444" s="77"/>
      <c r="DN444" s="80"/>
      <c r="DO444" s="80"/>
      <c r="DP444" s="92" t="str">
        <f>IF(Table1[Start Date]="","",IF(Table1[Start Date]&gt;42185,"",IF(AND(Table1[Leaving Date]&gt;1,Table1[Leaving Date]&lt;42095),"",1)))</f>
        <v/>
      </c>
      <c r="DQ444" s="92" t="str">
        <f>IF(Table1[Start Date]="","",IF(Table1[Start Date]&gt;42277,"",IF(AND(Table1[Leaving Date]&gt;1,Table1[Leaving Date]&lt;42186),"",1)))</f>
        <v/>
      </c>
      <c r="DR444" s="92" t="str">
        <f>IF(Table1[Start Date]="","",IF(Table1[Start Date]&gt;42369,"",IF(AND(Table1[Leaving Date]&gt;1,Table1[Leaving Date]&lt;42278),"",1)))</f>
        <v/>
      </c>
      <c r="DS444" s="92" t="str">
        <f>IF(Table1[Start Date]="","",IF(Table1[Start Date]&gt;42460,"",IF(AND(Table1[Leaving Date]&gt;1,Table1[Leaving Date]&lt;42370),"",1)))</f>
        <v/>
      </c>
      <c r="DT444" s="92" t="str">
        <f>IF(Table1[Start Date]="","",IF(Table1[Start Date]&gt;42551,"",IF(AND(Table1[Leaving Date]&gt;1,Table1[Leaving Date]&lt;42461),"",1)))</f>
        <v/>
      </c>
      <c r="DU444" s="92" t="str">
        <f>IF(Table1[Start Date]="","",IF(Table1[Start Date]&gt;42643,"",IF(AND(Table1[Leaving Date]&gt;1,Table1[Leaving Date]&lt;42552),"",1)))</f>
        <v/>
      </c>
      <c r="DV444" s="92" t="str">
        <f>IF(Table1[Start Date]="","",IF(Table1[Start Date]&gt;42735,"",IF(AND(Table1[Leaving Date]&gt;1,Table1[Leaving Date]&lt;42644),"",1)))</f>
        <v/>
      </c>
      <c r="DW444" s="92" t="str">
        <f>IF(Table1[Start Date]="","",IF(Table1[Start Date]&gt;42825,"",IF(AND(Table1[Leaving Date]&gt;1,Table1[Leaving Date]&lt;42736),"",1)))</f>
        <v/>
      </c>
      <c r="DX444"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444" s="44" t="e">
        <f>VLOOKUP(Table1[Referral Source],Lists!$G$2:$H$20,2,FALSE)</f>
        <v>#N/A</v>
      </c>
      <c r="DZ444" s="93" t="e">
        <f>SUM(Table1[Data Referral Quarter]+Table1[Data Referral Source])</f>
        <v>#N/A</v>
      </c>
      <c r="EA444" s="44" t="b">
        <f>IF(Table1[Referral Decision]="Accepted",100,IF(Table1[Referral Decision]="Rejected by Provider",200,IF(Table1[Referral Decision]="Rejected by Applicant",300)))</f>
        <v>0</v>
      </c>
      <c r="EB444" s="44">
        <f>SUM(Table1[Data Referral Quarter]+Table1[Data Referral Decision])</f>
        <v>0</v>
      </c>
      <c r="EC444" s="44" t="b">
        <f>IF(Table1[Start Date]&gt;42735,8000,IF(Table1[Start Date]&gt;42643,7000,IF(Table1[Start Date]&gt;42551,6000,IF(Table1[Start Date]&gt;42460,5000,IF(Table1[Start Date]&gt;42369,4000,IF(Table1[Start Date]&gt;42277,3000,IF(Table1[Start Date]&gt;42185,2000,IF(Table1[Start Date]&gt;42094,1000))))))))</f>
        <v>0</v>
      </c>
      <c r="ED444" s="44" t="str">
        <f>IF(Table1[Start Date]="","",IF(Table1[Current Local Authority]="Swindon",1,"2"))</f>
        <v/>
      </c>
      <c r="EE444" s="44" t="e">
        <f>SUM(Table1[Data Start Date]+Table1[Data Local Authority])</f>
        <v>#VALUE!</v>
      </c>
      <c r="EF444" s="44">
        <f>IF(Table1[Registered with GP]="Yes",1,0)</f>
        <v>0</v>
      </c>
      <c r="EG444" s="44">
        <f>SUM(Table1[Data Start Date]+Table1[Data GP Start])</f>
        <v>0</v>
      </c>
      <c r="EH444" s="44" t="str">
        <f>IF(Table1[EET]="NEET",1,IF(Table1[EET]="Education",2,IF(Table1[EET]="Employment",2,IF(Table1[EET]="Training",2,IF(Table1[EET]="Retired",3,"")))))</f>
        <v/>
      </c>
      <c r="EI444" s="44" t="e">
        <f>Table1[Data Start Date]+Table1[Data EET Start]</f>
        <v>#VALUE!</v>
      </c>
      <c r="EJ444" s="44" t="b">
        <f>IF(Table1[Leaving Date]&gt;42735,8000,IF(Table1[Leaving Date]&gt;42643,7000,IF(Table1[Leaving Date]&gt;42551,6000,IF(Table1[Leaving Date]&gt;42460,5000,IF(Table1[Leaving Date]&gt;42369,4000,IF(Table1[Leaving Date]&gt;42277,3000,IF(Table1[Leaving Date]&gt;42185,2000,IF(Table1[Leaving Date]&gt;42094,1000))))))))</f>
        <v>0</v>
      </c>
      <c r="EK444" s="44" t="e">
        <f>VLOOKUP(Table1[Reason for Leaving],Lists!$T$2:$U$15,2,FALSE)</f>
        <v>#N/A</v>
      </c>
      <c r="EL444" s="44" t="e">
        <f>SUM(Table1[Data Leavers Date]+Table1[Data Move On])</f>
        <v>#N/A</v>
      </c>
      <c r="EM444" s="44" t="b">
        <f>IF(Table1[Registered with GP2]="Yes",1,IF(Table1[Registered with GP2]="No",0,IF(Table1[Registered with GP]="Yes",1,IF(Table1[Registered with GP]="No",0))))</f>
        <v>0</v>
      </c>
      <c r="EN444" s="44">
        <f>SUM(Table1[Data Leavers Date]+Table1[Data GP End])</f>
        <v>0</v>
      </c>
      <c r="EO444" s="44" t="str">
        <f>IF(Table1[EET2]="NEET",1,IF(Table1[EET2]="Employment",2,IF(Table1[EET2]="Education",2,IF(Table1[EET2]="Training",2,IF(Table1[EET2]="Retired",3,IF(Table1[EET]="NEET",1,IF(Table1[EET]="Employment",2,IF(Table1[EET]="Education",2,IF(Table1[EET]="Training",2,IF(Table1[EET]="Retired",3,""))))))))))</f>
        <v/>
      </c>
      <c r="EP444" s="44" t="e">
        <f>+Table1[[#This Row],[Data Leavers Date]]+Table1[[#This Row],[Data EET End]]</f>
        <v>#VALUE!</v>
      </c>
      <c r="EQ444" s="44">
        <f>IF(Table1[Exit Form Received]="Yes",1,0)</f>
        <v>0</v>
      </c>
      <c r="ER444" s="44">
        <f>+Table1[[#This Row],[Data Leavers Date]]+Table1[[#This Row],[Data Exit Forms]]</f>
        <v>0</v>
      </c>
      <c r="ES444" s="44" t="str">
        <f>IF(Table1[Data Leavers Date]=1000,SUM(Table1[Leaving Date]-Table1[Start Date]),"")</f>
        <v/>
      </c>
      <c r="ET444" s="44" t="str">
        <f>IF(Table1[Data Leavers Date]=2000,SUM(Table1[Leaving Date]-Table1[Start Date]),"")</f>
        <v/>
      </c>
      <c r="EU444" s="44" t="str">
        <f>IF(Table1[Data Leavers Date]=3000,SUM(Table1[Leaving Date]-Table1[Start Date]),"")</f>
        <v/>
      </c>
      <c r="EV444" s="44" t="str">
        <f>IF(Table1[Data Leavers Date]=4000,SUM(Table1[Leaving Date]-Table1[Start Date]),"")</f>
        <v/>
      </c>
      <c r="EW444" s="44" t="str">
        <f>IF(Table1[Data Leavers Date]=5000,SUM(Table1[Leaving Date]-Table1[Start Date]),"")</f>
        <v/>
      </c>
      <c r="EX444" s="44" t="str">
        <f>IF(Table1[Data Leavers Date]=6000,SUM(Table1[Leaving Date]-Table1[Start Date]),"")</f>
        <v/>
      </c>
      <c r="EY444" s="44" t="str">
        <f>IF(Table1[Data Leavers Date]=7000,SUM(Table1[Leaving Date]-Table1[Start Date]),"")</f>
        <v/>
      </c>
      <c r="EZ444" s="44" t="str">
        <f>IF(Table1[Data Leavers Date]=8000,SUM(Table1[Leaving Date]-Table1[Start Date]),"")</f>
        <v/>
      </c>
      <c r="FA444" s="44" t="str">
        <f>IF(Table1[Date of Initial Assessment]="","",IF(AND(Table1[Start Date]&gt;42094,Table1[Start Date]&lt;42461),Table1[Motivation and Taking Responsibility],""))</f>
        <v/>
      </c>
      <c r="FB444" s="44" t="str">
        <f>IF(Table1[Date of Initial Assessment]="","",IF(AND(Table1[Start Date]&gt;42094,Table1[Start Date]&lt;42461),Table1[Self-Care and Living Skills],""))</f>
        <v/>
      </c>
      <c r="FC444" s="44" t="str">
        <f>IF(Table1[Date of Initial Assessment]="","",IF(AND(Table1[Start Date]&gt;42094,Table1[Start Date]&lt;42461),Table1[Managing Money and Personal Administration],""))</f>
        <v/>
      </c>
      <c r="FD444" s="44" t="str">
        <f>IF(Table1[Date of Initial Assessment]="","",IF(AND(Table1[Start Date]&gt;42094,Table1[Start Date]&lt;42461),Table1[Social Networks and Relationships],""))</f>
        <v/>
      </c>
      <c r="FE444" s="44" t="str">
        <f>IF(Table1[Date of Initial Assessment]="","",IF(AND(Table1[Start Date]&gt;42094,Table1[Start Date]&lt;42461),Table1[Drug and Alcohol Misuse],""))</f>
        <v/>
      </c>
      <c r="FF444" s="44" t="str">
        <f>IF(Table1[Date of Initial Assessment]="","",IF(AND(Table1[Start Date]&gt;42094,Table1[Start Date]&lt;42461),Table1[Physical Health],""))</f>
        <v/>
      </c>
      <c r="FG444" s="44" t="str">
        <f>IF(Table1[Date of Initial Assessment]="","",IF(AND(Table1[Start Date]&gt;42094,Table1[Start Date]&lt;42461),Table1[Emotional and Mental Health],""))</f>
        <v/>
      </c>
      <c r="FH444" s="44" t="str">
        <f>IF(Table1[Date of Initial Assessment]="","",IF(AND(Table1[Start Date]&gt;42094,Table1[Start Date]&lt;42461),Table1[Meaningful Use of Time],""))</f>
        <v/>
      </c>
      <c r="FI444" s="44" t="str">
        <f>IF(Table1[Date of Initial Assessment]="","",IF(AND(Table1[Start Date]&gt;42094,Table1[Start Date]&lt;42461),Table1[Managing Tenancy and Accommodation],""))</f>
        <v/>
      </c>
      <c r="FJ444" s="44" t="str">
        <f>IF(Table1[Date of Initial Assessment]="","",IF(AND(Table1[Start Date]&gt;42094,Table1[Start Date]&lt;42461),Table1[Offending],""))</f>
        <v/>
      </c>
      <c r="FK444" s="44" t="str">
        <f>IF(Table1[Leaving Date]="","",IF(Table1[Date of Initial Assessment]="","",IF(AND(Table1[Leaving Date]&gt;42094,Table1[Leaving Date]&lt;42461),IF(Table1[Date of Last Assessment]="",Table1[Motivation and Taking Responsibility],Table1[Motivation and Taking Responsibility2]),"")))</f>
        <v/>
      </c>
      <c r="FL444" s="44" t="str">
        <f>IF(Table1[Leaving Date]="","",IF(Table1[Date of Initial Assessment]="","",IF(AND(Table1[Leaving Date]&gt;42094,Table1[Leaving Date]&lt;42461),IF(Table1[Date of Last Assessment]="",Table1[Self-Care and Living Skills],Table1[Self-Care and Living Skills2]),"")))</f>
        <v/>
      </c>
      <c r="FM444" s="44" t="str">
        <f>IF(Table1[Leaving Date]="","",IF(Table1[Date of Initial Assessment]="","",IF(AND(Table1[Leaving Date]&gt;42094,Table1[Leaving Date]&lt;42461),IF(Table1[Date of Last Assessment]="",Table1[Managing Money and Personal Administration],Table1[Managing Money and Personal Administration2]),"")))</f>
        <v/>
      </c>
      <c r="FN444" s="44" t="str">
        <f>IF(Table1[Leaving Date]="","",IF(Table1[Date of Initial Assessment]="","",IF(AND(Table1[Leaving Date]&gt;42094,Table1[Leaving Date]&lt;42461),IF(Table1[Date of Last Assessment]="",Table1[Social Networks and Relationships],Table1[Social Networks and Relationships2]),"")))</f>
        <v/>
      </c>
      <c r="FO444" s="44" t="str">
        <f>IF(Table1[Leaving Date]="","",IF(Table1[Date of Initial Assessment]="","",IF(AND(Table1[Leaving Date]&gt;42094,Table1[Leaving Date]&lt;42461),IF(Table1[Date of Last Assessment]="",Table1[Drug and Alcohol Misuse],Table1[Drug and Alcohol Misuse2]),"")))</f>
        <v/>
      </c>
      <c r="FP444" s="44" t="str">
        <f>IF(Table1[Leaving Date]="","",IF(Table1[Date of Initial Assessment]="","",IF(AND(Table1[Leaving Date]&gt;42094,Table1[Leaving Date]&lt;42461),IF(Table1[Date of Last Assessment]="",Table1[Physical Health],Table1[Physical Health2]),"")))</f>
        <v/>
      </c>
      <c r="FQ444" s="44" t="str">
        <f>IF(Table1[Leaving Date]="","",IF(Table1[Date of Initial Assessment]="","",IF(AND(Table1[Leaving Date]&gt;42094,Table1[Leaving Date]&lt;42461),IF(Table1[Date of Last Assessment]="",Table1[Emotional and Mental Health],Table1[Emotional and Mental Health2]),"")))</f>
        <v/>
      </c>
      <c r="FR444" s="44" t="str">
        <f>IF(Table1[Leaving Date]="","",IF(Table1[Date of Initial Assessment]="","",IF(AND(Table1[Leaving Date]&gt;42094,Table1[Leaving Date]&lt;42461),IF(Table1[Date of Last Assessment]="",Table1[Meaningful Use of Time],Table1[Meaningful Use of Time2]),"")))</f>
        <v/>
      </c>
      <c r="FS444" s="44" t="str">
        <f>IF(Table1[Leaving Date]="","",IF(Table1[Date of Initial Assessment]="","",IF(AND(Table1[Leaving Date]&gt;42094,Table1[Leaving Date]&lt;42461),IF(Table1[Date of Last Assessment]="",Table1[Managing Tenancy and Accommodation],Table1[Managing Tenancy and Accommodation2]),"")))</f>
        <v/>
      </c>
      <c r="FT444" s="44" t="str">
        <f>IF(Table1[Leaving Date]="","",IF(Table1[Date of Initial Assessment]="","",IF(AND(Table1[Leaving Date]&gt;42094,Table1[Leaving Date]&lt;42461),IF(Table1[Date of Last Assessment]="",Table1[Offending],Table1[Offending2]),"")))</f>
        <v/>
      </c>
      <c r="FU444" s="44" t="str">
        <f>IF(Table1[Date of Initial Assessment]="","",IF(AND(Table1[Start Date]&gt;42460,Table1[Start Date]&lt;42826),Table1[Motivation and Taking Responsibility],""))</f>
        <v/>
      </c>
      <c r="FV444" s="44" t="str">
        <f>IF(Table1[Date of Initial Assessment]="","",IF(AND(Table1[Start Date]&gt;42460,Table1[Start Date]&lt;42826),Table1[Self-Care and Living Skills],""))</f>
        <v/>
      </c>
      <c r="FW444" s="44" t="str">
        <f>IF(Table1[Date of Initial Assessment]="","",IF(AND(Table1[Start Date]&gt;42460,Table1[Start Date]&lt;42826),Table1[Managing Money and Personal Administration],""))</f>
        <v/>
      </c>
      <c r="FX444" s="44" t="str">
        <f>IF(Table1[Date of Initial Assessment]="","",IF(AND(Table1[Start Date]&gt;42460,Table1[Start Date]&lt;42826),Table1[Social Networks and Relationships],""))</f>
        <v/>
      </c>
      <c r="FY444" s="44" t="str">
        <f>IF(Table1[Date of Initial Assessment]="","",IF(AND(Table1[Start Date]&gt;42460,Table1[Start Date]&lt;42826),Table1[Drug and Alcohol Misuse],""))</f>
        <v/>
      </c>
      <c r="FZ444" s="44" t="str">
        <f>IF(Table1[Date of Initial Assessment]="","",IF(AND(Table1[Start Date]&gt;42460,Table1[Start Date]&lt;42826),Table1[Physical Health],""))</f>
        <v/>
      </c>
      <c r="GA444" s="44" t="str">
        <f>IF(Table1[Date of Initial Assessment]="","",IF(AND(Table1[Start Date]&gt;42460,Table1[Start Date]&lt;42826),Table1[Emotional and Mental Health],""))</f>
        <v/>
      </c>
      <c r="GB444" s="44" t="str">
        <f>IF(Table1[Date of Initial Assessment]="","",IF(AND(Table1[Start Date]&gt;42460,Table1[Start Date]&lt;42826),Table1[Meaningful Use of Time],""))</f>
        <v/>
      </c>
      <c r="GC444" s="44" t="str">
        <f>IF(Table1[Date of Initial Assessment]="","",IF(AND(Table1[Start Date]&gt;42460,Table1[Start Date]&lt;42826),Table1[Managing Tenancy and Accommodation],""))</f>
        <v/>
      </c>
      <c r="GD444" s="44" t="str">
        <f>IF(Table1[Date of Initial Assessment]="","",IF(AND(Table1[Start Date]&gt;42460,Table1[Start Date]&lt;42826),Table1[Offending],""))</f>
        <v/>
      </c>
      <c r="GE444" s="44" t="str">
        <f>IF(Table1[Leaving Date]="","",IF(AND(Table1[Leaving Date]&gt;42460,Table1[Leaving Date]&lt;42826),IF(Table1[Date of Last Assessment]="",Table1[Motivation and Taking Responsibility],Table1[Motivation and Taking Responsibility2]),""))</f>
        <v/>
      </c>
      <c r="GF444" s="44" t="str">
        <f>IF(Table1[Leaving Date]="","",IF(AND(Table1[Leaving Date]&gt;42460,Table1[Leaving Date]&lt;42826),IF(Table1[Date of Last Assessment]="",Table1[Self-Care and Living Skills],Table1[Self-Care and Living Skills2]),""))</f>
        <v/>
      </c>
      <c r="GG444" s="44" t="str">
        <f>IF(Table1[Leaving Date]="","",IF(AND(Table1[Leaving Date]&gt;42460,Table1[Leaving Date]&lt;42826),IF(Table1[Date of Last Assessment]="",Table1[Managing Money and Personal Administration],Table1[Managing Money and Personal Administration2]),""))</f>
        <v/>
      </c>
      <c r="GH444" s="44" t="str">
        <f>IF(Table1[Leaving Date]="","",IF(AND(Table1[Leaving Date]&gt;42460,Table1[Leaving Date]&lt;42826),IF(Table1[Date of Last Assessment]="",Table1[Social Networks and Relationships],Table1[Social Networks and Relationships2]),""))</f>
        <v/>
      </c>
      <c r="GI444" s="44" t="str">
        <f>IF(Table1[Leaving Date]="","",IF(AND(Table1[Leaving Date]&gt;42460,Table1[Leaving Date]&lt;42826),IF(Table1[Date of Last Assessment]="",Table1[Drug and Alcohol Misuse],Table1[Drug and Alcohol Misuse2]),""))</f>
        <v/>
      </c>
      <c r="GJ444" s="44" t="str">
        <f>IF(Table1[Leaving Date]="","",IF(AND(Table1[Leaving Date]&gt;42460,Table1[Leaving Date]&lt;42826),IF(Table1[Date of Last Assessment]="",Table1[Physical Health],Table1[Physical Health2]),""))</f>
        <v/>
      </c>
      <c r="GK444" s="44" t="str">
        <f>IF(Table1[Leaving Date]="","",IF(AND(Table1[Leaving Date]&gt;42460,Table1[Leaving Date]&lt;42826),IF(Table1[Date of Last Assessment]="",Table1[Emotional and Mental Health],Table1[Emotional and Mental Health2]),""))</f>
        <v/>
      </c>
      <c r="GL444" s="44" t="str">
        <f>IF(Table1[Leaving Date]="","",IF(AND(Table1[Leaving Date]&gt;42460,Table1[Leaving Date]&lt;42826),IF(Table1[Date of Last Assessment]="",Table1[Meaningful Use of Time],Table1[Meaningful Use of Time2]),""))</f>
        <v/>
      </c>
      <c r="GM444" s="44" t="str">
        <f>IF(Table1[Leaving Date]="","",IF(AND(Table1[Leaving Date]&gt;42460,Table1[Leaving Date]&lt;42826),IF(Table1[Date of Last Assessment]="",Table1[Managing Tenancy and Accommodation],Table1[Managing Tenancy and Accommodation2]),""))</f>
        <v/>
      </c>
      <c r="GN444" s="44" t="str">
        <f>IF(Table1[Leaving Date]="","",IF(AND(Table1[Leaving Date]&gt;42460,Table1[Leaving Date]&lt;42826),IF(Table1[Date of Last Assessment]="",Table1[Offending],Table1[Offending2]),""))</f>
        <v/>
      </c>
    </row>
    <row r="445" spans="2:196" ht="20.100000000000001" customHeight="1" x14ac:dyDescent="0.2">
      <c r="B445" s="86">
        <f>+'Service Data'!$C$5:$C$5</f>
        <v>0</v>
      </c>
      <c r="C445" s="86"/>
      <c r="D445" s="86"/>
      <c r="E445" s="86"/>
      <c r="F445" s="86"/>
      <c r="G445" s="86"/>
      <c r="H445" s="6"/>
      <c r="I445" s="99" t="str">
        <f ca="1">IF(Table1[[#This Row],[Date of Birth]]="","",SUM(TODAY()-Table1[[#This Row],[Date of Birth]])/365)</f>
        <v/>
      </c>
      <c r="L445" s="86"/>
      <c r="M445" s="77"/>
      <c r="N445" s="86"/>
      <c r="O445" s="86"/>
      <c r="P445" s="91"/>
      <c r="Q445" s="86"/>
      <c r="R445" s="77"/>
      <c r="S445" s="77"/>
      <c r="T445" s="68"/>
      <c r="U445" s="68"/>
      <c r="V445" s="67"/>
      <c r="W445" s="67"/>
      <c r="X445" s="67"/>
      <c r="Y445" s="67"/>
      <c r="Z445" s="67"/>
      <c r="AA445" s="67"/>
      <c r="AB445" s="67"/>
      <c r="AC445" s="67"/>
      <c r="AD445" s="67"/>
      <c r="AE445" s="67"/>
      <c r="AF445" s="67"/>
      <c r="AG445" s="67"/>
      <c r="AH445" s="67"/>
      <c r="AI445" s="67"/>
      <c r="AJ445" s="67"/>
      <c r="AK445" s="67"/>
      <c r="AL445" s="67"/>
      <c r="AM445" s="67"/>
      <c r="AN445" s="77"/>
      <c r="AO445" s="76"/>
      <c r="AP445" s="77"/>
      <c r="AQ445" s="76"/>
      <c r="AR445" s="76"/>
      <c r="AS445" s="76"/>
      <c r="AT445" s="76"/>
      <c r="AU445" s="76"/>
      <c r="AV445" s="77"/>
      <c r="AW445" s="76"/>
      <c r="AX445" s="77"/>
      <c r="AY445" s="76"/>
      <c r="AZ445" s="76"/>
      <c r="BA445" s="76"/>
      <c r="BB445" s="76"/>
      <c r="BC445" s="76"/>
      <c r="BD445" s="77"/>
      <c r="BE445" s="76"/>
      <c r="BF445" s="77"/>
      <c r="BG445" s="76"/>
      <c r="BH445" s="76"/>
      <c r="BI445" s="76"/>
      <c r="BJ445" s="76"/>
      <c r="BK445" s="76"/>
      <c r="BL445" s="77"/>
      <c r="BM445" s="76"/>
      <c r="BN445" s="77"/>
      <c r="BO445" s="76"/>
      <c r="BP445" s="76"/>
      <c r="BQ445" s="76"/>
      <c r="BR445" s="76"/>
      <c r="BS445" s="76"/>
      <c r="BT445" s="77"/>
      <c r="BU445" s="76"/>
      <c r="BV445" s="77"/>
      <c r="BW445" s="76"/>
      <c r="BX445" s="76"/>
      <c r="BY445" s="76"/>
      <c r="BZ445" s="76"/>
      <c r="CA445" s="76"/>
      <c r="CB445" s="77"/>
      <c r="CC445" s="76"/>
      <c r="CD445" s="77"/>
      <c r="CE445" s="76"/>
      <c r="CF445" s="76"/>
      <c r="CG445" s="76"/>
      <c r="CH445" s="76"/>
      <c r="CI445" s="76"/>
      <c r="CJ445" s="77"/>
      <c r="CK445" s="76"/>
      <c r="CL445" s="77"/>
      <c r="CM445" s="76"/>
      <c r="CN445" s="76"/>
      <c r="CO445" s="76"/>
      <c r="CP445" s="76"/>
      <c r="CQ445" s="76"/>
      <c r="CR445" s="78" t="str">
        <f t="shared" si="111"/>
        <v/>
      </c>
      <c r="CS445" s="79" t="str">
        <f t="shared" si="112"/>
        <v/>
      </c>
      <c r="CT445" s="79" t="str">
        <f t="shared" si="113"/>
        <v/>
      </c>
      <c r="CU445" s="79" t="str">
        <f t="shared" si="114"/>
        <v/>
      </c>
      <c r="CV445" s="79" t="str">
        <f t="shared" si="115"/>
        <v/>
      </c>
      <c r="CW445" s="79" t="str">
        <f t="shared" si="116"/>
        <v/>
      </c>
      <c r="CX445" s="79" t="str">
        <f t="shared" si="117"/>
        <v/>
      </c>
      <c r="CY445" s="79" t="str">
        <f t="shared" si="118"/>
        <v/>
      </c>
      <c r="CZ445" s="79" t="str">
        <f t="shared" si="119"/>
        <v/>
      </c>
      <c r="DA445" s="79" t="str">
        <f t="shared" si="120"/>
        <v/>
      </c>
      <c r="DB445" s="79" t="str">
        <f t="shared" si="121"/>
        <v/>
      </c>
      <c r="DC445" s="79" t="str">
        <f t="shared" si="122"/>
        <v/>
      </c>
      <c r="DD445" s="79" t="str">
        <f t="shared" si="123"/>
        <v/>
      </c>
      <c r="DE445" s="79" t="str">
        <f t="shared" si="124"/>
        <v/>
      </c>
      <c r="DF445" s="79" t="str">
        <f t="shared" si="125"/>
        <v/>
      </c>
      <c r="DG445" s="79" t="str">
        <f t="shared" si="126"/>
        <v/>
      </c>
      <c r="DH445" s="76"/>
      <c r="DI445" s="78"/>
      <c r="DJ445" s="76"/>
      <c r="DK445" s="77"/>
      <c r="DL445" s="77"/>
      <c r="DM445" s="77"/>
      <c r="DN445" s="80"/>
      <c r="DO445" s="80"/>
      <c r="DP445" s="92" t="str">
        <f>IF(Table1[Start Date]="","",IF(Table1[Start Date]&gt;42185,"",IF(AND(Table1[Leaving Date]&gt;1,Table1[Leaving Date]&lt;42095),"",1)))</f>
        <v/>
      </c>
      <c r="DQ445" s="92" t="str">
        <f>IF(Table1[Start Date]="","",IF(Table1[Start Date]&gt;42277,"",IF(AND(Table1[Leaving Date]&gt;1,Table1[Leaving Date]&lt;42186),"",1)))</f>
        <v/>
      </c>
      <c r="DR445" s="92" t="str">
        <f>IF(Table1[Start Date]="","",IF(Table1[Start Date]&gt;42369,"",IF(AND(Table1[Leaving Date]&gt;1,Table1[Leaving Date]&lt;42278),"",1)))</f>
        <v/>
      </c>
      <c r="DS445" s="92" t="str">
        <f>IF(Table1[Start Date]="","",IF(Table1[Start Date]&gt;42460,"",IF(AND(Table1[Leaving Date]&gt;1,Table1[Leaving Date]&lt;42370),"",1)))</f>
        <v/>
      </c>
      <c r="DT445" s="92" t="str">
        <f>IF(Table1[Start Date]="","",IF(Table1[Start Date]&gt;42551,"",IF(AND(Table1[Leaving Date]&gt;1,Table1[Leaving Date]&lt;42461),"",1)))</f>
        <v/>
      </c>
      <c r="DU445" s="92" t="str">
        <f>IF(Table1[Start Date]="","",IF(Table1[Start Date]&gt;42643,"",IF(AND(Table1[Leaving Date]&gt;1,Table1[Leaving Date]&lt;42552),"",1)))</f>
        <v/>
      </c>
      <c r="DV445" s="92" t="str">
        <f>IF(Table1[Start Date]="","",IF(Table1[Start Date]&gt;42735,"",IF(AND(Table1[Leaving Date]&gt;1,Table1[Leaving Date]&lt;42644),"",1)))</f>
        <v/>
      </c>
      <c r="DW445" s="92" t="str">
        <f>IF(Table1[Start Date]="","",IF(Table1[Start Date]&gt;42825,"",IF(AND(Table1[Leaving Date]&gt;1,Table1[Leaving Date]&lt;42736),"",1)))</f>
        <v/>
      </c>
      <c r="DX445"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445" s="44" t="e">
        <f>VLOOKUP(Table1[Referral Source],Lists!$G$2:$H$20,2,FALSE)</f>
        <v>#N/A</v>
      </c>
      <c r="DZ445" s="93" t="e">
        <f>SUM(Table1[Data Referral Quarter]+Table1[Data Referral Source])</f>
        <v>#N/A</v>
      </c>
      <c r="EA445" s="44" t="b">
        <f>IF(Table1[Referral Decision]="Accepted",100,IF(Table1[Referral Decision]="Rejected by Provider",200,IF(Table1[Referral Decision]="Rejected by Applicant",300)))</f>
        <v>0</v>
      </c>
      <c r="EB445" s="44">
        <f>SUM(Table1[Data Referral Quarter]+Table1[Data Referral Decision])</f>
        <v>0</v>
      </c>
      <c r="EC445" s="44" t="b">
        <f>IF(Table1[Start Date]&gt;42735,8000,IF(Table1[Start Date]&gt;42643,7000,IF(Table1[Start Date]&gt;42551,6000,IF(Table1[Start Date]&gt;42460,5000,IF(Table1[Start Date]&gt;42369,4000,IF(Table1[Start Date]&gt;42277,3000,IF(Table1[Start Date]&gt;42185,2000,IF(Table1[Start Date]&gt;42094,1000))))))))</f>
        <v>0</v>
      </c>
      <c r="ED445" s="44" t="str">
        <f>IF(Table1[Start Date]="","",IF(Table1[Current Local Authority]="Swindon",1,"2"))</f>
        <v/>
      </c>
      <c r="EE445" s="44" t="e">
        <f>SUM(Table1[Data Start Date]+Table1[Data Local Authority])</f>
        <v>#VALUE!</v>
      </c>
      <c r="EF445" s="44">
        <f>IF(Table1[Registered with GP]="Yes",1,0)</f>
        <v>0</v>
      </c>
      <c r="EG445" s="44">
        <f>SUM(Table1[Data Start Date]+Table1[Data GP Start])</f>
        <v>0</v>
      </c>
      <c r="EH445" s="44" t="str">
        <f>IF(Table1[EET]="NEET",1,IF(Table1[EET]="Education",2,IF(Table1[EET]="Employment",2,IF(Table1[EET]="Training",2,IF(Table1[EET]="Retired",3,"")))))</f>
        <v/>
      </c>
      <c r="EI445" s="44" t="e">
        <f>Table1[Data Start Date]+Table1[Data EET Start]</f>
        <v>#VALUE!</v>
      </c>
      <c r="EJ445" s="44" t="b">
        <f>IF(Table1[Leaving Date]&gt;42735,8000,IF(Table1[Leaving Date]&gt;42643,7000,IF(Table1[Leaving Date]&gt;42551,6000,IF(Table1[Leaving Date]&gt;42460,5000,IF(Table1[Leaving Date]&gt;42369,4000,IF(Table1[Leaving Date]&gt;42277,3000,IF(Table1[Leaving Date]&gt;42185,2000,IF(Table1[Leaving Date]&gt;42094,1000))))))))</f>
        <v>0</v>
      </c>
      <c r="EK445" s="44" t="e">
        <f>VLOOKUP(Table1[Reason for Leaving],Lists!$T$2:$U$15,2,FALSE)</f>
        <v>#N/A</v>
      </c>
      <c r="EL445" s="44" t="e">
        <f>SUM(Table1[Data Leavers Date]+Table1[Data Move On])</f>
        <v>#N/A</v>
      </c>
      <c r="EM445" s="44" t="b">
        <f>IF(Table1[Registered with GP2]="Yes",1,IF(Table1[Registered with GP2]="No",0,IF(Table1[Registered with GP]="Yes",1,IF(Table1[Registered with GP]="No",0))))</f>
        <v>0</v>
      </c>
      <c r="EN445" s="44">
        <f>SUM(Table1[Data Leavers Date]+Table1[Data GP End])</f>
        <v>0</v>
      </c>
      <c r="EO445" s="44" t="str">
        <f>IF(Table1[EET2]="NEET",1,IF(Table1[EET2]="Employment",2,IF(Table1[EET2]="Education",2,IF(Table1[EET2]="Training",2,IF(Table1[EET2]="Retired",3,IF(Table1[EET]="NEET",1,IF(Table1[EET]="Employment",2,IF(Table1[EET]="Education",2,IF(Table1[EET]="Training",2,IF(Table1[EET]="Retired",3,""))))))))))</f>
        <v/>
      </c>
      <c r="EP445" s="44" t="e">
        <f>+Table1[[#This Row],[Data Leavers Date]]+Table1[[#This Row],[Data EET End]]</f>
        <v>#VALUE!</v>
      </c>
      <c r="EQ445" s="44">
        <f>IF(Table1[Exit Form Received]="Yes",1,0)</f>
        <v>0</v>
      </c>
      <c r="ER445" s="44">
        <f>+Table1[[#This Row],[Data Leavers Date]]+Table1[[#This Row],[Data Exit Forms]]</f>
        <v>0</v>
      </c>
      <c r="ES445" s="44" t="str">
        <f>IF(Table1[Data Leavers Date]=1000,SUM(Table1[Leaving Date]-Table1[Start Date]),"")</f>
        <v/>
      </c>
      <c r="ET445" s="44" t="str">
        <f>IF(Table1[Data Leavers Date]=2000,SUM(Table1[Leaving Date]-Table1[Start Date]),"")</f>
        <v/>
      </c>
      <c r="EU445" s="44" t="str">
        <f>IF(Table1[Data Leavers Date]=3000,SUM(Table1[Leaving Date]-Table1[Start Date]),"")</f>
        <v/>
      </c>
      <c r="EV445" s="44" t="str">
        <f>IF(Table1[Data Leavers Date]=4000,SUM(Table1[Leaving Date]-Table1[Start Date]),"")</f>
        <v/>
      </c>
      <c r="EW445" s="44" t="str">
        <f>IF(Table1[Data Leavers Date]=5000,SUM(Table1[Leaving Date]-Table1[Start Date]),"")</f>
        <v/>
      </c>
      <c r="EX445" s="44" t="str">
        <f>IF(Table1[Data Leavers Date]=6000,SUM(Table1[Leaving Date]-Table1[Start Date]),"")</f>
        <v/>
      </c>
      <c r="EY445" s="44" t="str">
        <f>IF(Table1[Data Leavers Date]=7000,SUM(Table1[Leaving Date]-Table1[Start Date]),"")</f>
        <v/>
      </c>
      <c r="EZ445" s="44" t="str">
        <f>IF(Table1[Data Leavers Date]=8000,SUM(Table1[Leaving Date]-Table1[Start Date]),"")</f>
        <v/>
      </c>
      <c r="FA445" s="44" t="str">
        <f>IF(Table1[Date of Initial Assessment]="","",IF(AND(Table1[Start Date]&gt;42094,Table1[Start Date]&lt;42461),Table1[Motivation and Taking Responsibility],""))</f>
        <v/>
      </c>
      <c r="FB445" s="44" t="str">
        <f>IF(Table1[Date of Initial Assessment]="","",IF(AND(Table1[Start Date]&gt;42094,Table1[Start Date]&lt;42461),Table1[Self-Care and Living Skills],""))</f>
        <v/>
      </c>
      <c r="FC445" s="44" t="str">
        <f>IF(Table1[Date of Initial Assessment]="","",IF(AND(Table1[Start Date]&gt;42094,Table1[Start Date]&lt;42461),Table1[Managing Money and Personal Administration],""))</f>
        <v/>
      </c>
      <c r="FD445" s="44" t="str">
        <f>IF(Table1[Date of Initial Assessment]="","",IF(AND(Table1[Start Date]&gt;42094,Table1[Start Date]&lt;42461),Table1[Social Networks and Relationships],""))</f>
        <v/>
      </c>
      <c r="FE445" s="44" t="str">
        <f>IF(Table1[Date of Initial Assessment]="","",IF(AND(Table1[Start Date]&gt;42094,Table1[Start Date]&lt;42461),Table1[Drug and Alcohol Misuse],""))</f>
        <v/>
      </c>
      <c r="FF445" s="44" t="str">
        <f>IF(Table1[Date of Initial Assessment]="","",IF(AND(Table1[Start Date]&gt;42094,Table1[Start Date]&lt;42461),Table1[Physical Health],""))</f>
        <v/>
      </c>
      <c r="FG445" s="44" t="str">
        <f>IF(Table1[Date of Initial Assessment]="","",IF(AND(Table1[Start Date]&gt;42094,Table1[Start Date]&lt;42461),Table1[Emotional and Mental Health],""))</f>
        <v/>
      </c>
      <c r="FH445" s="44" t="str">
        <f>IF(Table1[Date of Initial Assessment]="","",IF(AND(Table1[Start Date]&gt;42094,Table1[Start Date]&lt;42461),Table1[Meaningful Use of Time],""))</f>
        <v/>
      </c>
      <c r="FI445" s="44" t="str">
        <f>IF(Table1[Date of Initial Assessment]="","",IF(AND(Table1[Start Date]&gt;42094,Table1[Start Date]&lt;42461),Table1[Managing Tenancy and Accommodation],""))</f>
        <v/>
      </c>
      <c r="FJ445" s="44" t="str">
        <f>IF(Table1[Date of Initial Assessment]="","",IF(AND(Table1[Start Date]&gt;42094,Table1[Start Date]&lt;42461),Table1[Offending],""))</f>
        <v/>
      </c>
      <c r="FK445" s="44" t="str">
        <f>IF(Table1[Leaving Date]="","",IF(Table1[Date of Initial Assessment]="","",IF(AND(Table1[Leaving Date]&gt;42094,Table1[Leaving Date]&lt;42461),IF(Table1[Date of Last Assessment]="",Table1[Motivation and Taking Responsibility],Table1[Motivation and Taking Responsibility2]),"")))</f>
        <v/>
      </c>
      <c r="FL445" s="44" t="str">
        <f>IF(Table1[Leaving Date]="","",IF(Table1[Date of Initial Assessment]="","",IF(AND(Table1[Leaving Date]&gt;42094,Table1[Leaving Date]&lt;42461),IF(Table1[Date of Last Assessment]="",Table1[Self-Care and Living Skills],Table1[Self-Care and Living Skills2]),"")))</f>
        <v/>
      </c>
      <c r="FM445" s="44" t="str">
        <f>IF(Table1[Leaving Date]="","",IF(Table1[Date of Initial Assessment]="","",IF(AND(Table1[Leaving Date]&gt;42094,Table1[Leaving Date]&lt;42461),IF(Table1[Date of Last Assessment]="",Table1[Managing Money and Personal Administration],Table1[Managing Money and Personal Administration2]),"")))</f>
        <v/>
      </c>
      <c r="FN445" s="44" t="str">
        <f>IF(Table1[Leaving Date]="","",IF(Table1[Date of Initial Assessment]="","",IF(AND(Table1[Leaving Date]&gt;42094,Table1[Leaving Date]&lt;42461),IF(Table1[Date of Last Assessment]="",Table1[Social Networks and Relationships],Table1[Social Networks and Relationships2]),"")))</f>
        <v/>
      </c>
      <c r="FO445" s="44" t="str">
        <f>IF(Table1[Leaving Date]="","",IF(Table1[Date of Initial Assessment]="","",IF(AND(Table1[Leaving Date]&gt;42094,Table1[Leaving Date]&lt;42461),IF(Table1[Date of Last Assessment]="",Table1[Drug and Alcohol Misuse],Table1[Drug and Alcohol Misuse2]),"")))</f>
        <v/>
      </c>
      <c r="FP445" s="44" t="str">
        <f>IF(Table1[Leaving Date]="","",IF(Table1[Date of Initial Assessment]="","",IF(AND(Table1[Leaving Date]&gt;42094,Table1[Leaving Date]&lt;42461),IF(Table1[Date of Last Assessment]="",Table1[Physical Health],Table1[Physical Health2]),"")))</f>
        <v/>
      </c>
      <c r="FQ445" s="44" t="str">
        <f>IF(Table1[Leaving Date]="","",IF(Table1[Date of Initial Assessment]="","",IF(AND(Table1[Leaving Date]&gt;42094,Table1[Leaving Date]&lt;42461),IF(Table1[Date of Last Assessment]="",Table1[Emotional and Mental Health],Table1[Emotional and Mental Health2]),"")))</f>
        <v/>
      </c>
      <c r="FR445" s="44" t="str">
        <f>IF(Table1[Leaving Date]="","",IF(Table1[Date of Initial Assessment]="","",IF(AND(Table1[Leaving Date]&gt;42094,Table1[Leaving Date]&lt;42461),IF(Table1[Date of Last Assessment]="",Table1[Meaningful Use of Time],Table1[Meaningful Use of Time2]),"")))</f>
        <v/>
      </c>
      <c r="FS445" s="44" t="str">
        <f>IF(Table1[Leaving Date]="","",IF(Table1[Date of Initial Assessment]="","",IF(AND(Table1[Leaving Date]&gt;42094,Table1[Leaving Date]&lt;42461),IF(Table1[Date of Last Assessment]="",Table1[Managing Tenancy and Accommodation],Table1[Managing Tenancy and Accommodation2]),"")))</f>
        <v/>
      </c>
      <c r="FT445" s="44" t="str">
        <f>IF(Table1[Leaving Date]="","",IF(Table1[Date of Initial Assessment]="","",IF(AND(Table1[Leaving Date]&gt;42094,Table1[Leaving Date]&lt;42461),IF(Table1[Date of Last Assessment]="",Table1[Offending],Table1[Offending2]),"")))</f>
        <v/>
      </c>
      <c r="FU445" s="44" t="str">
        <f>IF(Table1[Date of Initial Assessment]="","",IF(AND(Table1[Start Date]&gt;42460,Table1[Start Date]&lt;42826),Table1[Motivation and Taking Responsibility],""))</f>
        <v/>
      </c>
      <c r="FV445" s="44" t="str">
        <f>IF(Table1[Date of Initial Assessment]="","",IF(AND(Table1[Start Date]&gt;42460,Table1[Start Date]&lt;42826),Table1[Self-Care and Living Skills],""))</f>
        <v/>
      </c>
      <c r="FW445" s="44" t="str">
        <f>IF(Table1[Date of Initial Assessment]="","",IF(AND(Table1[Start Date]&gt;42460,Table1[Start Date]&lt;42826),Table1[Managing Money and Personal Administration],""))</f>
        <v/>
      </c>
      <c r="FX445" s="44" t="str">
        <f>IF(Table1[Date of Initial Assessment]="","",IF(AND(Table1[Start Date]&gt;42460,Table1[Start Date]&lt;42826),Table1[Social Networks and Relationships],""))</f>
        <v/>
      </c>
      <c r="FY445" s="44" t="str">
        <f>IF(Table1[Date of Initial Assessment]="","",IF(AND(Table1[Start Date]&gt;42460,Table1[Start Date]&lt;42826),Table1[Drug and Alcohol Misuse],""))</f>
        <v/>
      </c>
      <c r="FZ445" s="44" t="str">
        <f>IF(Table1[Date of Initial Assessment]="","",IF(AND(Table1[Start Date]&gt;42460,Table1[Start Date]&lt;42826),Table1[Physical Health],""))</f>
        <v/>
      </c>
      <c r="GA445" s="44" t="str">
        <f>IF(Table1[Date of Initial Assessment]="","",IF(AND(Table1[Start Date]&gt;42460,Table1[Start Date]&lt;42826),Table1[Emotional and Mental Health],""))</f>
        <v/>
      </c>
      <c r="GB445" s="44" t="str">
        <f>IF(Table1[Date of Initial Assessment]="","",IF(AND(Table1[Start Date]&gt;42460,Table1[Start Date]&lt;42826),Table1[Meaningful Use of Time],""))</f>
        <v/>
      </c>
      <c r="GC445" s="44" t="str">
        <f>IF(Table1[Date of Initial Assessment]="","",IF(AND(Table1[Start Date]&gt;42460,Table1[Start Date]&lt;42826),Table1[Managing Tenancy and Accommodation],""))</f>
        <v/>
      </c>
      <c r="GD445" s="44" t="str">
        <f>IF(Table1[Date of Initial Assessment]="","",IF(AND(Table1[Start Date]&gt;42460,Table1[Start Date]&lt;42826),Table1[Offending],""))</f>
        <v/>
      </c>
      <c r="GE445" s="44" t="str">
        <f>IF(Table1[Leaving Date]="","",IF(AND(Table1[Leaving Date]&gt;42460,Table1[Leaving Date]&lt;42826),IF(Table1[Date of Last Assessment]="",Table1[Motivation and Taking Responsibility],Table1[Motivation and Taking Responsibility2]),""))</f>
        <v/>
      </c>
      <c r="GF445" s="44" t="str">
        <f>IF(Table1[Leaving Date]="","",IF(AND(Table1[Leaving Date]&gt;42460,Table1[Leaving Date]&lt;42826),IF(Table1[Date of Last Assessment]="",Table1[Self-Care and Living Skills],Table1[Self-Care and Living Skills2]),""))</f>
        <v/>
      </c>
      <c r="GG445" s="44" t="str">
        <f>IF(Table1[Leaving Date]="","",IF(AND(Table1[Leaving Date]&gt;42460,Table1[Leaving Date]&lt;42826),IF(Table1[Date of Last Assessment]="",Table1[Managing Money and Personal Administration],Table1[Managing Money and Personal Administration2]),""))</f>
        <v/>
      </c>
      <c r="GH445" s="44" t="str">
        <f>IF(Table1[Leaving Date]="","",IF(AND(Table1[Leaving Date]&gt;42460,Table1[Leaving Date]&lt;42826),IF(Table1[Date of Last Assessment]="",Table1[Social Networks and Relationships],Table1[Social Networks and Relationships2]),""))</f>
        <v/>
      </c>
      <c r="GI445" s="44" t="str">
        <f>IF(Table1[Leaving Date]="","",IF(AND(Table1[Leaving Date]&gt;42460,Table1[Leaving Date]&lt;42826),IF(Table1[Date of Last Assessment]="",Table1[Drug and Alcohol Misuse],Table1[Drug and Alcohol Misuse2]),""))</f>
        <v/>
      </c>
      <c r="GJ445" s="44" t="str">
        <f>IF(Table1[Leaving Date]="","",IF(AND(Table1[Leaving Date]&gt;42460,Table1[Leaving Date]&lt;42826),IF(Table1[Date of Last Assessment]="",Table1[Physical Health],Table1[Physical Health2]),""))</f>
        <v/>
      </c>
      <c r="GK445" s="44" t="str">
        <f>IF(Table1[Leaving Date]="","",IF(AND(Table1[Leaving Date]&gt;42460,Table1[Leaving Date]&lt;42826),IF(Table1[Date of Last Assessment]="",Table1[Emotional and Mental Health],Table1[Emotional and Mental Health2]),""))</f>
        <v/>
      </c>
      <c r="GL445" s="44" t="str">
        <f>IF(Table1[Leaving Date]="","",IF(AND(Table1[Leaving Date]&gt;42460,Table1[Leaving Date]&lt;42826),IF(Table1[Date of Last Assessment]="",Table1[Meaningful Use of Time],Table1[Meaningful Use of Time2]),""))</f>
        <v/>
      </c>
      <c r="GM445" s="44" t="str">
        <f>IF(Table1[Leaving Date]="","",IF(AND(Table1[Leaving Date]&gt;42460,Table1[Leaving Date]&lt;42826),IF(Table1[Date of Last Assessment]="",Table1[Managing Tenancy and Accommodation],Table1[Managing Tenancy and Accommodation2]),""))</f>
        <v/>
      </c>
      <c r="GN445" s="44" t="str">
        <f>IF(Table1[Leaving Date]="","",IF(AND(Table1[Leaving Date]&gt;42460,Table1[Leaving Date]&lt;42826),IF(Table1[Date of Last Assessment]="",Table1[Offending],Table1[Offending2]),""))</f>
        <v/>
      </c>
    </row>
    <row r="446" spans="2:196" ht="20.100000000000001" customHeight="1" x14ac:dyDescent="0.2">
      <c r="B446" s="86">
        <f>+'Service Data'!$C$5:$C$5</f>
        <v>0</v>
      </c>
      <c r="C446" s="86"/>
      <c r="D446" s="86"/>
      <c r="E446" s="86"/>
      <c r="F446" s="86"/>
      <c r="G446" s="86"/>
      <c r="H446" s="6"/>
      <c r="I446" s="99" t="str">
        <f ca="1">IF(Table1[[#This Row],[Date of Birth]]="","",SUM(TODAY()-Table1[[#This Row],[Date of Birth]])/365)</f>
        <v/>
      </c>
      <c r="L446" s="86"/>
      <c r="M446" s="77"/>
      <c r="N446" s="86"/>
      <c r="O446" s="86"/>
      <c r="P446" s="91"/>
      <c r="Q446" s="86"/>
      <c r="R446" s="77"/>
      <c r="S446" s="77"/>
      <c r="T446" s="68"/>
      <c r="U446" s="68"/>
      <c r="V446" s="67"/>
      <c r="W446" s="67"/>
      <c r="X446" s="67"/>
      <c r="Y446" s="67"/>
      <c r="Z446" s="67"/>
      <c r="AA446" s="67"/>
      <c r="AB446" s="67"/>
      <c r="AC446" s="67"/>
      <c r="AD446" s="67"/>
      <c r="AE446" s="67"/>
      <c r="AF446" s="67"/>
      <c r="AG446" s="67"/>
      <c r="AH446" s="67"/>
      <c r="AI446" s="67"/>
      <c r="AJ446" s="67"/>
      <c r="AK446" s="67"/>
      <c r="AL446" s="67"/>
      <c r="AM446" s="67"/>
      <c r="AN446" s="77"/>
      <c r="AO446" s="76"/>
      <c r="AP446" s="77"/>
      <c r="AQ446" s="76"/>
      <c r="AR446" s="76"/>
      <c r="AS446" s="76"/>
      <c r="AT446" s="76"/>
      <c r="AU446" s="76"/>
      <c r="AV446" s="77"/>
      <c r="AW446" s="76"/>
      <c r="AX446" s="77"/>
      <c r="AY446" s="76"/>
      <c r="AZ446" s="76"/>
      <c r="BA446" s="76"/>
      <c r="BB446" s="76"/>
      <c r="BC446" s="76"/>
      <c r="BD446" s="77"/>
      <c r="BE446" s="76"/>
      <c r="BF446" s="77"/>
      <c r="BG446" s="76"/>
      <c r="BH446" s="76"/>
      <c r="BI446" s="76"/>
      <c r="BJ446" s="76"/>
      <c r="BK446" s="76"/>
      <c r="BL446" s="77"/>
      <c r="BM446" s="76"/>
      <c r="BN446" s="77"/>
      <c r="BO446" s="76"/>
      <c r="BP446" s="76"/>
      <c r="BQ446" s="76"/>
      <c r="BR446" s="76"/>
      <c r="BS446" s="76"/>
      <c r="BT446" s="77"/>
      <c r="BU446" s="76"/>
      <c r="BV446" s="77"/>
      <c r="BW446" s="76"/>
      <c r="BX446" s="76"/>
      <c r="BY446" s="76"/>
      <c r="BZ446" s="76"/>
      <c r="CA446" s="76"/>
      <c r="CB446" s="77"/>
      <c r="CC446" s="76"/>
      <c r="CD446" s="77"/>
      <c r="CE446" s="76"/>
      <c r="CF446" s="76"/>
      <c r="CG446" s="76"/>
      <c r="CH446" s="76"/>
      <c r="CI446" s="76"/>
      <c r="CJ446" s="77"/>
      <c r="CK446" s="76"/>
      <c r="CL446" s="77"/>
      <c r="CM446" s="76"/>
      <c r="CN446" s="76"/>
      <c r="CO446" s="76"/>
      <c r="CP446" s="76"/>
      <c r="CQ446" s="76"/>
      <c r="CR446" s="78" t="str">
        <f t="shared" si="111"/>
        <v/>
      </c>
      <c r="CS446" s="79" t="str">
        <f t="shared" si="112"/>
        <v/>
      </c>
      <c r="CT446" s="79" t="str">
        <f t="shared" si="113"/>
        <v/>
      </c>
      <c r="CU446" s="79" t="str">
        <f t="shared" si="114"/>
        <v/>
      </c>
      <c r="CV446" s="79" t="str">
        <f t="shared" si="115"/>
        <v/>
      </c>
      <c r="CW446" s="79" t="str">
        <f t="shared" si="116"/>
        <v/>
      </c>
      <c r="CX446" s="79" t="str">
        <f t="shared" si="117"/>
        <v/>
      </c>
      <c r="CY446" s="79" t="str">
        <f t="shared" si="118"/>
        <v/>
      </c>
      <c r="CZ446" s="79" t="str">
        <f t="shared" si="119"/>
        <v/>
      </c>
      <c r="DA446" s="79" t="str">
        <f t="shared" si="120"/>
        <v/>
      </c>
      <c r="DB446" s="79" t="str">
        <f t="shared" si="121"/>
        <v/>
      </c>
      <c r="DC446" s="79" t="str">
        <f t="shared" si="122"/>
        <v/>
      </c>
      <c r="DD446" s="79" t="str">
        <f t="shared" si="123"/>
        <v/>
      </c>
      <c r="DE446" s="79" t="str">
        <f t="shared" si="124"/>
        <v/>
      </c>
      <c r="DF446" s="79" t="str">
        <f t="shared" si="125"/>
        <v/>
      </c>
      <c r="DG446" s="79" t="str">
        <f t="shared" si="126"/>
        <v/>
      </c>
      <c r="DH446" s="76"/>
      <c r="DI446" s="78"/>
      <c r="DJ446" s="76"/>
      <c r="DK446" s="77"/>
      <c r="DL446" s="77"/>
      <c r="DM446" s="77"/>
      <c r="DN446" s="80"/>
      <c r="DO446" s="80"/>
      <c r="DP446" s="92" t="str">
        <f>IF(Table1[Start Date]="","",IF(Table1[Start Date]&gt;42185,"",IF(AND(Table1[Leaving Date]&gt;1,Table1[Leaving Date]&lt;42095),"",1)))</f>
        <v/>
      </c>
      <c r="DQ446" s="92" t="str">
        <f>IF(Table1[Start Date]="","",IF(Table1[Start Date]&gt;42277,"",IF(AND(Table1[Leaving Date]&gt;1,Table1[Leaving Date]&lt;42186),"",1)))</f>
        <v/>
      </c>
      <c r="DR446" s="92" t="str">
        <f>IF(Table1[Start Date]="","",IF(Table1[Start Date]&gt;42369,"",IF(AND(Table1[Leaving Date]&gt;1,Table1[Leaving Date]&lt;42278),"",1)))</f>
        <v/>
      </c>
      <c r="DS446" s="92" t="str">
        <f>IF(Table1[Start Date]="","",IF(Table1[Start Date]&gt;42460,"",IF(AND(Table1[Leaving Date]&gt;1,Table1[Leaving Date]&lt;42370),"",1)))</f>
        <v/>
      </c>
      <c r="DT446" s="92" t="str">
        <f>IF(Table1[Start Date]="","",IF(Table1[Start Date]&gt;42551,"",IF(AND(Table1[Leaving Date]&gt;1,Table1[Leaving Date]&lt;42461),"",1)))</f>
        <v/>
      </c>
      <c r="DU446" s="92" t="str">
        <f>IF(Table1[Start Date]="","",IF(Table1[Start Date]&gt;42643,"",IF(AND(Table1[Leaving Date]&gt;1,Table1[Leaving Date]&lt;42552),"",1)))</f>
        <v/>
      </c>
      <c r="DV446" s="92" t="str">
        <f>IF(Table1[Start Date]="","",IF(Table1[Start Date]&gt;42735,"",IF(AND(Table1[Leaving Date]&gt;1,Table1[Leaving Date]&lt;42644),"",1)))</f>
        <v/>
      </c>
      <c r="DW446" s="92" t="str">
        <f>IF(Table1[Start Date]="","",IF(Table1[Start Date]&gt;42825,"",IF(AND(Table1[Leaving Date]&gt;1,Table1[Leaving Date]&lt;42736),"",1)))</f>
        <v/>
      </c>
      <c r="DX446"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446" s="44" t="e">
        <f>VLOOKUP(Table1[Referral Source],Lists!$G$2:$H$20,2,FALSE)</f>
        <v>#N/A</v>
      </c>
      <c r="DZ446" s="93" t="e">
        <f>SUM(Table1[Data Referral Quarter]+Table1[Data Referral Source])</f>
        <v>#N/A</v>
      </c>
      <c r="EA446" s="44" t="b">
        <f>IF(Table1[Referral Decision]="Accepted",100,IF(Table1[Referral Decision]="Rejected by Provider",200,IF(Table1[Referral Decision]="Rejected by Applicant",300)))</f>
        <v>0</v>
      </c>
      <c r="EB446" s="44">
        <f>SUM(Table1[Data Referral Quarter]+Table1[Data Referral Decision])</f>
        <v>0</v>
      </c>
      <c r="EC446" s="44" t="b">
        <f>IF(Table1[Start Date]&gt;42735,8000,IF(Table1[Start Date]&gt;42643,7000,IF(Table1[Start Date]&gt;42551,6000,IF(Table1[Start Date]&gt;42460,5000,IF(Table1[Start Date]&gt;42369,4000,IF(Table1[Start Date]&gt;42277,3000,IF(Table1[Start Date]&gt;42185,2000,IF(Table1[Start Date]&gt;42094,1000))))))))</f>
        <v>0</v>
      </c>
      <c r="ED446" s="44" t="str">
        <f>IF(Table1[Start Date]="","",IF(Table1[Current Local Authority]="Swindon",1,"2"))</f>
        <v/>
      </c>
      <c r="EE446" s="44" t="e">
        <f>SUM(Table1[Data Start Date]+Table1[Data Local Authority])</f>
        <v>#VALUE!</v>
      </c>
      <c r="EF446" s="44">
        <f>IF(Table1[Registered with GP]="Yes",1,0)</f>
        <v>0</v>
      </c>
      <c r="EG446" s="44">
        <f>SUM(Table1[Data Start Date]+Table1[Data GP Start])</f>
        <v>0</v>
      </c>
      <c r="EH446" s="44" t="str">
        <f>IF(Table1[EET]="NEET",1,IF(Table1[EET]="Education",2,IF(Table1[EET]="Employment",2,IF(Table1[EET]="Training",2,IF(Table1[EET]="Retired",3,"")))))</f>
        <v/>
      </c>
      <c r="EI446" s="44" t="e">
        <f>Table1[Data Start Date]+Table1[Data EET Start]</f>
        <v>#VALUE!</v>
      </c>
      <c r="EJ446" s="44" t="b">
        <f>IF(Table1[Leaving Date]&gt;42735,8000,IF(Table1[Leaving Date]&gt;42643,7000,IF(Table1[Leaving Date]&gt;42551,6000,IF(Table1[Leaving Date]&gt;42460,5000,IF(Table1[Leaving Date]&gt;42369,4000,IF(Table1[Leaving Date]&gt;42277,3000,IF(Table1[Leaving Date]&gt;42185,2000,IF(Table1[Leaving Date]&gt;42094,1000))))))))</f>
        <v>0</v>
      </c>
      <c r="EK446" s="44" t="e">
        <f>VLOOKUP(Table1[Reason for Leaving],Lists!$T$2:$U$15,2,FALSE)</f>
        <v>#N/A</v>
      </c>
      <c r="EL446" s="44" t="e">
        <f>SUM(Table1[Data Leavers Date]+Table1[Data Move On])</f>
        <v>#N/A</v>
      </c>
      <c r="EM446" s="44" t="b">
        <f>IF(Table1[Registered with GP2]="Yes",1,IF(Table1[Registered with GP2]="No",0,IF(Table1[Registered with GP]="Yes",1,IF(Table1[Registered with GP]="No",0))))</f>
        <v>0</v>
      </c>
      <c r="EN446" s="44">
        <f>SUM(Table1[Data Leavers Date]+Table1[Data GP End])</f>
        <v>0</v>
      </c>
      <c r="EO446" s="44" t="str">
        <f>IF(Table1[EET2]="NEET",1,IF(Table1[EET2]="Employment",2,IF(Table1[EET2]="Education",2,IF(Table1[EET2]="Training",2,IF(Table1[EET2]="Retired",3,IF(Table1[EET]="NEET",1,IF(Table1[EET]="Employment",2,IF(Table1[EET]="Education",2,IF(Table1[EET]="Training",2,IF(Table1[EET]="Retired",3,""))))))))))</f>
        <v/>
      </c>
      <c r="EP446" s="44" t="e">
        <f>+Table1[[#This Row],[Data Leavers Date]]+Table1[[#This Row],[Data EET End]]</f>
        <v>#VALUE!</v>
      </c>
      <c r="EQ446" s="44">
        <f>IF(Table1[Exit Form Received]="Yes",1,0)</f>
        <v>0</v>
      </c>
      <c r="ER446" s="44">
        <f>+Table1[[#This Row],[Data Leavers Date]]+Table1[[#This Row],[Data Exit Forms]]</f>
        <v>0</v>
      </c>
      <c r="ES446" s="44" t="str">
        <f>IF(Table1[Data Leavers Date]=1000,SUM(Table1[Leaving Date]-Table1[Start Date]),"")</f>
        <v/>
      </c>
      <c r="ET446" s="44" t="str">
        <f>IF(Table1[Data Leavers Date]=2000,SUM(Table1[Leaving Date]-Table1[Start Date]),"")</f>
        <v/>
      </c>
      <c r="EU446" s="44" t="str">
        <f>IF(Table1[Data Leavers Date]=3000,SUM(Table1[Leaving Date]-Table1[Start Date]),"")</f>
        <v/>
      </c>
      <c r="EV446" s="44" t="str">
        <f>IF(Table1[Data Leavers Date]=4000,SUM(Table1[Leaving Date]-Table1[Start Date]),"")</f>
        <v/>
      </c>
      <c r="EW446" s="44" t="str">
        <f>IF(Table1[Data Leavers Date]=5000,SUM(Table1[Leaving Date]-Table1[Start Date]),"")</f>
        <v/>
      </c>
      <c r="EX446" s="44" t="str">
        <f>IF(Table1[Data Leavers Date]=6000,SUM(Table1[Leaving Date]-Table1[Start Date]),"")</f>
        <v/>
      </c>
      <c r="EY446" s="44" t="str">
        <f>IF(Table1[Data Leavers Date]=7000,SUM(Table1[Leaving Date]-Table1[Start Date]),"")</f>
        <v/>
      </c>
      <c r="EZ446" s="44" t="str">
        <f>IF(Table1[Data Leavers Date]=8000,SUM(Table1[Leaving Date]-Table1[Start Date]),"")</f>
        <v/>
      </c>
      <c r="FA446" s="44" t="str">
        <f>IF(Table1[Date of Initial Assessment]="","",IF(AND(Table1[Start Date]&gt;42094,Table1[Start Date]&lt;42461),Table1[Motivation and Taking Responsibility],""))</f>
        <v/>
      </c>
      <c r="FB446" s="44" t="str">
        <f>IF(Table1[Date of Initial Assessment]="","",IF(AND(Table1[Start Date]&gt;42094,Table1[Start Date]&lt;42461),Table1[Self-Care and Living Skills],""))</f>
        <v/>
      </c>
      <c r="FC446" s="44" t="str">
        <f>IF(Table1[Date of Initial Assessment]="","",IF(AND(Table1[Start Date]&gt;42094,Table1[Start Date]&lt;42461),Table1[Managing Money and Personal Administration],""))</f>
        <v/>
      </c>
      <c r="FD446" s="44" t="str">
        <f>IF(Table1[Date of Initial Assessment]="","",IF(AND(Table1[Start Date]&gt;42094,Table1[Start Date]&lt;42461),Table1[Social Networks and Relationships],""))</f>
        <v/>
      </c>
      <c r="FE446" s="44" t="str">
        <f>IF(Table1[Date of Initial Assessment]="","",IF(AND(Table1[Start Date]&gt;42094,Table1[Start Date]&lt;42461),Table1[Drug and Alcohol Misuse],""))</f>
        <v/>
      </c>
      <c r="FF446" s="44" t="str">
        <f>IF(Table1[Date of Initial Assessment]="","",IF(AND(Table1[Start Date]&gt;42094,Table1[Start Date]&lt;42461),Table1[Physical Health],""))</f>
        <v/>
      </c>
      <c r="FG446" s="44" t="str">
        <f>IF(Table1[Date of Initial Assessment]="","",IF(AND(Table1[Start Date]&gt;42094,Table1[Start Date]&lt;42461),Table1[Emotional and Mental Health],""))</f>
        <v/>
      </c>
      <c r="FH446" s="44" t="str">
        <f>IF(Table1[Date of Initial Assessment]="","",IF(AND(Table1[Start Date]&gt;42094,Table1[Start Date]&lt;42461),Table1[Meaningful Use of Time],""))</f>
        <v/>
      </c>
      <c r="FI446" s="44" t="str">
        <f>IF(Table1[Date of Initial Assessment]="","",IF(AND(Table1[Start Date]&gt;42094,Table1[Start Date]&lt;42461),Table1[Managing Tenancy and Accommodation],""))</f>
        <v/>
      </c>
      <c r="FJ446" s="44" t="str">
        <f>IF(Table1[Date of Initial Assessment]="","",IF(AND(Table1[Start Date]&gt;42094,Table1[Start Date]&lt;42461),Table1[Offending],""))</f>
        <v/>
      </c>
      <c r="FK446" s="44" t="str">
        <f>IF(Table1[Leaving Date]="","",IF(Table1[Date of Initial Assessment]="","",IF(AND(Table1[Leaving Date]&gt;42094,Table1[Leaving Date]&lt;42461),IF(Table1[Date of Last Assessment]="",Table1[Motivation and Taking Responsibility],Table1[Motivation and Taking Responsibility2]),"")))</f>
        <v/>
      </c>
      <c r="FL446" s="44" t="str">
        <f>IF(Table1[Leaving Date]="","",IF(Table1[Date of Initial Assessment]="","",IF(AND(Table1[Leaving Date]&gt;42094,Table1[Leaving Date]&lt;42461),IF(Table1[Date of Last Assessment]="",Table1[Self-Care and Living Skills],Table1[Self-Care and Living Skills2]),"")))</f>
        <v/>
      </c>
      <c r="FM446" s="44" t="str">
        <f>IF(Table1[Leaving Date]="","",IF(Table1[Date of Initial Assessment]="","",IF(AND(Table1[Leaving Date]&gt;42094,Table1[Leaving Date]&lt;42461),IF(Table1[Date of Last Assessment]="",Table1[Managing Money and Personal Administration],Table1[Managing Money and Personal Administration2]),"")))</f>
        <v/>
      </c>
      <c r="FN446" s="44" t="str">
        <f>IF(Table1[Leaving Date]="","",IF(Table1[Date of Initial Assessment]="","",IF(AND(Table1[Leaving Date]&gt;42094,Table1[Leaving Date]&lt;42461),IF(Table1[Date of Last Assessment]="",Table1[Social Networks and Relationships],Table1[Social Networks and Relationships2]),"")))</f>
        <v/>
      </c>
      <c r="FO446" s="44" t="str">
        <f>IF(Table1[Leaving Date]="","",IF(Table1[Date of Initial Assessment]="","",IF(AND(Table1[Leaving Date]&gt;42094,Table1[Leaving Date]&lt;42461),IF(Table1[Date of Last Assessment]="",Table1[Drug and Alcohol Misuse],Table1[Drug and Alcohol Misuse2]),"")))</f>
        <v/>
      </c>
      <c r="FP446" s="44" t="str">
        <f>IF(Table1[Leaving Date]="","",IF(Table1[Date of Initial Assessment]="","",IF(AND(Table1[Leaving Date]&gt;42094,Table1[Leaving Date]&lt;42461),IF(Table1[Date of Last Assessment]="",Table1[Physical Health],Table1[Physical Health2]),"")))</f>
        <v/>
      </c>
      <c r="FQ446" s="44" t="str">
        <f>IF(Table1[Leaving Date]="","",IF(Table1[Date of Initial Assessment]="","",IF(AND(Table1[Leaving Date]&gt;42094,Table1[Leaving Date]&lt;42461),IF(Table1[Date of Last Assessment]="",Table1[Emotional and Mental Health],Table1[Emotional and Mental Health2]),"")))</f>
        <v/>
      </c>
      <c r="FR446" s="44" t="str">
        <f>IF(Table1[Leaving Date]="","",IF(Table1[Date of Initial Assessment]="","",IF(AND(Table1[Leaving Date]&gt;42094,Table1[Leaving Date]&lt;42461),IF(Table1[Date of Last Assessment]="",Table1[Meaningful Use of Time],Table1[Meaningful Use of Time2]),"")))</f>
        <v/>
      </c>
      <c r="FS446" s="44" t="str">
        <f>IF(Table1[Leaving Date]="","",IF(Table1[Date of Initial Assessment]="","",IF(AND(Table1[Leaving Date]&gt;42094,Table1[Leaving Date]&lt;42461),IF(Table1[Date of Last Assessment]="",Table1[Managing Tenancy and Accommodation],Table1[Managing Tenancy and Accommodation2]),"")))</f>
        <v/>
      </c>
      <c r="FT446" s="44" t="str">
        <f>IF(Table1[Leaving Date]="","",IF(Table1[Date of Initial Assessment]="","",IF(AND(Table1[Leaving Date]&gt;42094,Table1[Leaving Date]&lt;42461),IF(Table1[Date of Last Assessment]="",Table1[Offending],Table1[Offending2]),"")))</f>
        <v/>
      </c>
      <c r="FU446" s="44" t="str">
        <f>IF(Table1[Date of Initial Assessment]="","",IF(AND(Table1[Start Date]&gt;42460,Table1[Start Date]&lt;42826),Table1[Motivation and Taking Responsibility],""))</f>
        <v/>
      </c>
      <c r="FV446" s="44" t="str">
        <f>IF(Table1[Date of Initial Assessment]="","",IF(AND(Table1[Start Date]&gt;42460,Table1[Start Date]&lt;42826),Table1[Self-Care and Living Skills],""))</f>
        <v/>
      </c>
      <c r="FW446" s="44" t="str">
        <f>IF(Table1[Date of Initial Assessment]="","",IF(AND(Table1[Start Date]&gt;42460,Table1[Start Date]&lt;42826),Table1[Managing Money and Personal Administration],""))</f>
        <v/>
      </c>
      <c r="FX446" s="44" t="str">
        <f>IF(Table1[Date of Initial Assessment]="","",IF(AND(Table1[Start Date]&gt;42460,Table1[Start Date]&lt;42826),Table1[Social Networks and Relationships],""))</f>
        <v/>
      </c>
      <c r="FY446" s="44" t="str">
        <f>IF(Table1[Date of Initial Assessment]="","",IF(AND(Table1[Start Date]&gt;42460,Table1[Start Date]&lt;42826),Table1[Drug and Alcohol Misuse],""))</f>
        <v/>
      </c>
      <c r="FZ446" s="44" t="str">
        <f>IF(Table1[Date of Initial Assessment]="","",IF(AND(Table1[Start Date]&gt;42460,Table1[Start Date]&lt;42826),Table1[Physical Health],""))</f>
        <v/>
      </c>
      <c r="GA446" s="44" t="str">
        <f>IF(Table1[Date of Initial Assessment]="","",IF(AND(Table1[Start Date]&gt;42460,Table1[Start Date]&lt;42826),Table1[Emotional and Mental Health],""))</f>
        <v/>
      </c>
      <c r="GB446" s="44" t="str">
        <f>IF(Table1[Date of Initial Assessment]="","",IF(AND(Table1[Start Date]&gt;42460,Table1[Start Date]&lt;42826),Table1[Meaningful Use of Time],""))</f>
        <v/>
      </c>
      <c r="GC446" s="44" t="str">
        <f>IF(Table1[Date of Initial Assessment]="","",IF(AND(Table1[Start Date]&gt;42460,Table1[Start Date]&lt;42826),Table1[Managing Tenancy and Accommodation],""))</f>
        <v/>
      </c>
      <c r="GD446" s="44" t="str">
        <f>IF(Table1[Date of Initial Assessment]="","",IF(AND(Table1[Start Date]&gt;42460,Table1[Start Date]&lt;42826),Table1[Offending],""))</f>
        <v/>
      </c>
      <c r="GE446" s="44" t="str">
        <f>IF(Table1[Leaving Date]="","",IF(AND(Table1[Leaving Date]&gt;42460,Table1[Leaving Date]&lt;42826),IF(Table1[Date of Last Assessment]="",Table1[Motivation and Taking Responsibility],Table1[Motivation and Taking Responsibility2]),""))</f>
        <v/>
      </c>
      <c r="GF446" s="44" t="str">
        <f>IF(Table1[Leaving Date]="","",IF(AND(Table1[Leaving Date]&gt;42460,Table1[Leaving Date]&lt;42826),IF(Table1[Date of Last Assessment]="",Table1[Self-Care and Living Skills],Table1[Self-Care and Living Skills2]),""))</f>
        <v/>
      </c>
      <c r="GG446" s="44" t="str">
        <f>IF(Table1[Leaving Date]="","",IF(AND(Table1[Leaving Date]&gt;42460,Table1[Leaving Date]&lt;42826),IF(Table1[Date of Last Assessment]="",Table1[Managing Money and Personal Administration],Table1[Managing Money and Personal Administration2]),""))</f>
        <v/>
      </c>
      <c r="GH446" s="44" t="str">
        <f>IF(Table1[Leaving Date]="","",IF(AND(Table1[Leaving Date]&gt;42460,Table1[Leaving Date]&lt;42826),IF(Table1[Date of Last Assessment]="",Table1[Social Networks and Relationships],Table1[Social Networks and Relationships2]),""))</f>
        <v/>
      </c>
      <c r="GI446" s="44" t="str">
        <f>IF(Table1[Leaving Date]="","",IF(AND(Table1[Leaving Date]&gt;42460,Table1[Leaving Date]&lt;42826),IF(Table1[Date of Last Assessment]="",Table1[Drug and Alcohol Misuse],Table1[Drug and Alcohol Misuse2]),""))</f>
        <v/>
      </c>
      <c r="GJ446" s="44" t="str">
        <f>IF(Table1[Leaving Date]="","",IF(AND(Table1[Leaving Date]&gt;42460,Table1[Leaving Date]&lt;42826),IF(Table1[Date of Last Assessment]="",Table1[Physical Health],Table1[Physical Health2]),""))</f>
        <v/>
      </c>
      <c r="GK446" s="44" t="str">
        <f>IF(Table1[Leaving Date]="","",IF(AND(Table1[Leaving Date]&gt;42460,Table1[Leaving Date]&lt;42826),IF(Table1[Date of Last Assessment]="",Table1[Emotional and Mental Health],Table1[Emotional and Mental Health2]),""))</f>
        <v/>
      </c>
      <c r="GL446" s="44" t="str">
        <f>IF(Table1[Leaving Date]="","",IF(AND(Table1[Leaving Date]&gt;42460,Table1[Leaving Date]&lt;42826),IF(Table1[Date of Last Assessment]="",Table1[Meaningful Use of Time],Table1[Meaningful Use of Time2]),""))</f>
        <v/>
      </c>
      <c r="GM446" s="44" t="str">
        <f>IF(Table1[Leaving Date]="","",IF(AND(Table1[Leaving Date]&gt;42460,Table1[Leaving Date]&lt;42826),IF(Table1[Date of Last Assessment]="",Table1[Managing Tenancy and Accommodation],Table1[Managing Tenancy and Accommodation2]),""))</f>
        <v/>
      </c>
      <c r="GN446" s="44" t="str">
        <f>IF(Table1[Leaving Date]="","",IF(AND(Table1[Leaving Date]&gt;42460,Table1[Leaving Date]&lt;42826),IF(Table1[Date of Last Assessment]="",Table1[Offending],Table1[Offending2]),""))</f>
        <v/>
      </c>
    </row>
    <row r="447" spans="2:196" ht="20.100000000000001" customHeight="1" x14ac:dyDescent="0.2">
      <c r="B447" s="86">
        <f>+'Service Data'!$C$5:$C$5</f>
        <v>0</v>
      </c>
      <c r="C447" s="86"/>
      <c r="D447" s="86"/>
      <c r="E447" s="86"/>
      <c r="F447" s="86"/>
      <c r="G447" s="86"/>
      <c r="H447" s="6"/>
      <c r="I447" s="99" t="str">
        <f ca="1">IF(Table1[[#This Row],[Date of Birth]]="","",SUM(TODAY()-Table1[[#This Row],[Date of Birth]])/365)</f>
        <v/>
      </c>
      <c r="L447" s="86"/>
      <c r="M447" s="77"/>
      <c r="N447" s="86"/>
      <c r="O447" s="86"/>
      <c r="P447" s="91"/>
      <c r="Q447" s="86"/>
      <c r="R447" s="77"/>
      <c r="S447" s="77"/>
      <c r="T447" s="68"/>
      <c r="U447" s="68"/>
      <c r="V447" s="67"/>
      <c r="W447" s="67"/>
      <c r="X447" s="67"/>
      <c r="Y447" s="67"/>
      <c r="Z447" s="67"/>
      <c r="AA447" s="67"/>
      <c r="AB447" s="67"/>
      <c r="AC447" s="67"/>
      <c r="AD447" s="67"/>
      <c r="AE447" s="67"/>
      <c r="AF447" s="67"/>
      <c r="AG447" s="67"/>
      <c r="AH447" s="67"/>
      <c r="AI447" s="67"/>
      <c r="AJ447" s="67"/>
      <c r="AK447" s="67"/>
      <c r="AL447" s="67"/>
      <c r="AM447" s="67"/>
      <c r="AN447" s="77"/>
      <c r="AO447" s="76"/>
      <c r="AP447" s="77"/>
      <c r="AQ447" s="76"/>
      <c r="AR447" s="76"/>
      <c r="AS447" s="76"/>
      <c r="AT447" s="76"/>
      <c r="AU447" s="76"/>
      <c r="AV447" s="77"/>
      <c r="AW447" s="76"/>
      <c r="AX447" s="77"/>
      <c r="AY447" s="76"/>
      <c r="AZ447" s="76"/>
      <c r="BA447" s="76"/>
      <c r="BB447" s="76"/>
      <c r="BC447" s="76"/>
      <c r="BD447" s="77"/>
      <c r="BE447" s="76"/>
      <c r="BF447" s="77"/>
      <c r="BG447" s="76"/>
      <c r="BH447" s="76"/>
      <c r="BI447" s="76"/>
      <c r="BJ447" s="76"/>
      <c r="BK447" s="76"/>
      <c r="BL447" s="77"/>
      <c r="BM447" s="76"/>
      <c r="BN447" s="77"/>
      <c r="BO447" s="76"/>
      <c r="BP447" s="76"/>
      <c r="BQ447" s="76"/>
      <c r="BR447" s="76"/>
      <c r="BS447" s="76"/>
      <c r="BT447" s="77"/>
      <c r="BU447" s="76"/>
      <c r="BV447" s="77"/>
      <c r="BW447" s="76"/>
      <c r="BX447" s="76"/>
      <c r="BY447" s="76"/>
      <c r="BZ447" s="76"/>
      <c r="CA447" s="76"/>
      <c r="CB447" s="77"/>
      <c r="CC447" s="76"/>
      <c r="CD447" s="77"/>
      <c r="CE447" s="76"/>
      <c r="CF447" s="76"/>
      <c r="CG447" s="76"/>
      <c r="CH447" s="76"/>
      <c r="CI447" s="76"/>
      <c r="CJ447" s="77"/>
      <c r="CK447" s="76"/>
      <c r="CL447" s="77"/>
      <c r="CM447" s="76"/>
      <c r="CN447" s="76"/>
      <c r="CO447" s="76"/>
      <c r="CP447" s="76"/>
      <c r="CQ447" s="76"/>
      <c r="CR447" s="78" t="str">
        <f t="shared" si="111"/>
        <v/>
      </c>
      <c r="CS447" s="79" t="str">
        <f t="shared" si="112"/>
        <v/>
      </c>
      <c r="CT447" s="79" t="str">
        <f t="shared" si="113"/>
        <v/>
      </c>
      <c r="CU447" s="79" t="str">
        <f t="shared" si="114"/>
        <v/>
      </c>
      <c r="CV447" s="79" t="str">
        <f t="shared" si="115"/>
        <v/>
      </c>
      <c r="CW447" s="79" t="str">
        <f t="shared" si="116"/>
        <v/>
      </c>
      <c r="CX447" s="79" t="str">
        <f t="shared" si="117"/>
        <v/>
      </c>
      <c r="CY447" s="79" t="str">
        <f t="shared" si="118"/>
        <v/>
      </c>
      <c r="CZ447" s="79" t="str">
        <f t="shared" si="119"/>
        <v/>
      </c>
      <c r="DA447" s="79" t="str">
        <f t="shared" si="120"/>
        <v/>
      </c>
      <c r="DB447" s="79" t="str">
        <f t="shared" si="121"/>
        <v/>
      </c>
      <c r="DC447" s="79" t="str">
        <f t="shared" si="122"/>
        <v/>
      </c>
      <c r="DD447" s="79" t="str">
        <f t="shared" si="123"/>
        <v/>
      </c>
      <c r="DE447" s="79" t="str">
        <f t="shared" si="124"/>
        <v/>
      </c>
      <c r="DF447" s="79" t="str">
        <f t="shared" si="125"/>
        <v/>
      </c>
      <c r="DG447" s="79" t="str">
        <f t="shared" si="126"/>
        <v/>
      </c>
      <c r="DH447" s="76"/>
      <c r="DI447" s="78"/>
      <c r="DJ447" s="76"/>
      <c r="DK447" s="77"/>
      <c r="DL447" s="77"/>
      <c r="DM447" s="77"/>
      <c r="DN447" s="80"/>
      <c r="DO447" s="80"/>
      <c r="DP447" s="92" t="str">
        <f>IF(Table1[Start Date]="","",IF(Table1[Start Date]&gt;42185,"",IF(AND(Table1[Leaving Date]&gt;1,Table1[Leaving Date]&lt;42095),"",1)))</f>
        <v/>
      </c>
      <c r="DQ447" s="92" t="str">
        <f>IF(Table1[Start Date]="","",IF(Table1[Start Date]&gt;42277,"",IF(AND(Table1[Leaving Date]&gt;1,Table1[Leaving Date]&lt;42186),"",1)))</f>
        <v/>
      </c>
      <c r="DR447" s="92" t="str">
        <f>IF(Table1[Start Date]="","",IF(Table1[Start Date]&gt;42369,"",IF(AND(Table1[Leaving Date]&gt;1,Table1[Leaving Date]&lt;42278),"",1)))</f>
        <v/>
      </c>
      <c r="DS447" s="92" t="str">
        <f>IF(Table1[Start Date]="","",IF(Table1[Start Date]&gt;42460,"",IF(AND(Table1[Leaving Date]&gt;1,Table1[Leaving Date]&lt;42370),"",1)))</f>
        <v/>
      </c>
      <c r="DT447" s="92" t="str">
        <f>IF(Table1[Start Date]="","",IF(Table1[Start Date]&gt;42551,"",IF(AND(Table1[Leaving Date]&gt;1,Table1[Leaving Date]&lt;42461),"",1)))</f>
        <v/>
      </c>
      <c r="DU447" s="92" t="str">
        <f>IF(Table1[Start Date]="","",IF(Table1[Start Date]&gt;42643,"",IF(AND(Table1[Leaving Date]&gt;1,Table1[Leaving Date]&lt;42552),"",1)))</f>
        <v/>
      </c>
      <c r="DV447" s="92" t="str">
        <f>IF(Table1[Start Date]="","",IF(Table1[Start Date]&gt;42735,"",IF(AND(Table1[Leaving Date]&gt;1,Table1[Leaving Date]&lt;42644),"",1)))</f>
        <v/>
      </c>
      <c r="DW447" s="92" t="str">
        <f>IF(Table1[Start Date]="","",IF(Table1[Start Date]&gt;42825,"",IF(AND(Table1[Leaving Date]&gt;1,Table1[Leaving Date]&lt;42736),"",1)))</f>
        <v/>
      </c>
      <c r="DX447"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447" s="44" t="e">
        <f>VLOOKUP(Table1[Referral Source],Lists!$G$2:$H$20,2,FALSE)</f>
        <v>#N/A</v>
      </c>
      <c r="DZ447" s="93" t="e">
        <f>SUM(Table1[Data Referral Quarter]+Table1[Data Referral Source])</f>
        <v>#N/A</v>
      </c>
      <c r="EA447" s="44" t="b">
        <f>IF(Table1[Referral Decision]="Accepted",100,IF(Table1[Referral Decision]="Rejected by Provider",200,IF(Table1[Referral Decision]="Rejected by Applicant",300)))</f>
        <v>0</v>
      </c>
      <c r="EB447" s="44">
        <f>SUM(Table1[Data Referral Quarter]+Table1[Data Referral Decision])</f>
        <v>0</v>
      </c>
      <c r="EC447" s="44" t="b">
        <f>IF(Table1[Start Date]&gt;42735,8000,IF(Table1[Start Date]&gt;42643,7000,IF(Table1[Start Date]&gt;42551,6000,IF(Table1[Start Date]&gt;42460,5000,IF(Table1[Start Date]&gt;42369,4000,IF(Table1[Start Date]&gt;42277,3000,IF(Table1[Start Date]&gt;42185,2000,IF(Table1[Start Date]&gt;42094,1000))))))))</f>
        <v>0</v>
      </c>
      <c r="ED447" s="44" t="str">
        <f>IF(Table1[Start Date]="","",IF(Table1[Current Local Authority]="Swindon",1,"2"))</f>
        <v/>
      </c>
      <c r="EE447" s="44" t="e">
        <f>SUM(Table1[Data Start Date]+Table1[Data Local Authority])</f>
        <v>#VALUE!</v>
      </c>
      <c r="EF447" s="44">
        <f>IF(Table1[Registered with GP]="Yes",1,0)</f>
        <v>0</v>
      </c>
      <c r="EG447" s="44">
        <f>SUM(Table1[Data Start Date]+Table1[Data GP Start])</f>
        <v>0</v>
      </c>
      <c r="EH447" s="44" t="str">
        <f>IF(Table1[EET]="NEET",1,IF(Table1[EET]="Education",2,IF(Table1[EET]="Employment",2,IF(Table1[EET]="Training",2,IF(Table1[EET]="Retired",3,"")))))</f>
        <v/>
      </c>
      <c r="EI447" s="44" t="e">
        <f>Table1[Data Start Date]+Table1[Data EET Start]</f>
        <v>#VALUE!</v>
      </c>
      <c r="EJ447" s="44" t="b">
        <f>IF(Table1[Leaving Date]&gt;42735,8000,IF(Table1[Leaving Date]&gt;42643,7000,IF(Table1[Leaving Date]&gt;42551,6000,IF(Table1[Leaving Date]&gt;42460,5000,IF(Table1[Leaving Date]&gt;42369,4000,IF(Table1[Leaving Date]&gt;42277,3000,IF(Table1[Leaving Date]&gt;42185,2000,IF(Table1[Leaving Date]&gt;42094,1000))))))))</f>
        <v>0</v>
      </c>
      <c r="EK447" s="44" t="e">
        <f>VLOOKUP(Table1[Reason for Leaving],Lists!$T$2:$U$15,2,FALSE)</f>
        <v>#N/A</v>
      </c>
      <c r="EL447" s="44" t="e">
        <f>SUM(Table1[Data Leavers Date]+Table1[Data Move On])</f>
        <v>#N/A</v>
      </c>
      <c r="EM447" s="44" t="b">
        <f>IF(Table1[Registered with GP2]="Yes",1,IF(Table1[Registered with GP2]="No",0,IF(Table1[Registered with GP]="Yes",1,IF(Table1[Registered with GP]="No",0))))</f>
        <v>0</v>
      </c>
      <c r="EN447" s="44">
        <f>SUM(Table1[Data Leavers Date]+Table1[Data GP End])</f>
        <v>0</v>
      </c>
      <c r="EO447" s="44" t="str">
        <f>IF(Table1[EET2]="NEET",1,IF(Table1[EET2]="Employment",2,IF(Table1[EET2]="Education",2,IF(Table1[EET2]="Training",2,IF(Table1[EET2]="Retired",3,IF(Table1[EET]="NEET",1,IF(Table1[EET]="Employment",2,IF(Table1[EET]="Education",2,IF(Table1[EET]="Training",2,IF(Table1[EET]="Retired",3,""))))))))))</f>
        <v/>
      </c>
      <c r="EP447" s="44" t="e">
        <f>+Table1[[#This Row],[Data Leavers Date]]+Table1[[#This Row],[Data EET End]]</f>
        <v>#VALUE!</v>
      </c>
      <c r="EQ447" s="44">
        <f>IF(Table1[Exit Form Received]="Yes",1,0)</f>
        <v>0</v>
      </c>
      <c r="ER447" s="44">
        <f>+Table1[[#This Row],[Data Leavers Date]]+Table1[[#This Row],[Data Exit Forms]]</f>
        <v>0</v>
      </c>
      <c r="ES447" s="44" t="str">
        <f>IF(Table1[Data Leavers Date]=1000,SUM(Table1[Leaving Date]-Table1[Start Date]),"")</f>
        <v/>
      </c>
      <c r="ET447" s="44" t="str">
        <f>IF(Table1[Data Leavers Date]=2000,SUM(Table1[Leaving Date]-Table1[Start Date]),"")</f>
        <v/>
      </c>
      <c r="EU447" s="44" t="str">
        <f>IF(Table1[Data Leavers Date]=3000,SUM(Table1[Leaving Date]-Table1[Start Date]),"")</f>
        <v/>
      </c>
      <c r="EV447" s="44" t="str">
        <f>IF(Table1[Data Leavers Date]=4000,SUM(Table1[Leaving Date]-Table1[Start Date]),"")</f>
        <v/>
      </c>
      <c r="EW447" s="44" t="str">
        <f>IF(Table1[Data Leavers Date]=5000,SUM(Table1[Leaving Date]-Table1[Start Date]),"")</f>
        <v/>
      </c>
      <c r="EX447" s="44" t="str">
        <f>IF(Table1[Data Leavers Date]=6000,SUM(Table1[Leaving Date]-Table1[Start Date]),"")</f>
        <v/>
      </c>
      <c r="EY447" s="44" t="str">
        <f>IF(Table1[Data Leavers Date]=7000,SUM(Table1[Leaving Date]-Table1[Start Date]),"")</f>
        <v/>
      </c>
      <c r="EZ447" s="44" t="str">
        <f>IF(Table1[Data Leavers Date]=8000,SUM(Table1[Leaving Date]-Table1[Start Date]),"")</f>
        <v/>
      </c>
      <c r="FA447" s="44" t="str">
        <f>IF(Table1[Date of Initial Assessment]="","",IF(AND(Table1[Start Date]&gt;42094,Table1[Start Date]&lt;42461),Table1[Motivation and Taking Responsibility],""))</f>
        <v/>
      </c>
      <c r="FB447" s="44" t="str">
        <f>IF(Table1[Date of Initial Assessment]="","",IF(AND(Table1[Start Date]&gt;42094,Table1[Start Date]&lt;42461),Table1[Self-Care and Living Skills],""))</f>
        <v/>
      </c>
      <c r="FC447" s="44" t="str">
        <f>IF(Table1[Date of Initial Assessment]="","",IF(AND(Table1[Start Date]&gt;42094,Table1[Start Date]&lt;42461),Table1[Managing Money and Personal Administration],""))</f>
        <v/>
      </c>
      <c r="FD447" s="44" t="str">
        <f>IF(Table1[Date of Initial Assessment]="","",IF(AND(Table1[Start Date]&gt;42094,Table1[Start Date]&lt;42461),Table1[Social Networks and Relationships],""))</f>
        <v/>
      </c>
      <c r="FE447" s="44" t="str">
        <f>IF(Table1[Date of Initial Assessment]="","",IF(AND(Table1[Start Date]&gt;42094,Table1[Start Date]&lt;42461),Table1[Drug and Alcohol Misuse],""))</f>
        <v/>
      </c>
      <c r="FF447" s="44" t="str">
        <f>IF(Table1[Date of Initial Assessment]="","",IF(AND(Table1[Start Date]&gt;42094,Table1[Start Date]&lt;42461),Table1[Physical Health],""))</f>
        <v/>
      </c>
      <c r="FG447" s="44" t="str">
        <f>IF(Table1[Date of Initial Assessment]="","",IF(AND(Table1[Start Date]&gt;42094,Table1[Start Date]&lt;42461),Table1[Emotional and Mental Health],""))</f>
        <v/>
      </c>
      <c r="FH447" s="44" t="str">
        <f>IF(Table1[Date of Initial Assessment]="","",IF(AND(Table1[Start Date]&gt;42094,Table1[Start Date]&lt;42461),Table1[Meaningful Use of Time],""))</f>
        <v/>
      </c>
      <c r="FI447" s="44" t="str">
        <f>IF(Table1[Date of Initial Assessment]="","",IF(AND(Table1[Start Date]&gt;42094,Table1[Start Date]&lt;42461),Table1[Managing Tenancy and Accommodation],""))</f>
        <v/>
      </c>
      <c r="FJ447" s="44" t="str">
        <f>IF(Table1[Date of Initial Assessment]="","",IF(AND(Table1[Start Date]&gt;42094,Table1[Start Date]&lt;42461),Table1[Offending],""))</f>
        <v/>
      </c>
      <c r="FK447" s="44" t="str">
        <f>IF(Table1[Leaving Date]="","",IF(Table1[Date of Initial Assessment]="","",IF(AND(Table1[Leaving Date]&gt;42094,Table1[Leaving Date]&lt;42461),IF(Table1[Date of Last Assessment]="",Table1[Motivation and Taking Responsibility],Table1[Motivation and Taking Responsibility2]),"")))</f>
        <v/>
      </c>
      <c r="FL447" s="44" t="str">
        <f>IF(Table1[Leaving Date]="","",IF(Table1[Date of Initial Assessment]="","",IF(AND(Table1[Leaving Date]&gt;42094,Table1[Leaving Date]&lt;42461),IF(Table1[Date of Last Assessment]="",Table1[Self-Care and Living Skills],Table1[Self-Care and Living Skills2]),"")))</f>
        <v/>
      </c>
      <c r="FM447" s="44" t="str">
        <f>IF(Table1[Leaving Date]="","",IF(Table1[Date of Initial Assessment]="","",IF(AND(Table1[Leaving Date]&gt;42094,Table1[Leaving Date]&lt;42461),IF(Table1[Date of Last Assessment]="",Table1[Managing Money and Personal Administration],Table1[Managing Money and Personal Administration2]),"")))</f>
        <v/>
      </c>
      <c r="FN447" s="44" t="str">
        <f>IF(Table1[Leaving Date]="","",IF(Table1[Date of Initial Assessment]="","",IF(AND(Table1[Leaving Date]&gt;42094,Table1[Leaving Date]&lt;42461),IF(Table1[Date of Last Assessment]="",Table1[Social Networks and Relationships],Table1[Social Networks and Relationships2]),"")))</f>
        <v/>
      </c>
      <c r="FO447" s="44" t="str">
        <f>IF(Table1[Leaving Date]="","",IF(Table1[Date of Initial Assessment]="","",IF(AND(Table1[Leaving Date]&gt;42094,Table1[Leaving Date]&lt;42461),IF(Table1[Date of Last Assessment]="",Table1[Drug and Alcohol Misuse],Table1[Drug and Alcohol Misuse2]),"")))</f>
        <v/>
      </c>
      <c r="FP447" s="44" t="str">
        <f>IF(Table1[Leaving Date]="","",IF(Table1[Date of Initial Assessment]="","",IF(AND(Table1[Leaving Date]&gt;42094,Table1[Leaving Date]&lt;42461),IF(Table1[Date of Last Assessment]="",Table1[Physical Health],Table1[Physical Health2]),"")))</f>
        <v/>
      </c>
      <c r="FQ447" s="44" t="str">
        <f>IF(Table1[Leaving Date]="","",IF(Table1[Date of Initial Assessment]="","",IF(AND(Table1[Leaving Date]&gt;42094,Table1[Leaving Date]&lt;42461),IF(Table1[Date of Last Assessment]="",Table1[Emotional and Mental Health],Table1[Emotional and Mental Health2]),"")))</f>
        <v/>
      </c>
      <c r="FR447" s="44" t="str">
        <f>IF(Table1[Leaving Date]="","",IF(Table1[Date of Initial Assessment]="","",IF(AND(Table1[Leaving Date]&gt;42094,Table1[Leaving Date]&lt;42461),IF(Table1[Date of Last Assessment]="",Table1[Meaningful Use of Time],Table1[Meaningful Use of Time2]),"")))</f>
        <v/>
      </c>
      <c r="FS447" s="44" t="str">
        <f>IF(Table1[Leaving Date]="","",IF(Table1[Date of Initial Assessment]="","",IF(AND(Table1[Leaving Date]&gt;42094,Table1[Leaving Date]&lt;42461),IF(Table1[Date of Last Assessment]="",Table1[Managing Tenancy and Accommodation],Table1[Managing Tenancy and Accommodation2]),"")))</f>
        <v/>
      </c>
      <c r="FT447" s="44" t="str">
        <f>IF(Table1[Leaving Date]="","",IF(Table1[Date of Initial Assessment]="","",IF(AND(Table1[Leaving Date]&gt;42094,Table1[Leaving Date]&lt;42461),IF(Table1[Date of Last Assessment]="",Table1[Offending],Table1[Offending2]),"")))</f>
        <v/>
      </c>
      <c r="FU447" s="44" t="str">
        <f>IF(Table1[Date of Initial Assessment]="","",IF(AND(Table1[Start Date]&gt;42460,Table1[Start Date]&lt;42826),Table1[Motivation and Taking Responsibility],""))</f>
        <v/>
      </c>
      <c r="FV447" s="44" t="str">
        <f>IF(Table1[Date of Initial Assessment]="","",IF(AND(Table1[Start Date]&gt;42460,Table1[Start Date]&lt;42826),Table1[Self-Care and Living Skills],""))</f>
        <v/>
      </c>
      <c r="FW447" s="44" t="str">
        <f>IF(Table1[Date of Initial Assessment]="","",IF(AND(Table1[Start Date]&gt;42460,Table1[Start Date]&lt;42826),Table1[Managing Money and Personal Administration],""))</f>
        <v/>
      </c>
      <c r="FX447" s="44" t="str">
        <f>IF(Table1[Date of Initial Assessment]="","",IF(AND(Table1[Start Date]&gt;42460,Table1[Start Date]&lt;42826),Table1[Social Networks and Relationships],""))</f>
        <v/>
      </c>
      <c r="FY447" s="44" t="str">
        <f>IF(Table1[Date of Initial Assessment]="","",IF(AND(Table1[Start Date]&gt;42460,Table1[Start Date]&lt;42826),Table1[Drug and Alcohol Misuse],""))</f>
        <v/>
      </c>
      <c r="FZ447" s="44" t="str">
        <f>IF(Table1[Date of Initial Assessment]="","",IF(AND(Table1[Start Date]&gt;42460,Table1[Start Date]&lt;42826),Table1[Physical Health],""))</f>
        <v/>
      </c>
      <c r="GA447" s="44" t="str">
        <f>IF(Table1[Date of Initial Assessment]="","",IF(AND(Table1[Start Date]&gt;42460,Table1[Start Date]&lt;42826),Table1[Emotional and Mental Health],""))</f>
        <v/>
      </c>
      <c r="GB447" s="44" t="str">
        <f>IF(Table1[Date of Initial Assessment]="","",IF(AND(Table1[Start Date]&gt;42460,Table1[Start Date]&lt;42826),Table1[Meaningful Use of Time],""))</f>
        <v/>
      </c>
      <c r="GC447" s="44" t="str">
        <f>IF(Table1[Date of Initial Assessment]="","",IF(AND(Table1[Start Date]&gt;42460,Table1[Start Date]&lt;42826),Table1[Managing Tenancy and Accommodation],""))</f>
        <v/>
      </c>
      <c r="GD447" s="44" t="str">
        <f>IF(Table1[Date of Initial Assessment]="","",IF(AND(Table1[Start Date]&gt;42460,Table1[Start Date]&lt;42826),Table1[Offending],""))</f>
        <v/>
      </c>
      <c r="GE447" s="44" t="str">
        <f>IF(Table1[Leaving Date]="","",IF(AND(Table1[Leaving Date]&gt;42460,Table1[Leaving Date]&lt;42826),IF(Table1[Date of Last Assessment]="",Table1[Motivation and Taking Responsibility],Table1[Motivation and Taking Responsibility2]),""))</f>
        <v/>
      </c>
      <c r="GF447" s="44" t="str">
        <f>IF(Table1[Leaving Date]="","",IF(AND(Table1[Leaving Date]&gt;42460,Table1[Leaving Date]&lt;42826),IF(Table1[Date of Last Assessment]="",Table1[Self-Care and Living Skills],Table1[Self-Care and Living Skills2]),""))</f>
        <v/>
      </c>
      <c r="GG447" s="44" t="str">
        <f>IF(Table1[Leaving Date]="","",IF(AND(Table1[Leaving Date]&gt;42460,Table1[Leaving Date]&lt;42826),IF(Table1[Date of Last Assessment]="",Table1[Managing Money and Personal Administration],Table1[Managing Money and Personal Administration2]),""))</f>
        <v/>
      </c>
      <c r="GH447" s="44" t="str">
        <f>IF(Table1[Leaving Date]="","",IF(AND(Table1[Leaving Date]&gt;42460,Table1[Leaving Date]&lt;42826),IF(Table1[Date of Last Assessment]="",Table1[Social Networks and Relationships],Table1[Social Networks and Relationships2]),""))</f>
        <v/>
      </c>
      <c r="GI447" s="44" t="str">
        <f>IF(Table1[Leaving Date]="","",IF(AND(Table1[Leaving Date]&gt;42460,Table1[Leaving Date]&lt;42826),IF(Table1[Date of Last Assessment]="",Table1[Drug and Alcohol Misuse],Table1[Drug and Alcohol Misuse2]),""))</f>
        <v/>
      </c>
      <c r="GJ447" s="44" t="str">
        <f>IF(Table1[Leaving Date]="","",IF(AND(Table1[Leaving Date]&gt;42460,Table1[Leaving Date]&lt;42826),IF(Table1[Date of Last Assessment]="",Table1[Physical Health],Table1[Physical Health2]),""))</f>
        <v/>
      </c>
      <c r="GK447" s="44" t="str">
        <f>IF(Table1[Leaving Date]="","",IF(AND(Table1[Leaving Date]&gt;42460,Table1[Leaving Date]&lt;42826),IF(Table1[Date of Last Assessment]="",Table1[Emotional and Mental Health],Table1[Emotional and Mental Health2]),""))</f>
        <v/>
      </c>
      <c r="GL447" s="44" t="str">
        <f>IF(Table1[Leaving Date]="","",IF(AND(Table1[Leaving Date]&gt;42460,Table1[Leaving Date]&lt;42826),IF(Table1[Date of Last Assessment]="",Table1[Meaningful Use of Time],Table1[Meaningful Use of Time2]),""))</f>
        <v/>
      </c>
      <c r="GM447" s="44" t="str">
        <f>IF(Table1[Leaving Date]="","",IF(AND(Table1[Leaving Date]&gt;42460,Table1[Leaving Date]&lt;42826),IF(Table1[Date of Last Assessment]="",Table1[Managing Tenancy and Accommodation],Table1[Managing Tenancy and Accommodation2]),""))</f>
        <v/>
      </c>
      <c r="GN447" s="44" t="str">
        <f>IF(Table1[Leaving Date]="","",IF(AND(Table1[Leaving Date]&gt;42460,Table1[Leaving Date]&lt;42826),IF(Table1[Date of Last Assessment]="",Table1[Offending],Table1[Offending2]),""))</f>
        <v/>
      </c>
    </row>
    <row r="448" spans="2:196" ht="20.100000000000001" customHeight="1" x14ac:dyDescent="0.2">
      <c r="B448" s="86">
        <f>+'Service Data'!$C$5:$C$5</f>
        <v>0</v>
      </c>
      <c r="C448" s="86"/>
      <c r="D448" s="86"/>
      <c r="E448" s="86"/>
      <c r="F448" s="86"/>
      <c r="G448" s="86"/>
      <c r="H448" s="6"/>
      <c r="I448" s="99" t="str">
        <f ca="1">IF(Table1[[#This Row],[Date of Birth]]="","",SUM(TODAY()-Table1[[#This Row],[Date of Birth]])/365)</f>
        <v/>
      </c>
      <c r="L448" s="86"/>
      <c r="M448" s="77"/>
      <c r="N448" s="86"/>
      <c r="O448" s="86"/>
      <c r="P448" s="91"/>
      <c r="Q448" s="86"/>
      <c r="R448" s="77"/>
      <c r="S448" s="77"/>
      <c r="T448" s="68"/>
      <c r="U448" s="68"/>
      <c r="V448" s="67"/>
      <c r="W448" s="67"/>
      <c r="X448" s="67"/>
      <c r="Y448" s="67"/>
      <c r="Z448" s="67"/>
      <c r="AA448" s="67"/>
      <c r="AB448" s="67"/>
      <c r="AC448" s="67"/>
      <c r="AD448" s="67"/>
      <c r="AE448" s="67"/>
      <c r="AF448" s="67"/>
      <c r="AG448" s="67"/>
      <c r="AH448" s="67"/>
      <c r="AI448" s="67"/>
      <c r="AJ448" s="67"/>
      <c r="AK448" s="67"/>
      <c r="AL448" s="67"/>
      <c r="AM448" s="67"/>
      <c r="AN448" s="77"/>
      <c r="AO448" s="76"/>
      <c r="AP448" s="77"/>
      <c r="AQ448" s="76"/>
      <c r="AR448" s="76"/>
      <c r="AS448" s="76"/>
      <c r="AT448" s="76"/>
      <c r="AU448" s="76"/>
      <c r="AV448" s="77"/>
      <c r="AW448" s="76"/>
      <c r="AX448" s="77"/>
      <c r="AY448" s="76"/>
      <c r="AZ448" s="76"/>
      <c r="BA448" s="76"/>
      <c r="BB448" s="76"/>
      <c r="BC448" s="76"/>
      <c r="BD448" s="77"/>
      <c r="BE448" s="76"/>
      <c r="BF448" s="77"/>
      <c r="BG448" s="76"/>
      <c r="BH448" s="76"/>
      <c r="BI448" s="76"/>
      <c r="BJ448" s="76"/>
      <c r="BK448" s="76"/>
      <c r="BL448" s="77"/>
      <c r="BM448" s="76"/>
      <c r="BN448" s="77"/>
      <c r="BO448" s="76"/>
      <c r="BP448" s="76"/>
      <c r="BQ448" s="76"/>
      <c r="BR448" s="76"/>
      <c r="BS448" s="76"/>
      <c r="BT448" s="77"/>
      <c r="BU448" s="76"/>
      <c r="BV448" s="77"/>
      <c r="BW448" s="76"/>
      <c r="BX448" s="76"/>
      <c r="BY448" s="76"/>
      <c r="BZ448" s="76"/>
      <c r="CA448" s="76"/>
      <c r="CB448" s="77"/>
      <c r="CC448" s="76"/>
      <c r="CD448" s="77"/>
      <c r="CE448" s="76"/>
      <c r="CF448" s="76"/>
      <c r="CG448" s="76"/>
      <c r="CH448" s="76"/>
      <c r="CI448" s="76"/>
      <c r="CJ448" s="77"/>
      <c r="CK448" s="76"/>
      <c r="CL448" s="77"/>
      <c r="CM448" s="76"/>
      <c r="CN448" s="76"/>
      <c r="CO448" s="76"/>
      <c r="CP448" s="76"/>
      <c r="CQ448" s="76"/>
      <c r="CR448" s="78" t="str">
        <f t="shared" si="111"/>
        <v/>
      </c>
      <c r="CS448" s="79" t="str">
        <f t="shared" si="112"/>
        <v/>
      </c>
      <c r="CT448" s="79" t="str">
        <f t="shared" si="113"/>
        <v/>
      </c>
      <c r="CU448" s="79" t="str">
        <f t="shared" si="114"/>
        <v/>
      </c>
      <c r="CV448" s="79" t="str">
        <f t="shared" si="115"/>
        <v/>
      </c>
      <c r="CW448" s="79" t="str">
        <f t="shared" si="116"/>
        <v/>
      </c>
      <c r="CX448" s="79" t="str">
        <f t="shared" si="117"/>
        <v/>
      </c>
      <c r="CY448" s="79" t="str">
        <f t="shared" si="118"/>
        <v/>
      </c>
      <c r="CZ448" s="79" t="str">
        <f t="shared" si="119"/>
        <v/>
      </c>
      <c r="DA448" s="79" t="str">
        <f t="shared" si="120"/>
        <v/>
      </c>
      <c r="DB448" s="79" t="str">
        <f t="shared" si="121"/>
        <v/>
      </c>
      <c r="DC448" s="79" t="str">
        <f t="shared" si="122"/>
        <v/>
      </c>
      <c r="DD448" s="79" t="str">
        <f t="shared" si="123"/>
        <v/>
      </c>
      <c r="DE448" s="79" t="str">
        <f t="shared" si="124"/>
        <v/>
      </c>
      <c r="DF448" s="79" t="str">
        <f t="shared" si="125"/>
        <v/>
      </c>
      <c r="DG448" s="79" t="str">
        <f t="shared" si="126"/>
        <v/>
      </c>
      <c r="DH448" s="76"/>
      <c r="DI448" s="78"/>
      <c r="DJ448" s="76"/>
      <c r="DK448" s="77"/>
      <c r="DL448" s="77"/>
      <c r="DM448" s="77"/>
      <c r="DN448" s="80"/>
      <c r="DO448" s="80"/>
      <c r="DP448" s="92" t="str">
        <f>IF(Table1[Start Date]="","",IF(Table1[Start Date]&gt;42185,"",IF(AND(Table1[Leaving Date]&gt;1,Table1[Leaving Date]&lt;42095),"",1)))</f>
        <v/>
      </c>
      <c r="DQ448" s="92" t="str">
        <f>IF(Table1[Start Date]="","",IF(Table1[Start Date]&gt;42277,"",IF(AND(Table1[Leaving Date]&gt;1,Table1[Leaving Date]&lt;42186),"",1)))</f>
        <v/>
      </c>
      <c r="DR448" s="92" t="str">
        <f>IF(Table1[Start Date]="","",IF(Table1[Start Date]&gt;42369,"",IF(AND(Table1[Leaving Date]&gt;1,Table1[Leaving Date]&lt;42278),"",1)))</f>
        <v/>
      </c>
      <c r="DS448" s="92" t="str">
        <f>IF(Table1[Start Date]="","",IF(Table1[Start Date]&gt;42460,"",IF(AND(Table1[Leaving Date]&gt;1,Table1[Leaving Date]&lt;42370),"",1)))</f>
        <v/>
      </c>
      <c r="DT448" s="92" t="str">
        <f>IF(Table1[Start Date]="","",IF(Table1[Start Date]&gt;42551,"",IF(AND(Table1[Leaving Date]&gt;1,Table1[Leaving Date]&lt;42461),"",1)))</f>
        <v/>
      </c>
      <c r="DU448" s="92" t="str">
        <f>IF(Table1[Start Date]="","",IF(Table1[Start Date]&gt;42643,"",IF(AND(Table1[Leaving Date]&gt;1,Table1[Leaving Date]&lt;42552),"",1)))</f>
        <v/>
      </c>
      <c r="DV448" s="92" t="str">
        <f>IF(Table1[Start Date]="","",IF(Table1[Start Date]&gt;42735,"",IF(AND(Table1[Leaving Date]&gt;1,Table1[Leaving Date]&lt;42644),"",1)))</f>
        <v/>
      </c>
      <c r="DW448" s="92" t="str">
        <f>IF(Table1[Start Date]="","",IF(Table1[Start Date]&gt;42825,"",IF(AND(Table1[Leaving Date]&gt;1,Table1[Leaving Date]&lt;42736),"",1)))</f>
        <v/>
      </c>
      <c r="DX448"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448" s="44" t="e">
        <f>VLOOKUP(Table1[Referral Source],Lists!$G$2:$H$20,2,FALSE)</f>
        <v>#N/A</v>
      </c>
      <c r="DZ448" s="93" t="e">
        <f>SUM(Table1[Data Referral Quarter]+Table1[Data Referral Source])</f>
        <v>#N/A</v>
      </c>
      <c r="EA448" s="44" t="b">
        <f>IF(Table1[Referral Decision]="Accepted",100,IF(Table1[Referral Decision]="Rejected by Provider",200,IF(Table1[Referral Decision]="Rejected by Applicant",300)))</f>
        <v>0</v>
      </c>
      <c r="EB448" s="44">
        <f>SUM(Table1[Data Referral Quarter]+Table1[Data Referral Decision])</f>
        <v>0</v>
      </c>
      <c r="EC448" s="44" t="b">
        <f>IF(Table1[Start Date]&gt;42735,8000,IF(Table1[Start Date]&gt;42643,7000,IF(Table1[Start Date]&gt;42551,6000,IF(Table1[Start Date]&gt;42460,5000,IF(Table1[Start Date]&gt;42369,4000,IF(Table1[Start Date]&gt;42277,3000,IF(Table1[Start Date]&gt;42185,2000,IF(Table1[Start Date]&gt;42094,1000))))))))</f>
        <v>0</v>
      </c>
      <c r="ED448" s="44" t="str">
        <f>IF(Table1[Start Date]="","",IF(Table1[Current Local Authority]="Swindon",1,"2"))</f>
        <v/>
      </c>
      <c r="EE448" s="44" t="e">
        <f>SUM(Table1[Data Start Date]+Table1[Data Local Authority])</f>
        <v>#VALUE!</v>
      </c>
      <c r="EF448" s="44">
        <f>IF(Table1[Registered with GP]="Yes",1,0)</f>
        <v>0</v>
      </c>
      <c r="EG448" s="44">
        <f>SUM(Table1[Data Start Date]+Table1[Data GP Start])</f>
        <v>0</v>
      </c>
      <c r="EH448" s="44" t="str">
        <f>IF(Table1[EET]="NEET",1,IF(Table1[EET]="Education",2,IF(Table1[EET]="Employment",2,IF(Table1[EET]="Training",2,IF(Table1[EET]="Retired",3,"")))))</f>
        <v/>
      </c>
      <c r="EI448" s="44" t="e">
        <f>Table1[Data Start Date]+Table1[Data EET Start]</f>
        <v>#VALUE!</v>
      </c>
      <c r="EJ448" s="44" t="b">
        <f>IF(Table1[Leaving Date]&gt;42735,8000,IF(Table1[Leaving Date]&gt;42643,7000,IF(Table1[Leaving Date]&gt;42551,6000,IF(Table1[Leaving Date]&gt;42460,5000,IF(Table1[Leaving Date]&gt;42369,4000,IF(Table1[Leaving Date]&gt;42277,3000,IF(Table1[Leaving Date]&gt;42185,2000,IF(Table1[Leaving Date]&gt;42094,1000))))))))</f>
        <v>0</v>
      </c>
      <c r="EK448" s="44" t="e">
        <f>VLOOKUP(Table1[Reason for Leaving],Lists!$T$2:$U$15,2,FALSE)</f>
        <v>#N/A</v>
      </c>
      <c r="EL448" s="44" t="e">
        <f>SUM(Table1[Data Leavers Date]+Table1[Data Move On])</f>
        <v>#N/A</v>
      </c>
      <c r="EM448" s="44" t="b">
        <f>IF(Table1[Registered with GP2]="Yes",1,IF(Table1[Registered with GP2]="No",0,IF(Table1[Registered with GP]="Yes",1,IF(Table1[Registered with GP]="No",0))))</f>
        <v>0</v>
      </c>
      <c r="EN448" s="44">
        <f>SUM(Table1[Data Leavers Date]+Table1[Data GP End])</f>
        <v>0</v>
      </c>
      <c r="EO448" s="44" t="str">
        <f>IF(Table1[EET2]="NEET",1,IF(Table1[EET2]="Employment",2,IF(Table1[EET2]="Education",2,IF(Table1[EET2]="Training",2,IF(Table1[EET2]="Retired",3,IF(Table1[EET]="NEET",1,IF(Table1[EET]="Employment",2,IF(Table1[EET]="Education",2,IF(Table1[EET]="Training",2,IF(Table1[EET]="Retired",3,""))))))))))</f>
        <v/>
      </c>
      <c r="EP448" s="44" t="e">
        <f>+Table1[[#This Row],[Data Leavers Date]]+Table1[[#This Row],[Data EET End]]</f>
        <v>#VALUE!</v>
      </c>
      <c r="EQ448" s="44">
        <f>IF(Table1[Exit Form Received]="Yes",1,0)</f>
        <v>0</v>
      </c>
      <c r="ER448" s="44">
        <f>+Table1[[#This Row],[Data Leavers Date]]+Table1[[#This Row],[Data Exit Forms]]</f>
        <v>0</v>
      </c>
      <c r="ES448" s="44" t="str">
        <f>IF(Table1[Data Leavers Date]=1000,SUM(Table1[Leaving Date]-Table1[Start Date]),"")</f>
        <v/>
      </c>
      <c r="ET448" s="44" t="str">
        <f>IF(Table1[Data Leavers Date]=2000,SUM(Table1[Leaving Date]-Table1[Start Date]),"")</f>
        <v/>
      </c>
      <c r="EU448" s="44" t="str">
        <f>IF(Table1[Data Leavers Date]=3000,SUM(Table1[Leaving Date]-Table1[Start Date]),"")</f>
        <v/>
      </c>
      <c r="EV448" s="44" t="str">
        <f>IF(Table1[Data Leavers Date]=4000,SUM(Table1[Leaving Date]-Table1[Start Date]),"")</f>
        <v/>
      </c>
      <c r="EW448" s="44" t="str">
        <f>IF(Table1[Data Leavers Date]=5000,SUM(Table1[Leaving Date]-Table1[Start Date]),"")</f>
        <v/>
      </c>
      <c r="EX448" s="44" t="str">
        <f>IF(Table1[Data Leavers Date]=6000,SUM(Table1[Leaving Date]-Table1[Start Date]),"")</f>
        <v/>
      </c>
      <c r="EY448" s="44" t="str">
        <f>IF(Table1[Data Leavers Date]=7000,SUM(Table1[Leaving Date]-Table1[Start Date]),"")</f>
        <v/>
      </c>
      <c r="EZ448" s="44" t="str">
        <f>IF(Table1[Data Leavers Date]=8000,SUM(Table1[Leaving Date]-Table1[Start Date]),"")</f>
        <v/>
      </c>
      <c r="FA448" s="44" t="str">
        <f>IF(Table1[Date of Initial Assessment]="","",IF(AND(Table1[Start Date]&gt;42094,Table1[Start Date]&lt;42461),Table1[Motivation and Taking Responsibility],""))</f>
        <v/>
      </c>
      <c r="FB448" s="44" t="str">
        <f>IF(Table1[Date of Initial Assessment]="","",IF(AND(Table1[Start Date]&gt;42094,Table1[Start Date]&lt;42461),Table1[Self-Care and Living Skills],""))</f>
        <v/>
      </c>
      <c r="FC448" s="44" t="str">
        <f>IF(Table1[Date of Initial Assessment]="","",IF(AND(Table1[Start Date]&gt;42094,Table1[Start Date]&lt;42461),Table1[Managing Money and Personal Administration],""))</f>
        <v/>
      </c>
      <c r="FD448" s="44" t="str">
        <f>IF(Table1[Date of Initial Assessment]="","",IF(AND(Table1[Start Date]&gt;42094,Table1[Start Date]&lt;42461),Table1[Social Networks and Relationships],""))</f>
        <v/>
      </c>
      <c r="FE448" s="44" t="str">
        <f>IF(Table1[Date of Initial Assessment]="","",IF(AND(Table1[Start Date]&gt;42094,Table1[Start Date]&lt;42461),Table1[Drug and Alcohol Misuse],""))</f>
        <v/>
      </c>
      <c r="FF448" s="44" t="str">
        <f>IF(Table1[Date of Initial Assessment]="","",IF(AND(Table1[Start Date]&gt;42094,Table1[Start Date]&lt;42461),Table1[Physical Health],""))</f>
        <v/>
      </c>
      <c r="FG448" s="44" t="str">
        <f>IF(Table1[Date of Initial Assessment]="","",IF(AND(Table1[Start Date]&gt;42094,Table1[Start Date]&lt;42461),Table1[Emotional and Mental Health],""))</f>
        <v/>
      </c>
      <c r="FH448" s="44" t="str">
        <f>IF(Table1[Date of Initial Assessment]="","",IF(AND(Table1[Start Date]&gt;42094,Table1[Start Date]&lt;42461),Table1[Meaningful Use of Time],""))</f>
        <v/>
      </c>
      <c r="FI448" s="44" t="str">
        <f>IF(Table1[Date of Initial Assessment]="","",IF(AND(Table1[Start Date]&gt;42094,Table1[Start Date]&lt;42461),Table1[Managing Tenancy and Accommodation],""))</f>
        <v/>
      </c>
      <c r="FJ448" s="44" t="str">
        <f>IF(Table1[Date of Initial Assessment]="","",IF(AND(Table1[Start Date]&gt;42094,Table1[Start Date]&lt;42461),Table1[Offending],""))</f>
        <v/>
      </c>
      <c r="FK448" s="44" t="str">
        <f>IF(Table1[Leaving Date]="","",IF(Table1[Date of Initial Assessment]="","",IF(AND(Table1[Leaving Date]&gt;42094,Table1[Leaving Date]&lt;42461),IF(Table1[Date of Last Assessment]="",Table1[Motivation and Taking Responsibility],Table1[Motivation and Taking Responsibility2]),"")))</f>
        <v/>
      </c>
      <c r="FL448" s="44" t="str">
        <f>IF(Table1[Leaving Date]="","",IF(Table1[Date of Initial Assessment]="","",IF(AND(Table1[Leaving Date]&gt;42094,Table1[Leaving Date]&lt;42461),IF(Table1[Date of Last Assessment]="",Table1[Self-Care and Living Skills],Table1[Self-Care and Living Skills2]),"")))</f>
        <v/>
      </c>
      <c r="FM448" s="44" t="str">
        <f>IF(Table1[Leaving Date]="","",IF(Table1[Date of Initial Assessment]="","",IF(AND(Table1[Leaving Date]&gt;42094,Table1[Leaving Date]&lt;42461),IF(Table1[Date of Last Assessment]="",Table1[Managing Money and Personal Administration],Table1[Managing Money and Personal Administration2]),"")))</f>
        <v/>
      </c>
      <c r="FN448" s="44" t="str">
        <f>IF(Table1[Leaving Date]="","",IF(Table1[Date of Initial Assessment]="","",IF(AND(Table1[Leaving Date]&gt;42094,Table1[Leaving Date]&lt;42461),IF(Table1[Date of Last Assessment]="",Table1[Social Networks and Relationships],Table1[Social Networks and Relationships2]),"")))</f>
        <v/>
      </c>
      <c r="FO448" s="44" t="str">
        <f>IF(Table1[Leaving Date]="","",IF(Table1[Date of Initial Assessment]="","",IF(AND(Table1[Leaving Date]&gt;42094,Table1[Leaving Date]&lt;42461),IF(Table1[Date of Last Assessment]="",Table1[Drug and Alcohol Misuse],Table1[Drug and Alcohol Misuse2]),"")))</f>
        <v/>
      </c>
      <c r="FP448" s="44" t="str">
        <f>IF(Table1[Leaving Date]="","",IF(Table1[Date of Initial Assessment]="","",IF(AND(Table1[Leaving Date]&gt;42094,Table1[Leaving Date]&lt;42461),IF(Table1[Date of Last Assessment]="",Table1[Physical Health],Table1[Physical Health2]),"")))</f>
        <v/>
      </c>
      <c r="FQ448" s="44" t="str">
        <f>IF(Table1[Leaving Date]="","",IF(Table1[Date of Initial Assessment]="","",IF(AND(Table1[Leaving Date]&gt;42094,Table1[Leaving Date]&lt;42461),IF(Table1[Date of Last Assessment]="",Table1[Emotional and Mental Health],Table1[Emotional and Mental Health2]),"")))</f>
        <v/>
      </c>
      <c r="FR448" s="44" t="str">
        <f>IF(Table1[Leaving Date]="","",IF(Table1[Date of Initial Assessment]="","",IF(AND(Table1[Leaving Date]&gt;42094,Table1[Leaving Date]&lt;42461),IF(Table1[Date of Last Assessment]="",Table1[Meaningful Use of Time],Table1[Meaningful Use of Time2]),"")))</f>
        <v/>
      </c>
      <c r="FS448" s="44" t="str">
        <f>IF(Table1[Leaving Date]="","",IF(Table1[Date of Initial Assessment]="","",IF(AND(Table1[Leaving Date]&gt;42094,Table1[Leaving Date]&lt;42461),IF(Table1[Date of Last Assessment]="",Table1[Managing Tenancy and Accommodation],Table1[Managing Tenancy and Accommodation2]),"")))</f>
        <v/>
      </c>
      <c r="FT448" s="44" t="str">
        <f>IF(Table1[Leaving Date]="","",IF(Table1[Date of Initial Assessment]="","",IF(AND(Table1[Leaving Date]&gt;42094,Table1[Leaving Date]&lt;42461),IF(Table1[Date of Last Assessment]="",Table1[Offending],Table1[Offending2]),"")))</f>
        <v/>
      </c>
      <c r="FU448" s="44" t="str">
        <f>IF(Table1[Date of Initial Assessment]="","",IF(AND(Table1[Start Date]&gt;42460,Table1[Start Date]&lt;42826),Table1[Motivation and Taking Responsibility],""))</f>
        <v/>
      </c>
      <c r="FV448" s="44" t="str">
        <f>IF(Table1[Date of Initial Assessment]="","",IF(AND(Table1[Start Date]&gt;42460,Table1[Start Date]&lt;42826),Table1[Self-Care and Living Skills],""))</f>
        <v/>
      </c>
      <c r="FW448" s="44" t="str">
        <f>IF(Table1[Date of Initial Assessment]="","",IF(AND(Table1[Start Date]&gt;42460,Table1[Start Date]&lt;42826),Table1[Managing Money and Personal Administration],""))</f>
        <v/>
      </c>
      <c r="FX448" s="44" t="str">
        <f>IF(Table1[Date of Initial Assessment]="","",IF(AND(Table1[Start Date]&gt;42460,Table1[Start Date]&lt;42826),Table1[Social Networks and Relationships],""))</f>
        <v/>
      </c>
      <c r="FY448" s="44" t="str">
        <f>IF(Table1[Date of Initial Assessment]="","",IF(AND(Table1[Start Date]&gt;42460,Table1[Start Date]&lt;42826),Table1[Drug and Alcohol Misuse],""))</f>
        <v/>
      </c>
      <c r="FZ448" s="44" t="str">
        <f>IF(Table1[Date of Initial Assessment]="","",IF(AND(Table1[Start Date]&gt;42460,Table1[Start Date]&lt;42826),Table1[Physical Health],""))</f>
        <v/>
      </c>
      <c r="GA448" s="44" t="str">
        <f>IF(Table1[Date of Initial Assessment]="","",IF(AND(Table1[Start Date]&gt;42460,Table1[Start Date]&lt;42826),Table1[Emotional and Mental Health],""))</f>
        <v/>
      </c>
      <c r="GB448" s="44" t="str">
        <f>IF(Table1[Date of Initial Assessment]="","",IF(AND(Table1[Start Date]&gt;42460,Table1[Start Date]&lt;42826),Table1[Meaningful Use of Time],""))</f>
        <v/>
      </c>
      <c r="GC448" s="44" t="str">
        <f>IF(Table1[Date of Initial Assessment]="","",IF(AND(Table1[Start Date]&gt;42460,Table1[Start Date]&lt;42826),Table1[Managing Tenancy and Accommodation],""))</f>
        <v/>
      </c>
      <c r="GD448" s="44" t="str">
        <f>IF(Table1[Date of Initial Assessment]="","",IF(AND(Table1[Start Date]&gt;42460,Table1[Start Date]&lt;42826),Table1[Offending],""))</f>
        <v/>
      </c>
      <c r="GE448" s="44" t="str">
        <f>IF(Table1[Leaving Date]="","",IF(AND(Table1[Leaving Date]&gt;42460,Table1[Leaving Date]&lt;42826),IF(Table1[Date of Last Assessment]="",Table1[Motivation and Taking Responsibility],Table1[Motivation and Taking Responsibility2]),""))</f>
        <v/>
      </c>
      <c r="GF448" s="44" t="str">
        <f>IF(Table1[Leaving Date]="","",IF(AND(Table1[Leaving Date]&gt;42460,Table1[Leaving Date]&lt;42826),IF(Table1[Date of Last Assessment]="",Table1[Self-Care and Living Skills],Table1[Self-Care and Living Skills2]),""))</f>
        <v/>
      </c>
      <c r="GG448" s="44" t="str">
        <f>IF(Table1[Leaving Date]="","",IF(AND(Table1[Leaving Date]&gt;42460,Table1[Leaving Date]&lt;42826),IF(Table1[Date of Last Assessment]="",Table1[Managing Money and Personal Administration],Table1[Managing Money and Personal Administration2]),""))</f>
        <v/>
      </c>
      <c r="GH448" s="44" t="str">
        <f>IF(Table1[Leaving Date]="","",IF(AND(Table1[Leaving Date]&gt;42460,Table1[Leaving Date]&lt;42826),IF(Table1[Date of Last Assessment]="",Table1[Social Networks and Relationships],Table1[Social Networks and Relationships2]),""))</f>
        <v/>
      </c>
      <c r="GI448" s="44" t="str">
        <f>IF(Table1[Leaving Date]="","",IF(AND(Table1[Leaving Date]&gt;42460,Table1[Leaving Date]&lt;42826),IF(Table1[Date of Last Assessment]="",Table1[Drug and Alcohol Misuse],Table1[Drug and Alcohol Misuse2]),""))</f>
        <v/>
      </c>
      <c r="GJ448" s="44" t="str">
        <f>IF(Table1[Leaving Date]="","",IF(AND(Table1[Leaving Date]&gt;42460,Table1[Leaving Date]&lt;42826),IF(Table1[Date of Last Assessment]="",Table1[Physical Health],Table1[Physical Health2]),""))</f>
        <v/>
      </c>
      <c r="GK448" s="44" t="str">
        <f>IF(Table1[Leaving Date]="","",IF(AND(Table1[Leaving Date]&gt;42460,Table1[Leaving Date]&lt;42826),IF(Table1[Date of Last Assessment]="",Table1[Emotional and Mental Health],Table1[Emotional and Mental Health2]),""))</f>
        <v/>
      </c>
      <c r="GL448" s="44" t="str">
        <f>IF(Table1[Leaving Date]="","",IF(AND(Table1[Leaving Date]&gt;42460,Table1[Leaving Date]&lt;42826),IF(Table1[Date of Last Assessment]="",Table1[Meaningful Use of Time],Table1[Meaningful Use of Time2]),""))</f>
        <v/>
      </c>
      <c r="GM448" s="44" t="str">
        <f>IF(Table1[Leaving Date]="","",IF(AND(Table1[Leaving Date]&gt;42460,Table1[Leaving Date]&lt;42826),IF(Table1[Date of Last Assessment]="",Table1[Managing Tenancy and Accommodation],Table1[Managing Tenancy and Accommodation2]),""))</f>
        <v/>
      </c>
      <c r="GN448" s="44" t="str">
        <f>IF(Table1[Leaving Date]="","",IF(AND(Table1[Leaving Date]&gt;42460,Table1[Leaving Date]&lt;42826),IF(Table1[Date of Last Assessment]="",Table1[Offending],Table1[Offending2]),""))</f>
        <v/>
      </c>
    </row>
    <row r="449" spans="2:196" ht="20.100000000000001" customHeight="1" x14ac:dyDescent="0.2">
      <c r="B449" s="86">
        <f>+'Service Data'!$C$5:$C$5</f>
        <v>0</v>
      </c>
      <c r="C449" s="86"/>
      <c r="D449" s="86"/>
      <c r="E449" s="86"/>
      <c r="F449" s="86"/>
      <c r="G449" s="86"/>
      <c r="H449" s="6"/>
      <c r="I449" s="99" t="str">
        <f ca="1">IF(Table1[[#This Row],[Date of Birth]]="","",SUM(TODAY()-Table1[[#This Row],[Date of Birth]])/365)</f>
        <v/>
      </c>
      <c r="L449" s="86"/>
      <c r="M449" s="77"/>
      <c r="N449" s="86"/>
      <c r="O449" s="86"/>
      <c r="P449" s="91"/>
      <c r="Q449" s="86"/>
      <c r="R449" s="77"/>
      <c r="S449" s="77"/>
      <c r="T449" s="68"/>
      <c r="U449" s="68"/>
      <c r="V449" s="67"/>
      <c r="W449" s="67"/>
      <c r="X449" s="67"/>
      <c r="Y449" s="67"/>
      <c r="Z449" s="67"/>
      <c r="AA449" s="67"/>
      <c r="AB449" s="67"/>
      <c r="AC449" s="67"/>
      <c r="AD449" s="67"/>
      <c r="AE449" s="67"/>
      <c r="AF449" s="67"/>
      <c r="AG449" s="67"/>
      <c r="AH449" s="67"/>
      <c r="AI449" s="67"/>
      <c r="AJ449" s="67"/>
      <c r="AK449" s="67"/>
      <c r="AL449" s="67"/>
      <c r="AM449" s="67"/>
      <c r="AN449" s="77"/>
      <c r="AO449" s="76"/>
      <c r="AP449" s="77"/>
      <c r="AQ449" s="76"/>
      <c r="AR449" s="76"/>
      <c r="AS449" s="76"/>
      <c r="AT449" s="76"/>
      <c r="AU449" s="76"/>
      <c r="AV449" s="77"/>
      <c r="AW449" s="76"/>
      <c r="AX449" s="77"/>
      <c r="AY449" s="76"/>
      <c r="AZ449" s="76"/>
      <c r="BA449" s="76"/>
      <c r="BB449" s="76"/>
      <c r="BC449" s="76"/>
      <c r="BD449" s="77"/>
      <c r="BE449" s="76"/>
      <c r="BF449" s="77"/>
      <c r="BG449" s="76"/>
      <c r="BH449" s="76"/>
      <c r="BI449" s="76"/>
      <c r="BJ449" s="76"/>
      <c r="BK449" s="76"/>
      <c r="BL449" s="77"/>
      <c r="BM449" s="76"/>
      <c r="BN449" s="77"/>
      <c r="BO449" s="76"/>
      <c r="BP449" s="76"/>
      <c r="BQ449" s="76"/>
      <c r="BR449" s="76"/>
      <c r="BS449" s="76"/>
      <c r="BT449" s="77"/>
      <c r="BU449" s="76"/>
      <c r="BV449" s="77"/>
      <c r="BW449" s="76"/>
      <c r="BX449" s="76"/>
      <c r="BY449" s="76"/>
      <c r="BZ449" s="76"/>
      <c r="CA449" s="76"/>
      <c r="CB449" s="77"/>
      <c r="CC449" s="76"/>
      <c r="CD449" s="77"/>
      <c r="CE449" s="76"/>
      <c r="CF449" s="76"/>
      <c r="CG449" s="76"/>
      <c r="CH449" s="76"/>
      <c r="CI449" s="76"/>
      <c r="CJ449" s="77"/>
      <c r="CK449" s="76"/>
      <c r="CL449" s="77"/>
      <c r="CM449" s="76"/>
      <c r="CN449" s="76"/>
      <c r="CO449" s="76"/>
      <c r="CP449" s="76"/>
      <c r="CQ449" s="76"/>
      <c r="CR449" s="78" t="str">
        <f t="shared" si="111"/>
        <v/>
      </c>
      <c r="CS449" s="79" t="str">
        <f t="shared" si="112"/>
        <v/>
      </c>
      <c r="CT449" s="79" t="str">
        <f t="shared" si="113"/>
        <v/>
      </c>
      <c r="CU449" s="79" t="str">
        <f t="shared" si="114"/>
        <v/>
      </c>
      <c r="CV449" s="79" t="str">
        <f t="shared" si="115"/>
        <v/>
      </c>
      <c r="CW449" s="79" t="str">
        <f t="shared" si="116"/>
        <v/>
      </c>
      <c r="CX449" s="79" t="str">
        <f t="shared" si="117"/>
        <v/>
      </c>
      <c r="CY449" s="79" t="str">
        <f t="shared" si="118"/>
        <v/>
      </c>
      <c r="CZ449" s="79" t="str">
        <f t="shared" si="119"/>
        <v/>
      </c>
      <c r="DA449" s="79" t="str">
        <f t="shared" si="120"/>
        <v/>
      </c>
      <c r="DB449" s="79" t="str">
        <f t="shared" si="121"/>
        <v/>
      </c>
      <c r="DC449" s="79" t="str">
        <f t="shared" si="122"/>
        <v/>
      </c>
      <c r="DD449" s="79" t="str">
        <f t="shared" si="123"/>
        <v/>
      </c>
      <c r="DE449" s="79" t="str">
        <f t="shared" si="124"/>
        <v/>
      </c>
      <c r="DF449" s="79" t="str">
        <f t="shared" si="125"/>
        <v/>
      </c>
      <c r="DG449" s="79" t="str">
        <f t="shared" si="126"/>
        <v/>
      </c>
      <c r="DH449" s="76"/>
      <c r="DI449" s="78"/>
      <c r="DJ449" s="76"/>
      <c r="DK449" s="77"/>
      <c r="DL449" s="77"/>
      <c r="DM449" s="77"/>
      <c r="DN449" s="80"/>
      <c r="DO449" s="80"/>
      <c r="DP449" s="92" t="str">
        <f>IF(Table1[Start Date]="","",IF(Table1[Start Date]&gt;42185,"",IF(AND(Table1[Leaving Date]&gt;1,Table1[Leaving Date]&lt;42095),"",1)))</f>
        <v/>
      </c>
      <c r="DQ449" s="92" t="str">
        <f>IF(Table1[Start Date]="","",IF(Table1[Start Date]&gt;42277,"",IF(AND(Table1[Leaving Date]&gt;1,Table1[Leaving Date]&lt;42186),"",1)))</f>
        <v/>
      </c>
      <c r="DR449" s="92" t="str">
        <f>IF(Table1[Start Date]="","",IF(Table1[Start Date]&gt;42369,"",IF(AND(Table1[Leaving Date]&gt;1,Table1[Leaving Date]&lt;42278),"",1)))</f>
        <v/>
      </c>
      <c r="DS449" s="92" t="str">
        <f>IF(Table1[Start Date]="","",IF(Table1[Start Date]&gt;42460,"",IF(AND(Table1[Leaving Date]&gt;1,Table1[Leaving Date]&lt;42370),"",1)))</f>
        <v/>
      </c>
      <c r="DT449" s="92" t="str">
        <f>IF(Table1[Start Date]="","",IF(Table1[Start Date]&gt;42551,"",IF(AND(Table1[Leaving Date]&gt;1,Table1[Leaving Date]&lt;42461),"",1)))</f>
        <v/>
      </c>
      <c r="DU449" s="92" t="str">
        <f>IF(Table1[Start Date]="","",IF(Table1[Start Date]&gt;42643,"",IF(AND(Table1[Leaving Date]&gt;1,Table1[Leaving Date]&lt;42552),"",1)))</f>
        <v/>
      </c>
      <c r="DV449" s="92" t="str">
        <f>IF(Table1[Start Date]="","",IF(Table1[Start Date]&gt;42735,"",IF(AND(Table1[Leaving Date]&gt;1,Table1[Leaving Date]&lt;42644),"",1)))</f>
        <v/>
      </c>
      <c r="DW449" s="92" t="str">
        <f>IF(Table1[Start Date]="","",IF(Table1[Start Date]&gt;42825,"",IF(AND(Table1[Leaving Date]&gt;1,Table1[Leaving Date]&lt;42736),"",1)))</f>
        <v/>
      </c>
      <c r="DX449"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449" s="44" t="e">
        <f>VLOOKUP(Table1[Referral Source],Lists!$G$2:$H$20,2,FALSE)</f>
        <v>#N/A</v>
      </c>
      <c r="DZ449" s="93" t="e">
        <f>SUM(Table1[Data Referral Quarter]+Table1[Data Referral Source])</f>
        <v>#N/A</v>
      </c>
      <c r="EA449" s="44" t="b">
        <f>IF(Table1[Referral Decision]="Accepted",100,IF(Table1[Referral Decision]="Rejected by Provider",200,IF(Table1[Referral Decision]="Rejected by Applicant",300)))</f>
        <v>0</v>
      </c>
      <c r="EB449" s="44">
        <f>SUM(Table1[Data Referral Quarter]+Table1[Data Referral Decision])</f>
        <v>0</v>
      </c>
      <c r="EC449" s="44" t="b">
        <f>IF(Table1[Start Date]&gt;42735,8000,IF(Table1[Start Date]&gt;42643,7000,IF(Table1[Start Date]&gt;42551,6000,IF(Table1[Start Date]&gt;42460,5000,IF(Table1[Start Date]&gt;42369,4000,IF(Table1[Start Date]&gt;42277,3000,IF(Table1[Start Date]&gt;42185,2000,IF(Table1[Start Date]&gt;42094,1000))))))))</f>
        <v>0</v>
      </c>
      <c r="ED449" s="44" t="str">
        <f>IF(Table1[Start Date]="","",IF(Table1[Current Local Authority]="Swindon",1,"2"))</f>
        <v/>
      </c>
      <c r="EE449" s="44" t="e">
        <f>SUM(Table1[Data Start Date]+Table1[Data Local Authority])</f>
        <v>#VALUE!</v>
      </c>
      <c r="EF449" s="44">
        <f>IF(Table1[Registered with GP]="Yes",1,0)</f>
        <v>0</v>
      </c>
      <c r="EG449" s="44">
        <f>SUM(Table1[Data Start Date]+Table1[Data GP Start])</f>
        <v>0</v>
      </c>
      <c r="EH449" s="44" t="str">
        <f>IF(Table1[EET]="NEET",1,IF(Table1[EET]="Education",2,IF(Table1[EET]="Employment",2,IF(Table1[EET]="Training",2,IF(Table1[EET]="Retired",3,"")))))</f>
        <v/>
      </c>
      <c r="EI449" s="44" t="e">
        <f>Table1[Data Start Date]+Table1[Data EET Start]</f>
        <v>#VALUE!</v>
      </c>
      <c r="EJ449" s="44" t="b">
        <f>IF(Table1[Leaving Date]&gt;42735,8000,IF(Table1[Leaving Date]&gt;42643,7000,IF(Table1[Leaving Date]&gt;42551,6000,IF(Table1[Leaving Date]&gt;42460,5000,IF(Table1[Leaving Date]&gt;42369,4000,IF(Table1[Leaving Date]&gt;42277,3000,IF(Table1[Leaving Date]&gt;42185,2000,IF(Table1[Leaving Date]&gt;42094,1000))))))))</f>
        <v>0</v>
      </c>
      <c r="EK449" s="44" t="e">
        <f>VLOOKUP(Table1[Reason for Leaving],Lists!$T$2:$U$15,2,FALSE)</f>
        <v>#N/A</v>
      </c>
      <c r="EL449" s="44" t="e">
        <f>SUM(Table1[Data Leavers Date]+Table1[Data Move On])</f>
        <v>#N/A</v>
      </c>
      <c r="EM449" s="44" t="b">
        <f>IF(Table1[Registered with GP2]="Yes",1,IF(Table1[Registered with GP2]="No",0,IF(Table1[Registered with GP]="Yes",1,IF(Table1[Registered with GP]="No",0))))</f>
        <v>0</v>
      </c>
      <c r="EN449" s="44">
        <f>SUM(Table1[Data Leavers Date]+Table1[Data GP End])</f>
        <v>0</v>
      </c>
      <c r="EO449" s="44" t="str">
        <f>IF(Table1[EET2]="NEET",1,IF(Table1[EET2]="Employment",2,IF(Table1[EET2]="Education",2,IF(Table1[EET2]="Training",2,IF(Table1[EET2]="Retired",3,IF(Table1[EET]="NEET",1,IF(Table1[EET]="Employment",2,IF(Table1[EET]="Education",2,IF(Table1[EET]="Training",2,IF(Table1[EET]="Retired",3,""))))))))))</f>
        <v/>
      </c>
      <c r="EP449" s="44" t="e">
        <f>+Table1[[#This Row],[Data Leavers Date]]+Table1[[#This Row],[Data EET End]]</f>
        <v>#VALUE!</v>
      </c>
      <c r="EQ449" s="44">
        <f>IF(Table1[Exit Form Received]="Yes",1,0)</f>
        <v>0</v>
      </c>
      <c r="ER449" s="44">
        <f>+Table1[[#This Row],[Data Leavers Date]]+Table1[[#This Row],[Data Exit Forms]]</f>
        <v>0</v>
      </c>
      <c r="ES449" s="44" t="str">
        <f>IF(Table1[Data Leavers Date]=1000,SUM(Table1[Leaving Date]-Table1[Start Date]),"")</f>
        <v/>
      </c>
      <c r="ET449" s="44" t="str">
        <f>IF(Table1[Data Leavers Date]=2000,SUM(Table1[Leaving Date]-Table1[Start Date]),"")</f>
        <v/>
      </c>
      <c r="EU449" s="44" t="str">
        <f>IF(Table1[Data Leavers Date]=3000,SUM(Table1[Leaving Date]-Table1[Start Date]),"")</f>
        <v/>
      </c>
      <c r="EV449" s="44" t="str">
        <f>IF(Table1[Data Leavers Date]=4000,SUM(Table1[Leaving Date]-Table1[Start Date]),"")</f>
        <v/>
      </c>
      <c r="EW449" s="44" t="str">
        <f>IF(Table1[Data Leavers Date]=5000,SUM(Table1[Leaving Date]-Table1[Start Date]),"")</f>
        <v/>
      </c>
      <c r="EX449" s="44" t="str">
        <f>IF(Table1[Data Leavers Date]=6000,SUM(Table1[Leaving Date]-Table1[Start Date]),"")</f>
        <v/>
      </c>
      <c r="EY449" s="44" t="str">
        <f>IF(Table1[Data Leavers Date]=7000,SUM(Table1[Leaving Date]-Table1[Start Date]),"")</f>
        <v/>
      </c>
      <c r="EZ449" s="44" t="str">
        <f>IF(Table1[Data Leavers Date]=8000,SUM(Table1[Leaving Date]-Table1[Start Date]),"")</f>
        <v/>
      </c>
      <c r="FA449" s="44" t="str">
        <f>IF(Table1[Date of Initial Assessment]="","",IF(AND(Table1[Start Date]&gt;42094,Table1[Start Date]&lt;42461),Table1[Motivation and Taking Responsibility],""))</f>
        <v/>
      </c>
      <c r="FB449" s="44" t="str">
        <f>IF(Table1[Date of Initial Assessment]="","",IF(AND(Table1[Start Date]&gt;42094,Table1[Start Date]&lt;42461),Table1[Self-Care and Living Skills],""))</f>
        <v/>
      </c>
      <c r="FC449" s="44" t="str">
        <f>IF(Table1[Date of Initial Assessment]="","",IF(AND(Table1[Start Date]&gt;42094,Table1[Start Date]&lt;42461),Table1[Managing Money and Personal Administration],""))</f>
        <v/>
      </c>
      <c r="FD449" s="44" t="str">
        <f>IF(Table1[Date of Initial Assessment]="","",IF(AND(Table1[Start Date]&gt;42094,Table1[Start Date]&lt;42461),Table1[Social Networks and Relationships],""))</f>
        <v/>
      </c>
      <c r="FE449" s="44" t="str">
        <f>IF(Table1[Date of Initial Assessment]="","",IF(AND(Table1[Start Date]&gt;42094,Table1[Start Date]&lt;42461),Table1[Drug and Alcohol Misuse],""))</f>
        <v/>
      </c>
      <c r="FF449" s="44" t="str">
        <f>IF(Table1[Date of Initial Assessment]="","",IF(AND(Table1[Start Date]&gt;42094,Table1[Start Date]&lt;42461),Table1[Physical Health],""))</f>
        <v/>
      </c>
      <c r="FG449" s="44" t="str">
        <f>IF(Table1[Date of Initial Assessment]="","",IF(AND(Table1[Start Date]&gt;42094,Table1[Start Date]&lt;42461),Table1[Emotional and Mental Health],""))</f>
        <v/>
      </c>
      <c r="FH449" s="44" t="str">
        <f>IF(Table1[Date of Initial Assessment]="","",IF(AND(Table1[Start Date]&gt;42094,Table1[Start Date]&lt;42461),Table1[Meaningful Use of Time],""))</f>
        <v/>
      </c>
      <c r="FI449" s="44" t="str">
        <f>IF(Table1[Date of Initial Assessment]="","",IF(AND(Table1[Start Date]&gt;42094,Table1[Start Date]&lt;42461),Table1[Managing Tenancy and Accommodation],""))</f>
        <v/>
      </c>
      <c r="FJ449" s="44" t="str">
        <f>IF(Table1[Date of Initial Assessment]="","",IF(AND(Table1[Start Date]&gt;42094,Table1[Start Date]&lt;42461),Table1[Offending],""))</f>
        <v/>
      </c>
      <c r="FK449" s="44" t="str">
        <f>IF(Table1[Leaving Date]="","",IF(Table1[Date of Initial Assessment]="","",IF(AND(Table1[Leaving Date]&gt;42094,Table1[Leaving Date]&lt;42461),IF(Table1[Date of Last Assessment]="",Table1[Motivation and Taking Responsibility],Table1[Motivation and Taking Responsibility2]),"")))</f>
        <v/>
      </c>
      <c r="FL449" s="44" t="str">
        <f>IF(Table1[Leaving Date]="","",IF(Table1[Date of Initial Assessment]="","",IF(AND(Table1[Leaving Date]&gt;42094,Table1[Leaving Date]&lt;42461),IF(Table1[Date of Last Assessment]="",Table1[Self-Care and Living Skills],Table1[Self-Care and Living Skills2]),"")))</f>
        <v/>
      </c>
      <c r="FM449" s="44" t="str">
        <f>IF(Table1[Leaving Date]="","",IF(Table1[Date of Initial Assessment]="","",IF(AND(Table1[Leaving Date]&gt;42094,Table1[Leaving Date]&lt;42461),IF(Table1[Date of Last Assessment]="",Table1[Managing Money and Personal Administration],Table1[Managing Money and Personal Administration2]),"")))</f>
        <v/>
      </c>
      <c r="FN449" s="44" t="str">
        <f>IF(Table1[Leaving Date]="","",IF(Table1[Date of Initial Assessment]="","",IF(AND(Table1[Leaving Date]&gt;42094,Table1[Leaving Date]&lt;42461),IF(Table1[Date of Last Assessment]="",Table1[Social Networks and Relationships],Table1[Social Networks and Relationships2]),"")))</f>
        <v/>
      </c>
      <c r="FO449" s="44" t="str">
        <f>IF(Table1[Leaving Date]="","",IF(Table1[Date of Initial Assessment]="","",IF(AND(Table1[Leaving Date]&gt;42094,Table1[Leaving Date]&lt;42461),IF(Table1[Date of Last Assessment]="",Table1[Drug and Alcohol Misuse],Table1[Drug and Alcohol Misuse2]),"")))</f>
        <v/>
      </c>
      <c r="FP449" s="44" t="str">
        <f>IF(Table1[Leaving Date]="","",IF(Table1[Date of Initial Assessment]="","",IF(AND(Table1[Leaving Date]&gt;42094,Table1[Leaving Date]&lt;42461),IF(Table1[Date of Last Assessment]="",Table1[Physical Health],Table1[Physical Health2]),"")))</f>
        <v/>
      </c>
      <c r="FQ449" s="44" t="str">
        <f>IF(Table1[Leaving Date]="","",IF(Table1[Date of Initial Assessment]="","",IF(AND(Table1[Leaving Date]&gt;42094,Table1[Leaving Date]&lt;42461),IF(Table1[Date of Last Assessment]="",Table1[Emotional and Mental Health],Table1[Emotional and Mental Health2]),"")))</f>
        <v/>
      </c>
      <c r="FR449" s="44" t="str">
        <f>IF(Table1[Leaving Date]="","",IF(Table1[Date of Initial Assessment]="","",IF(AND(Table1[Leaving Date]&gt;42094,Table1[Leaving Date]&lt;42461),IF(Table1[Date of Last Assessment]="",Table1[Meaningful Use of Time],Table1[Meaningful Use of Time2]),"")))</f>
        <v/>
      </c>
      <c r="FS449" s="44" t="str">
        <f>IF(Table1[Leaving Date]="","",IF(Table1[Date of Initial Assessment]="","",IF(AND(Table1[Leaving Date]&gt;42094,Table1[Leaving Date]&lt;42461),IF(Table1[Date of Last Assessment]="",Table1[Managing Tenancy and Accommodation],Table1[Managing Tenancy and Accommodation2]),"")))</f>
        <v/>
      </c>
      <c r="FT449" s="44" t="str">
        <f>IF(Table1[Leaving Date]="","",IF(Table1[Date of Initial Assessment]="","",IF(AND(Table1[Leaving Date]&gt;42094,Table1[Leaving Date]&lt;42461),IF(Table1[Date of Last Assessment]="",Table1[Offending],Table1[Offending2]),"")))</f>
        <v/>
      </c>
      <c r="FU449" s="44" t="str">
        <f>IF(Table1[Date of Initial Assessment]="","",IF(AND(Table1[Start Date]&gt;42460,Table1[Start Date]&lt;42826),Table1[Motivation and Taking Responsibility],""))</f>
        <v/>
      </c>
      <c r="FV449" s="44" t="str">
        <f>IF(Table1[Date of Initial Assessment]="","",IF(AND(Table1[Start Date]&gt;42460,Table1[Start Date]&lt;42826),Table1[Self-Care and Living Skills],""))</f>
        <v/>
      </c>
      <c r="FW449" s="44" t="str">
        <f>IF(Table1[Date of Initial Assessment]="","",IF(AND(Table1[Start Date]&gt;42460,Table1[Start Date]&lt;42826),Table1[Managing Money and Personal Administration],""))</f>
        <v/>
      </c>
      <c r="FX449" s="44" t="str">
        <f>IF(Table1[Date of Initial Assessment]="","",IF(AND(Table1[Start Date]&gt;42460,Table1[Start Date]&lt;42826),Table1[Social Networks and Relationships],""))</f>
        <v/>
      </c>
      <c r="FY449" s="44" t="str">
        <f>IF(Table1[Date of Initial Assessment]="","",IF(AND(Table1[Start Date]&gt;42460,Table1[Start Date]&lt;42826),Table1[Drug and Alcohol Misuse],""))</f>
        <v/>
      </c>
      <c r="FZ449" s="44" t="str">
        <f>IF(Table1[Date of Initial Assessment]="","",IF(AND(Table1[Start Date]&gt;42460,Table1[Start Date]&lt;42826),Table1[Physical Health],""))</f>
        <v/>
      </c>
      <c r="GA449" s="44" t="str">
        <f>IF(Table1[Date of Initial Assessment]="","",IF(AND(Table1[Start Date]&gt;42460,Table1[Start Date]&lt;42826),Table1[Emotional and Mental Health],""))</f>
        <v/>
      </c>
      <c r="GB449" s="44" t="str">
        <f>IF(Table1[Date of Initial Assessment]="","",IF(AND(Table1[Start Date]&gt;42460,Table1[Start Date]&lt;42826),Table1[Meaningful Use of Time],""))</f>
        <v/>
      </c>
      <c r="GC449" s="44" t="str">
        <f>IF(Table1[Date of Initial Assessment]="","",IF(AND(Table1[Start Date]&gt;42460,Table1[Start Date]&lt;42826),Table1[Managing Tenancy and Accommodation],""))</f>
        <v/>
      </c>
      <c r="GD449" s="44" t="str">
        <f>IF(Table1[Date of Initial Assessment]="","",IF(AND(Table1[Start Date]&gt;42460,Table1[Start Date]&lt;42826),Table1[Offending],""))</f>
        <v/>
      </c>
      <c r="GE449" s="44" t="str">
        <f>IF(Table1[Leaving Date]="","",IF(AND(Table1[Leaving Date]&gt;42460,Table1[Leaving Date]&lt;42826),IF(Table1[Date of Last Assessment]="",Table1[Motivation and Taking Responsibility],Table1[Motivation and Taking Responsibility2]),""))</f>
        <v/>
      </c>
      <c r="GF449" s="44" t="str">
        <f>IF(Table1[Leaving Date]="","",IF(AND(Table1[Leaving Date]&gt;42460,Table1[Leaving Date]&lt;42826),IF(Table1[Date of Last Assessment]="",Table1[Self-Care and Living Skills],Table1[Self-Care and Living Skills2]),""))</f>
        <v/>
      </c>
      <c r="GG449" s="44" t="str">
        <f>IF(Table1[Leaving Date]="","",IF(AND(Table1[Leaving Date]&gt;42460,Table1[Leaving Date]&lt;42826),IF(Table1[Date of Last Assessment]="",Table1[Managing Money and Personal Administration],Table1[Managing Money and Personal Administration2]),""))</f>
        <v/>
      </c>
      <c r="GH449" s="44" t="str">
        <f>IF(Table1[Leaving Date]="","",IF(AND(Table1[Leaving Date]&gt;42460,Table1[Leaving Date]&lt;42826),IF(Table1[Date of Last Assessment]="",Table1[Social Networks and Relationships],Table1[Social Networks and Relationships2]),""))</f>
        <v/>
      </c>
      <c r="GI449" s="44" t="str">
        <f>IF(Table1[Leaving Date]="","",IF(AND(Table1[Leaving Date]&gt;42460,Table1[Leaving Date]&lt;42826),IF(Table1[Date of Last Assessment]="",Table1[Drug and Alcohol Misuse],Table1[Drug and Alcohol Misuse2]),""))</f>
        <v/>
      </c>
      <c r="GJ449" s="44" t="str">
        <f>IF(Table1[Leaving Date]="","",IF(AND(Table1[Leaving Date]&gt;42460,Table1[Leaving Date]&lt;42826),IF(Table1[Date of Last Assessment]="",Table1[Physical Health],Table1[Physical Health2]),""))</f>
        <v/>
      </c>
      <c r="GK449" s="44" t="str">
        <f>IF(Table1[Leaving Date]="","",IF(AND(Table1[Leaving Date]&gt;42460,Table1[Leaving Date]&lt;42826),IF(Table1[Date of Last Assessment]="",Table1[Emotional and Mental Health],Table1[Emotional and Mental Health2]),""))</f>
        <v/>
      </c>
      <c r="GL449" s="44" t="str">
        <f>IF(Table1[Leaving Date]="","",IF(AND(Table1[Leaving Date]&gt;42460,Table1[Leaving Date]&lt;42826),IF(Table1[Date of Last Assessment]="",Table1[Meaningful Use of Time],Table1[Meaningful Use of Time2]),""))</f>
        <v/>
      </c>
      <c r="GM449" s="44" t="str">
        <f>IF(Table1[Leaving Date]="","",IF(AND(Table1[Leaving Date]&gt;42460,Table1[Leaving Date]&lt;42826),IF(Table1[Date of Last Assessment]="",Table1[Managing Tenancy and Accommodation],Table1[Managing Tenancy and Accommodation2]),""))</f>
        <v/>
      </c>
      <c r="GN449" s="44" t="str">
        <f>IF(Table1[Leaving Date]="","",IF(AND(Table1[Leaving Date]&gt;42460,Table1[Leaving Date]&lt;42826),IF(Table1[Date of Last Assessment]="",Table1[Offending],Table1[Offending2]),""))</f>
        <v/>
      </c>
    </row>
    <row r="450" spans="2:196" ht="20.100000000000001" customHeight="1" x14ac:dyDescent="0.2">
      <c r="B450" s="86">
        <f>+'Service Data'!$C$5:$C$5</f>
        <v>0</v>
      </c>
      <c r="C450" s="86"/>
      <c r="D450" s="86"/>
      <c r="E450" s="86"/>
      <c r="F450" s="86"/>
      <c r="G450" s="86"/>
      <c r="H450" s="6"/>
      <c r="I450" s="99" t="str">
        <f ca="1">IF(Table1[[#This Row],[Date of Birth]]="","",SUM(TODAY()-Table1[[#This Row],[Date of Birth]])/365)</f>
        <v/>
      </c>
      <c r="L450" s="86"/>
      <c r="M450" s="77"/>
      <c r="N450" s="86"/>
      <c r="O450" s="86"/>
      <c r="P450" s="91"/>
      <c r="Q450" s="86"/>
      <c r="R450" s="77"/>
      <c r="S450" s="77"/>
      <c r="T450" s="68"/>
      <c r="U450" s="68"/>
      <c r="V450" s="67"/>
      <c r="W450" s="67"/>
      <c r="X450" s="67"/>
      <c r="Y450" s="67"/>
      <c r="Z450" s="67"/>
      <c r="AA450" s="67"/>
      <c r="AB450" s="67"/>
      <c r="AC450" s="67"/>
      <c r="AD450" s="67"/>
      <c r="AE450" s="67"/>
      <c r="AF450" s="67"/>
      <c r="AG450" s="67"/>
      <c r="AH450" s="67"/>
      <c r="AI450" s="67"/>
      <c r="AJ450" s="67"/>
      <c r="AK450" s="67"/>
      <c r="AL450" s="67"/>
      <c r="AM450" s="67"/>
      <c r="AN450" s="77"/>
      <c r="AO450" s="76"/>
      <c r="AP450" s="77"/>
      <c r="AQ450" s="76"/>
      <c r="AR450" s="76"/>
      <c r="AS450" s="76"/>
      <c r="AT450" s="76"/>
      <c r="AU450" s="76"/>
      <c r="AV450" s="77"/>
      <c r="AW450" s="76"/>
      <c r="AX450" s="77"/>
      <c r="AY450" s="76"/>
      <c r="AZ450" s="76"/>
      <c r="BA450" s="76"/>
      <c r="BB450" s="76"/>
      <c r="BC450" s="76"/>
      <c r="BD450" s="77"/>
      <c r="BE450" s="76"/>
      <c r="BF450" s="77"/>
      <c r="BG450" s="76"/>
      <c r="BH450" s="76"/>
      <c r="BI450" s="76"/>
      <c r="BJ450" s="76"/>
      <c r="BK450" s="76"/>
      <c r="BL450" s="77"/>
      <c r="BM450" s="76"/>
      <c r="BN450" s="77"/>
      <c r="BO450" s="76"/>
      <c r="BP450" s="76"/>
      <c r="BQ450" s="76"/>
      <c r="BR450" s="76"/>
      <c r="BS450" s="76"/>
      <c r="BT450" s="77"/>
      <c r="BU450" s="76"/>
      <c r="BV450" s="77"/>
      <c r="BW450" s="76"/>
      <c r="BX450" s="76"/>
      <c r="BY450" s="76"/>
      <c r="BZ450" s="76"/>
      <c r="CA450" s="76"/>
      <c r="CB450" s="77"/>
      <c r="CC450" s="76"/>
      <c r="CD450" s="77"/>
      <c r="CE450" s="76"/>
      <c r="CF450" s="76"/>
      <c r="CG450" s="76"/>
      <c r="CH450" s="76"/>
      <c r="CI450" s="76"/>
      <c r="CJ450" s="77"/>
      <c r="CK450" s="76"/>
      <c r="CL450" s="77"/>
      <c r="CM450" s="76"/>
      <c r="CN450" s="76"/>
      <c r="CO450" s="76"/>
      <c r="CP450" s="76"/>
      <c r="CQ450" s="76"/>
      <c r="CR450" s="78" t="str">
        <f t="shared" si="111"/>
        <v/>
      </c>
      <c r="CS450" s="79" t="str">
        <f t="shared" si="112"/>
        <v/>
      </c>
      <c r="CT450" s="79" t="str">
        <f t="shared" si="113"/>
        <v/>
      </c>
      <c r="CU450" s="79" t="str">
        <f t="shared" si="114"/>
        <v/>
      </c>
      <c r="CV450" s="79" t="str">
        <f t="shared" si="115"/>
        <v/>
      </c>
      <c r="CW450" s="79" t="str">
        <f t="shared" si="116"/>
        <v/>
      </c>
      <c r="CX450" s="79" t="str">
        <f t="shared" si="117"/>
        <v/>
      </c>
      <c r="CY450" s="79" t="str">
        <f t="shared" si="118"/>
        <v/>
      </c>
      <c r="CZ450" s="79" t="str">
        <f t="shared" si="119"/>
        <v/>
      </c>
      <c r="DA450" s="79" t="str">
        <f t="shared" si="120"/>
        <v/>
      </c>
      <c r="DB450" s="79" t="str">
        <f t="shared" si="121"/>
        <v/>
      </c>
      <c r="DC450" s="79" t="str">
        <f t="shared" si="122"/>
        <v/>
      </c>
      <c r="DD450" s="79" t="str">
        <f t="shared" si="123"/>
        <v/>
      </c>
      <c r="DE450" s="79" t="str">
        <f t="shared" si="124"/>
        <v/>
      </c>
      <c r="DF450" s="79" t="str">
        <f t="shared" si="125"/>
        <v/>
      </c>
      <c r="DG450" s="79" t="str">
        <f t="shared" si="126"/>
        <v/>
      </c>
      <c r="DH450" s="76"/>
      <c r="DI450" s="78"/>
      <c r="DJ450" s="76"/>
      <c r="DK450" s="77"/>
      <c r="DL450" s="77"/>
      <c r="DM450" s="77"/>
      <c r="DN450" s="80"/>
      <c r="DO450" s="80"/>
      <c r="DP450" s="92" t="str">
        <f>IF(Table1[Start Date]="","",IF(Table1[Start Date]&gt;42185,"",IF(AND(Table1[Leaving Date]&gt;1,Table1[Leaving Date]&lt;42095),"",1)))</f>
        <v/>
      </c>
      <c r="DQ450" s="92" t="str">
        <f>IF(Table1[Start Date]="","",IF(Table1[Start Date]&gt;42277,"",IF(AND(Table1[Leaving Date]&gt;1,Table1[Leaving Date]&lt;42186),"",1)))</f>
        <v/>
      </c>
      <c r="DR450" s="92" t="str">
        <f>IF(Table1[Start Date]="","",IF(Table1[Start Date]&gt;42369,"",IF(AND(Table1[Leaving Date]&gt;1,Table1[Leaving Date]&lt;42278),"",1)))</f>
        <v/>
      </c>
      <c r="DS450" s="92" t="str">
        <f>IF(Table1[Start Date]="","",IF(Table1[Start Date]&gt;42460,"",IF(AND(Table1[Leaving Date]&gt;1,Table1[Leaving Date]&lt;42370),"",1)))</f>
        <v/>
      </c>
      <c r="DT450" s="92" t="str">
        <f>IF(Table1[Start Date]="","",IF(Table1[Start Date]&gt;42551,"",IF(AND(Table1[Leaving Date]&gt;1,Table1[Leaving Date]&lt;42461),"",1)))</f>
        <v/>
      </c>
      <c r="DU450" s="92" t="str">
        <f>IF(Table1[Start Date]="","",IF(Table1[Start Date]&gt;42643,"",IF(AND(Table1[Leaving Date]&gt;1,Table1[Leaving Date]&lt;42552),"",1)))</f>
        <v/>
      </c>
      <c r="DV450" s="92" t="str">
        <f>IF(Table1[Start Date]="","",IF(Table1[Start Date]&gt;42735,"",IF(AND(Table1[Leaving Date]&gt;1,Table1[Leaving Date]&lt;42644),"",1)))</f>
        <v/>
      </c>
      <c r="DW450" s="92" t="str">
        <f>IF(Table1[Start Date]="","",IF(Table1[Start Date]&gt;42825,"",IF(AND(Table1[Leaving Date]&gt;1,Table1[Leaving Date]&lt;42736),"",1)))</f>
        <v/>
      </c>
      <c r="DX450"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450" s="44" t="e">
        <f>VLOOKUP(Table1[Referral Source],Lists!$G$2:$H$20,2,FALSE)</f>
        <v>#N/A</v>
      </c>
      <c r="DZ450" s="93" t="e">
        <f>SUM(Table1[Data Referral Quarter]+Table1[Data Referral Source])</f>
        <v>#N/A</v>
      </c>
      <c r="EA450" s="44" t="b">
        <f>IF(Table1[Referral Decision]="Accepted",100,IF(Table1[Referral Decision]="Rejected by Provider",200,IF(Table1[Referral Decision]="Rejected by Applicant",300)))</f>
        <v>0</v>
      </c>
      <c r="EB450" s="44">
        <f>SUM(Table1[Data Referral Quarter]+Table1[Data Referral Decision])</f>
        <v>0</v>
      </c>
      <c r="EC450" s="44" t="b">
        <f>IF(Table1[Start Date]&gt;42735,8000,IF(Table1[Start Date]&gt;42643,7000,IF(Table1[Start Date]&gt;42551,6000,IF(Table1[Start Date]&gt;42460,5000,IF(Table1[Start Date]&gt;42369,4000,IF(Table1[Start Date]&gt;42277,3000,IF(Table1[Start Date]&gt;42185,2000,IF(Table1[Start Date]&gt;42094,1000))))))))</f>
        <v>0</v>
      </c>
      <c r="ED450" s="44" t="str">
        <f>IF(Table1[Start Date]="","",IF(Table1[Current Local Authority]="Swindon",1,"2"))</f>
        <v/>
      </c>
      <c r="EE450" s="44" t="e">
        <f>SUM(Table1[Data Start Date]+Table1[Data Local Authority])</f>
        <v>#VALUE!</v>
      </c>
      <c r="EF450" s="44">
        <f>IF(Table1[Registered with GP]="Yes",1,0)</f>
        <v>0</v>
      </c>
      <c r="EG450" s="44">
        <f>SUM(Table1[Data Start Date]+Table1[Data GP Start])</f>
        <v>0</v>
      </c>
      <c r="EH450" s="44" t="str">
        <f>IF(Table1[EET]="NEET",1,IF(Table1[EET]="Education",2,IF(Table1[EET]="Employment",2,IF(Table1[EET]="Training",2,IF(Table1[EET]="Retired",3,"")))))</f>
        <v/>
      </c>
      <c r="EI450" s="44" t="e">
        <f>Table1[Data Start Date]+Table1[Data EET Start]</f>
        <v>#VALUE!</v>
      </c>
      <c r="EJ450" s="44" t="b">
        <f>IF(Table1[Leaving Date]&gt;42735,8000,IF(Table1[Leaving Date]&gt;42643,7000,IF(Table1[Leaving Date]&gt;42551,6000,IF(Table1[Leaving Date]&gt;42460,5000,IF(Table1[Leaving Date]&gt;42369,4000,IF(Table1[Leaving Date]&gt;42277,3000,IF(Table1[Leaving Date]&gt;42185,2000,IF(Table1[Leaving Date]&gt;42094,1000))))))))</f>
        <v>0</v>
      </c>
      <c r="EK450" s="44" t="e">
        <f>VLOOKUP(Table1[Reason for Leaving],Lists!$T$2:$U$15,2,FALSE)</f>
        <v>#N/A</v>
      </c>
      <c r="EL450" s="44" t="e">
        <f>SUM(Table1[Data Leavers Date]+Table1[Data Move On])</f>
        <v>#N/A</v>
      </c>
      <c r="EM450" s="44" t="b">
        <f>IF(Table1[Registered with GP2]="Yes",1,IF(Table1[Registered with GP2]="No",0,IF(Table1[Registered with GP]="Yes",1,IF(Table1[Registered with GP]="No",0))))</f>
        <v>0</v>
      </c>
      <c r="EN450" s="44">
        <f>SUM(Table1[Data Leavers Date]+Table1[Data GP End])</f>
        <v>0</v>
      </c>
      <c r="EO450" s="44" t="str">
        <f>IF(Table1[EET2]="NEET",1,IF(Table1[EET2]="Employment",2,IF(Table1[EET2]="Education",2,IF(Table1[EET2]="Training",2,IF(Table1[EET2]="Retired",3,IF(Table1[EET]="NEET",1,IF(Table1[EET]="Employment",2,IF(Table1[EET]="Education",2,IF(Table1[EET]="Training",2,IF(Table1[EET]="Retired",3,""))))))))))</f>
        <v/>
      </c>
      <c r="EP450" s="44" t="e">
        <f>+Table1[[#This Row],[Data Leavers Date]]+Table1[[#This Row],[Data EET End]]</f>
        <v>#VALUE!</v>
      </c>
      <c r="EQ450" s="44">
        <f>IF(Table1[Exit Form Received]="Yes",1,0)</f>
        <v>0</v>
      </c>
      <c r="ER450" s="44">
        <f>+Table1[[#This Row],[Data Leavers Date]]+Table1[[#This Row],[Data Exit Forms]]</f>
        <v>0</v>
      </c>
      <c r="ES450" s="44" t="str">
        <f>IF(Table1[Data Leavers Date]=1000,SUM(Table1[Leaving Date]-Table1[Start Date]),"")</f>
        <v/>
      </c>
      <c r="ET450" s="44" t="str">
        <f>IF(Table1[Data Leavers Date]=2000,SUM(Table1[Leaving Date]-Table1[Start Date]),"")</f>
        <v/>
      </c>
      <c r="EU450" s="44" t="str">
        <f>IF(Table1[Data Leavers Date]=3000,SUM(Table1[Leaving Date]-Table1[Start Date]),"")</f>
        <v/>
      </c>
      <c r="EV450" s="44" t="str">
        <f>IF(Table1[Data Leavers Date]=4000,SUM(Table1[Leaving Date]-Table1[Start Date]),"")</f>
        <v/>
      </c>
      <c r="EW450" s="44" t="str">
        <f>IF(Table1[Data Leavers Date]=5000,SUM(Table1[Leaving Date]-Table1[Start Date]),"")</f>
        <v/>
      </c>
      <c r="EX450" s="44" t="str">
        <f>IF(Table1[Data Leavers Date]=6000,SUM(Table1[Leaving Date]-Table1[Start Date]),"")</f>
        <v/>
      </c>
      <c r="EY450" s="44" t="str">
        <f>IF(Table1[Data Leavers Date]=7000,SUM(Table1[Leaving Date]-Table1[Start Date]),"")</f>
        <v/>
      </c>
      <c r="EZ450" s="44" t="str">
        <f>IF(Table1[Data Leavers Date]=8000,SUM(Table1[Leaving Date]-Table1[Start Date]),"")</f>
        <v/>
      </c>
      <c r="FA450" s="44" t="str">
        <f>IF(Table1[Date of Initial Assessment]="","",IF(AND(Table1[Start Date]&gt;42094,Table1[Start Date]&lt;42461),Table1[Motivation and Taking Responsibility],""))</f>
        <v/>
      </c>
      <c r="FB450" s="44" t="str">
        <f>IF(Table1[Date of Initial Assessment]="","",IF(AND(Table1[Start Date]&gt;42094,Table1[Start Date]&lt;42461),Table1[Self-Care and Living Skills],""))</f>
        <v/>
      </c>
      <c r="FC450" s="44" t="str">
        <f>IF(Table1[Date of Initial Assessment]="","",IF(AND(Table1[Start Date]&gt;42094,Table1[Start Date]&lt;42461),Table1[Managing Money and Personal Administration],""))</f>
        <v/>
      </c>
      <c r="FD450" s="44" t="str">
        <f>IF(Table1[Date of Initial Assessment]="","",IF(AND(Table1[Start Date]&gt;42094,Table1[Start Date]&lt;42461),Table1[Social Networks and Relationships],""))</f>
        <v/>
      </c>
      <c r="FE450" s="44" t="str">
        <f>IF(Table1[Date of Initial Assessment]="","",IF(AND(Table1[Start Date]&gt;42094,Table1[Start Date]&lt;42461),Table1[Drug and Alcohol Misuse],""))</f>
        <v/>
      </c>
      <c r="FF450" s="44" t="str">
        <f>IF(Table1[Date of Initial Assessment]="","",IF(AND(Table1[Start Date]&gt;42094,Table1[Start Date]&lt;42461),Table1[Physical Health],""))</f>
        <v/>
      </c>
      <c r="FG450" s="44" t="str">
        <f>IF(Table1[Date of Initial Assessment]="","",IF(AND(Table1[Start Date]&gt;42094,Table1[Start Date]&lt;42461),Table1[Emotional and Mental Health],""))</f>
        <v/>
      </c>
      <c r="FH450" s="44" t="str">
        <f>IF(Table1[Date of Initial Assessment]="","",IF(AND(Table1[Start Date]&gt;42094,Table1[Start Date]&lt;42461),Table1[Meaningful Use of Time],""))</f>
        <v/>
      </c>
      <c r="FI450" s="44" t="str">
        <f>IF(Table1[Date of Initial Assessment]="","",IF(AND(Table1[Start Date]&gt;42094,Table1[Start Date]&lt;42461),Table1[Managing Tenancy and Accommodation],""))</f>
        <v/>
      </c>
      <c r="FJ450" s="44" t="str">
        <f>IF(Table1[Date of Initial Assessment]="","",IF(AND(Table1[Start Date]&gt;42094,Table1[Start Date]&lt;42461),Table1[Offending],""))</f>
        <v/>
      </c>
      <c r="FK450" s="44" t="str">
        <f>IF(Table1[Leaving Date]="","",IF(Table1[Date of Initial Assessment]="","",IF(AND(Table1[Leaving Date]&gt;42094,Table1[Leaving Date]&lt;42461),IF(Table1[Date of Last Assessment]="",Table1[Motivation and Taking Responsibility],Table1[Motivation and Taking Responsibility2]),"")))</f>
        <v/>
      </c>
      <c r="FL450" s="44" t="str">
        <f>IF(Table1[Leaving Date]="","",IF(Table1[Date of Initial Assessment]="","",IF(AND(Table1[Leaving Date]&gt;42094,Table1[Leaving Date]&lt;42461),IF(Table1[Date of Last Assessment]="",Table1[Self-Care and Living Skills],Table1[Self-Care and Living Skills2]),"")))</f>
        <v/>
      </c>
      <c r="FM450" s="44" t="str">
        <f>IF(Table1[Leaving Date]="","",IF(Table1[Date of Initial Assessment]="","",IF(AND(Table1[Leaving Date]&gt;42094,Table1[Leaving Date]&lt;42461),IF(Table1[Date of Last Assessment]="",Table1[Managing Money and Personal Administration],Table1[Managing Money and Personal Administration2]),"")))</f>
        <v/>
      </c>
      <c r="FN450" s="44" t="str">
        <f>IF(Table1[Leaving Date]="","",IF(Table1[Date of Initial Assessment]="","",IF(AND(Table1[Leaving Date]&gt;42094,Table1[Leaving Date]&lt;42461),IF(Table1[Date of Last Assessment]="",Table1[Social Networks and Relationships],Table1[Social Networks and Relationships2]),"")))</f>
        <v/>
      </c>
      <c r="FO450" s="44" t="str">
        <f>IF(Table1[Leaving Date]="","",IF(Table1[Date of Initial Assessment]="","",IF(AND(Table1[Leaving Date]&gt;42094,Table1[Leaving Date]&lt;42461),IF(Table1[Date of Last Assessment]="",Table1[Drug and Alcohol Misuse],Table1[Drug and Alcohol Misuse2]),"")))</f>
        <v/>
      </c>
      <c r="FP450" s="44" t="str">
        <f>IF(Table1[Leaving Date]="","",IF(Table1[Date of Initial Assessment]="","",IF(AND(Table1[Leaving Date]&gt;42094,Table1[Leaving Date]&lt;42461),IF(Table1[Date of Last Assessment]="",Table1[Physical Health],Table1[Physical Health2]),"")))</f>
        <v/>
      </c>
      <c r="FQ450" s="44" t="str">
        <f>IF(Table1[Leaving Date]="","",IF(Table1[Date of Initial Assessment]="","",IF(AND(Table1[Leaving Date]&gt;42094,Table1[Leaving Date]&lt;42461),IF(Table1[Date of Last Assessment]="",Table1[Emotional and Mental Health],Table1[Emotional and Mental Health2]),"")))</f>
        <v/>
      </c>
      <c r="FR450" s="44" t="str">
        <f>IF(Table1[Leaving Date]="","",IF(Table1[Date of Initial Assessment]="","",IF(AND(Table1[Leaving Date]&gt;42094,Table1[Leaving Date]&lt;42461),IF(Table1[Date of Last Assessment]="",Table1[Meaningful Use of Time],Table1[Meaningful Use of Time2]),"")))</f>
        <v/>
      </c>
      <c r="FS450" s="44" t="str">
        <f>IF(Table1[Leaving Date]="","",IF(Table1[Date of Initial Assessment]="","",IF(AND(Table1[Leaving Date]&gt;42094,Table1[Leaving Date]&lt;42461),IF(Table1[Date of Last Assessment]="",Table1[Managing Tenancy and Accommodation],Table1[Managing Tenancy and Accommodation2]),"")))</f>
        <v/>
      </c>
      <c r="FT450" s="44" t="str">
        <f>IF(Table1[Leaving Date]="","",IF(Table1[Date of Initial Assessment]="","",IF(AND(Table1[Leaving Date]&gt;42094,Table1[Leaving Date]&lt;42461),IF(Table1[Date of Last Assessment]="",Table1[Offending],Table1[Offending2]),"")))</f>
        <v/>
      </c>
      <c r="FU450" s="44" t="str">
        <f>IF(Table1[Date of Initial Assessment]="","",IF(AND(Table1[Start Date]&gt;42460,Table1[Start Date]&lt;42826),Table1[Motivation and Taking Responsibility],""))</f>
        <v/>
      </c>
      <c r="FV450" s="44" t="str">
        <f>IF(Table1[Date of Initial Assessment]="","",IF(AND(Table1[Start Date]&gt;42460,Table1[Start Date]&lt;42826),Table1[Self-Care and Living Skills],""))</f>
        <v/>
      </c>
      <c r="FW450" s="44" t="str">
        <f>IF(Table1[Date of Initial Assessment]="","",IF(AND(Table1[Start Date]&gt;42460,Table1[Start Date]&lt;42826),Table1[Managing Money and Personal Administration],""))</f>
        <v/>
      </c>
      <c r="FX450" s="44" t="str">
        <f>IF(Table1[Date of Initial Assessment]="","",IF(AND(Table1[Start Date]&gt;42460,Table1[Start Date]&lt;42826),Table1[Social Networks and Relationships],""))</f>
        <v/>
      </c>
      <c r="FY450" s="44" t="str">
        <f>IF(Table1[Date of Initial Assessment]="","",IF(AND(Table1[Start Date]&gt;42460,Table1[Start Date]&lt;42826),Table1[Drug and Alcohol Misuse],""))</f>
        <v/>
      </c>
      <c r="FZ450" s="44" t="str">
        <f>IF(Table1[Date of Initial Assessment]="","",IF(AND(Table1[Start Date]&gt;42460,Table1[Start Date]&lt;42826),Table1[Physical Health],""))</f>
        <v/>
      </c>
      <c r="GA450" s="44" t="str">
        <f>IF(Table1[Date of Initial Assessment]="","",IF(AND(Table1[Start Date]&gt;42460,Table1[Start Date]&lt;42826),Table1[Emotional and Mental Health],""))</f>
        <v/>
      </c>
      <c r="GB450" s="44" t="str">
        <f>IF(Table1[Date of Initial Assessment]="","",IF(AND(Table1[Start Date]&gt;42460,Table1[Start Date]&lt;42826),Table1[Meaningful Use of Time],""))</f>
        <v/>
      </c>
      <c r="GC450" s="44" t="str">
        <f>IF(Table1[Date of Initial Assessment]="","",IF(AND(Table1[Start Date]&gt;42460,Table1[Start Date]&lt;42826),Table1[Managing Tenancy and Accommodation],""))</f>
        <v/>
      </c>
      <c r="GD450" s="44" t="str">
        <f>IF(Table1[Date of Initial Assessment]="","",IF(AND(Table1[Start Date]&gt;42460,Table1[Start Date]&lt;42826),Table1[Offending],""))</f>
        <v/>
      </c>
      <c r="GE450" s="44" t="str">
        <f>IF(Table1[Leaving Date]="","",IF(AND(Table1[Leaving Date]&gt;42460,Table1[Leaving Date]&lt;42826),IF(Table1[Date of Last Assessment]="",Table1[Motivation and Taking Responsibility],Table1[Motivation and Taking Responsibility2]),""))</f>
        <v/>
      </c>
      <c r="GF450" s="44" t="str">
        <f>IF(Table1[Leaving Date]="","",IF(AND(Table1[Leaving Date]&gt;42460,Table1[Leaving Date]&lt;42826),IF(Table1[Date of Last Assessment]="",Table1[Self-Care and Living Skills],Table1[Self-Care and Living Skills2]),""))</f>
        <v/>
      </c>
      <c r="GG450" s="44" t="str">
        <f>IF(Table1[Leaving Date]="","",IF(AND(Table1[Leaving Date]&gt;42460,Table1[Leaving Date]&lt;42826),IF(Table1[Date of Last Assessment]="",Table1[Managing Money and Personal Administration],Table1[Managing Money and Personal Administration2]),""))</f>
        <v/>
      </c>
      <c r="GH450" s="44" t="str">
        <f>IF(Table1[Leaving Date]="","",IF(AND(Table1[Leaving Date]&gt;42460,Table1[Leaving Date]&lt;42826),IF(Table1[Date of Last Assessment]="",Table1[Social Networks and Relationships],Table1[Social Networks and Relationships2]),""))</f>
        <v/>
      </c>
      <c r="GI450" s="44" t="str">
        <f>IF(Table1[Leaving Date]="","",IF(AND(Table1[Leaving Date]&gt;42460,Table1[Leaving Date]&lt;42826),IF(Table1[Date of Last Assessment]="",Table1[Drug and Alcohol Misuse],Table1[Drug and Alcohol Misuse2]),""))</f>
        <v/>
      </c>
      <c r="GJ450" s="44" t="str">
        <f>IF(Table1[Leaving Date]="","",IF(AND(Table1[Leaving Date]&gt;42460,Table1[Leaving Date]&lt;42826),IF(Table1[Date of Last Assessment]="",Table1[Physical Health],Table1[Physical Health2]),""))</f>
        <v/>
      </c>
      <c r="GK450" s="44" t="str">
        <f>IF(Table1[Leaving Date]="","",IF(AND(Table1[Leaving Date]&gt;42460,Table1[Leaving Date]&lt;42826),IF(Table1[Date of Last Assessment]="",Table1[Emotional and Mental Health],Table1[Emotional and Mental Health2]),""))</f>
        <v/>
      </c>
      <c r="GL450" s="44" t="str">
        <f>IF(Table1[Leaving Date]="","",IF(AND(Table1[Leaving Date]&gt;42460,Table1[Leaving Date]&lt;42826),IF(Table1[Date of Last Assessment]="",Table1[Meaningful Use of Time],Table1[Meaningful Use of Time2]),""))</f>
        <v/>
      </c>
      <c r="GM450" s="44" t="str">
        <f>IF(Table1[Leaving Date]="","",IF(AND(Table1[Leaving Date]&gt;42460,Table1[Leaving Date]&lt;42826),IF(Table1[Date of Last Assessment]="",Table1[Managing Tenancy and Accommodation],Table1[Managing Tenancy and Accommodation2]),""))</f>
        <v/>
      </c>
      <c r="GN450" s="44" t="str">
        <f>IF(Table1[Leaving Date]="","",IF(AND(Table1[Leaving Date]&gt;42460,Table1[Leaving Date]&lt;42826),IF(Table1[Date of Last Assessment]="",Table1[Offending],Table1[Offending2]),""))</f>
        <v/>
      </c>
    </row>
    <row r="451" spans="2:196" ht="20.100000000000001" customHeight="1" x14ac:dyDescent="0.2">
      <c r="B451" s="86">
        <f>+'Service Data'!$C$5:$C$5</f>
        <v>0</v>
      </c>
      <c r="C451" s="86"/>
      <c r="D451" s="86"/>
      <c r="E451" s="86"/>
      <c r="F451" s="86"/>
      <c r="G451" s="86"/>
      <c r="H451" s="6"/>
      <c r="I451" s="99" t="str">
        <f ca="1">IF(Table1[[#This Row],[Date of Birth]]="","",SUM(TODAY()-Table1[[#This Row],[Date of Birth]])/365)</f>
        <v/>
      </c>
      <c r="L451" s="86"/>
      <c r="M451" s="77"/>
      <c r="N451" s="86"/>
      <c r="O451" s="86"/>
      <c r="P451" s="91"/>
      <c r="Q451" s="86"/>
      <c r="R451" s="77"/>
      <c r="S451" s="77"/>
      <c r="T451" s="68"/>
      <c r="U451" s="68"/>
      <c r="V451" s="67"/>
      <c r="W451" s="67"/>
      <c r="X451" s="67"/>
      <c r="Y451" s="67"/>
      <c r="Z451" s="67"/>
      <c r="AA451" s="67"/>
      <c r="AB451" s="67"/>
      <c r="AC451" s="67"/>
      <c r="AD451" s="67"/>
      <c r="AE451" s="67"/>
      <c r="AF451" s="67"/>
      <c r="AG451" s="67"/>
      <c r="AH451" s="67"/>
      <c r="AI451" s="67"/>
      <c r="AJ451" s="67"/>
      <c r="AK451" s="67"/>
      <c r="AL451" s="67"/>
      <c r="AM451" s="67"/>
      <c r="AN451" s="77"/>
      <c r="AO451" s="76"/>
      <c r="AP451" s="77"/>
      <c r="AQ451" s="76"/>
      <c r="AR451" s="76"/>
      <c r="AS451" s="76"/>
      <c r="AT451" s="76"/>
      <c r="AU451" s="76"/>
      <c r="AV451" s="77"/>
      <c r="AW451" s="76"/>
      <c r="AX451" s="77"/>
      <c r="AY451" s="76"/>
      <c r="AZ451" s="76"/>
      <c r="BA451" s="76"/>
      <c r="BB451" s="76"/>
      <c r="BC451" s="76"/>
      <c r="BD451" s="77"/>
      <c r="BE451" s="76"/>
      <c r="BF451" s="77"/>
      <c r="BG451" s="76"/>
      <c r="BH451" s="76"/>
      <c r="BI451" s="76"/>
      <c r="BJ451" s="76"/>
      <c r="BK451" s="76"/>
      <c r="BL451" s="77"/>
      <c r="BM451" s="76"/>
      <c r="BN451" s="77"/>
      <c r="BO451" s="76"/>
      <c r="BP451" s="76"/>
      <c r="BQ451" s="76"/>
      <c r="BR451" s="76"/>
      <c r="BS451" s="76"/>
      <c r="BT451" s="77"/>
      <c r="BU451" s="76"/>
      <c r="BV451" s="77"/>
      <c r="BW451" s="76"/>
      <c r="BX451" s="76"/>
      <c r="BY451" s="76"/>
      <c r="BZ451" s="76"/>
      <c r="CA451" s="76"/>
      <c r="CB451" s="77"/>
      <c r="CC451" s="76"/>
      <c r="CD451" s="77"/>
      <c r="CE451" s="76"/>
      <c r="CF451" s="76"/>
      <c r="CG451" s="76"/>
      <c r="CH451" s="76"/>
      <c r="CI451" s="76"/>
      <c r="CJ451" s="77"/>
      <c r="CK451" s="76"/>
      <c r="CL451" s="77"/>
      <c r="CM451" s="76"/>
      <c r="CN451" s="76"/>
      <c r="CO451" s="76"/>
      <c r="CP451" s="76"/>
      <c r="CQ451" s="76"/>
      <c r="CR451" s="78" t="str">
        <f t="shared" si="111"/>
        <v/>
      </c>
      <c r="CS451" s="79" t="str">
        <f t="shared" si="112"/>
        <v/>
      </c>
      <c r="CT451" s="79" t="str">
        <f t="shared" si="113"/>
        <v/>
      </c>
      <c r="CU451" s="79" t="str">
        <f t="shared" si="114"/>
        <v/>
      </c>
      <c r="CV451" s="79" t="str">
        <f t="shared" si="115"/>
        <v/>
      </c>
      <c r="CW451" s="79" t="str">
        <f t="shared" si="116"/>
        <v/>
      </c>
      <c r="CX451" s="79" t="str">
        <f t="shared" si="117"/>
        <v/>
      </c>
      <c r="CY451" s="79" t="str">
        <f t="shared" si="118"/>
        <v/>
      </c>
      <c r="CZ451" s="79" t="str">
        <f t="shared" si="119"/>
        <v/>
      </c>
      <c r="DA451" s="79" t="str">
        <f t="shared" si="120"/>
        <v/>
      </c>
      <c r="DB451" s="79" t="str">
        <f t="shared" si="121"/>
        <v/>
      </c>
      <c r="DC451" s="79" t="str">
        <f t="shared" si="122"/>
        <v/>
      </c>
      <c r="DD451" s="79" t="str">
        <f t="shared" si="123"/>
        <v/>
      </c>
      <c r="DE451" s="79" t="str">
        <f t="shared" si="124"/>
        <v/>
      </c>
      <c r="DF451" s="79" t="str">
        <f t="shared" si="125"/>
        <v/>
      </c>
      <c r="DG451" s="79" t="str">
        <f t="shared" si="126"/>
        <v/>
      </c>
      <c r="DH451" s="76"/>
      <c r="DI451" s="78"/>
      <c r="DJ451" s="76"/>
      <c r="DK451" s="77"/>
      <c r="DL451" s="77"/>
      <c r="DM451" s="77"/>
      <c r="DN451" s="80"/>
      <c r="DO451" s="80"/>
      <c r="DP451" s="92" t="str">
        <f>IF(Table1[Start Date]="","",IF(Table1[Start Date]&gt;42185,"",IF(AND(Table1[Leaving Date]&gt;1,Table1[Leaving Date]&lt;42095),"",1)))</f>
        <v/>
      </c>
      <c r="DQ451" s="92" t="str">
        <f>IF(Table1[Start Date]="","",IF(Table1[Start Date]&gt;42277,"",IF(AND(Table1[Leaving Date]&gt;1,Table1[Leaving Date]&lt;42186),"",1)))</f>
        <v/>
      </c>
      <c r="DR451" s="92" t="str">
        <f>IF(Table1[Start Date]="","",IF(Table1[Start Date]&gt;42369,"",IF(AND(Table1[Leaving Date]&gt;1,Table1[Leaving Date]&lt;42278),"",1)))</f>
        <v/>
      </c>
      <c r="DS451" s="92" t="str">
        <f>IF(Table1[Start Date]="","",IF(Table1[Start Date]&gt;42460,"",IF(AND(Table1[Leaving Date]&gt;1,Table1[Leaving Date]&lt;42370),"",1)))</f>
        <v/>
      </c>
      <c r="DT451" s="92" t="str">
        <f>IF(Table1[Start Date]="","",IF(Table1[Start Date]&gt;42551,"",IF(AND(Table1[Leaving Date]&gt;1,Table1[Leaving Date]&lt;42461),"",1)))</f>
        <v/>
      </c>
      <c r="DU451" s="92" t="str">
        <f>IF(Table1[Start Date]="","",IF(Table1[Start Date]&gt;42643,"",IF(AND(Table1[Leaving Date]&gt;1,Table1[Leaving Date]&lt;42552),"",1)))</f>
        <v/>
      </c>
      <c r="DV451" s="92" t="str">
        <f>IF(Table1[Start Date]="","",IF(Table1[Start Date]&gt;42735,"",IF(AND(Table1[Leaving Date]&gt;1,Table1[Leaving Date]&lt;42644),"",1)))</f>
        <v/>
      </c>
      <c r="DW451" s="92" t="str">
        <f>IF(Table1[Start Date]="","",IF(Table1[Start Date]&gt;42825,"",IF(AND(Table1[Leaving Date]&gt;1,Table1[Leaving Date]&lt;42736),"",1)))</f>
        <v/>
      </c>
      <c r="DX451"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451" s="44" t="e">
        <f>VLOOKUP(Table1[Referral Source],Lists!$G$2:$H$20,2,FALSE)</f>
        <v>#N/A</v>
      </c>
      <c r="DZ451" s="93" t="e">
        <f>SUM(Table1[Data Referral Quarter]+Table1[Data Referral Source])</f>
        <v>#N/A</v>
      </c>
      <c r="EA451" s="44" t="b">
        <f>IF(Table1[Referral Decision]="Accepted",100,IF(Table1[Referral Decision]="Rejected by Provider",200,IF(Table1[Referral Decision]="Rejected by Applicant",300)))</f>
        <v>0</v>
      </c>
      <c r="EB451" s="44">
        <f>SUM(Table1[Data Referral Quarter]+Table1[Data Referral Decision])</f>
        <v>0</v>
      </c>
      <c r="EC451" s="44" t="b">
        <f>IF(Table1[Start Date]&gt;42735,8000,IF(Table1[Start Date]&gt;42643,7000,IF(Table1[Start Date]&gt;42551,6000,IF(Table1[Start Date]&gt;42460,5000,IF(Table1[Start Date]&gt;42369,4000,IF(Table1[Start Date]&gt;42277,3000,IF(Table1[Start Date]&gt;42185,2000,IF(Table1[Start Date]&gt;42094,1000))))))))</f>
        <v>0</v>
      </c>
      <c r="ED451" s="44" t="str">
        <f>IF(Table1[Start Date]="","",IF(Table1[Current Local Authority]="Swindon",1,"2"))</f>
        <v/>
      </c>
      <c r="EE451" s="44" t="e">
        <f>SUM(Table1[Data Start Date]+Table1[Data Local Authority])</f>
        <v>#VALUE!</v>
      </c>
      <c r="EF451" s="44">
        <f>IF(Table1[Registered with GP]="Yes",1,0)</f>
        <v>0</v>
      </c>
      <c r="EG451" s="44">
        <f>SUM(Table1[Data Start Date]+Table1[Data GP Start])</f>
        <v>0</v>
      </c>
      <c r="EH451" s="44" t="str">
        <f>IF(Table1[EET]="NEET",1,IF(Table1[EET]="Education",2,IF(Table1[EET]="Employment",2,IF(Table1[EET]="Training",2,IF(Table1[EET]="Retired",3,"")))))</f>
        <v/>
      </c>
      <c r="EI451" s="44" t="e">
        <f>Table1[Data Start Date]+Table1[Data EET Start]</f>
        <v>#VALUE!</v>
      </c>
      <c r="EJ451" s="44" t="b">
        <f>IF(Table1[Leaving Date]&gt;42735,8000,IF(Table1[Leaving Date]&gt;42643,7000,IF(Table1[Leaving Date]&gt;42551,6000,IF(Table1[Leaving Date]&gt;42460,5000,IF(Table1[Leaving Date]&gt;42369,4000,IF(Table1[Leaving Date]&gt;42277,3000,IF(Table1[Leaving Date]&gt;42185,2000,IF(Table1[Leaving Date]&gt;42094,1000))))))))</f>
        <v>0</v>
      </c>
      <c r="EK451" s="44" t="e">
        <f>VLOOKUP(Table1[Reason for Leaving],Lists!$T$2:$U$15,2,FALSE)</f>
        <v>#N/A</v>
      </c>
      <c r="EL451" s="44" t="e">
        <f>SUM(Table1[Data Leavers Date]+Table1[Data Move On])</f>
        <v>#N/A</v>
      </c>
      <c r="EM451" s="44" t="b">
        <f>IF(Table1[Registered with GP2]="Yes",1,IF(Table1[Registered with GP2]="No",0,IF(Table1[Registered with GP]="Yes",1,IF(Table1[Registered with GP]="No",0))))</f>
        <v>0</v>
      </c>
      <c r="EN451" s="44">
        <f>SUM(Table1[Data Leavers Date]+Table1[Data GP End])</f>
        <v>0</v>
      </c>
      <c r="EO451" s="44" t="str">
        <f>IF(Table1[EET2]="NEET",1,IF(Table1[EET2]="Employment",2,IF(Table1[EET2]="Education",2,IF(Table1[EET2]="Training",2,IF(Table1[EET2]="Retired",3,IF(Table1[EET]="NEET",1,IF(Table1[EET]="Employment",2,IF(Table1[EET]="Education",2,IF(Table1[EET]="Training",2,IF(Table1[EET]="Retired",3,""))))))))))</f>
        <v/>
      </c>
      <c r="EP451" s="44" t="e">
        <f>+Table1[[#This Row],[Data Leavers Date]]+Table1[[#This Row],[Data EET End]]</f>
        <v>#VALUE!</v>
      </c>
      <c r="EQ451" s="44">
        <f>IF(Table1[Exit Form Received]="Yes",1,0)</f>
        <v>0</v>
      </c>
      <c r="ER451" s="44">
        <f>+Table1[[#This Row],[Data Leavers Date]]+Table1[[#This Row],[Data Exit Forms]]</f>
        <v>0</v>
      </c>
      <c r="ES451" s="44" t="str">
        <f>IF(Table1[Data Leavers Date]=1000,SUM(Table1[Leaving Date]-Table1[Start Date]),"")</f>
        <v/>
      </c>
      <c r="ET451" s="44" t="str">
        <f>IF(Table1[Data Leavers Date]=2000,SUM(Table1[Leaving Date]-Table1[Start Date]),"")</f>
        <v/>
      </c>
      <c r="EU451" s="44" t="str">
        <f>IF(Table1[Data Leavers Date]=3000,SUM(Table1[Leaving Date]-Table1[Start Date]),"")</f>
        <v/>
      </c>
      <c r="EV451" s="44" t="str">
        <f>IF(Table1[Data Leavers Date]=4000,SUM(Table1[Leaving Date]-Table1[Start Date]),"")</f>
        <v/>
      </c>
      <c r="EW451" s="44" t="str">
        <f>IF(Table1[Data Leavers Date]=5000,SUM(Table1[Leaving Date]-Table1[Start Date]),"")</f>
        <v/>
      </c>
      <c r="EX451" s="44" t="str">
        <f>IF(Table1[Data Leavers Date]=6000,SUM(Table1[Leaving Date]-Table1[Start Date]),"")</f>
        <v/>
      </c>
      <c r="EY451" s="44" t="str">
        <f>IF(Table1[Data Leavers Date]=7000,SUM(Table1[Leaving Date]-Table1[Start Date]),"")</f>
        <v/>
      </c>
      <c r="EZ451" s="44" t="str">
        <f>IF(Table1[Data Leavers Date]=8000,SUM(Table1[Leaving Date]-Table1[Start Date]),"")</f>
        <v/>
      </c>
      <c r="FA451" s="44" t="str">
        <f>IF(Table1[Date of Initial Assessment]="","",IF(AND(Table1[Start Date]&gt;42094,Table1[Start Date]&lt;42461),Table1[Motivation and Taking Responsibility],""))</f>
        <v/>
      </c>
      <c r="FB451" s="44" t="str">
        <f>IF(Table1[Date of Initial Assessment]="","",IF(AND(Table1[Start Date]&gt;42094,Table1[Start Date]&lt;42461),Table1[Self-Care and Living Skills],""))</f>
        <v/>
      </c>
      <c r="FC451" s="44" t="str">
        <f>IF(Table1[Date of Initial Assessment]="","",IF(AND(Table1[Start Date]&gt;42094,Table1[Start Date]&lt;42461),Table1[Managing Money and Personal Administration],""))</f>
        <v/>
      </c>
      <c r="FD451" s="44" t="str">
        <f>IF(Table1[Date of Initial Assessment]="","",IF(AND(Table1[Start Date]&gt;42094,Table1[Start Date]&lt;42461),Table1[Social Networks and Relationships],""))</f>
        <v/>
      </c>
      <c r="FE451" s="44" t="str">
        <f>IF(Table1[Date of Initial Assessment]="","",IF(AND(Table1[Start Date]&gt;42094,Table1[Start Date]&lt;42461),Table1[Drug and Alcohol Misuse],""))</f>
        <v/>
      </c>
      <c r="FF451" s="44" t="str">
        <f>IF(Table1[Date of Initial Assessment]="","",IF(AND(Table1[Start Date]&gt;42094,Table1[Start Date]&lt;42461),Table1[Physical Health],""))</f>
        <v/>
      </c>
      <c r="FG451" s="44" t="str">
        <f>IF(Table1[Date of Initial Assessment]="","",IF(AND(Table1[Start Date]&gt;42094,Table1[Start Date]&lt;42461),Table1[Emotional and Mental Health],""))</f>
        <v/>
      </c>
      <c r="FH451" s="44" t="str">
        <f>IF(Table1[Date of Initial Assessment]="","",IF(AND(Table1[Start Date]&gt;42094,Table1[Start Date]&lt;42461),Table1[Meaningful Use of Time],""))</f>
        <v/>
      </c>
      <c r="FI451" s="44" t="str">
        <f>IF(Table1[Date of Initial Assessment]="","",IF(AND(Table1[Start Date]&gt;42094,Table1[Start Date]&lt;42461),Table1[Managing Tenancy and Accommodation],""))</f>
        <v/>
      </c>
      <c r="FJ451" s="44" t="str">
        <f>IF(Table1[Date of Initial Assessment]="","",IF(AND(Table1[Start Date]&gt;42094,Table1[Start Date]&lt;42461),Table1[Offending],""))</f>
        <v/>
      </c>
      <c r="FK451" s="44" t="str">
        <f>IF(Table1[Leaving Date]="","",IF(Table1[Date of Initial Assessment]="","",IF(AND(Table1[Leaving Date]&gt;42094,Table1[Leaving Date]&lt;42461),IF(Table1[Date of Last Assessment]="",Table1[Motivation and Taking Responsibility],Table1[Motivation and Taking Responsibility2]),"")))</f>
        <v/>
      </c>
      <c r="FL451" s="44" t="str">
        <f>IF(Table1[Leaving Date]="","",IF(Table1[Date of Initial Assessment]="","",IF(AND(Table1[Leaving Date]&gt;42094,Table1[Leaving Date]&lt;42461),IF(Table1[Date of Last Assessment]="",Table1[Self-Care and Living Skills],Table1[Self-Care and Living Skills2]),"")))</f>
        <v/>
      </c>
      <c r="FM451" s="44" t="str">
        <f>IF(Table1[Leaving Date]="","",IF(Table1[Date of Initial Assessment]="","",IF(AND(Table1[Leaving Date]&gt;42094,Table1[Leaving Date]&lt;42461),IF(Table1[Date of Last Assessment]="",Table1[Managing Money and Personal Administration],Table1[Managing Money and Personal Administration2]),"")))</f>
        <v/>
      </c>
      <c r="FN451" s="44" t="str">
        <f>IF(Table1[Leaving Date]="","",IF(Table1[Date of Initial Assessment]="","",IF(AND(Table1[Leaving Date]&gt;42094,Table1[Leaving Date]&lt;42461),IF(Table1[Date of Last Assessment]="",Table1[Social Networks and Relationships],Table1[Social Networks and Relationships2]),"")))</f>
        <v/>
      </c>
      <c r="FO451" s="44" t="str">
        <f>IF(Table1[Leaving Date]="","",IF(Table1[Date of Initial Assessment]="","",IF(AND(Table1[Leaving Date]&gt;42094,Table1[Leaving Date]&lt;42461),IF(Table1[Date of Last Assessment]="",Table1[Drug and Alcohol Misuse],Table1[Drug and Alcohol Misuse2]),"")))</f>
        <v/>
      </c>
      <c r="FP451" s="44" t="str">
        <f>IF(Table1[Leaving Date]="","",IF(Table1[Date of Initial Assessment]="","",IF(AND(Table1[Leaving Date]&gt;42094,Table1[Leaving Date]&lt;42461),IF(Table1[Date of Last Assessment]="",Table1[Physical Health],Table1[Physical Health2]),"")))</f>
        <v/>
      </c>
      <c r="FQ451" s="44" t="str">
        <f>IF(Table1[Leaving Date]="","",IF(Table1[Date of Initial Assessment]="","",IF(AND(Table1[Leaving Date]&gt;42094,Table1[Leaving Date]&lt;42461),IF(Table1[Date of Last Assessment]="",Table1[Emotional and Mental Health],Table1[Emotional and Mental Health2]),"")))</f>
        <v/>
      </c>
      <c r="FR451" s="44" t="str">
        <f>IF(Table1[Leaving Date]="","",IF(Table1[Date of Initial Assessment]="","",IF(AND(Table1[Leaving Date]&gt;42094,Table1[Leaving Date]&lt;42461),IF(Table1[Date of Last Assessment]="",Table1[Meaningful Use of Time],Table1[Meaningful Use of Time2]),"")))</f>
        <v/>
      </c>
      <c r="FS451" s="44" t="str">
        <f>IF(Table1[Leaving Date]="","",IF(Table1[Date of Initial Assessment]="","",IF(AND(Table1[Leaving Date]&gt;42094,Table1[Leaving Date]&lt;42461),IF(Table1[Date of Last Assessment]="",Table1[Managing Tenancy and Accommodation],Table1[Managing Tenancy and Accommodation2]),"")))</f>
        <v/>
      </c>
      <c r="FT451" s="44" t="str">
        <f>IF(Table1[Leaving Date]="","",IF(Table1[Date of Initial Assessment]="","",IF(AND(Table1[Leaving Date]&gt;42094,Table1[Leaving Date]&lt;42461),IF(Table1[Date of Last Assessment]="",Table1[Offending],Table1[Offending2]),"")))</f>
        <v/>
      </c>
      <c r="FU451" s="44" t="str">
        <f>IF(Table1[Date of Initial Assessment]="","",IF(AND(Table1[Start Date]&gt;42460,Table1[Start Date]&lt;42826),Table1[Motivation and Taking Responsibility],""))</f>
        <v/>
      </c>
      <c r="FV451" s="44" t="str">
        <f>IF(Table1[Date of Initial Assessment]="","",IF(AND(Table1[Start Date]&gt;42460,Table1[Start Date]&lt;42826),Table1[Self-Care and Living Skills],""))</f>
        <v/>
      </c>
      <c r="FW451" s="44" t="str">
        <f>IF(Table1[Date of Initial Assessment]="","",IF(AND(Table1[Start Date]&gt;42460,Table1[Start Date]&lt;42826),Table1[Managing Money and Personal Administration],""))</f>
        <v/>
      </c>
      <c r="FX451" s="44" t="str">
        <f>IF(Table1[Date of Initial Assessment]="","",IF(AND(Table1[Start Date]&gt;42460,Table1[Start Date]&lt;42826),Table1[Social Networks and Relationships],""))</f>
        <v/>
      </c>
      <c r="FY451" s="44" t="str">
        <f>IF(Table1[Date of Initial Assessment]="","",IF(AND(Table1[Start Date]&gt;42460,Table1[Start Date]&lt;42826),Table1[Drug and Alcohol Misuse],""))</f>
        <v/>
      </c>
      <c r="FZ451" s="44" t="str">
        <f>IF(Table1[Date of Initial Assessment]="","",IF(AND(Table1[Start Date]&gt;42460,Table1[Start Date]&lt;42826),Table1[Physical Health],""))</f>
        <v/>
      </c>
      <c r="GA451" s="44" t="str">
        <f>IF(Table1[Date of Initial Assessment]="","",IF(AND(Table1[Start Date]&gt;42460,Table1[Start Date]&lt;42826),Table1[Emotional and Mental Health],""))</f>
        <v/>
      </c>
      <c r="GB451" s="44" t="str">
        <f>IF(Table1[Date of Initial Assessment]="","",IF(AND(Table1[Start Date]&gt;42460,Table1[Start Date]&lt;42826),Table1[Meaningful Use of Time],""))</f>
        <v/>
      </c>
      <c r="GC451" s="44" t="str">
        <f>IF(Table1[Date of Initial Assessment]="","",IF(AND(Table1[Start Date]&gt;42460,Table1[Start Date]&lt;42826),Table1[Managing Tenancy and Accommodation],""))</f>
        <v/>
      </c>
      <c r="GD451" s="44" t="str">
        <f>IF(Table1[Date of Initial Assessment]="","",IF(AND(Table1[Start Date]&gt;42460,Table1[Start Date]&lt;42826),Table1[Offending],""))</f>
        <v/>
      </c>
      <c r="GE451" s="44" t="str">
        <f>IF(Table1[Leaving Date]="","",IF(AND(Table1[Leaving Date]&gt;42460,Table1[Leaving Date]&lt;42826),IF(Table1[Date of Last Assessment]="",Table1[Motivation and Taking Responsibility],Table1[Motivation and Taking Responsibility2]),""))</f>
        <v/>
      </c>
      <c r="GF451" s="44" t="str">
        <f>IF(Table1[Leaving Date]="","",IF(AND(Table1[Leaving Date]&gt;42460,Table1[Leaving Date]&lt;42826),IF(Table1[Date of Last Assessment]="",Table1[Self-Care and Living Skills],Table1[Self-Care and Living Skills2]),""))</f>
        <v/>
      </c>
      <c r="GG451" s="44" t="str">
        <f>IF(Table1[Leaving Date]="","",IF(AND(Table1[Leaving Date]&gt;42460,Table1[Leaving Date]&lt;42826),IF(Table1[Date of Last Assessment]="",Table1[Managing Money and Personal Administration],Table1[Managing Money and Personal Administration2]),""))</f>
        <v/>
      </c>
      <c r="GH451" s="44" t="str">
        <f>IF(Table1[Leaving Date]="","",IF(AND(Table1[Leaving Date]&gt;42460,Table1[Leaving Date]&lt;42826),IF(Table1[Date of Last Assessment]="",Table1[Social Networks and Relationships],Table1[Social Networks and Relationships2]),""))</f>
        <v/>
      </c>
      <c r="GI451" s="44" t="str">
        <f>IF(Table1[Leaving Date]="","",IF(AND(Table1[Leaving Date]&gt;42460,Table1[Leaving Date]&lt;42826),IF(Table1[Date of Last Assessment]="",Table1[Drug and Alcohol Misuse],Table1[Drug and Alcohol Misuse2]),""))</f>
        <v/>
      </c>
      <c r="GJ451" s="44" t="str">
        <f>IF(Table1[Leaving Date]="","",IF(AND(Table1[Leaving Date]&gt;42460,Table1[Leaving Date]&lt;42826),IF(Table1[Date of Last Assessment]="",Table1[Physical Health],Table1[Physical Health2]),""))</f>
        <v/>
      </c>
      <c r="GK451" s="44" t="str">
        <f>IF(Table1[Leaving Date]="","",IF(AND(Table1[Leaving Date]&gt;42460,Table1[Leaving Date]&lt;42826),IF(Table1[Date of Last Assessment]="",Table1[Emotional and Mental Health],Table1[Emotional and Mental Health2]),""))</f>
        <v/>
      </c>
      <c r="GL451" s="44" t="str">
        <f>IF(Table1[Leaving Date]="","",IF(AND(Table1[Leaving Date]&gt;42460,Table1[Leaving Date]&lt;42826),IF(Table1[Date of Last Assessment]="",Table1[Meaningful Use of Time],Table1[Meaningful Use of Time2]),""))</f>
        <v/>
      </c>
      <c r="GM451" s="44" t="str">
        <f>IF(Table1[Leaving Date]="","",IF(AND(Table1[Leaving Date]&gt;42460,Table1[Leaving Date]&lt;42826),IF(Table1[Date of Last Assessment]="",Table1[Managing Tenancy and Accommodation],Table1[Managing Tenancy and Accommodation2]),""))</f>
        <v/>
      </c>
      <c r="GN451" s="44" t="str">
        <f>IF(Table1[Leaving Date]="","",IF(AND(Table1[Leaving Date]&gt;42460,Table1[Leaving Date]&lt;42826),IF(Table1[Date of Last Assessment]="",Table1[Offending],Table1[Offending2]),""))</f>
        <v/>
      </c>
    </row>
    <row r="452" spans="2:196" ht="20.100000000000001" customHeight="1" x14ac:dyDescent="0.2">
      <c r="B452" s="86">
        <f>+'Service Data'!$C$5:$C$5</f>
        <v>0</v>
      </c>
      <c r="C452" s="86"/>
      <c r="D452" s="86"/>
      <c r="E452" s="86"/>
      <c r="F452" s="86"/>
      <c r="G452" s="86"/>
      <c r="H452" s="6"/>
      <c r="I452" s="99" t="str">
        <f ca="1">IF(Table1[[#This Row],[Date of Birth]]="","",SUM(TODAY()-Table1[[#This Row],[Date of Birth]])/365)</f>
        <v/>
      </c>
      <c r="L452" s="86"/>
      <c r="M452" s="77"/>
      <c r="N452" s="86"/>
      <c r="O452" s="86"/>
      <c r="P452" s="91"/>
      <c r="Q452" s="86"/>
      <c r="R452" s="77"/>
      <c r="S452" s="77"/>
      <c r="T452" s="68"/>
      <c r="U452" s="68"/>
      <c r="V452" s="67"/>
      <c r="W452" s="67"/>
      <c r="X452" s="67"/>
      <c r="Y452" s="67"/>
      <c r="Z452" s="67"/>
      <c r="AA452" s="67"/>
      <c r="AB452" s="67"/>
      <c r="AC452" s="67"/>
      <c r="AD452" s="67"/>
      <c r="AE452" s="67"/>
      <c r="AF452" s="67"/>
      <c r="AG452" s="67"/>
      <c r="AH452" s="67"/>
      <c r="AI452" s="67"/>
      <c r="AJ452" s="67"/>
      <c r="AK452" s="67"/>
      <c r="AL452" s="67"/>
      <c r="AM452" s="67"/>
      <c r="AN452" s="77"/>
      <c r="AO452" s="76"/>
      <c r="AP452" s="77"/>
      <c r="AQ452" s="76"/>
      <c r="AR452" s="76"/>
      <c r="AS452" s="76"/>
      <c r="AT452" s="76"/>
      <c r="AU452" s="76"/>
      <c r="AV452" s="77"/>
      <c r="AW452" s="76"/>
      <c r="AX452" s="77"/>
      <c r="AY452" s="76"/>
      <c r="AZ452" s="76"/>
      <c r="BA452" s="76"/>
      <c r="BB452" s="76"/>
      <c r="BC452" s="76"/>
      <c r="BD452" s="77"/>
      <c r="BE452" s="76"/>
      <c r="BF452" s="77"/>
      <c r="BG452" s="76"/>
      <c r="BH452" s="76"/>
      <c r="BI452" s="76"/>
      <c r="BJ452" s="76"/>
      <c r="BK452" s="76"/>
      <c r="BL452" s="77"/>
      <c r="BM452" s="76"/>
      <c r="BN452" s="77"/>
      <c r="BO452" s="76"/>
      <c r="BP452" s="76"/>
      <c r="BQ452" s="76"/>
      <c r="BR452" s="76"/>
      <c r="BS452" s="76"/>
      <c r="BT452" s="77"/>
      <c r="BU452" s="76"/>
      <c r="BV452" s="77"/>
      <c r="BW452" s="76"/>
      <c r="BX452" s="76"/>
      <c r="BY452" s="76"/>
      <c r="BZ452" s="76"/>
      <c r="CA452" s="76"/>
      <c r="CB452" s="77"/>
      <c r="CC452" s="76"/>
      <c r="CD452" s="77"/>
      <c r="CE452" s="76"/>
      <c r="CF452" s="76"/>
      <c r="CG452" s="76"/>
      <c r="CH452" s="76"/>
      <c r="CI452" s="76"/>
      <c r="CJ452" s="77"/>
      <c r="CK452" s="76"/>
      <c r="CL452" s="77"/>
      <c r="CM452" s="76"/>
      <c r="CN452" s="76"/>
      <c r="CO452" s="76"/>
      <c r="CP452" s="76"/>
      <c r="CQ452" s="76"/>
      <c r="CR452" s="78" t="str">
        <f t="shared" ref="CR452:CR515" si="127">IF(U452="","",U452)</f>
        <v/>
      </c>
      <c r="CS452" s="79" t="str">
        <f t="shared" ref="CS452:CS515" si="128">IF(V452="","",V452)</f>
        <v/>
      </c>
      <c r="CT452" s="79" t="str">
        <f t="shared" ref="CT452:CT515" si="129">IF(W452="","",W452)</f>
        <v/>
      </c>
      <c r="CU452" s="79" t="str">
        <f t="shared" ref="CU452:CU515" si="130">IF(X452="","",X452)</f>
        <v/>
      </c>
      <c r="CV452" s="79" t="str">
        <f t="shared" ref="CV452:CV515" si="131">IF(Y452="","",Y452)</f>
        <v/>
      </c>
      <c r="CW452" s="79" t="str">
        <f t="shared" ref="CW452:CW515" si="132">IF(Z452="","",Z452)</f>
        <v/>
      </c>
      <c r="CX452" s="79" t="str">
        <f t="shared" ref="CX452:CX515" si="133">IF(AA452="","",AA452)</f>
        <v/>
      </c>
      <c r="CY452" s="79" t="str">
        <f t="shared" ref="CY452:CY515" si="134">IF(AB452="","",AB452)</f>
        <v/>
      </c>
      <c r="CZ452" s="79" t="str">
        <f t="shared" ref="CZ452:CZ515" si="135">IF(AC452="","",AC452)</f>
        <v/>
      </c>
      <c r="DA452" s="79" t="str">
        <f t="shared" ref="DA452:DA515" si="136">IF(AD452="","",AD452)</f>
        <v/>
      </c>
      <c r="DB452" s="79" t="str">
        <f t="shared" ref="DB452:DB515" si="137">IF(AE452="","",AE452)</f>
        <v/>
      </c>
      <c r="DC452" s="79" t="str">
        <f t="shared" ref="DC452:DC515" si="138">IF(AF452="","",AF452)</f>
        <v/>
      </c>
      <c r="DD452" s="79" t="str">
        <f t="shared" ref="DD452:DD515" si="139">IF(AG452="","",AG452)</f>
        <v/>
      </c>
      <c r="DE452" s="79" t="str">
        <f t="shared" ref="DE452:DE515" si="140">IF(AK452="","",AK452)</f>
        <v/>
      </c>
      <c r="DF452" s="79" t="str">
        <f t="shared" ref="DF452:DF515" si="141">IF(AL452="","",AL452)</f>
        <v/>
      </c>
      <c r="DG452" s="79" t="str">
        <f t="shared" ref="DG452:DG515" si="142">IF(AM452="","",AM452)</f>
        <v/>
      </c>
      <c r="DH452" s="76"/>
      <c r="DI452" s="78"/>
      <c r="DJ452" s="76"/>
      <c r="DK452" s="77"/>
      <c r="DL452" s="77"/>
      <c r="DM452" s="77"/>
      <c r="DN452" s="80"/>
      <c r="DO452" s="80"/>
      <c r="DP452" s="92" t="str">
        <f>IF(Table1[Start Date]="","",IF(Table1[Start Date]&gt;42185,"",IF(AND(Table1[Leaving Date]&gt;1,Table1[Leaving Date]&lt;42095),"",1)))</f>
        <v/>
      </c>
      <c r="DQ452" s="92" t="str">
        <f>IF(Table1[Start Date]="","",IF(Table1[Start Date]&gt;42277,"",IF(AND(Table1[Leaving Date]&gt;1,Table1[Leaving Date]&lt;42186),"",1)))</f>
        <v/>
      </c>
      <c r="DR452" s="92" t="str">
        <f>IF(Table1[Start Date]="","",IF(Table1[Start Date]&gt;42369,"",IF(AND(Table1[Leaving Date]&gt;1,Table1[Leaving Date]&lt;42278),"",1)))</f>
        <v/>
      </c>
      <c r="DS452" s="92" t="str">
        <f>IF(Table1[Start Date]="","",IF(Table1[Start Date]&gt;42460,"",IF(AND(Table1[Leaving Date]&gt;1,Table1[Leaving Date]&lt;42370),"",1)))</f>
        <v/>
      </c>
      <c r="DT452" s="92" t="str">
        <f>IF(Table1[Start Date]="","",IF(Table1[Start Date]&gt;42551,"",IF(AND(Table1[Leaving Date]&gt;1,Table1[Leaving Date]&lt;42461),"",1)))</f>
        <v/>
      </c>
      <c r="DU452" s="92" t="str">
        <f>IF(Table1[Start Date]="","",IF(Table1[Start Date]&gt;42643,"",IF(AND(Table1[Leaving Date]&gt;1,Table1[Leaving Date]&lt;42552),"",1)))</f>
        <v/>
      </c>
      <c r="DV452" s="92" t="str">
        <f>IF(Table1[Start Date]="","",IF(Table1[Start Date]&gt;42735,"",IF(AND(Table1[Leaving Date]&gt;1,Table1[Leaving Date]&lt;42644),"",1)))</f>
        <v/>
      </c>
      <c r="DW452" s="92" t="str">
        <f>IF(Table1[Start Date]="","",IF(Table1[Start Date]&gt;42825,"",IF(AND(Table1[Leaving Date]&gt;1,Table1[Leaving Date]&lt;42736),"",1)))</f>
        <v/>
      </c>
      <c r="DX452"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452" s="44" t="e">
        <f>VLOOKUP(Table1[Referral Source],Lists!$G$2:$H$20,2,FALSE)</f>
        <v>#N/A</v>
      </c>
      <c r="DZ452" s="93" t="e">
        <f>SUM(Table1[Data Referral Quarter]+Table1[Data Referral Source])</f>
        <v>#N/A</v>
      </c>
      <c r="EA452" s="44" t="b">
        <f>IF(Table1[Referral Decision]="Accepted",100,IF(Table1[Referral Decision]="Rejected by Provider",200,IF(Table1[Referral Decision]="Rejected by Applicant",300)))</f>
        <v>0</v>
      </c>
      <c r="EB452" s="44">
        <f>SUM(Table1[Data Referral Quarter]+Table1[Data Referral Decision])</f>
        <v>0</v>
      </c>
      <c r="EC452" s="44" t="b">
        <f>IF(Table1[Start Date]&gt;42735,8000,IF(Table1[Start Date]&gt;42643,7000,IF(Table1[Start Date]&gt;42551,6000,IF(Table1[Start Date]&gt;42460,5000,IF(Table1[Start Date]&gt;42369,4000,IF(Table1[Start Date]&gt;42277,3000,IF(Table1[Start Date]&gt;42185,2000,IF(Table1[Start Date]&gt;42094,1000))))))))</f>
        <v>0</v>
      </c>
      <c r="ED452" s="44" t="str">
        <f>IF(Table1[Start Date]="","",IF(Table1[Current Local Authority]="Swindon",1,"2"))</f>
        <v/>
      </c>
      <c r="EE452" s="44" t="e">
        <f>SUM(Table1[Data Start Date]+Table1[Data Local Authority])</f>
        <v>#VALUE!</v>
      </c>
      <c r="EF452" s="44">
        <f>IF(Table1[Registered with GP]="Yes",1,0)</f>
        <v>0</v>
      </c>
      <c r="EG452" s="44">
        <f>SUM(Table1[Data Start Date]+Table1[Data GP Start])</f>
        <v>0</v>
      </c>
      <c r="EH452" s="44" t="str">
        <f>IF(Table1[EET]="NEET",1,IF(Table1[EET]="Education",2,IF(Table1[EET]="Employment",2,IF(Table1[EET]="Training",2,IF(Table1[EET]="Retired",3,"")))))</f>
        <v/>
      </c>
      <c r="EI452" s="44" t="e">
        <f>Table1[Data Start Date]+Table1[Data EET Start]</f>
        <v>#VALUE!</v>
      </c>
      <c r="EJ452" s="44" t="b">
        <f>IF(Table1[Leaving Date]&gt;42735,8000,IF(Table1[Leaving Date]&gt;42643,7000,IF(Table1[Leaving Date]&gt;42551,6000,IF(Table1[Leaving Date]&gt;42460,5000,IF(Table1[Leaving Date]&gt;42369,4000,IF(Table1[Leaving Date]&gt;42277,3000,IF(Table1[Leaving Date]&gt;42185,2000,IF(Table1[Leaving Date]&gt;42094,1000))))))))</f>
        <v>0</v>
      </c>
      <c r="EK452" s="44" t="e">
        <f>VLOOKUP(Table1[Reason for Leaving],Lists!$T$2:$U$15,2,FALSE)</f>
        <v>#N/A</v>
      </c>
      <c r="EL452" s="44" t="e">
        <f>SUM(Table1[Data Leavers Date]+Table1[Data Move On])</f>
        <v>#N/A</v>
      </c>
      <c r="EM452" s="44" t="b">
        <f>IF(Table1[Registered with GP2]="Yes",1,IF(Table1[Registered with GP2]="No",0,IF(Table1[Registered with GP]="Yes",1,IF(Table1[Registered with GP]="No",0))))</f>
        <v>0</v>
      </c>
      <c r="EN452" s="44">
        <f>SUM(Table1[Data Leavers Date]+Table1[Data GP End])</f>
        <v>0</v>
      </c>
      <c r="EO452" s="44" t="str">
        <f>IF(Table1[EET2]="NEET",1,IF(Table1[EET2]="Employment",2,IF(Table1[EET2]="Education",2,IF(Table1[EET2]="Training",2,IF(Table1[EET2]="Retired",3,IF(Table1[EET]="NEET",1,IF(Table1[EET]="Employment",2,IF(Table1[EET]="Education",2,IF(Table1[EET]="Training",2,IF(Table1[EET]="Retired",3,""))))))))))</f>
        <v/>
      </c>
      <c r="EP452" s="44" t="e">
        <f>+Table1[[#This Row],[Data Leavers Date]]+Table1[[#This Row],[Data EET End]]</f>
        <v>#VALUE!</v>
      </c>
      <c r="EQ452" s="44">
        <f>IF(Table1[Exit Form Received]="Yes",1,0)</f>
        <v>0</v>
      </c>
      <c r="ER452" s="44">
        <f>+Table1[[#This Row],[Data Leavers Date]]+Table1[[#This Row],[Data Exit Forms]]</f>
        <v>0</v>
      </c>
      <c r="ES452" s="44" t="str">
        <f>IF(Table1[Data Leavers Date]=1000,SUM(Table1[Leaving Date]-Table1[Start Date]),"")</f>
        <v/>
      </c>
      <c r="ET452" s="44" t="str">
        <f>IF(Table1[Data Leavers Date]=2000,SUM(Table1[Leaving Date]-Table1[Start Date]),"")</f>
        <v/>
      </c>
      <c r="EU452" s="44" t="str">
        <f>IF(Table1[Data Leavers Date]=3000,SUM(Table1[Leaving Date]-Table1[Start Date]),"")</f>
        <v/>
      </c>
      <c r="EV452" s="44" t="str">
        <f>IF(Table1[Data Leavers Date]=4000,SUM(Table1[Leaving Date]-Table1[Start Date]),"")</f>
        <v/>
      </c>
      <c r="EW452" s="44" t="str">
        <f>IF(Table1[Data Leavers Date]=5000,SUM(Table1[Leaving Date]-Table1[Start Date]),"")</f>
        <v/>
      </c>
      <c r="EX452" s="44" t="str">
        <f>IF(Table1[Data Leavers Date]=6000,SUM(Table1[Leaving Date]-Table1[Start Date]),"")</f>
        <v/>
      </c>
      <c r="EY452" s="44" t="str">
        <f>IF(Table1[Data Leavers Date]=7000,SUM(Table1[Leaving Date]-Table1[Start Date]),"")</f>
        <v/>
      </c>
      <c r="EZ452" s="44" t="str">
        <f>IF(Table1[Data Leavers Date]=8000,SUM(Table1[Leaving Date]-Table1[Start Date]),"")</f>
        <v/>
      </c>
      <c r="FA452" s="44" t="str">
        <f>IF(Table1[Date of Initial Assessment]="","",IF(AND(Table1[Start Date]&gt;42094,Table1[Start Date]&lt;42461),Table1[Motivation and Taking Responsibility],""))</f>
        <v/>
      </c>
      <c r="FB452" s="44" t="str">
        <f>IF(Table1[Date of Initial Assessment]="","",IF(AND(Table1[Start Date]&gt;42094,Table1[Start Date]&lt;42461),Table1[Self-Care and Living Skills],""))</f>
        <v/>
      </c>
      <c r="FC452" s="44" t="str">
        <f>IF(Table1[Date of Initial Assessment]="","",IF(AND(Table1[Start Date]&gt;42094,Table1[Start Date]&lt;42461),Table1[Managing Money and Personal Administration],""))</f>
        <v/>
      </c>
      <c r="FD452" s="44" t="str">
        <f>IF(Table1[Date of Initial Assessment]="","",IF(AND(Table1[Start Date]&gt;42094,Table1[Start Date]&lt;42461),Table1[Social Networks and Relationships],""))</f>
        <v/>
      </c>
      <c r="FE452" s="44" t="str">
        <f>IF(Table1[Date of Initial Assessment]="","",IF(AND(Table1[Start Date]&gt;42094,Table1[Start Date]&lt;42461),Table1[Drug and Alcohol Misuse],""))</f>
        <v/>
      </c>
      <c r="FF452" s="44" t="str">
        <f>IF(Table1[Date of Initial Assessment]="","",IF(AND(Table1[Start Date]&gt;42094,Table1[Start Date]&lt;42461),Table1[Physical Health],""))</f>
        <v/>
      </c>
      <c r="FG452" s="44" t="str">
        <f>IF(Table1[Date of Initial Assessment]="","",IF(AND(Table1[Start Date]&gt;42094,Table1[Start Date]&lt;42461),Table1[Emotional and Mental Health],""))</f>
        <v/>
      </c>
      <c r="FH452" s="44" t="str">
        <f>IF(Table1[Date of Initial Assessment]="","",IF(AND(Table1[Start Date]&gt;42094,Table1[Start Date]&lt;42461),Table1[Meaningful Use of Time],""))</f>
        <v/>
      </c>
      <c r="FI452" s="44" t="str">
        <f>IF(Table1[Date of Initial Assessment]="","",IF(AND(Table1[Start Date]&gt;42094,Table1[Start Date]&lt;42461),Table1[Managing Tenancy and Accommodation],""))</f>
        <v/>
      </c>
      <c r="FJ452" s="44" t="str">
        <f>IF(Table1[Date of Initial Assessment]="","",IF(AND(Table1[Start Date]&gt;42094,Table1[Start Date]&lt;42461),Table1[Offending],""))</f>
        <v/>
      </c>
      <c r="FK452" s="44" t="str">
        <f>IF(Table1[Leaving Date]="","",IF(Table1[Date of Initial Assessment]="","",IF(AND(Table1[Leaving Date]&gt;42094,Table1[Leaving Date]&lt;42461),IF(Table1[Date of Last Assessment]="",Table1[Motivation and Taking Responsibility],Table1[Motivation and Taking Responsibility2]),"")))</f>
        <v/>
      </c>
      <c r="FL452" s="44" t="str">
        <f>IF(Table1[Leaving Date]="","",IF(Table1[Date of Initial Assessment]="","",IF(AND(Table1[Leaving Date]&gt;42094,Table1[Leaving Date]&lt;42461),IF(Table1[Date of Last Assessment]="",Table1[Self-Care and Living Skills],Table1[Self-Care and Living Skills2]),"")))</f>
        <v/>
      </c>
      <c r="FM452" s="44" t="str">
        <f>IF(Table1[Leaving Date]="","",IF(Table1[Date of Initial Assessment]="","",IF(AND(Table1[Leaving Date]&gt;42094,Table1[Leaving Date]&lt;42461),IF(Table1[Date of Last Assessment]="",Table1[Managing Money and Personal Administration],Table1[Managing Money and Personal Administration2]),"")))</f>
        <v/>
      </c>
      <c r="FN452" s="44" t="str">
        <f>IF(Table1[Leaving Date]="","",IF(Table1[Date of Initial Assessment]="","",IF(AND(Table1[Leaving Date]&gt;42094,Table1[Leaving Date]&lt;42461),IF(Table1[Date of Last Assessment]="",Table1[Social Networks and Relationships],Table1[Social Networks and Relationships2]),"")))</f>
        <v/>
      </c>
      <c r="FO452" s="44" t="str">
        <f>IF(Table1[Leaving Date]="","",IF(Table1[Date of Initial Assessment]="","",IF(AND(Table1[Leaving Date]&gt;42094,Table1[Leaving Date]&lt;42461),IF(Table1[Date of Last Assessment]="",Table1[Drug and Alcohol Misuse],Table1[Drug and Alcohol Misuse2]),"")))</f>
        <v/>
      </c>
      <c r="FP452" s="44" t="str">
        <f>IF(Table1[Leaving Date]="","",IF(Table1[Date of Initial Assessment]="","",IF(AND(Table1[Leaving Date]&gt;42094,Table1[Leaving Date]&lt;42461),IF(Table1[Date of Last Assessment]="",Table1[Physical Health],Table1[Physical Health2]),"")))</f>
        <v/>
      </c>
      <c r="FQ452" s="44" t="str">
        <f>IF(Table1[Leaving Date]="","",IF(Table1[Date of Initial Assessment]="","",IF(AND(Table1[Leaving Date]&gt;42094,Table1[Leaving Date]&lt;42461),IF(Table1[Date of Last Assessment]="",Table1[Emotional and Mental Health],Table1[Emotional and Mental Health2]),"")))</f>
        <v/>
      </c>
      <c r="FR452" s="44" t="str">
        <f>IF(Table1[Leaving Date]="","",IF(Table1[Date of Initial Assessment]="","",IF(AND(Table1[Leaving Date]&gt;42094,Table1[Leaving Date]&lt;42461),IF(Table1[Date of Last Assessment]="",Table1[Meaningful Use of Time],Table1[Meaningful Use of Time2]),"")))</f>
        <v/>
      </c>
      <c r="FS452" s="44" t="str">
        <f>IF(Table1[Leaving Date]="","",IF(Table1[Date of Initial Assessment]="","",IF(AND(Table1[Leaving Date]&gt;42094,Table1[Leaving Date]&lt;42461),IF(Table1[Date of Last Assessment]="",Table1[Managing Tenancy and Accommodation],Table1[Managing Tenancy and Accommodation2]),"")))</f>
        <v/>
      </c>
      <c r="FT452" s="44" t="str">
        <f>IF(Table1[Leaving Date]="","",IF(Table1[Date of Initial Assessment]="","",IF(AND(Table1[Leaving Date]&gt;42094,Table1[Leaving Date]&lt;42461),IF(Table1[Date of Last Assessment]="",Table1[Offending],Table1[Offending2]),"")))</f>
        <v/>
      </c>
      <c r="FU452" s="44" t="str">
        <f>IF(Table1[Date of Initial Assessment]="","",IF(AND(Table1[Start Date]&gt;42460,Table1[Start Date]&lt;42826),Table1[Motivation and Taking Responsibility],""))</f>
        <v/>
      </c>
      <c r="FV452" s="44" t="str">
        <f>IF(Table1[Date of Initial Assessment]="","",IF(AND(Table1[Start Date]&gt;42460,Table1[Start Date]&lt;42826),Table1[Self-Care and Living Skills],""))</f>
        <v/>
      </c>
      <c r="FW452" s="44" t="str">
        <f>IF(Table1[Date of Initial Assessment]="","",IF(AND(Table1[Start Date]&gt;42460,Table1[Start Date]&lt;42826),Table1[Managing Money and Personal Administration],""))</f>
        <v/>
      </c>
      <c r="FX452" s="44" t="str">
        <f>IF(Table1[Date of Initial Assessment]="","",IF(AND(Table1[Start Date]&gt;42460,Table1[Start Date]&lt;42826),Table1[Social Networks and Relationships],""))</f>
        <v/>
      </c>
      <c r="FY452" s="44" t="str">
        <f>IF(Table1[Date of Initial Assessment]="","",IF(AND(Table1[Start Date]&gt;42460,Table1[Start Date]&lt;42826),Table1[Drug and Alcohol Misuse],""))</f>
        <v/>
      </c>
      <c r="FZ452" s="44" t="str">
        <f>IF(Table1[Date of Initial Assessment]="","",IF(AND(Table1[Start Date]&gt;42460,Table1[Start Date]&lt;42826),Table1[Physical Health],""))</f>
        <v/>
      </c>
      <c r="GA452" s="44" t="str">
        <f>IF(Table1[Date of Initial Assessment]="","",IF(AND(Table1[Start Date]&gt;42460,Table1[Start Date]&lt;42826),Table1[Emotional and Mental Health],""))</f>
        <v/>
      </c>
      <c r="GB452" s="44" t="str">
        <f>IF(Table1[Date of Initial Assessment]="","",IF(AND(Table1[Start Date]&gt;42460,Table1[Start Date]&lt;42826),Table1[Meaningful Use of Time],""))</f>
        <v/>
      </c>
      <c r="GC452" s="44" t="str">
        <f>IF(Table1[Date of Initial Assessment]="","",IF(AND(Table1[Start Date]&gt;42460,Table1[Start Date]&lt;42826),Table1[Managing Tenancy and Accommodation],""))</f>
        <v/>
      </c>
      <c r="GD452" s="44" t="str">
        <f>IF(Table1[Date of Initial Assessment]="","",IF(AND(Table1[Start Date]&gt;42460,Table1[Start Date]&lt;42826),Table1[Offending],""))</f>
        <v/>
      </c>
      <c r="GE452" s="44" t="str">
        <f>IF(Table1[Leaving Date]="","",IF(AND(Table1[Leaving Date]&gt;42460,Table1[Leaving Date]&lt;42826),IF(Table1[Date of Last Assessment]="",Table1[Motivation and Taking Responsibility],Table1[Motivation and Taking Responsibility2]),""))</f>
        <v/>
      </c>
      <c r="GF452" s="44" t="str">
        <f>IF(Table1[Leaving Date]="","",IF(AND(Table1[Leaving Date]&gt;42460,Table1[Leaving Date]&lt;42826),IF(Table1[Date of Last Assessment]="",Table1[Self-Care and Living Skills],Table1[Self-Care and Living Skills2]),""))</f>
        <v/>
      </c>
      <c r="GG452" s="44" t="str">
        <f>IF(Table1[Leaving Date]="","",IF(AND(Table1[Leaving Date]&gt;42460,Table1[Leaving Date]&lt;42826),IF(Table1[Date of Last Assessment]="",Table1[Managing Money and Personal Administration],Table1[Managing Money and Personal Administration2]),""))</f>
        <v/>
      </c>
      <c r="GH452" s="44" t="str">
        <f>IF(Table1[Leaving Date]="","",IF(AND(Table1[Leaving Date]&gt;42460,Table1[Leaving Date]&lt;42826),IF(Table1[Date of Last Assessment]="",Table1[Social Networks and Relationships],Table1[Social Networks and Relationships2]),""))</f>
        <v/>
      </c>
      <c r="GI452" s="44" t="str">
        <f>IF(Table1[Leaving Date]="","",IF(AND(Table1[Leaving Date]&gt;42460,Table1[Leaving Date]&lt;42826),IF(Table1[Date of Last Assessment]="",Table1[Drug and Alcohol Misuse],Table1[Drug and Alcohol Misuse2]),""))</f>
        <v/>
      </c>
      <c r="GJ452" s="44" t="str">
        <f>IF(Table1[Leaving Date]="","",IF(AND(Table1[Leaving Date]&gt;42460,Table1[Leaving Date]&lt;42826),IF(Table1[Date of Last Assessment]="",Table1[Physical Health],Table1[Physical Health2]),""))</f>
        <v/>
      </c>
      <c r="GK452" s="44" t="str">
        <f>IF(Table1[Leaving Date]="","",IF(AND(Table1[Leaving Date]&gt;42460,Table1[Leaving Date]&lt;42826),IF(Table1[Date of Last Assessment]="",Table1[Emotional and Mental Health],Table1[Emotional and Mental Health2]),""))</f>
        <v/>
      </c>
      <c r="GL452" s="44" t="str">
        <f>IF(Table1[Leaving Date]="","",IF(AND(Table1[Leaving Date]&gt;42460,Table1[Leaving Date]&lt;42826),IF(Table1[Date of Last Assessment]="",Table1[Meaningful Use of Time],Table1[Meaningful Use of Time2]),""))</f>
        <v/>
      </c>
      <c r="GM452" s="44" t="str">
        <f>IF(Table1[Leaving Date]="","",IF(AND(Table1[Leaving Date]&gt;42460,Table1[Leaving Date]&lt;42826),IF(Table1[Date of Last Assessment]="",Table1[Managing Tenancy and Accommodation],Table1[Managing Tenancy and Accommodation2]),""))</f>
        <v/>
      </c>
      <c r="GN452" s="44" t="str">
        <f>IF(Table1[Leaving Date]="","",IF(AND(Table1[Leaving Date]&gt;42460,Table1[Leaving Date]&lt;42826),IF(Table1[Date of Last Assessment]="",Table1[Offending],Table1[Offending2]),""))</f>
        <v/>
      </c>
    </row>
    <row r="453" spans="2:196" ht="20.100000000000001" customHeight="1" x14ac:dyDescent="0.2">
      <c r="B453" s="86">
        <f>+'Service Data'!$C$5:$C$5</f>
        <v>0</v>
      </c>
      <c r="C453" s="86"/>
      <c r="D453" s="86"/>
      <c r="E453" s="86"/>
      <c r="F453" s="86"/>
      <c r="G453" s="86"/>
      <c r="H453" s="6"/>
      <c r="I453" s="99" t="str">
        <f ca="1">IF(Table1[[#This Row],[Date of Birth]]="","",SUM(TODAY()-Table1[[#This Row],[Date of Birth]])/365)</f>
        <v/>
      </c>
      <c r="L453" s="86"/>
      <c r="M453" s="77"/>
      <c r="N453" s="86"/>
      <c r="O453" s="86"/>
      <c r="P453" s="91"/>
      <c r="Q453" s="86"/>
      <c r="R453" s="77"/>
      <c r="S453" s="77"/>
      <c r="T453" s="68"/>
      <c r="U453" s="68"/>
      <c r="V453" s="67"/>
      <c r="W453" s="67"/>
      <c r="X453" s="67"/>
      <c r="Y453" s="67"/>
      <c r="Z453" s="67"/>
      <c r="AA453" s="67"/>
      <c r="AB453" s="67"/>
      <c r="AC453" s="67"/>
      <c r="AD453" s="67"/>
      <c r="AE453" s="67"/>
      <c r="AF453" s="67"/>
      <c r="AG453" s="67"/>
      <c r="AH453" s="67"/>
      <c r="AI453" s="67"/>
      <c r="AJ453" s="67"/>
      <c r="AK453" s="67"/>
      <c r="AL453" s="67"/>
      <c r="AM453" s="67"/>
      <c r="AN453" s="77"/>
      <c r="AO453" s="76"/>
      <c r="AP453" s="77"/>
      <c r="AQ453" s="76"/>
      <c r="AR453" s="76"/>
      <c r="AS453" s="76"/>
      <c r="AT453" s="76"/>
      <c r="AU453" s="76"/>
      <c r="AV453" s="77"/>
      <c r="AW453" s="76"/>
      <c r="AX453" s="77"/>
      <c r="AY453" s="76"/>
      <c r="AZ453" s="76"/>
      <c r="BA453" s="76"/>
      <c r="BB453" s="76"/>
      <c r="BC453" s="76"/>
      <c r="BD453" s="77"/>
      <c r="BE453" s="76"/>
      <c r="BF453" s="77"/>
      <c r="BG453" s="76"/>
      <c r="BH453" s="76"/>
      <c r="BI453" s="76"/>
      <c r="BJ453" s="76"/>
      <c r="BK453" s="76"/>
      <c r="BL453" s="77"/>
      <c r="BM453" s="76"/>
      <c r="BN453" s="77"/>
      <c r="BO453" s="76"/>
      <c r="BP453" s="76"/>
      <c r="BQ453" s="76"/>
      <c r="BR453" s="76"/>
      <c r="BS453" s="76"/>
      <c r="BT453" s="77"/>
      <c r="BU453" s="76"/>
      <c r="BV453" s="77"/>
      <c r="BW453" s="76"/>
      <c r="BX453" s="76"/>
      <c r="BY453" s="76"/>
      <c r="BZ453" s="76"/>
      <c r="CA453" s="76"/>
      <c r="CB453" s="77"/>
      <c r="CC453" s="76"/>
      <c r="CD453" s="77"/>
      <c r="CE453" s="76"/>
      <c r="CF453" s="76"/>
      <c r="CG453" s="76"/>
      <c r="CH453" s="76"/>
      <c r="CI453" s="76"/>
      <c r="CJ453" s="77"/>
      <c r="CK453" s="76"/>
      <c r="CL453" s="77"/>
      <c r="CM453" s="76"/>
      <c r="CN453" s="76"/>
      <c r="CO453" s="76"/>
      <c r="CP453" s="76"/>
      <c r="CQ453" s="76"/>
      <c r="CR453" s="78" t="str">
        <f t="shared" si="127"/>
        <v/>
      </c>
      <c r="CS453" s="79" t="str">
        <f t="shared" si="128"/>
        <v/>
      </c>
      <c r="CT453" s="79" t="str">
        <f t="shared" si="129"/>
        <v/>
      </c>
      <c r="CU453" s="79" t="str">
        <f t="shared" si="130"/>
        <v/>
      </c>
      <c r="CV453" s="79" t="str">
        <f t="shared" si="131"/>
        <v/>
      </c>
      <c r="CW453" s="79" t="str">
        <f t="shared" si="132"/>
        <v/>
      </c>
      <c r="CX453" s="79" t="str">
        <f t="shared" si="133"/>
        <v/>
      </c>
      <c r="CY453" s="79" t="str">
        <f t="shared" si="134"/>
        <v/>
      </c>
      <c r="CZ453" s="79" t="str">
        <f t="shared" si="135"/>
        <v/>
      </c>
      <c r="DA453" s="79" t="str">
        <f t="shared" si="136"/>
        <v/>
      </c>
      <c r="DB453" s="79" t="str">
        <f t="shared" si="137"/>
        <v/>
      </c>
      <c r="DC453" s="79" t="str">
        <f t="shared" si="138"/>
        <v/>
      </c>
      <c r="DD453" s="79" t="str">
        <f t="shared" si="139"/>
        <v/>
      </c>
      <c r="DE453" s="79" t="str">
        <f t="shared" si="140"/>
        <v/>
      </c>
      <c r="DF453" s="79" t="str">
        <f t="shared" si="141"/>
        <v/>
      </c>
      <c r="DG453" s="79" t="str">
        <f t="shared" si="142"/>
        <v/>
      </c>
      <c r="DH453" s="76"/>
      <c r="DI453" s="78"/>
      <c r="DJ453" s="76"/>
      <c r="DK453" s="77"/>
      <c r="DL453" s="77"/>
      <c r="DM453" s="77"/>
      <c r="DN453" s="80"/>
      <c r="DO453" s="80"/>
      <c r="DP453" s="92" t="str">
        <f>IF(Table1[Start Date]="","",IF(Table1[Start Date]&gt;42185,"",IF(AND(Table1[Leaving Date]&gt;1,Table1[Leaving Date]&lt;42095),"",1)))</f>
        <v/>
      </c>
      <c r="DQ453" s="92" t="str">
        <f>IF(Table1[Start Date]="","",IF(Table1[Start Date]&gt;42277,"",IF(AND(Table1[Leaving Date]&gt;1,Table1[Leaving Date]&lt;42186),"",1)))</f>
        <v/>
      </c>
      <c r="DR453" s="92" t="str">
        <f>IF(Table1[Start Date]="","",IF(Table1[Start Date]&gt;42369,"",IF(AND(Table1[Leaving Date]&gt;1,Table1[Leaving Date]&lt;42278),"",1)))</f>
        <v/>
      </c>
      <c r="DS453" s="92" t="str">
        <f>IF(Table1[Start Date]="","",IF(Table1[Start Date]&gt;42460,"",IF(AND(Table1[Leaving Date]&gt;1,Table1[Leaving Date]&lt;42370),"",1)))</f>
        <v/>
      </c>
      <c r="DT453" s="92" t="str">
        <f>IF(Table1[Start Date]="","",IF(Table1[Start Date]&gt;42551,"",IF(AND(Table1[Leaving Date]&gt;1,Table1[Leaving Date]&lt;42461),"",1)))</f>
        <v/>
      </c>
      <c r="DU453" s="92" t="str">
        <f>IF(Table1[Start Date]="","",IF(Table1[Start Date]&gt;42643,"",IF(AND(Table1[Leaving Date]&gt;1,Table1[Leaving Date]&lt;42552),"",1)))</f>
        <v/>
      </c>
      <c r="DV453" s="92" t="str">
        <f>IF(Table1[Start Date]="","",IF(Table1[Start Date]&gt;42735,"",IF(AND(Table1[Leaving Date]&gt;1,Table1[Leaving Date]&lt;42644),"",1)))</f>
        <v/>
      </c>
      <c r="DW453" s="92" t="str">
        <f>IF(Table1[Start Date]="","",IF(Table1[Start Date]&gt;42825,"",IF(AND(Table1[Leaving Date]&gt;1,Table1[Leaving Date]&lt;42736),"",1)))</f>
        <v/>
      </c>
      <c r="DX453"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453" s="44" t="e">
        <f>VLOOKUP(Table1[Referral Source],Lists!$G$2:$H$20,2,FALSE)</f>
        <v>#N/A</v>
      </c>
      <c r="DZ453" s="93" t="e">
        <f>SUM(Table1[Data Referral Quarter]+Table1[Data Referral Source])</f>
        <v>#N/A</v>
      </c>
      <c r="EA453" s="44" t="b">
        <f>IF(Table1[Referral Decision]="Accepted",100,IF(Table1[Referral Decision]="Rejected by Provider",200,IF(Table1[Referral Decision]="Rejected by Applicant",300)))</f>
        <v>0</v>
      </c>
      <c r="EB453" s="44">
        <f>SUM(Table1[Data Referral Quarter]+Table1[Data Referral Decision])</f>
        <v>0</v>
      </c>
      <c r="EC453" s="44" t="b">
        <f>IF(Table1[Start Date]&gt;42735,8000,IF(Table1[Start Date]&gt;42643,7000,IF(Table1[Start Date]&gt;42551,6000,IF(Table1[Start Date]&gt;42460,5000,IF(Table1[Start Date]&gt;42369,4000,IF(Table1[Start Date]&gt;42277,3000,IF(Table1[Start Date]&gt;42185,2000,IF(Table1[Start Date]&gt;42094,1000))))))))</f>
        <v>0</v>
      </c>
      <c r="ED453" s="44" t="str">
        <f>IF(Table1[Start Date]="","",IF(Table1[Current Local Authority]="Swindon",1,"2"))</f>
        <v/>
      </c>
      <c r="EE453" s="44" t="e">
        <f>SUM(Table1[Data Start Date]+Table1[Data Local Authority])</f>
        <v>#VALUE!</v>
      </c>
      <c r="EF453" s="44">
        <f>IF(Table1[Registered with GP]="Yes",1,0)</f>
        <v>0</v>
      </c>
      <c r="EG453" s="44">
        <f>SUM(Table1[Data Start Date]+Table1[Data GP Start])</f>
        <v>0</v>
      </c>
      <c r="EH453" s="44" t="str">
        <f>IF(Table1[EET]="NEET",1,IF(Table1[EET]="Education",2,IF(Table1[EET]="Employment",2,IF(Table1[EET]="Training",2,IF(Table1[EET]="Retired",3,"")))))</f>
        <v/>
      </c>
      <c r="EI453" s="44" t="e">
        <f>Table1[Data Start Date]+Table1[Data EET Start]</f>
        <v>#VALUE!</v>
      </c>
      <c r="EJ453" s="44" t="b">
        <f>IF(Table1[Leaving Date]&gt;42735,8000,IF(Table1[Leaving Date]&gt;42643,7000,IF(Table1[Leaving Date]&gt;42551,6000,IF(Table1[Leaving Date]&gt;42460,5000,IF(Table1[Leaving Date]&gt;42369,4000,IF(Table1[Leaving Date]&gt;42277,3000,IF(Table1[Leaving Date]&gt;42185,2000,IF(Table1[Leaving Date]&gt;42094,1000))))))))</f>
        <v>0</v>
      </c>
      <c r="EK453" s="44" t="e">
        <f>VLOOKUP(Table1[Reason for Leaving],Lists!$T$2:$U$15,2,FALSE)</f>
        <v>#N/A</v>
      </c>
      <c r="EL453" s="44" t="e">
        <f>SUM(Table1[Data Leavers Date]+Table1[Data Move On])</f>
        <v>#N/A</v>
      </c>
      <c r="EM453" s="44" t="b">
        <f>IF(Table1[Registered with GP2]="Yes",1,IF(Table1[Registered with GP2]="No",0,IF(Table1[Registered with GP]="Yes",1,IF(Table1[Registered with GP]="No",0))))</f>
        <v>0</v>
      </c>
      <c r="EN453" s="44">
        <f>SUM(Table1[Data Leavers Date]+Table1[Data GP End])</f>
        <v>0</v>
      </c>
      <c r="EO453" s="44" t="str">
        <f>IF(Table1[EET2]="NEET",1,IF(Table1[EET2]="Employment",2,IF(Table1[EET2]="Education",2,IF(Table1[EET2]="Training",2,IF(Table1[EET2]="Retired",3,IF(Table1[EET]="NEET",1,IF(Table1[EET]="Employment",2,IF(Table1[EET]="Education",2,IF(Table1[EET]="Training",2,IF(Table1[EET]="Retired",3,""))))))))))</f>
        <v/>
      </c>
      <c r="EP453" s="44" t="e">
        <f>+Table1[[#This Row],[Data Leavers Date]]+Table1[[#This Row],[Data EET End]]</f>
        <v>#VALUE!</v>
      </c>
      <c r="EQ453" s="44">
        <f>IF(Table1[Exit Form Received]="Yes",1,0)</f>
        <v>0</v>
      </c>
      <c r="ER453" s="44">
        <f>+Table1[[#This Row],[Data Leavers Date]]+Table1[[#This Row],[Data Exit Forms]]</f>
        <v>0</v>
      </c>
      <c r="ES453" s="44" t="str">
        <f>IF(Table1[Data Leavers Date]=1000,SUM(Table1[Leaving Date]-Table1[Start Date]),"")</f>
        <v/>
      </c>
      <c r="ET453" s="44" t="str">
        <f>IF(Table1[Data Leavers Date]=2000,SUM(Table1[Leaving Date]-Table1[Start Date]),"")</f>
        <v/>
      </c>
      <c r="EU453" s="44" t="str">
        <f>IF(Table1[Data Leavers Date]=3000,SUM(Table1[Leaving Date]-Table1[Start Date]),"")</f>
        <v/>
      </c>
      <c r="EV453" s="44" t="str">
        <f>IF(Table1[Data Leavers Date]=4000,SUM(Table1[Leaving Date]-Table1[Start Date]),"")</f>
        <v/>
      </c>
      <c r="EW453" s="44" t="str">
        <f>IF(Table1[Data Leavers Date]=5000,SUM(Table1[Leaving Date]-Table1[Start Date]),"")</f>
        <v/>
      </c>
      <c r="EX453" s="44" t="str">
        <f>IF(Table1[Data Leavers Date]=6000,SUM(Table1[Leaving Date]-Table1[Start Date]),"")</f>
        <v/>
      </c>
      <c r="EY453" s="44" t="str">
        <f>IF(Table1[Data Leavers Date]=7000,SUM(Table1[Leaving Date]-Table1[Start Date]),"")</f>
        <v/>
      </c>
      <c r="EZ453" s="44" t="str">
        <f>IF(Table1[Data Leavers Date]=8000,SUM(Table1[Leaving Date]-Table1[Start Date]),"")</f>
        <v/>
      </c>
      <c r="FA453" s="44" t="str">
        <f>IF(Table1[Date of Initial Assessment]="","",IF(AND(Table1[Start Date]&gt;42094,Table1[Start Date]&lt;42461),Table1[Motivation and Taking Responsibility],""))</f>
        <v/>
      </c>
      <c r="FB453" s="44" t="str">
        <f>IF(Table1[Date of Initial Assessment]="","",IF(AND(Table1[Start Date]&gt;42094,Table1[Start Date]&lt;42461),Table1[Self-Care and Living Skills],""))</f>
        <v/>
      </c>
      <c r="FC453" s="44" t="str">
        <f>IF(Table1[Date of Initial Assessment]="","",IF(AND(Table1[Start Date]&gt;42094,Table1[Start Date]&lt;42461),Table1[Managing Money and Personal Administration],""))</f>
        <v/>
      </c>
      <c r="FD453" s="44" t="str">
        <f>IF(Table1[Date of Initial Assessment]="","",IF(AND(Table1[Start Date]&gt;42094,Table1[Start Date]&lt;42461),Table1[Social Networks and Relationships],""))</f>
        <v/>
      </c>
      <c r="FE453" s="44" t="str">
        <f>IF(Table1[Date of Initial Assessment]="","",IF(AND(Table1[Start Date]&gt;42094,Table1[Start Date]&lt;42461),Table1[Drug and Alcohol Misuse],""))</f>
        <v/>
      </c>
      <c r="FF453" s="44" t="str">
        <f>IF(Table1[Date of Initial Assessment]="","",IF(AND(Table1[Start Date]&gt;42094,Table1[Start Date]&lt;42461),Table1[Physical Health],""))</f>
        <v/>
      </c>
      <c r="FG453" s="44" t="str">
        <f>IF(Table1[Date of Initial Assessment]="","",IF(AND(Table1[Start Date]&gt;42094,Table1[Start Date]&lt;42461),Table1[Emotional and Mental Health],""))</f>
        <v/>
      </c>
      <c r="FH453" s="44" t="str">
        <f>IF(Table1[Date of Initial Assessment]="","",IF(AND(Table1[Start Date]&gt;42094,Table1[Start Date]&lt;42461),Table1[Meaningful Use of Time],""))</f>
        <v/>
      </c>
      <c r="FI453" s="44" t="str">
        <f>IF(Table1[Date of Initial Assessment]="","",IF(AND(Table1[Start Date]&gt;42094,Table1[Start Date]&lt;42461),Table1[Managing Tenancy and Accommodation],""))</f>
        <v/>
      </c>
      <c r="FJ453" s="44" t="str">
        <f>IF(Table1[Date of Initial Assessment]="","",IF(AND(Table1[Start Date]&gt;42094,Table1[Start Date]&lt;42461),Table1[Offending],""))</f>
        <v/>
      </c>
      <c r="FK453" s="44" t="str">
        <f>IF(Table1[Leaving Date]="","",IF(Table1[Date of Initial Assessment]="","",IF(AND(Table1[Leaving Date]&gt;42094,Table1[Leaving Date]&lt;42461),IF(Table1[Date of Last Assessment]="",Table1[Motivation and Taking Responsibility],Table1[Motivation and Taking Responsibility2]),"")))</f>
        <v/>
      </c>
      <c r="FL453" s="44" t="str">
        <f>IF(Table1[Leaving Date]="","",IF(Table1[Date of Initial Assessment]="","",IF(AND(Table1[Leaving Date]&gt;42094,Table1[Leaving Date]&lt;42461),IF(Table1[Date of Last Assessment]="",Table1[Self-Care and Living Skills],Table1[Self-Care and Living Skills2]),"")))</f>
        <v/>
      </c>
      <c r="FM453" s="44" t="str">
        <f>IF(Table1[Leaving Date]="","",IF(Table1[Date of Initial Assessment]="","",IF(AND(Table1[Leaving Date]&gt;42094,Table1[Leaving Date]&lt;42461),IF(Table1[Date of Last Assessment]="",Table1[Managing Money and Personal Administration],Table1[Managing Money and Personal Administration2]),"")))</f>
        <v/>
      </c>
      <c r="FN453" s="44" t="str">
        <f>IF(Table1[Leaving Date]="","",IF(Table1[Date of Initial Assessment]="","",IF(AND(Table1[Leaving Date]&gt;42094,Table1[Leaving Date]&lt;42461),IF(Table1[Date of Last Assessment]="",Table1[Social Networks and Relationships],Table1[Social Networks and Relationships2]),"")))</f>
        <v/>
      </c>
      <c r="FO453" s="44" t="str">
        <f>IF(Table1[Leaving Date]="","",IF(Table1[Date of Initial Assessment]="","",IF(AND(Table1[Leaving Date]&gt;42094,Table1[Leaving Date]&lt;42461),IF(Table1[Date of Last Assessment]="",Table1[Drug and Alcohol Misuse],Table1[Drug and Alcohol Misuse2]),"")))</f>
        <v/>
      </c>
      <c r="FP453" s="44" t="str">
        <f>IF(Table1[Leaving Date]="","",IF(Table1[Date of Initial Assessment]="","",IF(AND(Table1[Leaving Date]&gt;42094,Table1[Leaving Date]&lt;42461),IF(Table1[Date of Last Assessment]="",Table1[Physical Health],Table1[Physical Health2]),"")))</f>
        <v/>
      </c>
      <c r="FQ453" s="44" t="str">
        <f>IF(Table1[Leaving Date]="","",IF(Table1[Date of Initial Assessment]="","",IF(AND(Table1[Leaving Date]&gt;42094,Table1[Leaving Date]&lt;42461),IF(Table1[Date of Last Assessment]="",Table1[Emotional and Mental Health],Table1[Emotional and Mental Health2]),"")))</f>
        <v/>
      </c>
      <c r="FR453" s="44" t="str">
        <f>IF(Table1[Leaving Date]="","",IF(Table1[Date of Initial Assessment]="","",IF(AND(Table1[Leaving Date]&gt;42094,Table1[Leaving Date]&lt;42461),IF(Table1[Date of Last Assessment]="",Table1[Meaningful Use of Time],Table1[Meaningful Use of Time2]),"")))</f>
        <v/>
      </c>
      <c r="FS453" s="44" t="str">
        <f>IF(Table1[Leaving Date]="","",IF(Table1[Date of Initial Assessment]="","",IF(AND(Table1[Leaving Date]&gt;42094,Table1[Leaving Date]&lt;42461),IF(Table1[Date of Last Assessment]="",Table1[Managing Tenancy and Accommodation],Table1[Managing Tenancy and Accommodation2]),"")))</f>
        <v/>
      </c>
      <c r="FT453" s="44" t="str">
        <f>IF(Table1[Leaving Date]="","",IF(Table1[Date of Initial Assessment]="","",IF(AND(Table1[Leaving Date]&gt;42094,Table1[Leaving Date]&lt;42461),IF(Table1[Date of Last Assessment]="",Table1[Offending],Table1[Offending2]),"")))</f>
        <v/>
      </c>
      <c r="FU453" s="44" t="str">
        <f>IF(Table1[Date of Initial Assessment]="","",IF(AND(Table1[Start Date]&gt;42460,Table1[Start Date]&lt;42826),Table1[Motivation and Taking Responsibility],""))</f>
        <v/>
      </c>
      <c r="FV453" s="44" t="str">
        <f>IF(Table1[Date of Initial Assessment]="","",IF(AND(Table1[Start Date]&gt;42460,Table1[Start Date]&lt;42826),Table1[Self-Care and Living Skills],""))</f>
        <v/>
      </c>
      <c r="FW453" s="44" t="str">
        <f>IF(Table1[Date of Initial Assessment]="","",IF(AND(Table1[Start Date]&gt;42460,Table1[Start Date]&lt;42826),Table1[Managing Money and Personal Administration],""))</f>
        <v/>
      </c>
      <c r="FX453" s="44" t="str">
        <f>IF(Table1[Date of Initial Assessment]="","",IF(AND(Table1[Start Date]&gt;42460,Table1[Start Date]&lt;42826),Table1[Social Networks and Relationships],""))</f>
        <v/>
      </c>
      <c r="FY453" s="44" t="str">
        <f>IF(Table1[Date of Initial Assessment]="","",IF(AND(Table1[Start Date]&gt;42460,Table1[Start Date]&lt;42826),Table1[Drug and Alcohol Misuse],""))</f>
        <v/>
      </c>
      <c r="FZ453" s="44" t="str">
        <f>IF(Table1[Date of Initial Assessment]="","",IF(AND(Table1[Start Date]&gt;42460,Table1[Start Date]&lt;42826),Table1[Physical Health],""))</f>
        <v/>
      </c>
      <c r="GA453" s="44" t="str">
        <f>IF(Table1[Date of Initial Assessment]="","",IF(AND(Table1[Start Date]&gt;42460,Table1[Start Date]&lt;42826),Table1[Emotional and Mental Health],""))</f>
        <v/>
      </c>
      <c r="GB453" s="44" t="str">
        <f>IF(Table1[Date of Initial Assessment]="","",IF(AND(Table1[Start Date]&gt;42460,Table1[Start Date]&lt;42826),Table1[Meaningful Use of Time],""))</f>
        <v/>
      </c>
      <c r="GC453" s="44" t="str">
        <f>IF(Table1[Date of Initial Assessment]="","",IF(AND(Table1[Start Date]&gt;42460,Table1[Start Date]&lt;42826),Table1[Managing Tenancy and Accommodation],""))</f>
        <v/>
      </c>
      <c r="GD453" s="44" t="str">
        <f>IF(Table1[Date of Initial Assessment]="","",IF(AND(Table1[Start Date]&gt;42460,Table1[Start Date]&lt;42826),Table1[Offending],""))</f>
        <v/>
      </c>
      <c r="GE453" s="44" t="str">
        <f>IF(Table1[Leaving Date]="","",IF(AND(Table1[Leaving Date]&gt;42460,Table1[Leaving Date]&lt;42826),IF(Table1[Date of Last Assessment]="",Table1[Motivation and Taking Responsibility],Table1[Motivation and Taking Responsibility2]),""))</f>
        <v/>
      </c>
      <c r="GF453" s="44" t="str">
        <f>IF(Table1[Leaving Date]="","",IF(AND(Table1[Leaving Date]&gt;42460,Table1[Leaving Date]&lt;42826),IF(Table1[Date of Last Assessment]="",Table1[Self-Care and Living Skills],Table1[Self-Care and Living Skills2]),""))</f>
        <v/>
      </c>
      <c r="GG453" s="44" t="str">
        <f>IF(Table1[Leaving Date]="","",IF(AND(Table1[Leaving Date]&gt;42460,Table1[Leaving Date]&lt;42826),IF(Table1[Date of Last Assessment]="",Table1[Managing Money and Personal Administration],Table1[Managing Money and Personal Administration2]),""))</f>
        <v/>
      </c>
      <c r="GH453" s="44" t="str">
        <f>IF(Table1[Leaving Date]="","",IF(AND(Table1[Leaving Date]&gt;42460,Table1[Leaving Date]&lt;42826),IF(Table1[Date of Last Assessment]="",Table1[Social Networks and Relationships],Table1[Social Networks and Relationships2]),""))</f>
        <v/>
      </c>
      <c r="GI453" s="44" t="str">
        <f>IF(Table1[Leaving Date]="","",IF(AND(Table1[Leaving Date]&gt;42460,Table1[Leaving Date]&lt;42826),IF(Table1[Date of Last Assessment]="",Table1[Drug and Alcohol Misuse],Table1[Drug and Alcohol Misuse2]),""))</f>
        <v/>
      </c>
      <c r="GJ453" s="44" t="str">
        <f>IF(Table1[Leaving Date]="","",IF(AND(Table1[Leaving Date]&gt;42460,Table1[Leaving Date]&lt;42826),IF(Table1[Date of Last Assessment]="",Table1[Physical Health],Table1[Physical Health2]),""))</f>
        <v/>
      </c>
      <c r="GK453" s="44" t="str">
        <f>IF(Table1[Leaving Date]="","",IF(AND(Table1[Leaving Date]&gt;42460,Table1[Leaving Date]&lt;42826),IF(Table1[Date of Last Assessment]="",Table1[Emotional and Mental Health],Table1[Emotional and Mental Health2]),""))</f>
        <v/>
      </c>
      <c r="GL453" s="44" t="str">
        <f>IF(Table1[Leaving Date]="","",IF(AND(Table1[Leaving Date]&gt;42460,Table1[Leaving Date]&lt;42826),IF(Table1[Date of Last Assessment]="",Table1[Meaningful Use of Time],Table1[Meaningful Use of Time2]),""))</f>
        <v/>
      </c>
      <c r="GM453" s="44" t="str">
        <f>IF(Table1[Leaving Date]="","",IF(AND(Table1[Leaving Date]&gt;42460,Table1[Leaving Date]&lt;42826),IF(Table1[Date of Last Assessment]="",Table1[Managing Tenancy and Accommodation],Table1[Managing Tenancy and Accommodation2]),""))</f>
        <v/>
      </c>
      <c r="GN453" s="44" t="str">
        <f>IF(Table1[Leaving Date]="","",IF(AND(Table1[Leaving Date]&gt;42460,Table1[Leaving Date]&lt;42826),IF(Table1[Date of Last Assessment]="",Table1[Offending],Table1[Offending2]),""))</f>
        <v/>
      </c>
    </row>
    <row r="454" spans="2:196" ht="20.100000000000001" customHeight="1" x14ac:dyDescent="0.2">
      <c r="B454" s="86">
        <f>+'Service Data'!$C$5:$C$5</f>
        <v>0</v>
      </c>
      <c r="C454" s="86"/>
      <c r="D454" s="86"/>
      <c r="E454" s="86"/>
      <c r="F454" s="86"/>
      <c r="G454" s="86"/>
      <c r="H454" s="6"/>
      <c r="I454" s="99" t="str">
        <f ca="1">IF(Table1[[#This Row],[Date of Birth]]="","",SUM(TODAY()-Table1[[#This Row],[Date of Birth]])/365)</f>
        <v/>
      </c>
      <c r="L454" s="86"/>
      <c r="M454" s="77"/>
      <c r="N454" s="86"/>
      <c r="O454" s="86"/>
      <c r="P454" s="91"/>
      <c r="Q454" s="86"/>
      <c r="R454" s="77"/>
      <c r="S454" s="77"/>
      <c r="T454" s="68"/>
      <c r="U454" s="68"/>
      <c r="V454" s="67"/>
      <c r="W454" s="67"/>
      <c r="X454" s="67"/>
      <c r="Y454" s="67"/>
      <c r="Z454" s="67"/>
      <c r="AA454" s="67"/>
      <c r="AB454" s="67"/>
      <c r="AC454" s="67"/>
      <c r="AD454" s="67"/>
      <c r="AE454" s="67"/>
      <c r="AF454" s="67"/>
      <c r="AG454" s="67"/>
      <c r="AH454" s="67"/>
      <c r="AI454" s="67"/>
      <c r="AJ454" s="67"/>
      <c r="AK454" s="67"/>
      <c r="AL454" s="67"/>
      <c r="AM454" s="67"/>
      <c r="AN454" s="77"/>
      <c r="AO454" s="76"/>
      <c r="AP454" s="77"/>
      <c r="AQ454" s="76"/>
      <c r="AR454" s="76"/>
      <c r="AS454" s="76"/>
      <c r="AT454" s="76"/>
      <c r="AU454" s="76"/>
      <c r="AV454" s="77"/>
      <c r="AW454" s="76"/>
      <c r="AX454" s="77"/>
      <c r="AY454" s="76"/>
      <c r="AZ454" s="76"/>
      <c r="BA454" s="76"/>
      <c r="BB454" s="76"/>
      <c r="BC454" s="76"/>
      <c r="BD454" s="77"/>
      <c r="BE454" s="76"/>
      <c r="BF454" s="77"/>
      <c r="BG454" s="76"/>
      <c r="BH454" s="76"/>
      <c r="BI454" s="76"/>
      <c r="BJ454" s="76"/>
      <c r="BK454" s="76"/>
      <c r="BL454" s="77"/>
      <c r="BM454" s="76"/>
      <c r="BN454" s="77"/>
      <c r="BO454" s="76"/>
      <c r="BP454" s="76"/>
      <c r="BQ454" s="76"/>
      <c r="BR454" s="76"/>
      <c r="BS454" s="76"/>
      <c r="BT454" s="77"/>
      <c r="BU454" s="76"/>
      <c r="BV454" s="77"/>
      <c r="BW454" s="76"/>
      <c r="BX454" s="76"/>
      <c r="BY454" s="76"/>
      <c r="BZ454" s="76"/>
      <c r="CA454" s="76"/>
      <c r="CB454" s="77"/>
      <c r="CC454" s="76"/>
      <c r="CD454" s="77"/>
      <c r="CE454" s="76"/>
      <c r="CF454" s="76"/>
      <c r="CG454" s="76"/>
      <c r="CH454" s="76"/>
      <c r="CI454" s="76"/>
      <c r="CJ454" s="77"/>
      <c r="CK454" s="76"/>
      <c r="CL454" s="77"/>
      <c r="CM454" s="76"/>
      <c r="CN454" s="76"/>
      <c r="CO454" s="76"/>
      <c r="CP454" s="76"/>
      <c r="CQ454" s="76"/>
      <c r="CR454" s="78" t="str">
        <f t="shared" si="127"/>
        <v/>
      </c>
      <c r="CS454" s="79" t="str">
        <f t="shared" si="128"/>
        <v/>
      </c>
      <c r="CT454" s="79" t="str">
        <f t="shared" si="129"/>
        <v/>
      </c>
      <c r="CU454" s="79" t="str">
        <f t="shared" si="130"/>
        <v/>
      </c>
      <c r="CV454" s="79" t="str">
        <f t="shared" si="131"/>
        <v/>
      </c>
      <c r="CW454" s="79" t="str">
        <f t="shared" si="132"/>
        <v/>
      </c>
      <c r="CX454" s="79" t="str">
        <f t="shared" si="133"/>
        <v/>
      </c>
      <c r="CY454" s="79" t="str">
        <f t="shared" si="134"/>
        <v/>
      </c>
      <c r="CZ454" s="79" t="str">
        <f t="shared" si="135"/>
        <v/>
      </c>
      <c r="DA454" s="79" t="str">
        <f t="shared" si="136"/>
        <v/>
      </c>
      <c r="DB454" s="79" t="str">
        <f t="shared" si="137"/>
        <v/>
      </c>
      <c r="DC454" s="79" t="str">
        <f t="shared" si="138"/>
        <v/>
      </c>
      <c r="DD454" s="79" t="str">
        <f t="shared" si="139"/>
        <v/>
      </c>
      <c r="DE454" s="79" t="str">
        <f t="shared" si="140"/>
        <v/>
      </c>
      <c r="DF454" s="79" t="str">
        <f t="shared" si="141"/>
        <v/>
      </c>
      <c r="DG454" s="79" t="str">
        <f t="shared" si="142"/>
        <v/>
      </c>
      <c r="DH454" s="76"/>
      <c r="DI454" s="78"/>
      <c r="DJ454" s="76"/>
      <c r="DK454" s="77"/>
      <c r="DL454" s="77"/>
      <c r="DM454" s="77"/>
      <c r="DN454" s="80"/>
      <c r="DO454" s="80"/>
      <c r="DP454" s="92" t="str">
        <f>IF(Table1[Start Date]="","",IF(Table1[Start Date]&gt;42185,"",IF(AND(Table1[Leaving Date]&gt;1,Table1[Leaving Date]&lt;42095),"",1)))</f>
        <v/>
      </c>
      <c r="DQ454" s="92" t="str">
        <f>IF(Table1[Start Date]="","",IF(Table1[Start Date]&gt;42277,"",IF(AND(Table1[Leaving Date]&gt;1,Table1[Leaving Date]&lt;42186),"",1)))</f>
        <v/>
      </c>
      <c r="DR454" s="92" t="str">
        <f>IF(Table1[Start Date]="","",IF(Table1[Start Date]&gt;42369,"",IF(AND(Table1[Leaving Date]&gt;1,Table1[Leaving Date]&lt;42278),"",1)))</f>
        <v/>
      </c>
      <c r="DS454" s="92" t="str">
        <f>IF(Table1[Start Date]="","",IF(Table1[Start Date]&gt;42460,"",IF(AND(Table1[Leaving Date]&gt;1,Table1[Leaving Date]&lt;42370),"",1)))</f>
        <v/>
      </c>
      <c r="DT454" s="92" t="str">
        <f>IF(Table1[Start Date]="","",IF(Table1[Start Date]&gt;42551,"",IF(AND(Table1[Leaving Date]&gt;1,Table1[Leaving Date]&lt;42461),"",1)))</f>
        <v/>
      </c>
      <c r="DU454" s="92" t="str">
        <f>IF(Table1[Start Date]="","",IF(Table1[Start Date]&gt;42643,"",IF(AND(Table1[Leaving Date]&gt;1,Table1[Leaving Date]&lt;42552),"",1)))</f>
        <v/>
      </c>
      <c r="DV454" s="92" t="str">
        <f>IF(Table1[Start Date]="","",IF(Table1[Start Date]&gt;42735,"",IF(AND(Table1[Leaving Date]&gt;1,Table1[Leaving Date]&lt;42644),"",1)))</f>
        <v/>
      </c>
      <c r="DW454" s="92" t="str">
        <f>IF(Table1[Start Date]="","",IF(Table1[Start Date]&gt;42825,"",IF(AND(Table1[Leaving Date]&gt;1,Table1[Leaving Date]&lt;42736),"",1)))</f>
        <v/>
      </c>
      <c r="DX454"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454" s="44" t="e">
        <f>VLOOKUP(Table1[Referral Source],Lists!$G$2:$H$20,2,FALSE)</f>
        <v>#N/A</v>
      </c>
      <c r="DZ454" s="93" t="e">
        <f>SUM(Table1[Data Referral Quarter]+Table1[Data Referral Source])</f>
        <v>#N/A</v>
      </c>
      <c r="EA454" s="44" t="b">
        <f>IF(Table1[Referral Decision]="Accepted",100,IF(Table1[Referral Decision]="Rejected by Provider",200,IF(Table1[Referral Decision]="Rejected by Applicant",300)))</f>
        <v>0</v>
      </c>
      <c r="EB454" s="44">
        <f>SUM(Table1[Data Referral Quarter]+Table1[Data Referral Decision])</f>
        <v>0</v>
      </c>
      <c r="EC454" s="44" t="b">
        <f>IF(Table1[Start Date]&gt;42735,8000,IF(Table1[Start Date]&gt;42643,7000,IF(Table1[Start Date]&gt;42551,6000,IF(Table1[Start Date]&gt;42460,5000,IF(Table1[Start Date]&gt;42369,4000,IF(Table1[Start Date]&gt;42277,3000,IF(Table1[Start Date]&gt;42185,2000,IF(Table1[Start Date]&gt;42094,1000))))))))</f>
        <v>0</v>
      </c>
      <c r="ED454" s="44" t="str">
        <f>IF(Table1[Start Date]="","",IF(Table1[Current Local Authority]="Swindon",1,"2"))</f>
        <v/>
      </c>
      <c r="EE454" s="44" t="e">
        <f>SUM(Table1[Data Start Date]+Table1[Data Local Authority])</f>
        <v>#VALUE!</v>
      </c>
      <c r="EF454" s="44">
        <f>IF(Table1[Registered with GP]="Yes",1,0)</f>
        <v>0</v>
      </c>
      <c r="EG454" s="44">
        <f>SUM(Table1[Data Start Date]+Table1[Data GP Start])</f>
        <v>0</v>
      </c>
      <c r="EH454" s="44" t="str">
        <f>IF(Table1[EET]="NEET",1,IF(Table1[EET]="Education",2,IF(Table1[EET]="Employment",2,IF(Table1[EET]="Training",2,IF(Table1[EET]="Retired",3,"")))))</f>
        <v/>
      </c>
      <c r="EI454" s="44" t="e">
        <f>Table1[Data Start Date]+Table1[Data EET Start]</f>
        <v>#VALUE!</v>
      </c>
      <c r="EJ454" s="44" t="b">
        <f>IF(Table1[Leaving Date]&gt;42735,8000,IF(Table1[Leaving Date]&gt;42643,7000,IF(Table1[Leaving Date]&gt;42551,6000,IF(Table1[Leaving Date]&gt;42460,5000,IF(Table1[Leaving Date]&gt;42369,4000,IF(Table1[Leaving Date]&gt;42277,3000,IF(Table1[Leaving Date]&gt;42185,2000,IF(Table1[Leaving Date]&gt;42094,1000))))))))</f>
        <v>0</v>
      </c>
      <c r="EK454" s="44" t="e">
        <f>VLOOKUP(Table1[Reason for Leaving],Lists!$T$2:$U$15,2,FALSE)</f>
        <v>#N/A</v>
      </c>
      <c r="EL454" s="44" t="e">
        <f>SUM(Table1[Data Leavers Date]+Table1[Data Move On])</f>
        <v>#N/A</v>
      </c>
      <c r="EM454" s="44" t="b">
        <f>IF(Table1[Registered with GP2]="Yes",1,IF(Table1[Registered with GP2]="No",0,IF(Table1[Registered with GP]="Yes",1,IF(Table1[Registered with GP]="No",0))))</f>
        <v>0</v>
      </c>
      <c r="EN454" s="44">
        <f>SUM(Table1[Data Leavers Date]+Table1[Data GP End])</f>
        <v>0</v>
      </c>
      <c r="EO454" s="44" t="str">
        <f>IF(Table1[EET2]="NEET",1,IF(Table1[EET2]="Employment",2,IF(Table1[EET2]="Education",2,IF(Table1[EET2]="Training",2,IF(Table1[EET2]="Retired",3,IF(Table1[EET]="NEET",1,IF(Table1[EET]="Employment",2,IF(Table1[EET]="Education",2,IF(Table1[EET]="Training",2,IF(Table1[EET]="Retired",3,""))))))))))</f>
        <v/>
      </c>
      <c r="EP454" s="44" t="e">
        <f>+Table1[[#This Row],[Data Leavers Date]]+Table1[[#This Row],[Data EET End]]</f>
        <v>#VALUE!</v>
      </c>
      <c r="EQ454" s="44">
        <f>IF(Table1[Exit Form Received]="Yes",1,0)</f>
        <v>0</v>
      </c>
      <c r="ER454" s="44">
        <f>+Table1[[#This Row],[Data Leavers Date]]+Table1[[#This Row],[Data Exit Forms]]</f>
        <v>0</v>
      </c>
      <c r="ES454" s="44" t="str">
        <f>IF(Table1[Data Leavers Date]=1000,SUM(Table1[Leaving Date]-Table1[Start Date]),"")</f>
        <v/>
      </c>
      <c r="ET454" s="44" t="str">
        <f>IF(Table1[Data Leavers Date]=2000,SUM(Table1[Leaving Date]-Table1[Start Date]),"")</f>
        <v/>
      </c>
      <c r="EU454" s="44" t="str">
        <f>IF(Table1[Data Leavers Date]=3000,SUM(Table1[Leaving Date]-Table1[Start Date]),"")</f>
        <v/>
      </c>
      <c r="EV454" s="44" t="str">
        <f>IF(Table1[Data Leavers Date]=4000,SUM(Table1[Leaving Date]-Table1[Start Date]),"")</f>
        <v/>
      </c>
      <c r="EW454" s="44" t="str">
        <f>IF(Table1[Data Leavers Date]=5000,SUM(Table1[Leaving Date]-Table1[Start Date]),"")</f>
        <v/>
      </c>
      <c r="EX454" s="44" t="str">
        <f>IF(Table1[Data Leavers Date]=6000,SUM(Table1[Leaving Date]-Table1[Start Date]),"")</f>
        <v/>
      </c>
      <c r="EY454" s="44" t="str">
        <f>IF(Table1[Data Leavers Date]=7000,SUM(Table1[Leaving Date]-Table1[Start Date]),"")</f>
        <v/>
      </c>
      <c r="EZ454" s="44" t="str">
        <f>IF(Table1[Data Leavers Date]=8000,SUM(Table1[Leaving Date]-Table1[Start Date]),"")</f>
        <v/>
      </c>
      <c r="FA454" s="44" t="str">
        <f>IF(Table1[Date of Initial Assessment]="","",IF(AND(Table1[Start Date]&gt;42094,Table1[Start Date]&lt;42461),Table1[Motivation and Taking Responsibility],""))</f>
        <v/>
      </c>
      <c r="FB454" s="44" t="str">
        <f>IF(Table1[Date of Initial Assessment]="","",IF(AND(Table1[Start Date]&gt;42094,Table1[Start Date]&lt;42461),Table1[Self-Care and Living Skills],""))</f>
        <v/>
      </c>
      <c r="FC454" s="44" t="str">
        <f>IF(Table1[Date of Initial Assessment]="","",IF(AND(Table1[Start Date]&gt;42094,Table1[Start Date]&lt;42461),Table1[Managing Money and Personal Administration],""))</f>
        <v/>
      </c>
      <c r="FD454" s="44" t="str">
        <f>IF(Table1[Date of Initial Assessment]="","",IF(AND(Table1[Start Date]&gt;42094,Table1[Start Date]&lt;42461),Table1[Social Networks and Relationships],""))</f>
        <v/>
      </c>
      <c r="FE454" s="44" t="str">
        <f>IF(Table1[Date of Initial Assessment]="","",IF(AND(Table1[Start Date]&gt;42094,Table1[Start Date]&lt;42461),Table1[Drug and Alcohol Misuse],""))</f>
        <v/>
      </c>
      <c r="FF454" s="44" t="str">
        <f>IF(Table1[Date of Initial Assessment]="","",IF(AND(Table1[Start Date]&gt;42094,Table1[Start Date]&lt;42461),Table1[Physical Health],""))</f>
        <v/>
      </c>
      <c r="FG454" s="44" t="str">
        <f>IF(Table1[Date of Initial Assessment]="","",IF(AND(Table1[Start Date]&gt;42094,Table1[Start Date]&lt;42461),Table1[Emotional and Mental Health],""))</f>
        <v/>
      </c>
      <c r="FH454" s="44" t="str">
        <f>IF(Table1[Date of Initial Assessment]="","",IF(AND(Table1[Start Date]&gt;42094,Table1[Start Date]&lt;42461),Table1[Meaningful Use of Time],""))</f>
        <v/>
      </c>
      <c r="FI454" s="44" t="str">
        <f>IF(Table1[Date of Initial Assessment]="","",IF(AND(Table1[Start Date]&gt;42094,Table1[Start Date]&lt;42461),Table1[Managing Tenancy and Accommodation],""))</f>
        <v/>
      </c>
      <c r="FJ454" s="44" t="str">
        <f>IF(Table1[Date of Initial Assessment]="","",IF(AND(Table1[Start Date]&gt;42094,Table1[Start Date]&lt;42461),Table1[Offending],""))</f>
        <v/>
      </c>
      <c r="FK454" s="44" t="str">
        <f>IF(Table1[Leaving Date]="","",IF(Table1[Date of Initial Assessment]="","",IF(AND(Table1[Leaving Date]&gt;42094,Table1[Leaving Date]&lt;42461),IF(Table1[Date of Last Assessment]="",Table1[Motivation and Taking Responsibility],Table1[Motivation and Taking Responsibility2]),"")))</f>
        <v/>
      </c>
      <c r="FL454" s="44" t="str">
        <f>IF(Table1[Leaving Date]="","",IF(Table1[Date of Initial Assessment]="","",IF(AND(Table1[Leaving Date]&gt;42094,Table1[Leaving Date]&lt;42461),IF(Table1[Date of Last Assessment]="",Table1[Self-Care and Living Skills],Table1[Self-Care and Living Skills2]),"")))</f>
        <v/>
      </c>
      <c r="FM454" s="44" t="str">
        <f>IF(Table1[Leaving Date]="","",IF(Table1[Date of Initial Assessment]="","",IF(AND(Table1[Leaving Date]&gt;42094,Table1[Leaving Date]&lt;42461),IF(Table1[Date of Last Assessment]="",Table1[Managing Money and Personal Administration],Table1[Managing Money and Personal Administration2]),"")))</f>
        <v/>
      </c>
      <c r="FN454" s="44" t="str">
        <f>IF(Table1[Leaving Date]="","",IF(Table1[Date of Initial Assessment]="","",IF(AND(Table1[Leaving Date]&gt;42094,Table1[Leaving Date]&lt;42461),IF(Table1[Date of Last Assessment]="",Table1[Social Networks and Relationships],Table1[Social Networks and Relationships2]),"")))</f>
        <v/>
      </c>
      <c r="FO454" s="44" t="str">
        <f>IF(Table1[Leaving Date]="","",IF(Table1[Date of Initial Assessment]="","",IF(AND(Table1[Leaving Date]&gt;42094,Table1[Leaving Date]&lt;42461),IF(Table1[Date of Last Assessment]="",Table1[Drug and Alcohol Misuse],Table1[Drug and Alcohol Misuse2]),"")))</f>
        <v/>
      </c>
      <c r="FP454" s="44" t="str">
        <f>IF(Table1[Leaving Date]="","",IF(Table1[Date of Initial Assessment]="","",IF(AND(Table1[Leaving Date]&gt;42094,Table1[Leaving Date]&lt;42461),IF(Table1[Date of Last Assessment]="",Table1[Physical Health],Table1[Physical Health2]),"")))</f>
        <v/>
      </c>
      <c r="FQ454" s="44" t="str">
        <f>IF(Table1[Leaving Date]="","",IF(Table1[Date of Initial Assessment]="","",IF(AND(Table1[Leaving Date]&gt;42094,Table1[Leaving Date]&lt;42461),IF(Table1[Date of Last Assessment]="",Table1[Emotional and Mental Health],Table1[Emotional and Mental Health2]),"")))</f>
        <v/>
      </c>
      <c r="FR454" s="44" t="str">
        <f>IF(Table1[Leaving Date]="","",IF(Table1[Date of Initial Assessment]="","",IF(AND(Table1[Leaving Date]&gt;42094,Table1[Leaving Date]&lt;42461),IF(Table1[Date of Last Assessment]="",Table1[Meaningful Use of Time],Table1[Meaningful Use of Time2]),"")))</f>
        <v/>
      </c>
      <c r="FS454" s="44" t="str">
        <f>IF(Table1[Leaving Date]="","",IF(Table1[Date of Initial Assessment]="","",IF(AND(Table1[Leaving Date]&gt;42094,Table1[Leaving Date]&lt;42461),IF(Table1[Date of Last Assessment]="",Table1[Managing Tenancy and Accommodation],Table1[Managing Tenancy and Accommodation2]),"")))</f>
        <v/>
      </c>
      <c r="FT454" s="44" t="str">
        <f>IF(Table1[Leaving Date]="","",IF(Table1[Date of Initial Assessment]="","",IF(AND(Table1[Leaving Date]&gt;42094,Table1[Leaving Date]&lt;42461),IF(Table1[Date of Last Assessment]="",Table1[Offending],Table1[Offending2]),"")))</f>
        <v/>
      </c>
      <c r="FU454" s="44" t="str">
        <f>IF(Table1[Date of Initial Assessment]="","",IF(AND(Table1[Start Date]&gt;42460,Table1[Start Date]&lt;42826),Table1[Motivation and Taking Responsibility],""))</f>
        <v/>
      </c>
      <c r="FV454" s="44" t="str">
        <f>IF(Table1[Date of Initial Assessment]="","",IF(AND(Table1[Start Date]&gt;42460,Table1[Start Date]&lt;42826),Table1[Self-Care and Living Skills],""))</f>
        <v/>
      </c>
      <c r="FW454" s="44" t="str">
        <f>IF(Table1[Date of Initial Assessment]="","",IF(AND(Table1[Start Date]&gt;42460,Table1[Start Date]&lt;42826),Table1[Managing Money and Personal Administration],""))</f>
        <v/>
      </c>
      <c r="FX454" s="44" t="str">
        <f>IF(Table1[Date of Initial Assessment]="","",IF(AND(Table1[Start Date]&gt;42460,Table1[Start Date]&lt;42826),Table1[Social Networks and Relationships],""))</f>
        <v/>
      </c>
      <c r="FY454" s="44" t="str">
        <f>IF(Table1[Date of Initial Assessment]="","",IF(AND(Table1[Start Date]&gt;42460,Table1[Start Date]&lt;42826),Table1[Drug and Alcohol Misuse],""))</f>
        <v/>
      </c>
      <c r="FZ454" s="44" t="str">
        <f>IF(Table1[Date of Initial Assessment]="","",IF(AND(Table1[Start Date]&gt;42460,Table1[Start Date]&lt;42826),Table1[Physical Health],""))</f>
        <v/>
      </c>
      <c r="GA454" s="44" t="str">
        <f>IF(Table1[Date of Initial Assessment]="","",IF(AND(Table1[Start Date]&gt;42460,Table1[Start Date]&lt;42826),Table1[Emotional and Mental Health],""))</f>
        <v/>
      </c>
      <c r="GB454" s="44" t="str">
        <f>IF(Table1[Date of Initial Assessment]="","",IF(AND(Table1[Start Date]&gt;42460,Table1[Start Date]&lt;42826),Table1[Meaningful Use of Time],""))</f>
        <v/>
      </c>
      <c r="GC454" s="44" t="str">
        <f>IF(Table1[Date of Initial Assessment]="","",IF(AND(Table1[Start Date]&gt;42460,Table1[Start Date]&lt;42826),Table1[Managing Tenancy and Accommodation],""))</f>
        <v/>
      </c>
      <c r="GD454" s="44" t="str">
        <f>IF(Table1[Date of Initial Assessment]="","",IF(AND(Table1[Start Date]&gt;42460,Table1[Start Date]&lt;42826),Table1[Offending],""))</f>
        <v/>
      </c>
      <c r="GE454" s="44" t="str">
        <f>IF(Table1[Leaving Date]="","",IF(AND(Table1[Leaving Date]&gt;42460,Table1[Leaving Date]&lt;42826),IF(Table1[Date of Last Assessment]="",Table1[Motivation and Taking Responsibility],Table1[Motivation and Taking Responsibility2]),""))</f>
        <v/>
      </c>
      <c r="GF454" s="44" t="str">
        <f>IF(Table1[Leaving Date]="","",IF(AND(Table1[Leaving Date]&gt;42460,Table1[Leaving Date]&lt;42826),IF(Table1[Date of Last Assessment]="",Table1[Self-Care and Living Skills],Table1[Self-Care and Living Skills2]),""))</f>
        <v/>
      </c>
      <c r="GG454" s="44" t="str">
        <f>IF(Table1[Leaving Date]="","",IF(AND(Table1[Leaving Date]&gt;42460,Table1[Leaving Date]&lt;42826),IF(Table1[Date of Last Assessment]="",Table1[Managing Money and Personal Administration],Table1[Managing Money and Personal Administration2]),""))</f>
        <v/>
      </c>
      <c r="GH454" s="44" t="str">
        <f>IF(Table1[Leaving Date]="","",IF(AND(Table1[Leaving Date]&gt;42460,Table1[Leaving Date]&lt;42826),IF(Table1[Date of Last Assessment]="",Table1[Social Networks and Relationships],Table1[Social Networks and Relationships2]),""))</f>
        <v/>
      </c>
      <c r="GI454" s="44" t="str">
        <f>IF(Table1[Leaving Date]="","",IF(AND(Table1[Leaving Date]&gt;42460,Table1[Leaving Date]&lt;42826),IF(Table1[Date of Last Assessment]="",Table1[Drug and Alcohol Misuse],Table1[Drug and Alcohol Misuse2]),""))</f>
        <v/>
      </c>
      <c r="GJ454" s="44" t="str">
        <f>IF(Table1[Leaving Date]="","",IF(AND(Table1[Leaving Date]&gt;42460,Table1[Leaving Date]&lt;42826),IF(Table1[Date of Last Assessment]="",Table1[Physical Health],Table1[Physical Health2]),""))</f>
        <v/>
      </c>
      <c r="GK454" s="44" t="str">
        <f>IF(Table1[Leaving Date]="","",IF(AND(Table1[Leaving Date]&gt;42460,Table1[Leaving Date]&lt;42826),IF(Table1[Date of Last Assessment]="",Table1[Emotional and Mental Health],Table1[Emotional and Mental Health2]),""))</f>
        <v/>
      </c>
      <c r="GL454" s="44" t="str">
        <f>IF(Table1[Leaving Date]="","",IF(AND(Table1[Leaving Date]&gt;42460,Table1[Leaving Date]&lt;42826),IF(Table1[Date of Last Assessment]="",Table1[Meaningful Use of Time],Table1[Meaningful Use of Time2]),""))</f>
        <v/>
      </c>
      <c r="GM454" s="44" t="str">
        <f>IF(Table1[Leaving Date]="","",IF(AND(Table1[Leaving Date]&gt;42460,Table1[Leaving Date]&lt;42826),IF(Table1[Date of Last Assessment]="",Table1[Managing Tenancy and Accommodation],Table1[Managing Tenancy and Accommodation2]),""))</f>
        <v/>
      </c>
      <c r="GN454" s="44" t="str">
        <f>IF(Table1[Leaving Date]="","",IF(AND(Table1[Leaving Date]&gt;42460,Table1[Leaving Date]&lt;42826),IF(Table1[Date of Last Assessment]="",Table1[Offending],Table1[Offending2]),""))</f>
        <v/>
      </c>
    </row>
    <row r="455" spans="2:196" ht="20.100000000000001" customHeight="1" x14ac:dyDescent="0.2">
      <c r="B455" s="86">
        <f>+'Service Data'!$C$5:$C$5</f>
        <v>0</v>
      </c>
      <c r="C455" s="86"/>
      <c r="D455" s="86"/>
      <c r="E455" s="86"/>
      <c r="F455" s="86"/>
      <c r="G455" s="86"/>
      <c r="H455" s="6"/>
      <c r="I455" s="99" t="str">
        <f ca="1">IF(Table1[[#This Row],[Date of Birth]]="","",SUM(TODAY()-Table1[[#This Row],[Date of Birth]])/365)</f>
        <v/>
      </c>
      <c r="L455" s="86"/>
      <c r="M455" s="77"/>
      <c r="N455" s="86"/>
      <c r="O455" s="86"/>
      <c r="P455" s="91"/>
      <c r="Q455" s="86"/>
      <c r="R455" s="77"/>
      <c r="S455" s="77"/>
      <c r="T455" s="68"/>
      <c r="U455" s="68"/>
      <c r="V455" s="67"/>
      <c r="W455" s="67"/>
      <c r="X455" s="67"/>
      <c r="Y455" s="67"/>
      <c r="Z455" s="67"/>
      <c r="AA455" s="67"/>
      <c r="AB455" s="67"/>
      <c r="AC455" s="67"/>
      <c r="AD455" s="67"/>
      <c r="AE455" s="67"/>
      <c r="AF455" s="67"/>
      <c r="AG455" s="67"/>
      <c r="AH455" s="67"/>
      <c r="AI455" s="67"/>
      <c r="AJ455" s="67"/>
      <c r="AK455" s="67"/>
      <c r="AL455" s="67"/>
      <c r="AM455" s="67"/>
      <c r="AN455" s="77"/>
      <c r="AO455" s="76"/>
      <c r="AP455" s="77"/>
      <c r="AQ455" s="76"/>
      <c r="AR455" s="76"/>
      <c r="AS455" s="76"/>
      <c r="AT455" s="76"/>
      <c r="AU455" s="76"/>
      <c r="AV455" s="77"/>
      <c r="AW455" s="76"/>
      <c r="AX455" s="77"/>
      <c r="AY455" s="76"/>
      <c r="AZ455" s="76"/>
      <c r="BA455" s="76"/>
      <c r="BB455" s="76"/>
      <c r="BC455" s="76"/>
      <c r="BD455" s="77"/>
      <c r="BE455" s="76"/>
      <c r="BF455" s="77"/>
      <c r="BG455" s="76"/>
      <c r="BH455" s="76"/>
      <c r="BI455" s="76"/>
      <c r="BJ455" s="76"/>
      <c r="BK455" s="76"/>
      <c r="BL455" s="77"/>
      <c r="BM455" s="76"/>
      <c r="BN455" s="77"/>
      <c r="BO455" s="76"/>
      <c r="BP455" s="76"/>
      <c r="BQ455" s="76"/>
      <c r="BR455" s="76"/>
      <c r="BS455" s="76"/>
      <c r="BT455" s="77"/>
      <c r="BU455" s="76"/>
      <c r="BV455" s="77"/>
      <c r="BW455" s="76"/>
      <c r="BX455" s="76"/>
      <c r="BY455" s="76"/>
      <c r="BZ455" s="76"/>
      <c r="CA455" s="76"/>
      <c r="CB455" s="77"/>
      <c r="CC455" s="76"/>
      <c r="CD455" s="77"/>
      <c r="CE455" s="76"/>
      <c r="CF455" s="76"/>
      <c r="CG455" s="76"/>
      <c r="CH455" s="76"/>
      <c r="CI455" s="76"/>
      <c r="CJ455" s="77"/>
      <c r="CK455" s="76"/>
      <c r="CL455" s="77"/>
      <c r="CM455" s="76"/>
      <c r="CN455" s="76"/>
      <c r="CO455" s="76"/>
      <c r="CP455" s="76"/>
      <c r="CQ455" s="76"/>
      <c r="CR455" s="78" t="str">
        <f t="shared" si="127"/>
        <v/>
      </c>
      <c r="CS455" s="79" t="str">
        <f t="shared" si="128"/>
        <v/>
      </c>
      <c r="CT455" s="79" t="str">
        <f t="shared" si="129"/>
        <v/>
      </c>
      <c r="CU455" s="79" t="str">
        <f t="shared" si="130"/>
        <v/>
      </c>
      <c r="CV455" s="79" t="str">
        <f t="shared" si="131"/>
        <v/>
      </c>
      <c r="CW455" s="79" t="str">
        <f t="shared" si="132"/>
        <v/>
      </c>
      <c r="CX455" s="79" t="str">
        <f t="shared" si="133"/>
        <v/>
      </c>
      <c r="CY455" s="79" t="str">
        <f t="shared" si="134"/>
        <v/>
      </c>
      <c r="CZ455" s="79" t="str">
        <f t="shared" si="135"/>
        <v/>
      </c>
      <c r="DA455" s="79" t="str">
        <f t="shared" si="136"/>
        <v/>
      </c>
      <c r="DB455" s="79" t="str">
        <f t="shared" si="137"/>
        <v/>
      </c>
      <c r="DC455" s="79" t="str">
        <f t="shared" si="138"/>
        <v/>
      </c>
      <c r="DD455" s="79" t="str">
        <f t="shared" si="139"/>
        <v/>
      </c>
      <c r="DE455" s="79" t="str">
        <f t="shared" si="140"/>
        <v/>
      </c>
      <c r="DF455" s="79" t="str">
        <f t="shared" si="141"/>
        <v/>
      </c>
      <c r="DG455" s="79" t="str">
        <f t="shared" si="142"/>
        <v/>
      </c>
      <c r="DH455" s="76"/>
      <c r="DI455" s="78"/>
      <c r="DJ455" s="76"/>
      <c r="DK455" s="77"/>
      <c r="DL455" s="77"/>
      <c r="DM455" s="77"/>
      <c r="DN455" s="80"/>
      <c r="DO455" s="80"/>
      <c r="DP455" s="92" t="str">
        <f>IF(Table1[Start Date]="","",IF(Table1[Start Date]&gt;42185,"",IF(AND(Table1[Leaving Date]&gt;1,Table1[Leaving Date]&lt;42095),"",1)))</f>
        <v/>
      </c>
      <c r="DQ455" s="92" t="str">
        <f>IF(Table1[Start Date]="","",IF(Table1[Start Date]&gt;42277,"",IF(AND(Table1[Leaving Date]&gt;1,Table1[Leaving Date]&lt;42186),"",1)))</f>
        <v/>
      </c>
      <c r="DR455" s="92" t="str">
        <f>IF(Table1[Start Date]="","",IF(Table1[Start Date]&gt;42369,"",IF(AND(Table1[Leaving Date]&gt;1,Table1[Leaving Date]&lt;42278),"",1)))</f>
        <v/>
      </c>
      <c r="DS455" s="92" t="str">
        <f>IF(Table1[Start Date]="","",IF(Table1[Start Date]&gt;42460,"",IF(AND(Table1[Leaving Date]&gt;1,Table1[Leaving Date]&lt;42370),"",1)))</f>
        <v/>
      </c>
      <c r="DT455" s="92" t="str">
        <f>IF(Table1[Start Date]="","",IF(Table1[Start Date]&gt;42551,"",IF(AND(Table1[Leaving Date]&gt;1,Table1[Leaving Date]&lt;42461),"",1)))</f>
        <v/>
      </c>
      <c r="DU455" s="92" t="str">
        <f>IF(Table1[Start Date]="","",IF(Table1[Start Date]&gt;42643,"",IF(AND(Table1[Leaving Date]&gt;1,Table1[Leaving Date]&lt;42552),"",1)))</f>
        <v/>
      </c>
      <c r="DV455" s="92" t="str">
        <f>IF(Table1[Start Date]="","",IF(Table1[Start Date]&gt;42735,"",IF(AND(Table1[Leaving Date]&gt;1,Table1[Leaving Date]&lt;42644),"",1)))</f>
        <v/>
      </c>
      <c r="DW455" s="92" t="str">
        <f>IF(Table1[Start Date]="","",IF(Table1[Start Date]&gt;42825,"",IF(AND(Table1[Leaving Date]&gt;1,Table1[Leaving Date]&lt;42736),"",1)))</f>
        <v/>
      </c>
      <c r="DX455"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455" s="44" t="e">
        <f>VLOOKUP(Table1[Referral Source],Lists!$G$2:$H$20,2,FALSE)</f>
        <v>#N/A</v>
      </c>
      <c r="DZ455" s="93" t="e">
        <f>SUM(Table1[Data Referral Quarter]+Table1[Data Referral Source])</f>
        <v>#N/A</v>
      </c>
      <c r="EA455" s="44" t="b">
        <f>IF(Table1[Referral Decision]="Accepted",100,IF(Table1[Referral Decision]="Rejected by Provider",200,IF(Table1[Referral Decision]="Rejected by Applicant",300)))</f>
        <v>0</v>
      </c>
      <c r="EB455" s="44">
        <f>SUM(Table1[Data Referral Quarter]+Table1[Data Referral Decision])</f>
        <v>0</v>
      </c>
      <c r="EC455" s="44" t="b">
        <f>IF(Table1[Start Date]&gt;42735,8000,IF(Table1[Start Date]&gt;42643,7000,IF(Table1[Start Date]&gt;42551,6000,IF(Table1[Start Date]&gt;42460,5000,IF(Table1[Start Date]&gt;42369,4000,IF(Table1[Start Date]&gt;42277,3000,IF(Table1[Start Date]&gt;42185,2000,IF(Table1[Start Date]&gt;42094,1000))))))))</f>
        <v>0</v>
      </c>
      <c r="ED455" s="44" t="str">
        <f>IF(Table1[Start Date]="","",IF(Table1[Current Local Authority]="Swindon",1,"2"))</f>
        <v/>
      </c>
      <c r="EE455" s="44" t="e">
        <f>SUM(Table1[Data Start Date]+Table1[Data Local Authority])</f>
        <v>#VALUE!</v>
      </c>
      <c r="EF455" s="44">
        <f>IF(Table1[Registered with GP]="Yes",1,0)</f>
        <v>0</v>
      </c>
      <c r="EG455" s="44">
        <f>SUM(Table1[Data Start Date]+Table1[Data GP Start])</f>
        <v>0</v>
      </c>
      <c r="EH455" s="44" t="str">
        <f>IF(Table1[EET]="NEET",1,IF(Table1[EET]="Education",2,IF(Table1[EET]="Employment",2,IF(Table1[EET]="Training",2,IF(Table1[EET]="Retired",3,"")))))</f>
        <v/>
      </c>
      <c r="EI455" s="44" t="e">
        <f>Table1[Data Start Date]+Table1[Data EET Start]</f>
        <v>#VALUE!</v>
      </c>
      <c r="EJ455" s="44" t="b">
        <f>IF(Table1[Leaving Date]&gt;42735,8000,IF(Table1[Leaving Date]&gt;42643,7000,IF(Table1[Leaving Date]&gt;42551,6000,IF(Table1[Leaving Date]&gt;42460,5000,IF(Table1[Leaving Date]&gt;42369,4000,IF(Table1[Leaving Date]&gt;42277,3000,IF(Table1[Leaving Date]&gt;42185,2000,IF(Table1[Leaving Date]&gt;42094,1000))))))))</f>
        <v>0</v>
      </c>
      <c r="EK455" s="44" t="e">
        <f>VLOOKUP(Table1[Reason for Leaving],Lists!$T$2:$U$15,2,FALSE)</f>
        <v>#N/A</v>
      </c>
      <c r="EL455" s="44" t="e">
        <f>SUM(Table1[Data Leavers Date]+Table1[Data Move On])</f>
        <v>#N/A</v>
      </c>
      <c r="EM455" s="44" t="b">
        <f>IF(Table1[Registered with GP2]="Yes",1,IF(Table1[Registered with GP2]="No",0,IF(Table1[Registered with GP]="Yes",1,IF(Table1[Registered with GP]="No",0))))</f>
        <v>0</v>
      </c>
      <c r="EN455" s="44">
        <f>SUM(Table1[Data Leavers Date]+Table1[Data GP End])</f>
        <v>0</v>
      </c>
      <c r="EO455" s="44" t="str">
        <f>IF(Table1[EET2]="NEET",1,IF(Table1[EET2]="Employment",2,IF(Table1[EET2]="Education",2,IF(Table1[EET2]="Training",2,IF(Table1[EET2]="Retired",3,IF(Table1[EET]="NEET",1,IF(Table1[EET]="Employment",2,IF(Table1[EET]="Education",2,IF(Table1[EET]="Training",2,IF(Table1[EET]="Retired",3,""))))))))))</f>
        <v/>
      </c>
      <c r="EP455" s="44" t="e">
        <f>+Table1[[#This Row],[Data Leavers Date]]+Table1[[#This Row],[Data EET End]]</f>
        <v>#VALUE!</v>
      </c>
      <c r="EQ455" s="44">
        <f>IF(Table1[Exit Form Received]="Yes",1,0)</f>
        <v>0</v>
      </c>
      <c r="ER455" s="44">
        <f>+Table1[[#This Row],[Data Leavers Date]]+Table1[[#This Row],[Data Exit Forms]]</f>
        <v>0</v>
      </c>
      <c r="ES455" s="44" t="str">
        <f>IF(Table1[Data Leavers Date]=1000,SUM(Table1[Leaving Date]-Table1[Start Date]),"")</f>
        <v/>
      </c>
      <c r="ET455" s="44" t="str">
        <f>IF(Table1[Data Leavers Date]=2000,SUM(Table1[Leaving Date]-Table1[Start Date]),"")</f>
        <v/>
      </c>
      <c r="EU455" s="44" t="str">
        <f>IF(Table1[Data Leavers Date]=3000,SUM(Table1[Leaving Date]-Table1[Start Date]),"")</f>
        <v/>
      </c>
      <c r="EV455" s="44" t="str">
        <f>IF(Table1[Data Leavers Date]=4000,SUM(Table1[Leaving Date]-Table1[Start Date]),"")</f>
        <v/>
      </c>
      <c r="EW455" s="44" t="str">
        <f>IF(Table1[Data Leavers Date]=5000,SUM(Table1[Leaving Date]-Table1[Start Date]),"")</f>
        <v/>
      </c>
      <c r="EX455" s="44" t="str">
        <f>IF(Table1[Data Leavers Date]=6000,SUM(Table1[Leaving Date]-Table1[Start Date]),"")</f>
        <v/>
      </c>
      <c r="EY455" s="44" t="str">
        <f>IF(Table1[Data Leavers Date]=7000,SUM(Table1[Leaving Date]-Table1[Start Date]),"")</f>
        <v/>
      </c>
      <c r="EZ455" s="44" t="str">
        <f>IF(Table1[Data Leavers Date]=8000,SUM(Table1[Leaving Date]-Table1[Start Date]),"")</f>
        <v/>
      </c>
      <c r="FA455" s="44" t="str">
        <f>IF(Table1[Date of Initial Assessment]="","",IF(AND(Table1[Start Date]&gt;42094,Table1[Start Date]&lt;42461),Table1[Motivation and Taking Responsibility],""))</f>
        <v/>
      </c>
      <c r="FB455" s="44" t="str">
        <f>IF(Table1[Date of Initial Assessment]="","",IF(AND(Table1[Start Date]&gt;42094,Table1[Start Date]&lt;42461),Table1[Self-Care and Living Skills],""))</f>
        <v/>
      </c>
      <c r="FC455" s="44" t="str">
        <f>IF(Table1[Date of Initial Assessment]="","",IF(AND(Table1[Start Date]&gt;42094,Table1[Start Date]&lt;42461),Table1[Managing Money and Personal Administration],""))</f>
        <v/>
      </c>
      <c r="FD455" s="44" t="str">
        <f>IF(Table1[Date of Initial Assessment]="","",IF(AND(Table1[Start Date]&gt;42094,Table1[Start Date]&lt;42461),Table1[Social Networks and Relationships],""))</f>
        <v/>
      </c>
      <c r="FE455" s="44" t="str">
        <f>IF(Table1[Date of Initial Assessment]="","",IF(AND(Table1[Start Date]&gt;42094,Table1[Start Date]&lt;42461),Table1[Drug and Alcohol Misuse],""))</f>
        <v/>
      </c>
      <c r="FF455" s="44" t="str">
        <f>IF(Table1[Date of Initial Assessment]="","",IF(AND(Table1[Start Date]&gt;42094,Table1[Start Date]&lt;42461),Table1[Physical Health],""))</f>
        <v/>
      </c>
      <c r="FG455" s="44" t="str">
        <f>IF(Table1[Date of Initial Assessment]="","",IF(AND(Table1[Start Date]&gt;42094,Table1[Start Date]&lt;42461),Table1[Emotional and Mental Health],""))</f>
        <v/>
      </c>
      <c r="FH455" s="44" t="str">
        <f>IF(Table1[Date of Initial Assessment]="","",IF(AND(Table1[Start Date]&gt;42094,Table1[Start Date]&lt;42461),Table1[Meaningful Use of Time],""))</f>
        <v/>
      </c>
      <c r="FI455" s="44" t="str">
        <f>IF(Table1[Date of Initial Assessment]="","",IF(AND(Table1[Start Date]&gt;42094,Table1[Start Date]&lt;42461),Table1[Managing Tenancy and Accommodation],""))</f>
        <v/>
      </c>
      <c r="FJ455" s="44" t="str">
        <f>IF(Table1[Date of Initial Assessment]="","",IF(AND(Table1[Start Date]&gt;42094,Table1[Start Date]&lt;42461),Table1[Offending],""))</f>
        <v/>
      </c>
      <c r="FK455" s="44" t="str">
        <f>IF(Table1[Leaving Date]="","",IF(Table1[Date of Initial Assessment]="","",IF(AND(Table1[Leaving Date]&gt;42094,Table1[Leaving Date]&lt;42461),IF(Table1[Date of Last Assessment]="",Table1[Motivation and Taking Responsibility],Table1[Motivation and Taking Responsibility2]),"")))</f>
        <v/>
      </c>
      <c r="FL455" s="44" t="str">
        <f>IF(Table1[Leaving Date]="","",IF(Table1[Date of Initial Assessment]="","",IF(AND(Table1[Leaving Date]&gt;42094,Table1[Leaving Date]&lt;42461),IF(Table1[Date of Last Assessment]="",Table1[Self-Care and Living Skills],Table1[Self-Care and Living Skills2]),"")))</f>
        <v/>
      </c>
      <c r="FM455" s="44" t="str">
        <f>IF(Table1[Leaving Date]="","",IF(Table1[Date of Initial Assessment]="","",IF(AND(Table1[Leaving Date]&gt;42094,Table1[Leaving Date]&lt;42461),IF(Table1[Date of Last Assessment]="",Table1[Managing Money and Personal Administration],Table1[Managing Money and Personal Administration2]),"")))</f>
        <v/>
      </c>
      <c r="FN455" s="44" t="str">
        <f>IF(Table1[Leaving Date]="","",IF(Table1[Date of Initial Assessment]="","",IF(AND(Table1[Leaving Date]&gt;42094,Table1[Leaving Date]&lt;42461),IF(Table1[Date of Last Assessment]="",Table1[Social Networks and Relationships],Table1[Social Networks and Relationships2]),"")))</f>
        <v/>
      </c>
      <c r="FO455" s="44" t="str">
        <f>IF(Table1[Leaving Date]="","",IF(Table1[Date of Initial Assessment]="","",IF(AND(Table1[Leaving Date]&gt;42094,Table1[Leaving Date]&lt;42461),IF(Table1[Date of Last Assessment]="",Table1[Drug and Alcohol Misuse],Table1[Drug and Alcohol Misuse2]),"")))</f>
        <v/>
      </c>
      <c r="FP455" s="44" t="str">
        <f>IF(Table1[Leaving Date]="","",IF(Table1[Date of Initial Assessment]="","",IF(AND(Table1[Leaving Date]&gt;42094,Table1[Leaving Date]&lt;42461),IF(Table1[Date of Last Assessment]="",Table1[Physical Health],Table1[Physical Health2]),"")))</f>
        <v/>
      </c>
      <c r="FQ455" s="44" t="str">
        <f>IF(Table1[Leaving Date]="","",IF(Table1[Date of Initial Assessment]="","",IF(AND(Table1[Leaving Date]&gt;42094,Table1[Leaving Date]&lt;42461),IF(Table1[Date of Last Assessment]="",Table1[Emotional and Mental Health],Table1[Emotional and Mental Health2]),"")))</f>
        <v/>
      </c>
      <c r="FR455" s="44" t="str">
        <f>IF(Table1[Leaving Date]="","",IF(Table1[Date of Initial Assessment]="","",IF(AND(Table1[Leaving Date]&gt;42094,Table1[Leaving Date]&lt;42461),IF(Table1[Date of Last Assessment]="",Table1[Meaningful Use of Time],Table1[Meaningful Use of Time2]),"")))</f>
        <v/>
      </c>
      <c r="FS455" s="44" t="str">
        <f>IF(Table1[Leaving Date]="","",IF(Table1[Date of Initial Assessment]="","",IF(AND(Table1[Leaving Date]&gt;42094,Table1[Leaving Date]&lt;42461),IF(Table1[Date of Last Assessment]="",Table1[Managing Tenancy and Accommodation],Table1[Managing Tenancy and Accommodation2]),"")))</f>
        <v/>
      </c>
      <c r="FT455" s="44" t="str">
        <f>IF(Table1[Leaving Date]="","",IF(Table1[Date of Initial Assessment]="","",IF(AND(Table1[Leaving Date]&gt;42094,Table1[Leaving Date]&lt;42461),IF(Table1[Date of Last Assessment]="",Table1[Offending],Table1[Offending2]),"")))</f>
        <v/>
      </c>
      <c r="FU455" s="44" t="str">
        <f>IF(Table1[Date of Initial Assessment]="","",IF(AND(Table1[Start Date]&gt;42460,Table1[Start Date]&lt;42826),Table1[Motivation and Taking Responsibility],""))</f>
        <v/>
      </c>
      <c r="FV455" s="44" t="str">
        <f>IF(Table1[Date of Initial Assessment]="","",IF(AND(Table1[Start Date]&gt;42460,Table1[Start Date]&lt;42826),Table1[Self-Care and Living Skills],""))</f>
        <v/>
      </c>
      <c r="FW455" s="44" t="str">
        <f>IF(Table1[Date of Initial Assessment]="","",IF(AND(Table1[Start Date]&gt;42460,Table1[Start Date]&lt;42826),Table1[Managing Money and Personal Administration],""))</f>
        <v/>
      </c>
      <c r="FX455" s="44" t="str">
        <f>IF(Table1[Date of Initial Assessment]="","",IF(AND(Table1[Start Date]&gt;42460,Table1[Start Date]&lt;42826),Table1[Social Networks and Relationships],""))</f>
        <v/>
      </c>
      <c r="FY455" s="44" t="str">
        <f>IF(Table1[Date of Initial Assessment]="","",IF(AND(Table1[Start Date]&gt;42460,Table1[Start Date]&lt;42826),Table1[Drug and Alcohol Misuse],""))</f>
        <v/>
      </c>
      <c r="FZ455" s="44" t="str">
        <f>IF(Table1[Date of Initial Assessment]="","",IF(AND(Table1[Start Date]&gt;42460,Table1[Start Date]&lt;42826),Table1[Physical Health],""))</f>
        <v/>
      </c>
      <c r="GA455" s="44" t="str">
        <f>IF(Table1[Date of Initial Assessment]="","",IF(AND(Table1[Start Date]&gt;42460,Table1[Start Date]&lt;42826),Table1[Emotional and Mental Health],""))</f>
        <v/>
      </c>
      <c r="GB455" s="44" t="str">
        <f>IF(Table1[Date of Initial Assessment]="","",IF(AND(Table1[Start Date]&gt;42460,Table1[Start Date]&lt;42826),Table1[Meaningful Use of Time],""))</f>
        <v/>
      </c>
      <c r="GC455" s="44" t="str">
        <f>IF(Table1[Date of Initial Assessment]="","",IF(AND(Table1[Start Date]&gt;42460,Table1[Start Date]&lt;42826),Table1[Managing Tenancy and Accommodation],""))</f>
        <v/>
      </c>
      <c r="GD455" s="44" t="str">
        <f>IF(Table1[Date of Initial Assessment]="","",IF(AND(Table1[Start Date]&gt;42460,Table1[Start Date]&lt;42826),Table1[Offending],""))</f>
        <v/>
      </c>
      <c r="GE455" s="44" t="str">
        <f>IF(Table1[Leaving Date]="","",IF(AND(Table1[Leaving Date]&gt;42460,Table1[Leaving Date]&lt;42826),IF(Table1[Date of Last Assessment]="",Table1[Motivation and Taking Responsibility],Table1[Motivation and Taking Responsibility2]),""))</f>
        <v/>
      </c>
      <c r="GF455" s="44" t="str">
        <f>IF(Table1[Leaving Date]="","",IF(AND(Table1[Leaving Date]&gt;42460,Table1[Leaving Date]&lt;42826),IF(Table1[Date of Last Assessment]="",Table1[Self-Care and Living Skills],Table1[Self-Care and Living Skills2]),""))</f>
        <v/>
      </c>
      <c r="GG455" s="44" t="str">
        <f>IF(Table1[Leaving Date]="","",IF(AND(Table1[Leaving Date]&gt;42460,Table1[Leaving Date]&lt;42826),IF(Table1[Date of Last Assessment]="",Table1[Managing Money and Personal Administration],Table1[Managing Money and Personal Administration2]),""))</f>
        <v/>
      </c>
      <c r="GH455" s="44" t="str">
        <f>IF(Table1[Leaving Date]="","",IF(AND(Table1[Leaving Date]&gt;42460,Table1[Leaving Date]&lt;42826),IF(Table1[Date of Last Assessment]="",Table1[Social Networks and Relationships],Table1[Social Networks and Relationships2]),""))</f>
        <v/>
      </c>
      <c r="GI455" s="44" t="str">
        <f>IF(Table1[Leaving Date]="","",IF(AND(Table1[Leaving Date]&gt;42460,Table1[Leaving Date]&lt;42826),IF(Table1[Date of Last Assessment]="",Table1[Drug and Alcohol Misuse],Table1[Drug and Alcohol Misuse2]),""))</f>
        <v/>
      </c>
      <c r="GJ455" s="44" t="str">
        <f>IF(Table1[Leaving Date]="","",IF(AND(Table1[Leaving Date]&gt;42460,Table1[Leaving Date]&lt;42826),IF(Table1[Date of Last Assessment]="",Table1[Physical Health],Table1[Physical Health2]),""))</f>
        <v/>
      </c>
      <c r="GK455" s="44" t="str">
        <f>IF(Table1[Leaving Date]="","",IF(AND(Table1[Leaving Date]&gt;42460,Table1[Leaving Date]&lt;42826),IF(Table1[Date of Last Assessment]="",Table1[Emotional and Mental Health],Table1[Emotional and Mental Health2]),""))</f>
        <v/>
      </c>
      <c r="GL455" s="44" t="str">
        <f>IF(Table1[Leaving Date]="","",IF(AND(Table1[Leaving Date]&gt;42460,Table1[Leaving Date]&lt;42826),IF(Table1[Date of Last Assessment]="",Table1[Meaningful Use of Time],Table1[Meaningful Use of Time2]),""))</f>
        <v/>
      </c>
      <c r="GM455" s="44" t="str">
        <f>IF(Table1[Leaving Date]="","",IF(AND(Table1[Leaving Date]&gt;42460,Table1[Leaving Date]&lt;42826),IF(Table1[Date of Last Assessment]="",Table1[Managing Tenancy and Accommodation],Table1[Managing Tenancy and Accommodation2]),""))</f>
        <v/>
      </c>
      <c r="GN455" s="44" t="str">
        <f>IF(Table1[Leaving Date]="","",IF(AND(Table1[Leaving Date]&gt;42460,Table1[Leaving Date]&lt;42826),IF(Table1[Date of Last Assessment]="",Table1[Offending],Table1[Offending2]),""))</f>
        <v/>
      </c>
    </row>
    <row r="456" spans="2:196" ht="20.100000000000001" customHeight="1" x14ac:dyDescent="0.2">
      <c r="B456" s="86">
        <f>+'Service Data'!$C$5:$C$5</f>
        <v>0</v>
      </c>
      <c r="C456" s="86"/>
      <c r="D456" s="86"/>
      <c r="E456" s="86"/>
      <c r="F456" s="86"/>
      <c r="G456" s="86"/>
      <c r="H456" s="6"/>
      <c r="I456" s="99" t="str">
        <f ca="1">IF(Table1[[#This Row],[Date of Birth]]="","",SUM(TODAY()-Table1[[#This Row],[Date of Birth]])/365)</f>
        <v/>
      </c>
      <c r="L456" s="86"/>
      <c r="M456" s="77"/>
      <c r="N456" s="86"/>
      <c r="O456" s="86"/>
      <c r="P456" s="91"/>
      <c r="Q456" s="86"/>
      <c r="R456" s="77"/>
      <c r="S456" s="77"/>
      <c r="T456" s="68"/>
      <c r="U456" s="68"/>
      <c r="V456" s="67"/>
      <c r="W456" s="67"/>
      <c r="X456" s="67"/>
      <c r="Y456" s="67"/>
      <c r="Z456" s="67"/>
      <c r="AA456" s="67"/>
      <c r="AB456" s="67"/>
      <c r="AC456" s="67"/>
      <c r="AD456" s="67"/>
      <c r="AE456" s="67"/>
      <c r="AF456" s="67"/>
      <c r="AG456" s="67"/>
      <c r="AH456" s="67"/>
      <c r="AI456" s="67"/>
      <c r="AJ456" s="67"/>
      <c r="AK456" s="67"/>
      <c r="AL456" s="67"/>
      <c r="AM456" s="67"/>
      <c r="AN456" s="77"/>
      <c r="AO456" s="76"/>
      <c r="AP456" s="77"/>
      <c r="AQ456" s="76"/>
      <c r="AR456" s="76"/>
      <c r="AS456" s="76"/>
      <c r="AT456" s="76"/>
      <c r="AU456" s="76"/>
      <c r="AV456" s="77"/>
      <c r="AW456" s="76"/>
      <c r="AX456" s="77"/>
      <c r="AY456" s="76"/>
      <c r="AZ456" s="76"/>
      <c r="BA456" s="76"/>
      <c r="BB456" s="76"/>
      <c r="BC456" s="76"/>
      <c r="BD456" s="77"/>
      <c r="BE456" s="76"/>
      <c r="BF456" s="77"/>
      <c r="BG456" s="76"/>
      <c r="BH456" s="76"/>
      <c r="BI456" s="76"/>
      <c r="BJ456" s="76"/>
      <c r="BK456" s="76"/>
      <c r="BL456" s="77"/>
      <c r="BM456" s="76"/>
      <c r="BN456" s="77"/>
      <c r="BO456" s="76"/>
      <c r="BP456" s="76"/>
      <c r="BQ456" s="76"/>
      <c r="BR456" s="76"/>
      <c r="BS456" s="76"/>
      <c r="BT456" s="77"/>
      <c r="BU456" s="76"/>
      <c r="BV456" s="77"/>
      <c r="BW456" s="76"/>
      <c r="BX456" s="76"/>
      <c r="BY456" s="76"/>
      <c r="BZ456" s="76"/>
      <c r="CA456" s="76"/>
      <c r="CB456" s="77"/>
      <c r="CC456" s="76"/>
      <c r="CD456" s="77"/>
      <c r="CE456" s="76"/>
      <c r="CF456" s="76"/>
      <c r="CG456" s="76"/>
      <c r="CH456" s="76"/>
      <c r="CI456" s="76"/>
      <c r="CJ456" s="77"/>
      <c r="CK456" s="76"/>
      <c r="CL456" s="77"/>
      <c r="CM456" s="76"/>
      <c r="CN456" s="76"/>
      <c r="CO456" s="76"/>
      <c r="CP456" s="76"/>
      <c r="CQ456" s="76"/>
      <c r="CR456" s="78" t="str">
        <f t="shared" si="127"/>
        <v/>
      </c>
      <c r="CS456" s="79" t="str">
        <f t="shared" si="128"/>
        <v/>
      </c>
      <c r="CT456" s="79" t="str">
        <f t="shared" si="129"/>
        <v/>
      </c>
      <c r="CU456" s="79" t="str">
        <f t="shared" si="130"/>
        <v/>
      </c>
      <c r="CV456" s="79" t="str">
        <f t="shared" si="131"/>
        <v/>
      </c>
      <c r="CW456" s="79" t="str">
        <f t="shared" si="132"/>
        <v/>
      </c>
      <c r="CX456" s="79" t="str">
        <f t="shared" si="133"/>
        <v/>
      </c>
      <c r="CY456" s="79" t="str">
        <f t="shared" si="134"/>
        <v/>
      </c>
      <c r="CZ456" s="79" t="str">
        <f t="shared" si="135"/>
        <v/>
      </c>
      <c r="DA456" s="79" t="str">
        <f t="shared" si="136"/>
        <v/>
      </c>
      <c r="DB456" s="79" t="str">
        <f t="shared" si="137"/>
        <v/>
      </c>
      <c r="DC456" s="79" t="str">
        <f t="shared" si="138"/>
        <v/>
      </c>
      <c r="DD456" s="79" t="str">
        <f t="shared" si="139"/>
        <v/>
      </c>
      <c r="DE456" s="79" t="str">
        <f t="shared" si="140"/>
        <v/>
      </c>
      <c r="DF456" s="79" t="str">
        <f t="shared" si="141"/>
        <v/>
      </c>
      <c r="DG456" s="79" t="str">
        <f t="shared" si="142"/>
        <v/>
      </c>
      <c r="DH456" s="76"/>
      <c r="DI456" s="78"/>
      <c r="DJ456" s="76"/>
      <c r="DK456" s="77"/>
      <c r="DL456" s="77"/>
      <c r="DM456" s="77"/>
      <c r="DN456" s="80"/>
      <c r="DO456" s="80"/>
      <c r="DP456" s="92" t="str">
        <f>IF(Table1[Start Date]="","",IF(Table1[Start Date]&gt;42185,"",IF(AND(Table1[Leaving Date]&gt;1,Table1[Leaving Date]&lt;42095),"",1)))</f>
        <v/>
      </c>
      <c r="DQ456" s="92" t="str">
        <f>IF(Table1[Start Date]="","",IF(Table1[Start Date]&gt;42277,"",IF(AND(Table1[Leaving Date]&gt;1,Table1[Leaving Date]&lt;42186),"",1)))</f>
        <v/>
      </c>
      <c r="DR456" s="92" t="str">
        <f>IF(Table1[Start Date]="","",IF(Table1[Start Date]&gt;42369,"",IF(AND(Table1[Leaving Date]&gt;1,Table1[Leaving Date]&lt;42278),"",1)))</f>
        <v/>
      </c>
      <c r="DS456" s="92" t="str">
        <f>IF(Table1[Start Date]="","",IF(Table1[Start Date]&gt;42460,"",IF(AND(Table1[Leaving Date]&gt;1,Table1[Leaving Date]&lt;42370),"",1)))</f>
        <v/>
      </c>
      <c r="DT456" s="92" t="str">
        <f>IF(Table1[Start Date]="","",IF(Table1[Start Date]&gt;42551,"",IF(AND(Table1[Leaving Date]&gt;1,Table1[Leaving Date]&lt;42461),"",1)))</f>
        <v/>
      </c>
      <c r="DU456" s="92" t="str">
        <f>IF(Table1[Start Date]="","",IF(Table1[Start Date]&gt;42643,"",IF(AND(Table1[Leaving Date]&gt;1,Table1[Leaving Date]&lt;42552),"",1)))</f>
        <v/>
      </c>
      <c r="DV456" s="92" t="str">
        <f>IF(Table1[Start Date]="","",IF(Table1[Start Date]&gt;42735,"",IF(AND(Table1[Leaving Date]&gt;1,Table1[Leaving Date]&lt;42644),"",1)))</f>
        <v/>
      </c>
      <c r="DW456" s="92" t="str">
        <f>IF(Table1[Start Date]="","",IF(Table1[Start Date]&gt;42825,"",IF(AND(Table1[Leaving Date]&gt;1,Table1[Leaving Date]&lt;42736),"",1)))</f>
        <v/>
      </c>
      <c r="DX456"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456" s="44" t="e">
        <f>VLOOKUP(Table1[Referral Source],Lists!$G$2:$H$20,2,FALSE)</f>
        <v>#N/A</v>
      </c>
      <c r="DZ456" s="93" t="e">
        <f>SUM(Table1[Data Referral Quarter]+Table1[Data Referral Source])</f>
        <v>#N/A</v>
      </c>
      <c r="EA456" s="44" t="b">
        <f>IF(Table1[Referral Decision]="Accepted",100,IF(Table1[Referral Decision]="Rejected by Provider",200,IF(Table1[Referral Decision]="Rejected by Applicant",300)))</f>
        <v>0</v>
      </c>
      <c r="EB456" s="44">
        <f>SUM(Table1[Data Referral Quarter]+Table1[Data Referral Decision])</f>
        <v>0</v>
      </c>
      <c r="EC456" s="44" t="b">
        <f>IF(Table1[Start Date]&gt;42735,8000,IF(Table1[Start Date]&gt;42643,7000,IF(Table1[Start Date]&gt;42551,6000,IF(Table1[Start Date]&gt;42460,5000,IF(Table1[Start Date]&gt;42369,4000,IF(Table1[Start Date]&gt;42277,3000,IF(Table1[Start Date]&gt;42185,2000,IF(Table1[Start Date]&gt;42094,1000))))))))</f>
        <v>0</v>
      </c>
      <c r="ED456" s="44" t="str">
        <f>IF(Table1[Start Date]="","",IF(Table1[Current Local Authority]="Swindon",1,"2"))</f>
        <v/>
      </c>
      <c r="EE456" s="44" t="e">
        <f>SUM(Table1[Data Start Date]+Table1[Data Local Authority])</f>
        <v>#VALUE!</v>
      </c>
      <c r="EF456" s="44">
        <f>IF(Table1[Registered with GP]="Yes",1,0)</f>
        <v>0</v>
      </c>
      <c r="EG456" s="44">
        <f>SUM(Table1[Data Start Date]+Table1[Data GP Start])</f>
        <v>0</v>
      </c>
      <c r="EH456" s="44" t="str">
        <f>IF(Table1[EET]="NEET",1,IF(Table1[EET]="Education",2,IF(Table1[EET]="Employment",2,IF(Table1[EET]="Training",2,IF(Table1[EET]="Retired",3,"")))))</f>
        <v/>
      </c>
      <c r="EI456" s="44" t="e">
        <f>Table1[Data Start Date]+Table1[Data EET Start]</f>
        <v>#VALUE!</v>
      </c>
      <c r="EJ456" s="44" t="b">
        <f>IF(Table1[Leaving Date]&gt;42735,8000,IF(Table1[Leaving Date]&gt;42643,7000,IF(Table1[Leaving Date]&gt;42551,6000,IF(Table1[Leaving Date]&gt;42460,5000,IF(Table1[Leaving Date]&gt;42369,4000,IF(Table1[Leaving Date]&gt;42277,3000,IF(Table1[Leaving Date]&gt;42185,2000,IF(Table1[Leaving Date]&gt;42094,1000))))))))</f>
        <v>0</v>
      </c>
      <c r="EK456" s="44" t="e">
        <f>VLOOKUP(Table1[Reason for Leaving],Lists!$T$2:$U$15,2,FALSE)</f>
        <v>#N/A</v>
      </c>
      <c r="EL456" s="44" t="e">
        <f>SUM(Table1[Data Leavers Date]+Table1[Data Move On])</f>
        <v>#N/A</v>
      </c>
      <c r="EM456" s="44" t="b">
        <f>IF(Table1[Registered with GP2]="Yes",1,IF(Table1[Registered with GP2]="No",0,IF(Table1[Registered with GP]="Yes",1,IF(Table1[Registered with GP]="No",0))))</f>
        <v>0</v>
      </c>
      <c r="EN456" s="44">
        <f>SUM(Table1[Data Leavers Date]+Table1[Data GP End])</f>
        <v>0</v>
      </c>
      <c r="EO456" s="44" t="str">
        <f>IF(Table1[EET2]="NEET",1,IF(Table1[EET2]="Employment",2,IF(Table1[EET2]="Education",2,IF(Table1[EET2]="Training",2,IF(Table1[EET2]="Retired",3,IF(Table1[EET]="NEET",1,IF(Table1[EET]="Employment",2,IF(Table1[EET]="Education",2,IF(Table1[EET]="Training",2,IF(Table1[EET]="Retired",3,""))))))))))</f>
        <v/>
      </c>
      <c r="EP456" s="44" t="e">
        <f>+Table1[[#This Row],[Data Leavers Date]]+Table1[[#This Row],[Data EET End]]</f>
        <v>#VALUE!</v>
      </c>
      <c r="EQ456" s="44">
        <f>IF(Table1[Exit Form Received]="Yes",1,0)</f>
        <v>0</v>
      </c>
      <c r="ER456" s="44">
        <f>+Table1[[#This Row],[Data Leavers Date]]+Table1[[#This Row],[Data Exit Forms]]</f>
        <v>0</v>
      </c>
      <c r="ES456" s="44" t="str">
        <f>IF(Table1[Data Leavers Date]=1000,SUM(Table1[Leaving Date]-Table1[Start Date]),"")</f>
        <v/>
      </c>
      <c r="ET456" s="44" t="str">
        <f>IF(Table1[Data Leavers Date]=2000,SUM(Table1[Leaving Date]-Table1[Start Date]),"")</f>
        <v/>
      </c>
      <c r="EU456" s="44" t="str">
        <f>IF(Table1[Data Leavers Date]=3000,SUM(Table1[Leaving Date]-Table1[Start Date]),"")</f>
        <v/>
      </c>
      <c r="EV456" s="44" t="str">
        <f>IF(Table1[Data Leavers Date]=4000,SUM(Table1[Leaving Date]-Table1[Start Date]),"")</f>
        <v/>
      </c>
      <c r="EW456" s="44" t="str">
        <f>IF(Table1[Data Leavers Date]=5000,SUM(Table1[Leaving Date]-Table1[Start Date]),"")</f>
        <v/>
      </c>
      <c r="EX456" s="44" t="str">
        <f>IF(Table1[Data Leavers Date]=6000,SUM(Table1[Leaving Date]-Table1[Start Date]),"")</f>
        <v/>
      </c>
      <c r="EY456" s="44" t="str">
        <f>IF(Table1[Data Leavers Date]=7000,SUM(Table1[Leaving Date]-Table1[Start Date]),"")</f>
        <v/>
      </c>
      <c r="EZ456" s="44" t="str">
        <f>IF(Table1[Data Leavers Date]=8000,SUM(Table1[Leaving Date]-Table1[Start Date]),"")</f>
        <v/>
      </c>
      <c r="FA456" s="44" t="str">
        <f>IF(Table1[Date of Initial Assessment]="","",IF(AND(Table1[Start Date]&gt;42094,Table1[Start Date]&lt;42461),Table1[Motivation and Taking Responsibility],""))</f>
        <v/>
      </c>
      <c r="FB456" s="44" t="str">
        <f>IF(Table1[Date of Initial Assessment]="","",IF(AND(Table1[Start Date]&gt;42094,Table1[Start Date]&lt;42461),Table1[Self-Care and Living Skills],""))</f>
        <v/>
      </c>
      <c r="FC456" s="44" t="str">
        <f>IF(Table1[Date of Initial Assessment]="","",IF(AND(Table1[Start Date]&gt;42094,Table1[Start Date]&lt;42461),Table1[Managing Money and Personal Administration],""))</f>
        <v/>
      </c>
      <c r="FD456" s="44" t="str">
        <f>IF(Table1[Date of Initial Assessment]="","",IF(AND(Table1[Start Date]&gt;42094,Table1[Start Date]&lt;42461),Table1[Social Networks and Relationships],""))</f>
        <v/>
      </c>
      <c r="FE456" s="44" t="str">
        <f>IF(Table1[Date of Initial Assessment]="","",IF(AND(Table1[Start Date]&gt;42094,Table1[Start Date]&lt;42461),Table1[Drug and Alcohol Misuse],""))</f>
        <v/>
      </c>
      <c r="FF456" s="44" t="str">
        <f>IF(Table1[Date of Initial Assessment]="","",IF(AND(Table1[Start Date]&gt;42094,Table1[Start Date]&lt;42461),Table1[Physical Health],""))</f>
        <v/>
      </c>
      <c r="FG456" s="44" t="str">
        <f>IF(Table1[Date of Initial Assessment]="","",IF(AND(Table1[Start Date]&gt;42094,Table1[Start Date]&lt;42461),Table1[Emotional and Mental Health],""))</f>
        <v/>
      </c>
      <c r="FH456" s="44" t="str">
        <f>IF(Table1[Date of Initial Assessment]="","",IF(AND(Table1[Start Date]&gt;42094,Table1[Start Date]&lt;42461),Table1[Meaningful Use of Time],""))</f>
        <v/>
      </c>
      <c r="FI456" s="44" t="str">
        <f>IF(Table1[Date of Initial Assessment]="","",IF(AND(Table1[Start Date]&gt;42094,Table1[Start Date]&lt;42461),Table1[Managing Tenancy and Accommodation],""))</f>
        <v/>
      </c>
      <c r="FJ456" s="44" t="str">
        <f>IF(Table1[Date of Initial Assessment]="","",IF(AND(Table1[Start Date]&gt;42094,Table1[Start Date]&lt;42461),Table1[Offending],""))</f>
        <v/>
      </c>
      <c r="FK456" s="44" t="str">
        <f>IF(Table1[Leaving Date]="","",IF(Table1[Date of Initial Assessment]="","",IF(AND(Table1[Leaving Date]&gt;42094,Table1[Leaving Date]&lt;42461),IF(Table1[Date of Last Assessment]="",Table1[Motivation and Taking Responsibility],Table1[Motivation and Taking Responsibility2]),"")))</f>
        <v/>
      </c>
      <c r="FL456" s="44" t="str">
        <f>IF(Table1[Leaving Date]="","",IF(Table1[Date of Initial Assessment]="","",IF(AND(Table1[Leaving Date]&gt;42094,Table1[Leaving Date]&lt;42461),IF(Table1[Date of Last Assessment]="",Table1[Self-Care and Living Skills],Table1[Self-Care and Living Skills2]),"")))</f>
        <v/>
      </c>
      <c r="FM456" s="44" t="str">
        <f>IF(Table1[Leaving Date]="","",IF(Table1[Date of Initial Assessment]="","",IF(AND(Table1[Leaving Date]&gt;42094,Table1[Leaving Date]&lt;42461),IF(Table1[Date of Last Assessment]="",Table1[Managing Money and Personal Administration],Table1[Managing Money and Personal Administration2]),"")))</f>
        <v/>
      </c>
      <c r="FN456" s="44" t="str">
        <f>IF(Table1[Leaving Date]="","",IF(Table1[Date of Initial Assessment]="","",IF(AND(Table1[Leaving Date]&gt;42094,Table1[Leaving Date]&lt;42461),IF(Table1[Date of Last Assessment]="",Table1[Social Networks and Relationships],Table1[Social Networks and Relationships2]),"")))</f>
        <v/>
      </c>
      <c r="FO456" s="44" t="str">
        <f>IF(Table1[Leaving Date]="","",IF(Table1[Date of Initial Assessment]="","",IF(AND(Table1[Leaving Date]&gt;42094,Table1[Leaving Date]&lt;42461),IF(Table1[Date of Last Assessment]="",Table1[Drug and Alcohol Misuse],Table1[Drug and Alcohol Misuse2]),"")))</f>
        <v/>
      </c>
      <c r="FP456" s="44" t="str">
        <f>IF(Table1[Leaving Date]="","",IF(Table1[Date of Initial Assessment]="","",IF(AND(Table1[Leaving Date]&gt;42094,Table1[Leaving Date]&lt;42461),IF(Table1[Date of Last Assessment]="",Table1[Physical Health],Table1[Physical Health2]),"")))</f>
        <v/>
      </c>
      <c r="FQ456" s="44" t="str">
        <f>IF(Table1[Leaving Date]="","",IF(Table1[Date of Initial Assessment]="","",IF(AND(Table1[Leaving Date]&gt;42094,Table1[Leaving Date]&lt;42461),IF(Table1[Date of Last Assessment]="",Table1[Emotional and Mental Health],Table1[Emotional and Mental Health2]),"")))</f>
        <v/>
      </c>
      <c r="FR456" s="44" t="str">
        <f>IF(Table1[Leaving Date]="","",IF(Table1[Date of Initial Assessment]="","",IF(AND(Table1[Leaving Date]&gt;42094,Table1[Leaving Date]&lt;42461),IF(Table1[Date of Last Assessment]="",Table1[Meaningful Use of Time],Table1[Meaningful Use of Time2]),"")))</f>
        <v/>
      </c>
      <c r="FS456" s="44" t="str">
        <f>IF(Table1[Leaving Date]="","",IF(Table1[Date of Initial Assessment]="","",IF(AND(Table1[Leaving Date]&gt;42094,Table1[Leaving Date]&lt;42461),IF(Table1[Date of Last Assessment]="",Table1[Managing Tenancy and Accommodation],Table1[Managing Tenancy and Accommodation2]),"")))</f>
        <v/>
      </c>
      <c r="FT456" s="44" t="str">
        <f>IF(Table1[Leaving Date]="","",IF(Table1[Date of Initial Assessment]="","",IF(AND(Table1[Leaving Date]&gt;42094,Table1[Leaving Date]&lt;42461),IF(Table1[Date of Last Assessment]="",Table1[Offending],Table1[Offending2]),"")))</f>
        <v/>
      </c>
      <c r="FU456" s="44" t="str">
        <f>IF(Table1[Date of Initial Assessment]="","",IF(AND(Table1[Start Date]&gt;42460,Table1[Start Date]&lt;42826),Table1[Motivation and Taking Responsibility],""))</f>
        <v/>
      </c>
      <c r="FV456" s="44" t="str">
        <f>IF(Table1[Date of Initial Assessment]="","",IF(AND(Table1[Start Date]&gt;42460,Table1[Start Date]&lt;42826),Table1[Self-Care and Living Skills],""))</f>
        <v/>
      </c>
      <c r="FW456" s="44" t="str">
        <f>IF(Table1[Date of Initial Assessment]="","",IF(AND(Table1[Start Date]&gt;42460,Table1[Start Date]&lt;42826),Table1[Managing Money and Personal Administration],""))</f>
        <v/>
      </c>
      <c r="FX456" s="44" t="str">
        <f>IF(Table1[Date of Initial Assessment]="","",IF(AND(Table1[Start Date]&gt;42460,Table1[Start Date]&lt;42826),Table1[Social Networks and Relationships],""))</f>
        <v/>
      </c>
      <c r="FY456" s="44" t="str">
        <f>IF(Table1[Date of Initial Assessment]="","",IF(AND(Table1[Start Date]&gt;42460,Table1[Start Date]&lt;42826),Table1[Drug and Alcohol Misuse],""))</f>
        <v/>
      </c>
      <c r="FZ456" s="44" t="str">
        <f>IF(Table1[Date of Initial Assessment]="","",IF(AND(Table1[Start Date]&gt;42460,Table1[Start Date]&lt;42826),Table1[Physical Health],""))</f>
        <v/>
      </c>
      <c r="GA456" s="44" t="str">
        <f>IF(Table1[Date of Initial Assessment]="","",IF(AND(Table1[Start Date]&gt;42460,Table1[Start Date]&lt;42826),Table1[Emotional and Mental Health],""))</f>
        <v/>
      </c>
      <c r="GB456" s="44" t="str">
        <f>IF(Table1[Date of Initial Assessment]="","",IF(AND(Table1[Start Date]&gt;42460,Table1[Start Date]&lt;42826),Table1[Meaningful Use of Time],""))</f>
        <v/>
      </c>
      <c r="GC456" s="44" t="str">
        <f>IF(Table1[Date of Initial Assessment]="","",IF(AND(Table1[Start Date]&gt;42460,Table1[Start Date]&lt;42826),Table1[Managing Tenancy and Accommodation],""))</f>
        <v/>
      </c>
      <c r="GD456" s="44" t="str">
        <f>IF(Table1[Date of Initial Assessment]="","",IF(AND(Table1[Start Date]&gt;42460,Table1[Start Date]&lt;42826),Table1[Offending],""))</f>
        <v/>
      </c>
      <c r="GE456" s="44" t="str">
        <f>IF(Table1[Leaving Date]="","",IF(AND(Table1[Leaving Date]&gt;42460,Table1[Leaving Date]&lt;42826),IF(Table1[Date of Last Assessment]="",Table1[Motivation and Taking Responsibility],Table1[Motivation and Taking Responsibility2]),""))</f>
        <v/>
      </c>
      <c r="GF456" s="44" t="str">
        <f>IF(Table1[Leaving Date]="","",IF(AND(Table1[Leaving Date]&gt;42460,Table1[Leaving Date]&lt;42826),IF(Table1[Date of Last Assessment]="",Table1[Self-Care and Living Skills],Table1[Self-Care and Living Skills2]),""))</f>
        <v/>
      </c>
      <c r="GG456" s="44" t="str">
        <f>IF(Table1[Leaving Date]="","",IF(AND(Table1[Leaving Date]&gt;42460,Table1[Leaving Date]&lt;42826),IF(Table1[Date of Last Assessment]="",Table1[Managing Money and Personal Administration],Table1[Managing Money and Personal Administration2]),""))</f>
        <v/>
      </c>
      <c r="GH456" s="44" t="str">
        <f>IF(Table1[Leaving Date]="","",IF(AND(Table1[Leaving Date]&gt;42460,Table1[Leaving Date]&lt;42826),IF(Table1[Date of Last Assessment]="",Table1[Social Networks and Relationships],Table1[Social Networks and Relationships2]),""))</f>
        <v/>
      </c>
      <c r="GI456" s="44" t="str">
        <f>IF(Table1[Leaving Date]="","",IF(AND(Table1[Leaving Date]&gt;42460,Table1[Leaving Date]&lt;42826),IF(Table1[Date of Last Assessment]="",Table1[Drug and Alcohol Misuse],Table1[Drug and Alcohol Misuse2]),""))</f>
        <v/>
      </c>
      <c r="GJ456" s="44" t="str">
        <f>IF(Table1[Leaving Date]="","",IF(AND(Table1[Leaving Date]&gt;42460,Table1[Leaving Date]&lt;42826),IF(Table1[Date of Last Assessment]="",Table1[Physical Health],Table1[Physical Health2]),""))</f>
        <v/>
      </c>
      <c r="GK456" s="44" t="str">
        <f>IF(Table1[Leaving Date]="","",IF(AND(Table1[Leaving Date]&gt;42460,Table1[Leaving Date]&lt;42826),IF(Table1[Date of Last Assessment]="",Table1[Emotional and Mental Health],Table1[Emotional and Mental Health2]),""))</f>
        <v/>
      </c>
      <c r="GL456" s="44" t="str">
        <f>IF(Table1[Leaving Date]="","",IF(AND(Table1[Leaving Date]&gt;42460,Table1[Leaving Date]&lt;42826),IF(Table1[Date of Last Assessment]="",Table1[Meaningful Use of Time],Table1[Meaningful Use of Time2]),""))</f>
        <v/>
      </c>
      <c r="GM456" s="44" t="str">
        <f>IF(Table1[Leaving Date]="","",IF(AND(Table1[Leaving Date]&gt;42460,Table1[Leaving Date]&lt;42826),IF(Table1[Date of Last Assessment]="",Table1[Managing Tenancy and Accommodation],Table1[Managing Tenancy and Accommodation2]),""))</f>
        <v/>
      </c>
      <c r="GN456" s="44" t="str">
        <f>IF(Table1[Leaving Date]="","",IF(AND(Table1[Leaving Date]&gt;42460,Table1[Leaving Date]&lt;42826),IF(Table1[Date of Last Assessment]="",Table1[Offending],Table1[Offending2]),""))</f>
        <v/>
      </c>
    </row>
    <row r="457" spans="2:196" ht="20.100000000000001" customHeight="1" x14ac:dyDescent="0.2">
      <c r="B457" s="86">
        <f>+'Service Data'!$C$5:$C$5</f>
        <v>0</v>
      </c>
      <c r="C457" s="86"/>
      <c r="D457" s="86"/>
      <c r="E457" s="86"/>
      <c r="F457" s="86"/>
      <c r="G457" s="86"/>
      <c r="H457" s="6"/>
      <c r="I457" s="99" t="str">
        <f ca="1">IF(Table1[[#This Row],[Date of Birth]]="","",SUM(TODAY()-Table1[[#This Row],[Date of Birth]])/365)</f>
        <v/>
      </c>
      <c r="L457" s="86"/>
      <c r="M457" s="77"/>
      <c r="N457" s="86"/>
      <c r="O457" s="86"/>
      <c r="P457" s="91"/>
      <c r="Q457" s="86"/>
      <c r="R457" s="77"/>
      <c r="S457" s="77"/>
      <c r="T457" s="68"/>
      <c r="U457" s="68"/>
      <c r="V457" s="67"/>
      <c r="W457" s="67"/>
      <c r="X457" s="67"/>
      <c r="Y457" s="67"/>
      <c r="Z457" s="67"/>
      <c r="AA457" s="67"/>
      <c r="AB457" s="67"/>
      <c r="AC457" s="67"/>
      <c r="AD457" s="67"/>
      <c r="AE457" s="67"/>
      <c r="AF457" s="67"/>
      <c r="AG457" s="67"/>
      <c r="AH457" s="67"/>
      <c r="AI457" s="67"/>
      <c r="AJ457" s="67"/>
      <c r="AK457" s="67"/>
      <c r="AL457" s="67"/>
      <c r="AM457" s="67"/>
      <c r="AN457" s="77"/>
      <c r="AO457" s="76"/>
      <c r="AP457" s="77"/>
      <c r="AQ457" s="76"/>
      <c r="AR457" s="76"/>
      <c r="AS457" s="76"/>
      <c r="AT457" s="76"/>
      <c r="AU457" s="76"/>
      <c r="AV457" s="77"/>
      <c r="AW457" s="76"/>
      <c r="AX457" s="77"/>
      <c r="AY457" s="76"/>
      <c r="AZ457" s="76"/>
      <c r="BA457" s="76"/>
      <c r="BB457" s="76"/>
      <c r="BC457" s="76"/>
      <c r="BD457" s="77"/>
      <c r="BE457" s="76"/>
      <c r="BF457" s="77"/>
      <c r="BG457" s="76"/>
      <c r="BH457" s="76"/>
      <c r="BI457" s="76"/>
      <c r="BJ457" s="76"/>
      <c r="BK457" s="76"/>
      <c r="BL457" s="77"/>
      <c r="BM457" s="76"/>
      <c r="BN457" s="77"/>
      <c r="BO457" s="76"/>
      <c r="BP457" s="76"/>
      <c r="BQ457" s="76"/>
      <c r="BR457" s="76"/>
      <c r="BS457" s="76"/>
      <c r="BT457" s="77"/>
      <c r="BU457" s="76"/>
      <c r="BV457" s="77"/>
      <c r="BW457" s="76"/>
      <c r="BX457" s="76"/>
      <c r="BY457" s="76"/>
      <c r="BZ457" s="76"/>
      <c r="CA457" s="76"/>
      <c r="CB457" s="77"/>
      <c r="CC457" s="76"/>
      <c r="CD457" s="77"/>
      <c r="CE457" s="76"/>
      <c r="CF457" s="76"/>
      <c r="CG457" s="76"/>
      <c r="CH457" s="76"/>
      <c r="CI457" s="76"/>
      <c r="CJ457" s="77"/>
      <c r="CK457" s="76"/>
      <c r="CL457" s="77"/>
      <c r="CM457" s="76"/>
      <c r="CN457" s="76"/>
      <c r="CO457" s="76"/>
      <c r="CP457" s="76"/>
      <c r="CQ457" s="76"/>
      <c r="CR457" s="78" t="str">
        <f t="shared" si="127"/>
        <v/>
      </c>
      <c r="CS457" s="79" t="str">
        <f t="shared" si="128"/>
        <v/>
      </c>
      <c r="CT457" s="79" t="str">
        <f t="shared" si="129"/>
        <v/>
      </c>
      <c r="CU457" s="79" t="str">
        <f t="shared" si="130"/>
        <v/>
      </c>
      <c r="CV457" s="79" t="str">
        <f t="shared" si="131"/>
        <v/>
      </c>
      <c r="CW457" s="79" t="str">
        <f t="shared" si="132"/>
        <v/>
      </c>
      <c r="CX457" s="79" t="str">
        <f t="shared" si="133"/>
        <v/>
      </c>
      <c r="CY457" s="79" t="str">
        <f t="shared" si="134"/>
        <v/>
      </c>
      <c r="CZ457" s="79" t="str">
        <f t="shared" si="135"/>
        <v/>
      </c>
      <c r="DA457" s="79" t="str">
        <f t="shared" si="136"/>
        <v/>
      </c>
      <c r="DB457" s="79" t="str">
        <f t="shared" si="137"/>
        <v/>
      </c>
      <c r="DC457" s="79" t="str">
        <f t="shared" si="138"/>
        <v/>
      </c>
      <c r="DD457" s="79" t="str">
        <f t="shared" si="139"/>
        <v/>
      </c>
      <c r="DE457" s="79" t="str">
        <f t="shared" si="140"/>
        <v/>
      </c>
      <c r="DF457" s="79" t="str">
        <f t="shared" si="141"/>
        <v/>
      </c>
      <c r="DG457" s="79" t="str">
        <f t="shared" si="142"/>
        <v/>
      </c>
      <c r="DH457" s="76"/>
      <c r="DI457" s="78"/>
      <c r="DJ457" s="76"/>
      <c r="DK457" s="77"/>
      <c r="DL457" s="77"/>
      <c r="DM457" s="77"/>
      <c r="DN457" s="80"/>
      <c r="DO457" s="80"/>
      <c r="DP457" s="92" t="str">
        <f>IF(Table1[Start Date]="","",IF(Table1[Start Date]&gt;42185,"",IF(AND(Table1[Leaving Date]&gt;1,Table1[Leaving Date]&lt;42095),"",1)))</f>
        <v/>
      </c>
      <c r="DQ457" s="92" t="str">
        <f>IF(Table1[Start Date]="","",IF(Table1[Start Date]&gt;42277,"",IF(AND(Table1[Leaving Date]&gt;1,Table1[Leaving Date]&lt;42186),"",1)))</f>
        <v/>
      </c>
      <c r="DR457" s="92" t="str">
        <f>IF(Table1[Start Date]="","",IF(Table1[Start Date]&gt;42369,"",IF(AND(Table1[Leaving Date]&gt;1,Table1[Leaving Date]&lt;42278),"",1)))</f>
        <v/>
      </c>
      <c r="DS457" s="92" t="str">
        <f>IF(Table1[Start Date]="","",IF(Table1[Start Date]&gt;42460,"",IF(AND(Table1[Leaving Date]&gt;1,Table1[Leaving Date]&lt;42370),"",1)))</f>
        <v/>
      </c>
      <c r="DT457" s="92" t="str">
        <f>IF(Table1[Start Date]="","",IF(Table1[Start Date]&gt;42551,"",IF(AND(Table1[Leaving Date]&gt;1,Table1[Leaving Date]&lt;42461),"",1)))</f>
        <v/>
      </c>
      <c r="DU457" s="92" t="str">
        <f>IF(Table1[Start Date]="","",IF(Table1[Start Date]&gt;42643,"",IF(AND(Table1[Leaving Date]&gt;1,Table1[Leaving Date]&lt;42552),"",1)))</f>
        <v/>
      </c>
      <c r="DV457" s="92" t="str">
        <f>IF(Table1[Start Date]="","",IF(Table1[Start Date]&gt;42735,"",IF(AND(Table1[Leaving Date]&gt;1,Table1[Leaving Date]&lt;42644),"",1)))</f>
        <v/>
      </c>
      <c r="DW457" s="92" t="str">
        <f>IF(Table1[Start Date]="","",IF(Table1[Start Date]&gt;42825,"",IF(AND(Table1[Leaving Date]&gt;1,Table1[Leaving Date]&lt;42736),"",1)))</f>
        <v/>
      </c>
      <c r="DX457"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457" s="44" t="e">
        <f>VLOOKUP(Table1[Referral Source],Lists!$G$2:$H$20,2,FALSE)</f>
        <v>#N/A</v>
      </c>
      <c r="DZ457" s="93" t="e">
        <f>SUM(Table1[Data Referral Quarter]+Table1[Data Referral Source])</f>
        <v>#N/A</v>
      </c>
      <c r="EA457" s="44" t="b">
        <f>IF(Table1[Referral Decision]="Accepted",100,IF(Table1[Referral Decision]="Rejected by Provider",200,IF(Table1[Referral Decision]="Rejected by Applicant",300)))</f>
        <v>0</v>
      </c>
      <c r="EB457" s="44">
        <f>SUM(Table1[Data Referral Quarter]+Table1[Data Referral Decision])</f>
        <v>0</v>
      </c>
      <c r="EC457" s="44" t="b">
        <f>IF(Table1[Start Date]&gt;42735,8000,IF(Table1[Start Date]&gt;42643,7000,IF(Table1[Start Date]&gt;42551,6000,IF(Table1[Start Date]&gt;42460,5000,IF(Table1[Start Date]&gt;42369,4000,IF(Table1[Start Date]&gt;42277,3000,IF(Table1[Start Date]&gt;42185,2000,IF(Table1[Start Date]&gt;42094,1000))))))))</f>
        <v>0</v>
      </c>
      <c r="ED457" s="44" t="str">
        <f>IF(Table1[Start Date]="","",IF(Table1[Current Local Authority]="Swindon",1,"2"))</f>
        <v/>
      </c>
      <c r="EE457" s="44" t="e">
        <f>SUM(Table1[Data Start Date]+Table1[Data Local Authority])</f>
        <v>#VALUE!</v>
      </c>
      <c r="EF457" s="44">
        <f>IF(Table1[Registered with GP]="Yes",1,0)</f>
        <v>0</v>
      </c>
      <c r="EG457" s="44">
        <f>SUM(Table1[Data Start Date]+Table1[Data GP Start])</f>
        <v>0</v>
      </c>
      <c r="EH457" s="44" t="str">
        <f>IF(Table1[EET]="NEET",1,IF(Table1[EET]="Education",2,IF(Table1[EET]="Employment",2,IF(Table1[EET]="Training",2,IF(Table1[EET]="Retired",3,"")))))</f>
        <v/>
      </c>
      <c r="EI457" s="44" t="e">
        <f>Table1[Data Start Date]+Table1[Data EET Start]</f>
        <v>#VALUE!</v>
      </c>
      <c r="EJ457" s="44" t="b">
        <f>IF(Table1[Leaving Date]&gt;42735,8000,IF(Table1[Leaving Date]&gt;42643,7000,IF(Table1[Leaving Date]&gt;42551,6000,IF(Table1[Leaving Date]&gt;42460,5000,IF(Table1[Leaving Date]&gt;42369,4000,IF(Table1[Leaving Date]&gt;42277,3000,IF(Table1[Leaving Date]&gt;42185,2000,IF(Table1[Leaving Date]&gt;42094,1000))))))))</f>
        <v>0</v>
      </c>
      <c r="EK457" s="44" t="e">
        <f>VLOOKUP(Table1[Reason for Leaving],Lists!$T$2:$U$15,2,FALSE)</f>
        <v>#N/A</v>
      </c>
      <c r="EL457" s="44" t="e">
        <f>SUM(Table1[Data Leavers Date]+Table1[Data Move On])</f>
        <v>#N/A</v>
      </c>
      <c r="EM457" s="44" t="b">
        <f>IF(Table1[Registered with GP2]="Yes",1,IF(Table1[Registered with GP2]="No",0,IF(Table1[Registered with GP]="Yes",1,IF(Table1[Registered with GP]="No",0))))</f>
        <v>0</v>
      </c>
      <c r="EN457" s="44">
        <f>SUM(Table1[Data Leavers Date]+Table1[Data GP End])</f>
        <v>0</v>
      </c>
      <c r="EO457" s="44" t="str">
        <f>IF(Table1[EET2]="NEET",1,IF(Table1[EET2]="Employment",2,IF(Table1[EET2]="Education",2,IF(Table1[EET2]="Training",2,IF(Table1[EET2]="Retired",3,IF(Table1[EET]="NEET",1,IF(Table1[EET]="Employment",2,IF(Table1[EET]="Education",2,IF(Table1[EET]="Training",2,IF(Table1[EET]="Retired",3,""))))))))))</f>
        <v/>
      </c>
      <c r="EP457" s="44" t="e">
        <f>+Table1[[#This Row],[Data Leavers Date]]+Table1[[#This Row],[Data EET End]]</f>
        <v>#VALUE!</v>
      </c>
      <c r="EQ457" s="44">
        <f>IF(Table1[Exit Form Received]="Yes",1,0)</f>
        <v>0</v>
      </c>
      <c r="ER457" s="44">
        <f>+Table1[[#This Row],[Data Leavers Date]]+Table1[[#This Row],[Data Exit Forms]]</f>
        <v>0</v>
      </c>
      <c r="ES457" s="44" t="str">
        <f>IF(Table1[Data Leavers Date]=1000,SUM(Table1[Leaving Date]-Table1[Start Date]),"")</f>
        <v/>
      </c>
      <c r="ET457" s="44" t="str">
        <f>IF(Table1[Data Leavers Date]=2000,SUM(Table1[Leaving Date]-Table1[Start Date]),"")</f>
        <v/>
      </c>
      <c r="EU457" s="44" t="str">
        <f>IF(Table1[Data Leavers Date]=3000,SUM(Table1[Leaving Date]-Table1[Start Date]),"")</f>
        <v/>
      </c>
      <c r="EV457" s="44" t="str">
        <f>IF(Table1[Data Leavers Date]=4000,SUM(Table1[Leaving Date]-Table1[Start Date]),"")</f>
        <v/>
      </c>
      <c r="EW457" s="44" t="str">
        <f>IF(Table1[Data Leavers Date]=5000,SUM(Table1[Leaving Date]-Table1[Start Date]),"")</f>
        <v/>
      </c>
      <c r="EX457" s="44" t="str">
        <f>IF(Table1[Data Leavers Date]=6000,SUM(Table1[Leaving Date]-Table1[Start Date]),"")</f>
        <v/>
      </c>
      <c r="EY457" s="44" t="str">
        <f>IF(Table1[Data Leavers Date]=7000,SUM(Table1[Leaving Date]-Table1[Start Date]),"")</f>
        <v/>
      </c>
      <c r="EZ457" s="44" t="str">
        <f>IF(Table1[Data Leavers Date]=8000,SUM(Table1[Leaving Date]-Table1[Start Date]),"")</f>
        <v/>
      </c>
      <c r="FA457" s="44" t="str">
        <f>IF(Table1[Date of Initial Assessment]="","",IF(AND(Table1[Start Date]&gt;42094,Table1[Start Date]&lt;42461),Table1[Motivation and Taking Responsibility],""))</f>
        <v/>
      </c>
      <c r="FB457" s="44" t="str">
        <f>IF(Table1[Date of Initial Assessment]="","",IF(AND(Table1[Start Date]&gt;42094,Table1[Start Date]&lt;42461),Table1[Self-Care and Living Skills],""))</f>
        <v/>
      </c>
      <c r="FC457" s="44" t="str">
        <f>IF(Table1[Date of Initial Assessment]="","",IF(AND(Table1[Start Date]&gt;42094,Table1[Start Date]&lt;42461),Table1[Managing Money and Personal Administration],""))</f>
        <v/>
      </c>
      <c r="FD457" s="44" t="str">
        <f>IF(Table1[Date of Initial Assessment]="","",IF(AND(Table1[Start Date]&gt;42094,Table1[Start Date]&lt;42461),Table1[Social Networks and Relationships],""))</f>
        <v/>
      </c>
      <c r="FE457" s="44" t="str">
        <f>IF(Table1[Date of Initial Assessment]="","",IF(AND(Table1[Start Date]&gt;42094,Table1[Start Date]&lt;42461),Table1[Drug and Alcohol Misuse],""))</f>
        <v/>
      </c>
      <c r="FF457" s="44" t="str">
        <f>IF(Table1[Date of Initial Assessment]="","",IF(AND(Table1[Start Date]&gt;42094,Table1[Start Date]&lt;42461),Table1[Physical Health],""))</f>
        <v/>
      </c>
      <c r="FG457" s="44" t="str">
        <f>IF(Table1[Date of Initial Assessment]="","",IF(AND(Table1[Start Date]&gt;42094,Table1[Start Date]&lt;42461),Table1[Emotional and Mental Health],""))</f>
        <v/>
      </c>
      <c r="FH457" s="44" t="str">
        <f>IF(Table1[Date of Initial Assessment]="","",IF(AND(Table1[Start Date]&gt;42094,Table1[Start Date]&lt;42461),Table1[Meaningful Use of Time],""))</f>
        <v/>
      </c>
      <c r="FI457" s="44" t="str">
        <f>IF(Table1[Date of Initial Assessment]="","",IF(AND(Table1[Start Date]&gt;42094,Table1[Start Date]&lt;42461),Table1[Managing Tenancy and Accommodation],""))</f>
        <v/>
      </c>
      <c r="FJ457" s="44" t="str">
        <f>IF(Table1[Date of Initial Assessment]="","",IF(AND(Table1[Start Date]&gt;42094,Table1[Start Date]&lt;42461),Table1[Offending],""))</f>
        <v/>
      </c>
      <c r="FK457" s="44" t="str">
        <f>IF(Table1[Leaving Date]="","",IF(Table1[Date of Initial Assessment]="","",IF(AND(Table1[Leaving Date]&gt;42094,Table1[Leaving Date]&lt;42461),IF(Table1[Date of Last Assessment]="",Table1[Motivation and Taking Responsibility],Table1[Motivation and Taking Responsibility2]),"")))</f>
        <v/>
      </c>
      <c r="FL457" s="44" t="str">
        <f>IF(Table1[Leaving Date]="","",IF(Table1[Date of Initial Assessment]="","",IF(AND(Table1[Leaving Date]&gt;42094,Table1[Leaving Date]&lt;42461),IF(Table1[Date of Last Assessment]="",Table1[Self-Care and Living Skills],Table1[Self-Care and Living Skills2]),"")))</f>
        <v/>
      </c>
      <c r="FM457" s="44" t="str">
        <f>IF(Table1[Leaving Date]="","",IF(Table1[Date of Initial Assessment]="","",IF(AND(Table1[Leaving Date]&gt;42094,Table1[Leaving Date]&lt;42461),IF(Table1[Date of Last Assessment]="",Table1[Managing Money and Personal Administration],Table1[Managing Money and Personal Administration2]),"")))</f>
        <v/>
      </c>
      <c r="FN457" s="44" t="str">
        <f>IF(Table1[Leaving Date]="","",IF(Table1[Date of Initial Assessment]="","",IF(AND(Table1[Leaving Date]&gt;42094,Table1[Leaving Date]&lt;42461),IF(Table1[Date of Last Assessment]="",Table1[Social Networks and Relationships],Table1[Social Networks and Relationships2]),"")))</f>
        <v/>
      </c>
      <c r="FO457" s="44" t="str">
        <f>IF(Table1[Leaving Date]="","",IF(Table1[Date of Initial Assessment]="","",IF(AND(Table1[Leaving Date]&gt;42094,Table1[Leaving Date]&lt;42461),IF(Table1[Date of Last Assessment]="",Table1[Drug and Alcohol Misuse],Table1[Drug and Alcohol Misuse2]),"")))</f>
        <v/>
      </c>
      <c r="FP457" s="44" t="str">
        <f>IF(Table1[Leaving Date]="","",IF(Table1[Date of Initial Assessment]="","",IF(AND(Table1[Leaving Date]&gt;42094,Table1[Leaving Date]&lt;42461),IF(Table1[Date of Last Assessment]="",Table1[Physical Health],Table1[Physical Health2]),"")))</f>
        <v/>
      </c>
      <c r="FQ457" s="44" t="str">
        <f>IF(Table1[Leaving Date]="","",IF(Table1[Date of Initial Assessment]="","",IF(AND(Table1[Leaving Date]&gt;42094,Table1[Leaving Date]&lt;42461),IF(Table1[Date of Last Assessment]="",Table1[Emotional and Mental Health],Table1[Emotional and Mental Health2]),"")))</f>
        <v/>
      </c>
      <c r="FR457" s="44" t="str">
        <f>IF(Table1[Leaving Date]="","",IF(Table1[Date of Initial Assessment]="","",IF(AND(Table1[Leaving Date]&gt;42094,Table1[Leaving Date]&lt;42461),IF(Table1[Date of Last Assessment]="",Table1[Meaningful Use of Time],Table1[Meaningful Use of Time2]),"")))</f>
        <v/>
      </c>
      <c r="FS457" s="44" t="str">
        <f>IF(Table1[Leaving Date]="","",IF(Table1[Date of Initial Assessment]="","",IF(AND(Table1[Leaving Date]&gt;42094,Table1[Leaving Date]&lt;42461),IF(Table1[Date of Last Assessment]="",Table1[Managing Tenancy and Accommodation],Table1[Managing Tenancy and Accommodation2]),"")))</f>
        <v/>
      </c>
      <c r="FT457" s="44" t="str">
        <f>IF(Table1[Leaving Date]="","",IF(Table1[Date of Initial Assessment]="","",IF(AND(Table1[Leaving Date]&gt;42094,Table1[Leaving Date]&lt;42461),IF(Table1[Date of Last Assessment]="",Table1[Offending],Table1[Offending2]),"")))</f>
        <v/>
      </c>
      <c r="FU457" s="44" t="str">
        <f>IF(Table1[Date of Initial Assessment]="","",IF(AND(Table1[Start Date]&gt;42460,Table1[Start Date]&lt;42826),Table1[Motivation and Taking Responsibility],""))</f>
        <v/>
      </c>
      <c r="FV457" s="44" t="str">
        <f>IF(Table1[Date of Initial Assessment]="","",IF(AND(Table1[Start Date]&gt;42460,Table1[Start Date]&lt;42826),Table1[Self-Care and Living Skills],""))</f>
        <v/>
      </c>
      <c r="FW457" s="44" t="str">
        <f>IF(Table1[Date of Initial Assessment]="","",IF(AND(Table1[Start Date]&gt;42460,Table1[Start Date]&lt;42826),Table1[Managing Money and Personal Administration],""))</f>
        <v/>
      </c>
      <c r="FX457" s="44" t="str">
        <f>IF(Table1[Date of Initial Assessment]="","",IF(AND(Table1[Start Date]&gt;42460,Table1[Start Date]&lt;42826),Table1[Social Networks and Relationships],""))</f>
        <v/>
      </c>
      <c r="FY457" s="44" t="str">
        <f>IF(Table1[Date of Initial Assessment]="","",IF(AND(Table1[Start Date]&gt;42460,Table1[Start Date]&lt;42826),Table1[Drug and Alcohol Misuse],""))</f>
        <v/>
      </c>
      <c r="FZ457" s="44" t="str">
        <f>IF(Table1[Date of Initial Assessment]="","",IF(AND(Table1[Start Date]&gt;42460,Table1[Start Date]&lt;42826),Table1[Physical Health],""))</f>
        <v/>
      </c>
      <c r="GA457" s="44" t="str">
        <f>IF(Table1[Date of Initial Assessment]="","",IF(AND(Table1[Start Date]&gt;42460,Table1[Start Date]&lt;42826),Table1[Emotional and Mental Health],""))</f>
        <v/>
      </c>
      <c r="GB457" s="44" t="str">
        <f>IF(Table1[Date of Initial Assessment]="","",IF(AND(Table1[Start Date]&gt;42460,Table1[Start Date]&lt;42826),Table1[Meaningful Use of Time],""))</f>
        <v/>
      </c>
      <c r="GC457" s="44" t="str">
        <f>IF(Table1[Date of Initial Assessment]="","",IF(AND(Table1[Start Date]&gt;42460,Table1[Start Date]&lt;42826),Table1[Managing Tenancy and Accommodation],""))</f>
        <v/>
      </c>
      <c r="GD457" s="44" t="str">
        <f>IF(Table1[Date of Initial Assessment]="","",IF(AND(Table1[Start Date]&gt;42460,Table1[Start Date]&lt;42826),Table1[Offending],""))</f>
        <v/>
      </c>
      <c r="GE457" s="44" t="str">
        <f>IF(Table1[Leaving Date]="","",IF(AND(Table1[Leaving Date]&gt;42460,Table1[Leaving Date]&lt;42826),IF(Table1[Date of Last Assessment]="",Table1[Motivation and Taking Responsibility],Table1[Motivation and Taking Responsibility2]),""))</f>
        <v/>
      </c>
      <c r="GF457" s="44" t="str">
        <f>IF(Table1[Leaving Date]="","",IF(AND(Table1[Leaving Date]&gt;42460,Table1[Leaving Date]&lt;42826),IF(Table1[Date of Last Assessment]="",Table1[Self-Care and Living Skills],Table1[Self-Care and Living Skills2]),""))</f>
        <v/>
      </c>
      <c r="GG457" s="44" t="str">
        <f>IF(Table1[Leaving Date]="","",IF(AND(Table1[Leaving Date]&gt;42460,Table1[Leaving Date]&lt;42826),IF(Table1[Date of Last Assessment]="",Table1[Managing Money and Personal Administration],Table1[Managing Money and Personal Administration2]),""))</f>
        <v/>
      </c>
      <c r="GH457" s="44" t="str">
        <f>IF(Table1[Leaving Date]="","",IF(AND(Table1[Leaving Date]&gt;42460,Table1[Leaving Date]&lt;42826),IF(Table1[Date of Last Assessment]="",Table1[Social Networks and Relationships],Table1[Social Networks and Relationships2]),""))</f>
        <v/>
      </c>
      <c r="GI457" s="44" t="str">
        <f>IF(Table1[Leaving Date]="","",IF(AND(Table1[Leaving Date]&gt;42460,Table1[Leaving Date]&lt;42826),IF(Table1[Date of Last Assessment]="",Table1[Drug and Alcohol Misuse],Table1[Drug and Alcohol Misuse2]),""))</f>
        <v/>
      </c>
      <c r="GJ457" s="44" t="str">
        <f>IF(Table1[Leaving Date]="","",IF(AND(Table1[Leaving Date]&gt;42460,Table1[Leaving Date]&lt;42826),IF(Table1[Date of Last Assessment]="",Table1[Physical Health],Table1[Physical Health2]),""))</f>
        <v/>
      </c>
      <c r="GK457" s="44" t="str">
        <f>IF(Table1[Leaving Date]="","",IF(AND(Table1[Leaving Date]&gt;42460,Table1[Leaving Date]&lt;42826),IF(Table1[Date of Last Assessment]="",Table1[Emotional and Mental Health],Table1[Emotional and Mental Health2]),""))</f>
        <v/>
      </c>
      <c r="GL457" s="44" t="str">
        <f>IF(Table1[Leaving Date]="","",IF(AND(Table1[Leaving Date]&gt;42460,Table1[Leaving Date]&lt;42826),IF(Table1[Date of Last Assessment]="",Table1[Meaningful Use of Time],Table1[Meaningful Use of Time2]),""))</f>
        <v/>
      </c>
      <c r="GM457" s="44" t="str">
        <f>IF(Table1[Leaving Date]="","",IF(AND(Table1[Leaving Date]&gt;42460,Table1[Leaving Date]&lt;42826),IF(Table1[Date of Last Assessment]="",Table1[Managing Tenancy and Accommodation],Table1[Managing Tenancy and Accommodation2]),""))</f>
        <v/>
      </c>
      <c r="GN457" s="44" t="str">
        <f>IF(Table1[Leaving Date]="","",IF(AND(Table1[Leaving Date]&gt;42460,Table1[Leaving Date]&lt;42826),IF(Table1[Date of Last Assessment]="",Table1[Offending],Table1[Offending2]),""))</f>
        <v/>
      </c>
    </row>
    <row r="458" spans="2:196" ht="20.100000000000001" customHeight="1" x14ac:dyDescent="0.2">
      <c r="B458" s="86">
        <f>+'Service Data'!$C$5:$C$5</f>
        <v>0</v>
      </c>
      <c r="C458" s="86"/>
      <c r="D458" s="86"/>
      <c r="E458" s="86"/>
      <c r="F458" s="86"/>
      <c r="G458" s="86"/>
      <c r="H458" s="6"/>
      <c r="I458" s="99" t="str">
        <f ca="1">IF(Table1[[#This Row],[Date of Birth]]="","",SUM(TODAY()-Table1[[#This Row],[Date of Birth]])/365)</f>
        <v/>
      </c>
      <c r="L458" s="86"/>
      <c r="M458" s="77"/>
      <c r="N458" s="86"/>
      <c r="O458" s="86"/>
      <c r="P458" s="91"/>
      <c r="Q458" s="86"/>
      <c r="R458" s="77"/>
      <c r="S458" s="77"/>
      <c r="T458" s="68"/>
      <c r="U458" s="68"/>
      <c r="V458" s="67"/>
      <c r="W458" s="67"/>
      <c r="X458" s="67"/>
      <c r="Y458" s="67"/>
      <c r="Z458" s="67"/>
      <c r="AA458" s="67"/>
      <c r="AB458" s="67"/>
      <c r="AC458" s="67"/>
      <c r="AD458" s="67"/>
      <c r="AE458" s="67"/>
      <c r="AF458" s="67"/>
      <c r="AG458" s="67"/>
      <c r="AH458" s="67"/>
      <c r="AI458" s="67"/>
      <c r="AJ458" s="67"/>
      <c r="AK458" s="67"/>
      <c r="AL458" s="67"/>
      <c r="AM458" s="67"/>
      <c r="AN458" s="77"/>
      <c r="AO458" s="76"/>
      <c r="AP458" s="77"/>
      <c r="AQ458" s="76"/>
      <c r="AR458" s="76"/>
      <c r="AS458" s="76"/>
      <c r="AT458" s="76"/>
      <c r="AU458" s="76"/>
      <c r="AV458" s="77"/>
      <c r="AW458" s="76"/>
      <c r="AX458" s="77"/>
      <c r="AY458" s="76"/>
      <c r="AZ458" s="76"/>
      <c r="BA458" s="76"/>
      <c r="BB458" s="76"/>
      <c r="BC458" s="76"/>
      <c r="BD458" s="77"/>
      <c r="BE458" s="76"/>
      <c r="BF458" s="77"/>
      <c r="BG458" s="76"/>
      <c r="BH458" s="76"/>
      <c r="BI458" s="76"/>
      <c r="BJ458" s="76"/>
      <c r="BK458" s="76"/>
      <c r="BL458" s="77"/>
      <c r="BM458" s="76"/>
      <c r="BN458" s="77"/>
      <c r="BO458" s="76"/>
      <c r="BP458" s="76"/>
      <c r="BQ458" s="76"/>
      <c r="BR458" s="76"/>
      <c r="BS458" s="76"/>
      <c r="BT458" s="77"/>
      <c r="BU458" s="76"/>
      <c r="BV458" s="77"/>
      <c r="BW458" s="76"/>
      <c r="BX458" s="76"/>
      <c r="BY458" s="76"/>
      <c r="BZ458" s="76"/>
      <c r="CA458" s="76"/>
      <c r="CB458" s="77"/>
      <c r="CC458" s="76"/>
      <c r="CD458" s="77"/>
      <c r="CE458" s="76"/>
      <c r="CF458" s="76"/>
      <c r="CG458" s="76"/>
      <c r="CH458" s="76"/>
      <c r="CI458" s="76"/>
      <c r="CJ458" s="77"/>
      <c r="CK458" s="76"/>
      <c r="CL458" s="77"/>
      <c r="CM458" s="76"/>
      <c r="CN458" s="76"/>
      <c r="CO458" s="76"/>
      <c r="CP458" s="76"/>
      <c r="CQ458" s="76"/>
      <c r="CR458" s="78" t="str">
        <f t="shared" si="127"/>
        <v/>
      </c>
      <c r="CS458" s="79" t="str">
        <f t="shared" si="128"/>
        <v/>
      </c>
      <c r="CT458" s="79" t="str">
        <f t="shared" si="129"/>
        <v/>
      </c>
      <c r="CU458" s="79" t="str">
        <f t="shared" si="130"/>
        <v/>
      </c>
      <c r="CV458" s="79" t="str">
        <f t="shared" si="131"/>
        <v/>
      </c>
      <c r="CW458" s="79" t="str">
        <f t="shared" si="132"/>
        <v/>
      </c>
      <c r="CX458" s="79" t="str">
        <f t="shared" si="133"/>
        <v/>
      </c>
      <c r="CY458" s="79" t="str">
        <f t="shared" si="134"/>
        <v/>
      </c>
      <c r="CZ458" s="79" t="str">
        <f t="shared" si="135"/>
        <v/>
      </c>
      <c r="DA458" s="79" t="str">
        <f t="shared" si="136"/>
        <v/>
      </c>
      <c r="DB458" s="79" t="str">
        <f t="shared" si="137"/>
        <v/>
      </c>
      <c r="DC458" s="79" t="str">
        <f t="shared" si="138"/>
        <v/>
      </c>
      <c r="DD458" s="79" t="str">
        <f t="shared" si="139"/>
        <v/>
      </c>
      <c r="DE458" s="79" t="str">
        <f t="shared" si="140"/>
        <v/>
      </c>
      <c r="DF458" s="79" t="str">
        <f t="shared" si="141"/>
        <v/>
      </c>
      <c r="DG458" s="79" t="str">
        <f t="shared" si="142"/>
        <v/>
      </c>
      <c r="DH458" s="76"/>
      <c r="DI458" s="78"/>
      <c r="DJ458" s="76"/>
      <c r="DK458" s="77"/>
      <c r="DL458" s="77"/>
      <c r="DM458" s="77"/>
      <c r="DN458" s="80"/>
      <c r="DO458" s="80"/>
      <c r="DP458" s="92" t="str">
        <f>IF(Table1[Start Date]="","",IF(Table1[Start Date]&gt;42185,"",IF(AND(Table1[Leaving Date]&gt;1,Table1[Leaving Date]&lt;42095),"",1)))</f>
        <v/>
      </c>
      <c r="DQ458" s="92" t="str">
        <f>IF(Table1[Start Date]="","",IF(Table1[Start Date]&gt;42277,"",IF(AND(Table1[Leaving Date]&gt;1,Table1[Leaving Date]&lt;42186),"",1)))</f>
        <v/>
      </c>
      <c r="DR458" s="92" t="str">
        <f>IF(Table1[Start Date]="","",IF(Table1[Start Date]&gt;42369,"",IF(AND(Table1[Leaving Date]&gt;1,Table1[Leaving Date]&lt;42278),"",1)))</f>
        <v/>
      </c>
      <c r="DS458" s="92" t="str">
        <f>IF(Table1[Start Date]="","",IF(Table1[Start Date]&gt;42460,"",IF(AND(Table1[Leaving Date]&gt;1,Table1[Leaving Date]&lt;42370),"",1)))</f>
        <v/>
      </c>
      <c r="DT458" s="92" t="str">
        <f>IF(Table1[Start Date]="","",IF(Table1[Start Date]&gt;42551,"",IF(AND(Table1[Leaving Date]&gt;1,Table1[Leaving Date]&lt;42461),"",1)))</f>
        <v/>
      </c>
      <c r="DU458" s="92" t="str">
        <f>IF(Table1[Start Date]="","",IF(Table1[Start Date]&gt;42643,"",IF(AND(Table1[Leaving Date]&gt;1,Table1[Leaving Date]&lt;42552),"",1)))</f>
        <v/>
      </c>
      <c r="DV458" s="92" t="str">
        <f>IF(Table1[Start Date]="","",IF(Table1[Start Date]&gt;42735,"",IF(AND(Table1[Leaving Date]&gt;1,Table1[Leaving Date]&lt;42644),"",1)))</f>
        <v/>
      </c>
      <c r="DW458" s="92" t="str">
        <f>IF(Table1[Start Date]="","",IF(Table1[Start Date]&gt;42825,"",IF(AND(Table1[Leaving Date]&gt;1,Table1[Leaving Date]&lt;42736),"",1)))</f>
        <v/>
      </c>
      <c r="DX458"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458" s="44" t="e">
        <f>VLOOKUP(Table1[Referral Source],Lists!$G$2:$H$20,2,FALSE)</f>
        <v>#N/A</v>
      </c>
      <c r="DZ458" s="93" t="e">
        <f>SUM(Table1[Data Referral Quarter]+Table1[Data Referral Source])</f>
        <v>#N/A</v>
      </c>
      <c r="EA458" s="44" t="b">
        <f>IF(Table1[Referral Decision]="Accepted",100,IF(Table1[Referral Decision]="Rejected by Provider",200,IF(Table1[Referral Decision]="Rejected by Applicant",300)))</f>
        <v>0</v>
      </c>
      <c r="EB458" s="44">
        <f>SUM(Table1[Data Referral Quarter]+Table1[Data Referral Decision])</f>
        <v>0</v>
      </c>
      <c r="EC458" s="44" t="b">
        <f>IF(Table1[Start Date]&gt;42735,8000,IF(Table1[Start Date]&gt;42643,7000,IF(Table1[Start Date]&gt;42551,6000,IF(Table1[Start Date]&gt;42460,5000,IF(Table1[Start Date]&gt;42369,4000,IF(Table1[Start Date]&gt;42277,3000,IF(Table1[Start Date]&gt;42185,2000,IF(Table1[Start Date]&gt;42094,1000))))))))</f>
        <v>0</v>
      </c>
      <c r="ED458" s="44" t="str">
        <f>IF(Table1[Start Date]="","",IF(Table1[Current Local Authority]="Swindon",1,"2"))</f>
        <v/>
      </c>
      <c r="EE458" s="44" t="e">
        <f>SUM(Table1[Data Start Date]+Table1[Data Local Authority])</f>
        <v>#VALUE!</v>
      </c>
      <c r="EF458" s="44">
        <f>IF(Table1[Registered with GP]="Yes",1,0)</f>
        <v>0</v>
      </c>
      <c r="EG458" s="44">
        <f>SUM(Table1[Data Start Date]+Table1[Data GP Start])</f>
        <v>0</v>
      </c>
      <c r="EH458" s="44" t="str">
        <f>IF(Table1[EET]="NEET",1,IF(Table1[EET]="Education",2,IF(Table1[EET]="Employment",2,IF(Table1[EET]="Training",2,IF(Table1[EET]="Retired",3,"")))))</f>
        <v/>
      </c>
      <c r="EI458" s="44" t="e">
        <f>Table1[Data Start Date]+Table1[Data EET Start]</f>
        <v>#VALUE!</v>
      </c>
      <c r="EJ458" s="44" t="b">
        <f>IF(Table1[Leaving Date]&gt;42735,8000,IF(Table1[Leaving Date]&gt;42643,7000,IF(Table1[Leaving Date]&gt;42551,6000,IF(Table1[Leaving Date]&gt;42460,5000,IF(Table1[Leaving Date]&gt;42369,4000,IF(Table1[Leaving Date]&gt;42277,3000,IF(Table1[Leaving Date]&gt;42185,2000,IF(Table1[Leaving Date]&gt;42094,1000))))))))</f>
        <v>0</v>
      </c>
      <c r="EK458" s="44" t="e">
        <f>VLOOKUP(Table1[Reason for Leaving],Lists!$T$2:$U$15,2,FALSE)</f>
        <v>#N/A</v>
      </c>
      <c r="EL458" s="44" t="e">
        <f>SUM(Table1[Data Leavers Date]+Table1[Data Move On])</f>
        <v>#N/A</v>
      </c>
      <c r="EM458" s="44" t="b">
        <f>IF(Table1[Registered with GP2]="Yes",1,IF(Table1[Registered with GP2]="No",0,IF(Table1[Registered with GP]="Yes",1,IF(Table1[Registered with GP]="No",0))))</f>
        <v>0</v>
      </c>
      <c r="EN458" s="44">
        <f>SUM(Table1[Data Leavers Date]+Table1[Data GP End])</f>
        <v>0</v>
      </c>
      <c r="EO458" s="44" t="str">
        <f>IF(Table1[EET2]="NEET",1,IF(Table1[EET2]="Employment",2,IF(Table1[EET2]="Education",2,IF(Table1[EET2]="Training",2,IF(Table1[EET2]="Retired",3,IF(Table1[EET]="NEET",1,IF(Table1[EET]="Employment",2,IF(Table1[EET]="Education",2,IF(Table1[EET]="Training",2,IF(Table1[EET]="Retired",3,""))))))))))</f>
        <v/>
      </c>
      <c r="EP458" s="44" t="e">
        <f>+Table1[[#This Row],[Data Leavers Date]]+Table1[[#This Row],[Data EET End]]</f>
        <v>#VALUE!</v>
      </c>
      <c r="EQ458" s="44">
        <f>IF(Table1[Exit Form Received]="Yes",1,0)</f>
        <v>0</v>
      </c>
      <c r="ER458" s="44">
        <f>+Table1[[#This Row],[Data Leavers Date]]+Table1[[#This Row],[Data Exit Forms]]</f>
        <v>0</v>
      </c>
      <c r="ES458" s="44" t="str">
        <f>IF(Table1[Data Leavers Date]=1000,SUM(Table1[Leaving Date]-Table1[Start Date]),"")</f>
        <v/>
      </c>
      <c r="ET458" s="44" t="str">
        <f>IF(Table1[Data Leavers Date]=2000,SUM(Table1[Leaving Date]-Table1[Start Date]),"")</f>
        <v/>
      </c>
      <c r="EU458" s="44" t="str">
        <f>IF(Table1[Data Leavers Date]=3000,SUM(Table1[Leaving Date]-Table1[Start Date]),"")</f>
        <v/>
      </c>
      <c r="EV458" s="44" t="str">
        <f>IF(Table1[Data Leavers Date]=4000,SUM(Table1[Leaving Date]-Table1[Start Date]),"")</f>
        <v/>
      </c>
      <c r="EW458" s="44" t="str">
        <f>IF(Table1[Data Leavers Date]=5000,SUM(Table1[Leaving Date]-Table1[Start Date]),"")</f>
        <v/>
      </c>
      <c r="EX458" s="44" t="str">
        <f>IF(Table1[Data Leavers Date]=6000,SUM(Table1[Leaving Date]-Table1[Start Date]),"")</f>
        <v/>
      </c>
      <c r="EY458" s="44" t="str">
        <f>IF(Table1[Data Leavers Date]=7000,SUM(Table1[Leaving Date]-Table1[Start Date]),"")</f>
        <v/>
      </c>
      <c r="EZ458" s="44" t="str">
        <f>IF(Table1[Data Leavers Date]=8000,SUM(Table1[Leaving Date]-Table1[Start Date]),"")</f>
        <v/>
      </c>
      <c r="FA458" s="44" t="str">
        <f>IF(Table1[Date of Initial Assessment]="","",IF(AND(Table1[Start Date]&gt;42094,Table1[Start Date]&lt;42461),Table1[Motivation and Taking Responsibility],""))</f>
        <v/>
      </c>
      <c r="FB458" s="44" t="str">
        <f>IF(Table1[Date of Initial Assessment]="","",IF(AND(Table1[Start Date]&gt;42094,Table1[Start Date]&lt;42461),Table1[Self-Care and Living Skills],""))</f>
        <v/>
      </c>
      <c r="FC458" s="44" t="str">
        <f>IF(Table1[Date of Initial Assessment]="","",IF(AND(Table1[Start Date]&gt;42094,Table1[Start Date]&lt;42461),Table1[Managing Money and Personal Administration],""))</f>
        <v/>
      </c>
      <c r="FD458" s="44" t="str">
        <f>IF(Table1[Date of Initial Assessment]="","",IF(AND(Table1[Start Date]&gt;42094,Table1[Start Date]&lt;42461),Table1[Social Networks and Relationships],""))</f>
        <v/>
      </c>
      <c r="FE458" s="44" t="str">
        <f>IF(Table1[Date of Initial Assessment]="","",IF(AND(Table1[Start Date]&gt;42094,Table1[Start Date]&lt;42461),Table1[Drug and Alcohol Misuse],""))</f>
        <v/>
      </c>
      <c r="FF458" s="44" t="str">
        <f>IF(Table1[Date of Initial Assessment]="","",IF(AND(Table1[Start Date]&gt;42094,Table1[Start Date]&lt;42461),Table1[Physical Health],""))</f>
        <v/>
      </c>
      <c r="FG458" s="44" t="str">
        <f>IF(Table1[Date of Initial Assessment]="","",IF(AND(Table1[Start Date]&gt;42094,Table1[Start Date]&lt;42461),Table1[Emotional and Mental Health],""))</f>
        <v/>
      </c>
      <c r="FH458" s="44" t="str">
        <f>IF(Table1[Date of Initial Assessment]="","",IF(AND(Table1[Start Date]&gt;42094,Table1[Start Date]&lt;42461),Table1[Meaningful Use of Time],""))</f>
        <v/>
      </c>
      <c r="FI458" s="44" t="str">
        <f>IF(Table1[Date of Initial Assessment]="","",IF(AND(Table1[Start Date]&gt;42094,Table1[Start Date]&lt;42461),Table1[Managing Tenancy and Accommodation],""))</f>
        <v/>
      </c>
      <c r="FJ458" s="44" t="str">
        <f>IF(Table1[Date of Initial Assessment]="","",IF(AND(Table1[Start Date]&gt;42094,Table1[Start Date]&lt;42461),Table1[Offending],""))</f>
        <v/>
      </c>
      <c r="FK458" s="44" t="str">
        <f>IF(Table1[Leaving Date]="","",IF(Table1[Date of Initial Assessment]="","",IF(AND(Table1[Leaving Date]&gt;42094,Table1[Leaving Date]&lt;42461),IF(Table1[Date of Last Assessment]="",Table1[Motivation and Taking Responsibility],Table1[Motivation and Taking Responsibility2]),"")))</f>
        <v/>
      </c>
      <c r="FL458" s="44" t="str">
        <f>IF(Table1[Leaving Date]="","",IF(Table1[Date of Initial Assessment]="","",IF(AND(Table1[Leaving Date]&gt;42094,Table1[Leaving Date]&lt;42461),IF(Table1[Date of Last Assessment]="",Table1[Self-Care and Living Skills],Table1[Self-Care and Living Skills2]),"")))</f>
        <v/>
      </c>
      <c r="FM458" s="44" t="str">
        <f>IF(Table1[Leaving Date]="","",IF(Table1[Date of Initial Assessment]="","",IF(AND(Table1[Leaving Date]&gt;42094,Table1[Leaving Date]&lt;42461),IF(Table1[Date of Last Assessment]="",Table1[Managing Money and Personal Administration],Table1[Managing Money and Personal Administration2]),"")))</f>
        <v/>
      </c>
      <c r="FN458" s="44" t="str">
        <f>IF(Table1[Leaving Date]="","",IF(Table1[Date of Initial Assessment]="","",IF(AND(Table1[Leaving Date]&gt;42094,Table1[Leaving Date]&lt;42461),IF(Table1[Date of Last Assessment]="",Table1[Social Networks and Relationships],Table1[Social Networks and Relationships2]),"")))</f>
        <v/>
      </c>
      <c r="FO458" s="44" t="str">
        <f>IF(Table1[Leaving Date]="","",IF(Table1[Date of Initial Assessment]="","",IF(AND(Table1[Leaving Date]&gt;42094,Table1[Leaving Date]&lt;42461),IF(Table1[Date of Last Assessment]="",Table1[Drug and Alcohol Misuse],Table1[Drug and Alcohol Misuse2]),"")))</f>
        <v/>
      </c>
      <c r="FP458" s="44" t="str">
        <f>IF(Table1[Leaving Date]="","",IF(Table1[Date of Initial Assessment]="","",IF(AND(Table1[Leaving Date]&gt;42094,Table1[Leaving Date]&lt;42461),IF(Table1[Date of Last Assessment]="",Table1[Physical Health],Table1[Physical Health2]),"")))</f>
        <v/>
      </c>
      <c r="FQ458" s="44" t="str">
        <f>IF(Table1[Leaving Date]="","",IF(Table1[Date of Initial Assessment]="","",IF(AND(Table1[Leaving Date]&gt;42094,Table1[Leaving Date]&lt;42461),IF(Table1[Date of Last Assessment]="",Table1[Emotional and Mental Health],Table1[Emotional and Mental Health2]),"")))</f>
        <v/>
      </c>
      <c r="FR458" s="44" t="str">
        <f>IF(Table1[Leaving Date]="","",IF(Table1[Date of Initial Assessment]="","",IF(AND(Table1[Leaving Date]&gt;42094,Table1[Leaving Date]&lt;42461),IF(Table1[Date of Last Assessment]="",Table1[Meaningful Use of Time],Table1[Meaningful Use of Time2]),"")))</f>
        <v/>
      </c>
      <c r="FS458" s="44" t="str">
        <f>IF(Table1[Leaving Date]="","",IF(Table1[Date of Initial Assessment]="","",IF(AND(Table1[Leaving Date]&gt;42094,Table1[Leaving Date]&lt;42461),IF(Table1[Date of Last Assessment]="",Table1[Managing Tenancy and Accommodation],Table1[Managing Tenancy and Accommodation2]),"")))</f>
        <v/>
      </c>
      <c r="FT458" s="44" t="str">
        <f>IF(Table1[Leaving Date]="","",IF(Table1[Date of Initial Assessment]="","",IF(AND(Table1[Leaving Date]&gt;42094,Table1[Leaving Date]&lt;42461),IF(Table1[Date of Last Assessment]="",Table1[Offending],Table1[Offending2]),"")))</f>
        <v/>
      </c>
      <c r="FU458" s="44" t="str">
        <f>IF(Table1[Date of Initial Assessment]="","",IF(AND(Table1[Start Date]&gt;42460,Table1[Start Date]&lt;42826),Table1[Motivation and Taking Responsibility],""))</f>
        <v/>
      </c>
      <c r="FV458" s="44" t="str">
        <f>IF(Table1[Date of Initial Assessment]="","",IF(AND(Table1[Start Date]&gt;42460,Table1[Start Date]&lt;42826),Table1[Self-Care and Living Skills],""))</f>
        <v/>
      </c>
      <c r="FW458" s="44" t="str">
        <f>IF(Table1[Date of Initial Assessment]="","",IF(AND(Table1[Start Date]&gt;42460,Table1[Start Date]&lt;42826),Table1[Managing Money and Personal Administration],""))</f>
        <v/>
      </c>
      <c r="FX458" s="44" t="str">
        <f>IF(Table1[Date of Initial Assessment]="","",IF(AND(Table1[Start Date]&gt;42460,Table1[Start Date]&lt;42826),Table1[Social Networks and Relationships],""))</f>
        <v/>
      </c>
      <c r="FY458" s="44" t="str">
        <f>IF(Table1[Date of Initial Assessment]="","",IF(AND(Table1[Start Date]&gt;42460,Table1[Start Date]&lt;42826),Table1[Drug and Alcohol Misuse],""))</f>
        <v/>
      </c>
      <c r="FZ458" s="44" t="str">
        <f>IF(Table1[Date of Initial Assessment]="","",IF(AND(Table1[Start Date]&gt;42460,Table1[Start Date]&lt;42826),Table1[Physical Health],""))</f>
        <v/>
      </c>
      <c r="GA458" s="44" t="str">
        <f>IF(Table1[Date of Initial Assessment]="","",IF(AND(Table1[Start Date]&gt;42460,Table1[Start Date]&lt;42826),Table1[Emotional and Mental Health],""))</f>
        <v/>
      </c>
      <c r="GB458" s="44" t="str">
        <f>IF(Table1[Date of Initial Assessment]="","",IF(AND(Table1[Start Date]&gt;42460,Table1[Start Date]&lt;42826),Table1[Meaningful Use of Time],""))</f>
        <v/>
      </c>
      <c r="GC458" s="44" t="str">
        <f>IF(Table1[Date of Initial Assessment]="","",IF(AND(Table1[Start Date]&gt;42460,Table1[Start Date]&lt;42826),Table1[Managing Tenancy and Accommodation],""))</f>
        <v/>
      </c>
      <c r="GD458" s="44" t="str">
        <f>IF(Table1[Date of Initial Assessment]="","",IF(AND(Table1[Start Date]&gt;42460,Table1[Start Date]&lt;42826),Table1[Offending],""))</f>
        <v/>
      </c>
      <c r="GE458" s="44" t="str">
        <f>IF(Table1[Leaving Date]="","",IF(AND(Table1[Leaving Date]&gt;42460,Table1[Leaving Date]&lt;42826),IF(Table1[Date of Last Assessment]="",Table1[Motivation and Taking Responsibility],Table1[Motivation and Taking Responsibility2]),""))</f>
        <v/>
      </c>
      <c r="GF458" s="44" t="str">
        <f>IF(Table1[Leaving Date]="","",IF(AND(Table1[Leaving Date]&gt;42460,Table1[Leaving Date]&lt;42826),IF(Table1[Date of Last Assessment]="",Table1[Self-Care and Living Skills],Table1[Self-Care and Living Skills2]),""))</f>
        <v/>
      </c>
      <c r="GG458" s="44" t="str">
        <f>IF(Table1[Leaving Date]="","",IF(AND(Table1[Leaving Date]&gt;42460,Table1[Leaving Date]&lt;42826),IF(Table1[Date of Last Assessment]="",Table1[Managing Money and Personal Administration],Table1[Managing Money and Personal Administration2]),""))</f>
        <v/>
      </c>
      <c r="GH458" s="44" t="str">
        <f>IF(Table1[Leaving Date]="","",IF(AND(Table1[Leaving Date]&gt;42460,Table1[Leaving Date]&lt;42826),IF(Table1[Date of Last Assessment]="",Table1[Social Networks and Relationships],Table1[Social Networks and Relationships2]),""))</f>
        <v/>
      </c>
      <c r="GI458" s="44" t="str">
        <f>IF(Table1[Leaving Date]="","",IF(AND(Table1[Leaving Date]&gt;42460,Table1[Leaving Date]&lt;42826),IF(Table1[Date of Last Assessment]="",Table1[Drug and Alcohol Misuse],Table1[Drug and Alcohol Misuse2]),""))</f>
        <v/>
      </c>
      <c r="GJ458" s="44" t="str">
        <f>IF(Table1[Leaving Date]="","",IF(AND(Table1[Leaving Date]&gt;42460,Table1[Leaving Date]&lt;42826),IF(Table1[Date of Last Assessment]="",Table1[Physical Health],Table1[Physical Health2]),""))</f>
        <v/>
      </c>
      <c r="GK458" s="44" t="str">
        <f>IF(Table1[Leaving Date]="","",IF(AND(Table1[Leaving Date]&gt;42460,Table1[Leaving Date]&lt;42826),IF(Table1[Date of Last Assessment]="",Table1[Emotional and Mental Health],Table1[Emotional and Mental Health2]),""))</f>
        <v/>
      </c>
      <c r="GL458" s="44" t="str">
        <f>IF(Table1[Leaving Date]="","",IF(AND(Table1[Leaving Date]&gt;42460,Table1[Leaving Date]&lt;42826),IF(Table1[Date of Last Assessment]="",Table1[Meaningful Use of Time],Table1[Meaningful Use of Time2]),""))</f>
        <v/>
      </c>
      <c r="GM458" s="44" t="str">
        <f>IF(Table1[Leaving Date]="","",IF(AND(Table1[Leaving Date]&gt;42460,Table1[Leaving Date]&lt;42826),IF(Table1[Date of Last Assessment]="",Table1[Managing Tenancy and Accommodation],Table1[Managing Tenancy and Accommodation2]),""))</f>
        <v/>
      </c>
      <c r="GN458" s="44" t="str">
        <f>IF(Table1[Leaving Date]="","",IF(AND(Table1[Leaving Date]&gt;42460,Table1[Leaving Date]&lt;42826),IF(Table1[Date of Last Assessment]="",Table1[Offending],Table1[Offending2]),""))</f>
        <v/>
      </c>
    </row>
    <row r="459" spans="2:196" ht="20.100000000000001" customHeight="1" x14ac:dyDescent="0.2">
      <c r="B459" s="86">
        <f>+'Service Data'!$C$5:$C$5</f>
        <v>0</v>
      </c>
      <c r="C459" s="86"/>
      <c r="D459" s="86"/>
      <c r="E459" s="86"/>
      <c r="F459" s="86"/>
      <c r="G459" s="86"/>
      <c r="H459" s="6"/>
      <c r="I459" s="99" t="str">
        <f ca="1">IF(Table1[[#This Row],[Date of Birth]]="","",SUM(TODAY()-Table1[[#This Row],[Date of Birth]])/365)</f>
        <v/>
      </c>
      <c r="L459" s="86"/>
      <c r="M459" s="77"/>
      <c r="N459" s="86"/>
      <c r="O459" s="86"/>
      <c r="P459" s="91"/>
      <c r="Q459" s="86"/>
      <c r="R459" s="77"/>
      <c r="S459" s="77"/>
      <c r="T459" s="68"/>
      <c r="U459" s="68"/>
      <c r="V459" s="67"/>
      <c r="W459" s="67"/>
      <c r="X459" s="67"/>
      <c r="Y459" s="67"/>
      <c r="Z459" s="67"/>
      <c r="AA459" s="67"/>
      <c r="AB459" s="67"/>
      <c r="AC459" s="67"/>
      <c r="AD459" s="67"/>
      <c r="AE459" s="67"/>
      <c r="AF459" s="67"/>
      <c r="AG459" s="67"/>
      <c r="AH459" s="67"/>
      <c r="AI459" s="67"/>
      <c r="AJ459" s="67"/>
      <c r="AK459" s="67"/>
      <c r="AL459" s="67"/>
      <c r="AM459" s="67"/>
      <c r="AN459" s="77"/>
      <c r="AO459" s="76"/>
      <c r="AP459" s="77"/>
      <c r="AQ459" s="76"/>
      <c r="AR459" s="76"/>
      <c r="AS459" s="76"/>
      <c r="AT459" s="76"/>
      <c r="AU459" s="76"/>
      <c r="AV459" s="77"/>
      <c r="AW459" s="76"/>
      <c r="AX459" s="77"/>
      <c r="AY459" s="76"/>
      <c r="AZ459" s="76"/>
      <c r="BA459" s="76"/>
      <c r="BB459" s="76"/>
      <c r="BC459" s="76"/>
      <c r="BD459" s="77"/>
      <c r="BE459" s="76"/>
      <c r="BF459" s="77"/>
      <c r="BG459" s="76"/>
      <c r="BH459" s="76"/>
      <c r="BI459" s="76"/>
      <c r="BJ459" s="76"/>
      <c r="BK459" s="76"/>
      <c r="BL459" s="77"/>
      <c r="BM459" s="76"/>
      <c r="BN459" s="77"/>
      <c r="BO459" s="76"/>
      <c r="BP459" s="76"/>
      <c r="BQ459" s="76"/>
      <c r="BR459" s="76"/>
      <c r="BS459" s="76"/>
      <c r="BT459" s="77"/>
      <c r="BU459" s="76"/>
      <c r="BV459" s="77"/>
      <c r="BW459" s="76"/>
      <c r="BX459" s="76"/>
      <c r="BY459" s="76"/>
      <c r="BZ459" s="76"/>
      <c r="CA459" s="76"/>
      <c r="CB459" s="77"/>
      <c r="CC459" s="76"/>
      <c r="CD459" s="77"/>
      <c r="CE459" s="76"/>
      <c r="CF459" s="76"/>
      <c r="CG459" s="76"/>
      <c r="CH459" s="76"/>
      <c r="CI459" s="76"/>
      <c r="CJ459" s="77"/>
      <c r="CK459" s="76"/>
      <c r="CL459" s="77"/>
      <c r="CM459" s="76"/>
      <c r="CN459" s="76"/>
      <c r="CO459" s="76"/>
      <c r="CP459" s="76"/>
      <c r="CQ459" s="76"/>
      <c r="CR459" s="78" t="str">
        <f t="shared" si="127"/>
        <v/>
      </c>
      <c r="CS459" s="79" t="str">
        <f t="shared" si="128"/>
        <v/>
      </c>
      <c r="CT459" s="79" t="str">
        <f t="shared" si="129"/>
        <v/>
      </c>
      <c r="CU459" s="79" t="str">
        <f t="shared" si="130"/>
        <v/>
      </c>
      <c r="CV459" s="79" t="str">
        <f t="shared" si="131"/>
        <v/>
      </c>
      <c r="CW459" s="79" t="str">
        <f t="shared" si="132"/>
        <v/>
      </c>
      <c r="CX459" s="79" t="str">
        <f t="shared" si="133"/>
        <v/>
      </c>
      <c r="CY459" s="79" t="str">
        <f t="shared" si="134"/>
        <v/>
      </c>
      <c r="CZ459" s="79" t="str">
        <f t="shared" si="135"/>
        <v/>
      </c>
      <c r="DA459" s="79" t="str">
        <f t="shared" si="136"/>
        <v/>
      </c>
      <c r="DB459" s="79" t="str">
        <f t="shared" si="137"/>
        <v/>
      </c>
      <c r="DC459" s="79" t="str">
        <f t="shared" si="138"/>
        <v/>
      </c>
      <c r="DD459" s="79" t="str">
        <f t="shared" si="139"/>
        <v/>
      </c>
      <c r="DE459" s="79" t="str">
        <f t="shared" si="140"/>
        <v/>
      </c>
      <c r="DF459" s="79" t="str">
        <f t="shared" si="141"/>
        <v/>
      </c>
      <c r="DG459" s="79" t="str">
        <f t="shared" si="142"/>
        <v/>
      </c>
      <c r="DH459" s="76"/>
      <c r="DI459" s="78"/>
      <c r="DJ459" s="76"/>
      <c r="DK459" s="77"/>
      <c r="DL459" s="77"/>
      <c r="DM459" s="77"/>
      <c r="DN459" s="80"/>
      <c r="DO459" s="80"/>
      <c r="DP459" s="92" t="str">
        <f>IF(Table1[Start Date]="","",IF(Table1[Start Date]&gt;42185,"",IF(AND(Table1[Leaving Date]&gt;1,Table1[Leaving Date]&lt;42095),"",1)))</f>
        <v/>
      </c>
      <c r="DQ459" s="92" t="str">
        <f>IF(Table1[Start Date]="","",IF(Table1[Start Date]&gt;42277,"",IF(AND(Table1[Leaving Date]&gt;1,Table1[Leaving Date]&lt;42186),"",1)))</f>
        <v/>
      </c>
      <c r="DR459" s="92" t="str">
        <f>IF(Table1[Start Date]="","",IF(Table1[Start Date]&gt;42369,"",IF(AND(Table1[Leaving Date]&gt;1,Table1[Leaving Date]&lt;42278),"",1)))</f>
        <v/>
      </c>
      <c r="DS459" s="92" t="str">
        <f>IF(Table1[Start Date]="","",IF(Table1[Start Date]&gt;42460,"",IF(AND(Table1[Leaving Date]&gt;1,Table1[Leaving Date]&lt;42370),"",1)))</f>
        <v/>
      </c>
      <c r="DT459" s="92" t="str">
        <f>IF(Table1[Start Date]="","",IF(Table1[Start Date]&gt;42551,"",IF(AND(Table1[Leaving Date]&gt;1,Table1[Leaving Date]&lt;42461),"",1)))</f>
        <v/>
      </c>
      <c r="DU459" s="92" t="str">
        <f>IF(Table1[Start Date]="","",IF(Table1[Start Date]&gt;42643,"",IF(AND(Table1[Leaving Date]&gt;1,Table1[Leaving Date]&lt;42552),"",1)))</f>
        <v/>
      </c>
      <c r="DV459" s="92" t="str">
        <f>IF(Table1[Start Date]="","",IF(Table1[Start Date]&gt;42735,"",IF(AND(Table1[Leaving Date]&gt;1,Table1[Leaving Date]&lt;42644),"",1)))</f>
        <v/>
      </c>
      <c r="DW459" s="92" t="str">
        <f>IF(Table1[Start Date]="","",IF(Table1[Start Date]&gt;42825,"",IF(AND(Table1[Leaving Date]&gt;1,Table1[Leaving Date]&lt;42736),"",1)))</f>
        <v/>
      </c>
      <c r="DX459"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459" s="44" t="e">
        <f>VLOOKUP(Table1[Referral Source],Lists!$G$2:$H$20,2,FALSE)</f>
        <v>#N/A</v>
      </c>
      <c r="DZ459" s="93" t="e">
        <f>SUM(Table1[Data Referral Quarter]+Table1[Data Referral Source])</f>
        <v>#N/A</v>
      </c>
      <c r="EA459" s="44" t="b">
        <f>IF(Table1[Referral Decision]="Accepted",100,IF(Table1[Referral Decision]="Rejected by Provider",200,IF(Table1[Referral Decision]="Rejected by Applicant",300)))</f>
        <v>0</v>
      </c>
      <c r="EB459" s="44">
        <f>SUM(Table1[Data Referral Quarter]+Table1[Data Referral Decision])</f>
        <v>0</v>
      </c>
      <c r="EC459" s="44" t="b">
        <f>IF(Table1[Start Date]&gt;42735,8000,IF(Table1[Start Date]&gt;42643,7000,IF(Table1[Start Date]&gt;42551,6000,IF(Table1[Start Date]&gt;42460,5000,IF(Table1[Start Date]&gt;42369,4000,IF(Table1[Start Date]&gt;42277,3000,IF(Table1[Start Date]&gt;42185,2000,IF(Table1[Start Date]&gt;42094,1000))))))))</f>
        <v>0</v>
      </c>
      <c r="ED459" s="44" t="str">
        <f>IF(Table1[Start Date]="","",IF(Table1[Current Local Authority]="Swindon",1,"2"))</f>
        <v/>
      </c>
      <c r="EE459" s="44" t="e">
        <f>SUM(Table1[Data Start Date]+Table1[Data Local Authority])</f>
        <v>#VALUE!</v>
      </c>
      <c r="EF459" s="44">
        <f>IF(Table1[Registered with GP]="Yes",1,0)</f>
        <v>0</v>
      </c>
      <c r="EG459" s="44">
        <f>SUM(Table1[Data Start Date]+Table1[Data GP Start])</f>
        <v>0</v>
      </c>
      <c r="EH459" s="44" t="str">
        <f>IF(Table1[EET]="NEET",1,IF(Table1[EET]="Education",2,IF(Table1[EET]="Employment",2,IF(Table1[EET]="Training",2,IF(Table1[EET]="Retired",3,"")))))</f>
        <v/>
      </c>
      <c r="EI459" s="44" t="e">
        <f>Table1[Data Start Date]+Table1[Data EET Start]</f>
        <v>#VALUE!</v>
      </c>
      <c r="EJ459" s="44" t="b">
        <f>IF(Table1[Leaving Date]&gt;42735,8000,IF(Table1[Leaving Date]&gt;42643,7000,IF(Table1[Leaving Date]&gt;42551,6000,IF(Table1[Leaving Date]&gt;42460,5000,IF(Table1[Leaving Date]&gt;42369,4000,IF(Table1[Leaving Date]&gt;42277,3000,IF(Table1[Leaving Date]&gt;42185,2000,IF(Table1[Leaving Date]&gt;42094,1000))))))))</f>
        <v>0</v>
      </c>
      <c r="EK459" s="44" t="e">
        <f>VLOOKUP(Table1[Reason for Leaving],Lists!$T$2:$U$15,2,FALSE)</f>
        <v>#N/A</v>
      </c>
      <c r="EL459" s="44" t="e">
        <f>SUM(Table1[Data Leavers Date]+Table1[Data Move On])</f>
        <v>#N/A</v>
      </c>
      <c r="EM459" s="44" t="b">
        <f>IF(Table1[Registered with GP2]="Yes",1,IF(Table1[Registered with GP2]="No",0,IF(Table1[Registered with GP]="Yes",1,IF(Table1[Registered with GP]="No",0))))</f>
        <v>0</v>
      </c>
      <c r="EN459" s="44">
        <f>SUM(Table1[Data Leavers Date]+Table1[Data GP End])</f>
        <v>0</v>
      </c>
      <c r="EO459" s="44" t="str">
        <f>IF(Table1[EET2]="NEET",1,IF(Table1[EET2]="Employment",2,IF(Table1[EET2]="Education",2,IF(Table1[EET2]="Training",2,IF(Table1[EET2]="Retired",3,IF(Table1[EET]="NEET",1,IF(Table1[EET]="Employment",2,IF(Table1[EET]="Education",2,IF(Table1[EET]="Training",2,IF(Table1[EET]="Retired",3,""))))))))))</f>
        <v/>
      </c>
      <c r="EP459" s="44" t="e">
        <f>+Table1[[#This Row],[Data Leavers Date]]+Table1[[#This Row],[Data EET End]]</f>
        <v>#VALUE!</v>
      </c>
      <c r="EQ459" s="44">
        <f>IF(Table1[Exit Form Received]="Yes",1,0)</f>
        <v>0</v>
      </c>
      <c r="ER459" s="44">
        <f>+Table1[[#This Row],[Data Leavers Date]]+Table1[[#This Row],[Data Exit Forms]]</f>
        <v>0</v>
      </c>
      <c r="ES459" s="44" t="str">
        <f>IF(Table1[Data Leavers Date]=1000,SUM(Table1[Leaving Date]-Table1[Start Date]),"")</f>
        <v/>
      </c>
      <c r="ET459" s="44" t="str">
        <f>IF(Table1[Data Leavers Date]=2000,SUM(Table1[Leaving Date]-Table1[Start Date]),"")</f>
        <v/>
      </c>
      <c r="EU459" s="44" t="str">
        <f>IF(Table1[Data Leavers Date]=3000,SUM(Table1[Leaving Date]-Table1[Start Date]),"")</f>
        <v/>
      </c>
      <c r="EV459" s="44" t="str">
        <f>IF(Table1[Data Leavers Date]=4000,SUM(Table1[Leaving Date]-Table1[Start Date]),"")</f>
        <v/>
      </c>
      <c r="EW459" s="44" t="str">
        <f>IF(Table1[Data Leavers Date]=5000,SUM(Table1[Leaving Date]-Table1[Start Date]),"")</f>
        <v/>
      </c>
      <c r="EX459" s="44" t="str">
        <f>IF(Table1[Data Leavers Date]=6000,SUM(Table1[Leaving Date]-Table1[Start Date]),"")</f>
        <v/>
      </c>
      <c r="EY459" s="44" t="str">
        <f>IF(Table1[Data Leavers Date]=7000,SUM(Table1[Leaving Date]-Table1[Start Date]),"")</f>
        <v/>
      </c>
      <c r="EZ459" s="44" t="str">
        <f>IF(Table1[Data Leavers Date]=8000,SUM(Table1[Leaving Date]-Table1[Start Date]),"")</f>
        <v/>
      </c>
      <c r="FA459" s="44" t="str">
        <f>IF(Table1[Date of Initial Assessment]="","",IF(AND(Table1[Start Date]&gt;42094,Table1[Start Date]&lt;42461),Table1[Motivation and Taking Responsibility],""))</f>
        <v/>
      </c>
      <c r="FB459" s="44" t="str">
        <f>IF(Table1[Date of Initial Assessment]="","",IF(AND(Table1[Start Date]&gt;42094,Table1[Start Date]&lt;42461),Table1[Self-Care and Living Skills],""))</f>
        <v/>
      </c>
      <c r="FC459" s="44" t="str">
        <f>IF(Table1[Date of Initial Assessment]="","",IF(AND(Table1[Start Date]&gt;42094,Table1[Start Date]&lt;42461),Table1[Managing Money and Personal Administration],""))</f>
        <v/>
      </c>
      <c r="FD459" s="44" t="str">
        <f>IF(Table1[Date of Initial Assessment]="","",IF(AND(Table1[Start Date]&gt;42094,Table1[Start Date]&lt;42461),Table1[Social Networks and Relationships],""))</f>
        <v/>
      </c>
      <c r="FE459" s="44" t="str">
        <f>IF(Table1[Date of Initial Assessment]="","",IF(AND(Table1[Start Date]&gt;42094,Table1[Start Date]&lt;42461),Table1[Drug and Alcohol Misuse],""))</f>
        <v/>
      </c>
      <c r="FF459" s="44" t="str">
        <f>IF(Table1[Date of Initial Assessment]="","",IF(AND(Table1[Start Date]&gt;42094,Table1[Start Date]&lt;42461),Table1[Physical Health],""))</f>
        <v/>
      </c>
      <c r="FG459" s="44" t="str">
        <f>IF(Table1[Date of Initial Assessment]="","",IF(AND(Table1[Start Date]&gt;42094,Table1[Start Date]&lt;42461),Table1[Emotional and Mental Health],""))</f>
        <v/>
      </c>
      <c r="FH459" s="44" t="str">
        <f>IF(Table1[Date of Initial Assessment]="","",IF(AND(Table1[Start Date]&gt;42094,Table1[Start Date]&lt;42461),Table1[Meaningful Use of Time],""))</f>
        <v/>
      </c>
      <c r="FI459" s="44" t="str">
        <f>IF(Table1[Date of Initial Assessment]="","",IF(AND(Table1[Start Date]&gt;42094,Table1[Start Date]&lt;42461),Table1[Managing Tenancy and Accommodation],""))</f>
        <v/>
      </c>
      <c r="FJ459" s="44" t="str">
        <f>IF(Table1[Date of Initial Assessment]="","",IF(AND(Table1[Start Date]&gt;42094,Table1[Start Date]&lt;42461),Table1[Offending],""))</f>
        <v/>
      </c>
      <c r="FK459" s="44" t="str">
        <f>IF(Table1[Leaving Date]="","",IF(Table1[Date of Initial Assessment]="","",IF(AND(Table1[Leaving Date]&gt;42094,Table1[Leaving Date]&lt;42461),IF(Table1[Date of Last Assessment]="",Table1[Motivation and Taking Responsibility],Table1[Motivation and Taking Responsibility2]),"")))</f>
        <v/>
      </c>
      <c r="FL459" s="44" t="str">
        <f>IF(Table1[Leaving Date]="","",IF(Table1[Date of Initial Assessment]="","",IF(AND(Table1[Leaving Date]&gt;42094,Table1[Leaving Date]&lt;42461),IF(Table1[Date of Last Assessment]="",Table1[Self-Care and Living Skills],Table1[Self-Care and Living Skills2]),"")))</f>
        <v/>
      </c>
      <c r="FM459" s="44" t="str">
        <f>IF(Table1[Leaving Date]="","",IF(Table1[Date of Initial Assessment]="","",IF(AND(Table1[Leaving Date]&gt;42094,Table1[Leaving Date]&lt;42461),IF(Table1[Date of Last Assessment]="",Table1[Managing Money and Personal Administration],Table1[Managing Money and Personal Administration2]),"")))</f>
        <v/>
      </c>
      <c r="FN459" s="44" t="str">
        <f>IF(Table1[Leaving Date]="","",IF(Table1[Date of Initial Assessment]="","",IF(AND(Table1[Leaving Date]&gt;42094,Table1[Leaving Date]&lt;42461),IF(Table1[Date of Last Assessment]="",Table1[Social Networks and Relationships],Table1[Social Networks and Relationships2]),"")))</f>
        <v/>
      </c>
      <c r="FO459" s="44" t="str">
        <f>IF(Table1[Leaving Date]="","",IF(Table1[Date of Initial Assessment]="","",IF(AND(Table1[Leaving Date]&gt;42094,Table1[Leaving Date]&lt;42461),IF(Table1[Date of Last Assessment]="",Table1[Drug and Alcohol Misuse],Table1[Drug and Alcohol Misuse2]),"")))</f>
        <v/>
      </c>
      <c r="FP459" s="44" t="str">
        <f>IF(Table1[Leaving Date]="","",IF(Table1[Date of Initial Assessment]="","",IF(AND(Table1[Leaving Date]&gt;42094,Table1[Leaving Date]&lt;42461),IF(Table1[Date of Last Assessment]="",Table1[Physical Health],Table1[Physical Health2]),"")))</f>
        <v/>
      </c>
      <c r="FQ459" s="44" t="str">
        <f>IF(Table1[Leaving Date]="","",IF(Table1[Date of Initial Assessment]="","",IF(AND(Table1[Leaving Date]&gt;42094,Table1[Leaving Date]&lt;42461),IF(Table1[Date of Last Assessment]="",Table1[Emotional and Mental Health],Table1[Emotional and Mental Health2]),"")))</f>
        <v/>
      </c>
      <c r="FR459" s="44" t="str">
        <f>IF(Table1[Leaving Date]="","",IF(Table1[Date of Initial Assessment]="","",IF(AND(Table1[Leaving Date]&gt;42094,Table1[Leaving Date]&lt;42461),IF(Table1[Date of Last Assessment]="",Table1[Meaningful Use of Time],Table1[Meaningful Use of Time2]),"")))</f>
        <v/>
      </c>
      <c r="FS459" s="44" t="str">
        <f>IF(Table1[Leaving Date]="","",IF(Table1[Date of Initial Assessment]="","",IF(AND(Table1[Leaving Date]&gt;42094,Table1[Leaving Date]&lt;42461),IF(Table1[Date of Last Assessment]="",Table1[Managing Tenancy and Accommodation],Table1[Managing Tenancy and Accommodation2]),"")))</f>
        <v/>
      </c>
      <c r="FT459" s="44" t="str">
        <f>IF(Table1[Leaving Date]="","",IF(Table1[Date of Initial Assessment]="","",IF(AND(Table1[Leaving Date]&gt;42094,Table1[Leaving Date]&lt;42461),IF(Table1[Date of Last Assessment]="",Table1[Offending],Table1[Offending2]),"")))</f>
        <v/>
      </c>
      <c r="FU459" s="44" t="str">
        <f>IF(Table1[Date of Initial Assessment]="","",IF(AND(Table1[Start Date]&gt;42460,Table1[Start Date]&lt;42826),Table1[Motivation and Taking Responsibility],""))</f>
        <v/>
      </c>
      <c r="FV459" s="44" t="str">
        <f>IF(Table1[Date of Initial Assessment]="","",IF(AND(Table1[Start Date]&gt;42460,Table1[Start Date]&lt;42826),Table1[Self-Care and Living Skills],""))</f>
        <v/>
      </c>
      <c r="FW459" s="44" t="str">
        <f>IF(Table1[Date of Initial Assessment]="","",IF(AND(Table1[Start Date]&gt;42460,Table1[Start Date]&lt;42826),Table1[Managing Money and Personal Administration],""))</f>
        <v/>
      </c>
      <c r="FX459" s="44" t="str">
        <f>IF(Table1[Date of Initial Assessment]="","",IF(AND(Table1[Start Date]&gt;42460,Table1[Start Date]&lt;42826),Table1[Social Networks and Relationships],""))</f>
        <v/>
      </c>
      <c r="FY459" s="44" t="str">
        <f>IF(Table1[Date of Initial Assessment]="","",IF(AND(Table1[Start Date]&gt;42460,Table1[Start Date]&lt;42826),Table1[Drug and Alcohol Misuse],""))</f>
        <v/>
      </c>
      <c r="FZ459" s="44" t="str">
        <f>IF(Table1[Date of Initial Assessment]="","",IF(AND(Table1[Start Date]&gt;42460,Table1[Start Date]&lt;42826),Table1[Physical Health],""))</f>
        <v/>
      </c>
      <c r="GA459" s="44" t="str">
        <f>IF(Table1[Date of Initial Assessment]="","",IF(AND(Table1[Start Date]&gt;42460,Table1[Start Date]&lt;42826),Table1[Emotional and Mental Health],""))</f>
        <v/>
      </c>
      <c r="GB459" s="44" t="str">
        <f>IF(Table1[Date of Initial Assessment]="","",IF(AND(Table1[Start Date]&gt;42460,Table1[Start Date]&lt;42826),Table1[Meaningful Use of Time],""))</f>
        <v/>
      </c>
      <c r="GC459" s="44" t="str">
        <f>IF(Table1[Date of Initial Assessment]="","",IF(AND(Table1[Start Date]&gt;42460,Table1[Start Date]&lt;42826),Table1[Managing Tenancy and Accommodation],""))</f>
        <v/>
      </c>
      <c r="GD459" s="44" t="str">
        <f>IF(Table1[Date of Initial Assessment]="","",IF(AND(Table1[Start Date]&gt;42460,Table1[Start Date]&lt;42826),Table1[Offending],""))</f>
        <v/>
      </c>
      <c r="GE459" s="44" t="str">
        <f>IF(Table1[Leaving Date]="","",IF(AND(Table1[Leaving Date]&gt;42460,Table1[Leaving Date]&lt;42826),IF(Table1[Date of Last Assessment]="",Table1[Motivation and Taking Responsibility],Table1[Motivation and Taking Responsibility2]),""))</f>
        <v/>
      </c>
      <c r="GF459" s="44" t="str">
        <f>IF(Table1[Leaving Date]="","",IF(AND(Table1[Leaving Date]&gt;42460,Table1[Leaving Date]&lt;42826),IF(Table1[Date of Last Assessment]="",Table1[Self-Care and Living Skills],Table1[Self-Care and Living Skills2]),""))</f>
        <v/>
      </c>
      <c r="GG459" s="44" t="str">
        <f>IF(Table1[Leaving Date]="","",IF(AND(Table1[Leaving Date]&gt;42460,Table1[Leaving Date]&lt;42826),IF(Table1[Date of Last Assessment]="",Table1[Managing Money and Personal Administration],Table1[Managing Money and Personal Administration2]),""))</f>
        <v/>
      </c>
      <c r="GH459" s="44" t="str">
        <f>IF(Table1[Leaving Date]="","",IF(AND(Table1[Leaving Date]&gt;42460,Table1[Leaving Date]&lt;42826),IF(Table1[Date of Last Assessment]="",Table1[Social Networks and Relationships],Table1[Social Networks and Relationships2]),""))</f>
        <v/>
      </c>
      <c r="GI459" s="44" t="str">
        <f>IF(Table1[Leaving Date]="","",IF(AND(Table1[Leaving Date]&gt;42460,Table1[Leaving Date]&lt;42826),IF(Table1[Date of Last Assessment]="",Table1[Drug and Alcohol Misuse],Table1[Drug and Alcohol Misuse2]),""))</f>
        <v/>
      </c>
      <c r="GJ459" s="44" t="str">
        <f>IF(Table1[Leaving Date]="","",IF(AND(Table1[Leaving Date]&gt;42460,Table1[Leaving Date]&lt;42826),IF(Table1[Date of Last Assessment]="",Table1[Physical Health],Table1[Physical Health2]),""))</f>
        <v/>
      </c>
      <c r="GK459" s="44" t="str">
        <f>IF(Table1[Leaving Date]="","",IF(AND(Table1[Leaving Date]&gt;42460,Table1[Leaving Date]&lt;42826),IF(Table1[Date of Last Assessment]="",Table1[Emotional and Mental Health],Table1[Emotional and Mental Health2]),""))</f>
        <v/>
      </c>
      <c r="GL459" s="44" t="str">
        <f>IF(Table1[Leaving Date]="","",IF(AND(Table1[Leaving Date]&gt;42460,Table1[Leaving Date]&lt;42826),IF(Table1[Date of Last Assessment]="",Table1[Meaningful Use of Time],Table1[Meaningful Use of Time2]),""))</f>
        <v/>
      </c>
      <c r="GM459" s="44" t="str">
        <f>IF(Table1[Leaving Date]="","",IF(AND(Table1[Leaving Date]&gt;42460,Table1[Leaving Date]&lt;42826),IF(Table1[Date of Last Assessment]="",Table1[Managing Tenancy and Accommodation],Table1[Managing Tenancy and Accommodation2]),""))</f>
        <v/>
      </c>
      <c r="GN459" s="44" t="str">
        <f>IF(Table1[Leaving Date]="","",IF(AND(Table1[Leaving Date]&gt;42460,Table1[Leaving Date]&lt;42826),IF(Table1[Date of Last Assessment]="",Table1[Offending],Table1[Offending2]),""))</f>
        <v/>
      </c>
    </row>
    <row r="460" spans="2:196" ht="20.100000000000001" customHeight="1" x14ac:dyDescent="0.2">
      <c r="B460" s="86">
        <f>+'Service Data'!$C$5:$C$5</f>
        <v>0</v>
      </c>
      <c r="C460" s="86"/>
      <c r="D460" s="86"/>
      <c r="E460" s="86"/>
      <c r="F460" s="86"/>
      <c r="G460" s="86"/>
      <c r="H460" s="6"/>
      <c r="I460" s="99" t="str">
        <f ca="1">IF(Table1[[#This Row],[Date of Birth]]="","",SUM(TODAY()-Table1[[#This Row],[Date of Birth]])/365)</f>
        <v/>
      </c>
      <c r="L460" s="86"/>
      <c r="M460" s="77"/>
      <c r="N460" s="86"/>
      <c r="O460" s="86"/>
      <c r="P460" s="91"/>
      <c r="Q460" s="86"/>
      <c r="R460" s="77"/>
      <c r="S460" s="77"/>
      <c r="T460" s="68"/>
      <c r="U460" s="68"/>
      <c r="V460" s="67"/>
      <c r="W460" s="67"/>
      <c r="X460" s="67"/>
      <c r="Y460" s="67"/>
      <c r="Z460" s="67"/>
      <c r="AA460" s="67"/>
      <c r="AB460" s="67"/>
      <c r="AC460" s="67"/>
      <c r="AD460" s="67"/>
      <c r="AE460" s="67"/>
      <c r="AF460" s="67"/>
      <c r="AG460" s="67"/>
      <c r="AH460" s="67"/>
      <c r="AI460" s="67"/>
      <c r="AJ460" s="67"/>
      <c r="AK460" s="67"/>
      <c r="AL460" s="67"/>
      <c r="AM460" s="67"/>
      <c r="AN460" s="77"/>
      <c r="AO460" s="76"/>
      <c r="AP460" s="77"/>
      <c r="AQ460" s="76"/>
      <c r="AR460" s="76"/>
      <c r="AS460" s="76"/>
      <c r="AT460" s="76"/>
      <c r="AU460" s="76"/>
      <c r="AV460" s="77"/>
      <c r="AW460" s="76"/>
      <c r="AX460" s="77"/>
      <c r="AY460" s="76"/>
      <c r="AZ460" s="76"/>
      <c r="BA460" s="76"/>
      <c r="BB460" s="76"/>
      <c r="BC460" s="76"/>
      <c r="BD460" s="77"/>
      <c r="BE460" s="76"/>
      <c r="BF460" s="77"/>
      <c r="BG460" s="76"/>
      <c r="BH460" s="76"/>
      <c r="BI460" s="76"/>
      <c r="BJ460" s="76"/>
      <c r="BK460" s="76"/>
      <c r="BL460" s="77"/>
      <c r="BM460" s="76"/>
      <c r="BN460" s="77"/>
      <c r="BO460" s="76"/>
      <c r="BP460" s="76"/>
      <c r="BQ460" s="76"/>
      <c r="BR460" s="76"/>
      <c r="BS460" s="76"/>
      <c r="BT460" s="77"/>
      <c r="BU460" s="76"/>
      <c r="BV460" s="77"/>
      <c r="BW460" s="76"/>
      <c r="BX460" s="76"/>
      <c r="BY460" s="76"/>
      <c r="BZ460" s="76"/>
      <c r="CA460" s="76"/>
      <c r="CB460" s="77"/>
      <c r="CC460" s="76"/>
      <c r="CD460" s="77"/>
      <c r="CE460" s="76"/>
      <c r="CF460" s="76"/>
      <c r="CG460" s="76"/>
      <c r="CH460" s="76"/>
      <c r="CI460" s="76"/>
      <c r="CJ460" s="77"/>
      <c r="CK460" s="76"/>
      <c r="CL460" s="77"/>
      <c r="CM460" s="76"/>
      <c r="CN460" s="76"/>
      <c r="CO460" s="76"/>
      <c r="CP460" s="76"/>
      <c r="CQ460" s="76"/>
      <c r="CR460" s="78" t="str">
        <f t="shared" si="127"/>
        <v/>
      </c>
      <c r="CS460" s="79" t="str">
        <f t="shared" si="128"/>
        <v/>
      </c>
      <c r="CT460" s="79" t="str">
        <f t="shared" si="129"/>
        <v/>
      </c>
      <c r="CU460" s="79" t="str">
        <f t="shared" si="130"/>
        <v/>
      </c>
      <c r="CV460" s="79" t="str">
        <f t="shared" si="131"/>
        <v/>
      </c>
      <c r="CW460" s="79" t="str">
        <f t="shared" si="132"/>
        <v/>
      </c>
      <c r="CX460" s="79" t="str">
        <f t="shared" si="133"/>
        <v/>
      </c>
      <c r="CY460" s="79" t="str">
        <f t="shared" si="134"/>
        <v/>
      </c>
      <c r="CZ460" s="79" t="str">
        <f t="shared" si="135"/>
        <v/>
      </c>
      <c r="DA460" s="79" t="str">
        <f t="shared" si="136"/>
        <v/>
      </c>
      <c r="DB460" s="79" t="str">
        <f t="shared" si="137"/>
        <v/>
      </c>
      <c r="DC460" s="79" t="str">
        <f t="shared" si="138"/>
        <v/>
      </c>
      <c r="DD460" s="79" t="str">
        <f t="shared" si="139"/>
        <v/>
      </c>
      <c r="DE460" s="79" t="str">
        <f t="shared" si="140"/>
        <v/>
      </c>
      <c r="DF460" s="79" t="str">
        <f t="shared" si="141"/>
        <v/>
      </c>
      <c r="DG460" s="79" t="str">
        <f t="shared" si="142"/>
        <v/>
      </c>
      <c r="DH460" s="76"/>
      <c r="DI460" s="78"/>
      <c r="DJ460" s="76"/>
      <c r="DK460" s="77"/>
      <c r="DL460" s="77"/>
      <c r="DM460" s="77"/>
      <c r="DN460" s="80"/>
      <c r="DO460" s="80"/>
      <c r="DP460" s="92" t="str">
        <f>IF(Table1[Start Date]="","",IF(Table1[Start Date]&gt;42185,"",IF(AND(Table1[Leaving Date]&gt;1,Table1[Leaving Date]&lt;42095),"",1)))</f>
        <v/>
      </c>
      <c r="DQ460" s="92" t="str">
        <f>IF(Table1[Start Date]="","",IF(Table1[Start Date]&gt;42277,"",IF(AND(Table1[Leaving Date]&gt;1,Table1[Leaving Date]&lt;42186),"",1)))</f>
        <v/>
      </c>
      <c r="DR460" s="92" t="str">
        <f>IF(Table1[Start Date]="","",IF(Table1[Start Date]&gt;42369,"",IF(AND(Table1[Leaving Date]&gt;1,Table1[Leaving Date]&lt;42278),"",1)))</f>
        <v/>
      </c>
      <c r="DS460" s="92" t="str">
        <f>IF(Table1[Start Date]="","",IF(Table1[Start Date]&gt;42460,"",IF(AND(Table1[Leaving Date]&gt;1,Table1[Leaving Date]&lt;42370),"",1)))</f>
        <v/>
      </c>
      <c r="DT460" s="92" t="str">
        <f>IF(Table1[Start Date]="","",IF(Table1[Start Date]&gt;42551,"",IF(AND(Table1[Leaving Date]&gt;1,Table1[Leaving Date]&lt;42461),"",1)))</f>
        <v/>
      </c>
      <c r="DU460" s="92" t="str">
        <f>IF(Table1[Start Date]="","",IF(Table1[Start Date]&gt;42643,"",IF(AND(Table1[Leaving Date]&gt;1,Table1[Leaving Date]&lt;42552),"",1)))</f>
        <v/>
      </c>
      <c r="DV460" s="92" t="str">
        <f>IF(Table1[Start Date]="","",IF(Table1[Start Date]&gt;42735,"",IF(AND(Table1[Leaving Date]&gt;1,Table1[Leaving Date]&lt;42644),"",1)))</f>
        <v/>
      </c>
      <c r="DW460" s="92" t="str">
        <f>IF(Table1[Start Date]="","",IF(Table1[Start Date]&gt;42825,"",IF(AND(Table1[Leaving Date]&gt;1,Table1[Leaving Date]&lt;42736),"",1)))</f>
        <v/>
      </c>
      <c r="DX460"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460" s="44" t="e">
        <f>VLOOKUP(Table1[Referral Source],Lists!$G$2:$H$20,2,FALSE)</f>
        <v>#N/A</v>
      </c>
      <c r="DZ460" s="93" t="e">
        <f>SUM(Table1[Data Referral Quarter]+Table1[Data Referral Source])</f>
        <v>#N/A</v>
      </c>
      <c r="EA460" s="44" t="b">
        <f>IF(Table1[Referral Decision]="Accepted",100,IF(Table1[Referral Decision]="Rejected by Provider",200,IF(Table1[Referral Decision]="Rejected by Applicant",300)))</f>
        <v>0</v>
      </c>
      <c r="EB460" s="44">
        <f>SUM(Table1[Data Referral Quarter]+Table1[Data Referral Decision])</f>
        <v>0</v>
      </c>
      <c r="EC460" s="44" t="b">
        <f>IF(Table1[Start Date]&gt;42735,8000,IF(Table1[Start Date]&gt;42643,7000,IF(Table1[Start Date]&gt;42551,6000,IF(Table1[Start Date]&gt;42460,5000,IF(Table1[Start Date]&gt;42369,4000,IF(Table1[Start Date]&gt;42277,3000,IF(Table1[Start Date]&gt;42185,2000,IF(Table1[Start Date]&gt;42094,1000))))))))</f>
        <v>0</v>
      </c>
      <c r="ED460" s="44" t="str">
        <f>IF(Table1[Start Date]="","",IF(Table1[Current Local Authority]="Swindon",1,"2"))</f>
        <v/>
      </c>
      <c r="EE460" s="44" t="e">
        <f>SUM(Table1[Data Start Date]+Table1[Data Local Authority])</f>
        <v>#VALUE!</v>
      </c>
      <c r="EF460" s="44">
        <f>IF(Table1[Registered with GP]="Yes",1,0)</f>
        <v>0</v>
      </c>
      <c r="EG460" s="44">
        <f>SUM(Table1[Data Start Date]+Table1[Data GP Start])</f>
        <v>0</v>
      </c>
      <c r="EH460" s="44" t="str">
        <f>IF(Table1[EET]="NEET",1,IF(Table1[EET]="Education",2,IF(Table1[EET]="Employment",2,IF(Table1[EET]="Training",2,IF(Table1[EET]="Retired",3,"")))))</f>
        <v/>
      </c>
      <c r="EI460" s="44" t="e">
        <f>Table1[Data Start Date]+Table1[Data EET Start]</f>
        <v>#VALUE!</v>
      </c>
      <c r="EJ460" s="44" t="b">
        <f>IF(Table1[Leaving Date]&gt;42735,8000,IF(Table1[Leaving Date]&gt;42643,7000,IF(Table1[Leaving Date]&gt;42551,6000,IF(Table1[Leaving Date]&gt;42460,5000,IF(Table1[Leaving Date]&gt;42369,4000,IF(Table1[Leaving Date]&gt;42277,3000,IF(Table1[Leaving Date]&gt;42185,2000,IF(Table1[Leaving Date]&gt;42094,1000))))))))</f>
        <v>0</v>
      </c>
      <c r="EK460" s="44" t="e">
        <f>VLOOKUP(Table1[Reason for Leaving],Lists!$T$2:$U$15,2,FALSE)</f>
        <v>#N/A</v>
      </c>
      <c r="EL460" s="44" t="e">
        <f>SUM(Table1[Data Leavers Date]+Table1[Data Move On])</f>
        <v>#N/A</v>
      </c>
      <c r="EM460" s="44" t="b">
        <f>IF(Table1[Registered with GP2]="Yes",1,IF(Table1[Registered with GP2]="No",0,IF(Table1[Registered with GP]="Yes",1,IF(Table1[Registered with GP]="No",0))))</f>
        <v>0</v>
      </c>
      <c r="EN460" s="44">
        <f>SUM(Table1[Data Leavers Date]+Table1[Data GP End])</f>
        <v>0</v>
      </c>
      <c r="EO460" s="44" t="str">
        <f>IF(Table1[EET2]="NEET",1,IF(Table1[EET2]="Employment",2,IF(Table1[EET2]="Education",2,IF(Table1[EET2]="Training",2,IF(Table1[EET2]="Retired",3,IF(Table1[EET]="NEET",1,IF(Table1[EET]="Employment",2,IF(Table1[EET]="Education",2,IF(Table1[EET]="Training",2,IF(Table1[EET]="Retired",3,""))))))))))</f>
        <v/>
      </c>
      <c r="EP460" s="44" t="e">
        <f>+Table1[[#This Row],[Data Leavers Date]]+Table1[[#This Row],[Data EET End]]</f>
        <v>#VALUE!</v>
      </c>
      <c r="EQ460" s="44">
        <f>IF(Table1[Exit Form Received]="Yes",1,0)</f>
        <v>0</v>
      </c>
      <c r="ER460" s="44">
        <f>+Table1[[#This Row],[Data Leavers Date]]+Table1[[#This Row],[Data Exit Forms]]</f>
        <v>0</v>
      </c>
      <c r="ES460" s="44" t="str">
        <f>IF(Table1[Data Leavers Date]=1000,SUM(Table1[Leaving Date]-Table1[Start Date]),"")</f>
        <v/>
      </c>
      <c r="ET460" s="44" t="str">
        <f>IF(Table1[Data Leavers Date]=2000,SUM(Table1[Leaving Date]-Table1[Start Date]),"")</f>
        <v/>
      </c>
      <c r="EU460" s="44" t="str">
        <f>IF(Table1[Data Leavers Date]=3000,SUM(Table1[Leaving Date]-Table1[Start Date]),"")</f>
        <v/>
      </c>
      <c r="EV460" s="44" t="str">
        <f>IF(Table1[Data Leavers Date]=4000,SUM(Table1[Leaving Date]-Table1[Start Date]),"")</f>
        <v/>
      </c>
      <c r="EW460" s="44" t="str">
        <f>IF(Table1[Data Leavers Date]=5000,SUM(Table1[Leaving Date]-Table1[Start Date]),"")</f>
        <v/>
      </c>
      <c r="EX460" s="44" t="str">
        <f>IF(Table1[Data Leavers Date]=6000,SUM(Table1[Leaving Date]-Table1[Start Date]),"")</f>
        <v/>
      </c>
      <c r="EY460" s="44" t="str">
        <f>IF(Table1[Data Leavers Date]=7000,SUM(Table1[Leaving Date]-Table1[Start Date]),"")</f>
        <v/>
      </c>
      <c r="EZ460" s="44" t="str">
        <f>IF(Table1[Data Leavers Date]=8000,SUM(Table1[Leaving Date]-Table1[Start Date]),"")</f>
        <v/>
      </c>
      <c r="FA460" s="44" t="str">
        <f>IF(Table1[Date of Initial Assessment]="","",IF(AND(Table1[Start Date]&gt;42094,Table1[Start Date]&lt;42461),Table1[Motivation and Taking Responsibility],""))</f>
        <v/>
      </c>
      <c r="FB460" s="44" t="str">
        <f>IF(Table1[Date of Initial Assessment]="","",IF(AND(Table1[Start Date]&gt;42094,Table1[Start Date]&lt;42461),Table1[Self-Care and Living Skills],""))</f>
        <v/>
      </c>
      <c r="FC460" s="44" t="str">
        <f>IF(Table1[Date of Initial Assessment]="","",IF(AND(Table1[Start Date]&gt;42094,Table1[Start Date]&lt;42461),Table1[Managing Money and Personal Administration],""))</f>
        <v/>
      </c>
      <c r="FD460" s="44" t="str">
        <f>IF(Table1[Date of Initial Assessment]="","",IF(AND(Table1[Start Date]&gt;42094,Table1[Start Date]&lt;42461),Table1[Social Networks and Relationships],""))</f>
        <v/>
      </c>
      <c r="FE460" s="44" t="str">
        <f>IF(Table1[Date of Initial Assessment]="","",IF(AND(Table1[Start Date]&gt;42094,Table1[Start Date]&lt;42461),Table1[Drug and Alcohol Misuse],""))</f>
        <v/>
      </c>
      <c r="FF460" s="44" t="str">
        <f>IF(Table1[Date of Initial Assessment]="","",IF(AND(Table1[Start Date]&gt;42094,Table1[Start Date]&lt;42461),Table1[Physical Health],""))</f>
        <v/>
      </c>
      <c r="FG460" s="44" t="str">
        <f>IF(Table1[Date of Initial Assessment]="","",IF(AND(Table1[Start Date]&gt;42094,Table1[Start Date]&lt;42461),Table1[Emotional and Mental Health],""))</f>
        <v/>
      </c>
      <c r="FH460" s="44" t="str">
        <f>IF(Table1[Date of Initial Assessment]="","",IF(AND(Table1[Start Date]&gt;42094,Table1[Start Date]&lt;42461),Table1[Meaningful Use of Time],""))</f>
        <v/>
      </c>
      <c r="FI460" s="44" t="str">
        <f>IF(Table1[Date of Initial Assessment]="","",IF(AND(Table1[Start Date]&gt;42094,Table1[Start Date]&lt;42461),Table1[Managing Tenancy and Accommodation],""))</f>
        <v/>
      </c>
      <c r="FJ460" s="44" t="str">
        <f>IF(Table1[Date of Initial Assessment]="","",IF(AND(Table1[Start Date]&gt;42094,Table1[Start Date]&lt;42461),Table1[Offending],""))</f>
        <v/>
      </c>
      <c r="FK460" s="44" t="str">
        <f>IF(Table1[Leaving Date]="","",IF(Table1[Date of Initial Assessment]="","",IF(AND(Table1[Leaving Date]&gt;42094,Table1[Leaving Date]&lt;42461),IF(Table1[Date of Last Assessment]="",Table1[Motivation and Taking Responsibility],Table1[Motivation and Taking Responsibility2]),"")))</f>
        <v/>
      </c>
      <c r="FL460" s="44" t="str">
        <f>IF(Table1[Leaving Date]="","",IF(Table1[Date of Initial Assessment]="","",IF(AND(Table1[Leaving Date]&gt;42094,Table1[Leaving Date]&lt;42461),IF(Table1[Date of Last Assessment]="",Table1[Self-Care and Living Skills],Table1[Self-Care and Living Skills2]),"")))</f>
        <v/>
      </c>
      <c r="FM460" s="44" t="str">
        <f>IF(Table1[Leaving Date]="","",IF(Table1[Date of Initial Assessment]="","",IF(AND(Table1[Leaving Date]&gt;42094,Table1[Leaving Date]&lt;42461),IF(Table1[Date of Last Assessment]="",Table1[Managing Money and Personal Administration],Table1[Managing Money and Personal Administration2]),"")))</f>
        <v/>
      </c>
      <c r="FN460" s="44" t="str">
        <f>IF(Table1[Leaving Date]="","",IF(Table1[Date of Initial Assessment]="","",IF(AND(Table1[Leaving Date]&gt;42094,Table1[Leaving Date]&lt;42461),IF(Table1[Date of Last Assessment]="",Table1[Social Networks and Relationships],Table1[Social Networks and Relationships2]),"")))</f>
        <v/>
      </c>
      <c r="FO460" s="44" t="str">
        <f>IF(Table1[Leaving Date]="","",IF(Table1[Date of Initial Assessment]="","",IF(AND(Table1[Leaving Date]&gt;42094,Table1[Leaving Date]&lt;42461),IF(Table1[Date of Last Assessment]="",Table1[Drug and Alcohol Misuse],Table1[Drug and Alcohol Misuse2]),"")))</f>
        <v/>
      </c>
      <c r="FP460" s="44" t="str">
        <f>IF(Table1[Leaving Date]="","",IF(Table1[Date of Initial Assessment]="","",IF(AND(Table1[Leaving Date]&gt;42094,Table1[Leaving Date]&lt;42461),IF(Table1[Date of Last Assessment]="",Table1[Physical Health],Table1[Physical Health2]),"")))</f>
        <v/>
      </c>
      <c r="FQ460" s="44" t="str">
        <f>IF(Table1[Leaving Date]="","",IF(Table1[Date of Initial Assessment]="","",IF(AND(Table1[Leaving Date]&gt;42094,Table1[Leaving Date]&lt;42461),IF(Table1[Date of Last Assessment]="",Table1[Emotional and Mental Health],Table1[Emotional and Mental Health2]),"")))</f>
        <v/>
      </c>
      <c r="FR460" s="44" t="str">
        <f>IF(Table1[Leaving Date]="","",IF(Table1[Date of Initial Assessment]="","",IF(AND(Table1[Leaving Date]&gt;42094,Table1[Leaving Date]&lt;42461),IF(Table1[Date of Last Assessment]="",Table1[Meaningful Use of Time],Table1[Meaningful Use of Time2]),"")))</f>
        <v/>
      </c>
      <c r="FS460" s="44" t="str">
        <f>IF(Table1[Leaving Date]="","",IF(Table1[Date of Initial Assessment]="","",IF(AND(Table1[Leaving Date]&gt;42094,Table1[Leaving Date]&lt;42461),IF(Table1[Date of Last Assessment]="",Table1[Managing Tenancy and Accommodation],Table1[Managing Tenancy and Accommodation2]),"")))</f>
        <v/>
      </c>
      <c r="FT460" s="44" t="str">
        <f>IF(Table1[Leaving Date]="","",IF(Table1[Date of Initial Assessment]="","",IF(AND(Table1[Leaving Date]&gt;42094,Table1[Leaving Date]&lt;42461),IF(Table1[Date of Last Assessment]="",Table1[Offending],Table1[Offending2]),"")))</f>
        <v/>
      </c>
      <c r="FU460" s="44" t="str">
        <f>IF(Table1[Date of Initial Assessment]="","",IF(AND(Table1[Start Date]&gt;42460,Table1[Start Date]&lt;42826),Table1[Motivation and Taking Responsibility],""))</f>
        <v/>
      </c>
      <c r="FV460" s="44" t="str">
        <f>IF(Table1[Date of Initial Assessment]="","",IF(AND(Table1[Start Date]&gt;42460,Table1[Start Date]&lt;42826),Table1[Self-Care and Living Skills],""))</f>
        <v/>
      </c>
      <c r="FW460" s="44" t="str">
        <f>IF(Table1[Date of Initial Assessment]="","",IF(AND(Table1[Start Date]&gt;42460,Table1[Start Date]&lt;42826),Table1[Managing Money and Personal Administration],""))</f>
        <v/>
      </c>
      <c r="FX460" s="44" t="str">
        <f>IF(Table1[Date of Initial Assessment]="","",IF(AND(Table1[Start Date]&gt;42460,Table1[Start Date]&lt;42826),Table1[Social Networks and Relationships],""))</f>
        <v/>
      </c>
      <c r="FY460" s="44" t="str">
        <f>IF(Table1[Date of Initial Assessment]="","",IF(AND(Table1[Start Date]&gt;42460,Table1[Start Date]&lt;42826),Table1[Drug and Alcohol Misuse],""))</f>
        <v/>
      </c>
      <c r="FZ460" s="44" t="str">
        <f>IF(Table1[Date of Initial Assessment]="","",IF(AND(Table1[Start Date]&gt;42460,Table1[Start Date]&lt;42826),Table1[Physical Health],""))</f>
        <v/>
      </c>
      <c r="GA460" s="44" t="str">
        <f>IF(Table1[Date of Initial Assessment]="","",IF(AND(Table1[Start Date]&gt;42460,Table1[Start Date]&lt;42826),Table1[Emotional and Mental Health],""))</f>
        <v/>
      </c>
      <c r="GB460" s="44" t="str">
        <f>IF(Table1[Date of Initial Assessment]="","",IF(AND(Table1[Start Date]&gt;42460,Table1[Start Date]&lt;42826),Table1[Meaningful Use of Time],""))</f>
        <v/>
      </c>
      <c r="GC460" s="44" t="str">
        <f>IF(Table1[Date of Initial Assessment]="","",IF(AND(Table1[Start Date]&gt;42460,Table1[Start Date]&lt;42826),Table1[Managing Tenancy and Accommodation],""))</f>
        <v/>
      </c>
      <c r="GD460" s="44" t="str">
        <f>IF(Table1[Date of Initial Assessment]="","",IF(AND(Table1[Start Date]&gt;42460,Table1[Start Date]&lt;42826),Table1[Offending],""))</f>
        <v/>
      </c>
      <c r="GE460" s="44" t="str">
        <f>IF(Table1[Leaving Date]="","",IF(AND(Table1[Leaving Date]&gt;42460,Table1[Leaving Date]&lt;42826),IF(Table1[Date of Last Assessment]="",Table1[Motivation and Taking Responsibility],Table1[Motivation and Taking Responsibility2]),""))</f>
        <v/>
      </c>
      <c r="GF460" s="44" t="str">
        <f>IF(Table1[Leaving Date]="","",IF(AND(Table1[Leaving Date]&gt;42460,Table1[Leaving Date]&lt;42826),IF(Table1[Date of Last Assessment]="",Table1[Self-Care and Living Skills],Table1[Self-Care and Living Skills2]),""))</f>
        <v/>
      </c>
      <c r="GG460" s="44" t="str">
        <f>IF(Table1[Leaving Date]="","",IF(AND(Table1[Leaving Date]&gt;42460,Table1[Leaving Date]&lt;42826),IF(Table1[Date of Last Assessment]="",Table1[Managing Money and Personal Administration],Table1[Managing Money and Personal Administration2]),""))</f>
        <v/>
      </c>
      <c r="GH460" s="44" t="str">
        <f>IF(Table1[Leaving Date]="","",IF(AND(Table1[Leaving Date]&gt;42460,Table1[Leaving Date]&lt;42826),IF(Table1[Date of Last Assessment]="",Table1[Social Networks and Relationships],Table1[Social Networks and Relationships2]),""))</f>
        <v/>
      </c>
      <c r="GI460" s="44" t="str">
        <f>IF(Table1[Leaving Date]="","",IF(AND(Table1[Leaving Date]&gt;42460,Table1[Leaving Date]&lt;42826),IF(Table1[Date of Last Assessment]="",Table1[Drug and Alcohol Misuse],Table1[Drug and Alcohol Misuse2]),""))</f>
        <v/>
      </c>
      <c r="GJ460" s="44" t="str">
        <f>IF(Table1[Leaving Date]="","",IF(AND(Table1[Leaving Date]&gt;42460,Table1[Leaving Date]&lt;42826),IF(Table1[Date of Last Assessment]="",Table1[Physical Health],Table1[Physical Health2]),""))</f>
        <v/>
      </c>
      <c r="GK460" s="44" t="str">
        <f>IF(Table1[Leaving Date]="","",IF(AND(Table1[Leaving Date]&gt;42460,Table1[Leaving Date]&lt;42826),IF(Table1[Date of Last Assessment]="",Table1[Emotional and Mental Health],Table1[Emotional and Mental Health2]),""))</f>
        <v/>
      </c>
      <c r="GL460" s="44" t="str">
        <f>IF(Table1[Leaving Date]="","",IF(AND(Table1[Leaving Date]&gt;42460,Table1[Leaving Date]&lt;42826),IF(Table1[Date of Last Assessment]="",Table1[Meaningful Use of Time],Table1[Meaningful Use of Time2]),""))</f>
        <v/>
      </c>
      <c r="GM460" s="44" t="str">
        <f>IF(Table1[Leaving Date]="","",IF(AND(Table1[Leaving Date]&gt;42460,Table1[Leaving Date]&lt;42826),IF(Table1[Date of Last Assessment]="",Table1[Managing Tenancy and Accommodation],Table1[Managing Tenancy and Accommodation2]),""))</f>
        <v/>
      </c>
      <c r="GN460" s="44" t="str">
        <f>IF(Table1[Leaving Date]="","",IF(AND(Table1[Leaving Date]&gt;42460,Table1[Leaving Date]&lt;42826),IF(Table1[Date of Last Assessment]="",Table1[Offending],Table1[Offending2]),""))</f>
        <v/>
      </c>
    </row>
    <row r="461" spans="2:196" ht="20.100000000000001" customHeight="1" x14ac:dyDescent="0.2">
      <c r="B461" s="86">
        <f>+'Service Data'!$C$5:$C$5</f>
        <v>0</v>
      </c>
      <c r="C461" s="86"/>
      <c r="D461" s="86"/>
      <c r="E461" s="86"/>
      <c r="F461" s="86"/>
      <c r="G461" s="86"/>
      <c r="H461" s="6"/>
      <c r="I461" s="99" t="str">
        <f ca="1">IF(Table1[[#This Row],[Date of Birth]]="","",SUM(TODAY()-Table1[[#This Row],[Date of Birth]])/365)</f>
        <v/>
      </c>
      <c r="L461" s="86"/>
      <c r="M461" s="77"/>
      <c r="N461" s="86"/>
      <c r="O461" s="86"/>
      <c r="P461" s="91"/>
      <c r="Q461" s="86"/>
      <c r="R461" s="77"/>
      <c r="S461" s="77"/>
      <c r="T461" s="68"/>
      <c r="U461" s="68"/>
      <c r="V461" s="67"/>
      <c r="W461" s="67"/>
      <c r="X461" s="67"/>
      <c r="Y461" s="67"/>
      <c r="Z461" s="67"/>
      <c r="AA461" s="67"/>
      <c r="AB461" s="67"/>
      <c r="AC461" s="67"/>
      <c r="AD461" s="67"/>
      <c r="AE461" s="67"/>
      <c r="AF461" s="67"/>
      <c r="AG461" s="67"/>
      <c r="AH461" s="67"/>
      <c r="AI461" s="67"/>
      <c r="AJ461" s="67"/>
      <c r="AK461" s="67"/>
      <c r="AL461" s="67"/>
      <c r="AM461" s="67"/>
      <c r="AN461" s="77"/>
      <c r="AO461" s="76"/>
      <c r="AP461" s="77"/>
      <c r="AQ461" s="76"/>
      <c r="AR461" s="76"/>
      <c r="AS461" s="76"/>
      <c r="AT461" s="76"/>
      <c r="AU461" s="76"/>
      <c r="AV461" s="77"/>
      <c r="AW461" s="76"/>
      <c r="AX461" s="77"/>
      <c r="AY461" s="76"/>
      <c r="AZ461" s="76"/>
      <c r="BA461" s="76"/>
      <c r="BB461" s="76"/>
      <c r="BC461" s="76"/>
      <c r="BD461" s="77"/>
      <c r="BE461" s="76"/>
      <c r="BF461" s="77"/>
      <c r="BG461" s="76"/>
      <c r="BH461" s="76"/>
      <c r="BI461" s="76"/>
      <c r="BJ461" s="76"/>
      <c r="BK461" s="76"/>
      <c r="BL461" s="77"/>
      <c r="BM461" s="76"/>
      <c r="BN461" s="77"/>
      <c r="BO461" s="76"/>
      <c r="BP461" s="76"/>
      <c r="BQ461" s="76"/>
      <c r="BR461" s="76"/>
      <c r="BS461" s="76"/>
      <c r="BT461" s="77"/>
      <c r="BU461" s="76"/>
      <c r="BV461" s="77"/>
      <c r="BW461" s="76"/>
      <c r="BX461" s="76"/>
      <c r="BY461" s="76"/>
      <c r="BZ461" s="76"/>
      <c r="CA461" s="76"/>
      <c r="CB461" s="77"/>
      <c r="CC461" s="76"/>
      <c r="CD461" s="77"/>
      <c r="CE461" s="76"/>
      <c r="CF461" s="76"/>
      <c r="CG461" s="76"/>
      <c r="CH461" s="76"/>
      <c r="CI461" s="76"/>
      <c r="CJ461" s="77"/>
      <c r="CK461" s="76"/>
      <c r="CL461" s="77"/>
      <c r="CM461" s="76"/>
      <c r="CN461" s="76"/>
      <c r="CO461" s="76"/>
      <c r="CP461" s="76"/>
      <c r="CQ461" s="76"/>
      <c r="CR461" s="78" t="str">
        <f t="shared" si="127"/>
        <v/>
      </c>
      <c r="CS461" s="79" t="str">
        <f t="shared" si="128"/>
        <v/>
      </c>
      <c r="CT461" s="79" t="str">
        <f t="shared" si="129"/>
        <v/>
      </c>
      <c r="CU461" s="79" t="str">
        <f t="shared" si="130"/>
        <v/>
      </c>
      <c r="CV461" s="79" t="str">
        <f t="shared" si="131"/>
        <v/>
      </c>
      <c r="CW461" s="79" t="str">
        <f t="shared" si="132"/>
        <v/>
      </c>
      <c r="CX461" s="79" t="str">
        <f t="shared" si="133"/>
        <v/>
      </c>
      <c r="CY461" s="79" t="str">
        <f t="shared" si="134"/>
        <v/>
      </c>
      <c r="CZ461" s="79" t="str">
        <f t="shared" si="135"/>
        <v/>
      </c>
      <c r="DA461" s="79" t="str">
        <f t="shared" si="136"/>
        <v/>
      </c>
      <c r="DB461" s="79" t="str">
        <f t="shared" si="137"/>
        <v/>
      </c>
      <c r="DC461" s="79" t="str">
        <f t="shared" si="138"/>
        <v/>
      </c>
      <c r="DD461" s="79" t="str">
        <f t="shared" si="139"/>
        <v/>
      </c>
      <c r="DE461" s="79" t="str">
        <f t="shared" si="140"/>
        <v/>
      </c>
      <c r="DF461" s="79" t="str">
        <f t="shared" si="141"/>
        <v/>
      </c>
      <c r="DG461" s="79" t="str">
        <f t="shared" si="142"/>
        <v/>
      </c>
      <c r="DH461" s="76"/>
      <c r="DI461" s="78"/>
      <c r="DJ461" s="76"/>
      <c r="DK461" s="77"/>
      <c r="DL461" s="77"/>
      <c r="DM461" s="77"/>
      <c r="DN461" s="80"/>
      <c r="DO461" s="80"/>
      <c r="DP461" s="92" t="str">
        <f>IF(Table1[Start Date]="","",IF(Table1[Start Date]&gt;42185,"",IF(AND(Table1[Leaving Date]&gt;1,Table1[Leaving Date]&lt;42095),"",1)))</f>
        <v/>
      </c>
      <c r="DQ461" s="92" t="str">
        <f>IF(Table1[Start Date]="","",IF(Table1[Start Date]&gt;42277,"",IF(AND(Table1[Leaving Date]&gt;1,Table1[Leaving Date]&lt;42186),"",1)))</f>
        <v/>
      </c>
      <c r="DR461" s="92" t="str">
        <f>IF(Table1[Start Date]="","",IF(Table1[Start Date]&gt;42369,"",IF(AND(Table1[Leaving Date]&gt;1,Table1[Leaving Date]&lt;42278),"",1)))</f>
        <v/>
      </c>
      <c r="DS461" s="92" t="str">
        <f>IF(Table1[Start Date]="","",IF(Table1[Start Date]&gt;42460,"",IF(AND(Table1[Leaving Date]&gt;1,Table1[Leaving Date]&lt;42370),"",1)))</f>
        <v/>
      </c>
      <c r="DT461" s="92" t="str">
        <f>IF(Table1[Start Date]="","",IF(Table1[Start Date]&gt;42551,"",IF(AND(Table1[Leaving Date]&gt;1,Table1[Leaving Date]&lt;42461),"",1)))</f>
        <v/>
      </c>
      <c r="DU461" s="92" t="str">
        <f>IF(Table1[Start Date]="","",IF(Table1[Start Date]&gt;42643,"",IF(AND(Table1[Leaving Date]&gt;1,Table1[Leaving Date]&lt;42552),"",1)))</f>
        <v/>
      </c>
      <c r="DV461" s="92" t="str">
        <f>IF(Table1[Start Date]="","",IF(Table1[Start Date]&gt;42735,"",IF(AND(Table1[Leaving Date]&gt;1,Table1[Leaving Date]&lt;42644),"",1)))</f>
        <v/>
      </c>
      <c r="DW461" s="92" t="str">
        <f>IF(Table1[Start Date]="","",IF(Table1[Start Date]&gt;42825,"",IF(AND(Table1[Leaving Date]&gt;1,Table1[Leaving Date]&lt;42736),"",1)))</f>
        <v/>
      </c>
      <c r="DX461"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461" s="44" t="e">
        <f>VLOOKUP(Table1[Referral Source],Lists!$G$2:$H$20,2,FALSE)</f>
        <v>#N/A</v>
      </c>
      <c r="DZ461" s="93" t="e">
        <f>SUM(Table1[Data Referral Quarter]+Table1[Data Referral Source])</f>
        <v>#N/A</v>
      </c>
      <c r="EA461" s="44" t="b">
        <f>IF(Table1[Referral Decision]="Accepted",100,IF(Table1[Referral Decision]="Rejected by Provider",200,IF(Table1[Referral Decision]="Rejected by Applicant",300)))</f>
        <v>0</v>
      </c>
      <c r="EB461" s="44">
        <f>SUM(Table1[Data Referral Quarter]+Table1[Data Referral Decision])</f>
        <v>0</v>
      </c>
      <c r="EC461" s="44" t="b">
        <f>IF(Table1[Start Date]&gt;42735,8000,IF(Table1[Start Date]&gt;42643,7000,IF(Table1[Start Date]&gt;42551,6000,IF(Table1[Start Date]&gt;42460,5000,IF(Table1[Start Date]&gt;42369,4000,IF(Table1[Start Date]&gt;42277,3000,IF(Table1[Start Date]&gt;42185,2000,IF(Table1[Start Date]&gt;42094,1000))))))))</f>
        <v>0</v>
      </c>
      <c r="ED461" s="44" t="str">
        <f>IF(Table1[Start Date]="","",IF(Table1[Current Local Authority]="Swindon",1,"2"))</f>
        <v/>
      </c>
      <c r="EE461" s="44" t="e">
        <f>SUM(Table1[Data Start Date]+Table1[Data Local Authority])</f>
        <v>#VALUE!</v>
      </c>
      <c r="EF461" s="44">
        <f>IF(Table1[Registered with GP]="Yes",1,0)</f>
        <v>0</v>
      </c>
      <c r="EG461" s="44">
        <f>SUM(Table1[Data Start Date]+Table1[Data GP Start])</f>
        <v>0</v>
      </c>
      <c r="EH461" s="44" t="str">
        <f>IF(Table1[EET]="NEET",1,IF(Table1[EET]="Education",2,IF(Table1[EET]="Employment",2,IF(Table1[EET]="Training",2,IF(Table1[EET]="Retired",3,"")))))</f>
        <v/>
      </c>
      <c r="EI461" s="44" t="e">
        <f>Table1[Data Start Date]+Table1[Data EET Start]</f>
        <v>#VALUE!</v>
      </c>
      <c r="EJ461" s="44" t="b">
        <f>IF(Table1[Leaving Date]&gt;42735,8000,IF(Table1[Leaving Date]&gt;42643,7000,IF(Table1[Leaving Date]&gt;42551,6000,IF(Table1[Leaving Date]&gt;42460,5000,IF(Table1[Leaving Date]&gt;42369,4000,IF(Table1[Leaving Date]&gt;42277,3000,IF(Table1[Leaving Date]&gt;42185,2000,IF(Table1[Leaving Date]&gt;42094,1000))))))))</f>
        <v>0</v>
      </c>
      <c r="EK461" s="44" t="e">
        <f>VLOOKUP(Table1[Reason for Leaving],Lists!$T$2:$U$15,2,FALSE)</f>
        <v>#N/A</v>
      </c>
      <c r="EL461" s="44" t="e">
        <f>SUM(Table1[Data Leavers Date]+Table1[Data Move On])</f>
        <v>#N/A</v>
      </c>
      <c r="EM461" s="44" t="b">
        <f>IF(Table1[Registered with GP2]="Yes",1,IF(Table1[Registered with GP2]="No",0,IF(Table1[Registered with GP]="Yes",1,IF(Table1[Registered with GP]="No",0))))</f>
        <v>0</v>
      </c>
      <c r="EN461" s="44">
        <f>SUM(Table1[Data Leavers Date]+Table1[Data GP End])</f>
        <v>0</v>
      </c>
      <c r="EO461" s="44" t="str">
        <f>IF(Table1[EET2]="NEET",1,IF(Table1[EET2]="Employment",2,IF(Table1[EET2]="Education",2,IF(Table1[EET2]="Training",2,IF(Table1[EET2]="Retired",3,IF(Table1[EET]="NEET",1,IF(Table1[EET]="Employment",2,IF(Table1[EET]="Education",2,IF(Table1[EET]="Training",2,IF(Table1[EET]="Retired",3,""))))))))))</f>
        <v/>
      </c>
      <c r="EP461" s="44" t="e">
        <f>+Table1[[#This Row],[Data Leavers Date]]+Table1[[#This Row],[Data EET End]]</f>
        <v>#VALUE!</v>
      </c>
      <c r="EQ461" s="44">
        <f>IF(Table1[Exit Form Received]="Yes",1,0)</f>
        <v>0</v>
      </c>
      <c r="ER461" s="44">
        <f>+Table1[[#This Row],[Data Leavers Date]]+Table1[[#This Row],[Data Exit Forms]]</f>
        <v>0</v>
      </c>
      <c r="ES461" s="44" t="str">
        <f>IF(Table1[Data Leavers Date]=1000,SUM(Table1[Leaving Date]-Table1[Start Date]),"")</f>
        <v/>
      </c>
      <c r="ET461" s="44" t="str">
        <f>IF(Table1[Data Leavers Date]=2000,SUM(Table1[Leaving Date]-Table1[Start Date]),"")</f>
        <v/>
      </c>
      <c r="EU461" s="44" t="str">
        <f>IF(Table1[Data Leavers Date]=3000,SUM(Table1[Leaving Date]-Table1[Start Date]),"")</f>
        <v/>
      </c>
      <c r="EV461" s="44" t="str">
        <f>IF(Table1[Data Leavers Date]=4000,SUM(Table1[Leaving Date]-Table1[Start Date]),"")</f>
        <v/>
      </c>
      <c r="EW461" s="44" t="str">
        <f>IF(Table1[Data Leavers Date]=5000,SUM(Table1[Leaving Date]-Table1[Start Date]),"")</f>
        <v/>
      </c>
      <c r="EX461" s="44" t="str">
        <f>IF(Table1[Data Leavers Date]=6000,SUM(Table1[Leaving Date]-Table1[Start Date]),"")</f>
        <v/>
      </c>
      <c r="EY461" s="44" t="str">
        <f>IF(Table1[Data Leavers Date]=7000,SUM(Table1[Leaving Date]-Table1[Start Date]),"")</f>
        <v/>
      </c>
      <c r="EZ461" s="44" t="str">
        <f>IF(Table1[Data Leavers Date]=8000,SUM(Table1[Leaving Date]-Table1[Start Date]),"")</f>
        <v/>
      </c>
      <c r="FA461" s="44" t="str">
        <f>IF(Table1[Date of Initial Assessment]="","",IF(AND(Table1[Start Date]&gt;42094,Table1[Start Date]&lt;42461),Table1[Motivation and Taking Responsibility],""))</f>
        <v/>
      </c>
      <c r="FB461" s="44" t="str">
        <f>IF(Table1[Date of Initial Assessment]="","",IF(AND(Table1[Start Date]&gt;42094,Table1[Start Date]&lt;42461),Table1[Self-Care and Living Skills],""))</f>
        <v/>
      </c>
      <c r="FC461" s="44" t="str">
        <f>IF(Table1[Date of Initial Assessment]="","",IF(AND(Table1[Start Date]&gt;42094,Table1[Start Date]&lt;42461),Table1[Managing Money and Personal Administration],""))</f>
        <v/>
      </c>
      <c r="FD461" s="44" t="str">
        <f>IF(Table1[Date of Initial Assessment]="","",IF(AND(Table1[Start Date]&gt;42094,Table1[Start Date]&lt;42461),Table1[Social Networks and Relationships],""))</f>
        <v/>
      </c>
      <c r="FE461" s="44" t="str">
        <f>IF(Table1[Date of Initial Assessment]="","",IF(AND(Table1[Start Date]&gt;42094,Table1[Start Date]&lt;42461),Table1[Drug and Alcohol Misuse],""))</f>
        <v/>
      </c>
      <c r="FF461" s="44" t="str">
        <f>IF(Table1[Date of Initial Assessment]="","",IF(AND(Table1[Start Date]&gt;42094,Table1[Start Date]&lt;42461),Table1[Physical Health],""))</f>
        <v/>
      </c>
      <c r="FG461" s="44" t="str">
        <f>IF(Table1[Date of Initial Assessment]="","",IF(AND(Table1[Start Date]&gt;42094,Table1[Start Date]&lt;42461),Table1[Emotional and Mental Health],""))</f>
        <v/>
      </c>
      <c r="FH461" s="44" t="str">
        <f>IF(Table1[Date of Initial Assessment]="","",IF(AND(Table1[Start Date]&gt;42094,Table1[Start Date]&lt;42461),Table1[Meaningful Use of Time],""))</f>
        <v/>
      </c>
      <c r="FI461" s="44" t="str">
        <f>IF(Table1[Date of Initial Assessment]="","",IF(AND(Table1[Start Date]&gt;42094,Table1[Start Date]&lt;42461),Table1[Managing Tenancy and Accommodation],""))</f>
        <v/>
      </c>
      <c r="FJ461" s="44" t="str">
        <f>IF(Table1[Date of Initial Assessment]="","",IF(AND(Table1[Start Date]&gt;42094,Table1[Start Date]&lt;42461),Table1[Offending],""))</f>
        <v/>
      </c>
      <c r="FK461" s="44" t="str">
        <f>IF(Table1[Leaving Date]="","",IF(Table1[Date of Initial Assessment]="","",IF(AND(Table1[Leaving Date]&gt;42094,Table1[Leaving Date]&lt;42461),IF(Table1[Date of Last Assessment]="",Table1[Motivation and Taking Responsibility],Table1[Motivation and Taking Responsibility2]),"")))</f>
        <v/>
      </c>
      <c r="FL461" s="44" t="str">
        <f>IF(Table1[Leaving Date]="","",IF(Table1[Date of Initial Assessment]="","",IF(AND(Table1[Leaving Date]&gt;42094,Table1[Leaving Date]&lt;42461),IF(Table1[Date of Last Assessment]="",Table1[Self-Care and Living Skills],Table1[Self-Care and Living Skills2]),"")))</f>
        <v/>
      </c>
      <c r="FM461" s="44" t="str">
        <f>IF(Table1[Leaving Date]="","",IF(Table1[Date of Initial Assessment]="","",IF(AND(Table1[Leaving Date]&gt;42094,Table1[Leaving Date]&lt;42461),IF(Table1[Date of Last Assessment]="",Table1[Managing Money and Personal Administration],Table1[Managing Money and Personal Administration2]),"")))</f>
        <v/>
      </c>
      <c r="FN461" s="44" t="str">
        <f>IF(Table1[Leaving Date]="","",IF(Table1[Date of Initial Assessment]="","",IF(AND(Table1[Leaving Date]&gt;42094,Table1[Leaving Date]&lt;42461),IF(Table1[Date of Last Assessment]="",Table1[Social Networks and Relationships],Table1[Social Networks and Relationships2]),"")))</f>
        <v/>
      </c>
      <c r="FO461" s="44" t="str">
        <f>IF(Table1[Leaving Date]="","",IF(Table1[Date of Initial Assessment]="","",IF(AND(Table1[Leaving Date]&gt;42094,Table1[Leaving Date]&lt;42461),IF(Table1[Date of Last Assessment]="",Table1[Drug and Alcohol Misuse],Table1[Drug and Alcohol Misuse2]),"")))</f>
        <v/>
      </c>
      <c r="FP461" s="44" t="str">
        <f>IF(Table1[Leaving Date]="","",IF(Table1[Date of Initial Assessment]="","",IF(AND(Table1[Leaving Date]&gt;42094,Table1[Leaving Date]&lt;42461),IF(Table1[Date of Last Assessment]="",Table1[Physical Health],Table1[Physical Health2]),"")))</f>
        <v/>
      </c>
      <c r="FQ461" s="44" t="str">
        <f>IF(Table1[Leaving Date]="","",IF(Table1[Date of Initial Assessment]="","",IF(AND(Table1[Leaving Date]&gt;42094,Table1[Leaving Date]&lt;42461),IF(Table1[Date of Last Assessment]="",Table1[Emotional and Mental Health],Table1[Emotional and Mental Health2]),"")))</f>
        <v/>
      </c>
      <c r="FR461" s="44" t="str">
        <f>IF(Table1[Leaving Date]="","",IF(Table1[Date of Initial Assessment]="","",IF(AND(Table1[Leaving Date]&gt;42094,Table1[Leaving Date]&lt;42461),IF(Table1[Date of Last Assessment]="",Table1[Meaningful Use of Time],Table1[Meaningful Use of Time2]),"")))</f>
        <v/>
      </c>
      <c r="FS461" s="44" t="str">
        <f>IF(Table1[Leaving Date]="","",IF(Table1[Date of Initial Assessment]="","",IF(AND(Table1[Leaving Date]&gt;42094,Table1[Leaving Date]&lt;42461),IF(Table1[Date of Last Assessment]="",Table1[Managing Tenancy and Accommodation],Table1[Managing Tenancy and Accommodation2]),"")))</f>
        <v/>
      </c>
      <c r="FT461" s="44" t="str">
        <f>IF(Table1[Leaving Date]="","",IF(Table1[Date of Initial Assessment]="","",IF(AND(Table1[Leaving Date]&gt;42094,Table1[Leaving Date]&lt;42461),IF(Table1[Date of Last Assessment]="",Table1[Offending],Table1[Offending2]),"")))</f>
        <v/>
      </c>
      <c r="FU461" s="44" t="str">
        <f>IF(Table1[Date of Initial Assessment]="","",IF(AND(Table1[Start Date]&gt;42460,Table1[Start Date]&lt;42826),Table1[Motivation and Taking Responsibility],""))</f>
        <v/>
      </c>
      <c r="FV461" s="44" t="str">
        <f>IF(Table1[Date of Initial Assessment]="","",IF(AND(Table1[Start Date]&gt;42460,Table1[Start Date]&lt;42826),Table1[Self-Care and Living Skills],""))</f>
        <v/>
      </c>
      <c r="FW461" s="44" t="str">
        <f>IF(Table1[Date of Initial Assessment]="","",IF(AND(Table1[Start Date]&gt;42460,Table1[Start Date]&lt;42826),Table1[Managing Money and Personal Administration],""))</f>
        <v/>
      </c>
      <c r="FX461" s="44" t="str">
        <f>IF(Table1[Date of Initial Assessment]="","",IF(AND(Table1[Start Date]&gt;42460,Table1[Start Date]&lt;42826),Table1[Social Networks and Relationships],""))</f>
        <v/>
      </c>
      <c r="FY461" s="44" t="str">
        <f>IF(Table1[Date of Initial Assessment]="","",IF(AND(Table1[Start Date]&gt;42460,Table1[Start Date]&lt;42826),Table1[Drug and Alcohol Misuse],""))</f>
        <v/>
      </c>
      <c r="FZ461" s="44" t="str">
        <f>IF(Table1[Date of Initial Assessment]="","",IF(AND(Table1[Start Date]&gt;42460,Table1[Start Date]&lt;42826),Table1[Physical Health],""))</f>
        <v/>
      </c>
      <c r="GA461" s="44" t="str">
        <f>IF(Table1[Date of Initial Assessment]="","",IF(AND(Table1[Start Date]&gt;42460,Table1[Start Date]&lt;42826),Table1[Emotional and Mental Health],""))</f>
        <v/>
      </c>
      <c r="GB461" s="44" t="str">
        <f>IF(Table1[Date of Initial Assessment]="","",IF(AND(Table1[Start Date]&gt;42460,Table1[Start Date]&lt;42826),Table1[Meaningful Use of Time],""))</f>
        <v/>
      </c>
      <c r="GC461" s="44" t="str">
        <f>IF(Table1[Date of Initial Assessment]="","",IF(AND(Table1[Start Date]&gt;42460,Table1[Start Date]&lt;42826),Table1[Managing Tenancy and Accommodation],""))</f>
        <v/>
      </c>
      <c r="GD461" s="44" t="str">
        <f>IF(Table1[Date of Initial Assessment]="","",IF(AND(Table1[Start Date]&gt;42460,Table1[Start Date]&lt;42826),Table1[Offending],""))</f>
        <v/>
      </c>
      <c r="GE461" s="44" t="str">
        <f>IF(Table1[Leaving Date]="","",IF(AND(Table1[Leaving Date]&gt;42460,Table1[Leaving Date]&lt;42826),IF(Table1[Date of Last Assessment]="",Table1[Motivation and Taking Responsibility],Table1[Motivation and Taking Responsibility2]),""))</f>
        <v/>
      </c>
      <c r="GF461" s="44" t="str">
        <f>IF(Table1[Leaving Date]="","",IF(AND(Table1[Leaving Date]&gt;42460,Table1[Leaving Date]&lt;42826),IF(Table1[Date of Last Assessment]="",Table1[Self-Care and Living Skills],Table1[Self-Care and Living Skills2]),""))</f>
        <v/>
      </c>
      <c r="GG461" s="44" t="str">
        <f>IF(Table1[Leaving Date]="","",IF(AND(Table1[Leaving Date]&gt;42460,Table1[Leaving Date]&lt;42826),IF(Table1[Date of Last Assessment]="",Table1[Managing Money and Personal Administration],Table1[Managing Money and Personal Administration2]),""))</f>
        <v/>
      </c>
      <c r="GH461" s="44" t="str">
        <f>IF(Table1[Leaving Date]="","",IF(AND(Table1[Leaving Date]&gt;42460,Table1[Leaving Date]&lt;42826),IF(Table1[Date of Last Assessment]="",Table1[Social Networks and Relationships],Table1[Social Networks and Relationships2]),""))</f>
        <v/>
      </c>
      <c r="GI461" s="44" t="str">
        <f>IF(Table1[Leaving Date]="","",IF(AND(Table1[Leaving Date]&gt;42460,Table1[Leaving Date]&lt;42826),IF(Table1[Date of Last Assessment]="",Table1[Drug and Alcohol Misuse],Table1[Drug and Alcohol Misuse2]),""))</f>
        <v/>
      </c>
      <c r="GJ461" s="44" t="str">
        <f>IF(Table1[Leaving Date]="","",IF(AND(Table1[Leaving Date]&gt;42460,Table1[Leaving Date]&lt;42826),IF(Table1[Date of Last Assessment]="",Table1[Physical Health],Table1[Physical Health2]),""))</f>
        <v/>
      </c>
      <c r="GK461" s="44" t="str">
        <f>IF(Table1[Leaving Date]="","",IF(AND(Table1[Leaving Date]&gt;42460,Table1[Leaving Date]&lt;42826),IF(Table1[Date of Last Assessment]="",Table1[Emotional and Mental Health],Table1[Emotional and Mental Health2]),""))</f>
        <v/>
      </c>
      <c r="GL461" s="44" t="str">
        <f>IF(Table1[Leaving Date]="","",IF(AND(Table1[Leaving Date]&gt;42460,Table1[Leaving Date]&lt;42826),IF(Table1[Date of Last Assessment]="",Table1[Meaningful Use of Time],Table1[Meaningful Use of Time2]),""))</f>
        <v/>
      </c>
      <c r="GM461" s="44" t="str">
        <f>IF(Table1[Leaving Date]="","",IF(AND(Table1[Leaving Date]&gt;42460,Table1[Leaving Date]&lt;42826),IF(Table1[Date of Last Assessment]="",Table1[Managing Tenancy and Accommodation],Table1[Managing Tenancy and Accommodation2]),""))</f>
        <v/>
      </c>
      <c r="GN461" s="44" t="str">
        <f>IF(Table1[Leaving Date]="","",IF(AND(Table1[Leaving Date]&gt;42460,Table1[Leaving Date]&lt;42826),IF(Table1[Date of Last Assessment]="",Table1[Offending],Table1[Offending2]),""))</f>
        <v/>
      </c>
    </row>
    <row r="462" spans="2:196" ht="20.100000000000001" customHeight="1" x14ac:dyDescent="0.2">
      <c r="B462" s="86">
        <f>+'Service Data'!$C$5:$C$5</f>
        <v>0</v>
      </c>
      <c r="C462" s="86"/>
      <c r="D462" s="86"/>
      <c r="E462" s="86"/>
      <c r="F462" s="86"/>
      <c r="G462" s="86"/>
      <c r="H462" s="6"/>
      <c r="I462" s="99" t="str">
        <f ca="1">IF(Table1[[#This Row],[Date of Birth]]="","",SUM(TODAY()-Table1[[#This Row],[Date of Birth]])/365)</f>
        <v/>
      </c>
      <c r="L462" s="86"/>
      <c r="M462" s="77"/>
      <c r="N462" s="86"/>
      <c r="O462" s="86"/>
      <c r="P462" s="91"/>
      <c r="Q462" s="86"/>
      <c r="R462" s="77"/>
      <c r="S462" s="77"/>
      <c r="T462" s="68"/>
      <c r="U462" s="68"/>
      <c r="V462" s="67"/>
      <c r="W462" s="67"/>
      <c r="X462" s="67"/>
      <c r="Y462" s="67"/>
      <c r="Z462" s="67"/>
      <c r="AA462" s="67"/>
      <c r="AB462" s="67"/>
      <c r="AC462" s="67"/>
      <c r="AD462" s="67"/>
      <c r="AE462" s="67"/>
      <c r="AF462" s="67"/>
      <c r="AG462" s="67"/>
      <c r="AH462" s="67"/>
      <c r="AI462" s="67"/>
      <c r="AJ462" s="67"/>
      <c r="AK462" s="67"/>
      <c r="AL462" s="67"/>
      <c r="AM462" s="67"/>
      <c r="AN462" s="77"/>
      <c r="AO462" s="76"/>
      <c r="AP462" s="77"/>
      <c r="AQ462" s="76"/>
      <c r="AR462" s="76"/>
      <c r="AS462" s="76"/>
      <c r="AT462" s="76"/>
      <c r="AU462" s="76"/>
      <c r="AV462" s="77"/>
      <c r="AW462" s="76"/>
      <c r="AX462" s="77"/>
      <c r="AY462" s="76"/>
      <c r="AZ462" s="76"/>
      <c r="BA462" s="76"/>
      <c r="BB462" s="76"/>
      <c r="BC462" s="76"/>
      <c r="BD462" s="77"/>
      <c r="BE462" s="76"/>
      <c r="BF462" s="77"/>
      <c r="BG462" s="76"/>
      <c r="BH462" s="76"/>
      <c r="BI462" s="76"/>
      <c r="BJ462" s="76"/>
      <c r="BK462" s="76"/>
      <c r="BL462" s="77"/>
      <c r="BM462" s="76"/>
      <c r="BN462" s="77"/>
      <c r="BO462" s="76"/>
      <c r="BP462" s="76"/>
      <c r="BQ462" s="76"/>
      <c r="BR462" s="76"/>
      <c r="BS462" s="76"/>
      <c r="BT462" s="77"/>
      <c r="BU462" s="76"/>
      <c r="BV462" s="77"/>
      <c r="BW462" s="76"/>
      <c r="BX462" s="76"/>
      <c r="BY462" s="76"/>
      <c r="BZ462" s="76"/>
      <c r="CA462" s="76"/>
      <c r="CB462" s="77"/>
      <c r="CC462" s="76"/>
      <c r="CD462" s="77"/>
      <c r="CE462" s="76"/>
      <c r="CF462" s="76"/>
      <c r="CG462" s="76"/>
      <c r="CH462" s="76"/>
      <c r="CI462" s="76"/>
      <c r="CJ462" s="77"/>
      <c r="CK462" s="76"/>
      <c r="CL462" s="77"/>
      <c r="CM462" s="76"/>
      <c r="CN462" s="76"/>
      <c r="CO462" s="76"/>
      <c r="CP462" s="76"/>
      <c r="CQ462" s="76"/>
      <c r="CR462" s="78" t="str">
        <f t="shared" si="127"/>
        <v/>
      </c>
      <c r="CS462" s="79" t="str">
        <f t="shared" si="128"/>
        <v/>
      </c>
      <c r="CT462" s="79" t="str">
        <f t="shared" si="129"/>
        <v/>
      </c>
      <c r="CU462" s="79" t="str">
        <f t="shared" si="130"/>
        <v/>
      </c>
      <c r="CV462" s="79" t="str">
        <f t="shared" si="131"/>
        <v/>
      </c>
      <c r="CW462" s="79" t="str">
        <f t="shared" si="132"/>
        <v/>
      </c>
      <c r="CX462" s="79" t="str">
        <f t="shared" si="133"/>
        <v/>
      </c>
      <c r="CY462" s="79" t="str">
        <f t="shared" si="134"/>
        <v/>
      </c>
      <c r="CZ462" s="79" t="str">
        <f t="shared" si="135"/>
        <v/>
      </c>
      <c r="DA462" s="79" t="str">
        <f t="shared" si="136"/>
        <v/>
      </c>
      <c r="DB462" s="79" t="str">
        <f t="shared" si="137"/>
        <v/>
      </c>
      <c r="DC462" s="79" t="str">
        <f t="shared" si="138"/>
        <v/>
      </c>
      <c r="DD462" s="79" t="str">
        <f t="shared" si="139"/>
        <v/>
      </c>
      <c r="DE462" s="79" t="str">
        <f t="shared" si="140"/>
        <v/>
      </c>
      <c r="DF462" s="79" t="str">
        <f t="shared" si="141"/>
        <v/>
      </c>
      <c r="DG462" s="79" t="str">
        <f t="shared" si="142"/>
        <v/>
      </c>
      <c r="DH462" s="76"/>
      <c r="DI462" s="78"/>
      <c r="DJ462" s="76"/>
      <c r="DK462" s="77"/>
      <c r="DL462" s="77"/>
      <c r="DM462" s="77"/>
      <c r="DN462" s="80"/>
      <c r="DO462" s="80"/>
      <c r="DP462" s="92" t="str">
        <f>IF(Table1[Start Date]="","",IF(Table1[Start Date]&gt;42185,"",IF(AND(Table1[Leaving Date]&gt;1,Table1[Leaving Date]&lt;42095),"",1)))</f>
        <v/>
      </c>
      <c r="DQ462" s="92" t="str">
        <f>IF(Table1[Start Date]="","",IF(Table1[Start Date]&gt;42277,"",IF(AND(Table1[Leaving Date]&gt;1,Table1[Leaving Date]&lt;42186),"",1)))</f>
        <v/>
      </c>
      <c r="DR462" s="92" t="str">
        <f>IF(Table1[Start Date]="","",IF(Table1[Start Date]&gt;42369,"",IF(AND(Table1[Leaving Date]&gt;1,Table1[Leaving Date]&lt;42278),"",1)))</f>
        <v/>
      </c>
      <c r="DS462" s="92" t="str">
        <f>IF(Table1[Start Date]="","",IF(Table1[Start Date]&gt;42460,"",IF(AND(Table1[Leaving Date]&gt;1,Table1[Leaving Date]&lt;42370),"",1)))</f>
        <v/>
      </c>
      <c r="DT462" s="92" t="str">
        <f>IF(Table1[Start Date]="","",IF(Table1[Start Date]&gt;42551,"",IF(AND(Table1[Leaving Date]&gt;1,Table1[Leaving Date]&lt;42461),"",1)))</f>
        <v/>
      </c>
      <c r="DU462" s="92" t="str">
        <f>IF(Table1[Start Date]="","",IF(Table1[Start Date]&gt;42643,"",IF(AND(Table1[Leaving Date]&gt;1,Table1[Leaving Date]&lt;42552),"",1)))</f>
        <v/>
      </c>
      <c r="DV462" s="92" t="str">
        <f>IF(Table1[Start Date]="","",IF(Table1[Start Date]&gt;42735,"",IF(AND(Table1[Leaving Date]&gt;1,Table1[Leaving Date]&lt;42644),"",1)))</f>
        <v/>
      </c>
      <c r="DW462" s="92" t="str">
        <f>IF(Table1[Start Date]="","",IF(Table1[Start Date]&gt;42825,"",IF(AND(Table1[Leaving Date]&gt;1,Table1[Leaving Date]&lt;42736),"",1)))</f>
        <v/>
      </c>
      <c r="DX462"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462" s="44" t="e">
        <f>VLOOKUP(Table1[Referral Source],Lists!$G$2:$H$20,2,FALSE)</f>
        <v>#N/A</v>
      </c>
      <c r="DZ462" s="93" t="e">
        <f>SUM(Table1[Data Referral Quarter]+Table1[Data Referral Source])</f>
        <v>#N/A</v>
      </c>
      <c r="EA462" s="44" t="b">
        <f>IF(Table1[Referral Decision]="Accepted",100,IF(Table1[Referral Decision]="Rejected by Provider",200,IF(Table1[Referral Decision]="Rejected by Applicant",300)))</f>
        <v>0</v>
      </c>
      <c r="EB462" s="44">
        <f>SUM(Table1[Data Referral Quarter]+Table1[Data Referral Decision])</f>
        <v>0</v>
      </c>
      <c r="EC462" s="44" t="b">
        <f>IF(Table1[Start Date]&gt;42735,8000,IF(Table1[Start Date]&gt;42643,7000,IF(Table1[Start Date]&gt;42551,6000,IF(Table1[Start Date]&gt;42460,5000,IF(Table1[Start Date]&gt;42369,4000,IF(Table1[Start Date]&gt;42277,3000,IF(Table1[Start Date]&gt;42185,2000,IF(Table1[Start Date]&gt;42094,1000))))))))</f>
        <v>0</v>
      </c>
      <c r="ED462" s="44" t="str">
        <f>IF(Table1[Start Date]="","",IF(Table1[Current Local Authority]="Swindon",1,"2"))</f>
        <v/>
      </c>
      <c r="EE462" s="44" t="e">
        <f>SUM(Table1[Data Start Date]+Table1[Data Local Authority])</f>
        <v>#VALUE!</v>
      </c>
      <c r="EF462" s="44">
        <f>IF(Table1[Registered with GP]="Yes",1,0)</f>
        <v>0</v>
      </c>
      <c r="EG462" s="44">
        <f>SUM(Table1[Data Start Date]+Table1[Data GP Start])</f>
        <v>0</v>
      </c>
      <c r="EH462" s="44" t="str">
        <f>IF(Table1[EET]="NEET",1,IF(Table1[EET]="Education",2,IF(Table1[EET]="Employment",2,IF(Table1[EET]="Training",2,IF(Table1[EET]="Retired",3,"")))))</f>
        <v/>
      </c>
      <c r="EI462" s="44" t="e">
        <f>Table1[Data Start Date]+Table1[Data EET Start]</f>
        <v>#VALUE!</v>
      </c>
      <c r="EJ462" s="44" t="b">
        <f>IF(Table1[Leaving Date]&gt;42735,8000,IF(Table1[Leaving Date]&gt;42643,7000,IF(Table1[Leaving Date]&gt;42551,6000,IF(Table1[Leaving Date]&gt;42460,5000,IF(Table1[Leaving Date]&gt;42369,4000,IF(Table1[Leaving Date]&gt;42277,3000,IF(Table1[Leaving Date]&gt;42185,2000,IF(Table1[Leaving Date]&gt;42094,1000))))))))</f>
        <v>0</v>
      </c>
      <c r="EK462" s="44" t="e">
        <f>VLOOKUP(Table1[Reason for Leaving],Lists!$T$2:$U$15,2,FALSE)</f>
        <v>#N/A</v>
      </c>
      <c r="EL462" s="44" t="e">
        <f>SUM(Table1[Data Leavers Date]+Table1[Data Move On])</f>
        <v>#N/A</v>
      </c>
      <c r="EM462" s="44" t="b">
        <f>IF(Table1[Registered with GP2]="Yes",1,IF(Table1[Registered with GP2]="No",0,IF(Table1[Registered with GP]="Yes",1,IF(Table1[Registered with GP]="No",0))))</f>
        <v>0</v>
      </c>
      <c r="EN462" s="44">
        <f>SUM(Table1[Data Leavers Date]+Table1[Data GP End])</f>
        <v>0</v>
      </c>
      <c r="EO462" s="44" t="str">
        <f>IF(Table1[EET2]="NEET",1,IF(Table1[EET2]="Employment",2,IF(Table1[EET2]="Education",2,IF(Table1[EET2]="Training",2,IF(Table1[EET2]="Retired",3,IF(Table1[EET]="NEET",1,IF(Table1[EET]="Employment",2,IF(Table1[EET]="Education",2,IF(Table1[EET]="Training",2,IF(Table1[EET]="Retired",3,""))))))))))</f>
        <v/>
      </c>
      <c r="EP462" s="44" t="e">
        <f>+Table1[[#This Row],[Data Leavers Date]]+Table1[[#This Row],[Data EET End]]</f>
        <v>#VALUE!</v>
      </c>
      <c r="EQ462" s="44">
        <f>IF(Table1[Exit Form Received]="Yes",1,0)</f>
        <v>0</v>
      </c>
      <c r="ER462" s="44">
        <f>+Table1[[#This Row],[Data Leavers Date]]+Table1[[#This Row],[Data Exit Forms]]</f>
        <v>0</v>
      </c>
      <c r="ES462" s="44" t="str">
        <f>IF(Table1[Data Leavers Date]=1000,SUM(Table1[Leaving Date]-Table1[Start Date]),"")</f>
        <v/>
      </c>
      <c r="ET462" s="44" t="str">
        <f>IF(Table1[Data Leavers Date]=2000,SUM(Table1[Leaving Date]-Table1[Start Date]),"")</f>
        <v/>
      </c>
      <c r="EU462" s="44" t="str">
        <f>IF(Table1[Data Leavers Date]=3000,SUM(Table1[Leaving Date]-Table1[Start Date]),"")</f>
        <v/>
      </c>
      <c r="EV462" s="44" t="str">
        <f>IF(Table1[Data Leavers Date]=4000,SUM(Table1[Leaving Date]-Table1[Start Date]),"")</f>
        <v/>
      </c>
      <c r="EW462" s="44" t="str">
        <f>IF(Table1[Data Leavers Date]=5000,SUM(Table1[Leaving Date]-Table1[Start Date]),"")</f>
        <v/>
      </c>
      <c r="EX462" s="44" t="str">
        <f>IF(Table1[Data Leavers Date]=6000,SUM(Table1[Leaving Date]-Table1[Start Date]),"")</f>
        <v/>
      </c>
      <c r="EY462" s="44" t="str">
        <f>IF(Table1[Data Leavers Date]=7000,SUM(Table1[Leaving Date]-Table1[Start Date]),"")</f>
        <v/>
      </c>
      <c r="EZ462" s="44" t="str">
        <f>IF(Table1[Data Leavers Date]=8000,SUM(Table1[Leaving Date]-Table1[Start Date]),"")</f>
        <v/>
      </c>
      <c r="FA462" s="44" t="str">
        <f>IF(Table1[Date of Initial Assessment]="","",IF(AND(Table1[Start Date]&gt;42094,Table1[Start Date]&lt;42461),Table1[Motivation and Taking Responsibility],""))</f>
        <v/>
      </c>
      <c r="FB462" s="44" t="str">
        <f>IF(Table1[Date of Initial Assessment]="","",IF(AND(Table1[Start Date]&gt;42094,Table1[Start Date]&lt;42461),Table1[Self-Care and Living Skills],""))</f>
        <v/>
      </c>
      <c r="FC462" s="44" t="str">
        <f>IF(Table1[Date of Initial Assessment]="","",IF(AND(Table1[Start Date]&gt;42094,Table1[Start Date]&lt;42461),Table1[Managing Money and Personal Administration],""))</f>
        <v/>
      </c>
      <c r="FD462" s="44" t="str">
        <f>IF(Table1[Date of Initial Assessment]="","",IF(AND(Table1[Start Date]&gt;42094,Table1[Start Date]&lt;42461),Table1[Social Networks and Relationships],""))</f>
        <v/>
      </c>
      <c r="FE462" s="44" t="str">
        <f>IF(Table1[Date of Initial Assessment]="","",IF(AND(Table1[Start Date]&gt;42094,Table1[Start Date]&lt;42461),Table1[Drug and Alcohol Misuse],""))</f>
        <v/>
      </c>
      <c r="FF462" s="44" t="str">
        <f>IF(Table1[Date of Initial Assessment]="","",IF(AND(Table1[Start Date]&gt;42094,Table1[Start Date]&lt;42461),Table1[Physical Health],""))</f>
        <v/>
      </c>
      <c r="FG462" s="44" t="str">
        <f>IF(Table1[Date of Initial Assessment]="","",IF(AND(Table1[Start Date]&gt;42094,Table1[Start Date]&lt;42461),Table1[Emotional and Mental Health],""))</f>
        <v/>
      </c>
      <c r="FH462" s="44" t="str">
        <f>IF(Table1[Date of Initial Assessment]="","",IF(AND(Table1[Start Date]&gt;42094,Table1[Start Date]&lt;42461),Table1[Meaningful Use of Time],""))</f>
        <v/>
      </c>
      <c r="FI462" s="44" t="str">
        <f>IF(Table1[Date of Initial Assessment]="","",IF(AND(Table1[Start Date]&gt;42094,Table1[Start Date]&lt;42461),Table1[Managing Tenancy and Accommodation],""))</f>
        <v/>
      </c>
      <c r="FJ462" s="44" t="str">
        <f>IF(Table1[Date of Initial Assessment]="","",IF(AND(Table1[Start Date]&gt;42094,Table1[Start Date]&lt;42461),Table1[Offending],""))</f>
        <v/>
      </c>
      <c r="FK462" s="44" t="str">
        <f>IF(Table1[Leaving Date]="","",IF(Table1[Date of Initial Assessment]="","",IF(AND(Table1[Leaving Date]&gt;42094,Table1[Leaving Date]&lt;42461),IF(Table1[Date of Last Assessment]="",Table1[Motivation and Taking Responsibility],Table1[Motivation and Taking Responsibility2]),"")))</f>
        <v/>
      </c>
      <c r="FL462" s="44" t="str">
        <f>IF(Table1[Leaving Date]="","",IF(Table1[Date of Initial Assessment]="","",IF(AND(Table1[Leaving Date]&gt;42094,Table1[Leaving Date]&lt;42461),IF(Table1[Date of Last Assessment]="",Table1[Self-Care and Living Skills],Table1[Self-Care and Living Skills2]),"")))</f>
        <v/>
      </c>
      <c r="FM462" s="44" t="str">
        <f>IF(Table1[Leaving Date]="","",IF(Table1[Date of Initial Assessment]="","",IF(AND(Table1[Leaving Date]&gt;42094,Table1[Leaving Date]&lt;42461),IF(Table1[Date of Last Assessment]="",Table1[Managing Money and Personal Administration],Table1[Managing Money and Personal Administration2]),"")))</f>
        <v/>
      </c>
      <c r="FN462" s="44" t="str">
        <f>IF(Table1[Leaving Date]="","",IF(Table1[Date of Initial Assessment]="","",IF(AND(Table1[Leaving Date]&gt;42094,Table1[Leaving Date]&lt;42461),IF(Table1[Date of Last Assessment]="",Table1[Social Networks and Relationships],Table1[Social Networks and Relationships2]),"")))</f>
        <v/>
      </c>
      <c r="FO462" s="44" t="str">
        <f>IF(Table1[Leaving Date]="","",IF(Table1[Date of Initial Assessment]="","",IF(AND(Table1[Leaving Date]&gt;42094,Table1[Leaving Date]&lt;42461),IF(Table1[Date of Last Assessment]="",Table1[Drug and Alcohol Misuse],Table1[Drug and Alcohol Misuse2]),"")))</f>
        <v/>
      </c>
      <c r="FP462" s="44" t="str">
        <f>IF(Table1[Leaving Date]="","",IF(Table1[Date of Initial Assessment]="","",IF(AND(Table1[Leaving Date]&gt;42094,Table1[Leaving Date]&lt;42461),IF(Table1[Date of Last Assessment]="",Table1[Physical Health],Table1[Physical Health2]),"")))</f>
        <v/>
      </c>
      <c r="FQ462" s="44" t="str">
        <f>IF(Table1[Leaving Date]="","",IF(Table1[Date of Initial Assessment]="","",IF(AND(Table1[Leaving Date]&gt;42094,Table1[Leaving Date]&lt;42461),IF(Table1[Date of Last Assessment]="",Table1[Emotional and Mental Health],Table1[Emotional and Mental Health2]),"")))</f>
        <v/>
      </c>
      <c r="FR462" s="44" t="str">
        <f>IF(Table1[Leaving Date]="","",IF(Table1[Date of Initial Assessment]="","",IF(AND(Table1[Leaving Date]&gt;42094,Table1[Leaving Date]&lt;42461),IF(Table1[Date of Last Assessment]="",Table1[Meaningful Use of Time],Table1[Meaningful Use of Time2]),"")))</f>
        <v/>
      </c>
      <c r="FS462" s="44" t="str">
        <f>IF(Table1[Leaving Date]="","",IF(Table1[Date of Initial Assessment]="","",IF(AND(Table1[Leaving Date]&gt;42094,Table1[Leaving Date]&lt;42461),IF(Table1[Date of Last Assessment]="",Table1[Managing Tenancy and Accommodation],Table1[Managing Tenancy and Accommodation2]),"")))</f>
        <v/>
      </c>
      <c r="FT462" s="44" t="str">
        <f>IF(Table1[Leaving Date]="","",IF(Table1[Date of Initial Assessment]="","",IF(AND(Table1[Leaving Date]&gt;42094,Table1[Leaving Date]&lt;42461),IF(Table1[Date of Last Assessment]="",Table1[Offending],Table1[Offending2]),"")))</f>
        <v/>
      </c>
      <c r="FU462" s="44" t="str">
        <f>IF(Table1[Date of Initial Assessment]="","",IF(AND(Table1[Start Date]&gt;42460,Table1[Start Date]&lt;42826),Table1[Motivation and Taking Responsibility],""))</f>
        <v/>
      </c>
      <c r="FV462" s="44" t="str">
        <f>IF(Table1[Date of Initial Assessment]="","",IF(AND(Table1[Start Date]&gt;42460,Table1[Start Date]&lt;42826),Table1[Self-Care and Living Skills],""))</f>
        <v/>
      </c>
      <c r="FW462" s="44" t="str">
        <f>IF(Table1[Date of Initial Assessment]="","",IF(AND(Table1[Start Date]&gt;42460,Table1[Start Date]&lt;42826),Table1[Managing Money and Personal Administration],""))</f>
        <v/>
      </c>
      <c r="FX462" s="44" t="str">
        <f>IF(Table1[Date of Initial Assessment]="","",IF(AND(Table1[Start Date]&gt;42460,Table1[Start Date]&lt;42826),Table1[Social Networks and Relationships],""))</f>
        <v/>
      </c>
      <c r="FY462" s="44" t="str">
        <f>IF(Table1[Date of Initial Assessment]="","",IF(AND(Table1[Start Date]&gt;42460,Table1[Start Date]&lt;42826),Table1[Drug and Alcohol Misuse],""))</f>
        <v/>
      </c>
      <c r="FZ462" s="44" t="str">
        <f>IF(Table1[Date of Initial Assessment]="","",IF(AND(Table1[Start Date]&gt;42460,Table1[Start Date]&lt;42826),Table1[Physical Health],""))</f>
        <v/>
      </c>
      <c r="GA462" s="44" t="str">
        <f>IF(Table1[Date of Initial Assessment]="","",IF(AND(Table1[Start Date]&gt;42460,Table1[Start Date]&lt;42826),Table1[Emotional and Mental Health],""))</f>
        <v/>
      </c>
      <c r="GB462" s="44" t="str">
        <f>IF(Table1[Date of Initial Assessment]="","",IF(AND(Table1[Start Date]&gt;42460,Table1[Start Date]&lt;42826),Table1[Meaningful Use of Time],""))</f>
        <v/>
      </c>
      <c r="GC462" s="44" t="str">
        <f>IF(Table1[Date of Initial Assessment]="","",IF(AND(Table1[Start Date]&gt;42460,Table1[Start Date]&lt;42826),Table1[Managing Tenancy and Accommodation],""))</f>
        <v/>
      </c>
      <c r="GD462" s="44" t="str">
        <f>IF(Table1[Date of Initial Assessment]="","",IF(AND(Table1[Start Date]&gt;42460,Table1[Start Date]&lt;42826),Table1[Offending],""))</f>
        <v/>
      </c>
      <c r="GE462" s="44" t="str">
        <f>IF(Table1[Leaving Date]="","",IF(AND(Table1[Leaving Date]&gt;42460,Table1[Leaving Date]&lt;42826),IF(Table1[Date of Last Assessment]="",Table1[Motivation and Taking Responsibility],Table1[Motivation and Taking Responsibility2]),""))</f>
        <v/>
      </c>
      <c r="GF462" s="44" t="str">
        <f>IF(Table1[Leaving Date]="","",IF(AND(Table1[Leaving Date]&gt;42460,Table1[Leaving Date]&lt;42826),IF(Table1[Date of Last Assessment]="",Table1[Self-Care and Living Skills],Table1[Self-Care and Living Skills2]),""))</f>
        <v/>
      </c>
      <c r="GG462" s="44" t="str">
        <f>IF(Table1[Leaving Date]="","",IF(AND(Table1[Leaving Date]&gt;42460,Table1[Leaving Date]&lt;42826),IF(Table1[Date of Last Assessment]="",Table1[Managing Money and Personal Administration],Table1[Managing Money and Personal Administration2]),""))</f>
        <v/>
      </c>
      <c r="GH462" s="44" t="str">
        <f>IF(Table1[Leaving Date]="","",IF(AND(Table1[Leaving Date]&gt;42460,Table1[Leaving Date]&lt;42826),IF(Table1[Date of Last Assessment]="",Table1[Social Networks and Relationships],Table1[Social Networks and Relationships2]),""))</f>
        <v/>
      </c>
      <c r="GI462" s="44" t="str">
        <f>IF(Table1[Leaving Date]="","",IF(AND(Table1[Leaving Date]&gt;42460,Table1[Leaving Date]&lt;42826),IF(Table1[Date of Last Assessment]="",Table1[Drug and Alcohol Misuse],Table1[Drug and Alcohol Misuse2]),""))</f>
        <v/>
      </c>
      <c r="GJ462" s="44" t="str">
        <f>IF(Table1[Leaving Date]="","",IF(AND(Table1[Leaving Date]&gt;42460,Table1[Leaving Date]&lt;42826),IF(Table1[Date of Last Assessment]="",Table1[Physical Health],Table1[Physical Health2]),""))</f>
        <v/>
      </c>
      <c r="GK462" s="44" t="str">
        <f>IF(Table1[Leaving Date]="","",IF(AND(Table1[Leaving Date]&gt;42460,Table1[Leaving Date]&lt;42826),IF(Table1[Date of Last Assessment]="",Table1[Emotional and Mental Health],Table1[Emotional and Mental Health2]),""))</f>
        <v/>
      </c>
      <c r="GL462" s="44" t="str">
        <f>IF(Table1[Leaving Date]="","",IF(AND(Table1[Leaving Date]&gt;42460,Table1[Leaving Date]&lt;42826),IF(Table1[Date of Last Assessment]="",Table1[Meaningful Use of Time],Table1[Meaningful Use of Time2]),""))</f>
        <v/>
      </c>
      <c r="GM462" s="44" t="str">
        <f>IF(Table1[Leaving Date]="","",IF(AND(Table1[Leaving Date]&gt;42460,Table1[Leaving Date]&lt;42826),IF(Table1[Date of Last Assessment]="",Table1[Managing Tenancy and Accommodation],Table1[Managing Tenancy and Accommodation2]),""))</f>
        <v/>
      </c>
      <c r="GN462" s="44" t="str">
        <f>IF(Table1[Leaving Date]="","",IF(AND(Table1[Leaving Date]&gt;42460,Table1[Leaving Date]&lt;42826),IF(Table1[Date of Last Assessment]="",Table1[Offending],Table1[Offending2]),""))</f>
        <v/>
      </c>
    </row>
    <row r="463" spans="2:196" ht="20.100000000000001" customHeight="1" x14ac:dyDescent="0.2">
      <c r="B463" s="86">
        <f>+'Service Data'!$C$5:$C$5</f>
        <v>0</v>
      </c>
      <c r="C463" s="86"/>
      <c r="D463" s="86"/>
      <c r="E463" s="86"/>
      <c r="F463" s="86"/>
      <c r="G463" s="86"/>
      <c r="H463" s="6"/>
      <c r="I463" s="99" t="str">
        <f ca="1">IF(Table1[[#This Row],[Date of Birth]]="","",SUM(TODAY()-Table1[[#This Row],[Date of Birth]])/365)</f>
        <v/>
      </c>
      <c r="L463" s="86"/>
      <c r="M463" s="77"/>
      <c r="N463" s="86"/>
      <c r="O463" s="86"/>
      <c r="P463" s="91"/>
      <c r="Q463" s="86"/>
      <c r="R463" s="77"/>
      <c r="S463" s="77"/>
      <c r="T463" s="68"/>
      <c r="U463" s="68"/>
      <c r="V463" s="67"/>
      <c r="W463" s="67"/>
      <c r="X463" s="67"/>
      <c r="Y463" s="67"/>
      <c r="Z463" s="67"/>
      <c r="AA463" s="67"/>
      <c r="AB463" s="67"/>
      <c r="AC463" s="67"/>
      <c r="AD463" s="67"/>
      <c r="AE463" s="67"/>
      <c r="AF463" s="67"/>
      <c r="AG463" s="67"/>
      <c r="AH463" s="67"/>
      <c r="AI463" s="67"/>
      <c r="AJ463" s="67"/>
      <c r="AK463" s="67"/>
      <c r="AL463" s="67"/>
      <c r="AM463" s="67"/>
      <c r="AN463" s="77"/>
      <c r="AO463" s="76"/>
      <c r="AP463" s="77"/>
      <c r="AQ463" s="76"/>
      <c r="AR463" s="76"/>
      <c r="AS463" s="76"/>
      <c r="AT463" s="76"/>
      <c r="AU463" s="76"/>
      <c r="AV463" s="77"/>
      <c r="AW463" s="76"/>
      <c r="AX463" s="77"/>
      <c r="AY463" s="76"/>
      <c r="AZ463" s="76"/>
      <c r="BA463" s="76"/>
      <c r="BB463" s="76"/>
      <c r="BC463" s="76"/>
      <c r="BD463" s="77"/>
      <c r="BE463" s="76"/>
      <c r="BF463" s="77"/>
      <c r="BG463" s="76"/>
      <c r="BH463" s="76"/>
      <c r="BI463" s="76"/>
      <c r="BJ463" s="76"/>
      <c r="BK463" s="76"/>
      <c r="BL463" s="77"/>
      <c r="BM463" s="76"/>
      <c r="BN463" s="77"/>
      <c r="BO463" s="76"/>
      <c r="BP463" s="76"/>
      <c r="BQ463" s="76"/>
      <c r="BR463" s="76"/>
      <c r="BS463" s="76"/>
      <c r="BT463" s="77"/>
      <c r="BU463" s="76"/>
      <c r="BV463" s="77"/>
      <c r="BW463" s="76"/>
      <c r="BX463" s="76"/>
      <c r="BY463" s="76"/>
      <c r="BZ463" s="76"/>
      <c r="CA463" s="76"/>
      <c r="CB463" s="77"/>
      <c r="CC463" s="76"/>
      <c r="CD463" s="77"/>
      <c r="CE463" s="76"/>
      <c r="CF463" s="76"/>
      <c r="CG463" s="76"/>
      <c r="CH463" s="76"/>
      <c r="CI463" s="76"/>
      <c r="CJ463" s="77"/>
      <c r="CK463" s="76"/>
      <c r="CL463" s="77"/>
      <c r="CM463" s="76"/>
      <c r="CN463" s="76"/>
      <c r="CO463" s="76"/>
      <c r="CP463" s="76"/>
      <c r="CQ463" s="76"/>
      <c r="CR463" s="78" t="str">
        <f t="shared" si="127"/>
        <v/>
      </c>
      <c r="CS463" s="79" t="str">
        <f t="shared" si="128"/>
        <v/>
      </c>
      <c r="CT463" s="79" t="str">
        <f t="shared" si="129"/>
        <v/>
      </c>
      <c r="CU463" s="79" t="str">
        <f t="shared" si="130"/>
        <v/>
      </c>
      <c r="CV463" s="79" t="str">
        <f t="shared" si="131"/>
        <v/>
      </c>
      <c r="CW463" s="79" t="str">
        <f t="shared" si="132"/>
        <v/>
      </c>
      <c r="CX463" s="79" t="str">
        <f t="shared" si="133"/>
        <v/>
      </c>
      <c r="CY463" s="79" t="str">
        <f t="shared" si="134"/>
        <v/>
      </c>
      <c r="CZ463" s="79" t="str">
        <f t="shared" si="135"/>
        <v/>
      </c>
      <c r="DA463" s="79" t="str">
        <f t="shared" si="136"/>
        <v/>
      </c>
      <c r="DB463" s="79" t="str">
        <f t="shared" si="137"/>
        <v/>
      </c>
      <c r="DC463" s="79" t="str">
        <f t="shared" si="138"/>
        <v/>
      </c>
      <c r="DD463" s="79" t="str">
        <f t="shared" si="139"/>
        <v/>
      </c>
      <c r="DE463" s="79" t="str">
        <f t="shared" si="140"/>
        <v/>
      </c>
      <c r="DF463" s="79" t="str">
        <f t="shared" si="141"/>
        <v/>
      </c>
      <c r="DG463" s="79" t="str">
        <f t="shared" si="142"/>
        <v/>
      </c>
      <c r="DH463" s="76"/>
      <c r="DI463" s="78"/>
      <c r="DJ463" s="76"/>
      <c r="DK463" s="77"/>
      <c r="DL463" s="77"/>
      <c r="DM463" s="77"/>
      <c r="DN463" s="80"/>
      <c r="DO463" s="80"/>
      <c r="DP463" s="92" t="str">
        <f>IF(Table1[Start Date]="","",IF(Table1[Start Date]&gt;42185,"",IF(AND(Table1[Leaving Date]&gt;1,Table1[Leaving Date]&lt;42095),"",1)))</f>
        <v/>
      </c>
      <c r="DQ463" s="92" t="str">
        <f>IF(Table1[Start Date]="","",IF(Table1[Start Date]&gt;42277,"",IF(AND(Table1[Leaving Date]&gt;1,Table1[Leaving Date]&lt;42186),"",1)))</f>
        <v/>
      </c>
      <c r="DR463" s="92" t="str">
        <f>IF(Table1[Start Date]="","",IF(Table1[Start Date]&gt;42369,"",IF(AND(Table1[Leaving Date]&gt;1,Table1[Leaving Date]&lt;42278),"",1)))</f>
        <v/>
      </c>
      <c r="DS463" s="92" t="str">
        <f>IF(Table1[Start Date]="","",IF(Table1[Start Date]&gt;42460,"",IF(AND(Table1[Leaving Date]&gt;1,Table1[Leaving Date]&lt;42370),"",1)))</f>
        <v/>
      </c>
      <c r="DT463" s="92" t="str">
        <f>IF(Table1[Start Date]="","",IF(Table1[Start Date]&gt;42551,"",IF(AND(Table1[Leaving Date]&gt;1,Table1[Leaving Date]&lt;42461),"",1)))</f>
        <v/>
      </c>
      <c r="DU463" s="92" t="str">
        <f>IF(Table1[Start Date]="","",IF(Table1[Start Date]&gt;42643,"",IF(AND(Table1[Leaving Date]&gt;1,Table1[Leaving Date]&lt;42552),"",1)))</f>
        <v/>
      </c>
      <c r="DV463" s="92" t="str">
        <f>IF(Table1[Start Date]="","",IF(Table1[Start Date]&gt;42735,"",IF(AND(Table1[Leaving Date]&gt;1,Table1[Leaving Date]&lt;42644),"",1)))</f>
        <v/>
      </c>
      <c r="DW463" s="92" t="str">
        <f>IF(Table1[Start Date]="","",IF(Table1[Start Date]&gt;42825,"",IF(AND(Table1[Leaving Date]&gt;1,Table1[Leaving Date]&lt;42736),"",1)))</f>
        <v/>
      </c>
      <c r="DX463"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463" s="44" t="e">
        <f>VLOOKUP(Table1[Referral Source],Lists!$G$2:$H$20,2,FALSE)</f>
        <v>#N/A</v>
      </c>
      <c r="DZ463" s="93" t="e">
        <f>SUM(Table1[Data Referral Quarter]+Table1[Data Referral Source])</f>
        <v>#N/A</v>
      </c>
      <c r="EA463" s="44" t="b">
        <f>IF(Table1[Referral Decision]="Accepted",100,IF(Table1[Referral Decision]="Rejected by Provider",200,IF(Table1[Referral Decision]="Rejected by Applicant",300)))</f>
        <v>0</v>
      </c>
      <c r="EB463" s="44">
        <f>SUM(Table1[Data Referral Quarter]+Table1[Data Referral Decision])</f>
        <v>0</v>
      </c>
      <c r="EC463" s="44" t="b">
        <f>IF(Table1[Start Date]&gt;42735,8000,IF(Table1[Start Date]&gt;42643,7000,IF(Table1[Start Date]&gt;42551,6000,IF(Table1[Start Date]&gt;42460,5000,IF(Table1[Start Date]&gt;42369,4000,IF(Table1[Start Date]&gt;42277,3000,IF(Table1[Start Date]&gt;42185,2000,IF(Table1[Start Date]&gt;42094,1000))))))))</f>
        <v>0</v>
      </c>
      <c r="ED463" s="44" t="str">
        <f>IF(Table1[Start Date]="","",IF(Table1[Current Local Authority]="Swindon",1,"2"))</f>
        <v/>
      </c>
      <c r="EE463" s="44" t="e">
        <f>SUM(Table1[Data Start Date]+Table1[Data Local Authority])</f>
        <v>#VALUE!</v>
      </c>
      <c r="EF463" s="44">
        <f>IF(Table1[Registered with GP]="Yes",1,0)</f>
        <v>0</v>
      </c>
      <c r="EG463" s="44">
        <f>SUM(Table1[Data Start Date]+Table1[Data GP Start])</f>
        <v>0</v>
      </c>
      <c r="EH463" s="44" t="str">
        <f>IF(Table1[EET]="NEET",1,IF(Table1[EET]="Education",2,IF(Table1[EET]="Employment",2,IF(Table1[EET]="Training",2,IF(Table1[EET]="Retired",3,"")))))</f>
        <v/>
      </c>
      <c r="EI463" s="44" t="e">
        <f>Table1[Data Start Date]+Table1[Data EET Start]</f>
        <v>#VALUE!</v>
      </c>
      <c r="EJ463" s="44" t="b">
        <f>IF(Table1[Leaving Date]&gt;42735,8000,IF(Table1[Leaving Date]&gt;42643,7000,IF(Table1[Leaving Date]&gt;42551,6000,IF(Table1[Leaving Date]&gt;42460,5000,IF(Table1[Leaving Date]&gt;42369,4000,IF(Table1[Leaving Date]&gt;42277,3000,IF(Table1[Leaving Date]&gt;42185,2000,IF(Table1[Leaving Date]&gt;42094,1000))))))))</f>
        <v>0</v>
      </c>
      <c r="EK463" s="44" t="e">
        <f>VLOOKUP(Table1[Reason for Leaving],Lists!$T$2:$U$15,2,FALSE)</f>
        <v>#N/A</v>
      </c>
      <c r="EL463" s="44" t="e">
        <f>SUM(Table1[Data Leavers Date]+Table1[Data Move On])</f>
        <v>#N/A</v>
      </c>
      <c r="EM463" s="44" t="b">
        <f>IF(Table1[Registered with GP2]="Yes",1,IF(Table1[Registered with GP2]="No",0,IF(Table1[Registered with GP]="Yes",1,IF(Table1[Registered with GP]="No",0))))</f>
        <v>0</v>
      </c>
      <c r="EN463" s="44">
        <f>SUM(Table1[Data Leavers Date]+Table1[Data GP End])</f>
        <v>0</v>
      </c>
      <c r="EO463" s="44" t="str">
        <f>IF(Table1[EET2]="NEET",1,IF(Table1[EET2]="Employment",2,IF(Table1[EET2]="Education",2,IF(Table1[EET2]="Training",2,IF(Table1[EET2]="Retired",3,IF(Table1[EET]="NEET",1,IF(Table1[EET]="Employment",2,IF(Table1[EET]="Education",2,IF(Table1[EET]="Training",2,IF(Table1[EET]="Retired",3,""))))))))))</f>
        <v/>
      </c>
      <c r="EP463" s="44" t="e">
        <f>+Table1[[#This Row],[Data Leavers Date]]+Table1[[#This Row],[Data EET End]]</f>
        <v>#VALUE!</v>
      </c>
      <c r="EQ463" s="44">
        <f>IF(Table1[Exit Form Received]="Yes",1,0)</f>
        <v>0</v>
      </c>
      <c r="ER463" s="44">
        <f>+Table1[[#This Row],[Data Leavers Date]]+Table1[[#This Row],[Data Exit Forms]]</f>
        <v>0</v>
      </c>
      <c r="ES463" s="44" t="str">
        <f>IF(Table1[Data Leavers Date]=1000,SUM(Table1[Leaving Date]-Table1[Start Date]),"")</f>
        <v/>
      </c>
      <c r="ET463" s="44" t="str">
        <f>IF(Table1[Data Leavers Date]=2000,SUM(Table1[Leaving Date]-Table1[Start Date]),"")</f>
        <v/>
      </c>
      <c r="EU463" s="44" t="str">
        <f>IF(Table1[Data Leavers Date]=3000,SUM(Table1[Leaving Date]-Table1[Start Date]),"")</f>
        <v/>
      </c>
      <c r="EV463" s="44" t="str">
        <f>IF(Table1[Data Leavers Date]=4000,SUM(Table1[Leaving Date]-Table1[Start Date]),"")</f>
        <v/>
      </c>
      <c r="EW463" s="44" t="str">
        <f>IF(Table1[Data Leavers Date]=5000,SUM(Table1[Leaving Date]-Table1[Start Date]),"")</f>
        <v/>
      </c>
      <c r="EX463" s="44" t="str">
        <f>IF(Table1[Data Leavers Date]=6000,SUM(Table1[Leaving Date]-Table1[Start Date]),"")</f>
        <v/>
      </c>
      <c r="EY463" s="44" t="str">
        <f>IF(Table1[Data Leavers Date]=7000,SUM(Table1[Leaving Date]-Table1[Start Date]),"")</f>
        <v/>
      </c>
      <c r="EZ463" s="44" t="str">
        <f>IF(Table1[Data Leavers Date]=8000,SUM(Table1[Leaving Date]-Table1[Start Date]),"")</f>
        <v/>
      </c>
      <c r="FA463" s="44" t="str">
        <f>IF(Table1[Date of Initial Assessment]="","",IF(AND(Table1[Start Date]&gt;42094,Table1[Start Date]&lt;42461),Table1[Motivation and Taking Responsibility],""))</f>
        <v/>
      </c>
      <c r="FB463" s="44" t="str">
        <f>IF(Table1[Date of Initial Assessment]="","",IF(AND(Table1[Start Date]&gt;42094,Table1[Start Date]&lt;42461),Table1[Self-Care and Living Skills],""))</f>
        <v/>
      </c>
      <c r="FC463" s="44" t="str">
        <f>IF(Table1[Date of Initial Assessment]="","",IF(AND(Table1[Start Date]&gt;42094,Table1[Start Date]&lt;42461),Table1[Managing Money and Personal Administration],""))</f>
        <v/>
      </c>
      <c r="FD463" s="44" t="str">
        <f>IF(Table1[Date of Initial Assessment]="","",IF(AND(Table1[Start Date]&gt;42094,Table1[Start Date]&lt;42461),Table1[Social Networks and Relationships],""))</f>
        <v/>
      </c>
      <c r="FE463" s="44" t="str">
        <f>IF(Table1[Date of Initial Assessment]="","",IF(AND(Table1[Start Date]&gt;42094,Table1[Start Date]&lt;42461),Table1[Drug and Alcohol Misuse],""))</f>
        <v/>
      </c>
      <c r="FF463" s="44" t="str">
        <f>IF(Table1[Date of Initial Assessment]="","",IF(AND(Table1[Start Date]&gt;42094,Table1[Start Date]&lt;42461),Table1[Physical Health],""))</f>
        <v/>
      </c>
      <c r="FG463" s="44" t="str">
        <f>IF(Table1[Date of Initial Assessment]="","",IF(AND(Table1[Start Date]&gt;42094,Table1[Start Date]&lt;42461),Table1[Emotional and Mental Health],""))</f>
        <v/>
      </c>
      <c r="FH463" s="44" t="str">
        <f>IF(Table1[Date of Initial Assessment]="","",IF(AND(Table1[Start Date]&gt;42094,Table1[Start Date]&lt;42461),Table1[Meaningful Use of Time],""))</f>
        <v/>
      </c>
      <c r="FI463" s="44" t="str">
        <f>IF(Table1[Date of Initial Assessment]="","",IF(AND(Table1[Start Date]&gt;42094,Table1[Start Date]&lt;42461),Table1[Managing Tenancy and Accommodation],""))</f>
        <v/>
      </c>
      <c r="FJ463" s="44" t="str">
        <f>IF(Table1[Date of Initial Assessment]="","",IF(AND(Table1[Start Date]&gt;42094,Table1[Start Date]&lt;42461),Table1[Offending],""))</f>
        <v/>
      </c>
      <c r="FK463" s="44" t="str">
        <f>IF(Table1[Leaving Date]="","",IF(Table1[Date of Initial Assessment]="","",IF(AND(Table1[Leaving Date]&gt;42094,Table1[Leaving Date]&lt;42461),IF(Table1[Date of Last Assessment]="",Table1[Motivation and Taking Responsibility],Table1[Motivation and Taking Responsibility2]),"")))</f>
        <v/>
      </c>
      <c r="FL463" s="44" t="str">
        <f>IF(Table1[Leaving Date]="","",IF(Table1[Date of Initial Assessment]="","",IF(AND(Table1[Leaving Date]&gt;42094,Table1[Leaving Date]&lt;42461),IF(Table1[Date of Last Assessment]="",Table1[Self-Care and Living Skills],Table1[Self-Care and Living Skills2]),"")))</f>
        <v/>
      </c>
      <c r="FM463" s="44" t="str">
        <f>IF(Table1[Leaving Date]="","",IF(Table1[Date of Initial Assessment]="","",IF(AND(Table1[Leaving Date]&gt;42094,Table1[Leaving Date]&lt;42461),IF(Table1[Date of Last Assessment]="",Table1[Managing Money and Personal Administration],Table1[Managing Money and Personal Administration2]),"")))</f>
        <v/>
      </c>
      <c r="FN463" s="44" t="str">
        <f>IF(Table1[Leaving Date]="","",IF(Table1[Date of Initial Assessment]="","",IF(AND(Table1[Leaving Date]&gt;42094,Table1[Leaving Date]&lt;42461),IF(Table1[Date of Last Assessment]="",Table1[Social Networks and Relationships],Table1[Social Networks and Relationships2]),"")))</f>
        <v/>
      </c>
      <c r="FO463" s="44" t="str">
        <f>IF(Table1[Leaving Date]="","",IF(Table1[Date of Initial Assessment]="","",IF(AND(Table1[Leaving Date]&gt;42094,Table1[Leaving Date]&lt;42461),IF(Table1[Date of Last Assessment]="",Table1[Drug and Alcohol Misuse],Table1[Drug and Alcohol Misuse2]),"")))</f>
        <v/>
      </c>
      <c r="FP463" s="44" t="str">
        <f>IF(Table1[Leaving Date]="","",IF(Table1[Date of Initial Assessment]="","",IF(AND(Table1[Leaving Date]&gt;42094,Table1[Leaving Date]&lt;42461),IF(Table1[Date of Last Assessment]="",Table1[Physical Health],Table1[Physical Health2]),"")))</f>
        <v/>
      </c>
      <c r="FQ463" s="44" t="str">
        <f>IF(Table1[Leaving Date]="","",IF(Table1[Date of Initial Assessment]="","",IF(AND(Table1[Leaving Date]&gt;42094,Table1[Leaving Date]&lt;42461),IF(Table1[Date of Last Assessment]="",Table1[Emotional and Mental Health],Table1[Emotional and Mental Health2]),"")))</f>
        <v/>
      </c>
      <c r="FR463" s="44" t="str">
        <f>IF(Table1[Leaving Date]="","",IF(Table1[Date of Initial Assessment]="","",IF(AND(Table1[Leaving Date]&gt;42094,Table1[Leaving Date]&lt;42461),IF(Table1[Date of Last Assessment]="",Table1[Meaningful Use of Time],Table1[Meaningful Use of Time2]),"")))</f>
        <v/>
      </c>
      <c r="FS463" s="44" t="str">
        <f>IF(Table1[Leaving Date]="","",IF(Table1[Date of Initial Assessment]="","",IF(AND(Table1[Leaving Date]&gt;42094,Table1[Leaving Date]&lt;42461),IF(Table1[Date of Last Assessment]="",Table1[Managing Tenancy and Accommodation],Table1[Managing Tenancy and Accommodation2]),"")))</f>
        <v/>
      </c>
      <c r="FT463" s="44" t="str">
        <f>IF(Table1[Leaving Date]="","",IF(Table1[Date of Initial Assessment]="","",IF(AND(Table1[Leaving Date]&gt;42094,Table1[Leaving Date]&lt;42461),IF(Table1[Date of Last Assessment]="",Table1[Offending],Table1[Offending2]),"")))</f>
        <v/>
      </c>
      <c r="FU463" s="44" t="str">
        <f>IF(Table1[Date of Initial Assessment]="","",IF(AND(Table1[Start Date]&gt;42460,Table1[Start Date]&lt;42826),Table1[Motivation and Taking Responsibility],""))</f>
        <v/>
      </c>
      <c r="FV463" s="44" t="str">
        <f>IF(Table1[Date of Initial Assessment]="","",IF(AND(Table1[Start Date]&gt;42460,Table1[Start Date]&lt;42826),Table1[Self-Care and Living Skills],""))</f>
        <v/>
      </c>
      <c r="FW463" s="44" t="str">
        <f>IF(Table1[Date of Initial Assessment]="","",IF(AND(Table1[Start Date]&gt;42460,Table1[Start Date]&lt;42826),Table1[Managing Money and Personal Administration],""))</f>
        <v/>
      </c>
      <c r="FX463" s="44" t="str">
        <f>IF(Table1[Date of Initial Assessment]="","",IF(AND(Table1[Start Date]&gt;42460,Table1[Start Date]&lt;42826),Table1[Social Networks and Relationships],""))</f>
        <v/>
      </c>
      <c r="FY463" s="44" t="str">
        <f>IF(Table1[Date of Initial Assessment]="","",IF(AND(Table1[Start Date]&gt;42460,Table1[Start Date]&lt;42826),Table1[Drug and Alcohol Misuse],""))</f>
        <v/>
      </c>
      <c r="FZ463" s="44" t="str">
        <f>IF(Table1[Date of Initial Assessment]="","",IF(AND(Table1[Start Date]&gt;42460,Table1[Start Date]&lt;42826),Table1[Physical Health],""))</f>
        <v/>
      </c>
      <c r="GA463" s="44" t="str">
        <f>IF(Table1[Date of Initial Assessment]="","",IF(AND(Table1[Start Date]&gt;42460,Table1[Start Date]&lt;42826),Table1[Emotional and Mental Health],""))</f>
        <v/>
      </c>
      <c r="GB463" s="44" t="str">
        <f>IF(Table1[Date of Initial Assessment]="","",IF(AND(Table1[Start Date]&gt;42460,Table1[Start Date]&lt;42826),Table1[Meaningful Use of Time],""))</f>
        <v/>
      </c>
      <c r="GC463" s="44" t="str">
        <f>IF(Table1[Date of Initial Assessment]="","",IF(AND(Table1[Start Date]&gt;42460,Table1[Start Date]&lt;42826),Table1[Managing Tenancy and Accommodation],""))</f>
        <v/>
      </c>
      <c r="GD463" s="44" t="str">
        <f>IF(Table1[Date of Initial Assessment]="","",IF(AND(Table1[Start Date]&gt;42460,Table1[Start Date]&lt;42826),Table1[Offending],""))</f>
        <v/>
      </c>
      <c r="GE463" s="44" t="str">
        <f>IF(Table1[Leaving Date]="","",IF(AND(Table1[Leaving Date]&gt;42460,Table1[Leaving Date]&lt;42826),IF(Table1[Date of Last Assessment]="",Table1[Motivation and Taking Responsibility],Table1[Motivation and Taking Responsibility2]),""))</f>
        <v/>
      </c>
      <c r="GF463" s="44" t="str">
        <f>IF(Table1[Leaving Date]="","",IF(AND(Table1[Leaving Date]&gt;42460,Table1[Leaving Date]&lt;42826),IF(Table1[Date of Last Assessment]="",Table1[Self-Care and Living Skills],Table1[Self-Care and Living Skills2]),""))</f>
        <v/>
      </c>
      <c r="GG463" s="44" t="str">
        <f>IF(Table1[Leaving Date]="","",IF(AND(Table1[Leaving Date]&gt;42460,Table1[Leaving Date]&lt;42826),IF(Table1[Date of Last Assessment]="",Table1[Managing Money and Personal Administration],Table1[Managing Money and Personal Administration2]),""))</f>
        <v/>
      </c>
      <c r="GH463" s="44" t="str">
        <f>IF(Table1[Leaving Date]="","",IF(AND(Table1[Leaving Date]&gt;42460,Table1[Leaving Date]&lt;42826),IF(Table1[Date of Last Assessment]="",Table1[Social Networks and Relationships],Table1[Social Networks and Relationships2]),""))</f>
        <v/>
      </c>
      <c r="GI463" s="44" t="str">
        <f>IF(Table1[Leaving Date]="","",IF(AND(Table1[Leaving Date]&gt;42460,Table1[Leaving Date]&lt;42826),IF(Table1[Date of Last Assessment]="",Table1[Drug and Alcohol Misuse],Table1[Drug and Alcohol Misuse2]),""))</f>
        <v/>
      </c>
      <c r="GJ463" s="44" t="str">
        <f>IF(Table1[Leaving Date]="","",IF(AND(Table1[Leaving Date]&gt;42460,Table1[Leaving Date]&lt;42826),IF(Table1[Date of Last Assessment]="",Table1[Physical Health],Table1[Physical Health2]),""))</f>
        <v/>
      </c>
      <c r="GK463" s="44" t="str">
        <f>IF(Table1[Leaving Date]="","",IF(AND(Table1[Leaving Date]&gt;42460,Table1[Leaving Date]&lt;42826),IF(Table1[Date of Last Assessment]="",Table1[Emotional and Mental Health],Table1[Emotional and Mental Health2]),""))</f>
        <v/>
      </c>
      <c r="GL463" s="44" t="str">
        <f>IF(Table1[Leaving Date]="","",IF(AND(Table1[Leaving Date]&gt;42460,Table1[Leaving Date]&lt;42826),IF(Table1[Date of Last Assessment]="",Table1[Meaningful Use of Time],Table1[Meaningful Use of Time2]),""))</f>
        <v/>
      </c>
      <c r="GM463" s="44" t="str">
        <f>IF(Table1[Leaving Date]="","",IF(AND(Table1[Leaving Date]&gt;42460,Table1[Leaving Date]&lt;42826),IF(Table1[Date of Last Assessment]="",Table1[Managing Tenancy and Accommodation],Table1[Managing Tenancy and Accommodation2]),""))</f>
        <v/>
      </c>
      <c r="GN463" s="44" t="str">
        <f>IF(Table1[Leaving Date]="","",IF(AND(Table1[Leaving Date]&gt;42460,Table1[Leaving Date]&lt;42826),IF(Table1[Date of Last Assessment]="",Table1[Offending],Table1[Offending2]),""))</f>
        <v/>
      </c>
    </row>
    <row r="464" spans="2:196" ht="20.100000000000001" customHeight="1" x14ac:dyDescent="0.2">
      <c r="B464" s="86">
        <f>+'Service Data'!$C$5:$C$5</f>
        <v>0</v>
      </c>
      <c r="C464" s="86"/>
      <c r="D464" s="86"/>
      <c r="E464" s="86"/>
      <c r="F464" s="86"/>
      <c r="G464" s="86"/>
      <c r="H464" s="6"/>
      <c r="I464" s="99" t="str">
        <f ca="1">IF(Table1[[#This Row],[Date of Birth]]="","",SUM(TODAY()-Table1[[#This Row],[Date of Birth]])/365)</f>
        <v/>
      </c>
      <c r="L464" s="86"/>
      <c r="M464" s="77"/>
      <c r="N464" s="86"/>
      <c r="O464" s="86"/>
      <c r="P464" s="91"/>
      <c r="Q464" s="86"/>
      <c r="R464" s="77"/>
      <c r="S464" s="77"/>
      <c r="T464" s="68"/>
      <c r="U464" s="68"/>
      <c r="V464" s="67"/>
      <c r="W464" s="67"/>
      <c r="X464" s="67"/>
      <c r="Y464" s="67"/>
      <c r="Z464" s="67"/>
      <c r="AA464" s="67"/>
      <c r="AB464" s="67"/>
      <c r="AC464" s="67"/>
      <c r="AD464" s="67"/>
      <c r="AE464" s="67"/>
      <c r="AF464" s="67"/>
      <c r="AG464" s="67"/>
      <c r="AH464" s="67"/>
      <c r="AI464" s="67"/>
      <c r="AJ464" s="67"/>
      <c r="AK464" s="67"/>
      <c r="AL464" s="67"/>
      <c r="AM464" s="67"/>
      <c r="AN464" s="77"/>
      <c r="AO464" s="76"/>
      <c r="AP464" s="77"/>
      <c r="AQ464" s="76"/>
      <c r="AR464" s="76"/>
      <c r="AS464" s="76"/>
      <c r="AT464" s="76"/>
      <c r="AU464" s="76"/>
      <c r="AV464" s="77"/>
      <c r="AW464" s="76"/>
      <c r="AX464" s="77"/>
      <c r="AY464" s="76"/>
      <c r="AZ464" s="76"/>
      <c r="BA464" s="76"/>
      <c r="BB464" s="76"/>
      <c r="BC464" s="76"/>
      <c r="BD464" s="77"/>
      <c r="BE464" s="76"/>
      <c r="BF464" s="77"/>
      <c r="BG464" s="76"/>
      <c r="BH464" s="76"/>
      <c r="BI464" s="76"/>
      <c r="BJ464" s="76"/>
      <c r="BK464" s="76"/>
      <c r="BL464" s="77"/>
      <c r="BM464" s="76"/>
      <c r="BN464" s="77"/>
      <c r="BO464" s="76"/>
      <c r="BP464" s="76"/>
      <c r="BQ464" s="76"/>
      <c r="BR464" s="76"/>
      <c r="BS464" s="76"/>
      <c r="BT464" s="77"/>
      <c r="BU464" s="76"/>
      <c r="BV464" s="77"/>
      <c r="BW464" s="76"/>
      <c r="BX464" s="76"/>
      <c r="BY464" s="76"/>
      <c r="BZ464" s="76"/>
      <c r="CA464" s="76"/>
      <c r="CB464" s="77"/>
      <c r="CC464" s="76"/>
      <c r="CD464" s="77"/>
      <c r="CE464" s="76"/>
      <c r="CF464" s="76"/>
      <c r="CG464" s="76"/>
      <c r="CH464" s="76"/>
      <c r="CI464" s="76"/>
      <c r="CJ464" s="77"/>
      <c r="CK464" s="76"/>
      <c r="CL464" s="77"/>
      <c r="CM464" s="76"/>
      <c r="CN464" s="76"/>
      <c r="CO464" s="76"/>
      <c r="CP464" s="76"/>
      <c r="CQ464" s="76"/>
      <c r="CR464" s="78" t="str">
        <f t="shared" si="127"/>
        <v/>
      </c>
      <c r="CS464" s="79" t="str">
        <f t="shared" si="128"/>
        <v/>
      </c>
      <c r="CT464" s="79" t="str">
        <f t="shared" si="129"/>
        <v/>
      </c>
      <c r="CU464" s="79" t="str">
        <f t="shared" si="130"/>
        <v/>
      </c>
      <c r="CV464" s="79" t="str">
        <f t="shared" si="131"/>
        <v/>
      </c>
      <c r="CW464" s="79" t="str">
        <f t="shared" si="132"/>
        <v/>
      </c>
      <c r="CX464" s="79" t="str">
        <f t="shared" si="133"/>
        <v/>
      </c>
      <c r="CY464" s="79" t="str">
        <f t="shared" si="134"/>
        <v/>
      </c>
      <c r="CZ464" s="79" t="str">
        <f t="shared" si="135"/>
        <v/>
      </c>
      <c r="DA464" s="79" t="str">
        <f t="shared" si="136"/>
        <v/>
      </c>
      <c r="DB464" s="79" t="str">
        <f t="shared" si="137"/>
        <v/>
      </c>
      <c r="DC464" s="79" t="str">
        <f t="shared" si="138"/>
        <v/>
      </c>
      <c r="DD464" s="79" t="str">
        <f t="shared" si="139"/>
        <v/>
      </c>
      <c r="DE464" s="79" t="str">
        <f t="shared" si="140"/>
        <v/>
      </c>
      <c r="DF464" s="79" t="str">
        <f t="shared" si="141"/>
        <v/>
      </c>
      <c r="DG464" s="79" t="str">
        <f t="shared" si="142"/>
        <v/>
      </c>
      <c r="DH464" s="76"/>
      <c r="DI464" s="78"/>
      <c r="DJ464" s="76"/>
      <c r="DK464" s="77"/>
      <c r="DL464" s="77"/>
      <c r="DM464" s="77"/>
      <c r="DN464" s="80"/>
      <c r="DO464" s="80"/>
      <c r="DP464" s="92" t="str">
        <f>IF(Table1[Start Date]="","",IF(Table1[Start Date]&gt;42185,"",IF(AND(Table1[Leaving Date]&gt;1,Table1[Leaving Date]&lt;42095),"",1)))</f>
        <v/>
      </c>
      <c r="DQ464" s="92" t="str">
        <f>IF(Table1[Start Date]="","",IF(Table1[Start Date]&gt;42277,"",IF(AND(Table1[Leaving Date]&gt;1,Table1[Leaving Date]&lt;42186),"",1)))</f>
        <v/>
      </c>
      <c r="DR464" s="92" t="str">
        <f>IF(Table1[Start Date]="","",IF(Table1[Start Date]&gt;42369,"",IF(AND(Table1[Leaving Date]&gt;1,Table1[Leaving Date]&lt;42278),"",1)))</f>
        <v/>
      </c>
      <c r="DS464" s="92" t="str">
        <f>IF(Table1[Start Date]="","",IF(Table1[Start Date]&gt;42460,"",IF(AND(Table1[Leaving Date]&gt;1,Table1[Leaving Date]&lt;42370),"",1)))</f>
        <v/>
      </c>
      <c r="DT464" s="92" t="str">
        <f>IF(Table1[Start Date]="","",IF(Table1[Start Date]&gt;42551,"",IF(AND(Table1[Leaving Date]&gt;1,Table1[Leaving Date]&lt;42461),"",1)))</f>
        <v/>
      </c>
      <c r="DU464" s="92" t="str">
        <f>IF(Table1[Start Date]="","",IF(Table1[Start Date]&gt;42643,"",IF(AND(Table1[Leaving Date]&gt;1,Table1[Leaving Date]&lt;42552),"",1)))</f>
        <v/>
      </c>
      <c r="DV464" s="92" t="str">
        <f>IF(Table1[Start Date]="","",IF(Table1[Start Date]&gt;42735,"",IF(AND(Table1[Leaving Date]&gt;1,Table1[Leaving Date]&lt;42644),"",1)))</f>
        <v/>
      </c>
      <c r="DW464" s="92" t="str">
        <f>IF(Table1[Start Date]="","",IF(Table1[Start Date]&gt;42825,"",IF(AND(Table1[Leaving Date]&gt;1,Table1[Leaving Date]&lt;42736),"",1)))</f>
        <v/>
      </c>
      <c r="DX464"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464" s="44" t="e">
        <f>VLOOKUP(Table1[Referral Source],Lists!$G$2:$H$20,2,FALSE)</f>
        <v>#N/A</v>
      </c>
      <c r="DZ464" s="93" t="e">
        <f>SUM(Table1[Data Referral Quarter]+Table1[Data Referral Source])</f>
        <v>#N/A</v>
      </c>
      <c r="EA464" s="44" t="b">
        <f>IF(Table1[Referral Decision]="Accepted",100,IF(Table1[Referral Decision]="Rejected by Provider",200,IF(Table1[Referral Decision]="Rejected by Applicant",300)))</f>
        <v>0</v>
      </c>
      <c r="EB464" s="44">
        <f>SUM(Table1[Data Referral Quarter]+Table1[Data Referral Decision])</f>
        <v>0</v>
      </c>
      <c r="EC464" s="44" t="b">
        <f>IF(Table1[Start Date]&gt;42735,8000,IF(Table1[Start Date]&gt;42643,7000,IF(Table1[Start Date]&gt;42551,6000,IF(Table1[Start Date]&gt;42460,5000,IF(Table1[Start Date]&gt;42369,4000,IF(Table1[Start Date]&gt;42277,3000,IF(Table1[Start Date]&gt;42185,2000,IF(Table1[Start Date]&gt;42094,1000))))))))</f>
        <v>0</v>
      </c>
      <c r="ED464" s="44" t="str">
        <f>IF(Table1[Start Date]="","",IF(Table1[Current Local Authority]="Swindon",1,"2"))</f>
        <v/>
      </c>
      <c r="EE464" s="44" t="e">
        <f>SUM(Table1[Data Start Date]+Table1[Data Local Authority])</f>
        <v>#VALUE!</v>
      </c>
      <c r="EF464" s="44">
        <f>IF(Table1[Registered with GP]="Yes",1,0)</f>
        <v>0</v>
      </c>
      <c r="EG464" s="44">
        <f>SUM(Table1[Data Start Date]+Table1[Data GP Start])</f>
        <v>0</v>
      </c>
      <c r="EH464" s="44" t="str">
        <f>IF(Table1[EET]="NEET",1,IF(Table1[EET]="Education",2,IF(Table1[EET]="Employment",2,IF(Table1[EET]="Training",2,IF(Table1[EET]="Retired",3,"")))))</f>
        <v/>
      </c>
      <c r="EI464" s="44" t="e">
        <f>Table1[Data Start Date]+Table1[Data EET Start]</f>
        <v>#VALUE!</v>
      </c>
      <c r="EJ464" s="44" t="b">
        <f>IF(Table1[Leaving Date]&gt;42735,8000,IF(Table1[Leaving Date]&gt;42643,7000,IF(Table1[Leaving Date]&gt;42551,6000,IF(Table1[Leaving Date]&gt;42460,5000,IF(Table1[Leaving Date]&gt;42369,4000,IF(Table1[Leaving Date]&gt;42277,3000,IF(Table1[Leaving Date]&gt;42185,2000,IF(Table1[Leaving Date]&gt;42094,1000))))))))</f>
        <v>0</v>
      </c>
      <c r="EK464" s="44" t="e">
        <f>VLOOKUP(Table1[Reason for Leaving],Lists!$T$2:$U$15,2,FALSE)</f>
        <v>#N/A</v>
      </c>
      <c r="EL464" s="44" t="e">
        <f>SUM(Table1[Data Leavers Date]+Table1[Data Move On])</f>
        <v>#N/A</v>
      </c>
      <c r="EM464" s="44" t="b">
        <f>IF(Table1[Registered with GP2]="Yes",1,IF(Table1[Registered with GP2]="No",0,IF(Table1[Registered with GP]="Yes",1,IF(Table1[Registered with GP]="No",0))))</f>
        <v>0</v>
      </c>
      <c r="EN464" s="44">
        <f>SUM(Table1[Data Leavers Date]+Table1[Data GP End])</f>
        <v>0</v>
      </c>
      <c r="EO464" s="44" t="str">
        <f>IF(Table1[EET2]="NEET",1,IF(Table1[EET2]="Employment",2,IF(Table1[EET2]="Education",2,IF(Table1[EET2]="Training",2,IF(Table1[EET2]="Retired",3,IF(Table1[EET]="NEET",1,IF(Table1[EET]="Employment",2,IF(Table1[EET]="Education",2,IF(Table1[EET]="Training",2,IF(Table1[EET]="Retired",3,""))))))))))</f>
        <v/>
      </c>
      <c r="EP464" s="44" t="e">
        <f>+Table1[[#This Row],[Data Leavers Date]]+Table1[[#This Row],[Data EET End]]</f>
        <v>#VALUE!</v>
      </c>
      <c r="EQ464" s="44">
        <f>IF(Table1[Exit Form Received]="Yes",1,0)</f>
        <v>0</v>
      </c>
      <c r="ER464" s="44">
        <f>+Table1[[#This Row],[Data Leavers Date]]+Table1[[#This Row],[Data Exit Forms]]</f>
        <v>0</v>
      </c>
      <c r="ES464" s="44" t="str">
        <f>IF(Table1[Data Leavers Date]=1000,SUM(Table1[Leaving Date]-Table1[Start Date]),"")</f>
        <v/>
      </c>
      <c r="ET464" s="44" t="str">
        <f>IF(Table1[Data Leavers Date]=2000,SUM(Table1[Leaving Date]-Table1[Start Date]),"")</f>
        <v/>
      </c>
      <c r="EU464" s="44" t="str">
        <f>IF(Table1[Data Leavers Date]=3000,SUM(Table1[Leaving Date]-Table1[Start Date]),"")</f>
        <v/>
      </c>
      <c r="EV464" s="44" t="str">
        <f>IF(Table1[Data Leavers Date]=4000,SUM(Table1[Leaving Date]-Table1[Start Date]),"")</f>
        <v/>
      </c>
      <c r="EW464" s="44" t="str">
        <f>IF(Table1[Data Leavers Date]=5000,SUM(Table1[Leaving Date]-Table1[Start Date]),"")</f>
        <v/>
      </c>
      <c r="EX464" s="44" t="str">
        <f>IF(Table1[Data Leavers Date]=6000,SUM(Table1[Leaving Date]-Table1[Start Date]),"")</f>
        <v/>
      </c>
      <c r="EY464" s="44" t="str">
        <f>IF(Table1[Data Leavers Date]=7000,SUM(Table1[Leaving Date]-Table1[Start Date]),"")</f>
        <v/>
      </c>
      <c r="EZ464" s="44" t="str">
        <f>IF(Table1[Data Leavers Date]=8000,SUM(Table1[Leaving Date]-Table1[Start Date]),"")</f>
        <v/>
      </c>
      <c r="FA464" s="44" t="str">
        <f>IF(Table1[Date of Initial Assessment]="","",IF(AND(Table1[Start Date]&gt;42094,Table1[Start Date]&lt;42461),Table1[Motivation and Taking Responsibility],""))</f>
        <v/>
      </c>
      <c r="FB464" s="44" t="str">
        <f>IF(Table1[Date of Initial Assessment]="","",IF(AND(Table1[Start Date]&gt;42094,Table1[Start Date]&lt;42461),Table1[Self-Care and Living Skills],""))</f>
        <v/>
      </c>
      <c r="FC464" s="44" t="str">
        <f>IF(Table1[Date of Initial Assessment]="","",IF(AND(Table1[Start Date]&gt;42094,Table1[Start Date]&lt;42461),Table1[Managing Money and Personal Administration],""))</f>
        <v/>
      </c>
      <c r="FD464" s="44" t="str">
        <f>IF(Table1[Date of Initial Assessment]="","",IF(AND(Table1[Start Date]&gt;42094,Table1[Start Date]&lt;42461),Table1[Social Networks and Relationships],""))</f>
        <v/>
      </c>
      <c r="FE464" s="44" t="str">
        <f>IF(Table1[Date of Initial Assessment]="","",IF(AND(Table1[Start Date]&gt;42094,Table1[Start Date]&lt;42461),Table1[Drug and Alcohol Misuse],""))</f>
        <v/>
      </c>
      <c r="FF464" s="44" t="str">
        <f>IF(Table1[Date of Initial Assessment]="","",IF(AND(Table1[Start Date]&gt;42094,Table1[Start Date]&lt;42461),Table1[Physical Health],""))</f>
        <v/>
      </c>
      <c r="FG464" s="44" t="str">
        <f>IF(Table1[Date of Initial Assessment]="","",IF(AND(Table1[Start Date]&gt;42094,Table1[Start Date]&lt;42461),Table1[Emotional and Mental Health],""))</f>
        <v/>
      </c>
      <c r="FH464" s="44" t="str">
        <f>IF(Table1[Date of Initial Assessment]="","",IF(AND(Table1[Start Date]&gt;42094,Table1[Start Date]&lt;42461),Table1[Meaningful Use of Time],""))</f>
        <v/>
      </c>
      <c r="FI464" s="44" t="str">
        <f>IF(Table1[Date of Initial Assessment]="","",IF(AND(Table1[Start Date]&gt;42094,Table1[Start Date]&lt;42461),Table1[Managing Tenancy and Accommodation],""))</f>
        <v/>
      </c>
      <c r="FJ464" s="44" t="str">
        <f>IF(Table1[Date of Initial Assessment]="","",IF(AND(Table1[Start Date]&gt;42094,Table1[Start Date]&lt;42461),Table1[Offending],""))</f>
        <v/>
      </c>
      <c r="FK464" s="44" t="str">
        <f>IF(Table1[Leaving Date]="","",IF(Table1[Date of Initial Assessment]="","",IF(AND(Table1[Leaving Date]&gt;42094,Table1[Leaving Date]&lt;42461),IF(Table1[Date of Last Assessment]="",Table1[Motivation and Taking Responsibility],Table1[Motivation and Taking Responsibility2]),"")))</f>
        <v/>
      </c>
      <c r="FL464" s="44" t="str">
        <f>IF(Table1[Leaving Date]="","",IF(Table1[Date of Initial Assessment]="","",IF(AND(Table1[Leaving Date]&gt;42094,Table1[Leaving Date]&lt;42461),IF(Table1[Date of Last Assessment]="",Table1[Self-Care and Living Skills],Table1[Self-Care and Living Skills2]),"")))</f>
        <v/>
      </c>
      <c r="FM464" s="44" t="str">
        <f>IF(Table1[Leaving Date]="","",IF(Table1[Date of Initial Assessment]="","",IF(AND(Table1[Leaving Date]&gt;42094,Table1[Leaving Date]&lt;42461),IF(Table1[Date of Last Assessment]="",Table1[Managing Money and Personal Administration],Table1[Managing Money and Personal Administration2]),"")))</f>
        <v/>
      </c>
      <c r="FN464" s="44" t="str">
        <f>IF(Table1[Leaving Date]="","",IF(Table1[Date of Initial Assessment]="","",IF(AND(Table1[Leaving Date]&gt;42094,Table1[Leaving Date]&lt;42461),IF(Table1[Date of Last Assessment]="",Table1[Social Networks and Relationships],Table1[Social Networks and Relationships2]),"")))</f>
        <v/>
      </c>
      <c r="FO464" s="44" t="str">
        <f>IF(Table1[Leaving Date]="","",IF(Table1[Date of Initial Assessment]="","",IF(AND(Table1[Leaving Date]&gt;42094,Table1[Leaving Date]&lt;42461),IF(Table1[Date of Last Assessment]="",Table1[Drug and Alcohol Misuse],Table1[Drug and Alcohol Misuse2]),"")))</f>
        <v/>
      </c>
      <c r="FP464" s="44" t="str">
        <f>IF(Table1[Leaving Date]="","",IF(Table1[Date of Initial Assessment]="","",IF(AND(Table1[Leaving Date]&gt;42094,Table1[Leaving Date]&lt;42461),IF(Table1[Date of Last Assessment]="",Table1[Physical Health],Table1[Physical Health2]),"")))</f>
        <v/>
      </c>
      <c r="FQ464" s="44" t="str">
        <f>IF(Table1[Leaving Date]="","",IF(Table1[Date of Initial Assessment]="","",IF(AND(Table1[Leaving Date]&gt;42094,Table1[Leaving Date]&lt;42461),IF(Table1[Date of Last Assessment]="",Table1[Emotional and Mental Health],Table1[Emotional and Mental Health2]),"")))</f>
        <v/>
      </c>
      <c r="FR464" s="44" t="str">
        <f>IF(Table1[Leaving Date]="","",IF(Table1[Date of Initial Assessment]="","",IF(AND(Table1[Leaving Date]&gt;42094,Table1[Leaving Date]&lt;42461),IF(Table1[Date of Last Assessment]="",Table1[Meaningful Use of Time],Table1[Meaningful Use of Time2]),"")))</f>
        <v/>
      </c>
      <c r="FS464" s="44" t="str">
        <f>IF(Table1[Leaving Date]="","",IF(Table1[Date of Initial Assessment]="","",IF(AND(Table1[Leaving Date]&gt;42094,Table1[Leaving Date]&lt;42461),IF(Table1[Date of Last Assessment]="",Table1[Managing Tenancy and Accommodation],Table1[Managing Tenancy and Accommodation2]),"")))</f>
        <v/>
      </c>
      <c r="FT464" s="44" t="str">
        <f>IF(Table1[Leaving Date]="","",IF(Table1[Date of Initial Assessment]="","",IF(AND(Table1[Leaving Date]&gt;42094,Table1[Leaving Date]&lt;42461),IF(Table1[Date of Last Assessment]="",Table1[Offending],Table1[Offending2]),"")))</f>
        <v/>
      </c>
      <c r="FU464" s="44" t="str">
        <f>IF(Table1[Date of Initial Assessment]="","",IF(AND(Table1[Start Date]&gt;42460,Table1[Start Date]&lt;42826),Table1[Motivation and Taking Responsibility],""))</f>
        <v/>
      </c>
      <c r="FV464" s="44" t="str">
        <f>IF(Table1[Date of Initial Assessment]="","",IF(AND(Table1[Start Date]&gt;42460,Table1[Start Date]&lt;42826),Table1[Self-Care and Living Skills],""))</f>
        <v/>
      </c>
      <c r="FW464" s="44" t="str">
        <f>IF(Table1[Date of Initial Assessment]="","",IF(AND(Table1[Start Date]&gt;42460,Table1[Start Date]&lt;42826),Table1[Managing Money and Personal Administration],""))</f>
        <v/>
      </c>
      <c r="FX464" s="44" t="str">
        <f>IF(Table1[Date of Initial Assessment]="","",IF(AND(Table1[Start Date]&gt;42460,Table1[Start Date]&lt;42826),Table1[Social Networks and Relationships],""))</f>
        <v/>
      </c>
      <c r="FY464" s="44" t="str">
        <f>IF(Table1[Date of Initial Assessment]="","",IF(AND(Table1[Start Date]&gt;42460,Table1[Start Date]&lt;42826),Table1[Drug and Alcohol Misuse],""))</f>
        <v/>
      </c>
      <c r="FZ464" s="44" t="str">
        <f>IF(Table1[Date of Initial Assessment]="","",IF(AND(Table1[Start Date]&gt;42460,Table1[Start Date]&lt;42826),Table1[Physical Health],""))</f>
        <v/>
      </c>
      <c r="GA464" s="44" t="str">
        <f>IF(Table1[Date of Initial Assessment]="","",IF(AND(Table1[Start Date]&gt;42460,Table1[Start Date]&lt;42826),Table1[Emotional and Mental Health],""))</f>
        <v/>
      </c>
      <c r="GB464" s="44" t="str">
        <f>IF(Table1[Date of Initial Assessment]="","",IF(AND(Table1[Start Date]&gt;42460,Table1[Start Date]&lt;42826),Table1[Meaningful Use of Time],""))</f>
        <v/>
      </c>
      <c r="GC464" s="44" t="str">
        <f>IF(Table1[Date of Initial Assessment]="","",IF(AND(Table1[Start Date]&gt;42460,Table1[Start Date]&lt;42826),Table1[Managing Tenancy and Accommodation],""))</f>
        <v/>
      </c>
      <c r="GD464" s="44" t="str">
        <f>IF(Table1[Date of Initial Assessment]="","",IF(AND(Table1[Start Date]&gt;42460,Table1[Start Date]&lt;42826),Table1[Offending],""))</f>
        <v/>
      </c>
      <c r="GE464" s="44" t="str">
        <f>IF(Table1[Leaving Date]="","",IF(AND(Table1[Leaving Date]&gt;42460,Table1[Leaving Date]&lt;42826),IF(Table1[Date of Last Assessment]="",Table1[Motivation and Taking Responsibility],Table1[Motivation and Taking Responsibility2]),""))</f>
        <v/>
      </c>
      <c r="GF464" s="44" t="str">
        <f>IF(Table1[Leaving Date]="","",IF(AND(Table1[Leaving Date]&gt;42460,Table1[Leaving Date]&lt;42826),IF(Table1[Date of Last Assessment]="",Table1[Self-Care and Living Skills],Table1[Self-Care and Living Skills2]),""))</f>
        <v/>
      </c>
      <c r="GG464" s="44" t="str">
        <f>IF(Table1[Leaving Date]="","",IF(AND(Table1[Leaving Date]&gt;42460,Table1[Leaving Date]&lt;42826),IF(Table1[Date of Last Assessment]="",Table1[Managing Money and Personal Administration],Table1[Managing Money and Personal Administration2]),""))</f>
        <v/>
      </c>
      <c r="GH464" s="44" t="str">
        <f>IF(Table1[Leaving Date]="","",IF(AND(Table1[Leaving Date]&gt;42460,Table1[Leaving Date]&lt;42826),IF(Table1[Date of Last Assessment]="",Table1[Social Networks and Relationships],Table1[Social Networks and Relationships2]),""))</f>
        <v/>
      </c>
      <c r="GI464" s="44" t="str">
        <f>IF(Table1[Leaving Date]="","",IF(AND(Table1[Leaving Date]&gt;42460,Table1[Leaving Date]&lt;42826),IF(Table1[Date of Last Assessment]="",Table1[Drug and Alcohol Misuse],Table1[Drug and Alcohol Misuse2]),""))</f>
        <v/>
      </c>
      <c r="GJ464" s="44" t="str">
        <f>IF(Table1[Leaving Date]="","",IF(AND(Table1[Leaving Date]&gt;42460,Table1[Leaving Date]&lt;42826),IF(Table1[Date of Last Assessment]="",Table1[Physical Health],Table1[Physical Health2]),""))</f>
        <v/>
      </c>
      <c r="GK464" s="44" t="str">
        <f>IF(Table1[Leaving Date]="","",IF(AND(Table1[Leaving Date]&gt;42460,Table1[Leaving Date]&lt;42826),IF(Table1[Date of Last Assessment]="",Table1[Emotional and Mental Health],Table1[Emotional and Mental Health2]),""))</f>
        <v/>
      </c>
      <c r="GL464" s="44" t="str">
        <f>IF(Table1[Leaving Date]="","",IF(AND(Table1[Leaving Date]&gt;42460,Table1[Leaving Date]&lt;42826),IF(Table1[Date of Last Assessment]="",Table1[Meaningful Use of Time],Table1[Meaningful Use of Time2]),""))</f>
        <v/>
      </c>
      <c r="GM464" s="44" t="str">
        <f>IF(Table1[Leaving Date]="","",IF(AND(Table1[Leaving Date]&gt;42460,Table1[Leaving Date]&lt;42826),IF(Table1[Date of Last Assessment]="",Table1[Managing Tenancy and Accommodation],Table1[Managing Tenancy and Accommodation2]),""))</f>
        <v/>
      </c>
      <c r="GN464" s="44" t="str">
        <f>IF(Table1[Leaving Date]="","",IF(AND(Table1[Leaving Date]&gt;42460,Table1[Leaving Date]&lt;42826),IF(Table1[Date of Last Assessment]="",Table1[Offending],Table1[Offending2]),""))</f>
        <v/>
      </c>
    </row>
    <row r="465" spans="2:196" ht="20.100000000000001" customHeight="1" x14ac:dyDescent="0.2">
      <c r="B465" s="86">
        <f>+'Service Data'!$C$5:$C$5</f>
        <v>0</v>
      </c>
      <c r="C465" s="86"/>
      <c r="D465" s="86"/>
      <c r="E465" s="86"/>
      <c r="F465" s="86"/>
      <c r="G465" s="86"/>
      <c r="H465" s="6"/>
      <c r="I465" s="99" t="str">
        <f ca="1">IF(Table1[[#This Row],[Date of Birth]]="","",SUM(TODAY()-Table1[[#This Row],[Date of Birth]])/365)</f>
        <v/>
      </c>
      <c r="L465" s="86"/>
      <c r="M465" s="77"/>
      <c r="N465" s="86"/>
      <c r="O465" s="86"/>
      <c r="P465" s="91"/>
      <c r="Q465" s="86"/>
      <c r="R465" s="77"/>
      <c r="S465" s="77"/>
      <c r="T465" s="68"/>
      <c r="U465" s="68"/>
      <c r="V465" s="67"/>
      <c r="W465" s="67"/>
      <c r="X465" s="67"/>
      <c r="Y465" s="67"/>
      <c r="Z465" s="67"/>
      <c r="AA465" s="67"/>
      <c r="AB465" s="67"/>
      <c r="AC465" s="67"/>
      <c r="AD465" s="67"/>
      <c r="AE465" s="67"/>
      <c r="AF465" s="67"/>
      <c r="AG465" s="67"/>
      <c r="AH465" s="67"/>
      <c r="AI465" s="67"/>
      <c r="AJ465" s="67"/>
      <c r="AK465" s="67"/>
      <c r="AL465" s="67"/>
      <c r="AM465" s="67"/>
      <c r="AN465" s="77"/>
      <c r="AO465" s="76"/>
      <c r="AP465" s="77"/>
      <c r="AQ465" s="76"/>
      <c r="AR465" s="76"/>
      <c r="AS465" s="76"/>
      <c r="AT465" s="76"/>
      <c r="AU465" s="76"/>
      <c r="AV465" s="77"/>
      <c r="AW465" s="76"/>
      <c r="AX465" s="77"/>
      <c r="AY465" s="76"/>
      <c r="AZ465" s="76"/>
      <c r="BA465" s="76"/>
      <c r="BB465" s="76"/>
      <c r="BC465" s="76"/>
      <c r="BD465" s="77"/>
      <c r="BE465" s="76"/>
      <c r="BF465" s="77"/>
      <c r="BG465" s="76"/>
      <c r="BH465" s="76"/>
      <c r="BI465" s="76"/>
      <c r="BJ465" s="76"/>
      <c r="BK465" s="76"/>
      <c r="BL465" s="77"/>
      <c r="BM465" s="76"/>
      <c r="BN465" s="77"/>
      <c r="BO465" s="76"/>
      <c r="BP465" s="76"/>
      <c r="BQ465" s="76"/>
      <c r="BR465" s="76"/>
      <c r="BS465" s="76"/>
      <c r="BT465" s="77"/>
      <c r="BU465" s="76"/>
      <c r="BV465" s="77"/>
      <c r="BW465" s="76"/>
      <c r="BX465" s="76"/>
      <c r="BY465" s="76"/>
      <c r="BZ465" s="76"/>
      <c r="CA465" s="76"/>
      <c r="CB465" s="77"/>
      <c r="CC465" s="76"/>
      <c r="CD465" s="77"/>
      <c r="CE465" s="76"/>
      <c r="CF465" s="76"/>
      <c r="CG465" s="76"/>
      <c r="CH465" s="76"/>
      <c r="CI465" s="76"/>
      <c r="CJ465" s="77"/>
      <c r="CK465" s="76"/>
      <c r="CL465" s="77"/>
      <c r="CM465" s="76"/>
      <c r="CN465" s="76"/>
      <c r="CO465" s="76"/>
      <c r="CP465" s="76"/>
      <c r="CQ465" s="76"/>
      <c r="CR465" s="78" t="str">
        <f t="shared" si="127"/>
        <v/>
      </c>
      <c r="CS465" s="79" t="str">
        <f t="shared" si="128"/>
        <v/>
      </c>
      <c r="CT465" s="79" t="str">
        <f t="shared" si="129"/>
        <v/>
      </c>
      <c r="CU465" s="79" t="str">
        <f t="shared" si="130"/>
        <v/>
      </c>
      <c r="CV465" s="79" t="str">
        <f t="shared" si="131"/>
        <v/>
      </c>
      <c r="CW465" s="79" t="str">
        <f t="shared" si="132"/>
        <v/>
      </c>
      <c r="CX465" s="79" t="str">
        <f t="shared" si="133"/>
        <v/>
      </c>
      <c r="CY465" s="79" t="str">
        <f t="shared" si="134"/>
        <v/>
      </c>
      <c r="CZ465" s="79" t="str">
        <f t="shared" si="135"/>
        <v/>
      </c>
      <c r="DA465" s="79" t="str">
        <f t="shared" si="136"/>
        <v/>
      </c>
      <c r="DB465" s="79" t="str">
        <f t="shared" si="137"/>
        <v/>
      </c>
      <c r="DC465" s="79" t="str">
        <f t="shared" si="138"/>
        <v/>
      </c>
      <c r="DD465" s="79" t="str">
        <f t="shared" si="139"/>
        <v/>
      </c>
      <c r="DE465" s="79" t="str">
        <f t="shared" si="140"/>
        <v/>
      </c>
      <c r="DF465" s="79" t="str">
        <f t="shared" si="141"/>
        <v/>
      </c>
      <c r="DG465" s="79" t="str">
        <f t="shared" si="142"/>
        <v/>
      </c>
      <c r="DH465" s="76"/>
      <c r="DI465" s="78"/>
      <c r="DJ465" s="76"/>
      <c r="DK465" s="77"/>
      <c r="DL465" s="77"/>
      <c r="DM465" s="77"/>
      <c r="DN465" s="80"/>
      <c r="DO465" s="80"/>
      <c r="DP465" s="92" t="str">
        <f>IF(Table1[Start Date]="","",IF(Table1[Start Date]&gt;42185,"",IF(AND(Table1[Leaving Date]&gt;1,Table1[Leaving Date]&lt;42095),"",1)))</f>
        <v/>
      </c>
      <c r="DQ465" s="92" t="str">
        <f>IF(Table1[Start Date]="","",IF(Table1[Start Date]&gt;42277,"",IF(AND(Table1[Leaving Date]&gt;1,Table1[Leaving Date]&lt;42186),"",1)))</f>
        <v/>
      </c>
      <c r="DR465" s="92" t="str">
        <f>IF(Table1[Start Date]="","",IF(Table1[Start Date]&gt;42369,"",IF(AND(Table1[Leaving Date]&gt;1,Table1[Leaving Date]&lt;42278),"",1)))</f>
        <v/>
      </c>
      <c r="DS465" s="92" t="str">
        <f>IF(Table1[Start Date]="","",IF(Table1[Start Date]&gt;42460,"",IF(AND(Table1[Leaving Date]&gt;1,Table1[Leaving Date]&lt;42370),"",1)))</f>
        <v/>
      </c>
      <c r="DT465" s="92" t="str">
        <f>IF(Table1[Start Date]="","",IF(Table1[Start Date]&gt;42551,"",IF(AND(Table1[Leaving Date]&gt;1,Table1[Leaving Date]&lt;42461),"",1)))</f>
        <v/>
      </c>
      <c r="DU465" s="92" t="str">
        <f>IF(Table1[Start Date]="","",IF(Table1[Start Date]&gt;42643,"",IF(AND(Table1[Leaving Date]&gt;1,Table1[Leaving Date]&lt;42552),"",1)))</f>
        <v/>
      </c>
      <c r="DV465" s="92" t="str">
        <f>IF(Table1[Start Date]="","",IF(Table1[Start Date]&gt;42735,"",IF(AND(Table1[Leaving Date]&gt;1,Table1[Leaving Date]&lt;42644),"",1)))</f>
        <v/>
      </c>
      <c r="DW465" s="92" t="str">
        <f>IF(Table1[Start Date]="","",IF(Table1[Start Date]&gt;42825,"",IF(AND(Table1[Leaving Date]&gt;1,Table1[Leaving Date]&lt;42736),"",1)))</f>
        <v/>
      </c>
      <c r="DX465"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465" s="44" t="e">
        <f>VLOOKUP(Table1[Referral Source],Lists!$G$2:$H$20,2,FALSE)</f>
        <v>#N/A</v>
      </c>
      <c r="DZ465" s="93" t="e">
        <f>SUM(Table1[Data Referral Quarter]+Table1[Data Referral Source])</f>
        <v>#N/A</v>
      </c>
      <c r="EA465" s="44" t="b">
        <f>IF(Table1[Referral Decision]="Accepted",100,IF(Table1[Referral Decision]="Rejected by Provider",200,IF(Table1[Referral Decision]="Rejected by Applicant",300)))</f>
        <v>0</v>
      </c>
      <c r="EB465" s="44">
        <f>SUM(Table1[Data Referral Quarter]+Table1[Data Referral Decision])</f>
        <v>0</v>
      </c>
      <c r="EC465" s="44" t="b">
        <f>IF(Table1[Start Date]&gt;42735,8000,IF(Table1[Start Date]&gt;42643,7000,IF(Table1[Start Date]&gt;42551,6000,IF(Table1[Start Date]&gt;42460,5000,IF(Table1[Start Date]&gt;42369,4000,IF(Table1[Start Date]&gt;42277,3000,IF(Table1[Start Date]&gt;42185,2000,IF(Table1[Start Date]&gt;42094,1000))))))))</f>
        <v>0</v>
      </c>
      <c r="ED465" s="44" t="str">
        <f>IF(Table1[Start Date]="","",IF(Table1[Current Local Authority]="Swindon",1,"2"))</f>
        <v/>
      </c>
      <c r="EE465" s="44" t="e">
        <f>SUM(Table1[Data Start Date]+Table1[Data Local Authority])</f>
        <v>#VALUE!</v>
      </c>
      <c r="EF465" s="44">
        <f>IF(Table1[Registered with GP]="Yes",1,0)</f>
        <v>0</v>
      </c>
      <c r="EG465" s="44">
        <f>SUM(Table1[Data Start Date]+Table1[Data GP Start])</f>
        <v>0</v>
      </c>
      <c r="EH465" s="44" t="str">
        <f>IF(Table1[EET]="NEET",1,IF(Table1[EET]="Education",2,IF(Table1[EET]="Employment",2,IF(Table1[EET]="Training",2,IF(Table1[EET]="Retired",3,"")))))</f>
        <v/>
      </c>
      <c r="EI465" s="44" t="e">
        <f>Table1[Data Start Date]+Table1[Data EET Start]</f>
        <v>#VALUE!</v>
      </c>
      <c r="EJ465" s="44" t="b">
        <f>IF(Table1[Leaving Date]&gt;42735,8000,IF(Table1[Leaving Date]&gt;42643,7000,IF(Table1[Leaving Date]&gt;42551,6000,IF(Table1[Leaving Date]&gt;42460,5000,IF(Table1[Leaving Date]&gt;42369,4000,IF(Table1[Leaving Date]&gt;42277,3000,IF(Table1[Leaving Date]&gt;42185,2000,IF(Table1[Leaving Date]&gt;42094,1000))))))))</f>
        <v>0</v>
      </c>
      <c r="EK465" s="44" t="e">
        <f>VLOOKUP(Table1[Reason for Leaving],Lists!$T$2:$U$15,2,FALSE)</f>
        <v>#N/A</v>
      </c>
      <c r="EL465" s="44" t="e">
        <f>SUM(Table1[Data Leavers Date]+Table1[Data Move On])</f>
        <v>#N/A</v>
      </c>
      <c r="EM465" s="44" t="b">
        <f>IF(Table1[Registered with GP2]="Yes",1,IF(Table1[Registered with GP2]="No",0,IF(Table1[Registered with GP]="Yes",1,IF(Table1[Registered with GP]="No",0))))</f>
        <v>0</v>
      </c>
      <c r="EN465" s="44">
        <f>SUM(Table1[Data Leavers Date]+Table1[Data GP End])</f>
        <v>0</v>
      </c>
      <c r="EO465" s="44" t="str">
        <f>IF(Table1[EET2]="NEET",1,IF(Table1[EET2]="Employment",2,IF(Table1[EET2]="Education",2,IF(Table1[EET2]="Training",2,IF(Table1[EET2]="Retired",3,IF(Table1[EET]="NEET",1,IF(Table1[EET]="Employment",2,IF(Table1[EET]="Education",2,IF(Table1[EET]="Training",2,IF(Table1[EET]="Retired",3,""))))))))))</f>
        <v/>
      </c>
      <c r="EP465" s="44" t="e">
        <f>+Table1[[#This Row],[Data Leavers Date]]+Table1[[#This Row],[Data EET End]]</f>
        <v>#VALUE!</v>
      </c>
      <c r="EQ465" s="44">
        <f>IF(Table1[Exit Form Received]="Yes",1,0)</f>
        <v>0</v>
      </c>
      <c r="ER465" s="44">
        <f>+Table1[[#This Row],[Data Leavers Date]]+Table1[[#This Row],[Data Exit Forms]]</f>
        <v>0</v>
      </c>
      <c r="ES465" s="44" t="str">
        <f>IF(Table1[Data Leavers Date]=1000,SUM(Table1[Leaving Date]-Table1[Start Date]),"")</f>
        <v/>
      </c>
      <c r="ET465" s="44" t="str">
        <f>IF(Table1[Data Leavers Date]=2000,SUM(Table1[Leaving Date]-Table1[Start Date]),"")</f>
        <v/>
      </c>
      <c r="EU465" s="44" t="str">
        <f>IF(Table1[Data Leavers Date]=3000,SUM(Table1[Leaving Date]-Table1[Start Date]),"")</f>
        <v/>
      </c>
      <c r="EV465" s="44" t="str">
        <f>IF(Table1[Data Leavers Date]=4000,SUM(Table1[Leaving Date]-Table1[Start Date]),"")</f>
        <v/>
      </c>
      <c r="EW465" s="44" t="str">
        <f>IF(Table1[Data Leavers Date]=5000,SUM(Table1[Leaving Date]-Table1[Start Date]),"")</f>
        <v/>
      </c>
      <c r="EX465" s="44" t="str">
        <f>IF(Table1[Data Leavers Date]=6000,SUM(Table1[Leaving Date]-Table1[Start Date]),"")</f>
        <v/>
      </c>
      <c r="EY465" s="44" t="str">
        <f>IF(Table1[Data Leavers Date]=7000,SUM(Table1[Leaving Date]-Table1[Start Date]),"")</f>
        <v/>
      </c>
      <c r="EZ465" s="44" t="str">
        <f>IF(Table1[Data Leavers Date]=8000,SUM(Table1[Leaving Date]-Table1[Start Date]),"")</f>
        <v/>
      </c>
      <c r="FA465" s="44" t="str">
        <f>IF(Table1[Date of Initial Assessment]="","",IF(AND(Table1[Start Date]&gt;42094,Table1[Start Date]&lt;42461),Table1[Motivation and Taking Responsibility],""))</f>
        <v/>
      </c>
      <c r="FB465" s="44" t="str">
        <f>IF(Table1[Date of Initial Assessment]="","",IF(AND(Table1[Start Date]&gt;42094,Table1[Start Date]&lt;42461),Table1[Self-Care and Living Skills],""))</f>
        <v/>
      </c>
      <c r="FC465" s="44" t="str">
        <f>IF(Table1[Date of Initial Assessment]="","",IF(AND(Table1[Start Date]&gt;42094,Table1[Start Date]&lt;42461),Table1[Managing Money and Personal Administration],""))</f>
        <v/>
      </c>
      <c r="FD465" s="44" t="str">
        <f>IF(Table1[Date of Initial Assessment]="","",IF(AND(Table1[Start Date]&gt;42094,Table1[Start Date]&lt;42461),Table1[Social Networks and Relationships],""))</f>
        <v/>
      </c>
      <c r="FE465" s="44" t="str">
        <f>IF(Table1[Date of Initial Assessment]="","",IF(AND(Table1[Start Date]&gt;42094,Table1[Start Date]&lt;42461),Table1[Drug and Alcohol Misuse],""))</f>
        <v/>
      </c>
      <c r="FF465" s="44" t="str">
        <f>IF(Table1[Date of Initial Assessment]="","",IF(AND(Table1[Start Date]&gt;42094,Table1[Start Date]&lt;42461),Table1[Physical Health],""))</f>
        <v/>
      </c>
      <c r="FG465" s="44" t="str">
        <f>IF(Table1[Date of Initial Assessment]="","",IF(AND(Table1[Start Date]&gt;42094,Table1[Start Date]&lt;42461),Table1[Emotional and Mental Health],""))</f>
        <v/>
      </c>
      <c r="FH465" s="44" t="str">
        <f>IF(Table1[Date of Initial Assessment]="","",IF(AND(Table1[Start Date]&gt;42094,Table1[Start Date]&lt;42461),Table1[Meaningful Use of Time],""))</f>
        <v/>
      </c>
      <c r="FI465" s="44" t="str">
        <f>IF(Table1[Date of Initial Assessment]="","",IF(AND(Table1[Start Date]&gt;42094,Table1[Start Date]&lt;42461),Table1[Managing Tenancy and Accommodation],""))</f>
        <v/>
      </c>
      <c r="FJ465" s="44" t="str">
        <f>IF(Table1[Date of Initial Assessment]="","",IF(AND(Table1[Start Date]&gt;42094,Table1[Start Date]&lt;42461),Table1[Offending],""))</f>
        <v/>
      </c>
      <c r="FK465" s="44" t="str">
        <f>IF(Table1[Leaving Date]="","",IF(Table1[Date of Initial Assessment]="","",IF(AND(Table1[Leaving Date]&gt;42094,Table1[Leaving Date]&lt;42461),IF(Table1[Date of Last Assessment]="",Table1[Motivation and Taking Responsibility],Table1[Motivation and Taking Responsibility2]),"")))</f>
        <v/>
      </c>
      <c r="FL465" s="44" t="str">
        <f>IF(Table1[Leaving Date]="","",IF(Table1[Date of Initial Assessment]="","",IF(AND(Table1[Leaving Date]&gt;42094,Table1[Leaving Date]&lt;42461),IF(Table1[Date of Last Assessment]="",Table1[Self-Care and Living Skills],Table1[Self-Care and Living Skills2]),"")))</f>
        <v/>
      </c>
      <c r="FM465" s="44" t="str">
        <f>IF(Table1[Leaving Date]="","",IF(Table1[Date of Initial Assessment]="","",IF(AND(Table1[Leaving Date]&gt;42094,Table1[Leaving Date]&lt;42461),IF(Table1[Date of Last Assessment]="",Table1[Managing Money and Personal Administration],Table1[Managing Money and Personal Administration2]),"")))</f>
        <v/>
      </c>
      <c r="FN465" s="44" t="str">
        <f>IF(Table1[Leaving Date]="","",IF(Table1[Date of Initial Assessment]="","",IF(AND(Table1[Leaving Date]&gt;42094,Table1[Leaving Date]&lt;42461),IF(Table1[Date of Last Assessment]="",Table1[Social Networks and Relationships],Table1[Social Networks and Relationships2]),"")))</f>
        <v/>
      </c>
      <c r="FO465" s="44" t="str">
        <f>IF(Table1[Leaving Date]="","",IF(Table1[Date of Initial Assessment]="","",IF(AND(Table1[Leaving Date]&gt;42094,Table1[Leaving Date]&lt;42461),IF(Table1[Date of Last Assessment]="",Table1[Drug and Alcohol Misuse],Table1[Drug and Alcohol Misuse2]),"")))</f>
        <v/>
      </c>
      <c r="FP465" s="44" t="str">
        <f>IF(Table1[Leaving Date]="","",IF(Table1[Date of Initial Assessment]="","",IF(AND(Table1[Leaving Date]&gt;42094,Table1[Leaving Date]&lt;42461),IF(Table1[Date of Last Assessment]="",Table1[Physical Health],Table1[Physical Health2]),"")))</f>
        <v/>
      </c>
      <c r="FQ465" s="44" t="str">
        <f>IF(Table1[Leaving Date]="","",IF(Table1[Date of Initial Assessment]="","",IF(AND(Table1[Leaving Date]&gt;42094,Table1[Leaving Date]&lt;42461),IF(Table1[Date of Last Assessment]="",Table1[Emotional and Mental Health],Table1[Emotional and Mental Health2]),"")))</f>
        <v/>
      </c>
      <c r="FR465" s="44" t="str">
        <f>IF(Table1[Leaving Date]="","",IF(Table1[Date of Initial Assessment]="","",IF(AND(Table1[Leaving Date]&gt;42094,Table1[Leaving Date]&lt;42461),IF(Table1[Date of Last Assessment]="",Table1[Meaningful Use of Time],Table1[Meaningful Use of Time2]),"")))</f>
        <v/>
      </c>
      <c r="FS465" s="44" t="str">
        <f>IF(Table1[Leaving Date]="","",IF(Table1[Date of Initial Assessment]="","",IF(AND(Table1[Leaving Date]&gt;42094,Table1[Leaving Date]&lt;42461),IF(Table1[Date of Last Assessment]="",Table1[Managing Tenancy and Accommodation],Table1[Managing Tenancy and Accommodation2]),"")))</f>
        <v/>
      </c>
      <c r="FT465" s="44" t="str">
        <f>IF(Table1[Leaving Date]="","",IF(Table1[Date of Initial Assessment]="","",IF(AND(Table1[Leaving Date]&gt;42094,Table1[Leaving Date]&lt;42461),IF(Table1[Date of Last Assessment]="",Table1[Offending],Table1[Offending2]),"")))</f>
        <v/>
      </c>
      <c r="FU465" s="44" t="str">
        <f>IF(Table1[Date of Initial Assessment]="","",IF(AND(Table1[Start Date]&gt;42460,Table1[Start Date]&lt;42826),Table1[Motivation and Taking Responsibility],""))</f>
        <v/>
      </c>
      <c r="FV465" s="44" t="str">
        <f>IF(Table1[Date of Initial Assessment]="","",IF(AND(Table1[Start Date]&gt;42460,Table1[Start Date]&lt;42826),Table1[Self-Care and Living Skills],""))</f>
        <v/>
      </c>
      <c r="FW465" s="44" t="str">
        <f>IF(Table1[Date of Initial Assessment]="","",IF(AND(Table1[Start Date]&gt;42460,Table1[Start Date]&lt;42826),Table1[Managing Money and Personal Administration],""))</f>
        <v/>
      </c>
      <c r="FX465" s="44" t="str">
        <f>IF(Table1[Date of Initial Assessment]="","",IF(AND(Table1[Start Date]&gt;42460,Table1[Start Date]&lt;42826),Table1[Social Networks and Relationships],""))</f>
        <v/>
      </c>
      <c r="FY465" s="44" t="str">
        <f>IF(Table1[Date of Initial Assessment]="","",IF(AND(Table1[Start Date]&gt;42460,Table1[Start Date]&lt;42826),Table1[Drug and Alcohol Misuse],""))</f>
        <v/>
      </c>
      <c r="FZ465" s="44" t="str">
        <f>IF(Table1[Date of Initial Assessment]="","",IF(AND(Table1[Start Date]&gt;42460,Table1[Start Date]&lt;42826),Table1[Physical Health],""))</f>
        <v/>
      </c>
      <c r="GA465" s="44" t="str">
        <f>IF(Table1[Date of Initial Assessment]="","",IF(AND(Table1[Start Date]&gt;42460,Table1[Start Date]&lt;42826),Table1[Emotional and Mental Health],""))</f>
        <v/>
      </c>
      <c r="GB465" s="44" t="str">
        <f>IF(Table1[Date of Initial Assessment]="","",IF(AND(Table1[Start Date]&gt;42460,Table1[Start Date]&lt;42826),Table1[Meaningful Use of Time],""))</f>
        <v/>
      </c>
      <c r="GC465" s="44" t="str">
        <f>IF(Table1[Date of Initial Assessment]="","",IF(AND(Table1[Start Date]&gt;42460,Table1[Start Date]&lt;42826),Table1[Managing Tenancy and Accommodation],""))</f>
        <v/>
      </c>
      <c r="GD465" s="44" t="str">
        <f>IF(Table1[Date of Initial Assessment]="","",IF(AND(Table1[Start Date]&gt;42460,Table1[Start Date]&lt;42826),Table1[Offending],""))</f>
        <v/>
      </c>
      <c r="GE465" s="44" t="str">
        <f>IF(Table1[Leaving Date]="","",IF(AND(Table1[Leaving Date]&gt;42460,Table1[Leaving Date]&lt;42826),IF(Table1[Date of Last Assessment]="",Table1[Motivation and Taking Responsibility],Table1[Motivation and Taking Responsibility2]),""))</f>
        <v/>
      </c>
      <c r="GF465" s="44" t="str">
        <f>IF(Table1[Leaving Date]="","",IF(AND(Table1[Leaving Date]&gt;42460,Table1[Leaving Date]&lt;42826),IF(Table1[Date of Last Assessment]="",Table1[Self-Care and Living Skills],Table1[Self-Care and Living Skills2]),""))</f>
        <v/>
      </c>
      <c r="GG465" s="44" t="str">
        <f>IF(Table1[Leaving Date]="","",IF(AND(Table1[Leaving Date]&gt;42460,Table1[Leaving Date]&lt;42826),IF(Table1[Date of Last Assessment]="",Table1[Managing Money and Personal Administration],Table1[Managing Money and Personal Administration2]),""))</f>
        <v/>
      </c>
      <c r="GH465" s="44" t="str">
        <f>IF(Table1[Leaving Date]="","",IF(AND(Table1[Leaving Date]&gt;42460,Table1[Leaving Date]&lt;42826),IF(Table1[Date of Last Assessment]="",Table1[Social Networks and Relationships],Table1[Social Networks and Relationships2]),""))</f>
        <v/>
      </c>
      <c r="GI465" s="44" t="str">
        <f>IF(Table1[Leaving Date]="","",IF(AND(Table1[Leaving Date]&gt;42460,Table1[Leaving Date]&lt;42826),IF(Table1[Date of Last Assessment]="",Table1[Drug and Alcohol Misuse],Table1[Drug and Alcohol Misuse2]),""))</f>
        <v/>
      </c>
      <c r="GJ465" s="44" t="str">
        <f>IF(Table1[Leaving Date]="","",IF(AND(Table1[Leaving Date]&gt;42460,Table1[Leaving Date]&lt;42826),IF(Table1[Date of Last Assessment]="",Table1[Physical Health],Table1[Physical Health2]),""))</f>
        <v/>
      </c>
      <c r="GK465" s="44" t="str">
        <f>IF(Table1[Leaving Date]="","",IF(AND(Table1[Leaving Date]&gt;42460,Table1[Leaving Date]&lt;42826),IF(Table1[Date of Last Assessment]="",Table1[Emotional and Mental Health],Table1[Emotional and Mental Health2]),""))</f>
        <v/>
      </c>
      <c r="GL465" s="44" t="str">
        <f>IF(Table1[Leaving Date]="","",IF(AND(Table1[Leaving Date]&gt;42460,Table1[Leaving Date]&lt;42826),IF(Table1[Date of Last Assessment]="",Table1[Meaningful Use of Time],Table1[Meaningful Use of Time2]),""))</f>
        <v/>
      </c>
      <c r="GM465" s="44" t="str">
        <f>IF(Table1[Leaving Date]="","",IF(AND(Table1[Leaving Date]&gt;42460,Table1[Leaving Date]&lt;42826),IF(Table1[Date of Last Assessment]="",Table1[Managing Tenancy and Accommodation],Table1[Managing Tenancy and Accommodation2]),""))</f>
        <v/>
      </c>
      <c r="GN465" s="44" t="str">
        <f>IF(Table1[Leaving Date]="","",IF(AND(Table1[Leaving Date]&gt;42460,Table1[Leaving Date]&lt;42826),IF(Table1[Date of Last Assessment]="",Table1[Offending],Table1[Offending2]),""))</f>
        <v/>
      </c>
    </row>
    <row r="466" spans="2:196" ht="20.100000000000001" customHeight="1" x14ac:dyDescent="0.2">
      <c r="B466" s="86">
        <f>+'Service Data'!$C$5:$C$5</f>
        <v>0</v>
      </c>
      <c r="C466" s="86"/>
      <c r="D466" s="86"/>
      <c r="E466" s="86"/>
      <c r="F466" s="86"/>
      <c r="G466" s="86"/>
      <c r="H466" s="6"/>
      <c r="I466" s="99" t="str">
        <f ca="1">IF(Table1[[#This Row],[Date of Birth]]="","",SUM(TODAY()-Table1[[#This Row],[Date of Birth]])/365)</f>
        <v/>
      </c>
      <c r="L466" s="86"/>
      <c r="M466" s="77"/>
      <c r="N466" s="86"/>
      <c r="O466" s="86"/>
      <c r="P466" s="91"/>
      <c r="Q466" s="86"/>
      <c r="R466" s="77"/>
      <c r="S466" s="77"/>
      <c r="T466" s="68"/>
      <c r="U466" s="68"/>
      <c r="V466" s="67"/>
      <c r="W466" s="67"/>
      <c r="X466" s="67"/>
      <c r="Y466" s="67"/>
      <c r="Z466" s="67"/>
      <c r="AA466" s="67"/>
      <c r="AB466" s="67"/>
      <c r="AC466" s="67"/>
      <c r="AD466" s="67"/>
      <c r="AE466" s="67"/>
      <c r="AF466" s="67"/>
      <c r="AG466" s="67"/>
      <c r="AH466" s="67"/>
      <c r="AI466" s="67"/>
      <c r="AJ466" s="67"/>
      <c r="AK466" s="67"/>
      <c r="AL466" s="67"/>
      <c r="AM466" s="67"/>
      <c r="AN466" s="77"/>
      <c r="AO466" s="76"/>
      <c r="AP466" s="77"/>
      <c r="AQ466" s="76"/>
      <c r="AR466" s="76"/>
      <c r="AS466" s="76"/>
      <c r="AT466" s="76"/>
      <c r="AU466" s="76"/>
      <c r="AV466" s="77"/>
      <c r="AW466" s="76"/>
      <c r="AX466" s="77"/>
      <c r="AY466" s="76"/>
      <c r="AZ466" s="76"/>
      <c r="BA466" s="76"/>
      <c r="BB466" s="76"/>
      <c r="BC466" s="76"/>
      <c r="BD466" s="77"/>
      <c r="BE466" s="76"/>
      <c r="BF466" s="77"/>
      <c r="BG466" s="76"/>
      <c r="BH466" s="76"/>
      <c r="BI466" s="76"/>
      <c r="BJ466" s="76"/>
      <c r="BK466" s="76"/>
      <c r="BL466" s="77"/>
      <c r="BM466" s="76"/>
      <c r="BN466" s="77"/>
      <c r="BO466" s="76"/>
      <c r="BP466" s="76"/>
      <c r="BQ466" s="76"/>
      <c r="BR466" s="76"/>
      <c r="BS466" s="76"/>
      <c r="BT466" s="77"/>
      <c r="BU466" s="76"/>
      <c r="BV466" s="77"/>
      <c r="BW466" s="76"/>
      <c r="BX466" s="76"/>
      <c r="BY466" s="76"/>
      <c r="BZ466" s="76"/>
      <c r="CA466" s="76"/>
      <c r="CB466" s="77"/>
      <c r="CC466" s="76"/>
      <c r="CD466" s="77"/>
      <c r="CE466" s="76"/>
      <c r="CF466" s="76"/>
      <c r="CG466" s="76"/>
      <c r="CH466" s="76"/>
      <c r="CI466" s="76"/>
      <c r="CJ466" s="77"/>
      <c r="CK466" s="76"/>
      <c r="CL466" s="77"/>
      <c r="CM466" s="76"/>
      <c r="CN466" s="76"/>
      <c r="CO466" s="76"/>
      <c r="CP466" s="76"/>
      <c r="CQ466" s="76"/>
      <c r="CR466" s="78" t="str">
        <f t="shared" si="127"/>
        <v/>
      </c>
      <c r="CS466" s="79" t="str">
        <f t="shared" si="128"/>
        <v/>
      </c>
      <c r="CT466" s="79" t="str">
        <f t="shared" si="129"/>
        <v/>
      </c>
      <c r="CU466" s="79" t="str">
        <f t="shared" si="130"/>
        <v/>
      </c>
      <c r="CV466" s="79" t="str">
        <f t="shared" si="131"/>
        <v/>
      </c>
      <c r="CW466" s="79" t="str">
        <f t="shared" si="132"/>
        <v/>
      </c>
      <c r="CX466" s="79" t="str">
        <f t="shared" si="133"/>
        <v/>
      </c>
      <c r="CY466" s="79" t="str">
        <f t="shared" si="134"/>
        <v/>
      </c>
      <c r="CZ466" s="79" t="str">
        <f t="shared" si="135"/>
        <v/>
      </c>
      <c r="DA466" s="79" t="str">
        <f t="shared" si="136"/>
        <v/>
      </c>
      <c r="DB466" s="79" t="str">
        <f t="shared" si="137"/>
        <v/>
      </c>
      <c r="DC466" s="79" t="str">
        <f t="shared" si="138"/>
        <v/>
      </c>
      <c r="DD466" s="79" t="str">
        <f t="shared" si="139"/>
        <v/>
      </c>
      <c r="DE466" s="79" t="str">
        <f t="shared" si="140"/>
        <v/>
      </c>
      <c r="DF466" s="79" t="str">
        <f t="shared" si="141"/>
        <v/>
      </c>
      <c r="DG466" s="79" t="str">
        <f t="shared" si="142"/>
        <v/>
      </c>
      <c r="DH466" s="76"/>
      <c r="DI466" s="78"/>
      <c r="DJ466" s="76"/>
      <c r="DK466" s="77"/>
      <c r="DL466" s="77"/>
      <c r="DM466" s="77"/>
      <c r="DN466" s="80"/>
      <c r="DO466" s="80"/>
      <c r="DP466" s="92" t="str">
        <f>IF(Table1[Start Date]="","",IF(Table1[Start Date]&gt;42185,"",IF(AND(Table1[Leaving Date]&gt;1,Table1[Leaving Date]&lt;42095),"",1)))</f>
        <v/>
      </c>
      <c r="DQ466" s="92" t="str">
        <f>IF(Table1[Start Date]="","",IF(Table1[Start Date]&gt;42277,"",IF(AND(Table1[Leaving Date]&gt;1,Table1[Leaving Date]&lt;42186),"",1)))</f>
        <v/>
      </c>
      <c r="DR466" s="92" t="str">
        <f>IF(Table1[Start Date]="","",IF(Table1[Start Date]&gt;42369,"",IF(AND(Table1[Leaving Date]&gt;1,Table1[Leaving Date]&lt;42278),"",1)))</f>
        <v/>
      </c>
      <c r="DS466" s="92" t="str">
        <f>IF(Table1[Start Date]="","",IF(Table1[Start Date]&gt;42460,"",IF(AND(Table1[Leaving Date]&gt;1,Table1[Leaving Date]&lt;42370),"",1)))</f>
        <v/>
      </c>
      <c r="DT466" s="92" t="str">
        <f>IF(Table1[Start Date]="","",IF(Table1[Start Date]&gt;42551,"",IF(AND(Table1[Leaving Date]&gt;1,Table1[Leaving Date]&lt;42461),"",1)))</f>
        <v/>
      </c>
      <c r="DU466" s="92" t="str">
        <f>IF(Table1[Start Date]="","",IF(Table1[Start Date]&gt;42643,"",IF(AND(Table1[Leaving Date]&gt;1,Table1[Leaving Date]&lt;42552),"",1)))</f>
        <v/>
      </c>
      <c r="DV466" s="92" t="str">
        <f>IF(Table1[Start Date]="","",IF(Table1[Start Date]&gt;42735,"",IF(AND(Table1[Leaving Date]&gt;1,Table1[Leaving Date]&lt;42644),"",1)))</f>
        <v/>
      </c>
      <c r="DW466" s="92" t="str">
        <f>IF(Table1[Start Date]="","",IF(Table1[Start Date]&gt;42825,"",IF(AND(Table1[Leaving Date]&gt;1,Table1[Leaving Date]&lt;42736),"",1)))</f>
        <v/>
      </c>
      <c r="DX466"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466" s="44" t="e">
        <f>VLOOKUP(Table1[Referral Source],Lists!$G$2:$H$20,2,FALSE)</f>
        <v>#N/A</v>
      </c>
      <c r="DZ466" s="93" t="e">
        <f>SUM(Table1[Data Referral Quarter]+Table1[Data Referral Source])</f>
        <v>#N/A</v>
      </c>
      <c r="EA466" s="44" t="b">
        <f>IF(Table1[Referral Decision]="Accepted",100,IF(Table1[Referral Decision]="Rejected by Provider",200,IF(Table1[Referral Decision]="Rejected by Applicant",300)))</f>
        <v>0</v>
      </c>
      <c r="EB466" s="44">
        <f>SUM(Table1[Data Referral Quarter]+Table1[Data Referral Decision])</f>
        <v>0</v>
      </c>
      <c r="EC466" s="44" t="b">
        <f>IF(Table1[Start Date]&gt;42735,8000,IF(Table1[Start Date]&gt;42643,7000,IF(Table1[Start Date]&gt;42551,6000,IF(Table1[Start Date]&gt;42460,5000,IF(Table1[Start Date]&gt;42369,4000,IF(Table1[Start Date]&gt;42277,3000,IF(Table1[Start Date]&gt;42185,2000,IF(Table1[Start Date]&gt;42094,1000))))))))</f>
        <v>0</v>
      </c>
      <c r="ED466" s="44" t="str">
        <f>IF(Table1[Start Date]="","",IF(Table1[Current Local Authority]="Swindon",1,"2"))</f>
        <v/>
      </c>
      <c r="EE466" s="44" t="e">
        <f>SUM(Table1[Data Start Date]+Table1[Data Local Authority])</f>
        <v>#VALUE!</v>
      </c>
      <c r="EF466" s="44">
        <f>IF(Table1[Registered with GP]="Yes",1,0)</f>
        <v>0</v>
      </c>
      <c r="EG466" s="44">
        <f>SUM(Table1[Data Start Date]+Table1[Data GP Start])</f>
        <v>0</v>
      </c>
      <c r="EH466" s="44" t="str">
        <f>IF(Table1[EET]="NEET",1,IF(Table1[EET]="Education",2,IF(Table1[EET]="Employment",2,IF(Table1[EET]="Training",2,IF(Table1[EET]="Retired",3,"")))))</f>
        <v/>
      </c>
      <c r="EI466" s="44" t="e">
        <f>Table1[Data Start Date]+Table1[Data EET Start]</f>
        <v>#VALUE!</v>
      </c>
      <c r="EJ466" s="44" t="b">
        <f>IF(Table1[Leaving Date]&gt;42735,8000,IF(Table1[Leaving Date]&gt;42643,7000,IF(Table1[Leaving Date]&gt;42551,6000,IF(Table1[Leaving Date]&gt;42460,5000,IF(Table1[Leaving Date]&gt;42369,4000,IF(Table1[Leaving Date]&gt;42277,3000,IF(Table1[Leaving Date]&gt;42185,2000,IF(Table1[Leaving Date]&gt;42094,1000))))))))</f>
        <v>0</v>
      </c>
      <c r="EK466" s="44" t="e">
        <f>VLOOKUP(Table1[Reason for Leaving],Lists!$T$2:$U$15,2,FALSE)</f>
        <v>#N/A</v>
      </c>
      <c r="EL466" s="44" t="e">
        <f>SUM(Table1[Data Leavers Date]+Table1[Data Move On])</f>
        <v>#N/A</v>
      </c>
      <c r="EM466" s="44" t="b">
        <f>IF(Table1[Registered with GP2]="Yes",1,IF(Table1[Registered with GP2]="No",0,IF(Table1[Registered with GP]="Yes",1,IF(Table1[Registered with GP]="No",0))))</f>
        <v>0</v>
      </c>
      <c r="EN466" s="44">
        <f>SUM(Table1[Data Leavers Date]+Table1[Data GP End])</f>
        <v>0</v>
      </c>
      <c r="EO466" s="44" t="str">
        <f>IF(Table1[EET2]="NEET",1,IF(Table1[EET2]="Employment",2,IF(Table1[EET2]="Education",2,IF(Table1[EET2]="Training",2,IF(Table1[EET2]="Retired",3,IF(Table1[EET]="NEET",1,IF(Table1[EET]="Employment",2,IF(Table1[EET]="Education",2,IF(Table1[EET]="Training",2,IF(Table1[EET]="Retired",3,""))))))))))</f>
        <v/>
      </c>
      <c r="EP466" s="44" t="e">
        <f>+Table1[[#This Row],[Data Leavers Date]]+Table1[[#This Row],[Data EET End]]</f>
        <v>#VALUE!</v>
      </c>
      <c r="EQ466" s="44">
        <f>IF(Table1[Exit Form Received]="Yes",1,0)</f>
        <v>0</v>
      </c>
      <c r="ER466" s="44">
        <f>+Table1[[#This Row],[Data Leavers Date]]+Table1[[#This Row],[Data Exit Forms]]</f>
        <v>0</v>
      </c>
      <c r="ES466" s="44" t="str">
        <f>IF(Table1[Data Leavers Date]=1000,SUM(Table1[Leaving Date]-Table1[Start Date]),"")</f>
        <v/>
      </c>
      <c r="ET466" s="44" t="str">
        <f>IF(Table1[Data Leavers Date]=2000,SUM(Table1[Leaving Date]-Table1[Start Date]),"")</f>
        <v/>
      </c>
      <c r="EU466" s="44" t="str">
        <f>IF(Table1[Data Leavers Date]=3000,SUM(Table1[Leaving Date]-Table1[Start Date]),"")</f>
        <v/>
      </c>
      <c r="EV466" s="44" t="str">
        <f>IF(Table1[Data Leavers Date]=4000,SUM(Table1[Leaving Date]-Table1[Start Date]),"")</f>
        <v/>
      </c>
      <c r="EW466" s="44" t="str">
        <f>IF(Table1[Data Leavers Date]=5000,SUM(Table1[Leaving Date]-Table1[Start Date]),"")</f>
        <v/>
      </c>
      <c r="EX466" s="44" t="str">
        <f>IF(Table1[Data Leavers Date]=6000,SUM(Table1[Leaving Date]-Table1[Start Date]),"")</f>
        <v/>
      </c>
      <c r="EY466" s="44" t="str">
        <f>IF(Table1[Data Leavers Date]=7000,SUM(Table1[Leaving Date]-Table1[Start Date]),"")</f>
        <v/>
      </c>
      <c r="EZ466" s="44" t="str">
        <f>IF(Table1[Data Leavers Date]=8000,SUM(Table1[Leaving Date]-Table1[Start Date]),"")</f>
        <v/>
      </c>
      <c r="FA466" s="44" t="str">
        <f>IF(Table1[Date of Initial Assessment]="","",IF(AND(Table1[Start Date]&gt;42094,Table1[Start Date]&lt;42461),Table1[Motivation and Taking Responsibility],""))</f>
        <v/>
      </c>
      <c r="FB466" s="44" t="str">
        <f>IF(Table1[Date of Initial Assessment]="","",IF(AND(Table1[Start Date]&gt;42094,Table1[Start Date]&lt;42461),Table1[Self-Care and Living Skills],""))</f>
        <v/>
      </c>
      <c r="FC466" s="44" t="str">
        <f>IF(Table1[Date of Initial Assessment]="","",IF(AND(Table1[Start Date]&gt;42094,Table1[Start Date]&lt;42461),Table1[Managing Money and Personal Administration],""))</f>
        <v/>
      </c>
      <c r="FD466" s="44" t="str">
        <f>IF(Table1[Date of Initial Assessment]="","",IF(AND(Table1[Start Date]&gt;42094,Table1[Start Date]&lt;42461),Table1[Social Networks and Relationships],""))</f>
        <v/>
      </c>
      <c r="FE466" s="44" t="str">
        <f>IF(Table1[Date of Initial Assessment]="","",IF(AND(Table1[Start Date]&gt;42094,Table1[Start Date]&lt;42461),Table1[Drug and Alcohol Misuse],""))</f>
        <v/>
      </c>
      <c r="FF466" s="44" t="str">
        <f>IF(Table1[Date of Initial Assessment]="","",IF(AND(Table1[Start Date]&gt;42094,Table1[Start Date]&lt;42461),Table1[Physical Health],""))</f>
        <v/>
      </c>
      <c r="FG466" s="44" t="str">
        <f>IF(Table1[Date of Initial Assessment]="","",IF(AND(Table1[Start Date]&gt;42094,Table1[Start Date]&lt;42461),Table1[Emotional and Mental Health],""))</f>
        <v/>
      </c>
      <c r="FH466" s="44" t="str">
        <f>IF(Table1[Date of Initial Assessment]="","",IF(AND(Table1[Start Date]&gt;42094,Table1[Start Date]&lt;42461),Table1[Meaningful Use of Time],""))</f>
        <v/>
      </c>
      <c r="FI466" s="44" t="str">
        <f>IF(Table1[Date of Initial Assessment]="","",IF(AND(Table1[Start Date]&gt;42094,Table1[Start Date]&lt;42461),Table1[Managing Tenancy and Accommodation],""))</f>
        <v/>
      </c>
      <c r="FJ466" s="44" t="str">
        <f>IF(Table1[Date of Initial Assessment]="","",IF(AND(Table1[Start Date]&gt;42094,Table1[Start Date]&lt;42461),Table1[Offending],""))</f>
        <v/>
      </c>
      <c r="FK466" s="44" t="str">
        <f>IF(Table1[Leaving Date]="","",IF(Table1[Date of Initial Assessment]="","",IF(AND(Table1[Leaving Date]&gt;42094,Table1[Leaving Date]&lt;42461),IF(Table1[Date of Last Assessment]="",Table1[Motivation and Taking Responsibility],Table1[Motivation and Taking Responsibility2]),"")))</f>
        <v/>
      </c>
      <c r="FL466" s="44" t="str">
        <f>IF(Table1[Leaving Date]="","",IF(Table1[Date of Initial Assessment]="","",IF(AND(Table1[Leaving Date]&gt;42094,Table1[Leaving Date]&lt;42461),IF(Table1[Date of Last Assessment]="",Table1[Self-Care and Living Skills],Table1[Self-Care and Living Skills2]),"")))</f>
        <v/>
      </c>
      <c r="FM466" s="44" t="str">
        <f>IF(Table1[Leaving Date]="","",IF(Table1[Date of Initial Assessment]="","",IF(AND(Table1[Leaving Date]&gt;42094,Table1[Leaving Date]&lt;42461),IF(Table1[Date of Last Assessment]="",Table1[Managing Money and Personal Administration],Table1[Managing Money and Personal Administration2]),"")))</f>
        <v/>
      </c>
      <c r="FN466" s="44" t="str">
        <f>IF(Table1[Leaving Date]="","",IF(Table1[Date of Initial Assessment]="","",IF(AND(Table1[Leaving Date]&gt;42094,Table1[Leaving Date]&lt;42461),IF(Table1[Date of Last Assessment]="",Table1[Social Networks and Relationships],Table1[Social Networks and Relationships2]),"")))</f>
        <v/>
      </c>
      <c r="FO466" s="44" t="str">
        <f>IF(Table1[Leaving Date]="","",IF(Table1[Date of Initial Assessment]="","",IF(AND(Table1[Leaving Date]&gt;42094,Table1[Leaving Date]&lt;42461),IF(Table1[Date of Last Assessment]="",Table1[Drug and Alcohol Misuse],Table1[Drug and Alcohol Misuse2]),"")))</f>
        <v/>
      </c>
      <c r="FP466" s="44" t="str">
        <f>IF(Table1[Leaving Date]="","",IF(Table1[Date of Initial Assessment]="","",IF(AND(Table1[Leaving Date]&gt;42094,Table1[Leaving Date]&lt;42461),IF(Table1[Date of Last Assessment]="",Table1[Physical Health],Table1[Physical Health2]),"")))</f>
        <v/>
      </c>
      <c r="FQ466" s="44" t="str">
        <f>IF(Table1[Leaving Date]="","",IF(Table1[Date of Initial Assessment]="","",IF(AND(Table1[Leaving Date]&gt;42094,Table1[Leaving Date]&lt;42461),IF(Table1[Date of Last Assessment]="",Table1[Emotional and Mental Health],Table1[Emotional and Mental Health2]),"")))</f>
        <v/>
      </c>
      <c r="FR466" s="44" t="str">
        <f>IF(Table1[Leaving Date]="","",IF(Table1[Date of Initial Assessment]="","",IF(AND(Table1[Leaving Date]&gt;42094,Table1[Leaving Date]&lt;42461),IF(Table1[Date of Last Assessment]="",Table1[Meaningful Use of Time],Table1[Meaningful Use of Time2]),"")))</f>
        <v/>
      </c>
      <c r="FS466" s="44" t="str">
        <f>IF(Table1[Leaving Date]="","",IF(Table1[Date of Initial Assessment]="","",IF(AND(Table1[Leaving Date]&gt;42094,Table1[Leaving Date]&lt;42461),IF(Table1[Date of Last Assessment]="",Table1[Managing Tenancy and Accommodation],Table1[Managing Tenancy and Accommodation2]),"")))</f>
        <v/>
      </c>
      <c r="FT466" s="44" t="str">
        <f>IF(Table1[Leaving Date]="","",IF(Table1[Date of Initial Assessment]="","",IF(AND(Table1[Leaving Date]&gt;42094,Table1[Leaving Date]&lt;42461),IF(Table1[Date of Last Assessment]="",Table1[Offending],Table1[Offending2]),"")))</f>
        <v/>
      </c>
      <c r="FU466" s="44" t="str">
        <f>IF(Table1[Date of Initial Assessment]="","",IF(AND(Table1[Start Date]&gt;42460,Table1[Start Date]&lt;42826),Table1[Motivation and Taking Responsibility],""))</f>
        <v/>
      </c>
      <c r="FV466" s="44" t="str">
        <f>IF(Table1[Date of Initial Assessment]="","",IF(AND(Table1[Start Date]&gt;42460,Table1[Start Date]&lt;42826),Table1[Self-Care and Living Skills],""))</f>
        <v/>
      </c>
      <c r="FW466" s="44" t="str">
        <f>IF(Table1[Date of Initial Assessment]="","",IF(AND(Table1[Start Date]&gt;42460,Table1[Start Date]&lt;42826),Table1[Managing Money and Personal Administration],""))</f>
        <v/>
      </c>
      <c r="FX466" s="44" t="str">
        <f>IF(Table1[Date of Initial Assessment]="","",IF(AND(Table1[Start Date]&gt;42460,Table1[Start Date]&lt;42826),Table1[Social Networks and Relationships],""))</f>
        <v/>
      </c>
      <c r="FY466" s="44" t="str">
        <f>IF(Table1[Date of Initial Assessment]="","",IF(AND(Table1[Start Date]&gt;42460,Table1[Start Date]&lt;42826),Table1[Drug and Alcohol Misuse],""))</f>
        <v/>
      </c>
      <c r="FZ466" s="44" t="str">
        <f>IF(Table1[Date of Initial Assessment]="","",IF(AND(Table1[Start Date]&gt;42460,Table1[Start Date]&lt;42826),Table1[Physical Health],""))</f>
        <v/>
      </c>
      <c r="GA466" s="44" t="str">
        <f>IF(Table1[Date of Initial Assessment]="","",IF(AND(Table1[Start Date]&gt;42460,Table1[Start Date]&lt;42826),Table1[Emotional and Mental Health],""))</f>
        <v/>
      </c>
      <c r="GB466" s="44" t="str">
        <f>IF(Table1[Date of Initial Assessment]="","",IF(AND(Table1[Start Date]&gt;42460,Table1[Start Date]&lt;42826),Table1[Meaningful Use of Time],""))</f>
        <v/>
      </c>
      <c r="GC466" s="44" t="str">
        <f>IF(Table1[Date of Initial Assessment]="","",IF(AND(Table1[Start Date]&gt;42460,Table1[Start Date]&lt;42826),Table1[Managing Tenancy and Accommodation],""))</f>
        <v/>
      </c>
      <c r="GD466" s="44" t="str">
        <f>IF(Table1[Date of Initial Assessment]="","",IF(AND(Table1[Start Date]&gt;42460,Table1[Start Date]&lt;42826),Table1[Offending],""))</f>
        <v/>
      </c>
      <c r="GE466" s="44" t="str">
        <f>IF(Table1[Leaving Date]="","",IF(AND(Table1[Leaving Date]&gt;42460,Table1[Leaving Date]&lt;42826),IF(Table1[Date of Last Assessment]="",Table1[Motivation and Taking Responsibility],Table1[Motivation and Taking Responsibility2]),""))</f>
        <v/>
      </c>
      <c r="GF466" s="44" t="str">
        <f>IF(Table1[Leaving Date]="","",IF(AND(Table1[Leaving Date]&gt;42460,Table1[Leaving Date]&lt;42826),IF(Table1[Date of Last Assessment]="",Table1[Self-Care and Living Skills],Table1[Self-Care and Living Skills2]),""))</f>
        <v/>
      </c>
      <c r="GG466" s="44" t="str">
        <f>IF(Table1[Leaving Date]="","",IF(AND(Table1[Leaving Date]&gt;42460,Table1[Leaving Date]&lt;42826),IF(Table1[Date of Last Assessment]="",Table1[Managing Money and Personal Administration],Table1[Managing Money and Personal Administration2]),""))</f>
        <v/>
      </c>
      <c r="GH466" s="44" t="str">
        <f>IF(Table1[Leaving Date]="","",IF(AND(Table1[Leaving Date]&gt;42460,Table1[Leaving Date]&lt;42826),IF(Table1[Date of Last Assessment]="",Table1[Social Networks and Relationships],Table1[Social Networks and Relationships2]),""))</f>
        <v/>
      </c>
      <c r="GI466" s="44" t="str">
        <f>IF(Table1[Leaving Date]="","",IF(AND(Table1[Leaving Date]&gt;42460,Table1[Leaving Date]&lt;42826),IF(Table1[Date of Last Assessment]="",Table1[Drug and Alcohol Misuse],Table1[Drug and Alcohol Misuse2]),""))</f>
        <v/>
      </c>
      <c r="GJ466" s="44" t="str">
        <f>IF(Table1[Leaving Date]="","",IF(AND(Table1[Leaving Date]&gt;42460,Table1[Leaving Date]&lt;42826),IF(Table1[Date of Last Assessment]="",Table1[Physical Health],Table1[Physical Health2]),""))</f>
        <v/>
      </c>
      <c r="GK466" s="44" t="str">
        <f>IF(Table1[Leaving Date]="","",IF(AND(Table1[Leaving Date]&gt;42460,Table1[Leaving Date]&lt;42826),IF(Table1[Date of Last Assessment]="",Table1[Emotional and Mental Health],Table1[Emotional and Mental Health2]),""))</f>
        <v/>
      </c>
      <c r="GL466" s="44" t="str">
        <f>IF(Table1[Leaving Date]="","",IF(AND(Table1[Leaving Date]&gt;42460,Table1[Leaving Date]&lt;42826),IF(Table1[Date of Last Assessment]="",Table1[Meaningful Use of Time],Table1[Meaningful Use of Time2]),""))</f>
        <v/>
      </c>
      <c r="GM466" s="44" t="str">
        <f>IF(Table1[Leaving Date]="","",IF(AND(Table1[Leaving Date]&gt;42460,Table1[Leaving Date]&lt;42826),IF(Table1[Date of Last Assessment]="",Table1[Managing Tenancy and Accommodation],Table1[Managing Tenancy and Accommodation2]),""))</f>
        <v/>
      </c>
      <c r="GN466" s="44" t="str">
        <f>IF(Table1[Leaving Date]="","",IF(AND(Table1[Leaving Date]&gt;42460,Table1[Leaving Date]&lt;42826),IF(Table1[Date of Last Assessment]="",Table1[Offending],Table1[Offending2]),""))</f>
        <v/>
      </c>
    </row>
    <row r="467" spans="2:196" ht="20.100000000000001" customHeight="1" x14ac:dyDescent="0.2">
      <c r="B467" s="86">
        <f>+'Service Data'!$C$5:$C$5</f>
        <v>0</v>
      </c>
      <c r="C467" s="86"/>
      <c r="D467" s="86"/>
      <c r="E467" s="86"/>
      <c r="F467" s="86"/>
      <c r="G467" s="86"/>
      <c r="H467" s="6"/>
      <c r="I467" s="99" t="str">
        <f ca="1">IF(Table1[[#This Row],[Date of Birth]]="","",SUM(TODAY()-Table1[[#This Row],[Date of Birth]])/365)</f>
        <v/>
      </c>
      <c r="L467" s="86"/>
      <c r="M467" s="77"/>
      <c r="N467" s="86"/>
      <c r="O467" s="86"/>
      <c r="P467" s="91"/>
      <c r="Q467" s="86"/>
      <c r="R467" s="77"/>
      <c r="S467" s="77"/>
      <c r="T467" s="68"/>
      <c r="U467" s="68"/>
      <c r="V467" s="67"/>
      <c r="W467" s="67"/>
      <c r="X467" s="67"/>
      <c r="Y467" s="67"/>
      <c r="Z467" s="67"/>
      <c r="AA467" s="67"/>
      <c r="AB467" s="67"/>
      <c r="AC467" s="67"/>
      <c r="AD467" s="67"/>
      <c r="AE467" s="67"/>
      <c r="AF467" s="67"/>
      <c r="AG467" s="67"/>
      <c r="AH467" s="67"/>
      <c r="AI467" s="67"/>
      <c r="AJ467" s="67"/>
      <c r="AK467" s="67"/>
      <c r="AL467" s="67"/>
      <c r="AM467" s="67"/>
      <c r="AN467" s="77"/>
      <c r="AO467" s="76"/>
      <c r="AP467" s="77"/>
      <c r="AQ467" s="76"/>
      <c r="AR467" s="76"/>
      <c r="AS467" s="76"/>
      <c r="AT467" s="76"/>
      <c r="AU467" s="76"/>
      <c r="AV467" s="77"/>
      <c r="AW467" s="76"/>
      <c r="AX467" s="77"/>
      <c r="AY467" s="76"/>
      <c r="AZ467" s="76"/>
      <c r="BA467" s="76"/>
      <c r="BB467" s="76"/>
      <c r="BC467" s="76"/>
      <c r="BD467" s="77"/>
      <c r="BE467" s="76"/>
      <c r="BF467" s="77"/>
      <c r="BG467" s="76"/>
      <c r="BH467" s="76"/>
      <c r="BI467" s="76"/>
      <c r="BJ467" s="76"/>
      <c r="BK467" s="76"/>
      <c r="BL467" s="77"/>
      <c r="BM467" s="76"/>
      <c r="BN467" s="77"/>
      <c r="BO467" s="76"/>
      <c r="BP467" s="76"/>
      <c r="BQ467" s="76"/>
      <c r="BR467" s="76"/>
      <c r="BS467" s="76"/>
      <c r="BT467" s="77"/>
      <c r="BU467" s="76"/>
      <c r="BV467" s="77"/>
      <c r="BW467" s="76"/>
      <c r="BX467" s="76"/>
      <c r="BY467" s="76"/>
      <c r="BZ467" s="76"/>
      <c r="CA467" s="76"/>
      <c r="CB467" s="77"/>
      <c r="CC467" s="76"/>
      <c r="CD467" s="77"/>
      <c r="CE467" s="76"/>
      <c r="CF467" s="76"/>
      <c r="CG467" s="76"/>
      <c r="CH467" s="76"/>
      <c r="CI467" s="76"/>
      <c r="CJ467" s="77"/>
      <c r="CK467" s="76"/>
      <c r="CL467" s="77"/>
      <c r="CM467" s="76"/>
      <c r="CN467" s="76"/>
      <c r="CO467" s="76"/>
      <c r="CP467" s="76"/>
      <c r="CQ467" s="76"/>
      <c r="CR467" s="78" t="str">
        <f t="shared" si="127"/>
        <v/>
      </c>
      <c r="CS467" s="79" t="str">
        <f t="shared" si="128"/>
        <v/>
      </c>
      <c r="CT467" s="79" t="str">
        <f t="shared" si="129"/>
        <v/>
      </c>
      <c r="CU467" s="79" t="str">
        <f t="shared" si="130"/>
        <v/>
      </c>
      <c r="CV467" s="79" t="str">
        <f t="shared" si="131"/>
        <v/>
      </c>
      <c r="CW467" s="79" t="str">
        <f t="shared" si="132"/>
        <v/>
      </c>
      <c r="CX467" s="79" t="str">
        <f t="shared" si="133"/>
        <v/>
      </c>
      <c r="CY467" s="79" t="str">
        <f t="shared" si="134"/>
        <v/>
      </c>
      <c r="CZ467" s="79" t="str">
        <f t="shared" si="135"/>
        <v/>
      </c>
      <c r="DA467" s="79" t="str">
        <f t="shared" si="136"/>
        <v/>
      </c>
      <c r="DB467" s="79" t="str">
        <f t="shared" si="137"/>
        <v/>
      </c>
      <c r="DC467" s="79" t="str">
        <f t="shared" si="138"/>
        <v/>
      </c>
      <c r="DD467" s="79" t="str">
        <f t="shared" si="139"/>
        <v/>
      </c>
      <c r="DE467" s="79" t="str">
        <f t="shared" si="140"/>
        <v/>
      </c>
      <c r="DF467" s="79" t="str">
        <f t="shared" si="141"/>
        <v/>
      </c>
      <c r="DG467" s="79" t="str">
        <f t="shared" si="142"/>
        <v/>
      </c>
      <c r="DH467" s="76"/>
      <c r="DI467" s="78"/>
      <c r="DJ467" s="76"/>
      <c r="DK467" s="77"/>
      <c r="DL467" s="77"/>
      <c r="DM467" s="77"/>
      <c r="DN467" s="80"/>
      <c r="DO467" s="80"/>
      <c r="DP467" s="92" t="str">
        <f>IF(Table1[Start Date]="","",IF(Table1[Start Date]&gt;42185,"",IF(AND(Table1[Leaving Date]&gt;1,Table1[Leaving Date]&lt;42095),"",1)))</f>
        <v/>
      </c>
      <c r="DQ467" s="92" t="str">
        <f>IF(Table1[Start Date]="","",IF(Table1[Start Date]&gt;42277,"",IF(AND(Table1[Leaving Date]&gt;1,Table1[Leaving Date]&lt;42186),"",1)))</f>
        <v/>
      </c>
      <c r="DR467" s="92" t="str">
        <f>IF(Table1[Start Date]="","",IF(Table1[Start Date]&gt;42369,"",IF(AND(Table1[Leaving Date]&gt;1,Table1[Leaving Date]&lt;42278),"",1)))</f>
        <v/>
      </c>
      <c r="DS467" s="92" t="str">
        <f>IF(Table1[Start Date]="","",IF(Table1[Start Date]&gt;42460,"",IF(AND(Table1[Leaving Date]&gt;1,Table1[Leaving Date]&lt;42370),"",1)))</f>
        <v/>
      </c>
      <c r="DT467" s="92" t="str">
        <f>IF(Table1[Start Date]="","",IF(Table1[Start Date]&gt;42551,"",IF(AND(Table1[Leaving Date]&gt;1,Table1[Leaving Date]&lt;42461),"",1)))</f>
        <v/>
      </c>
      <c r="DU467" s="92" t="str">
        <f>IF(Table1[Start Date]="","",IF(Table1[Start Date]&gt;42643,"",IF(AND(Table1[Leaving Date]&gt;1,Table1[Leaving Date]&lt;42552),"",1)))</f>
        <v/>
      </c>
      <c r="DV467" s="92" t="str">
        <f>IF(Table1[Start Date]="","",IF(Table1[Start Date]&gt;42735,"",IF(AND(Table1[Leaving Date]&gt;1,Table1[Leaving Date]&lt;42644),"",1)))</f>
        <v/>
      </c>
      <c r="DW467" s="92" t="str">
        <f>IF(Table1[Start Date]="","",IF(Table1[Start Date]&gt;42825,"",IF(AND(Table1[Leaving Date]&gt;1,Table1[Leaving Date]&lt;42736),"",1)))</f>
        <v/>
      </c>
      <c r="DX467"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467" s="44" t="e">
        <f>VLOOKUP(Table1[Referral Source],Lists!$G$2:$H$20,2,FALSE)</f>
        <v>#N/A</v>
      </c>
      <c r="DZ467" s="93" t="e">
        <f>SUM(Table1[Data Referral Quarter]+Table1[Data Referral Source])</f>
        <v>#N/A</v>
      </c>
      <c r="EA467" s="44" t="b">
        <f>IF(Table1[Referral Decision]="Accepted",100,IF(Table1[Referral Decision]="Rejected by Provider",200,IF(Table1[Referral Decision]="Rejected by Applicant",300)))</f>
        <v>0</v>
      </c>
      <c r="EB467" s="44">
        <f>SUM(Table1[Data Referral Quarter]+Table1[Data Referral Decision])</f>
        <v>0</v>
      </c>
      <c r="EC467" s="44" t="b">
        <f>IF(Table1[Start Date]&gt;42735,8000,IF(Table1[Start Date]&gt;42643,7000,IF(Table1[Start Date]&gt;42551,6000,IF(Table1[Start Date]&gt;42460,5000,IF(Table1[Start Date]&gt;42369,4000,IF(Table1[Start Date]&gt;42277,3000,IF(Table1[Start Date]&gt;42185,2000,IF(Table1[Start Date]&gt;42094,1000))))))))</f>
        <v>0</v>
      </c>
      <c r="ED467" s="44" t="str">
        <f>IF(Table1[Start Date]="","",IF(Table1[Current Local Authority]="Swindon",1,"2"))</f>
        <v/>
      </c>
      <c r="EE467" s="44" t="e">
        <f>SUM(Table1[Data Start Date]+Table1[Data Local Authority])</f>
        <v>#VALUE!</v>
      </c>
      <c r="EF467" s="44">
        <f>IF(Table1[Registered with GP]="Yes",1,0)</f>
        <v>0</v>
      </c>
      <c r="EG467" s="44">
        <f>SUM(Table1[Data Start Date]+Table1[Data GP Start])</f>
        <v>0</v>
      </c>
      <c r="EH467" s="44" t="str">
        <f>IF(Table1[EET]="NEET",1,IF(Table1[EET]="Education",2,IF(Table1[EET]="Employment",2,IF(Table1[EET]="Training",2,IF(Table1[EET]="Retired",3,"")))))</f>
        <v/>
      </c>
      <c r="EI467" s="44" t="e">
        <f>Table1[Data Start Date]+Table1[Data EET Start]</f>
        <v>#VALUE!</v>
      </c>
      <c r="EJ467" s="44" t="b">
        <f>IF(Table1[Leaving Date]&gt;42735,8000,IF(Table1[Leaving Date]&gt;42643,7000,IF(Table1[Leaving Date]&gt;42551,6000,IF(Table1[Leaving Date]&gt;42460,5000,IF(Table1[Leaving Date]&gt;42369,4000,IF(Table1[Leaving Date]&gt;42277,3000,IF(Table1[Leaving Date]&gt;42185,2000,IF(Table1[Leaving Date]&gt;42094,1000))))))))</f>
        <v>0</v>
      </c>
      <c r="EK467" s="44" t="e">
        <f>VLOOKUP(Table1[Reason for Leaving],Lists!$T$2:$U$15,2,FALSE)</f>
        <v>#N/A</v>
      </c>
      <c r="EL467" s="44" t="e">
        <f>SUM(Table1[Data Leavers Date]+Table1[Data Move On])</f>
        <v>#N/A</v>
      </c>
      <c r="EM467" s="44" t="b">
        <f>IF(Table1[Registered with GP2]="Yes",1,IF(Table1[Registered with GP2]="No",0,IF(Table1[Registered with GP]="Yes",1,IF(Table1[Registered with GP]="No",0))))</f>
        <v>0</v>
      </c>
      <c r="EN467" s="44">
        <f>SUM(Table1[Data Leavers Date]+Table1[Data GP End])</f>
        <v>0</v>
      </c>
      <c r="EO467" s="44" t="str">
        <f>IF(Table1[EET2]="NEET",1,IF(Table1[EET2]="Employment",2,IF(Table1[EET2]="Education",2,IF(Table1[EET2]="Training",2,IF(Table1[EET2]="Retired",3,IF(Table1[EET]="NEET",1,IF(Table1[EET]="Employment",2,IF(Table1[EET]="Education",2,IF(Table1[EET]="Training",2,IF(Table1[EET]="Retired",3,""))))))))))</f>
        <v/>
      </c>
      <c r="EP467" s="44" t="e">
        <f>+Table1[[#This Row],[Data Leavers Date]]+Table1[[#This Row],[Data EET End]]</f>
        <v>#VALUE!</v>
      </c>
      <c r="EQ467" s="44">
        <f>IF(Table1[Exit Form Received]="Yes",1,0)</f>
        <v>0</v>
      </c>
      <c r="ER467" s="44">
        <f>+Table1[[#This Row],[Data Leavers Date]]+Table1[[#This Row],[Data Exit Forms]]</f>
        <v>0</v>
      </c>
      <c r="ES467" s="44" t="str">
        <f>IF(Table1[Data Leavers Date]=1000,SUM(Table1[Leaving Date]-Table1[Start Date]),"")</f>
        <v/>
      </c>
      <c r="ET467" s="44" t="str">
        <f>IF(Table1[Data Leavers Date]=2000,SUM(Table1[Leaving Date]-Table1[Start Date]),"")</f>
        <v/>
      </c>
      <c r="EU467" s="44" t="str">
        <f>IF(Table1[Data Leavers Date]=3000,SUM(Table1[Leaving Date]-Table1[Start Date]),"")</f>
        <v/>
      </c>
      <c r="EV467" s="44" t="str">
        <f>IF(Table1[Data Leavers Date]=4000,SUM(Table1[Leaving Date]-Table1[Start Date]),"")</f>
        <v/>
      </c>
      <c r="EW467" s="44" t="str">
        <f>IF(Table1[Data Leavers Date]=5000,SUM(Table1[Leaving Date]-Table1[Start Date]),"")</f>
        <v/>
      </c>
      <c r="EX467" s="44" t="str">
        <f>IF(Table1[Data Leavers Date]=6000,SUM(Table1[Leaving Date]-Table1[Start Date]),"")</f>
        <v/>
      </c>
      <c r="EY467" s="44" t="str">
        <f>IF(Table1[Data Leavers Date]=7000,SUM(Table1[Leaving Date]-Table1[Start Date]),"")</f>
        <v/>
      </c>
      <c r="EZ467" s="44" t="str">
        <f>IF(Table1[Data Leavers Date]=8000,SUM(Table1[Leaving Date]-Table1[Start Date]),"")</f>
        <v/>
      </c>
      <c r="FA467" s="44" t="str">
        <f>IF(Table1[Date of Initial Assessment]="","",IF(AND(Table1[Start Date]&gt;42094,Table1[Start Date]&lt;42461),Table1[Motivation and Taking Responsibility],""))</f>
        <v/>
      </c>
      <c r="FB467" s="44" t="str">
        <f>IF(Table1[Date of Initial Assessment]="","",IF(AND(Table1[Start Date]&gt;42094,Table1[Start Date]&lt;42461),Table1[Self-Care and Living Skills],""))</f>
        <v/>
      </c>
      <c r="FC467" s="44" t="str">
        <f>IF(Table1[Date of Initial Assessment]="","",IF(AND(Table1[Start Date]&gt;42094,Table1[Start Date]&lt;42461),Table1[Managing Money and Personal Administration],""))</f>
        <v/>
      </c>
      <c r="FD467" s="44" t="str">
        <f>IF(Table1[Date of Initial Assessment]="","",IF(AND(Table1[Start Date]&gt;42094,Table1[Start Date]&lt;42461),Table1[Social Networks and Relationships],""))</f>
        <v/>
      </c>
      <c r="FE467" s="44" t="str">
        <f>IF(Table1[Date of Initial Assessment]="","",IF(AND(Table1[Start Date]&gt;42094,Table1[Start Date]&lt;42461),Table1[Drug and Alcohol Misuse],""))</f>
        <v/>
      </c>
      <c r="FF467" s="44" t="str">
        <f>IF(Table1[Date of Initial Assessment]="","",IF(AND(Table1[Start Date]&gt;42094,Table1[Start Date]&lt;42461),Table1[Physical Health],""))</f>
        <v/>
      </c>
      <c r="FG467" s="44" t="str">
        <f>IF(Table1[Date of Initial Assessment]="","",IF(AND(Table1[Start Date]&gt;42094,Table1[Start Date]&lt;42461),Table1[Emotional and Mental Health],""))</f>
        <v/>
      </c>
      <c r="FH467" s="44" t="str">
        <f>IF(Table1[Date of Initial Assessment]="","",IF(AND(Table1[Start Date]&gt;42094,Table1[Start Date]&lt;42461),Table1[Meaningful Use of Time],""))</f>
        <v/>
      </c>
      <c r="FI467" s="44" t="str">
        <f>IF(Table1[Date of Initial Assessment]="","",IF(AND(Table1[Start Date]&gt;42094,Table1[Start Date]&lt;42461),Table1[Managing Tenancy and Accommodation],""))</f>
        <v/>
      </c>
      <c r="FJ467" s="44" t="str">
        <f>IF(Table1[Date of Initial Assessment]="","",IF(AND(Table1[Start Date]&gt;42094,Table1[Start Date]&lt;42461),Table1[Offending],""))</f>
        <v/>
      </c>
      <c r="FK467" s="44" t="str">
        <f>IF(Table1[Leaving Date]="","",IF(Table1[Date of Initial Assessment]="","",IF(AND(Table1[Leaving Date]&gt;42094,Table1[Leaving Date]&lt;42461),IF(Table1[Date of Last Assessment]="",Table1[Motivation and Taking Responsibility],Table1[Motivation and Taking Responsibility2]),"")))</f>
        <v/>
      </c>
      <c r="FL467" s="44" t="str">
        <f>IF(Table1[Leaving Date]="","",IF(Table1[Date of Initial Assessment]="","",IF(AND(Table1[Leaving Date]&gt;42094,Table1[Leaving Date]&lt;42461),IF(Table1[Date of Last Assessment]="",Table1[Self-Care and Living Skills],Table1[Self-Care and Living Skills2]),"")))</f>
        <v/>
      </c>
      <c r="FM467" s="44" t="str">
        <f>IF(Table1[Leaving Date]="","",IF(Table1[Date of Initial Assessment]="","",IF(AND(Table1[Leaving Date]&gt;42094,Table1[Leaving Date]&lt;42461),IF(Table1[Date of Last Assessment]="",Table1[Managing Money and Personal Administration],Table1[Managing Money and Personal Administration2]),"")))</f>
        <v/>
      </c>
      <c r="FN467" s="44" t="str">
        <f>IF(Table1[Leaving Date]="","",IF(Table1[Date of Initial Assessment]="","",IF(AND(Table1[Leaving Date]&gt;42094,Table1[Leaving Date]&lt;42461),IF(Table1[Date of Last Assessment]="",Table1[Social Networks and Relationships],Table1[Social Networks and Relationships2]),"")))</f>
        <v/>
      </c>
      <c r="FO467" s="44" t="str">
        <f>IF(Table1[Leaving Date]="","",IF(Table1[Date of Initial Assessment]="","",IF(AND(Table1[Leaving Date]&gt;42094,Table1[Leaving Date]&lt;42461),IF(Table1[Date of Last Assessment]="",Table1[Drug and Alcohol Misuse],Table1[Drug and Alcohol Misuse2]),"")))</f>
        <v/>
      </c>
      <c r="FP467" s="44" t="str">
        <f>IF(Table1[Leaving Date]="","",IF(Table1[Date of Initial Assessment]="","",IF(AND(Table1[Leaving Date]&gt;42094,Table1[Leaving Date]&lt;42461),IF(Table1[Date of Last Assessment]="",Table1[Physical Health],Table1[Physical Health2]),"")))</f>
        <v/>
      </c>
      <c r="FQ467" s="44" t="str">
        <f>IF(Table1[Leaving Date]="","",IF(Table1[Date of Initial Assessment]="","",IF(AND(Table1[Leaving Date]&gt;42094,Table1[Leaving Date]&lt;42461),IF(Table1[Date of Last Assessment]="",Table1[Emotional and Mental Health],Table1[Emotional and Mental Health2]),"")))</f>
        <v/>
      </c>
      <c r="FR467" s="44" t="str">
        <f>IF(Table1[Leaving Date]="","",IF(Table1[Date of Initial Assessment]="","",IF(AND(Table1[Leaving Date]&gt;42094,Table1[Leaving Date]&lt;42461),IF(Table1[Date of Last Assessment]="",Table1[Meaningful Use of Time],Table1[Meaningful Use of Time2]),"")))</f>
        <v/>
      </c>
      <c r="FS467" s="44" t="str">
        <f>IF(Table1[Leaving Date]="","",IF(Table1[Date of Initial Assessment]="","",IF(AND(Table1[Leaving Date]&gt;42094,Table1[Leaving Date]&lt;42461),IF(Table1[Date of Last Assessment]="",Table1[Managing Tenancy and Accommodation],Table1[Managing Tenancy and Accommodation2]),"")))</f>
        <v/>
      </c>
      <c r="FT467" s="44" t="str">
        <f>IF(Table1[Leaving Date]="","",IF(Table1[Date of Initial Assessment]="","",IF(AND(Table1[Leaving Date]&gt;42094,Table1[Leaving Date]&lt;42461),IF(Table1[Date of Last Assessment]="",Table1[Offending],Table1[Offending2]),"")))</f>
        <v/>
      </c>
      <c r="FU467" s="44" t="str">
        <f>IF(Table1[Date of Initial Assessment]="","",IF(AND(Table1[Start Date]&gt;42460,Table1[Start Date]&lt;42826),Table1[Motivation and Taking Responsibility],""))</f>
        <v/>
      </c>
      <c r="FV467" s="44" t="str">
        <f>IF(Table1[Date of Initial Assessment]="","",IF(AND(Table1[Start Date]&gt;42460,Table1[Start Date]&lt;42826),Table1[Self-Care and Living Skills],""))</f>
        <v/>
      </c>
      <c r="FW467" s="44" t="str">
        <f>IF(Table1[Date of Initial Assessment]="","",IF(AND(Table1[Start Date]&gt;42460,Table1[Start Date]&lt;42826),Table1[Managing Money and Personal Administration],""))</f>
        <v/>
      </c>
      <c r="FX467" s="44" t="str">
        <f>IF(Table1[Date of Initial Assessment]="","",IF(AND(Table1[Start Date]&gt;42460,Table1[Start Date]&lt;42826),Table1[Social Networks and Relationships],""))</f>
        <v/>
      </c>
      <c r="FY467" s="44" t="str">
        <f>IF(Table1[Date of Initial Assessment]="","",IF(AND(Table1[Start Date]&gt;42460,Table1[Start Date]&lt;42826),Table1[Drug and Alcohol Misuse],""))</f>
        <v/>
      </c>
      <c r="FZ467" s="44" t="str">
        <f>IF(Table1[Date of Initial Assessment]="","",IF(AND(Table1[Start Date]&gt;42460,Table1[Start Date]&lt;42826),Table1[Physical Health],""))</f>
        <v/>
      </c>
      <c r="GA467" s="44" t="str">
        <f>IF(Table1[Date of Initial Assessment]="","",IF(AND(Table1[Start Date]&gt;42460,Table1[Start Date]&lt;42826),Table1[Emotional and Mental Health],""))</f>
        <v/>
      </c>
      <c r="GB467" s="44" t="str">
        <f>IF(Table1[Date of Initial Assessment]="","",IF(AND(Table1[Start Date]&gt;42460,Table1[Start Date]&lt;42826),Table1[Meaningful Use of Time],""))</f>
        <v/>
      </c>
      <c r="GC467" s="44" t="str">
        <f>IF(Table1[Date of Initial Assessment]="","",IF(AND(Table1[Start Date]&gt;42460,Table1[Start Date]&lt;42826),Table1[Managing Tenancy and Accommodation],""))</f>
        <v/>
      </c>
      <c r="GD467" s="44" t="str">
        <f>IF(Table1[Date of Initial Assessment]="","",IF(AND(Table1[Start Date]&gt;42460,Table1[Start Date]&lt;42826),Table1[Offending],""))</f>
        <v/>
      </c>
      <c r="GE467" s="44" t="str">
        <f>IF(Table1[Leaving Date]="","",IF(AND(Table1[Leaving Date]&gt;42460,Table1[Leaving Date]&lt;42826),IF(Table1[Date of Last Assessment]="",Table1[Motivation and Taking Responsibility],Table1[Motivation and Taking Responsibility2]),""))</f>
        <v/>
      </c>
      <c r="GF467" s="44" t="str">
        <f>IF(Table1[Leaving Date]="","",IF(AND(Table1[Leaving Date]&gt;42460,Table1[Leaving Date]&lt;42826),IF(Table1[Date of Last Assessment]="",Table1[Self-Care and Living Skills],Table1[Self-Care and Living Skills2]),""))</f>
        <v/>
      </c>
      <c r="GG467" s="44" t="str">
        <f>IF(Table1[Leaving Date]="","",IF(AND(Table1[Leaving Date]&gt;42460,Table1[Leaving Date]&lt;42826),IF(Table1[Date of Last Assessment]="",Table1[Managing Money and Personal Administration],Table1[Managing Money and Personal Administration2]),""))</f>
        <v/>
      </c>
      <c r="GH467" s="44" t="str">
        <f>IF(Table1[Leaving Date]="","",IF(AND(Table1[Leaving Date]&gt;42460,Table1[Leaving Date]&lt;42826),IF(Table1[Date of Last Assessment]="",Table1[Social Networks and Relationships],Table1[Social Networks and Relationships2]),""))</f>
        <v/>
      </c>
      <c r="GI467" s="44" t="str">
        <f>IF(Table1[Leaving Date]="","",IF(AND(Table1[Leaving Date]&gt;42460,Table1[Leaving Date]&lt;42826),IF(Table1[Date of Last Assessment]="",Table1[Drug and Alcohol Misuse],Table1[Drug and Alcohol Misuse2]),""))</f>
        <v/>
      </c>
      <c r="GJ467" s="44" t="str">
        <f>IF(Table1[Leaving Date]="","",IF(AND(Table1[Leaving Date]&gt;42460,Table1[Leaving Date]&lt;42826),IF(Table1[Date of Last Assessment]="",Table1[Physical Health],Table1[Physical Health2]),""))</f>
        <v/>
      </c>
      <c r="GK467" s="44" t="str">
        <f>IF(Table1[Leaving Date]="","",IF(AND(Table1[Leaving Date]&gt;42460,Table1[Leaving Date]&lt;42826),IF(Table1[Date of Last Assessment]="",Table1[Emotional and Mental Health],Table1[Emotional and Mental Health2]),""))</f>
        <v/>
      </c>
      <c r="GL467" s="44" t="str">
        <f>IF(Table1[Leaving Date]="","",IF(AND(Table1[Leaving Date]&gt;42460,Table1[Leaving Date]&lt;42826),IF(Table1[Date of Last Assessment]="",Table1[Meaningful Use of Time],Table1[Meaningful Use of Time2]),""))</f>
        <v/>
      </c>
      <c r="GM467" s="44" t="str">
        <f>IF(Table1[Leaving Date]="","",IF(AND(Table1[Leaving Date]&gt;42460,Table1[Leaving Date]&lt;42826),IF(Table1[Date of Last Assessment]="",Table1[Managing Tenancy and Accommodation],Table1[Managing Tenancy and Accommodation2]),""))</f>
        <v/>
      </c>
      <c r="GN467" s="44" t="str">
        <f>IF(Table1[Leaving Date]="","",IF(AND(Table1[Leaving Date]&gt;42460,Table1[Leaving Date]&lt;42826),IF(Table1[Date of Last Assessment]="",Table1[Offending],Table1[Offending2]),""))</f>
        <v/>
      </c>
    </row>
    <row r="468" spans="2:196" ht="20.100000000000001" customHeight="1" x14ac:dyDescent="0.2">
      <c r="B468" s="86">
        <f>+'Service Data'!$C$5:$C$5</f>
        <v>0</v>
      </c>
      <c r="C468" s="86"/>
      <c r="D468" s="86"/>
      <c r="E468" s="86"/>
      <c r="F468" s="86"/>
      <c r="G468" s="86"/>
      <c r="H468" s="6"/>
      <c r="I468" s="99" t="str">
        <f ca="1">IF(Table1[[#This Row],[Date of Birth]]="","",SUM(TODAY()-Table1[[#This Row],[Date of Birth]])/365)</f>
        <v/>
      </c>
      <c r="L468" s="86"/>
      <c r="M468" s="77"/>
      <c r="N468" s="86"/>
      <c r="O468" s="86"/>
      <c r="P468" s="91"/>
      <c r="Q468" s="86"/>
      <c r="R468" s="77"/>
      <c r="S468" s="77"/>
      <c r="T468" s="68"/>
      <c r="U468" s="68"/>
      <c r="V468" s="67"/>
      <c r="W468" s="67"/>
      <c r="X468" s="67"/>
      <c r="Y468" s="67"/>
      <c r="Z468" s="67"/>
      <c r="AA468" s="67"/>
      <c r="AB468" s="67"/>
      <c r="AC468" s="67"/>
      <c r="AD468" s="67"/>
      <c r="AE468" s="67"/>
      <c r="AF468" s="67"/>
      <c r="AG468" s="67"/>
      <c r="AH468" s="67"/>
      <c r="AI468" s="67"/>
      <c r="AJ468" s="67"/>
      <c r="AK468" s="67"/>
      <c r="AL468" s="67"/>
      <c r="AM468" s="67"/>
      <c r="AN468" s="77"/>
      <c r="AO468" s="76"/>
      <c r="AP468" s="77"/>
      <c r="AQ468" s="76"/>
      <c r="AR468" s="76"/>
      <c r="AS468" s="76"/>
      <c r="AT468" s="76"/>
      <c r="AU468" s="76"/>
      <c r="AV468" s="77"/>
      <c r="AW468" s="76"/>
      <c r="AX468" s="77"/>
      <c r="AY468" s="76"/>
      <c r="AZ468" s="76"/>
      <c r="BA468" s="76"/>
      <c r="BB468" s="76"/>
      <c r="BC468" s="76"/>
      <c r="BD468" s="77"/>
      <c r="BE468" s="76"/>
      <c r="BF468" s="77"/>
      <c r="BG468" s="76"/>
      <c r="BH468" s="76"/>
      <c r="BI468" s="76"/>
      <c r="BJ468" s="76"/>
      <c r="BK468" s="76"/>
      <c r="BL468" s="77"/>
      <c r="BM468" s="76"/>
      <c r="BN468" s="77"/>
      <c r="BO468" s="76"/>
      <c r="BP468" s="76"/>
      <c r="BQ468" s="76"/>
      <c r="BR468" s="76"/>
      <c r="BS468" s="76"/>
      <c r="BT468" s="77"/>
      <c r="BU468" s="76"/>
      <c r="BV468" s="77"/>
      <c r="BW468" s="76"/>
      <c r="BX468" s="76"/>
      <c r="BY468" s="76"/>
      <c r="BZ468" s="76"/>
      <c r="CA468" s="76"/>
      <c r="CB468" s="77"/>
      <c r="CC468" s="76"/>
      <c r="CD468" s="77"/>
      <c r="CE468" s="76"/>
      <c r="CF468" s="76"/>
      <c r="CG468" s="76"/>
      <c r="CH468" s="76"/>
      <c r="CI468" s="76"/>
      <c r="CJ468" s="77"/>
      <c r="CK468" s="76"/>
      <c r="CL468" s="77"/>
      <c r="CM468" s="76"/>
      <c r="CN468" s="76"/>
      <c r="CO468" s="76"/>
      <c r="CP468" s="76"/>
      <c r="CQ468" s="76"/>
      <c r="CR468" s="78" t="str">
        <f t="shared" si="127"/>
        <v/>
      </c>
      <c r="CS468" s="79" t="str">
        <f t="shared" si="128"/>
        <v/>
      </c>
      <c r="CT468" s="79" t="str">
        <f t="shared" si="129"/>
        <v/>
      </c>
      <c r="CU468" s="79" t="str">
        <f t="shared" si="130"/>
        <v/>
      </c>
      <c r="CV468" s="79" t="str">
        <f t="shared" si="131"/>
        <v/>
      </c>
      <c r="CW468" s="79" t="str">
        <f t="shared" si="132"/>
        <v/>
      </c>
      <c r="CX468" s="79" t="str">
        <f t="shared" si="133"/>
        <v/>
      </c>
      <c r="CY468" s="79" t="str">
        <f t="shared" si="134"/>
        <v/>
      </c>
      <c r="CZ468" s="79" t="str">
        <f t="shared" si="135"/>
        <v/>
      </c>
      <c r="DA468" s="79" t="str">
        <f t="shared" si="136"/>
        <v/>
      </c>
      <c r="DB468" s="79" t="str">
        <f t="shared" si="137"/>
        <v/>
      </c>
      <c r="DC468" s="79" t="str">
        <f t="shared" si="138"/>
        <v/>
      </c>
      <c r="DD468" s="79" t="str">
        <f t="shared" si="139"/>
        <v/>
      </c>
      <c r="DE468" s="79" t="str">
        <f t="shared" si="140"/>
        <v/>
      </c>
      <c r="DF468" s="79" t="str">
        <f t="shared" si="141"/>
        <v/>
      </c>
      <c r="DG468" s="79" t="str">
        <f t="shared" si="142"/>
        <v/>
      </c>
      <c r="DH468" s="76"/>
      <c r="DI468" s="78"/>
      <c r="DJ468" s="76"/>
      <c r="DK468" s="77"/>
      <c r="DL468" s="77"/>
      <c r="DM468" s="77"/>
      <c r="DN468" s="80"/>
      <c r="DO468" s="80"/>
      <c r="DP468" s="92" t="str">
        <f>IF(Table1[Start Date]="","",IF(Table1[Start Date]&gt;42185,"",IF(AND(Table1[Leaving Date]&gt;1,Table1[Leaving Date]&lt;42095),"",1)))</f>
        <v/>
      </c>
      <c r="DQ468" s="92" t="str">
        <f>IF(Table1[Start Date]="","",IF(Table1[Start Date]&gt;42277,"",IF(AND(Table1[Leaving Date]&gt;1,Table1[Leaving Date]&lt;42186),"",1)))</f>
        <v/>
      </c>
      <c r="DR468" s="92" t="str">
        <f>IF(Table1[Start Date]="","",IF(Table1[Start Date]&gt;42369,"",IF(AND(Table1[Leaving Date]&gt;1,Table1[Leaving Date]&lt;42278),"",1)))</f>
        <v/>
      </c>
      <c r="DS468" s="92" t="str">
        <f>IF(Table1[Start Date]="","",IF(Table1[Start Date]&gt;42460,"",IF(AND(Table1[Leaving Date]&gt;1,Table1[Leaving Date]&lt;42370),"",1)))</f>
        <v/>
      </c>
      <c r="DT468" s="92" t="str">
        <f>IF(Table1[Start Date]="","",IF(Table1[Start Date]&gt;42551,"",IF(AND(Table1[Leaving Date]&gt;1,Table1[Leaving Date]&lt;42461),"",1)))</f>
        <v/>
      </c>
      <c r="DU468" s="92" t="str">
        <f>IF(Table1[Start Date]="","",IF(Table1[Start Date]&gt;42643,"",IF(AND(Table1[Leaving Date]&gt;1,Table1[Leaving Date]&lt;42552),"",1)))</f>
        <v/>
      </c>
      <c r="DV468" s="92" t="str">
        <f>IF(Table1[Start Date]="","",IF(Table1[Start Date]&gt;42735,"",IF(AND(Table1[Leaving Date]&gt;1,Table1[Leaving Date]&lt;42644),"",1)))</f>
        <v/>
      </c>
      <c r="DW468" s="92" t="str">
        <f>IF(Table1[Start Date]="","",IF(Table1[Start Date]&gt;42825,"",IF(AND(Table1[Leaving Date]&gt;1,Table1[Leaving Date]&lt;42736),"",1)))</f>
        <v/>
      </c>
      <c r="DX468"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468" s="44" t="e">
        <f>VLOOKUP(Table1[Referral Source],Lists!$G$2:$H$20,2,FALSE)</f>
        <v>#N/A</v>
      </c>
      <c r="DZ468" s="93" t="e">
        <f>SUM(Table1[Data Referral Quarter]+Table1[Data Referral Source])</f>
        <v>#N/A</v>
      </c>
      <c r="EA468" s="44" t="b">
        <f>IF(Table1[Referral Decision]="Accepted",100,IF(Table1[Referral Decision]="Rejected by Provider",200,IF(Table1[Referral Decision]="Rejected by Applicant",300)))</f>
        <v>0</v>
      </c>
      <c r="EB468" s="44">
        <f>SUM(Table1[Data Referral Quarter]+Table1[Data Referral Decision])</f>
        <v>0</v>
      </c>
      <c r="EC468" s="44" t="b">
        <f>IF(Table1[Start Date]&gt;42735,8000,IF(Table1[Start Date]&gt;42643,7000,IF(Table1[Start Date]&gt;42551,6000,IF(Table1[Start Date]&gt;42460,5000,IF(Table1[Start Date]&gt;42369,4000,IF(Table1[Start Date]&gt;42277,3000,IF(Table1[Start Date]&gt;42185,2000,IF(Table1[Start Date]&gt;42094,1000))))))))</f>
        <v>0</v>
      </c>
      <c r="ED468" s="44" t="str">
        <f>IF(Table1[Start Date]="","",IF(Table1[Current Local Authority]="Swindon",1,"2"))</f>
        <v/>
      </c>
      <c r="EE468" s="44" t="e">
        <f>SUM(Table1[Data Start Date]+Table1[Data Local Authority])</f>
        <v>#VALUE!</v>
      </c>
      <c r="EF468" s="44">
        <f>IF(Table1[Registered with GP]="Yes",1,0)</f>
        <v>0</v>
      </c>
      <c r="EG468" s="44">
        <f>SUM(Table1[Data Start Date]+Table1[Data GP Start])</f>
        <v>0</v>
      </c>
      <c r="EH468" s="44" t="str">
        <f>IF(Table1[EET]="NEET",1,IF(Table1[EET]="Education",2,IF(Table1[EET]="Employment",2,IF(Table1[EET]="Training",2,IF(Table1[EET]="Retired",3,"")))))</f>
        <v/>
      </c>
      <c r="EI468" s="44" t="e">
        <f>Table1[Data Start Date]+Table1[Data EET Start]</f>
        <v>#VALUE!</v>
      </c>
      <c r="EJ468" s="44" t="b">
        <f>IF(Table1[Leaving Date]&gt;42735,8000,IF(Table1[Leaving Date]&gt;42643,7000,IF(Table1[Leaving Date]&gt;42551,6000,IF(Table1[Leaving Date]&gt;42460,5000,IF(Table1[Leaving Date]&gt;42369,4000,IF(Table1[Leaving Date]&gt;42277,3000,IF(Table1[Leaving Date]&gt;42185,2000,IF(Table1[Leaving Date]&gt;42094,1000))))))))</f>
        <v>0</v>
      </c>
      <c r="EK468" s="44" t="e">
        <f>VLOOKUP(Table1[Reason for Leaving],Lists!$T$2:$U$15,2,FALSE)</f>
        <v>#N/A</v>
      </c>
      <c r="EL468" s="44" t="e">
        <f>SUM(Table1[Data Leavers Date]+Table1[Data Move On])</f>
        <v>#N/A</v>
      </c>
      <c r="EM468" s="44" t="b">
        <f>IF(Table1[Registered with GP2]="Yes",1,IF(Table1[Registered with GP2]="No",0,IF(Table1[Registered with GP]="Yes",1,IF(Table1[Registered with GP]="No",0))))</f>
        <v>0</v>
      </c>
      <c r="EN468" s="44">
        <f>SUM(Table1[Data Leavers Date]+Table1[Data GP End])</f>
        <v>0</v>
      </c>
      <c r="EO468" s="44" t="str">
        <f>IF(Table1[EET2]="NEET",1,IF(Table1[EET2]="Employment",2,IF(Table1[EET2]="Education",2,IF(Table1[EET2]="Training",2,IF(Table1[EET2]="Retired",3,IF(Table1[EET]="NEET",1,IF(Table1[EET]="Employment",2,IF(Table1[EET]="Education",2,IF(Table1[EET]="Training",2,IF(Table1[EET]="Retired",3,""))))))))))</f>
        <v/>
      </c>
      <c r="EP468" s="44" t="e">
        <f>+Table1[[#This Row],[Data Leavers Date]]+Table1[[#This Row],[Data EET End]]</f>
        <v>#VALUE!</v>
      </c>
      <c r="EQ468" s="44">
        <f>IF(Table1[Exit Form Received]="Yes",1,0)</f>
        <v>0</v>
      </c>
      <c r="ER468" s="44">
        <f>+Table1[[#This Row],[Data Leavers Date]]+Table1[[#This Row],[Data Exit Forms]]</f>
        <v>0</v>
      </c>
      <c r="ES468" s="44" t="str">
        <f>IF(Table1[Data Leavers Date]=1000,SUM(Table1[Leaving Date]-Table1[Start Date]),"")</f>
        <v/>
      </c>
      <c r="ET468" s="44" t="str">
        <f>IF(Table1[Data Leavers Date]=2000,SUM(Table1[Leaving Date]-Table1[Start Date]),"")</f>
        <v/>
      </c>
      <c r="EU468" s="44" t="str">
        <f>IF(Table1[Data Leavers Date]=3000,SUM(Table1[Leaving Date]-Table1[Start Date]),"")</f>
        <v/>
      </c>
      <c r="EV468" s="44" t="str">
        <f>IF(Table1[Data Leavers Date]=4000,SUM(Table1[Leaving Date]-Table1[Start Date]),"")</f>
        <v/>
      </c>
      <c r="EW468" s="44" t="str">
        <f>IF(Table1[Data Leavers Date]=5000,SUM(Table1[Leaving Date]-Table1[Start Date]),"")</f>
        <v/>
      </c>
      <c r="EX468" s="44" t="str">
        <f>IF(Table1[Data Leavers Date]=6000,SUM(Table1[Leaving Date]-Table1[Start Date]),"")</f>
        <v/>
      </c>
      <c r="EY468" s="44" t="str">
        <f>IF(Table1[Data Leavers Date]=7000,SUM(Table1[Leaving Date]-Table1[Start Date]),"")</f>
        <v/>
      </c>
      <c r="EZ468" s="44" t="str">
        <f>IF(Table1[Data Leavers Date]=8000,SUM(Table1[Leaving Date]-Table1[Start Date]),"")</f>
        <v/>
      </c>
      <c r="FA468" s="44" t="str">
        <f>IF(Table1[Date of Initial Assessment]="","",IF(AND(Table1[Start Date]&gt;42094,Table1[Start Date]&lt;42461),Table1[Motivation and Taking Responsibility],""))</f>
        <v/>
      </c>
      <c r="FB468" s="44" t="str">
        <f>IF(Table1[Date of Initial Assessment]="","",IF(AND(Table1[Start Date]&gt;42094,Table1[Start Date]&lt;42461),Table1[Self-Care and Living Skills],""))</f>
        <v/>
      </c>
      <c r="FC468" s="44" t="str">
        <f>IF(Table1[Date of Initial Assessment]="","",IF(AND(Table1[Start Date]&gt;42094,Table1[Start Date]&lt;42461),Table1[Managing Money and Personal Administration],""))</f>
        <v/>
      </c>
      <c r="FD468" s="44" t="str">
        <f>IF(Table1[Date of Initial Assessment]="","",IF(AND(Table1[Start Date]&gt;42094,Table1[Start Date]&lt;42461),Table1[Social Networks and Relationships],""))</f>
        <v/>
      </c>
      <c r="FE468" s="44" t="str">
        <f>IF(Table1[Date of Initial Assessment]="","",IF(AND(Table1[Start Date]&gt;42094,Table1[Start Date]&lt;42461),Table1[Drug and Alcohol Misuse],""))</f>
        <v/>
      </c>
      <c r="FF468" s="44" t="str">
        <f>IF(Table1[Date of Initial Assessment]="","",IF(AND(Table1[Start Date]&gt;42094,Table1[Start Date]&lt;42461),Table1[Physical Health],""))</f>
        <v/>
      </c>
      <c r="FG468" s="44" t="str">
        <f>IF(Table1[Date of Initial Assessment]="","",IF(AND(Table1[Start Date]&gt;42094,Table1[Start Date]&lt;42461),Table1[Emotional and Mental Health],""))</f>
        <v/>
      </c>
      <c r="FH468" s="44" t="str">
        <f>IF(Table1[Date of Initial Assessment]="","",IF(AND(Table1[Start Date]&gt;42094,Table1[Start Date]&lt;42461),Table1[Meaningful Use of Time],""))</f>
        <v/>
      </c>
      <c r="FI468" s="44" t="str">
        <f>IF(Table1[Date of Initial Assessment]="","",IF(AND(Table1[Start Date]&gt;42094,Table1[Start Date]&lt;42461),Table1[Managing Tenancy and Accommodation],""))</f>
        <v/>
      </c>
      <c r="FJ468" s="44" t="str">
        <f>IF(Table1[Date of Initial Assessment]="","",IF(AND(Table1[Start Date]&gt;42094,Table1[Start Date]&lt;42461),Table1[Offending],""))</f>
        <v/>
      </c>
      <c r="FK468" s="44" t="str">
        <f>IF(Table1[Leaving Date]="","",IF(Table1[Date of Initial Assessment]="","",IF(AND(Table1[Leaving Date]&gt;42094,Table1[Leaving Date]&lt;42461),IF(Table1[Date of Last Assessment]="",Table1[Motivation and Taking Responsibility],Table1[Motivation and Taking Responsibility2]),"")))</f>
        <v/>
      </c>
      <c r="FL468" s="44" t="str">
        <f>IF(Table1[Leaving Date]="","",IF(Table1[Date of Initial Assessment]="","",IF(AND(Table1[Leaving Date]&gt;42094,Table1[Leaving Date]&lt;42461),IF(Table1[Date of Last Assessment]="",Table1[Self-Care and Living Skills],Table1[Self-Care and Living Skills2]),"")))</f>
        <v/>
      </c>
      <c r="FM468" s="44" t="str">
        <f>IF(Table1[Leaving Date]="","",IF(Table1[Date of Initial Assessment]="","",IF(AND(Table1[Leaving Date]&gt;42094,Table1[Leaving Date]&lt;42461),IF(Table1[Date of Last Assessment]="",Table1[Managing Money and Personal Administration],Table1[Managing Money and Personal Administration2]),"")))</f>
        <v/>
      </c>
      <c r="FN468" s="44" t="str">
        <f>IF(Table1[Leaving Date]="","",IF(Table1[Date of Initial Assessment]="","",IF(AND(Table1[Leaving Date]&gt;42094,Table1[Leaving Date]&lt;42461),IF(Table1[Date of Last Assessment]="",Table1[Social Networks and Relationships],Table1[Social Networks and Relationships2]),"")))</f>
        <v/>
      </c>
      <c r="FO468" s="44" t="str">
        <f>IF(Table1[Leaving Date]="","",IF(Table1[Date of Initial Assessment]="","",IF(AND(Table1[Leaving Date]&gt;42094,Table1[Leaving Date]&lt;42461),IF(Table1[Date of Last Assessment]="",Table1[Drug and Alcohol Misuse],Table1[Drug and Alcohol Misuse2]),"")))</f>
        <v/>
      </c>
      <c r="FP468" s="44" t="str">
        <f>IF(Table1[Leaving Date]="","",IF(Table1[Date of Initial Assessment]="","",IF(AND(Table1[Leaving Date]&gt;42094,Table1[Leaving Date]&lt;42461),IF(Table1[Date of Last Assessment]="",Table1[Physical Health],Table1[Physical Health2]),"")))</f>
        <v/>
      </c>
      <c r="FQ468" s="44" t="str">
        <f>IF(Table1[Leaving Date]="","",IF(Table1[Date of Initial Assessment]="","",IF(AND(Table1[Leaving Date]&gt;42094,Table1[Leaving Date]&lt;42461),IF(Table1[Date of Last Assessment]="",Table1[Emotional and Mental Health],Table1[Emotional and Mental Health2]),"")))</f>
        <v/>
      </c>
      <c r="FR468" s="44" t="str">
        <f>IF(Table1[Leaving Date]="","",IF(Table1[Date of Initial Assessment]="","",IF(AND(Table1[Leaving Date]&gt;42094,Table1[Leaving Date]&lt;42461),IF(Table1[Date of Last Assessment]="",Table1[Meaningful Use of Time],Table1[Meaningful Use of Time2]),"")))</f>
        <v/>
      </c>
      <c r="FS468" s="44" t="str">
        <f>IF(Table1[Leaving Date]="","",IF(Table1[Date of Initial Assessment]="","",IF(AND(Table1[Leaving Date]&gt;42094,Table1[Leaving Date]&lt;42461),IF(Table1[Date of Last Assessment]="",Table1[Managing Tenancy and Accommodation],Table1[Managing Tenancy and Accommodation2]),"")))</f>
        <v/>
      </c>
      <c r="FT468" s="44" t="str">
        <f>IF(Table1[Leaving Date]="","",IF(Table1[Date of Initial Assessment]="","",IF(AND(Table1[Leaving Date]&gt;42094,Table1[Leaving Date]&lt;42461),IF(Table1[Date of Last Assessment]="",Table1[Offending],Table1[Offending2]),"")))</f>
        <v/>
      </c>
      <c r="FU468" s="44" t="str">
        <f>IF(Table1[Date of Initial Assessment]="","",IF(AND(Table1[Start Date]&gt;42460,Table1[Start Date]&lt;42826),Table1[Motivation and Taking Responsibility],""))</f>
        <v/>
      </c>
      <c r="FV468" s="44" t="str">
        <f>IF(Table1[Date of Initial Assessment]="","",IF(AND(Table1[Start Date]&gt;42460,Table1[Start Date]&lt;42826),Table1[Self-Care and Living Skills],""))</f>
        <v/>
      </c>
      <c r="FW468" s="44" t="str">
        <f>IF(Table1[Date of Initial Assessment]="","",IF(AND(Table1[Start Date]&gt;42460,Table1[Start Date]&lt;42826),Table1[Managing Money and Personal Administration],""))</f>
        <v/>
      </c>
      <c r="FX468" s="44" t="str">
        <f>IF(Table1[Date of Initial Assessment]="","",IF(AND(Table1[Start Date]&gt;42460,Table1[Start Date]&lt;42826),Table1[Social Networks and Relationships],""))</f>
        <v/>
      </c>
      <c r="FY468" s="44" t="str">
        <f>IF(Table1[Date of Initial Assessment]="","",IF(AND(Table1[Start Date]&gt;42460,Table1[Start Date]&lt;42826),Table1[Drug and Alcohol Misuse],""))</f>
        <v/>
      </c>
      <c r="FZ468" s="44" t="str">
        <f>IF(Table1[Date of Initial Assessment]="","",IF(AND(Table1[Start Date]&gt;42460,Table1[Start Date]&lt;42826),Table1[Physical Health],""))</f>
        <v/>
      </c>
      <c r="GA468" s="44" t="str">
        <f>IF(Table1[Date of Initial Assessment]="","",IF(AND(Table1[Start Date]&gt;42460,Table1[Start Date]&lt;42826),Table1[Emotional and Mental Health],""))</f>
        <v/>
      </c>
      <c r="GB468" s="44" t="str">
        <f>IF(Table1[Date of Initial Assessment]="","",IF(AND(Table1[Start Date]&gt;42460,Table1[Start Date]&lt;42826),Table1[Meaningful Use of Time],""))</f>
        <v/>
      </c>
      <c r="GC468" s="44" t="str">
        <f>IF(Table1[Date of Initial Assessment]="","",IF(AND(Table1[Start Date]&gt;42460,Table1[Start Date]&lt;42826),Table1[Managing Tenancy and Accommodation],""))</f>
        <v/>
      </c>
      <c r="GD468" s="44" t="str">
        <f>IF(Table1[Date of Initial Assessment]="","",IF(AND(Table1[Start Date]&gt;42460,Table1[Start Date]&lt;42826),Table1[Offending],""))</f>
        <v/>
      </c>
      <c r="GE468" s="44" t="str">
        <f>IF(Table1[Leaving Date]="","",IF(AND(Table1[Leaving Date]&gt;42460,Table1[Leaving Date]&lt;42826),IF(Table1[Date of Last Assessment]="",Table1[Motivation and Taking Responsibility],Table1[Motivation and Taking Responsibility2]),""))</f>
        <v/>
      </c>
      <c r="GF468" s="44" t="str">
        <f>IF(Table1[Leaving Date]="","",IF(AND(Table1[Leaving Date]&gt;42460,Table1[Leaving Date]&lt;42826),IF(Table1[Date of Last Assessment]="",Table1[Self-Care and Living Skills],Table1[Self-Care and Living Skills2]),""))</f>
        <v/>
      </c>
      <c r="GG468" s="44" t="str">
        <f>IF(Table1[Leaving Date]="","",IF(AND(Table1[Leaving Date]&gt;42460,Table1[Leaving Date]&lt;42826),IF(Table1[Date of Last Assessment]="",Table1[Managing Money and Personal Administration],Table1[Managing Money and Personal Administration2]),""))</f>
        <v/>
      </c>
      <c r="GH468" s="44" t="str">
        <f>IF(Table1[Leaving Date]="","",IF(AND(Table1[Leaving Date]&gt;42460,Table1[Leaving Date]&lt;42826),IF(Table1[Date of Last Assessment]="",Table1[Social Networks and Relationships],Table1[Social Networks and Relationships2]),""))</f>
        <v/>
      </c>
      <c r="GI468" s="44" t="str">
        <f>IF(Table1[Leaving Date]="","",IF(AND(Table1[Leaving Date]&gt;42460,Table1[Leaving Date]&lt;42826),IF(Table1[Date of Last Assessment]="",Table1[Drug and Alcohol Misuse],Table1[Drug and Alcohol Misuse2]),""))</f>
        <v/>
      </c>
      <c r="GJ468" s="44" t="str">
        <f>IF(Table1[Leaving Date]="","",IF(AND(Table1[Leaving Date]&gt;42460,Table1[Leaving Date]&lt;42826),IF(Table1[Date of Last Assessment]="",Table1[Physical Health],Table1[Physical Health2]),""))</f>
        <v/>
      </c>
      <c r="GK468" s="44" t="str">
        <f>IF(Table1[Leaving Date]="","",IF(AND(Table1[Leaving Date]&gt;42460,Table1[Leaving Date]&lt;42826),IF(Table1[Date of Last Assessment]="",Table1[Emotional and Mental Health],Table1[Emotional and Mental Health2]),""))</f>
        <v/>
      </c>
      <c r="GL468" s="44" t="str">
        <f>IF(Table1[Leaving Date]="","",IF(AND(Table1[Leaving Date]&gt;42460,Table1[Leaving Date]&lt;42826),IF(Table1[Date of Last Assessment]="",Table1[Meaningful Use of Time],Table1[Meaningful Use of Time2]),""))</f>
        <v/>
      </c>
      <c r="GM468" s="44" t="str">
        <f>IF(Table1[Leaving Date]="","",IF(AND(Table1[Leaving Date]&gt;42460,Table1[Leaving Date]&lt;42826),IF(Table1[Date of Last Assessment]="",Table1[Managing Tenancy and Accommodation],Table1[Managing Tenancy and Accommodation2]),""))</f>
        <v/>
      </c>
      <c r="GN468" s="44" t="str">
        <f>IF(Table1[Leaving Date]="","",IF(AND(Table1[Leaving Date]&gt;42460,Table1[Leaving Date]&lt;42826),IF(Table1[Date of Last Assessment]="",Table1[Offending],Table1[Offending2]),""))</f>
        <v/>
      </c>
    </row>
    <row r="469" spans="2:196" ht="20.100000000000001" customHeight="1" x14ac:dyDescent="0.2">
      <c r="B469" s="86">
        <f>+'Service Data'!$C$5:$C$5</f>
        <v>0</v>
      </c>
      <c r="C469" s="86"/>
      <c r="D469" s="86"/>
      <c r="E469" s="86"/>
      <c r="F469" s="86"/>
      <c r="G469" s="86"/>
      <c r="H469" s="6"/>
      <c r="I469" s="99" t="str">
        <f ca="1">IF(Table1[[#This Row],[Date of Birth]]="","",SUM(TODAY()-Table1[[#This Row],[Date of Birth]])/365)</f>
        <v/>
      </c>
      <c r="L469" s="86"/>
      <c r="M469" s="77"/>
      <c r="N469" s="86"/>
      <c r="O469" s="86"/>
      <c r="P469" s="91"/>
      <c r="Q469" s="86"/>
      <c r="R469" s="77"/>
      <c r="S469" s="77"/>
      <c r="T469" s="68"/>
      <c r="U469" s="68"/>
      <c r="V469" s="67"/>
      <c r="W469" s="67"/>
      <c r="X469" s="67"/>
      <c r="Y469" s="67"/>
      <c r="Z469" s="67"/>
      <c r="AA469" s="67"/>
      <c r="AB469" s="67"/>
      <c r="AC469" s="67"/>
      <c r="AD469" s="67"/>
      <c r="AE469" s="67"/>
      <c r="AF469" s="67"/>
      <c r="AG469" s="67"/>
      <c r="AH469" s="67"/>
      <c r="AI469" s="67"/>
      <c r="AJ469" s="67"/>
      <c r="AK469" s="67"/>
      <c r="AL469" s="67"/>
      <c r="AM469" s="67"/>
      <c r="AN469" s="77"/>
      <c r="AO469" s="76"/>
      <c r="AP469" s="77"/>
      <c r="AQ469" s="76"/>
      <c r="AR469" s="76"/>
      <c r="AS469" s="76"/>
      <c r="AT469" s="76"/>
      <c r="AU469" s="76"/>
      <c r="AV469" s="77"/>
      <c r="AW469" s="76"/>
      <c r="AX469" s="77"/>
      <c r="AY469" s="76"/>
      <c r="AZ469" s="76"/>
      <c r="BA469" s="76"/>
      <c r="BB469" s="76"/>
      <c r="BC469" s="76"/>
      <c r="BD469" s="77"/>
      <c r="BE469" s="76"/>
      <c r="BF469" s="77"/>
      <c r="BG469" s="76"/>
      <c r="BH469" s="76"/>
      <c r="BI469" s="76"/>
      <c r="BJ469" s="76"/>
      <c r="BK469" s="76"/>
      <c r="BL469" s="77"/>
      <c r="BM469" s="76"/>
      <c r="BN469" s="77"/>
      <c r="BO469" s="76"/>
      <c r="BP469" s="76"/>
      <c r="BQ469" s="76"/>
      <c r="BR469" s="76"/>
      <c r="BS469" s="76"/>
      <c r="BT469" s="77"/>
      <c r="BU469" s="76"/>
      <c r="BV469" s="77"/>
      <c r="BW469" s="76"/>
      <c r="BX469" s="76"/>
      <c r="BY469" s="76"/>
      <c r="BZ469" s="76"/>
      <c r="CA469" s="76"/>
      <c r="CB469" s="77"/>
      <c r="CC469" s="76"/>
      <c r="CD469" s="77"/>
      <c r="CE469" s="76"/>
      <c r="CF469" s="76"/>
      <c r="CG469" s="76"/>
      <c r="CH469" s="76"/>
      <c r="CI469" s="76"/>
      <c r="CJ469" s="77"/>
      <c r="CK469" s="76"/>
      <c r="CL469" s="77"/>
      <c r="CM469" s="76"/>
      <c r="CN469" s="76"/>
      <c r="CO469" s="76"/>
      <c r="CP469" s="76"/>
      <c r="CQ469" s="76"/>
      <c r="CR469" s="78" t="str">
        <f t="shared" si="127"/>
        <v/>
      </c>
      <c r="CS469" s="79" t="str">
        <f t="shared" si="128"/>
        <v/>
      </c>
      <c r="CT469" s="79" t="str">
        <f t="shared" si="129"/>
        <v/>
      </c>
      <c r="CU469" s="79" t="str">
        <f t="shared" si="130"/>
        <v/>
      </c>
      <c r="CV469" s="79" t="str">
        <f t="shared" si="131"/>
        <v/>
      </c>
      <c r="CW469" s="79" t="str">
        <f t="shared" si="132"/>
        <v/>
      </c>
      <c r="CX469" s="79" t="str">
        <f t="shared" si="133"/>
        <v/>
      </c>
      <c r="CY469" s="79" t="str">
        <f t="shared" si="134"/>
        <v/>
      </c>
      <c r="CZ469" s="79" t="str">
        <f t="shared" si="135"/>
        <v/>
      </c>
      <c r="DA469" s="79" t="str">
        <f t="shared" si="136"/>
        <v/>
      </c>
      <c r="DB469" s="79" t="str">
        <f t="shared" si="137"/>
        <v/>
      </c>
      <c r="DC469" s="79" t="str">
        <f t="shared" si="138"/>
        <v/>
      </c>
      <c r="DD469" s="79" t="str">
        <f t="shared" si="139"/>
        <v/>
      </c>
      <c r="DE469" s="79" t="str">
        <f t="shared" si="140"/>
        <v/>
      </c>
      <c r="DF469" s="79" t="str">
        <f t="shared" si="141"/>
        <v/>
      </c>
      <c r="DG469" s="79" t="str">
        <f t="shared" si="142"/>
        <v/>
      </c>
      <c r="DH469" s="76"/>
      <c r="DI469" s="78"/>
      <c r="DJ469" s="76"/>
      <c r="DK469" s="77"/>
      <c r="DL469" s="77"/>
      <c r="DM469" s="77"/>
      <c r="DN469" s="80"/>
      <c r="DO469" s="80"/>
      <c r="DP469" s="92" t="str">
        <f>IF(Table1[Start Date]="","",IF(Table1[Start Date]&gt;42185,"",IF(AND(Table1[Leaving Date]&gt;1,Table1[Leaving Date]&lt;42095),"",1)))</f>
        <v/>
      </c>
      <c r="DQ469" s="92" t="str">
        <f>IF(Table1[Start Date]="","",IF(Table1[Start Date]&gt;42277,"",IF(AND(Table1[Leaving Date]&gt;1,Table1[Leaving Date]&lt;42186),"",1)))</f>
        <v/>
      </c>
      <c r="DR469" s="92" t="str">
        <f>IF(Table1[Start Date]="","",IF(Table1[Start Date]&gt;42369,"",IF(AND(Table1[Leaving Date]&gt;1,Table1[Leaving Date]&lt;42278),"",1)))</f>
        <v/>
      </c>
      <c r="DS469" s="92" t="str">
        <f>IF(Table1[Start Date]="","",IF(Table1[Start Date]&gt;42460,"",IF(AND(Table1[Leaving Date]&gt;1,Table1[Leaving Date]&lt;42370),"",1)))</f>
        <v/>
      </c>
      <c r="DT469" s="92" t="str">
        <f>IF(Table1[Start Date]="","",IF(Table1[Start Date]&gt;42551,"",IF(AND(Table1[Leaving Date]&gt;1,Table1[Leaving Date]&lt;42461),"",1)))</f>
        <v/>
      </c>
      <c r="DU469" s="92" t="str">
        <f>IF(Table1[Start Date]="","",IF(Table1[Start Date]&gt;42643,"",IF(AND(Table1[Leaving Date]&gt;1,Table1[Leaving Date]&lt;42552),"",1)))</f>
        <v/>
      </c>
      <c r="DV469" s="92" t="str">
        <f>IF(Table1[Start Date]="","",IF(Table1[Start Date]&gt;42735,"",IF(AND(Table1[Leaving Date]&gt;1,Table1[Leaving Date]&lt;42644),"",1)))</f>
        <v/>
      </c>
      <c r="DW469" s="92" t="str">
        <f>IF(Table1[Start Date]="","",IF(Table1[Start Date]&gt;42825,"",IF(AND(Table1[Leaving Date]&gt;1,Table1[Leaving Date]&lt;42736),"",1)))</f>
        <v/>
      </c>
      <c r="DX469"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469" s="44" t="e">
        <f>VLOOKUP(Table1[Referral Source],Lists!$G$2:$H$20,2,FALSE)</f>
        <v>#N/A</v>
      </c>
      <c r="DZ469" s="93" t="e">
        <f>SUM(Table1[Data Referral Quarter]+Table1[Data Referral Source])</f>
        <v>#N/A</v>
      </c>
      <c r="EA469" s="44" t="b">
        <f>IF(Table1[Referral Decision]="Accepted",100,IF(Table1[Referral Decision]="Rejected by Provider",200,IF(Table1[Referral Decision]="Rejected by Applicant",300)))</f>
        <v>0</v>
      </c>
      <c r="EB469" s="44">
        <f>SUM(Table1[Data Referral Quarter]+Table1[Data Referral Decision])</f>
        <v>0</v>
      </c>
      <c r="EC469" s="44" t="b">
        <f>IF(Table1[Start Date]&gt;42735,8000,IF(Table1[Start Date]&gt;42643,7000,IF(Table1[Start Date]&gt;42551,6000,IF(Table1[Start Date]&gt;42460,5000,IF(Table1[Start Date]&gt;42369,4000,IF(Table1[Start Date]&gt;42277,3000,IF(Table1[Start Date]&gt;42185,2000,IF(Table1[Start Date]&gt;42094,1000))))))))</f>
        <v>0</v>
      </c>
      <c r="ED469" s="44" t="str">
        <f>IF(Table1[Start Date]="","",IF(Table1[Current Local Authority]="Swindon",1,"2"))</f>
        <v/>
      </c>
      <c r="EE469" s="44" t="e">
        <f>SUM(Table1[Data Start Date]+Table1[Data Local Authority])</f>
        <v>#VALUE!</v>
      </c>
      <c r="EF469" s="44">
        <f>IF(Table1[Registered with GP]="Yes",1,0)</f>
        <v>0</v>
      </c>
      <c r="EG469" s="44">
        <f>SUM(Table1[Data Start Date]+Table1[Data GP Start])</f>
        <v>0</v>
      </c>
      <c r="EH469" s="44" t="str">
        <f>IF(Table1[EET]="NEET",1,IF(Table1[EET]="Education",2,IF(Table1[EET]="Employment",2,IF(Table1[EET]="Training",2,IF(Table1[EET]="Retired",3,"")))))</f>
        <v/>
      </c>
      <c r="EI469" s="44" t="e">
        <f>Table1[Data Start Date]+Table1[Data EET Start]</f>
        <v>#VALUE!</v>
      </c>
      <c r="EJ469" s="44" t="b">
        <f>IF(Table1[Leaving Date]&gt;42735,8000,IF(Table1[Leaving Date]&gt;42643,7000,IF(Table1[Leaving Date]&gt;42551,6000,IF(Table1[Leaving Date]&gt;42460,5000,IF(Table1[Leaving Date]&gt;42369,4000,IF(Table1[Leaving Date]&gt;42277,3000,IF(Table1[Leaving Date]&gt;42185,2000,IF(Table1[Leaving Date]&gt;42094,1000))))))))</f>
        <v>0</v>
      </c>
      <c r="EK469" s="44" t="e">
        <f>VLOOKUP(Table1[Reason for Leaving],Lists!$T$2:$U$15,2,FALSE)</f>
        <v>#N/A</v>
      </c>
      <c r="EL469" s="44" t="e">
        <f>SUM(Table1[Data Leavers Date]+Table1[Data Move On])</f>
        <v>#N/A</v>
      </c>
      <c r="EM469" s="44" t="b">
        <f>IF(Table1[Registered with GP2]="Yes",1,IF(Table1[Registered with GP2]="No",0,IF(Table1[Registered with GP]="Yes",1,IF(Table1[Registered with GP]="No",0))))</f>
        <v>0</v>
      </c>
      <c r="EN469" s="44">
        <f>SUM(Table1[Data Leavers Date]+Table1[Data GP End])</f>
        <v>0</v>
      </c>
      <c r="EO469" s="44" t="str">
        <f>IF(Table1[EET2]="NEET",1,IF(Table1[EET2]="Employment",2,IF(Table1[EET2]="Education",2,IF(Table1[EET2]="Training",2,IF(Table1[EET2]="Retired",3,IF(Table1[EET]="NEET",1,IF(Table1[EET]="Employment",2,IF(Table1[EET]="Education",2,IF(Table1[EET]="Training",2,IF(Table1[EET]="Retired",3,""))))))))))</f>
        <v/>
      </c>
      <c r="EP469" s="44" t="e">
        <f>+Table1[[#This Row],[Data Leavers Date]]+Table1[[#This Row],[Data EET End]]</f>
        <v>#VALUE!</v>
      </c>
      <c r="EQ469" s="44">
        <f>IF(Table1[Exit Form Received]="Yes",1,0)</f>
        <v>0</v>
      </c>
      <c r="ER469" s="44">
        <f>+Table1[[#This Row],[Data Leavers Date]]+Table1[[#This Row],[Data Exit Forms]]</f>
        <v>0</v>
      </c>
      <c r="ES469" s="44" t="str">
        <f>IF(Table1[Data Leavers Date]=1000,SUM(Table1[Leaving Date]-Table1[Start Date]),"")</f>
        <v/>
      </c>
      <c r="ET469" s="44" t="str">
        <f>IF(Table1[Data Leavers Date]=2000,SUM(Table1[Leaving Date]-Table1[Start Date]),"")</f>
        <v/>
      </c>
      <c r="EU469" s="44" t="str">
        <f>IF(Table1[Data Leavers Date]=3000,SUM(Table1[Leaving Date]-Table1[Start Date]),"")</f>
        <v/>
      </c>
      <c r="EV469" s="44" t="str">
        <f>IF(Table1[Data Leavers Date]=4000,SUM(Table1[Leaving Date]-Table1[Start Date]),"")</f>
        <v/>
      </c>
      <c r="EW469" s="44" t="str">
        <f>IF(Table1[Data Leavers Date]=5000,SUM(Table1[Leaving Date]-Table1[Start Date]),"")</f>
        <v/>
      </c>
      <c r="EX469" s="44" t="str">
        <f>IF(Table1[Data Leavers Date]=6000,SUM(Table1[Leaving Date]-Table1[Start Date]),"")</f>
        <v/>
      </c>
      <c r="EY469" s="44" t="str">
        <f>IF(Table1[Data Leavers Date]=7000,SUM(Table1[Leaving Date]-Table1[Start Date]),"")</f>
        <v/>
      </c>
      <c r="EZ469" s="44" t="str">
        <f>IF(Table1[Data Leavers Date]=8000,SUM(Table1[Leaving Date]-Table1[Start Date]),"")</f>
        <v/>
      </c>
      <c r="FA469" s="44" t="str">
        <f>IF(Table1[Date of Initial Assessment]="","",IF(AND(Table1[Start Date]&gt;42094,Table1[Start Date]&lt;42461),Table1[Motivation and Taking Responsibility],""))</f>
        <v/>
      </c>
      <c r="FB469" s="44" t="str">
        <f>IF(Table1[Date of Initial Assessment]="","",IF(AND(Table1[Start Date]&gt;42094,Table1[Start Date]&lt;42461),Table1[Self-Care and Living Skills],""))</f>
        <v/>
      </c>
      <c r="FC469" s="44" t="str">
        <f>IF(Table1[Date of Initial Assessment]="","",IF(AND(Table1[Start Date]&gt;42094,Table1[Start Date]&lt;42461),Table1[Managing Money and Personal Administration],""))</f>
        <v/>
      </c>
      <c r="FD469" s="44" t="str">
        <f>IF(Table1[Date of Initial Assessment]="","",IF(AND(Table1[Start Date]&gt;42094,Table1[Start Date]&lt;42461),Table1[Social Networks and Relationships],""))</f>
        <v/>
      </c>
      <c r="FE469" s="44" t="str">
        <f>IF(Table1[Date of Initial Assessment]="","",IF(AND(Table1[Start Date]&gt;42094,Table1[Start Date]&lt;42461),Table1[Drug and Alcohol Misuse],""))</f>
        <v/>
      </c>
      <c r="FF469" s="44" t="str">
        <f>IF(Table1[Date of Initial Assessment]="","",IF(AND(Table1[Start Date]&gt;42094,Table1[Start Date]&lt;42461),Table1[Physical Health],""))</f>
        <v/>
      </c>
      <c r="FG469" s="44" t="str">
        <f>IF(Table1[Date of Initial Assessment]="","",IF(AND(Table1[Start Date]&gt;42094,Table1[Start Date]&lt;42461),Table1[Emotional and Mental Health],""))</f>
        <v/>
      </c>
      <c r="FH469" s="44" t="str">
        <f>IF(Table1[Date of Initial Assessment]="","",IF(AND(Table1[Start Date]&gt;42094,Table1[Start Date]&lt;42461),Table1[Meaningful Use of Time],""))</f>
        <v/>
      </c>
      <c r="FI469" s="44" t="str">
        <f>IF(Table1[Date of Initial Assessment]="","",IF(AND(Table1[Start Date]&gt;42094,Table1[Start Date]&lt;42461),Table1[Managing Tenancy and Accommodation],""))</f>
        <v/>
      </c>
      <c r="FJ469" s="44" t="str">
        <f>IF(Table1[Date of Initial Assessment]="","",IF(AND(Table1[Start Date]&gt;42094,Table1[Start Date]&lt;42461),Table1[Offending],""))</f>
        <v/>
      </c>
      <c r="FK469" s="44" t="str">
        <f>IF(Table1[Leaving Date]="","",IF(Table1[Date of Initial Assessment]="","",IF(AND(Table1[Leaving Date]&gt;42094,Table1[Leaving Date]&lt;42461),IF(Table1[Date of Last Assessment]="",Table1[Motivation and Taking Responsibility],Table1[Motivation and Taking Responsibility2]),"")))</f>
        <v/>
      </c>
      <c r="FL469" s="44" t="str">
        <f>IF(Table1[Leaving Date]="","",IF(Table1[Date of Initial Assessment]="","",IF(AND(Table1[Leaving Date]&gt;42094,Table1[Leaving Date]&lt;42461),IF(Table1[Date of Last Assessment]="",Table1[Self-Care and Living Skills],Table1[Self-Care and Living Skills2]),"")))</f>
        <v/>
      </c>
      <c r="FM469" s="44" t="str">
        <f>IF(Table1[Leaving Date]="","",IF(Table1[Date of Initial Assessment]="","",IF(AND(Table1[Leaving Date]&gt;42094,Table1[Leaving Date]&lt;42461),IF(Table1[Date of Last Assessment]="",Table1[Managing Money and Personal Administration],Table1[Managing Money and Personal Administration2]),"")))</f>
        <v/>
      </c>
      <c r="FN469" s="44" t="str">
        <f>IF(Table1[Leaving Date]="","",IF(Table1[Date of Initial Assessment]="","",IF(AND(Table1[Leaving Date]&gt;42094,Table1[Leaving Date]&lt;42461),IF(Table1[Date of Last Assessment]="",Table1[Social Networks and Relationships],Table1[Social Networks and Relationships2]),"")))</f>
        <v/>
      </c>
      <c r="FO469" s="44" t="str">
        <f>IF(Table1[Leaving Date]="","",IF(Table1[Date of Initial Assessment]="","",IF(AND(Table1[Leaving Date]&gt;42094,Table1[Leaving Date]&lt;42461),IF(Table1[Date of Last Assessment]="",Table1[Drug and Alcohol Misuse],Table1[Drug and Alcohol Misuse2]),"")))</f>
        <v/>
      </c>
      <c r="FP469" s="44" t="str">
        <f>IF(Table1[Leaving Date]="","",IF(Table1[Date of Initial Assessment]="","",IF(AND(Table1[Leaving Date]&gt;42094,Table1[Leaving Date]&lt;42461),IF(Table1[Date of Last Assessment]="",Table1[Physical Health],Table1[Physical Health2]),"")))</f>
        <v/>
      </c>
      <c r="FQ469" s="44" t="str">
        <f>IF(Table1[Leaving Date]="","",IF(Table1[Date of Initial Assessment]="","",IF(AND(Table1[Leaving Date]&gt;42094,Table1[Leaving Date]&lt;42461),IF(Table1[Date of Last Assessment]="",Table1[Emotional and Mental Health],Table1[Emotional and Mental Health2]),"")))</f>
        <v/>
      </c>
      <c r="FR469" s="44" t="str">
        <f>IF(Table1[Leaving Date]="","",IF(Table1[Date of Initial Assessment]="","",IF(AND(Table1[Leaving Date]&gt;42094,Table1[Leaving Date]&lt;42461),IF(Table1[Date of Last Assessment]="",Table1[Meaningful Use of Time],Table1[Meaningful Use of Time2]),"")))</f>
        <v/>
      </c>
      <c r="FS469" s="44" t="str">
        <f>IF(Table1[Leaving Date]="","",IF(Table1[Date of Initial Assessment]="","",IF(AND(Table1[Leaving Date]&gt;42094,Table1[Leaving Date]&lt;42461),IF(Table1[Date of Last Assessment]="",Table1[Managing Tenancy and Accommodation],Table1[Managing Tenancy and Accommodation2]),"")))</f>
        <v/>
      </c>
      <c r="FT469" s="44" t="str">
        <f>IF(Table1[Leaving Date]="","",IF(Table1[Date of Initial Assessment]="","",IF(AND(Table1[Leaving Date]&gt;42094,Table1[Leaving Date]&lt;42461),IF(Table1[Date of Last Assessment]="",Table1[Offending],Table1[Offending2]),"")))</f>
        <v/>
      </c>
      <c r="FU469" s="44" t="str">
        <f>IF(Table1[Date of Initial Assessment]="","",IF(AND(Table1[Start Date]&gt;42460,Table1[Start Date]&lt;42826),Table1[Motivation and Taking Responsibility],""))</f>
        <v/>
      </c>
      <c r="FV469" s="44" t="str">
        <f>IF(Table1[Date of Initial Assessment]="","",IF(AND(Table1[Start Date]&gt;42460,Table1[Start Date]&lt;42826),Table1[Self-Care and Living Skills],""))</f>
        <v/>
      </c>
      <c r="FW469" s="44" t="str">
        <f>IF(Table1[Date of Initial Assessment]="","",IF(AND(Table1[Start Date]&gt;42460,Table1[Start Date]&lt;42826),Table1[Managing Money and Personal Administration],""))</f>
        <v/>
      </c>
      <c r="FX469" s="44" t="str">
        <f>IF(Table1[Date of Initial Assessment]="","",IF(AND(Table1[Start Date]&gt;42460,Table1[Start Date]&lt;42826),Table1[Social Networks and Relationships],""))</f>
        <v/>
      </c>
      <c r="FY469" s="44" t="str">
        <f>IF(Table1[Date of Initial Assessment]="","",IF(AND(Table1[Start Date]&gt;42460,Table1[Start Date]&lt;42826),Table1[Drug and Alcohol Misuse],""))</f>
        <v/>
      </c>
      <c r="FZ469" s="44" t="str">
        <f>IF(Table1[Date of Initial Assessment]="","",IF(AND(Table1[Start Date]&gt;42460,Table1[Start Date]&lt;42826),Table1[Physical Health],""))</f>
        <v/>
      </c>
      <c r="GA469" s="44" t="str">
        <f>IF(Table1[Date of Initial Assessment]="","",IF(AND(Table1[Start Date]&gt;42460,Table1[Start Date]&lt;42826),Table1[Emotional and Mental Health],""))</f>
        <v/>
      </c>
      <c r="GB469" s="44" t="str">
        <f>IF(Table1[Date of Initial Assessment]="","",IF(AND(Table1[Start Date]&gt;42460,Table1[Start Date]&lt;42826),Table1[Meaningful Use of Time],""))</f>
        <v/>
      </c>
      <c r="GC469" s="44" t="str">
        <f>IF(Table1[Date of Initial Assessment]="","",IF(AND(Table1[Start Date]&gt;42460,Table1[Start Date]&lt;42826),Table1[Managing Tenancy and Accommodation],""))</f>
        <v/>
      </c>
      <c r="GD469" s="44" t="str">
        <f>IF(Table1[Date of Initial Assessment]="","",IF(AND(Table1[Start Date]&gt;42460,Table1[Start Date]&lt;42826),Table1[Offending],""))</f>
        <v/>
      </c>
      <c r="GE469" s="44" t="str">
        <f>IF(Table1[Leaving Date]="","",IF(AND(Table1[Leaving Date]&gt;42460,Table1[Leaving Date]&lt;42826),IF(Table1[Date of Last Assessment]="",Table1[Motivation and Taking Responsibility],Table1[Motivation and Taking Responsibility2]),""))</f>
        <v/>
      </c>
      <c r="GF469" s="44" t="str">
        <f>IF(Table1[Leaving Date]="","",IF(AND(Table1[Leaving Date]&gt;42460,Table1[Leaving Date]&lt;42826),IF(Table1[Date of Last Assessment]="",Table1[Self-Care and Living Skills],Table1[Self-Care and Living Skills2]),""))</f>
        <v/>
      </c>
      <c r="GG469" s="44" t="str">
        <f>IF(Table1[Leaving Date]="","",IF(AND(Table1[Leaving Date]&gt;42460,Table1[Leaving Date]&lt;42826),IF(Table1[Date of Last Assessment]="",Table1[Managing Money and Personal Administration],Table1[Managing Money and Personal Administration2]),""))</f>
        <v/>
      </c>
      <c r="GH469" s="44" t="str">
        <f>IF(Table1[Leaving Date]="","",IF(AND(Table1[Leaving Date]&gt;42460,Table1[Leaving Date]&lt;42826),IF(Table1[Date of Last Assessment]="",Table1[Social Networks and Relationships],Table1[Social Networks and Relationships2]),""))</f>
        <v/>
      </c>
      <c r="GI469" s="44" t="str">
        <f>IF(Table1[Leaving Date]="","",IF(AND(Table1[Leaving Date]&gt;42460,Table1[Leaving Date]&lt;42826),IF(Table1[Date of Last Assessment]="",Table1[Drug and Alcohol Misuse],Table1[Drug and Alcohol Misuse2]),""))</f>
        <v/>
      </c>
      <c r="GJ469" s="44" t="str">
        <f>IF(Table1[Leaving Date]="","",IF(AND(Table1[Leaving Date]&gt;42460,Table1[Leaving Date]&lt;42826),IF(Table1[Date of Last Assessment]="",Table1[Physical Health],Table1[Physical Health2]),""))</f>
        <v/>
      </c>
      <c r="GK469" s="44" t="str">
        <f>IF(Table1[Leaving Date]="","",IF(AND(Table1[Leaving Date]&gt;42460,Table1[Leaving Date]&lt;42826),IF(Table1[Date of Last Assessment]="",Table1[Emotional and Mental Health],Table1[Emotional and Mental Health2]),""))</f>
        <v/>
      </c>
      <c r="GL469" s="44" t="str">
        <f>IF(Table1[Leaving Date]="","",IF(AND(Table1[Leaving Date]&gt;42460,Table1[Leaving Date]&lt;42826),IF(Table1[Date of Last Assessment]="",Table1[Meaningful Use of Time],Table1[Meaningful Use of Time2]),""))</f>
        <v/>
      </c>
      <c r="GM469" s="44" t="str">
        <f>IF(Table1[Leaving Date]="","",IF(AND(Table1[Leaving Date]&gt;42460,Table1[Leaving Date]&lt;42826),IF(Table1[Date of Last Assessment]="",Table1[Managing Tenancy and Accommodation],Table1[Managing Tenancy and Accommodation2]),""))</f>
        <v/>
      </c>
      <c r="GN469" s="44" t="str">
        <f>IF(Table1[Leaving Date]="","",IF(AND(Table1[Leaving Date]&gt;42460,Table1[Leaving Date]&lt;42826),IF(Table1[Date of Last Assessment]="",Table1[Offending],Table1[Offending2]),""))</f>
        <v/>
      </c>
    </row>
    <row r="470" spans="2:196" ht="20.100000000000001" customHeight="1" x14ac:dyDescent="0.2">
      <c r="B470" s="86">
        <f>+'Service Data'!$C$5:$C$5</f>
        <v>0</v>
      </c>
      <c r="C470" s="86"/>
      <c r="D470" s="86"/>
      <c r="E470" s="86"/>
      <c r="F470" s="86"/>
      <c r="G470" s="86"/>
      <c r="H470" s="6"/>
      <c r="I470" s="99" t="str">
        <f ca="1">IF(Table1[[#This Row],[Date of Birth]]="","",SUM(TODAY()-Table1[[#This Row],[Date of Birth]])/365)</f>
        <v/>
      </c>
      <c r="L470" s="86"/>
      <c r="M470" s="77"/>
      <c r="N470" s="86"/>
      <c r="O470" s="86"/>
      <c r="P470" s="91"/>
      <c r="Q470" s="86"/>
      <c r="R470" s="77"/>
      <c r="S470" s="77"/>
      <c r="T470" s="68"/>
      <c r="U470" s="68"/>
      <c r="V470" s="67"/>
      <c r="W470" s="67"/>
      <c r="X470" s="67"/>
      <c r="Y470" s="67"/>
      <c r="Z470" s="67"/>
      <c r="AA470" s="67"/>
      <c r="AB470" s="67"/>
      <c r="AC470" s="67"/>
      <c r="AD470" s="67"/>
      <c r="AE470" s="67"/>
      <c r="AF470" s="67"/>
      <c r="AG470" s="67"/>
      <c r="AH470" s="67"/>
      <c r="AI470" s="67"/>
      <c r="AJ470" s="67"/>
      <c r="AK470" s="67"/>
      <c r="AL470" s="67"/>
      <c r="AM470" s="67"/>
      <c r="AN470" s="77"/>
      <c r="AO470" s="76"/>
      <c r="AP470" s="77"/>
      <c r="AQ470" s="76"/>
      <c r="AR470" s="76"/>
      <c r="AS470" s="76"/>
      <c r="AT470" s="76"/>
      <c r="AU470" s="76"/>
      <c r="AV470" s="77"/>
      <c r="AW470" s="76"/>
      <c r="AX470" s="77"/>
      <c r="AY470" s="76"/>
      <c r="AZ470" s="76"/>
      <c r="BA470" s="76"/>
      <c r="BB470" s="76"/>
      <c r="BC470" s="76"/>
      <c r="BD470" s="77"/>
      <c r="BE470" s="76"/>
      <c r="BF470" s="77"/>
      <c r="BG470" s="76"/>
      <c r="BH470" s="76"/>
      <c r="BI470" s="76"/>
      <c r="BJ470" s="76"/>
      <c r="BK470" s="76"/>
      <c r="BL470" s="77"/>
      <c r="BM470" s="76"/>
      <c r="BN470" s="77"/>
      <c r="BO470" s="76"/>
      <c r="BP470" s="76"/>
      <c r="BQ470" s="76"/>
      <c r="BR470" s="76"/>
      <c r="BS470" s="76"/>
      <c r="BT470" s="77"/>
      <c r="BU470" s="76"/>
      <c r="BV470" s="77"/>
      <c r="BW470" s="76"/>
      <c r="BX470" s="76"/>
      <c r="BY470" s="76"/>
      <c r="BZ470" s="76"/>
      <c r="CA470" s="76"/>
      <c r="CB470" s="77"/>
      <c r="CC470" s="76"/>
      <c r="CD470" s="77"/>
      <c r="CE470" s="76"/>
      <c r="CF470" s="76"/>
      <c r="CG470" s="76"/>
      <c r="CH470" s="76"/>
      <c r="CI470" s="76"/>
      <c r="CJ470" s="77"/>
      <c r="CK470" s="76"/>
      <c r="CL470" s="77"/>
      <c r="CM470" s="76"/>
      <c r="CN470" s="76"/>
      <c r="CO470" s="76"/>
      <c r="CP470" s="76"/>
      <c r="CQ470" s="76"/>
      <c r="CR470" s="78" t="str">
        <f t="shared" si="127"/>
        <v/>
      </c>
      <c r="CS470" s="79" t="str">
        <f t="shared" si="128"/>
        <v/>
      </c>
      <c r="CT470" s="79" t="str">
        <f t="shared" si="129"/>
        <v/>
      </c>
      <c r="CU470" s="79" t="str">
        <f t="shared" si="130"/>
        <v/>
      </c>
      <c r="CV470" s="79" t="str">
        <f t="shared" si="131"/>
        <v/>
      </c>
      <c r="CW470" s="79" t="str">
        <f t="shared" si="132"/>
        <v/>
      </c>
      <c r="CX470" s="79" t="str">
        <f t="shared" si="133"/>
        <v/>
      </c>
      <c r="CY470" s="79" t="str">
        <f t="shared" si="134"/>
        <v/>
      </c>
      <c r="CZ470" s="79" t="str">
        <f t="shared" si="135"/>
        <v/>
      </c>
      <c r="DA470" s="79" t="str">
        <f t="shared" si="136"/>
        <v/>
      </c>
      <c r="DB470" s="79" t="str">
        <f t="shared" si="137"/>
        <v/>
      </c>
      <c r="DC470" s="79" t="str">
        <f t="shared" si="138"/>
        <v/>
      </c>
      <c r="DD470" s="79" t="str">
        <f t="shared" si="139"/>
        <v/>
      </c>
      <c r="DE470" s="79" t="str">
        <f t="shared" si="140"/>
        <v/>
      </c>
      <c r="DF470" s="79" t="str">
        <f t="shared" si="141"/>
        <v/>
      </c>
      <c r="DG470" s="79" t="str">
        <f t="shared" si="142"/>
        <v/>
      </c>
      <c r="DH470" s="76"/>
      <c r="DI470" s="78"/>
      <c r="DJ470" s="76"/>
      <c r="DK470" s="77"/>
      <c r="DL470" s="77"/>
      <c r="DM470" s="77"/>
      <c r="DN470" s="80"/>
      <c r="DO470" s="80"/>
      <c r="DP470" s="92" t="str">
        <f>IF(Table1[Start Date]="","",IF(Table1[Start Date]&gt;42185,"",IF(AND(Table1[Leaving Date]&gt;1,Table1[Leaving Date]&lt;42095),"",1)))</f>
        <v/>
      </c>
      <c r="DQ470" s="92" t="str">
        <f>IF(Table1[Start Date]="","",IF(Table1[Start Date]&gt;42277,"",IF(AND(Table1[Leaving Date]&gt;1,Table1[Leaving Date]&lt;42186),"",1)))</f>
        <v/>
      </c>
      <c r="DR470" s="92" t="str">
        <f>IF(Table1[Start Date]="","",IF(Table1[Start Date]&gt;42369,"",IF(AND(Table1[Leaving Date]&gt;1,Table1[Leaving Date]&lt;42278),"",1)))</f>
        <v/>
      </c>
      <c r="DS470" s="92" t="str">
        <f>IF(Table1[Start Date]="","",IF(Table1[Start Date]&gt;42460,"",IF(AND(Table1[Leaving Date]&gt;1,Table1[Leaving Date]&lt;42370),"",1)))</f>
        <v/>
      </c>
      <c r="DT470" s="92" t="str">
        <f>IF(Table1[Start Date]="","",IF(Table1[Start Date]&gt;42551,"",IF(AND(Table1[Leaving Date]&gt;1,Table1[Leaving Date]&lt;42461),"",1)))</f>
        <v/>
      </c>
      <c r="DU470" s="92" t="str">
        <f>IF(Table1[Start Date]="","",IF(Table1[Start Date]&gt;42643,"",IF(AND(Table1[Leaving Date]&gt;1,Table1[Leaving Date]&lt;42552),"",1)))</f>
        <v/>
      </c>
      <c r="DV470" s="92" t="str">
        <f>IF(Table1[Start Date]="","",IF(Table1[Start Date]&gt;42735,"",IF(AND(Table1[Leaving Date]&gt;1,Table1[Leaving Date]&lt;42644),"",1)))</f>
        <v/>
      </c>
      <c r="DW470" s="92" t="str">
        <f>IF(Table1[Start Date]="","",IF(Table1[Start Date]&gt;42825,"",IF(AND(Table1[Leaving Date]&gt;1,Table1[Leaving Date]&lt;42736),"",1)))</f>
        <v/>
      </c>
      <c r="DX470"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470" s="44" t="e">
        <f>VLOOKUP(Table1[Referral Source],Lists!$G$2:$H$20,2,FALSE)</f>
        <v>#N/A</v>
      </c>
      <c r="DZ470" s="93" t="e">
        <f>SUM(Table1[Data Referral Quarter]+Table1[Data Referral Source])</f>
        <v>#N/A</v>
      </c>
      <c r="EA470" s="44" t="b">
        <f>IF(Table1[Referral Decision]="Accepted",100,IF(Table1[Referral Decision]="Rejected by Provider",200,IF(Table1[Referral Decision]="Rejected by Applicant",300)))</f>
        <v>0</v>
      </c>
      <c r="EB470" s="44">
        <f>SUM(Table1[Data Referral Quarter]+Table1[Data Referral Decision])</f>
        <v>0</v>
      </c>
      <c r="EC470" s="44" t="b">
        <f>IF(Table1[Start Date]&gt;42735,8000,IF(Table1[Start Date]&gt;42643,7000,IF(Table1[Start Date]&gt;42551,6000,IF(Table1[Start Date]&gt;42460,5000,IF(Table1[Start Date]&gt;42369,4000,IF(Table1[Start Date]&gt;42277,3000,IF(Table1[Start Date]&gt;42185,2000,IF(Table1[Start Date]&gt;42094,1000))))))))</f>
        <v>0</v>
      </c>
      <c r="ED470" s="44" t="str">
        <f>IF(Table1[Start Date]="","",IF(Table1[Current Local Authority]="Swindon",1,"2"))</f>
        <v/>
      </c>
      <c r="EE470" s="44" t="e">
        <f>SUM(Table1[Data Start Date]+Table1[Data Local Authority])</f>
        <v>#VALUE!</v>
      </c>
      <c r="EF470" s="44">
        <f>IF(Table1[Registered with GP]="Yes",1,0)</f>
        <v>0</v>
      </c>
      <c r="EG470" s="44">
        <f>SUM(Table1[Data Start Date]+Table1[Data GP Start])</f>
        <v>0</v>
      </c>
      <c r="EH470" s="44" t="str">
        <f>IF(Table1[EET]="NEET",1,IF(Table1[EET]="Education",2,IF(Table1[EET]="Employment",2,IF(Table1[EET]="Training",2,IF(Table1[EET]="Retired",3,"")))))</f>
        <v/>
      </c>
      <c r="EI470" s="44" t="e">
        <f>Table1[Data Start Date]+Table1[Data EET Start]</f>
        <v>#VALUE!</v>
      </c>
      <c r="EJ470" s="44" t="b">
        <f>IF(Table1[Leaving Date]&gt;42735,8000,IF(Table1[Leaving Date]&gt;42643,7000,IF(Table1[Leaving Date]&gt;42551,6000,IF(Table1[Leaving Date]&gt;42460,5000,IF(Table1[Leaving Date]&gt;42369,4000,IF(Table1[Leaving Date]&gt;42277,3000,IF(Table1[Leaving Date]&gt;42185,2000,IF(Table1[Leaving Date]&gt;42094,1000))))))))</f>
        <v>0</v>
      </c>
      <c r="EK470" s="44" t="e">
        <f>VLOOKUP(Table1[Reason for Leaving],Lists!$T$2:$U$15,2,FALSE)</f>
        <v>#N/A</v>
      </c>
      <c r="EL470" s="44" t="e">
        <f>SUM(Table1[Data Leavers Date]+Table1[Data Move On])</f>
        <v>#N/A</v>
      </c>
      <c r="EM470" s="44" t="b">
        <f>IF(Table1[Registered with GP2]="Yes",1,IF(Table1[Registered with GP2]="No",0,IF(Table1[Registered with GP]="Yes",1,IF(Table1[Registered with GP]="No",0))))</f>
        <v>0</v>
      </c>
      <c r="EN470" s="44">
        <f>SUM(Table1[Data Leavers Date]+Table1[Data GP End])</f>
        <v>0</v>
      </c>
      <c r="EO470" s="44" t="str">
        <f>IF(Table1[EET2]="NEET",1,IF(Table1[EET2]="Employment",2,IF(Table1[EET2]="Education",2,IF(Table1[EET2]="Training",2,IF(Table1[EET2]="Retired",3,IF(Table1[EET]="NEET",1,IF(Table1[EET]="Employment",2,IF(Table1[EET]="Education",2,IF(Table1[EET]="Training",2,IF(Table1[EET]="Retired",3,""))))))))))</f>
        <v/>
      </c>
      <c r="EP470" s="44" t="e">
        <f>+Table1[[#This Row],[Data Leavers Date]]+Table1[[#This Row],[Data EET End]]</f>
        <v>#VALUE!</v>
      </c>
      <c r="EQ470" s="44">
        <f>IF(Table1[Exit Form Received]="Yes",1,0)</f>
        <v>0</v>
      </c>
      <c r="ER470" s="44">
        <f>+Table1[[#This Row],[Data Leavers Date]]+Table1[[#This Row],[Data Exit Forms]]</f>
        <v>0</v>
      </c>
      <c r="ES470" s="44" t="str">
        <f>IF(Table1[Data Leavers Date]=1000,SUM(Table1[Leaving Date]-Table1[Start Date]),"")</f>
        <v/>
      </c>
      <c r="ET470" s="44" t="str">
        <f>IF(Table1[Data Leavers Date]=2000,SUM(Table1[Leaving Date]-Table1[Start Date]),"")</f>
        <v/>
      </c>
      <c r="EU470" s="44" t="str">
        <f>IF(Table1[Data Leavers Date]=3000,SUM(Table1[Leaving Date]-Table1[Start Date]),"")</f>
        <v/>
      </c>
      <c r="EV470" s="44" t="str">
        <f>IF(Table1[Data Leavers Date]=4000,SUM(Table1[Leaving Date]-Table1[Start Date]),"")</f>
        <v/>
      </c>
      <c r="EW470" s="44" t="str">
        <f>IF(Table1[Data Leavers Date]=5000,SUM(Table1[Leaving Date]-Table1[Start Date]),"")</f>
        <v/>
      </c>
      <c r="EX470" s="44" t="str">
        <f>IF(Table1[Data Leavers Date]=6000,SUM(Table1[Leaving Date]-Table1[Start Date]),"")</f>
        <v/>
      </c>
      <c r="EY470" s="44" t="str">
        <f>IF(Table1[Data Leavers Date]=7000,SUM(Table1[Leaving Date]-Table1[Start Date]),"")</f>
        <v/>
      </c>
      <c r="EZ470" s="44" t="str">
        <f>IF(Table1[Data Leavers Date]=8000,SUM(Table1[Leaving Date]-Table1[Start Date]),"")</f>
        <v/>
      </c>
      <c r="FA470" s="44" t="str">
        <f>IF(Table1[Date of Initial Assessment]="","",IF(AND(Table1[Start Date]&gt;42094,Table1[Start Date]&lt;42461),Table1[Motivation and Taking Responsibility],""))</f>
        <v/>
      </c>
      <c r="FB470" s="44" t="str">
        <f>IF(Table1[Date of Initial Assessment]="","",IF(AND(Table1[Start Date]&gt;42094,Table1[Start Date]&lt;42461),Table1[Self-Care and Living Skills],""))</f>
        <v/>
      </c>
      <c r="FC470" s="44" t="str">
        <f>IF(Table1[Date of Initial Assessment]="","",IF(AND(Table1[Start Date]&gt;42094,Table1[Start Date]&lt;42461),Table1[Managing Money and Personal Administration],""))</f>
        <v/>
      </c>
      <c r="FD470" s="44" t="str">
        <f>IF(Table1[Date of Initial Assessment]="","",IF(AND(Table1[Start Date]&gt;42094,Table1[Start Date]&lt;42461),Table1[Social Networks and Relationships],""))</f>
        <v/>
      </c>
      <c r="FE470" s="44" t="str">
        <f>IF(Table1[Date of Initial Assessment]="","",IF(AND(Table1[Start Date]&gt;42094,Table1[Start Date]&lt;42461),Table1[Drug and Alcohol Misuse],""))</f>
        <v/>
      </c>
      <c r="FF470" s="44" t="str">
        <f>IF(Table1[Date of Initial Assessment]="","",IF(AND(Table1[Start Date]&gt;42094,Table1[Start Date]&lt;42461),Table1[Physical Health],""))</f>
        <v/>
      </c>
      <c r="FG470" s="44" t="str">
        <f>IF(Table1[Date of Initial Assessment]="","",IF(AND(Table1[Start Date]&gt;42094,Table1[Start Date]&lt;42461),Table1[Emotional and Mental Health],""))</f>
        <v/>
      </c>
      <c r="FH470" s="44" t="str">
        <f>IF(Table1[Date of Initial Assessment]="","",IF(AND(Table1[Start Date]&gt;42094,Table1[Start Date]&lt;42461),Table1[Meaningful Use of Time],""))</f>
        <v/>
      </c>
      <c r="FI470" s="44" t="str">
        <f>IF(Table1[Date of Initial Assessment]="","",IF(AND(Table1[Start Date]&gt;42094,Table1[Start Date]&lt;42461),Table1[Managing Tenancy and Accommodation],""))</f>
        <v/>
      </c>
      <c r="FJ470" s="44" t="str">
        <f>IF(Table1[Date of Initial Assessment]="","",IF(AND(Table1[Start Date]&gt;42094,Table1[Start Date]&lt;42461),Table1[Offending],""))</f>
        <v/>
      </c>
      <c r="FK470" s="44" t="str">
        <f>IF(Table1[Leaving Date]="","",IF(Table1[Date of Initial Assessment]="","",IF(AND(Table1[Leaving Date]&gt;42094,Table1[Leaving Date]&lt;42461),IF(Table1[Date of Last Assessment]="",Table1[Motivation and Taking Responsibility],Table1[Motivation and Taking Responsibility2]),"")))</f>
        <v/>
      </c>
      <c r="FL470" s="44" t="str">
        <f>IF(Table1[Leaving Date]="","",IF(Table1[Date of Initial Assessment]="","",IF(AND(Table1[Leaving Date]&gt;42094,Table1[Leaving Date]&lt;42461),IF(Table1[Date of Last Assessment]="",Table1[Self-Care and Living Skills],Table1[Self-Care and Living Skills2]),"")))</f>
        <v/>
      </c>
      <c r="FM470" s="44" t="str">
        <f>IF(Table1[Leaving Date]="","",IF(Table1[Date of Initial Assessment]="","",IF(AND(Table1[Leaving Date]&gt;42094,Table1[Leaving Date]&lt;42461),IF(Table1[Date of Last Assessment]="",Table1[Managing Money and Personal Administration],Table1[Managing Money and Personal Administration2]),"")))</f>
        <v/>
      </c>
      <c r="FN470" s="44" t="str">
        <f>IF(Table1[Leaving Date]="","",IF(Table1[Date of Initial Assessment]="","",IF(AND(Table1[Leaving Date]&gt;42094,Table1[Leaving Date]&lt;42461),IF(Table1[Date of Last Assessment]="",Table1[Social Networks and Relationships],Table1[Social Networks and Relationships2]),"")))</f>
        <v/>
      </c>
      <c r="FO470" s="44" t="str">
        <f>IF(Table1[Leaving Date]="","",IF(Table1[Date of Initial Assessment]="","",IF(AND(Table1[Leaving Date]&gt;42094,Table1[Leaving Date]&lt;42461),IF(Table1[Date of Last Assessment]="",Table1[Drug and Alcohol Misuse],Table1[Drug and Alcohol Misuse2]),"")))</f>
        <v/>
      </c>
      <c r="FP470" s="44" t="str">
        <f>IF(Table1[Leaving Date]="","",IF(Table1[Date of Initial Assessment]="","",IF(AND(Table1[Leaving Date]&gt;42094,Table1[Leaving Date]&lt;42461),IF(Table1[Date of Last Assessment]="",Table1[Physical Health],Table1[Physical Health2]),"")))</f>
        <v/>
      </c>
      <c r="FQ470" s="44" t="str">
        <f>IF(Table1[Leaving Date]="","",IF(Table1[Date of Initial Assessment]="","",IF(AND(Table1[Leaving Date]&gt;42094,Table1[Leaving Date]&lt;42461),IF(Table1[Date of Last Assessment]="",Table1[Emotional and Mental Health],Table1[Emotional and Mental Health2]),"")))</f>
        <v/>
      </c>
      <c r="FR470" s="44" t="str">
        <f>IF(Table1[Leaving Date]="","",IF(Table1[Date of Initial Assessment]="","",IF(AND(Table1[Leaving Date]&gt;42094,Table1[Leaving Date]&lt;42461),IF(Table1[Date of Last Assessment]="",Table1[Meaningful Use of Time],Table1[Meaningful Use of Time2]),"")))</f>
        <v/>
      </c>
      <c r="FS470" s="44" t="str">
        <f>IF(Table1[Leaving Date]="","",IF(Table1[Date of Initial Assessment]="","",IF(AND(Table1[Leaving Date]&gt;42094,Table1[Leaving Date]&lt;42461),IF(Table1[Date of Last Assessment]="",Table1[Managing Tenancy and Accommodation],Table1[Managing Tenancy and Accommodation2]),"")))</f>
        <v/>
      </c>
      <c r="FT470" s="44" t="str">
        <f>IF(Table1[Leaving Date]="","",IF(Table1[Date of Initial Assessment]="","",IF(AND(Table1[Leaving Date]&gt;42094,Table1[Leaving Date]&lt;42461),IF(Table1[Date of Last Assessment]="",Table1[Offending],Table1[Offending2]),"")))</f>
        <v/>
      </c>
      <c r="FU470" s="44" t="str">
        <f>IF(Table1[Date of Initial Assessment]="","",IF(AND(Table1[Start Date]&gt;42460,Table1[Start Date]&lt;42826),Table1[Motivation and Taking Responsibility],""))</f>
        <v/>
      </c>
      <c r="FV470" s="44" t="str">
        <f>IF(Table1[Date of Initial Assessment]="","",IF(AND(Table1[Start Date]&gt;42460,Table1[Start Date]&lt;42826),Table1[Self-Care and Living Skills],""))</f>
        <v/>
      </c>
      <c r="FW470" s="44" t="str">
        <f>IF(Table1[Date of Initial Assessment]="","",IF(AND(Table1[Start Date]&gt;42460,Table1[Start Date]&lt;42826),Table1[Managing Money and Personal Administration],""))</f>
        <v/>
      </c>
      <c r="FX470" s="44" t="str">
        <f>IF(Table1[Date of Initial Assessment]="","",IF(AND(Table1[Start Date]&gt;42460,Table1[Start Date]&lt;42826),Table1[Social Networks and Relationships],""))</f>
        <v/>
      </c>
      <c r="FY470" s="44" t="str">
        <f>IF(Table1[Date of Initial Assessment]="","",IF(AND(Table1[Start Date]&gt;42460,Table1[Start Date]&lt;42826),Table1[Drug and Alcohol Misuse],""))</f>
        <v/>
      </c>
      <c r="FZ470" s="44" t="str">
        <f>IF(Table1[Date of Initial Assessment]="","",IF(AND(Table1[Start Date]&gt;42460,Table1[Start Date]&lt;42826),Table1[Physical Health],""))</f>
        <v/>
      </c>
      <c r="GA470" s="44" t="str">
        <f>IF(Table1[Date of Initial Assessment]="","",IF(AND(Table1[Start Date]&gt;42460,Table1[Start Date]&lt;42826),Table1[Emotional and Mental Health],""))</f>
        <v/>
      </c>
      <c r="GB470" s="44" t="str">
        <f>IF(Table1[Date of Initial Assessment]="","",IF(AND(Table1[Start Date]&gt;42460,Table1[Start Date]&lt;42826),Table1[Meaningful Use of Time],""))</f>
        <v/>
      </c>
      <c r="GC470" s="44" t="str">
        <f>IF(Table1[Date of Initial Assessment]="","",IF(AND(Table1[Start Date]&gt;42460,Table1[Start Date]&lt;42826),Table1[Managing Tenancy and Accommodation],""))</f>
        <v/>
      </c>
      <c r="GD470" s="44" t="str">
        <f>IF(Table1[Date of Initial Assessment]="","",IF(AND(Table1[Start Date]&gt;42460,Table1[Start Date]&lt;42826),Table1[Offending],""))</f>
        <v/>
      </c>
      <c r="GE470" s="44" t="str">
        <f>IF(Table1[Leaving Date]="","",IF(AND(Table1[Leaving Date]&gt;42460,Table1[Leaving Date]&lt;42826),IF(Table1[Date of Last Assessment]="",Table1[Motivation and Taking Responsibility],Table1[Motivation and Taking Responsibility2]),""))</f>
        <v/>
      </c>
      <c r="GF470" s="44" t="str">
        <f>IF(Table1[Leaving Date]="","",IF(AND(Table1[Leaving Date]&gt;42460,Table1[Leaving Date]&lt;42826),IF(Table1[Date of Last Assessment]="",Table1[Self-Care and Living Skills],Table1[Self-Care and Living Skills2]),""))</f>
        <v/>
      </c>
      <c r="GG470" s="44" t="str">
        <f>IF(Table1[Leaving Date]="","",IF(AND(Table1[Leaving Date]&gt;42460,Table1[Leaving Date]&lt;42826),IF(Table1[Date of Last Assessment]="",Table1[Managing Money and Personal Administration],Table1[Managing Money and Personal Administration2]),""))</f>
        <v/>
      </c>
      <c r="GH470" s="44" t="str">
        <f>IF(Table1[Leaving Date]="","",IF(AND(Table1[Leaving Date]&gt;42460,Table1[Leaving Date]&lt;42826),IF(Table1[Date of Last Assessment]="",Table1[Social Networks and Relationships],Table1[Social Networks and Relationships2]),""))</f>
        <v/>
      </c>
      <c r="GI470" s="44" t="str">
        <f>IF(Table1[Leaving Date]="","",IF(AND(Table1[Leaving Date]&gt;42460,Table1[Leaving Date]&lt;42826),IF(Table1[Date of Last Assessment]="",Table1[Drug and Alcohol Misuse],Table1[Drug and Alcohol Misuse2]),""))</f>
        <v/>
      </c>
      <c r="GJ470" s="44" t="str">
        <f>IF(Table1[Leaving Date]="","",IF(AND(Table1[Leaving Date]&gt;42460,Table1[Leaving Date]&lt;42826),IF(Table1[Date of Last Assessment]="",Table1[Physical Health],Table1[Physical Health2]),""))</f>
        <v/>
      </c>
      <c r="GK470" s="44" t="str">
        <f>IF(Table1[Leaving Date]="","",IF(AND(Table1[Leaving Date]&gt;42460,Table1[Leaving Date]&lt;42826),IF(Table1[Date of Last Assessment]="",Table1[Emotional and Mental Health],Table1[Emotional and Mental Health2]),""))</f>
        <v/>
      </c>
      <c r="GL470" s="44" t="str">
        <f>IF(Table1[Leaving Date]="","",IF(AND(Table1[Leaving Date]&gt;42460,Table1[Leaving Date]&lt;42826),IF(Table1[Date of Last Assessment]="",Table1[Meaningful Use of Time],Table1[Meaningful Use of Time2]),""))</f>
        <v/>
      </c>
      <c r="GM470" s="44" t="str">
        <f>IF(Table1[Leaving Date]="","",IF(AND(Table1[Leaving Date]&gt;42460,Table1[Leaving Date]&lt;42826),IF(Table1[Date of Last Assessment]="",Table1[Managing Tenancy and Accommodation],Table1[Managing Tenancy and Accommodation2]),""))</f>
        <v/>
      </c>
      <c r="GN470" s="44" t="str">
        <f>IF(Table1[Leaving Date]="","",IF(AND(Table1[Leaving Date]&gt;42460,Table1[Leaving Date]&lt;42826),IF(Table1[Date of Last Assessment]="",Table1[Offending],Table1[Offending2]),""))</f>
        <v/>
      </c>
    </row>
    <row r="471" spans="2:196" ht="20.100000000000001" customHeight="1" x14ac:dyDescent="0.2">
      <c r="B471" s="86">
        <f>+'Service Data'!$C$5:$C$5</f>
        <v>0</v>
      </c>
      <c r="C471" s="86"/>
      <c r="D471" s="86"/>
      <c r="E471" s="86"/>
      <c r="F471" s="86"/>
      <c r="G471" s="86"/>
      <c r="H471" s="6"/>
      <c r="I471" s="99" t="str">
        <f ca="1">IF(Table1[[#This Row],[Date of Birth]]="","",SUM(TODAY()-Table1[[#This Row],[Date of Birth]])/365)</f>
        <v/>
      </c>
      <c r="L471" s="86"/>
      <c r="M471" s="77"/>
      <c r="N471" s="86"/>
      <c r="O471" s="86"/>
      <c r="P471" s="91"/>
      <c r="Q471" s="86"/>
      <c r="R471" s="77"/>
      <c r="S471" s="77"/>
      <c r="T471" s="68"/>
      <c r="U471" s="68"/>
      <c r="V471" s="67"/>
      <c r="W471" s="67"/>
      <c r="X471" s="67"/>
      <c r="Y471" s="67"/>
      <c r="Z471" s="67"/>
      <c r="AA471" s="67"/>
      <c r="AB471" s="67"/>
      <c r="AC471" s="67"/>
      <c r="AD471" s="67"/>
      <c r="AE471" s="67"/>
      <c r="AF471" s="67"/>
      <c r="AG471" s="67"/>
      <c r="AH471" s="67"/>
      <c r="AI471" s="67"/>
      <c r="AJ471" s="67"/>
      <c r="AK471" s="67"/>
      <c r="AL471" s="67"/>
      <c r="AM471" s="67"/>
      <c r="AN471" s="77"/>
      <c r="AO471" s="76"/>
      <c r="AP471" s="77"/>
      <c r="AQ471" s="76"/>
      <c r="AR471" s="76"/>
      <c r="AS471" s="76"/>
      <c r="AT471" s="76"/>
      <c r="AU471" s="76"/>
      <c r="AV471" s="77"/>
      <c r="AW471" s="76"/>
      <c r="AX471" s="77"/>
      <c r="AY471" s="76"/>
      <c r="AZ471" s="76"/>
      <c r="BA471" s="76"/>
      <c r="BB471" s="76"/>
      <c r="BC471" s="76"/>
      <c r="BD471" s="77"/>
      <c r="BE471" s="76"/>
      <c r="BF471" s="77"/>
      <c r="BG471" s="76"/>
      <c r="BH471" s="76"/>
      <c r="BI471" s="76"/>
      <c r="BJ471" s="76"/>
      <c r="BK471" s="76"/>
      <c r="BL471" s="77"/>
      <c r="BM471" s="76"/>
      <c r="BN471" s="77"/>
      <c r="BO471" s="76"/>
      <c r="BP471" s="76"/>
      <c r="BQ471" s="76"/>
      <c r="BR471" s="76"/>
      <c r="BS471" s="76"/>
      <c r="BT471" s="77"/>
      <c r="BU471" s="76"/>
      <c r="BV471" s="77"/>
      <c r="BW471" s="76"/>
      <c r="BX471" s="76"/>
      <c r="BY471" s="76"/>
      <c r="BZ471" s="76"/>
      <c r="CA471" s="76"/>
      <c r="CB471" s="77"/>
      <c r="CC471" s="76"/>
      <c r="CD471" s="77"/>
      <c r="CE471" s="76"/>
      <c r="CF471" s="76"/>
      <c r="CG471" s="76"/>
      <c r="CH471" s="76"/>
      <c r="CI471" s="76"/>
      <c r="CJ471" s="77"/>
      <c r="CK471" s="76"/>
      <c r="CL471" s="77"/>
      <c r="CM471" s="76"/>
      <c r="CN471" s="76"/>
      <c r="CO471" s="76"/>
      <c r="CP471" s="76"/>
      <c r="CQ471" s="76"/>
      <c r="CR471" s="78" t="str">
        <f t="shared" si="127"/>
        <v/>
      </c>
      <c r="CS471" s="79" t="str">
        <f t="shared" si="128"/>
        <v/>
      </c>
      <c r="CT471" s="79" t="str">
        <f t="shared" si="129"/>
        <v/>
      </c>
      <c r="CU471" s="79" t="str">
        <f t="shared" si="130"/>
        <v/>
      </c>
      <c r="CV471" s="79" t="str">
        <f t="shared" si="131"/>
        <v/>
      </c>
      <c r="CW471" s="79" t="str">
        <f t="shared" si="132"/>
        <v/>
      </c>
      <c r="CX471" s="79" t="str">
        <f t="shared" si="133"/>
        <v/>
      </c>
      <c r="CY471" s="79" t="str">
        <f t="shared" si="134"/>
        <v/>
      </c>
      <c r="CZ471" s="79" t="str">
        <f t="shared" si="135"/>
        <v/>
      </c>
      <c r="DA471" s="79" t="str">
        <f t="shared" si="136"/>
        <v/>
      </c>
      <c r="DB471" s="79" t="str">
        <f t="shared" si="137"/>
        <v/>
      </c>
      <c r="DC471" s="79" t="str">
        <f t="shared" si="138"/>
        <v/>
      </c>
      <c r="DD471" s="79" t="str">
        <f t="shared" si="139"/>
        <v/>
      </c>
      <c r="DE471" s="79" t="str">
        <f t="shared" si="140"/>
        <v/>
      </c>
      <c r="DF471" s="79" t="str">
        <f t="shared" si="141"/>
        <v/>
      </c>
      <c r="DG471" s="79" t="str">
        <f t="shared" si="142"/>
        <v/>
      </c>
      <c r="DH471" s="76"/>
      <c r="DI471" s="78"/>
      <c r="DJ471" s="76"/>
      <c r="DK471" s="77"/>
      <c r="DL471" s="77"/>
      <c r="DM471" s="77"/>
      <c r="DN471" s="80"/>
      <c r="DO471" s="80"/>
      <c r="DP471" s="92" t="str">
        <f>IF(Table1[Start Date]="","",IF(Table1[Start Date]&gt;42185,"",IF(AND(Table1[Leaving Date]&gt;1,Table1[Leaving Date]&lt;42095),"",1)))</f>
        <v/>
      </c>
      <c r="DQ471" s="92" t="str">
        <f>IF(Table1[Start Date]="","",IF(Table1[Start Date]&gt;42277,"",IF(AND(Table1[Leaving Date]&gt;1,Table1[Leaving Date]&lt;42186),"",1)))</f>
        <v/>
      </c>
      <c r="DR471" s="92" t="str">
        <f>IF(Table1[Start Date]="","",IF(Table1[Start Date]&gt;42369,"",IF(AND(Table1[Leaving Date]&gt;1,Table1[Leaving Date]&lt;42278),"",1)))</f>
        <v/>
      </c>
      <c r="DS471" s="92" t="str">
        <f>IF(Table1[Start Date]="","",IF(Table1[Start Date]&gt;42460,"",IF(AND(Table1[Leaving Date]&gt;1,Table1[Leaving Date]&lt;42370),"",1)))</f>
        <v/>
      </c>
      <c r="DT471" s="92" t="str">
        <f>IF(Table1[Start Date]="","",IF(Table1[Start Date]&gt;42551,"",IF(AND(Table1[Leaving Date]&gt;1,Table1[Leaving Date]&lt;42461),"",1)))</f>
        <v/>
      </c>
      <c r="DU471" s="92" t="str">
        <f>IF(Table1[Start Date]="","",IF(Table1[Start Date]&gt;42643,"",IF(AND(Table1[Leaving Date]&gt;1,Table1[Leaving Date]&lt;42552),"",1)))</f>
        <v/>
      </c>
      <c r="DV471" s="92" t="str">
        <f>IF(Table1[Start Date]="","",IF(Table1[Start Date]&gt;42735,"",IF(AND(Table1[Leaving Date]&gt;1,Table1[Leaving Date]&lt;42644),"",1)))</f>
        <v/>
      </c>
      <c r="DW471" s="92" t="str">
        <f>IF(Table1[Start Date]="","",IF(Table1[Start Date]&gt;42825,"",IF(AND(Table1[Leaving Date]&gt;1,Table1[Leaving Date]&lt;42736),"",1)))</f>
        <v/>
      </c>
      <c r="DX471"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471" s="44" t="e">
        <f>VLOOKUP(Table1[Referral Source],Lists!$G$2:$H$20,2,FALSE)</f>
        <v>#N/A</v>
      </c>
      <c r="DZ471" s="93" t="e">
        <f>SUM(Table1[Data Referral Quarter]+Table1[Data Referral Source])</f>
        <v>#N/A</v>
      </c>
      <c r="EA471" s="44" t="b">
        <f>IF(Table1[Referral Decision]="Accepted",100,IF(Table1[Referral Decision]="Rejected by Provider",200,IF(Table1[Referral Decision]="Rejected by Applicant",300)))</f>
        <v>0</v>
      </c>
      <c r="EB471" s="44">
        <f>SUM(Table1[Data Referral Quarter]+Table1[Data Referral Decision])</f>
        <v>0</v>
      </c>
      <c r="EC471" s="44" t="b">
        <f>IF(Table1[Start Date]&gt;42735,8000,IF(Table1[Start Date]&gt;42643,7000,IF(Table1[Start Date]&gt;42551,6000,IF(Table1[Start Date]&gt;42460,5000,IF(Table1[Start Date]&gt;42369,4000,IF(Table1[Start Date]&gt;42277,3000,IF(Table1[Start Date]&gt;42185,2000,IF(Table1[Start Date]&gt;42094,1000))))))))</f>
        <v>0</v>
      </c>
      <c r="ED471" s="44" t="str">
        <f>IF(Table1[Start Date]="","",IF(Table1[Current Local Authority]="Swindon",1,"2"))</f>
        <v/>
      </c>
      <c r="EE471" s="44" t="e">
        <f>SUM(Table1[Data Start Date]+Table1[Data Local Authority])</f>
        <v>#VALUE!</v>
      </c>
      <c r="EF471" s="44">
        <f>IF(Table1[Registered with GP]="Yes",1,0)</f>
        <v>0</v>
      </c>
      <c r="EG471" s="44">
        <f>SUM(Table1[Data Start Date]+Table1[Data GP Start])</f>
        <v>0</v>
      </c>
      <c r="EH471" s="44" t="str">
        <f>IF(Table1[EET]="NEET",1,IF(Table1[EET]="Education",2,IF(Table1[EET]="Employment",2,IF(Table1[EET]="Training",2,IF(Table1[EET]="Retired",3,"")))))</f>
        <v/>
      </c>
      <c r="EI471" s="44" t="e">
        <f>Table1[Data Start Date]+Table1[Data EET Start]</f>
        <v>#VALUE!</v>
      </c>
      <c r="EJ471" s="44" t="b">
        <f>IF(Table1[Leaving Date]&gt;42735,8000,IF(Table1[Leaving Date]&gt;42643,7000,IF(Table1[Leaving Date]&gt;42551,6000,IF(Table1[Leaving Date]&gt;42460,5000,IF(Table1[Leaving Date]&gt;42369,4000,IF(Table1[Leaving Date]&gt;42277,3000,IF(Table1[Leaving Date]&gt;42185,2000,IF(Table1[Leaving Date]&gt;42094,1000))))))))</f>
        <v>0</v>
      </c>
      <c r="EK471" s="44" t="e">
        <f>VLOOKUP(Table1[Reason for Leaving],Lists!$T$2:$U$15,2,FALSE)</f>
        <v>#N/A</v>
      </c>
      <c r="EL471" s="44" t="e">
        <f>SUM(Table1[Data Leavers Date]+Table1[Data Move On])</f>
        <v>#N/A</v>
      </c>
      <c r="EM471" s="44" t="b">
        <f>IF(Table1[Registered with GP2]="Yes",1,IF(Table1[Registered with GP2]="No",0,IF(Table1[Registered with GP]="Yes",1,IF(Table1[Registered with GP]="No",0))))</f>
        <v>0</v>
      </c>
      <c r="EN471" s="44">
        <f>SUM(Table1[Data Leavers Date]+Table1[Data GP End])</f>
        <v>0</v>
      </c>
      <c r="EO471" s="44" t="str">
        <f>IF(Table1[EET2]="NEET",1,IF(Table1[EET2]="Employment",2,IF(Table1[EET2]="Education",2,IF(Table1[EET2]="Training",2,IF(Table1[EET2]="Retired",3,IF(Table1[EET]="NEET",1,IF(Table1[EET]="Employment",2,IF(Table1[EET]="Education",2,IF(Table1[EET]="Training",2,IF(Table1[EET]="Retired",3,""))))))))))</f>
        <v/>
      </c>
      <c r="EP471" s="44" t="e">
        <f>+Table1[[#This Row],[Data Leavers Date]]+Table1[[#This Row],[Data EET End]]</f>
        <v>#VALUE!</v>
      </c>
      <c r="EQ471" s="44">
        <f>IF(Table1[Exit Form Received]="Yes",1,0)</f>
        <v>0</v>
      </c>
      <c r="ER471" s="44">
        <f>+Table1[[#This Row],[Data Leavers Date]]+Table1[[#This Row],[Data Exit Forms]]</f>
        <v>0</v>
      </c>
      <c r="ES471" s="44" t="str">
        <f>IF(Table1[Data Leavers Date]=1000,SUM(Table1[Leaving Date]-Table1[Start Date]),"")</f>
        <v/>
      </c>
      <c r="ET471" s="44" t="str">
        <f>IF(Table1[Data Leavers Date]=2000,SUM(Table1[Leaving Date]-Table1[Start Date]),"")</f>
        <v/>
      </c>
      <c r="EU471" s="44" t="str">
        <f>IF(Table1[Data Leavers Date]=3000,SUM(Table1[Leaving Date]-Table1[Start Date]),"")</f>
        <v/>
      </c>
      <c r="EV471" s="44" t="str">
        <f>IF(Table1[Data Leavers Date]=4000,SUM(Table1[Leaving Date]-Table1[Start Date]),"")</f>
        <v/>
      </c>
      <c r="EW471" s="44" t="str">
        <f>IF(Table1[Data Leavers Date]=5000,SUM(Table1[Leaving Date]-Table1[Start Date]),"")</f>
        <v/>
      </c>
      <c r="EX471" s="44" t="str">
        <f>IF(Table1[Data Leavers Date]=6000,SUM(Table1[Leaving Date]-Table1[Start Date]),"")</f>
        <v/>
      </c>
      <c r="EY471" s="44" t="str">
        <f>IF(Table1[Data Leavers Date]=7000,SUM(Table1[Leaving Date]-Table1[Start Date]),"")</f>
        <v/>
      </c>
      <c r="EZ471" s="44" t="str">
        <f>IF(Table1[Data Leavers Date]=8000,SUM(Table1[Leaving Date]-Table1[Start Date]),"")</f>
        <v/>
      </c>
      <c r="FA471" s="44" t="str">
        <f>IF(Table1[Date of Initial Assessment]="","",IF(AND(Table1[Start Date]&gt;42094,Table1[Start Date]&lt;42461),Table1[Motivation and Taking Responsibility],""))</f>
        <v/>
      </c>
      <c r="FB471" s="44" t="str">
        <f>IF(Table1[Date of Initial Assessment]="","",IF(AND(Table1[Start Date]&gt;42094,Table1[Start Date]&lt;42461),Table1[Self-Care and Living Skills],""))</f>
        <v/>
      </c>
      <c r="FC471" s="44" t="str">
        <f>IF(Table1[Date of Initial Assessment]="","",IF(AND(Table1[Start Date]&gt;42094,Table1[Start Date]&lt;42461),Table1[Managing Money and Personal Administration],""))</f>
        <v/>
      </c>
      <c r="FD471" s="44" t="str">
        <f>IF(Table1[Date of Initial Assessment]="","",IF(AND(Table1[Start Date]&gt;42094,Table1[Start Date]&lt;42461),Table1[Social Networks and Relationships],""))</f>
        <v/>
      </c>
      <c r="FE471" s="44" t="str">
        <f>IF(Table1[Date of Initial Assessment]="","",IF(AND(Table1[Start Date]&gt;42094,Table1[Start Date]&lt;42461),Table1[Drug and Alcohol Misuse],""))</f>
        <v/>
      </c>
      <c r="FF471" s="44" t="str">
        <f>IF(Table1[Date of Initial Assessment]="","",IF(AND(Table1[Start Date]&gt;42094,Table1[Start Date]&lt;42461),Table1[Physical Health],""))</f>
        <v/>
      </c>
      <c r="FG471" s="44" t="str">
        <f>IF(Table1[Date of Initial Assessment]="","",IF(AND(Table1[Start Date]&gt;42094,Table1[Start Date]&lt;42461),Table1[Emotional and Mental Health],""))</f>
        <v/>
      </c>
      <c r="FH471" s="44" t="str">
        <f>IF(Table1[Date of Initial Assessment]="","",IF(AND(Table1[Start Date]&gt;42094,Table1[Start Date]&lt;42461),Table1[Meaningful Use of Time],""))</f>
        <v/>
      </c>
      <c r="FI471" s="44" t="str">
        <f>IF(Table1[Date of Initial Assessment]="","",IF(AND(Table1[Start Date]&gt;42094,Table1[Start Date]&lt;42461),Table1[Managing Tenancy and Accommodation],""))</f>
        <v/>
      </c>
      <c r="FJ471" s="44" t="str">
        <f>IF(Table1[Date of Initial Assessment]="","",IF(AND(Table1[Start Date]&gt;42094,Table1[Start Date]&lt;42461),Table1[Offending],""))</f>
        <v/>
      </c>
      <c r="FK471" s="44" t="str">
        <f>IF(Table1[Leaving Date]="","",IF(Table1[Date of Initial Assessment]="","",IF(AND(Table1[Leaving Date]&gt;42094,Table1[Leaving Date]&lt;42461),IF(Table1[Date of Last Assessment]="",Table1[Motivation and Taking Responsibility],Table1[Motivation and Taking Responsibility2]),"")))</f>
        <v/>
      </c>
      <c r="FL471" s="44" t="str">
        <f>IF(Table1[Leaving Date]="","",IF(Table1[Date of Initial Assessment]="","",IF(AND(Table1[Leaving Date]&gt;42094,Table1[Leaving Date]&lt;42461),IF(Table1[Date of Last Assessment]="",Table1[Self-Care and Living Skills],Table1[Self-Care and Living Skills2]),"")))</f>
        <v/>
      </c>
      <c r="FM471" s="44" t="str">
        <f>IF(Table1[Leaving Date]="","",IF(Table1[Date of Initial Assessment]="","",IF(AND(Table1[Leaving Date]&gt;42094,Table1[Leaving Date]&lt;42461),IF(Table1[Date of Last Assessment]="",Table1[Managing Money and Personal Administration],Table1[Managing Money and Personal Administration2]),"")))</f>
        <v/>
      </c>
      <c r="FN471" s="44" t="str">
        <f>IF(Table1[Leaving Date]="","",IF(Table1[Date of Initial Assessment]="","",IF(AND(Table1[Leaving Date]&gt;42094,Table1[Leaving Date]&lt;42461),IF(Table1[Date of Last Assessment]="",Table1[Social Networks and Relationships],Table1[Social Networks and Relationships2]),"")))</f>
        <v/>
      </c>
      <c r="FO471" s="44" t="str">
        <f>IF(Table1[Leaving Date]="","",IF(Table1[Date of Initial Assessment]="","",IF(AND(Table1[Leaving Date]&gt;42094,Table1[Leaving Date]&lt;42461),IF(Table1[Date of Last Assessment]="",Table1[Drug and Alcohol Misuse],Table1[Drug and Alcohol Misuse2]),"")))</f>
        <v/>
      </c>
      <c r="FP471" s="44" t="str">
        <f>IF(Table1[Leaving Date]="","",IF(Table1[Date of Initial Assessment]="","",IF(AND(Table1[Leaving Date]&gt;42094,Table1[Leaving Date]&lt;42461),IF(Table1[Date of Last Assessment]="",Table1[Physical Health],Table1[Physical Health2]),"")))</f>
        <v/>
      </c>
      <c r="FQ471" s="44" t="str">
        <f>IF(Table1[Leaving Date]="","",IF(Table1[Date of Initial Assessment]="","",IF(AND(Table1[Leaving Date]&gt;42094,Table1[Leaving Date]&lt;42461),IF(Table1[Date of Last Assessment]="",Table1[Emotional and Mental Health],Table1[Emotional and Mental Health2]),"")))</f>
        <v/>
      </c>
      <c r="FR471" s="44" t="str">
        <f>IF(Table1[Leaving Date]="","",IF(Table1[Date of Initial Assessment]="","",IF(AND(Table1[Leaving Date]&gt;42094,Table1[Leaving Date]&lt;42461),IF(Table1[Date of Last Assessment]="",Table1[Meaningful Use of Time],Table1[Meaningful Use of Time2]),"")))</f>
        <v/>
      </c>
      <c r="FS471" s="44" t="str">
        <f>IF(Table1[Leaving Date]="","",IF(Table1[Date of Initial Assessment]="","",IF(AND(Table1[Leaving Date]&gt;42094,Table1[Leaving Date]&lt;42461),IF(Table1[Date of Last Assessment]="",Table1[Managing Tenancy and Accommodation],Table1[Managing Tenancy and Accommodation2]),"")))</f>
        <v/>
      </c>
      <c r="FT471" s="44" t="str">
        <f>IF(Table1[Leaving Date]="","",IF(Table1[Date of Initial Assessment]="","",IF(AND(Table1[Leaving Date]&gt;42094,Table1[Leaving Date]&lt;42461),IF(Table1[Date of Last Assessment]="",Table1[Offending],Table1[Offending2]),"")))</f>
        <v/>
      </c>
      <c r="FU471" s="44" t="str">
        <f>IF(Table1[Date of Initial Assessment]="","",IF(AND(Table1[Start Date]&gt;42460,Table1[Start Date]&lt;42826),Table1[Motivation and Taking Responsibility],""))</f>
        <v/>
      </c>
      <c r="FV471" s="44" t="str">
        <f>IF(Table1[Date of Initial Assessment]="","",IF(AND(Table1[Start Date]&gt;42460,Table1[Start Date]&lt;42826),Table1[Self-Care and Living Skills],""))</f>
        <v/>
      </c>
      <c r="FW471" s="44" t="str">
        <f>IF(Table1[Date of Initial Assessment]="","",IF(AND(Table1[Start Date]&gt;42460,Table1[Start Date]&lt;42826),Table1[Managing Money and Personal Administration],""))</f>
        <v/>
      </c>
      <c r="FX471" s="44" t="str">
        <f>IF(Table1[Date of Initial Assessment]="","",IF(AND(Table1[Start Date]&gt;42460,Table1[Start Date]&lt;42826),Table1[Social Networks and Relationships],""))</f>
        <v/>
      </c>
      <c r="FY471" s="44" t="str">
        <f>IF(Table1[Date of Initial Assessment]="","",IF(AND(Table1[Start Date]&gt;42460,Table1[Start Date]&lt;42826),Table1[Drug and Alcohol Misuse],""))</f>
        <v/>
      </c>
      <c r="FZ471" s="44" t="str">
        <f>IF(Table1[Date of Initial Assessment]="","",IF(AND(Table1[Start Date]&gt;42460,Table1[Start Date]&lt;42826),Table1[Physical Health],""))</f>
        <v/>
      </c>
      <c r="GA471" s="44" t="str">
        <f>IF(Table1[Date of Initial Assessment]="","",IF(AND(Table1[Start Date]&gt;42460,Table1[Start Date]&lt;42826),Table1[Emotional and Mental Health],""))</f>
        <v/>
      </c>
      <c r="GB471" s="44" t="str">
        <f>IF(Table1[Date of Initial Assessment]="","",IF(AND(Table1[Start Date]&gt;42460,Table1[Start Date]&lt;42826),Table1[Meaningful Use of Time],""))</f>
        <v/>
      </c>
      <c r="GC471" s="44" t="str">
        <f>IF(Table1[Date of Initial Assessment]="","",IF(AND(Table1[Start Date]&gt;42460,Table1[Start Date]&lt;42826),Table1[Managing Tenancy and Accommodation],""))</f>
        <v/>
      </c>
      <c r="GD471" s="44" t="str">
        <f>IF(Table1[Date of Initial Assessment]="","",IF(AND(Table1[Start Date]&gt;42460,Table1[Start Date]&lt;42826),Table1[Offending],""))</f>
        <v/>
      </c>
      <c r="GE471" s="44" t="str">
        <f>IF(Table1[Leaving Date]="","",IF(AND(Table1[Leaving Date]&gt;42460,Table1[Leaving Date]&lt;42826),IF(Table1[Date of Last Assessment]="",Table1[Motivation and Taking Responsibility],Table1[Motivation and Taking Responsibility2]),""))</f>
        <v/>
      </c>
      <c r="GF471" s="44" t="str">
        <f>IF(Table1[Leaving Date]="","",IF(AND(Table1[Leaving Date]&gt;42460,Table1[Leaving Date]&lt;42826),IF(Table1[Date of Last Assessment]="",Table1[Self-Care and Living Skills],Table1[Self-Care and Living Skills2]),""))</f>
        <v/>
      </c>
      <c r="GG471" s="44" t="str">
        <f>IF(Table1[Leaving Date]="","",IF(AND(Table1[Leaving Date]&gt;42460,Table1[Leaving Date]&lt;42826),IF(Table1[Date of Last Assessment]="",Table1[Managing Money and Personal Administration],Table1[Managing Money and Personal Administration2]),""))</f>
        <v/>
      </c>
      <c r="GH471" s="44" t="str">
        <f>IF(Table1[Leaving Date]="","",IF(AND(Table1[Leaving Date]&gt;42460,Table1[Leaving Date]&lt;42826),IF(Table1[Date of Last Assessment]="",Table1[Social Networks and Relationships],Table1[Social Networks and Relationships2]),""))</f>
        <v/>
      </c>
      <c r="GI471" s="44" t="str">
        <f>IF(Table1[Leaving Date]="","",IF(AND(Table1[Leaving Date]&gt;42460,Table1[Leaving Date]&lt;42826),IF(Table1[Date of Last Assessment]="",Table1[Drug and Alcohol Misuse],Table1[Drug and Alcohol Misuse2]),""))</f>
        <v/>
      </c>
      <c r="GJ471" s="44" t="str">
        <f>IF(Table1[Leaving Date]="","",IF(AND(Table1[Leaving Date]&gt;42460,Table1[Leaving Date]&lt;42826),IF(Table1[Date of Last Assessment]="",Table1[Physical Health],Table1[Physical Health2]),""))</f>
        <v/>
      </c>
      <c r="GK471" s="44" t="str">
        <f>IF(Table1[Leaving Date]="","",IF(AND(Table1[Leaving Date]&gt;42460,Table1[Leaving Date]&lt;42826),IF(Table1[Date of Last Assessment]="",Table1[Emotional and Mental Health],Table1[Emotional and Mental Health2]),""))</f>
        <v/>
      </c>
      <c r="GL471" s="44" t="str">
        <f>IF(Table1[Leaving Date]="","",IF(AND(Table1[Leaving Date]&gt;42460,Table1[Leaving Date]&lt;42826),IF(Table1[Date of Last Assessment]="",Table1[Meaningful Use of Time],Table1[Meaningful Use of Time2]),""))</f>
        <v/>
      </c>
      <c r="GM471" s="44" t="str">
        <f>IF(Table1[Leaving Date]="","",IF(AND(Table1[Leaving Date]&gt;42460,Table1[Leaving Date]&lt;42826),IF(Table1[Date of Last Assessment]="",Table1[Managing Tenancy and Accommodation],Table1[Managing Tenancy and Accommodation2]),""))</f>
        <v/>
      </c>
      <c r="GN471" s="44" t="str">
        <f>IF(Table1[Leaving Date]="","",IF(AND(Table1[Leaving Date]&gt;42460,Table1[Leaving Date]&lt;42826),IF(Table1[Date of Last Assessment]="",Table1[Offending],Table1[Offending2]),""))</f>
        <v/>
      </c>
    </row>
    <row r="472" spans="2:196" ht="20.100000000000001" customHeight="1" x14ac:dyDescent="0.2">
      <c r="B472" s="86">
        <f>+'Service Data'!$C$5:$C$5</f>
        <v>0</v>
      </c>
      <c r="C472" s="86"/>
      <c r="D472" s="86"/>
      <c r="E472" s="86"/>
      <c r="F472" s="86"/>
      <c r="G472" s="86"/>
      <c r="H472" s="6"/>
      <c r="I472" s="99" t="str">
        <f ca="1">IF(Table1[[#This Row],[Date of Birth]]="","",SUM(TODAY()-Table1[[#This Row],[Date of Birth]])/365)</f>
        <v/>
      </c>
      <c r="L472" s="86"/>
      <c r="M472" s="77"/>
      <c r="N472" s="86"/>
      <c r="O472" s="86"/>
      <c r="P472" s="91"/>
      <c r="Q472" s="86"/>
      <c r="R472" s="77"/>
      <c r="S472" s="77"/>
      <c r="T472" s="68"/>
      <c r="U472" s="68"/>
      <c r="V472" s="67"/>
      <c r="W472" s="67"/>
      <c r="X472" s="67"/>
      <c r="Y472" s="67"/>
      <c r="Z472" s="67"/>
      <c r="AA472" s="67"/>
      <c r="AB472" s="67"/>
      <c r="AC472" s="67"/>
      <c r="AD472" s="67"/>
      <c r="AE472" s="67"/>
      <c r="AF472" s="67"/>
      <c r="AG472" s="67"/>
      <c r="AH472" s="67"/>
      <c r="AI472" s="67"/>
      <c r="AJ472" s="67"/>
      <c r="AK472" s="67"/>
      <c r="AL472" s="67"/>
      <c r="AM472" s="67"/>
      <c r="AN472" s="77"/>
      <c r="AO472" s="76"/>
      <c r="AP472" s="77"/>
      <c r="AQ472" s="76"/>
      <c r="AR472" s="76"/>
      <c r="AS472" s="76"/>
      <c r="AT472" s="76"/>
      <c r="AU472" s="76"/>
      <c r="AV472" s="77"/>
      <c r="AW472" s="76"/>
      <c r="AX472" s="77"/>
      <c r="AY472" s="76"/>
      <c r="AZ472" s="76"/>
      <c r="BA472" s="76"/>
      <c r="BB472" s="76"/>
      <c r="BC472" s="76"/>
      <c r="BD472" s="77"/>
      <c r="BE472" s="76"/>
      <c r="BF472" s="77"/>
      <c r="BG472" s="76"/>
      <c r="BH472" s="76"/>
      <c r="BI472" s="76"/>
      <c r="BJ472" s="76"/>
      <c r="BK472" s="76"/>
      <c r="BL472" s="77"/>
      <c r="BM472" s="76"/>
      <c r="BN472" s="77"/>
      <c r="BO472" s="76"/>
      <c r="BP472" s="76"/>
      <c r="BQ472" s="76"/>
      <c r="BR472" s="76"/>
      <c r="BS472" s="76"/>
      <c r="BT472" s="77"/>
      <c r="BU472" s="76"/>
      <c r="BV472" s="77"/>
      <c r="BW472" s="76"/>
      <c r="BX472" s="76"/>
      <c r="BY472" s="76"/>
      <c r="BZ472" s="76"/>
      <c r="CA472" s="76"/>
      <c r="CB472" s="77"/>
      <c r="CC472" s="76"/>
      <c r="CD472" s="77"/>
      <c r="CE472" s="76"/>
      <c r="CF472" s="76"/>
      <c r="CG472" s="76"/>
      <c r="CH472" s="76"/>
      <c r="CI472" s="76"/>
      <c r="CJ472" s="77"/>
      <c r="CK472" s="76"/>
      <c r="CL472" s="77"/>
      <c r="CM472" s="76"/>
      <c r="CN472" s="76"/>
      <c r="CO472" s="76"/>
      <c r="CP472" s="76"/>
      <c r="CQ472" s="76"/>
      <c r="CR472" s="78" t="str">
        <f t="shared" si="127"/>
        <v/>
      </c>
      <c r="CS472" s="79" t="str">
        <f t="shared" si="128"/>
        <v/>
      </c>
      <c r="CT472" s="79" t="str">
        <f t="shared" si="129"/>
        <v/>
      </c>
      <c r="CU472" s="79" t="str">
        <f t="shared" si="130"/>
        <v/>
      </c>
      <c r="CV472" s="79" t="str">
        <f t="shared" si="131"/>
        <v/>
      </c>
      <c r="CW472" s="79" t="str">
        <f t="shared" si="132"/>
        <v/>
      </c>
      <c r="CX472" s="79" t="str">
        <f t="shared" si="133"/>
        <v/>
      </c>
      <c r="CY472" s="79" t="str">
        <f t="shared" si="134"/>
        <v/>
      </c>
      <c r="CZ472" s="79" t="str">
        <f t="shared" si="135"/>
        <v/>
      </c>
      <c r="DA472" s="79" t="str">
        <f t="shared" si="136"/>
        <v/>
      </c>
      <c r="DB472" s="79" t="str">
        <f t="shared" si="137"/>
        <v/>
      </c>
      <c r="DC472" s="79" t="str">
        <f t="shared" si="138"/>
        <v/>
      </c>
      <c r="DD472" s="79" t="str">
        <f t="shared" si="139"/>
        <v/>
      </c>
      <c r="DE472" s="79" t="str">
        <f t="shared" si="140"/>
        <v/>
      </c>
      <c r="DF472" s="79" t="str">
        <f t="shared" si="141"/>
        <v/>
      </c>
      <c r="DG472" s="79" t="str">
        <f t="shared" si="142"/>
        <v/>
      </c>
      <c r="DH472" s="76"/>
      <c r="DI472" s="78"/>
      <c r="DJ472" s="76"/>
      <c r="DK472" s="77"/>
      <c r="DL472" s="77"/>
      <c r="DM472" s="77"/>
      <c r="DN472" s="80"/>
      <c r="DO472" s="80"/>
      <c r="DP472" s="92" t="str">
        <f>IF(Table1[Start Date]="","",IF(Table1[Start Date]&gt;42185,"",IF(AND(Table1[Leaving Date]&gt;1,Table1[Leaving Date]&lt;42095),"",1)))</f>
        <v/>
      </c>
      <c r="DQ472" s="92" t="str">
        <f>IF(Table1[Start Date]="","",IF(Table1[Start Date]&gt;42277,"",IF(AND(Table1[Leaving Date]&gt;1,Table1[Leaving Date]&lt;42186),"",1)))</f>
        <v/>
      </c>
      <c r="DR472" s="92" t="str">
        <f>IF(Table1[Start Date]="","",IF(Table1[Start Date]&gt;42369,"",IF(AND(Table1[Leaving Date]&gt;1,Table1[Leaving Date]&lt;42278),"",1)))</f>
        <v/>
      </c>
      <c r="DS472" s="92" t="str">
        <f>IF(Table1[Start Date]="","",IF(Table1[Start Date]&gt;42460,"",IF(AND(Table1[Leaving Date]&gt;1,Table1[Leaving Date]&lt;42370),"",1)))</f>
        <v/>
      </c>
      <c r="DT472" s="92" t="str">
        <f>IF(Table1[Start Date]="","",IF(Table1[Start Date]&gt;42551,"",IF(AND(Table1[Leaving Date]&gt;1,Table1[Leaving Date]&lt;42461),"",1)))</f>
        <v/>
      </c>
      <c r="DU472" s="92" t="str">
        <f>IF(Table1[Start Date]="","",IF(Table1[Start Date]&gt;42643,"",IF(AND(Table1[Leaving Date]&gt;1,Table1[Leaving Date]&lt;42552),"",1)))</f>
        <v/>
      </c>
      <c r="DV472" s="92" t="str">
        <f>IF(Table1[Start Date]="","",IF(Table1[Start Date]&gt;42735,"",IF(AND(Table1[Leaving Date]&gt;1,Table1[Leaving Date]&lt;42644),"",1)))</f>
        <v/>
      </c>
      <c r="DW472" s="92" t="str">
        <f>IF(Table1[Start Date]="","",IF(Table1[Start Date]&gt;42825,"",IF(AND(Table1[Leaving Date]&gt;1,Table1[Leaving Date]&lt;42736),"",1)))</f>
        <v/>
      </c>
      <c r="DX472"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472" s="44" t="e">
        <f>VLOOKUP(Table1[Referral Source],Lists!$G$2:$H$20,2,FALSE)</f>
        <v>#N/A</v>
      </c>
      <c r="DZ472" s="93" t="e">
        <f>SUM(Table1[Data Referral Quarter]+Table1[Data Referral Source])</f>
        <v>#N/A</v>
      </c>
      <c r="EA472" s="44" t="b">
        <f>IF(Table1[Referral Decision]="Accepted",100,IF(Table1[Referral Decision]="Rejected by Provider",200,IF(Table1[Referral Decision]="Rejected by Applicant",300)))</f>
        <v>0</v>
      </c>
      <c r="EB472" s="44">
        <f>SUM(Table1[Data Referral Quarter]+Table1[Data Referral Decision])</f>
        <v>0</v>
      </c>
      <c r="EC472" s="44" t="b">
        <f>IF(Table1[Start Date]&gt;42735,8000,IF(Table1[Start Date]&gt;42643,7000,IF(Table1[Start Date]&gt;42551,6000,IF(Table1[Start Date]&gt;42460,5000,IF(Table1[Start Date]&gt;42369,4000,IF(Table1[Start Date]&gt;42277,3000,IF(Table1[Start Date]&gt;42185,2000,IF(Table1[Start Date]&gt;42094,1000))))))))</f>
        <v>0</v>
      </c>
      <c r="ED472" s="44" t="str">
        <f>IF(Table1[Start Date]="","",IF(Table1[Current Local Authority]="Swindon",1,"2"))</f>
        <v/>
      </c>
      <c r="EE472" s="44" t="e">
        <f>SUM(Table1[Data Start Date]+Table1[Data Local Authority])</f>
        <v>#VALUE!</v>
      </c>
      <c r="EF472" s="44">
        <f>IF(Table1[Registered with GP]="Yes",1,0)</f>
        <v>0</v>
      </c>
      <c r="EG472" s="44">
        <f>SUM(Table1[Data Start Date]+Table1[Data GP Start])</f>
        <v>0</v>
      </c>
      <c r="EH472" s="44" t="str">
        <f>IF(Table1[EET]="NEET",1,IF(Table1[EET]="Education",2,IF(Table1[EET]="Employment",2,IF(Table1[EET]="Training",2,IF(Table1[EET]="Retired",3,"")))))</f>
        <v/>
      </c>
      <c r="EI472" s="44" t="e">
        <f>Table1[Data Start Date]+Table1[Data EET Start]</f>
        <v>#VALUE!</v>
      </c>
      <c r="EJ472" s="44" t="b">
        <f>IF(Table1[Leaving Date]&gt;42735,8000,IF(Table1[Leaving Date]&gt;42643,7000,IF(Table1[Leaving Date]&gt;42551,6000,IF(Table1[Leaving Date]&gt;42460,5000,IF(Table1[Leaving Date]&gt;42369,4000,IF(Table1[Leaving Date]&gt;42277,3000,IF(Table1[Leaving Date]&gt;42185,2000,IF(Table1[Leaving Date]&gt;42094,1000))))))))</f>
        <v>0</v>
      </c>
      <c r="EK472" s="44" t="e">
        <f>VLOOKUP(Table1[Reason for Leaving],Lists!$T$2:$U$15,2,FALSE)</f>
        <v>#N/A</v>
      </c>
      <c r="EL472" s="44" t="e">
        <f>SUM(Table1[Data Leavers Date]+Table1[Data Move On])</f>
        <v>#N/A</v>
      </c>
      <c r="EM472" s="44" t="b">
        <f>IF(Table1[Registered with GP2]="Yes",1,IF(Table1[Registered with GP2]="No",0,IF(Table1[Registered with GP]="Yes",1,IF(Table1[Registered with GP]="No",0))))</f>
        <v>0</v>
      </c>
      <c r="EN472" s="44">
        <f>SUM(Table1[Data Leavers Date]+Table1[Data GP End])</f>
        <v>0</v>
      </c>
      <c r="EO472" s="44" t="str">
        <f>IF(Table1[EET2]="NEET",1,IF(Table1[EET2]="Employment",2,IF(Table1[EET2]="Education",2,IF(Table1[EET2]="Training",2,IF(Table1[EET2]="Retired",3,IF(Table1[EET]="NEET",1,IF(Table1[EET]="Employment",2,IF(Table1[EET]="Education",2,IF(Table1[EET]="Training",2,IF(Table1[EET]="Retired",3,""))))))))))</f>
        <v/>
      </c>
      <c r="EP472" s="44" t="e">
        <f>+Table1[[#This Row],[Data Leavers Date]]+Table1[[#This Row],[Data EET End]]</f>
        <v>#VALUE!</v>
      </c>
      <c r="EQ472" s="44">
        <f>IF(Table1[Exit Form Received]="Yes",1,0)</f>
        <v>0</v>
      </c>
      <c r="ER472" s="44">
        <f>+Table1[[#This Row],[Data Leavers Date]]+Table1[[#This Row],[Data Exit Forms]]</f>
        <v>0</v>
      </c>
      <c r="ES472" s="44" t="str">
        <f>IF(Table1[Data Leavers Date]=1000,SUM(Table1[Leaving Date]-Table1[Start Date]),"")</f>
        <v/>
      </c>
      <c r="ET472" s="44" t="str">
        <f>IF(Table1[Data Leavers Date]=2000,SUM(Table1[Leaving Date]-Table1[Start Date]),"")</f>
        <v/>
      </c>
      <c r="EU472" s="44" t="str">
        <f>IF(Table1[Data Leavers Date]=3000,SUM(Table1[Leaving Date]-Table1[Start Date]),"")</f>
        <v/>
      </c>
      <c r="EV472" s="44" t="str">
        <f>IF(Table1[Data Leavers Date]=4000,SUM(Table1[Leaving Date]-Table1[Start Date]),"")</f>
        <v/>
      </c>
      <c r="EW472" s="44" t="str">
        <f>IF(Table1[Data Leavers Date]=5000,SUM(Table1[Leaving Date]-Table1[Start Date]),"")</f>
        <v/>
      </c>
      <c r="EX472" s="44" t="str">
        <f>IF(Table1[Data Leavers Date]=6000,SUM(Table1[Leaving Date]-Table1[Start Date]),"")</f>
        <v/>
      </c>
      <c r="EY472" s="44" t="str">
        <f>IF(Table1[Data Leavers Date]=7000,SUM(Table1[Leaving Date]-Table1[Start Date]),"")</f>
        <v/>
      </c>
      <c r="EZ472" s="44" t="str">
        <f>IF(Table1[Data Leavers Date]=8000,SUM(Table1[Leaving Date]-Table1[Start Date]),"")</f>
        <v/>
      </c>
      <c r="FA472" s="44" t="str">
        <f>IF(Table1[Date of Initial Assessment]="","",IF(AND(Table1[Start Date]&gt;42094,Table1[Start Date]&lt;42461),Table1[Motivation and Taking Responsibility],""))</f>
        <v/>
      </c>
      <c r="FB472" s="44" t="str">
        <f>IF(Table1[Date of Initial Assessment]="","",IF(AND(Table1[Start Date]&gt;42094,Table1[Start Date]&lt;42461),Table1[Self-Care and Living Skills],""))</f>
        <v/>
      </c>
      <c r="FC472" s="44" t="str">
        <f>IF(Table1[Date of Initial Assessment]="","",IF(AND(Table1[Start Date]&gt;42094,Table1[Start Date]&lt;42461),Table1[Managing Money and Personal Administration],""))</f>
        <v/>
      </c>
      <c r="FD472" s="44" t="str">
        <f>IF(Table1[Date of Initial Assessment]="","",IF(AND(Table1[Start Date]&gt;42094,Table1[Start Date]&lt;42461),Table1[Social Networks and Relationships],""))</f>
        <v/>
      </c>
      <c r="FE472" s="44" t="str">
        <f>IF(Table1[Date of Initial Assessment]="","",IF(AND(Table1[Start Date]&gt;42094,Table1[Start Date]&lt;42461),Table1[Drug and Alcohol Misuse],""))</f>
        <v/>
      </c>
      <c r="FF472" s="44" t="str">
        <f>IF(Table1[Date of Initial Assessment]="","",IF(AND(Table1[Start Date]&gt;42094,Table1[Start Date]&lt;42461),Table1[Physical Health],""))</f>
        <v/>
      </c>
      <c r="FG472" s="44" t="str">
        <f>IF(Table1[Date of Initial Assessment]="","",IF(AND(Table1[Start Date]&gt;42094,Table1[Start Date]&lt;42461),Table1[Emotional and Mental Health],""))</f>
        <v/>
      </c>
      <c r="FH472" s="44" t="str">
        <f>IF(Table1[Date of Initial Assessment]="","",IF(AND(Table1[Start Date]&gt;42094,Table1[Start Date]&lt;42461),Table1[Meaningful Use of Time],""))</f>
        <v/>
      </c>
      <c r="FI472" s="44" t="str">
        <f>IF(Table1[Date of Initial Assessment]="","",IF(AND(Table1[Start Date]&gt;42094,Table1[Start Date]&lt;42461),Table1[Managing Tenancy and Accommodation],""))</f>
        <v/>
      </c>
      <c r="FJ472" s="44" t="str">
        <f>IF(Table1[Date of Initial Assessment]="","",IF(AND(Table1[Start Date]&gt;42094,Table1[Start Date]&lt;42461),Table1[Offending],""))</f>
        <v/>
      </c>
      <c r="FK472" s="44" t="str">
        <f>IF(Table1[Leaving Date]="","",IF(Table1[Date of Initial Assessment]="","",IF(AND(Table1[Leaving Date]&gt;42094,Table1[Leaving Date]&lt;42461),IF(Table1[Date of Last Assessment]="",Table1[Motivation and Taking Responsibility],Table1[Motivation and Taking Responsibility2]),"")))</f>
        <v/>
      </c>
      <c r="FL472" s="44" t="str">
        <f>IF(Table1[Leaving Date]="","",IF(Table1[Date of Initial Assessment]="","",IF(AND(Table1[Leaving Date]&gt;42094,Table1[Leaving Date]&lt;42461),IF(Table1[Date of Last Assessment]="",Table1[Self-Care and Living Skills],Table1[Self-Care and Living Skills2]),"")))</f>
        <v/>
      </c>
      <c r="FM472" s="44" t="str">
        <f>IF(Table1[Leaving Date]="","",IF(Table1[Date of Initial Assessment]="","",IF(AND(Table1[Leaving Date]&gt;42094,Table1[Leaving Date]&lt;42461),IF(Table1[Date of Last Assessment]="",Table1[Managing Money and Personal Administration],Table1[Managing Money and Personal Administration2]),"")))</f>
        <v/>
      </c>
      <c r="FN472" s="44" t="str">
        <f>IF(Table1[Leaving Date]="","",IF(Table1[Date of Initial Assessment]="","",IF(AND(Table1[Leaving Date]&gt;42094,Table1[Leaving Date]&lt;42461),IF(Table1[Date of Last Assessment]="",Table1[Social Networks and Relationships],Table1[Social Networks and Relationships2]),"")))</f>
        <v/>
      </c>
      <c r="FO472" s="44" t="str">
        <f>IF(Table1[Leaving Date]="","",IF(Table1[Date of Initial Assessment]="","",IF(AND(Table1[Leaving Date]&gt;42094,Table1[Leaving Date]&lt;42461),IF(Table1[Date of Last Assessment]="",Table1[Drug and Alcohol Misuse],Table1[Drug and Alcohol Misuse2]),"")))</f>
        <v/>
      </c>
      <c r="FP472" s="44" t="str">
        <f>IF(Table1[Leaving Date]="","",IF(Table1[Date of Initial Assessment]="","",IF(AND(Table1[Leaving Date]&gt;42094,Table1[Leaving Date]&lt;42461),IF(Table1[Date of Last Assessment]="",Table1[Physical Health],Table1[Physical Health2]),"")))</f>
        <v/>
      </c>
      <c r="FQ472" s="44" t="str">
        <f>IF(Table1[Leaving Date]="","",IF(Table1[Date of Initial Assessment]="","",IF(AND(Table1[Leaving Date]&gt;42094,Table1[Leaving Date]&lt;42461),IF(Table1[Date of Last Assessment]="",Table1[Emotional and Mental Health],Table1[Emotional and Mental Health2]),"")))</f>
        <v/>
      </c>
      <c r="FR472" s="44" t="str">
        <f>IF(Table1[Leaving Date]="","",IF(Table1[Date of Initial Assessment]="","",IF(AND(Table1[Leaving Date]&gt;42094,Table1[Leaving Date]&lt;42461),IF(Table1[Date of Last Assessment]="",Table1[Meaningful Use of Time],Table1[Meaningful Use of Time2]),"")))</f>
        <v/>
      </c>
      <c r="FS472" s="44" t="str">
        <f>IF(Table1[Leaving Date]="","",IF(Table1[Date of Initial Assessment]="","",IF(AND(Table1[Leaving Date]&gt;42094,Table1[Leaving Date]&lt;42461),IF(Table1[Date of Last Assessment]="",Table1[Managing Tenancy and Accommodation],Table1[Managing Tenancy and Accommodation2]),"")))</f>
        <v/>
      </c>
      <c r="FT472" s="44" t="str">
        <f>IF(Table1[Leaving Date]="","",IF(Table1[Date of Initial Assessment]="","",IF(AND(Table1[Leaving Date]&gt;42094,Table1[Leaving Date]&lt;42461),IF(Table1[Date of Last Assessment]="",Table1[Offending],Table1[Offending2]),"")))</f>
        <v/>
      </c>
      <c r="FU472" s="44" t="str">
        <f>IF(Table1[Date of Initial Assessment]="","",IF(AND(Table1[Start Date]&gt;42460,Table1[Start Date]&lt;42826),Table1[Motivation and Taking Responsibility],""))</f>
        <v/>
      </c>
      <c r="FV472" s="44" t="str">
        <f>IF(Table1[Date of Initial Assessment]="","",IF(AND(Table1[Start Date]&gt;42460,Table1[Start Date]&lt;42826),Table1[Self-Care and Living Skills],""))</f>
        <v/>
      </c>
      <c r="FW472" s="44" t="str">
        <f>IF(Table1[Date of Initial Assessment]="","",IF(AND(Table1[Start Date]&gt;42460,Table1[Start Date]&lt;42826),Table1[Managing Money and Personal Administration],""))</f>
        <v/>
      </c>
      <c r="FX472" s="44" t="str">
        <f>IF(Table1[Date of Initial Assessment]="","",IF(AND(Table1[Start Date]&gt;42460,Table1[Start Date]&lt;42826),Table1[Social Networks and Relationships],""))</f>
        <v/>
      </c>
      <c r="FY472" s="44" t="str">
        <f>IF(Table1[Date of Initial Assessment]="","",IF(AND(Table1[Start Date]&gt;42460,Table1[Start Date]&lt;42826),Table1[Drug and Alcohol Misuse],""))</f>
        <v/>
      </c>
      <c r="FZ472" s="44" t="str">
        <f>IF(Table1[Date of Initial Assessment]="","",IF(AND(Table1[Start Date]&gt;42460,Table1[Start Date]&lt;42826),Table1[Physical Health],""))</f>
        <v/>
      </c>
      <c r="GA472" s="44" t="str">
        <f>IF(Table1[Date of Initial Assessment]="","",IF(AND(Table1[Start Date]&gt;42460,Table1[Start Date]&lt;42826),Table1[Emotional and Mental Health],""))</f>
        <v/>
      </c>
      <c r="GB472" s="44" t="str">
        <f>IF(Table1[Date of Initial Assessment]="","",IF(AND(Table1[Start Date]&gt;42460,Table1[Start Date]&lt;42826),Table1[Meaningful Use of Time],""))</f>
        <v/>
      </c>
      <c r="GC472" s="44" t="str">
        <f>IF(Table1[Date of Initial Assessment]="","",IF(AND(Table1[Start Date]&gt;42460,Table1[Start Date]&lt;42826),Table1[Managing Tenancy and Accommodation],""))</f>
        <v/>
      </c>
      <c r="GD472" s="44" t="str">
        <f>IF(Table1[Date of Initial Assessment]="","",IF(AND(Table1[Start Date]&gt;42460,Table1[Start Date]&lt;42826),Table1[Offending],""))</f>
        <v/>
      </c>
      <c r="GE472" s="44" t="str">
        <f>IF(Table1[Leaving Date]="","",IF(AND(Table1[Leaving Date]&gt;42460,Table1[Leaving Date]&lt;42826),IF(Table1[Date of Last Assessment]="",Table1[Motivation and Taking Responsibility],Table1[Motivation and Taking Responsibility2]),""))</f>
        <v/>
      </c>
      <c r="GF472" s="44" t="str">
        <f>IF(Table1[Leaving Date]="","",IF(AND(Table1[Leaving Date]&gt;42460,Table1[Leaving Date]&lt;42826),IF(Table1[Date of Last Assessment]="",Table1[Self-Care and Living Skills],Table1[Self-Care and Living Skills2]),""))</f>
        <v/>
      </c>
      <c r="GG472" s="44" t="str">
        <f>IF(Table1[Leaving Date]="","",IF(AND(Table1[Leaving Date]&gt;42460,Table1[Leaving Date]&lt;42826),IF(Table1[Date of Last Assessment]="",Table1[Managing Money and Personal Administration],Table1[Managing Money and Personal Administration2]),""))</f>
        <v/>
      </c>
      <c r="GH472" s="44" t="str">
        <f>IF(Table1[Leaving Date]="","",IF(AND(Table1[Leaving Date]&gt;42460,Table1[Leaving Date]&lt;42826),IF(Table1[Date of Last Assessment]="",Table1[Social Networks and Relationships],Table1[Social Networks and Relationships2]),""))</f>
        <v/>
      </c>
      <c r="GI472" s="44" t="str">
        <f>IF(Table1[Leaving Date]="","",IF(AND(Table1[Leaving Date]&gt;42460,Table1[Leaving Date]&lt;42826),IF(Table1[Date of Last Assessment]="",Table1[Drug and Alcohol Misuse],Table1[Drug and Alcohol Misuse2]),""))</f>
        <v/>
      </c>
      <c r="GJ472" s="44" t="str">
        <f>IF(Table1[Leaving Date]="","",IF(AND(Table1[Leaving Date]&gt;42460,Table1[Leaving Date]&lt;42826),IF(Table1[Date of Last Assessment]="",Table1[Physical Health],Table1[Physical Health2]),""))</f>
        <v/>
      </c>
      <c r="GK472" s="44" t="str">
        <f>IF(Table1[Leaving Date]="","",IF(AND(Table1[Leaving Date]&gt;42460,Table1[Leaving Date]&lt;42826),IF(Table1[Date of Last Assessment]="",Table1[Emotional and Mental Health],Table1[Emotional and Mental Health2]),""))</f>
        <v/>
      </c>
      <c r="GL472" s="44" t="str">
        <f>IF(Table1[Leaving Date]="","",IF(AND(Table1[Leaving Date]&gt;42460,Table1[Leaving Date]&lt;42826),IF(Table1[Date of Last Assessment]="",Table1[Meaningful Use of Time],Table1[Meaningful Use of Time2]),""))</f>
        <v/>
      </c>
      <c r="GM472" s="44" t="str">
        <f>IF(Table1[Leaving Date]="","",IF(AND(Table1[Leaving Date]&gt;42460,Table1[Leaving Date]&lt;42826),IF(Table1[Date of Last Assessment]="",Table1[Managing Tenancy and Accommodation],Table1[Managing Tenancy and Accommodation2]),""))</f>
        <v/>
      </c>
      <c r="GN472" s="44" t="str">
        <f>IF(Table1[Leaving Date]="","",IF(AND(Table1[Leaving Date]&gt;42460,Table1[Leaving Date]&lt;42826),IF(Table1[Date of Last Assessment]="",Table1[Offending],Table1[Offending2]),""))</f>
        <v/>
      </c>
    </row>
    <row r="473" spans="2:196" ht="20.100000000000001" customHeight="1" x14ac:dyDescent="0.2">
      <c r="B473" s="86">
        <f>+'Service Data'!$C$5:$C$5</f>
        <v>0</v>
      </c>
      <c r="C473" s="86"/>
      <c r="D473" s="86"/>
      <c r="E473" s="86"/>
      <c r="F473" s="86"/>
      <c r="G473" s="86"/>
      <c r="H473" s="6"/>
      <c r="I473" s="99" t="str">
        <f ca="1">IF(Table1[[#This Row],[Date of Birth]]="","",SUM(TODAY()-Table1[[#This Row],[Date of Birth]])/365)</f>
        <v/>
      </c>
      <c r="L473" s="86"/>
      <c r="M473" s="77"/>
      <c r="N473" s="86"/>
      <c r="O473" s="86"/>
      <c r="P473" s="91"/>
      <c r="Q473" s="86"/>
      <c r="R473" s="77"/>
      <c r="S473" s="77"/>
      <c r="T473" s="68"/>
      <c r="U473" s="68"/>
      <c r="V473" s="67"/>
      <c r="W473" s="67"/>
      <c r="X473" s="67"/>
      <c r="Y473" s="67"/>
      <c r="Z473" s="67"/>
      <c r="AA473" s="67"/>
      <c r="AB473" s="67"/>
      <c r="AC473" s="67"/>
      <c r="AD473" s="67"/>
      <c r="AE473" s="67"/>
      <c r="AF473" s="67"/>
      <c r="AG473" s="67"/>
      <c r="AH473" s="67"/>
      <c r="AI473" s="67"/>
      <c r="AJ473" s="67"/>
      <c r="AK473" s="67"/>
      <c r="AL473" s="67"/>
      <c r="AM473" s="67"/>
      <c r="AN473" s="77"/>
      <c r="AO473" s="76"/>
      <c r="AP473" s="77"/>
      <c r="AQ473" s="76"/>
      <c r="AR473" s="76"/>
      <c r="AS473" s="76"/>
      <c r="AT473" s="76"/>
      <c r="AU473" s="76"/>
      <c r="AV473" s="77"/>
      <c r="AW473" s="76"/>
      <c r="AX473" s="77"/>
      <c r="AY473" s="76"/>
      <c r="AZ473" s="76"/>
      <c r="BA473" s="76"/>
      <c r="BB473" s="76"/>
      <c r="BC473" s="76"/>
      <c r="BD473" s="77"/>
      <c r="BE473" s="76"/>
      <c r="BF473" s="77"/>
      <c r="BG473" s="76"/>
      <c r="BH473" s="76"/>
      <c r="BI473" s="76"/>
      <c r="BJ473" s="76"/>
      <c r="BK473" s="76"/>
      <c r="BL473" s="77"/>
      <c r="BM473" s="76"/>
      <c r="BN473" s="77"/>
      <c r="BO473" s="76"/>
      <c r="BP473" s="76"/>
      <c r="BQ473" s="76"/>
      <c r="BR473" s="76"/>
      <c r="BS473" s="76"/>
      <c r="BT473" s="77"/>
      <c r="BU473" s="76"/>
      <c r="BV473" s="77"/>
      <c r="BW473" s="76"/>
      <c r="BX473" s="76"/>
      <c r="BY473" s="76"/>
      <c r="BZ473" s="76"/>
      <c r="CA473" s="76"/>
      <c r="CB473" s="77"/>
      <c r="CC473" s="76"/>
      <c r="CD473" s="77"/>
      <c r="CE473" s="76"/>
      <c r="CF473" s="76"/>
      <c r="CG473" s="76"/>
      <c r="CH473" s="76"/>
      <c r="CI473" s="76"/>
      <c r="CJ473" s="77"/>
      <c r="CK473" s="76"/>
      <c r="CL473" s="77"/>
      <c r="CM473" s="76"/>
      <c r="CN473" s="76"/>
      <c r="CO473" s="76"/>
      <c r="CP473" s="76"/>
      <c r="CQ473" s="76"/>
      <c r="CR473" s="78" t="str">
        <f t="shared" si="127"/>
        <v/>
      </c>
      <c r="CS473" s="79" t="str">
        <f t="shared" si="128"/>
        <v/>
      </c>
      <c r="CT473" s="79" t="str">
        <f t="shared" si="129"/>
        <v/>
      </c>
      <c r="CU473" s="79" t="str">
        <f t="shared" si="130"/>
        <v/>
      </c>
      <c r="CV473" s="79" t="str">
        <f t="shared" si="131"/>
        <v/>
      </c>
      <c r="CW473" s="79" t="str">
        <f t="shared" si="132"/>
        <v/>
      </c>
      <c r="CX473" s="79" t="str">
        <f t="shared" si="133"/>
        <v/>
      </c>
      <c r="CY473" s="79" t="str">
        <f t="shared" si="134"/>
        <v/>
      </c>
      <c r="CZ473" s="79" t="str">
        <f t="shared" si="135"/>
        <v/>
      </c>
      <c r="DA473" s="79" t="str">
        <f t="shared" si="136"/>
        <v/>
      </c>
      <c r="DB473" s="79" t="str">
        <f t="shared" si="137"/>
        <v/>
      </c>
      <c r="DC473" s="79" t="str">
        <f t="shared" si="138"/>
        <v/>
      </c>
      <c r="DD473" s="79" t="str">
        <f t="shared" si="139"/>
        <v/>
      </c>
      <c r="DE473" s="79" t="str">
        <f t="shared" si="140"/>
        <v/>
      </c>
      <c r="DF473" s="79" t="str">
        <f t="shared" si="141"/>
        <v/>
      </c>
      <c r="DG473" s="79" t="str">
        <f t="shared" si="142"/>
        <v/>
      </c>
      <c r="DH473" s="76"/>
      <c r="DI473" s="78"/>
      <c r="DJ473" s="76"/>
      <c r="DK473" s="77"/>
      <c r="DL473" s="77"/>
      <c r="DM473" s="77"/>
      <c r="DN473" s="80"/>
      <c r="DO473" s="80"/>
      <c r="DP473" s="92" t="str">
        <f>IF(Table1[Start Date]="","",IF(Table1[Start Date]&gt;42185,"",IF(AND(Table1[Leaving Date]&gt;1,Table1[Leaving Date]&lt;42095),"",1)))</f>
        <v/>
      </c>
      <c r="DQ473" s="92" t="str">
        <f>IF(Table1[Start Date]="","",IF(Table1[Start Date]&gt;42277,"",IF(AND(Table1[Leaving Date]&gt;1,Table1[Leaving Date]&lt;42186),"",1)))</f>
        <v/>
      </c>
      <c r="DR473" s="92" t="str">
        <f>IF(Table1[Start Date]="","",IF(Table1[Start Date]&gt;42369,"",IF(AND(Table1[Leaving Date]&gt;1,Table1[Leaving Date]&lt;42278),"",1)))</f>
        <v/>
      </c>
      <c r="DS473" s="92" t="str">
        <f>IF(Table1[Start Date]="","",IF(Table1[Start Date]&gt;42460,"",IF(AND(Table1[Leaving Date]&gt;1,Table1[Leaving Date]&lt;42370),"",1)))</f>
        <v/>
      </c>
      <c r="DT473" s="92" t="str">
        <f>IF(Table1[Start Date]="","",IF(Table1[Start Date]&gt;42551,"",IF(AND(Table1[Leaving Date]&gt;1,Table1[Leaving Date]&lt;42461),"",1)))</f>
        <v/>
      </c>
      <c r="DU473" s="92" t="str">
        <f>IF(Table1[Start Date]="","",IF(Table1[Start Date]&gt;42643,"",IF(AND(Table1[Leaving Date]&gt;1,Table1[Leaving Date]&lt;42552),"",1)))</f>
        <v/>
      </c>
      <c r="DV473" s="92" t="str">
        <f>IF(Table1[Start Date]="","",IF(Table1[Start Date]&gt;42735,"",IF(AND(Table1[Leaving Date]&gt;1,Table1[Leaving Date]&lt;42644),"",1)))</f>
        <v/>
      </c>
      <c r="DW473" s="92" t="str">
        <f>IF(Table1[Start Date]="","",IF(Table1[Start Date]&gt;42825,"",IF(AND(Table1[Leaving Date]&gt;1,Table1[Leaving Date]&lt;42736),"",1)))</f>
        <v/>
      </c>
      <c r="DX473"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473" s="44" t="e">
        <f>VLOOKUP(Table1[Referral Source],Lists!$G$2:$H$20,2,FALSE)</f>
        <v>#N/A</v>
      </c>
      <c r="DZ473" s="93" t="e">
        <f>SUM(Table1[Data Referral Quarter]+Table1[Data Referral Source])</f>
        <v>#N/A</v>
      </c>
      <c r="EA473" s="44" t="b">
        <f>IF(Table1[Referral Decision]="Accepted",100,IF(Table1[Referral Decision]="Rejected by Provider",200,IF(Table1[Referral Decision]="Rejected by Applicant",300)))</f>
        <v>0</v>
      </c>
      <c r="EB473" s="44">
        <f>SUM(Table1[Data Referral Quarter]+Table1[Data Referral Decision])</f>
        <v>0</v>
      </c>
      <c r="EC473" s="44" t="b">
        <f>IF(Table1[Start Date]&gt;42735,8000,IF(Table1[Start Date]&gt;42643,7000,IF(Table1[Start Date]&gt;42551,6000,IF(Table1[Start Date]&gt;42460,5000,IF(Table1[Start Date]&gt;42369,4000,IF(Table1[Start Date]&gt;42277,3000,IF(Table1[Start Date]&gt;42185,2000,IF(Table1[Start Date]&gt;42094,1000))))))))</f>
        <v>0</v>
      </c>
      <c r="ED473" s="44" t="str">
        <f>IF(Table1[Start Date]="","",IF(Table1[Current Local Authority]="Swindon",1,"2"))</f>
        <v/>
      </c>
      <c r="EE473" s="44" t="e">
        <f>SUM(Table1[Data Start Date]+Table1[Data Local Authority])</f>
        <v>#VALUE!</v>
      </c>
      <c r="EF473" s="44">
        <f>IF(Table1[Registered with GP]="Yes",1,0)</f>
        <v>0</v>
      </c>
      <c r="EG473" s="44">
        <f>SUM(Table1[Data Start Date]+Table1[Data GP Start])</f>
        <v>0</v>
      </c>
      <c r="EH473" s="44" t="str">
        <f>IF(Table1[EET]="NEET",1,IF(Table1[EET]="Education",2,IF(Table1[EET]="Employment",2,IF(Table1[EET]="Training",2,IF(Table1[EET]="Retired",3,"")))))</f>
        <v/>
      </c>
      <c r="EI473" s="44" t="e">
        <f>Table1[Data Start Date]+Table1[Data EET Start]</f>
        <v>#VALUE!</v>
      </c>
      <c r="EJ473" s="44" t="b">
        <f>IF(Table1[Leaving Date]&gt;42735,8000,IF(Table1[Leaving Date]&gt;42643,7000,IF(Table1[Leaving Date]&gt;42551,6000,IF(Table1[Leaving Date]&gt;42460,5000,IF(Table1[Leaving Date]&gt;42369,4000,IF(Table1[Leaving Date]&gt;42277,3000,IF(Table1[Leaving Date]&gt;42185,2000,IF(Table1[Leaving Date]&gt;42094,1000))))))))</f>
        <v>0</v>
      </c>
      <c r="EK473" s="44" t="e">
        <f>VLOOKUP(Table1[Reason for Leaving],Lists!$T$2:$U$15,2,FALSE)</f>
        <v>#N/A</v>
      </c>
      <c r="EL473" s="44" t="e">
        <f>SUM(Table1[Data Leavers Date]+Table1[Data Move On])</f>
        <v>#N/A</v>
      </c>
      <c r="EM473" s="44" t="b">
        <f>IF(Table1[Registered with GP2]="Yes",1,IF(Table1[Registered with GP2]="No",0,IF(Table1[Registered with GP]="Yes",1,IF(Table1[Registered with GP]="No",0))))</f>
        <v>0</v>
      </c>
      <c r="EN473" s="44">
        <f>SUM(Table1[Data Leavers Date]+Table1[Data GP End])</f>
        <v>0</v>
      </c>
      <c r="EO473" s="44" t="str">
        <f>IF(Table1[EET2]="NEET",1,IF(Table1[EET2]="Employment",2,IF(Table1[EET2]="Education",2,IF(Table1[EET2]="Training",2,IF(Table1[EET2]="Retired",3,IF(Table1[EET]="NEET",1,IF(Table1[EET]="Employment",2,IF(Table1[EET]="Education",2,IF(Table1[EET]="Training",2,IF(Table1[EET]="Retired",3,""))))))))))</f>
        <v/>
      </c>
      <c r="EP473" s="44" t="e">
        <f>+Table1[[#This Row],[Data Leavers Date]]+Table1[[#This Row],[Data EET End]]</f>
        <v>#VALUE!</v>
      </c>
      <c r="EQ473" s="44">
        <f>IF(Table1[Exit Form Received]="Yes",1,0)</f>
        <v>0</v>
      </c>
      <c r="ER473" s="44">
        <f>+Table1[[#This Row],[Data Leavers Date]]+Table1[[#This Row],[Data Exit Forms]]</f>
        <v>0</v>
      </c>
      <c r="ES473" s="44" t="str">
        <f>IF(Table1[Data Leavers Date]=1000,SUM(Table1[Leaving Date]-Table1[Start Date]),"")</f>
        <v/>
      </c>
      <c r="ET473" s="44" t="str">
        <f>IF(Table1[Data Leavers Date]=2000,SUM(Table1[Leaving Date]-Table1[Start Date]),"")</f>
        <v/>
      </c>
      <c r="EU473" s="44" t="str">
        <f>IF(Table1[Data Leavers Date]=3000,SUM(Table1[Leaving Date]-Table1[Start Date]),"")</f>
        <v/>
      </c>
      <c r="EV473" s="44" t="str">
        <f>IF(Table1[Data Leavers Date]=4000,SUM(Table1[Leaving Date]-Table1[Start Date]),"")</f>
        <v/>
      </c>
      <c r="EW473" s="44" t="str">
        <f>IF(Table1[Data Leavers Date]=5000,SUM(Table1[Leaving Date]-Table1[Start Date]),"")</f>
        <v/>
      </c>
      <c r="EX473" s="44" t="str">
        <f>IF(Table1[Data Leavers Date]=6000,SUM(Table1[Leaving Date]-Table1[Start Date]),"")</f>
        <v/>
      </c>
      <c r="EY473" s="44" t="str">
        <f>IF(Table1[Data Leavers Date]=7000,SUM(Table1[Leaving Date]-Table1[Start Date]),"")</f>
        <v/>
      </c>
      <c r="EZ473" s="44" t="str">
        <f>IF(Table1[Data Leavers Date]=8000,SUM(Table1[Leaving Date]-Table1[Start Date]),"")</f>
        <v/>
      </c>
      <c r="FA473" s="44" t="str">
        <f>IF(Table1[Date of Initial Assessment]="","",IF(AND(Table1[Start Date]&gt;42094,Table1[Start Date]&lt;42461),Table1[Motivation and Taking Responsibility],""))</f>
        <v/>
      </c>
      <c r="FB473" s="44" t="str">
        <f>IF(Table1[Date of Initial Assessment]="","",IF(AND(Table1[Start Date]&gt;42094,Table1[Start Date]&lt;42461),Table1[Self-Care and Living Skills],""))</f>
        <v/>
      </c>
      <c r="FC473" s="44" t="str">
        <f>IF(Table1[Date of Initial Assessment]="","",IF(AND(Table1[Start Date]&gt;42094,Table1[Start Date]&lt;42461),Table1[Managing Money and Personal Administration],""))</f>
        <v/>
      </c>
      <c r="FD473" s="44" t="str">
        <f>IF(Table1[Date of Initial Assessment]="","",IF(AND(Table1[Start Date]&gt;42094,Table1[Start Date]&lt;42461),Table1[Social Networks and Relationships],""))</f>
        <v/>
      </c>
      <c r="FE473" s="44" t="str">
        <f>IF(Table1[Date of Initial Assessment]="","",IF(AND(Table1[Start Date]&gt;42094,Table1[Start Date]&lt;42461),Table1[Drug and Alcohol Misuse],""))</f>
        <v/>
      </c>
      <c r="FF473" s="44" t="str">
        <f>IF(Table1[Date of Initial Assessment]="","",IF(AND(Table1[Start Date]&gt;42094,Table1[Start Date]&lt;42461),Table1[Physical Health],""))</f>
        <v/>
      </c>
      <c r="FG473" s="44" t="str">
        <f>IF(Table1[Date of Initial Assessment]="","",IF(AND(Table1[Start Date]&gt;42094,Table1[Start Date]&lt;42461),Table1[Emotional and Mental Health],""))</f>
        <v/>
      </c>
      <c r="FH473" s="44" t="str">
        <f>IF(Table1[Date of Initial Assessment]="","",IF(AND(Table1[Start Date]&gt;42094,Table1[Start Date]&lt;42461),Table1[Meaningful Use of Time],""))</f>
        <v/>
      </c>
      <c r="FI473" s="44" t="str">
        <f>IF(Table1[Date of Initial Assessment]="","",IF(AND(Table1[Start Date]&gt;42094,Table1[Start Date]&lt;42461),Table1[Managing Tenancy and Accommodation],""))</f>
        <v/>
      </c>
      <c r="FJ473" s="44" t="str">
        <f>IF(Table1[Date of Initial Assessment]="","",IF(AND(Table1[Start Date]&gt;42094,Table1[Start Date]&lt;42461),Table1[Offending],""))</f>
        <v/>
      </c>
      <c r="FK473" s="44" t="str">
        <f>IF(Table1[Leaving Date]="","",IF(Table1[Date of Initial Assessment]="","",IF(AND(Table1[Leaving Date]&gt;42094,Table1[Leaving Date]&lt;42461),IF(Table1[Date of Last Assessment]="",Table1[Motivation and Taking Responsibility],Table1[Motivation and Taking Responsibility2]),"")))</f>
        <v/>
      </c>
      <c r="FL473" s="44" t="str">
        <f>IF(Table1[Leaving Date]="","",IF(Table1[Date of Initial Assessment]="","",IF(AND(Table1[Leaving Date]&gt;42094,Table1[Leaving Date]&lt;42461),IF(Table1[Date of Last Assessment]="",Table1[Self-Care and Living Skills],Table1[Self-Care and Living Skills2]),"")))</f>
        <v/>
      </c>
      <c r="FM473" s="44" t="str">
        <f>IF(Table1[Leaving Date]="","",IF(Table1[Date of Initial Assessment]="","",IF(AND(Table1[Leaving Date]&gt;42094,Table1[Leaving Date]&lt;42461),IF(Table1[Date of Last Assessment]="",Table1[Managing Money and Personal Administration],Table1[Managing Money and Personal Administration2]),"")))</f>
        <v/>
      </c>
      <c r="FN473" s="44" t="str">
        <f>IF(Table1[Leaving Date]="","",IF(Table1[Date of Initial Assessment]="","",IF(AND(Table1[Leaving Date]&gt;42094,Table1[Leaving Date]&lt;42461),IF(Table1[Date of Last Assessment]="",Table1[Social Networks and Relationships],Table1[Social Networks and Relationships2]),"")))</f>
        <v/>
      </c>
      <c r="FO473" s="44" t="str">
        <f>IF(Table1[Leaving Date]="","",IF(Table1[Date of Initial Assessment]="","",IF(AND(Table1[Leaving Date]&gt;42094,Table1[Leaving Date]&lt;42461),IF(Table1[Date of Last Assessment]="",Table1[Drug and Alcohol Misuse],Table1[Drug and Alcohol Misuse2]),"")))</f>
        <v/>
      </c>
      <c r="FP473" s="44" t="str">
        <f>IF(Table1[Leaving Date]="","",IF(Table1[Date of Initial Assessment]="","",IF(AND(Table1[Leaving Date]&gt;42094,Table1[Leaving Date]&lt;42461),IF(Table1[Date of Last Assessment]="",Table1[Physical Health],Table1[Physical Health2]),"")))</f>
        <v/>
      </c>
      <c r="FQ473" s="44" t="str">
        <f>IF(Table1[Leaving Date]="","",IF(Table1[Date of Initial Assessment]="","",IF(AND(Table1[Leaving Date]&gt;42094,Table1[Leaving Date]&lt;42461),IF(Table1[Date of Last Assessment]="",Table1[Emotional and Mental Health],Table1[Emotional and Mental Health2]),"")))</f>
        <v/>
      </c>
      <c r="FR473" s="44" t="str">
        <f>IF(Table1[Leaving Date]="","",IF(Table1[Date of Initial Assessment]="","",IF(AND(Table1[Leaving Date]&gt;42094,Table1[Leaving Date]&lt;42461),IF(Table1[Date of Last Assessment]="",Table1[Meaningful Use of Time],Table1[Meaningful Use of Time2]),"")))</f>
        <v/>
      </c>
      <c r="FS473" s="44" t="str">
        <f>IF(Table1[Leaving Date]="","",IF(Table1[Date of Initial Assessment]="","",IF(AND(Table1[Leaving Date]&gt;42094,Table1[Leaving Date]&lt;42461),IF(Table1[Date of Last Assessment]="",Table1[Managing Tenancy and Accommodation],Table1[Managing Tenancy and Accommodation2]),"")))</f>
        <v/>
      </c>
      <c r="FT473" s="44" t="str">
        <f>IF(Table1[Leaving Date]="","",IF(Table1[Date of Initial Assessment]="","",IF(AND(Table1[Leaving Date]&gt;42094,Table1[Leaving Date]&lt;42461),IF(Table1[Date of Last Assessment]="",Table1[Offending],Table1[Offending2]),"")))</f>
        <v/>
      </c>
      <c r="FU473" s="44" t="str">
        <f>IF(Table1[Date of Initial Assessment]="","",IF(AND(Table1[Start Date]&gt;42460,Table1[Start Date]&lt;42826),Table1[Motivation and Taking Responsibility],""))</f>
        <v/>
      </c>
      <c r="FV473" s="44" t="str">
        <f>IF(Table1[Date of Initial Assessment]="","",IF(AND(Table1[Start Date]&gt;42460,Table1[Start Date]&lt;42826),Table1[Self-Care and Living Skills],""))</f>
        <v/>
      </c>
      <c r="FW473" s="44" t="str">
        <f>IF(Table1[Date of Initial Assessment]="","",IF(AND(Table1[Start Date]&gt;42460,Table1[Start Date]&lt;42826),Table1[Managing Money and Personal Administration],""))</f>
        <v/>
      </c>
      <c r="FX473" s="44" t="str">
        <f>IF(Table1[Date of Initial Assessment]="","",IF(AND(Table1[Start Date]&gt;42460,Table1[Start Date]&lt;42826),Table1[Social Networks and Relationships],""))</f>
        <v/>
      </c>
      <c r="FY473" s="44" t="str">
        <f>IF(Table1[Date of Initial Assessment]="","",IF(AND(Table1[Start Date]&gt;42460,Table1[Start Date]&lt;42826),Table1[Drug and Alcohol Misuse],""))</f>
        <v/>
      </c>
      <c r="FZ473" s="44" t="str">
        <f>IF(Table1[Date of Initial Assessment]="","",IF(AND(Table1[Start Date]&gt;42460,Table1[Start Date]&lt;42826),Table1[Physical Health],""))</f>
        <v/>
      </c>
      <c r="GA473" s="44" t="str">
        <f>IF(Table1[Date of Initial Assessment]="","",IF(AND(Table1[Start Date]&gt;42460,Table1[Start Date]&lt;42826),Table1[Emotional and Mental Health],""))</f>
        <v/>
      </c>
      <c r="GB473" s="44" t="str">
        <f>IF(Table1[Date of Initial Assessment]="","",IF(AND(Table1[Start Date]&gt;42460,Table1[Start Date]&lt;42826),Table1[Meaningful Use of Time],""))</f>
        <v/>
      </c>
      <c r="GC473" s="44" t="str">
        <f>IF(Table1[Date of Initial Assessment]="","",IF(AND(Table1[Start Date]&gt;42460,Table1[Start Date]&lt;42826),Table1[Managing Tenancy and Accommodation],""))</f>
        <v/>
      </c>
      <c r="GD473" s="44" t="str">
        <f>IF(Table1[Date of Initial Assessment]="","",IF(AND(Table1[Start Date]&gt;42460,Table1[Start Date]&lt;42826),Table1[Offending],""))</f>
        <v/>
      </c>
      <c r="GE473" s="44" t="str">
        <f>IF(Table1[Leaving Date]="","",IF(AND(Table1[Leaving Date]&gt;42460,Table1[Leaving Date]&lt;42826),IF(Table1[Date of Last Assessment]="",Table1[Motivation and Taking Responsibility],Table1[Motivation and Taking Responsibility2]),""))</f>
        <v/>
      </c>
      <c r="GF473" s="44" t="str">
        <f>IF(Table1[Leaving Date]="","",IF(AND(Table1[Leaving Date]&gt;42460,Table1[Leaving Date]&lt;42826),IF(Table1[Date of Last Assessment]="",Table1[Self-Care and Living Skills],Table1[Self-Care and Living Skills2]),""))</f>
        <v/>
      </c>
      <c r="GG473" s="44" t="str">
        <f>IF(Table1[Leaving Date]="","",IF(AND(Table1[Leaving Date]&gt;42460,Table1[Leaving Date]&lt;42826),IF(Table1[Date of Last Assessment]="",Table1[Managing Money and Personal Administration],Table1[Managing Money and Personal Administration2]),""))</f>
        <v/>
      </c>
      <c r="GH473" s="44" t="str">
        <f>IF(Table1[Leaving Date]="","",IF(AND(Table1[Leaving Date]&gt;42460,Table1[Leaving Date]&lt;42826),IF(Table1[Date of Last Assessment]="",Table1[Social Networks and Relationships],Table1[Social Networks and Relationships2]),""))</f>
        <v/>
      </c>
      <c r="GI473" s="44" t="str">
        <f>IF(Table1[Leaving Date]="","",IF(AND(Table1[Leaving Date]&gt;42460,Table1[Leaving Date]&lt;42826),IF(Table1[Date of Last Assessment]="",Table1[Drug and Alcohol Misuse],Table1[Drug and Alcohol Misuse2]),""))</f>
        <v/>
      </c>
      <c r="GJ473" s="44" t="str">
        <f>IF(Table1[Leaving Date]="","",IF(AND(Table1[Leaving Date]&gt;42460,Table1[Leaving Date]&lt;42826),IF(Table1[Date of Last Assessment]="",Table1[Physical Health],Table1[Physical Health2]),""))</f>
        <v/>
      </c>
      <c r="GK473" s="44" t="str">
        <f>IF(Table1[Leaving Date]="","",IF(AND(Table1[Leaving Date]&gt;42460,Table1[Leaving Date]&lt;42826),IF(Table1[Date of Last Assessment]="",Table1[Emotional and Mental Health],Table1[Emotional and Mental Health2]),""))</f>
        <v/>
      </c>
      <c r="GL473" s="44" t="str">
        <f>IF(Table1[Leaving Date]="","",IF(AND(Table1[Leaving Date]&gt;42460,Table1[Leaving Date]&lt;42826),IF(Table1[Date of Last Assessment]="",Table1[Meaningful Use of Time],Table1[Meaningful Use of Time2]),""))</f>
        <v/>
      </c>
      <c r="GM473" s="44" t="str">
        <f>IF(Table1[Leaving Date]="","",IF(AND(Table1[Leaving Date]&gt;42460,Table1[Leaving Date]&lt;42826),IF(Table1[Date of Last Assessment]="",Table1[Managing Tenancy and Accommodation],Table1[Managing Tenancy and Accommodation2]),""))</f>
        <v/>
      </c>
      <c r="GN473" s="44" t="str">
        <f>IF(Table1[Leaving Date]="","",IF(AND(Table1[Leaving Date]&gt;42460,Table1[Leaving Date]&lt;42826),IF(Table1[Date of Last Assessment]="",Table1[Offending],Table1[Offending2]),""))</f>
        <v/>
      </c>
    </row>
    <row r="474" spans="2:196" ht="20.100000000000001" customHeight="1" x14ac:dyDescent="0.2">
      <c r="B474" s="86">
        <f>+'Service Data'!$C$5:$C$5</f>
        <v>0</v>
      </c>
      <c r="C474" s="86"/>
      <c r="D474" s="86"/>
      <c r="E474" s="86"/>
      <c r="F474" s="86"/>
      <c r="G474" s="86"/>
      <c r="H474" s="6"/>
      <c r="I474" s="99" t="str">
        <f ca="1">IF(Table1[[#This Row],[Date of Birth]]="","",SUM(TODAY()-Table1[[#This Row],[Date of Birth]])/365)</f>
        <v/>
      </c>
      <c r="L474" s="86"/>
      <c r="M474" s="77"/>
      <c r="N474" s="86"/>
      <c r="O474" s="86"/>
      <c r="P474" s="91"/>
      <c r="Q474" s="86"/>
      <c r="R474" s="77"/>
      <c r="S474" s="77"/>
      <c r="T474" s="68"/>
      <c r="U474" s="68"/>
      <c r="V474" s="67"/>
      <c r="W474" s="67"/>
      <c r="X474" s="67"/>
      <c r="Y474" s="67"/>
      <c r="Z474" s="67"/>
      <c r="AA474" s="67"/>
      <c r="AB474" s="67"/>
      <c r="AC474" s="67"/>
      <c r="AD474" s="67"/>
      <c r="AE474" s="67"/>
      <c r="AF474" s="67"/>
      <c r="AG474" s="67"/>
      <c r="AH474" s="67"/>
      <c r="AI474" s="67"/>
      <c r="AJ474" s="67"/>
      <c r="AK474" s="67"/>
      <c r="AL474" s="67"/>
      <c r="AM474" s="67"/>
      <c r="AN474" s="77"/>
      <c r="AO474" s="76"/>
      <c r="AP474" s="77"/>
      <c r="AQ474" s="76"/>
      <c r="AR474" s="76"/>
      <c r="AS474" s="76"/>
      <c r="AT474" s="76"/>
      <c r="AU474" s="76"/>
      <c r="AV474" s="77"/>
      <c r="AW474" s="76"/>
      <c r="AX474" s="77"/>
      <c r="AY474" s="76"/>
      <c r="AZ474" s="76"/>
      <c r="BA474" s="76"/>
      <c r="BB474" s="76"/>
      <c r="BC474" s="76"/>
      <c r="BD474" s="77"/>
      <c r="BE474" s="76"/>
      <c r="BF474" s="77"/>
      <c r="BG474" s="76"/>
      <c r="BH474" s="76"/>
      <c r="BI474" s="76"/>
      <c r="BJ474" s="76"/>
      <c r="BK474" s="76"/>
      <c r="BL474" s="77"/>
      <c r="BM474" s="76"/>
      <c r="BN474" s="77"/>
      <c r="BO474" s="76"/>
      <c r="BP474" s="76"/>
      <c r="BQ474" s="76"/>
      <c r="BR474" s="76"/>
      <c r="BS474" s="76"/>
      <c r="BT474" s="77"/>
      <c r="BU474" s="76"/>
      <c r="BV474" s="77"/>
      <c r="BW474" s="76"/>
      <c r="BX474" s="76"/>
      <c r="BY474" s="76"/>
      <c r="BZ474" s="76"/>
      <c r="CA474" s="76"/>
      <c r="CB474" s="77"/>
      <c r="CC474" s="76"/>
      <c r="CD474" s="77"/>
      <c r="CE474" s="76"/>
      <c r="CF474" s="76"/>
      <c r="CG474" s="76"/>
      <c r="CH474" s="76"/>
      <c r="CI474" s="76"/>
      <c r="CJ474" s="77"/>
      <c r="CK474" s="76"/>
      <c r="CL474" s="77"/>
      <c r="CM474" s="76"/>
      <c r="CN474" s="76"/>
      <c r="CO474" s="76"/>
      <c r="CP474" s="76"/>
      <c r="CQ474" s="76"/>
      <c r="CR474" s="78" t="str">
        <f t="shared" si="127"/>
        <v/>
      </c>
      <c r="CS474" s="79" t="str">
        <f t="shared" si="128"/>
        <v/>
      </c>
      <c r="CT474" s="79" t="str">
        <f t="shared" si="129"/>
        <v/>
      </c>
      <c r="CU474" s="79" t="str">
        <f t="shared" si="130"/>
        <v/>
      </c>
      <c r="CV474" s="79" t="str">
        <f t="shared" si="131"/>
        <v/>
      </c>
      <c r="CW474" s="79" t="str">
        <f t="shared" si="132"/>
        <v/>
      </c>
      <c r="CX474" s="79" t="str">
        <f t="shared" si="133"/>
        <v/>
      </c>
      <c r="CY474" s="79" t="str">
        <f t="shared" si="134"/>
        <v/>
      </c>
      <c r="CZ474" s="79" t="str">
        <f t="shared" si="135"/>
        <v/>
      </c>
      <c r="DA474" s="79" t="str">
        <f t="shared" si="136"/>
        <v/>
      </c>
      <c r="DB474" s="79" t="str">
        <f t="shared" si="137"/>
        <v/>
      </c>
      <c r="DC474" s="79" t="str">
        <f t="shared" si="138"/>
        <v/>
      </c>
      <c r="DD474" s="79" t="str">
        <f t="shared" si="139"/>
        <v/>
      </c>
      <c r="DE474" s="79" t="str">
        <f t="shared" si="140"/>
        <v/>
      </c>
      <c r="DF474" s="79" t="str">
        <f t="shared" si="141"/>
        <v/>
      </c>
      <c r="DG474" s="79" t="str">
        <f t="shared" si="142"/>
        <v/>
      </c>
      <c r="DH474" s="76"/>
      <c r="DI474" s="78"/>
      <c r="DJ474" s="76"/>
      <c r="DK474" s="77"/>
      <c r="DL474" s="77"/>
      <c r="DM474" s="77"/>
      <c r="DN474" s="80"/>
      <c r="DO474" s="80"/>
      <c r="DP474" s="92" t="str">
        <f>IF(Table1[Start Date]="","",IF(Table1[Start Date]&gt;42185,"",IF(AND(Table1[Leaving Date]&gt;1,Table1[Leaving Date]&lt;42095),"",1)))</f>
        <v/>
      </c>
      <c r="DQ474" s="92" t="str">
        <f>IF(Table1[Start Date]="","",IF(Table1[Start Date]&gt;42277,"",IF(AND(Table1[Leaving Date]&gt;1,Table1[Leaving Date]&lt;42186),"",1)))</f>
        <v/>
      </c>
      <c r="DR474" s="92" t="str">
        <f>IF(Table1[Start Date]="","",IF(Table1[Start Date]&gt;42369,"",IF(AND(Table1[Leaving Date]&gt;1,Table1[Leaving Date]&lt;42278),"",1)))</f>
        <v/>
      </c>
      <c r="DS474" s="92" t="str">
        <f>IF(Table1[Start Date]="","",IF(Table1[Start Date]&gt;42460,"",IF(AND(Table1[Leaving Date]&gt;1,Table1[Leaving Date]&lt;42370),"",1)))</f>
        <v/>
      </c>
      <c r="DT474" s="92" t="str">
        <f>IF(Table1[Start Date]="","",IF(Table1[Start Date]&gt;42551,"",IF(AND(Table1[Leaving Date]&gt;1,Table1[Leaving Date]&lt;42461),"",1)))</f>
        <v/>
      </c>
      <c r="DU474" s="92" t="str">
        <f>IF(Table1[Start Date]="","",IF(Table1[Start Date]&gt;42643,"",IF(AND(Table1[Leaving Date]&gt;1,Table1[Leaving Date]&lt;42552),"",1)))</f>
        <v/>
      </c>
      <c r="DV474" s="92" t="str">
        <f>IF(Table1[Start Date]="","",IF(Table1[Start Date]&gt;42735,"",IF(AND(Table1[Leaving Date]&gt;1,Table1[Leaving Date]&lt;42644),"",1)))</f>
        <v/>
      </c>
      <c r="DW474" s="92" t="str">
        <f>IF(Table1[Start Date]="","",IF(Table1[Start Date]&gt;42825,"",IF(AND(Table1[Leaving Date]&gt;1,Table1[Leaving Date]&lt;42736),"",1)))</f>
        <v/>
      </c>
      <c r="DX474"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474" s="44" t="e">
        <f>VLOOKUP(Table1[Referral Source],Lists!$G$2:$H$20,2,FALSE)</f>
        <v>#N/A</v>
      </c>
      <c r="DZ474" s="93" t="e">
        <f>SUM(Table1[Data Referral Quarter]+Table1[Data Referral Source])</f>
        <v>#N/A</v>
      </c>
      <c r="EA474" s="44" t="b">
        <f>IF(Table1[Referral Decision]="Accepted",100,IF(Table1[Referral Decision]="Rejected by Provider",200,IF(Table1[Referral Decision]="Rejected by Applicant",300)))</f>
        <v>0</v>
      </c>
      <c r="EB474" s="44">
        <f>SUM(Table1[Data Referral Quarter]+Table1[Data Referral Decision])</f>
        <v>0</v>
      </c>
      <c r="EC474" s="44" t="b">
        <f>IF(Table1[Start Date]&gt;42735,8000,IF(Table1[Start Date]&gt;42643,7000,IF(Table1[Start Date]&gt;42551,6000,IF(Table1[Start Date]&gt;42460,5000,IF(Table1[Start Date]&gt;42369,4000,IF(Table1[Start Date]&gt;42277,3000,IF(Table1[Start Date]&gt;42185,2000,IF(Table1[Start Date]&gt;42094,1000))))))))</f>
        <v>0</v>
      </c>
      <c r="ED474" s="44" t="str">
        <f>IF(Table1[Start Date]="","",IF(Table1[Current Local Authority]="Swindon",1,"2"))</f>
        <v/>
      </c>
      <c r="EE474" s="44" t="e">
        <f>SUM(Table1[Data Start Date]+Table1[Data Local Authority])</f>
        <v>#VALUE!</v>
      </c>
      <c r="EF474" s="44">
        <f>IF(Table1[Registered with GP]="Yes",1,0)</f>
        <v>0</v>
      </c>
      <c r="EG474" s="44">
        <f>SUM(Table1[Data Start Date]+Table1[Data GP Start])</f>
        <v>0</v>
      </c>
      <c r="EH474" s="44" t="str">
        <f>IF(Table1[EET]="NEET",1,IF(Table1[EET]="Education",2,IF(Table1[EET]="Employment",2,IF(Table1[EET]="Training",2,IF(Table1[EET]="Retired",3,"")))))</f>
        <v/>
      </c>
      <c r="EI474" s="44" t="e">
        <f>Table1[Data Start Date]+Table1[Data EET Start]</f>
        <v>#VALUE!</v>
      </c>
      <c r="EJ474" s="44" t="b">
        <f>IF(Table1[Leaving Date]&gt;42735,8000,IF(Table1[Leaving Date]&gt;42643,7000,IF(Table1[Leaving Date]&gt;42551,6000,IF(Table1[Leaving Date]&gt;42460,5000,IF(Table1[Leaving Date]&gt;42369,4000,IF(Table1[Leaving Date]&gt;42277,3000,IF(Table1[Leaving Date]&gt;42185,2000,IF(Table1[Leaving Date]&gt;42094,1000))))))))</f>
        <v>0</v>
      </c>
      <c r="EK474" s="44" t="e">
        <f>VLOOKUP(Table1[Reason for Leaving],Lists!$T$2:$U$15,2,FALSE)</f>
        <v>#N/A</v>
      </c>
      <c r="EL474" s="44" t="e">
        <f>SUM(Table1[Data Leavers Date]+Table1[Data Move On])</f>
        <v>#N/A</v>
      </c>
      <c r="EM474" s="44" t="b">
        <f>IF(Table1[Registered with GP2]="Yes",1,IF(Table1[Registered with GP2]="No",0,IF(Table1[Registered with GP]="Yes",1,IF(Table1[Registered with GP]="No",0))))</f>
        <v>0</v>
      </c>
      <c r="EN474" s="44">
        <f>SUM(Table1[Data Leavers Date]+Table1[Data GP End])</f>
        <v>0</v>
      </c>
      <c r="EO474" s="44" t="str">
        <f>IF(Table1[EET2]="NEET",1,IF(Table1[EET2]="Employment",2,IF(Table1[EET2]="Education",2,IF(Table1[EET2]="Training",2,IF(Table1[EET2]="Retired",3,IF(Table1[EET]="NEET",1,IF(Table1[EET]="Employment",2,IF(Table1[EET]="Education",2,IF(Table1[EET]="Training",2,IF(Table1[EET]="Retired",3,""))))))))))</f>
        <v/>
      </c>
      <c r="EP474" s="44" t="e">
        <f>+Table1[[#This Row],[Data Leavers Date]]+Table1[[#This Row],[Data EET End]]</f>
        <v>#VALUE!</v>
      </c>
      <c r="EQ474" s="44">
        <f>IF(Table1[Exit Form Received]="Yes",1,0)</f>
        <v>0</v>
      </c>
      <c r="ER474" s="44">
        <f>+Table1[[#This Row],[Data Leavers Date]]+Table1[[#This Row],[Data Exit Forms]]</f>
        <v>0</v>
      </c>
      <c r="ES474" s="44" t="str">
        <f>IF(Table1[Data Leavers Date]=1000,SUM(Table1[Leaving Date]-Table1[Start Date]),"")</f>
        <v/>
      </c>
      <c r="ET474" s="44" t="str">
        <f>IF(Table1[Data Leavers Date]=2000,SUM(Table1[Leaving Date]-Table1[Start Date]),"")</f>
        <v/>
      </c>
      <c r="EU474" s="44" t="str">
        <f>IF(Table1[Data Leavers Date]=3000,SUM(Table1[Leaving Date]-Table1[Start Date]),"")</f>
        <v/>
      </c>
      <c r="EV474" s="44" t="str">
        <f>IF(Table1[Data Leavers Date]=4000,SUM(Table1[Leaving Date]-Table1[Start Date]),"")</f>
        <v/>
      </c>
      <c r="EW474" s="44" t="str">
        <f>IF(Table1[Data Leavers Date]=5000,SUM(Table1[Leaving Date]-Table1[Start Date]),"")</f>
        <v/>
      </c>
      <c r="EX474" s="44" t="str">
        <f>IF(Table1[Data Leavers Date]=6000,SUM(Table1[Leaving Date]-Table1[Start Date]),"")</f>
        <v/>
      </c>
      <c r="EY474" s="44" t="str">
        <f>IF(Table1[Data Leavers Date]=7000,SUM(Table1[Leaving Date]-Table1[Start Date]),"")</f>
        <v/>
      </c>
      <c r="EZ474" s="44" t="str">
        <f>IF(Table1[Data Leavers Date]=8000,SUM(Table1[Leaving Date]-Table1[Start Date]),"")</f>
        <v/>
      </c>
      <c r="FA474" s="44" t="str">
        <f>IF(Table1[Date of Initial Assessment]="","",IF(AND(Table1[Start Date]&gt;42094,Table1[Start Date]&lt;42461),Table1[Motivation and Taking Responsibility],""))</f>
        <v/>
      </c>
      <c r="FB474" s="44" t="str">
        <f>IF(Table1[Date of Initial Assessment]="","",IF(AND(Table1[Start Date]&gt;42094,Table1[Start Date]&lt;42461),Table1[Self-Care and Living Skills],""))</f>
        <v/>
      </c>
      <c r="FC474" s="44" t="str">
        <f>IF(Table1[Date of Initial Assessment]="","",IF(AND(Table1[Start Date]&gt;42094,Table1[Start Date]&lt;42461),Table1[Managing Money and Personal Administration],""))</f>
        <v/>
      </c>
      <c r="FD474" s="44" t="str">
        <f>IF(Table1[Date of Initial Assessment]="","",IF(AND(Table1[Start Date]&gt;42094,Table1[Start Date]&lt;42461),Table1[Social Networks and Relationships],""))</f>
        <v/>
      </c>
      <c r="FE474" s="44" t="str">
        <f>IF(Table1[Date of Initial Assessment]="","",IF(AND(Table1[Start Date]&gt;42094,Table1[Start Date]&lt;42461),Table1[Drug and Alcohol Misuse],""))</f>
        <v/>
      </c>
      <c r="FF474" s="44" t="str">
        <f>IF(Table1[Date of Initial Assessment]="","",IF(AND(Table1[Start Date]&gt;42094,Table1[Start Date]&lt;42461),Table1[Physical Health],""))</f>
        <v/>
      </c>
      <c r="FG474" s="44" t="str">
        <f>IF(Table1[Date of Initial Assessment]="","",IF(AND(Table1[Start Date]&gt;42094,Table1[Start Date]&lt;42461),Table1[Emotional and Mental Health],""))</f>
        <v/>
      </c>
      <c r="FH474" s="44" t="str">
        <f>IF(Table1[Date of Initial Assessment]="","",IF(AND(Table1[Start Date]&gt;42094,Table1[Start Date]&lt;42461),Table1[Meaningful Use of Time],""))</f>
        <v/>
      </c>
      <c r="FI474" s="44" t="str">
        <f>IF(Table1[Date of Initial Assessment]="","",IF(AND(Table1[Start Date]&gt;42094,Table1[Start Date]&lt;42461),Table1[Managing Tenancy and Accommodation],""))</f>
        <v/>
      </c>
      <c r="FJ474" s="44" t="str">
        <f>IF(Table1[Date of Initial Assessment]="","",IF(AND(Table1[Start Date]&gt;42094,Table1[Start Date]&lt;42461),Table1[Offending],""))</f>
        <v/>
      </c>
      <c r="FK474" s="44" t="str">
        <f>IF(Table1[Leaving Date]="","",IF(Table1[Date of Initial Assessment]="","",IF(AND(Table1[Leaving Date]&gt;42094,Table1[Leaving Date]&lt;42461),IF(Table1[Date of Last Assessment]="",Table1[Motivation and Taking Responsibility],Table1[Motivation and Taking Responsibility2]),"")))</f>
        <v/>
      </c>
      <c r="FL474" s="44" t="str">
        <f>IF(Table1[Leaving Date]="","",IF(Table1[Date of Initial Assessment]="","",IF(AND(Table1[Leaving Date]&gt;42094,Table1[Leaving Date]&lt;42461),IF(Table1[Date of Last Assessment]="",Table1[Self-Care and Living Skills],Table1[Self-Care and Living Skills2]),"")))</f>
        <v/>
      </c>
      <c r="FM474" s="44" t="str">
        <f>IF(Table1[Leaving Date]="","",IF(Table1[Date of Initial Assessment]="","",IF(AND(Table1[Leaving Date]&gt;42094,Table1[Leaving Date]&lt;42461),IF(Table1[Date of Last Assessment]="",Table1[Managing Money and Personal Administration],Table1[Managing Money and Personal Administration2]),"")))</f>
        <v/>
      </c>
      <c r="FN474" s="44" t="str">
        <f>IF(Table1[Leaving Date]="","",IF(Table1[Date of Initial Assessment]="","",IF(AND(Table1[Leaving Date]&gt;42094,Table1[Leaving Date]&lt;42461),IF(Table1[Date of Last Assessment]="",Table1[Social Networks and Relationships],Table1[Social Networks and Relationships2]),"")))</f>
        <v/>
      </c>
      <c r="FO474" s="44" t="str">
        <f>IF(Table1[Leaving Date]="","",IF(Table1[Date of Initial Assessment]="","",IF(AND(Table1[Leaving Date]&gt;42094,Table1[Leaving Date]&lt;42461),IF(Table1[Date of Last Assessment]="",Table1[Drug and Alcohol Misuse],Table1[Drug and Alcohol Misuse2]),"")))</f>
        <v/>
      </c>
      <c r="FP474" s="44" t="str">
        <f>IF(Table1[Leaving Date]="","",IF(Table1[Date of Initial Assessment]="","",IF(AND(Table1[Leaving Date]&gt;42094,Table1[Leaving Date]&lt;42461),IF(Table1[Date of Last Assessment]="",Table1[Physical Health],Table1[Physical Health2]),"")))</f>
        <v/>
      </c>
      <c r="FQ474" s="44" t="str">
        <f>IF(Table1[Leaving Date]="","",IF(Table1[Date of Initial Assessment]="","",IF(AND(Table1[Leaving Date]&gt;42094,Table1[Leaving Date]&lt;42461),IF(Table1[Date of Last Assessment]="",Table1[Emotional and Mental Health],Table1[Emotional and Mental Health2]),"")))</f>
        <v/>
      </c>
      <c r="FR474" s="44" t="str">
        <f>IF(Table1[Leaving Date]="","",IF(Table1[Date of Initial Assessment]="","",IF(AND(Table1[Leaving Date]&gt;42094,Table1[Leaving Date]&lt;42461),IF(Table1[Date of Last Assessment]="",Table1[Meaningful Use of Time],Table1[Meaningful Use of Time2]),"")))</f>
        <v/>
      </c>
      <c r="FS474" s="44" t="str">
        <f>IF(Table1[Leaving Date]="","",IF(Table1[Date of Initial Assessment]="","",IF(AND(Table1[Leaving Date]&gt;42094,Table1[Leaving Date]&lt;42461),IF(Table1[Date of Last Assessment]="",Table1[Managing Tenancy and Accommodation],Table1[Managing Tenancy and Accommodation2]),"")))</f>
        <v/>
      </c>
      <c r="FT474" s="44" t="str">
        <f>IF(Table1[Leaving Date]="","",IF(Table1[Date of Initial Assessment]="","",IF(AND(Table1[Leaving Date]&gt;42094,Table1[Leaving Date]&lt;42461),IF(Table1[Date of Last Assessment]="",Table1[Offending],Table1[Offending2]),"")))</f>
        <v/>
      </c>
      <c r="FU474" s="44" t="str">
        <f>IF(Table1[Date of Initial Assessment]="","",IF(AND(Table1[Start Date]&gt;42460,Table1[Start Date]&lt;42826),Table1[Motivation and Taking Responsibility],""))</f>
        <v/>
      </c>
      <c r="FV474" s="44" t="str">
        <f>IF(Table1[Date of Initial Assessment]="","",IF(AND(Table1[Start Date]&gt;42460,Table1[Start Date]&lt;42826),Table1[Self-Care and Living Skills],""))</f>
        <v/>
      </c>
      <c r="FW474" s="44" t="str">
        <f>IF(Table1[Date of Initial Assessment]="","",IF(AND(Table1[Start Date]&gt;42460,Table1[Start Date]&lt;42826),Table1[Managing Money and Personal Administration],""))</f>
        <v/>
      </c>
      <c r="FX474" s="44" t="str">
        <f>IF(Table1[Date of Initial Assessment]="","",IF(AND(Table1[Start Date]&gt;42460,Table1[Start Date]&lt;42826),Table1[Social Networks and Relationships],""))</f>
        <v/>
      </c>
      <c r="FY474" s="44" t="str">
        <f>IF(Table1[Date of Initial Assessment]="","",IF(AND(Table1[Start Date]&gt;42460,Table1[Start Date]&lt;42826),Table1[Drug and Alcohol Misuse],""))</f>
        <v/>
      </c>
      <c r="FZ474" s="44" t="str">
        <f>IF(Table1[Date of Initial Assessment]="","",IF(AND(Table1[Start Date]&gt;42460,Table1[Start Date]&lt;42826),Table1[Physical Health],""))</f>
        <v/>
      </c>
      <c r="GA474" s="44" t="str">
        <f>IF(Table1[Date of Initial Assessment]="","",IF(AND(Table1[Start Date]&gt;42460,Table1[Start Date]&lt;42826),Table1[Emotional and Mental Health],""))</f>
        <v/>
      </c>
      <c r="GB474" s="44" t="str">
        <f>IF(Table1[Date of Initial Assessment]="","",IF(AND(Table1[Start Date]&gt;42460,Table1[Start Date]&lt;42826),Table1[Meaningful Use of Time],""))</f>
        <v/>
      </c>
      <c r="GC474" s="44" t="str">
        <f>IF(Table1[Date of Initial Assessment]="","",IF(AND(Table1[Start Date]&gt;42460,Table1[Start Date]&lt;42826),Table1[Managing Tenancy and Accommodation],""))</f>
        <v/>
      </c>
      <c r="GD474" s="44" t="str">
        <f>IF(Table1[Date of Initial Assessment]="","",IF(AND(Table1[Start Date]&gt;42460,Table1[Start Date]&lt;42826),Table1[Offending],""))</f>
        <v/>
      </c>
      <c r="GE474" s="44" t="str">
        <f>IF(Table1[Leaving Date]="","",IF(AND(Table1[Leaving Date]&gt;42460,Table1[Leaving Date]&lt;42826),IF(Table1[Date of Last Assessment]="",Table1[Motivation and Taking Responsibility],Table1[Motivation and Taking Responsibility2]),""))</f>
        <v/>
      </c>
      <c r="GF474" s="44" t="str">
        <f>IF(Table1[Leaving Date]="","",IF(AND(Table1[Leaving Date]&gt;42460,Table1[Leaving Date]&lt;42826),IF(Table1[Date of Last Assessment]="",Table1[Self-Care and Living Skills],Table1[Self-Care and Living Skills2]),""))</f>
        <v/>
      </c>
      <c r="GG474" s="44" t="str">
        <f>IF(Table1[Leaving Date]="","",IF(AND(Table1[Leaving Date]&gt;42460,Table1[Leaving Date]&lt;42826),IF(Table1[Date of Last Assessment]="",Table1[Managing Money and Personal Administration],Table1[Managing Money and Personal Administration2]),""))</f>
        <v/>
      </c>
      <c r="GH474" s="44" t="str">
        <f>IF(Table1[Leaving Date]="","",IF(AND(Table1[Leaving Date]&gt;42460,Table1[Leaving Date]&lt;42826),IF(Table1[Date of Last Assessment]="",Table1[Social Networks and Relationships],Table1[Social Networks and Relationships2]),""))</f>
        <v/>
      </c>
      <c r="GI474" s="44" t="str">
        <f>IF(Table1[Leaving Date]="","",IF(AND(Table1[Leaving Date]&gt;42460,Table1[Leaving Date]&lt;42826),IF(Table1[Date of Last Assessment]="",Table1[Drug and Alcohol Misuse],Table1[Drug and Alcohol Misuse2]),""))</f>
        <v/>
      </c>
      <c r="GJ474" s="44" t="str">
        <f>IF(Table1[Leaving Date]="","",IF(AND(Table1[Leaving Date]&gt;42460,Table1[Leaving Date]&lt;42826),IF(Table1[Date of Last Assessment]="",Table1[Physical Health],Table1[Physical Health2]),""))</f>
        <v/>
      </c>
      <c r="GK474" s="44" t="str">
        <f>IF(Table1[Leaving Date]="","",IF(AND(Table1[Leaving Date]&gt;42460,Table1[Leaving Date]&lt;42826),IF(Table1[Date of Last Assessment]="",Table1[Emotional and Mental Health],Table1[Emotional and Mental Health2]),""))</f>
        <v/>
      </c>
      <c r="GL474" s="44" t="str">
        <f>IF(Table1[Leaving Date]="","",IF(AND(Table1[Leaving Date]&gt;42460,Table1[Leaving Date]&lt;42826),IF(Table1[Date of Last Assessment]="",Table1[Meaningful Use of Time],Table1[Meaningful Use of Time2]),""))</f>
        <v/>
      </c>
      <c r="GM474" s="44" t="str">
        <f>IF(Table1[Leaving Date]="","",IF(AND(Table1[Leaving Date]&gt;42460,Table1[Leaving Date]&lt;42826),IF(Table1[Date of Last Assessment]="",Table1[Managing Tenancy and Accommodation],Table1[Managing Tenancy and Accommodation2]),""))</f>
        <v/>
      </c>
      <c r="GN474" s="44" t="str">
        <f>IF(Table1[Leaving Date]="","",IF(AND(Table1[Leaving Date]&gt;42460,Table1[Leaving Date]&lt;42826),IF(Table1[Date of Last Assessment]="",Table1[Offending],Table1[Offending2]),""))</f>
        <v/>
      </c>
    </row>
    <row r="475" spans="2:196" ht="20.100000000000001" customHeight="1" x14ac:dyDescent="0.2">
      <c r="B475" s="86">
        <f>+'Service Data'!$C$5:$C$5</f>
        <v>0</v>
      </c>
      <c r="C475" s="86"/>
      <c r="D475" s="86"/>
      <c r="E475" s="86"/>
      <c r="F475" s="86"/>
      <c r="G475" s="86"/>
      <c r="H475" s="6"/>
      <c r="I475" s="99" t="str">
        <f ca="1">IF(Table1[[#This Row],[Date of Birth]]="","",SUM(TODAY()-Table1[[#This Row],[Date of Birth]])/365)</f>
        <v/>
      </c>
      <c r="L475" s="86"/>
      <c r="M475" s="77"/>
      <c r="N475" s="86"/>
      <c r="O475" s="86"/>
      <c r="P475" s="91"/>
      <c r="Q475" s="86"/>
      <c r="R475" s="77"/>
      <c r="S475" s="77"/>
      <c r="T475" s="68"/>
      <c r="U475" s="68"/>
      <c r="V475" s="67"/>
      <c r="W475" s="67"/>
      <c r="X475" s="67"/>
      <c r="Y475" s="67"/>
      <c r="Z475" s="67"/>
      <c r="AA475" s="67"/>
      <c r="AB475" s="67"/>
      <c r="AC475" s="67"/>
      <c r="AD475" s="67"/>
      <c r="AE475" s="67"/>
      <c r="AF475" s="67"/>
      <c r="AG475" s="67"/>
      <c r="AH475" s="67"/>
      <c r="AI475" s="67"/>
      <c r="AJ475" s="67"/>
      <c r="AK475" s="67"/>
      <c r="AL475" s="67"/>
      <c r="AM475" s="67"/>
      <c r="AN475" s="77"/>
      <c r="AO475" s="76"/>
      <c r="AP475" s="77"/>
      <c r="AQ475" s="76"/>
      <c r="AR475" s="76"/>
      <c r="AS475" s="76"/>
      <c r="AT475" s="76"/>
      <c r="AU475" s="76"/>
      <c r="AV475" s="77"/>
      <c r="AW475" s="76"/>
      <c r="AX475" s="77"/>
      <c r="AY475" s="76"/>
      <c r="AZ475" s="76"/>
      <c r="BA475" s="76"/>
      <c r="BB475" s="76"/>
      <c r="BC475" s="76"/>
      <c r="BD475" s="77"/>
      <c r="BE475" s="76"/>
      <c r="BF475" s="77"/>
      <c r="BG475" s="76"/>
      <c r="BH475" s="76"/>
      <c r="BI475" s="76"/>
      <c r="BJ475" s="76"/>
      <c r="BK475" s="76"/>
      <c r="BL475" s="77"/>
      <c r="BM475" s="76"/>
      <c r="BN475" s="77"/>
      <c r="BO475" s="76"/>
      <c r="BP475" s="76"/>
      <c r="BQ475" s="76"/>
      <c r="BR475" s="76"/>
      <c r="BS475" s="76"/>
      <c r="BT475" s="77"/>
      <c r="BU475" s="76"/>
      <c r="BV475" s="77"/>
      <c r="BW475" s="76"/>
      <c r="BX475" s="76"/>
      <c r="BY475" s="76"/>
      <c r="BZ475" s="76"/>
      <c r="CA475" s="76"/>
      <c r="CB475" s="77"/>
      <c r="CC475" s="76"/>
      <c r="CD475" s="77"/>
      <c r="CE475" s="76"/>
      <c r="CF475" s="76"/>
      <c r="CG475" s="76"/>
      <c r="CH475" s="76"/>
      <c r="CI475" s="76"/>
      <c r="CJ475" s="77"/>
      <c r="CK475" s="76"/>
      <c r="CL475" s="77"/>
      <c r="CM475" s="76"/>
      <c r="CN475" s="76"/>
      <c r="CO475" s="76"/>
      <c r="CP475" s="76"/>
      <c r="CQ475" s="76"/>
      <c r="CR475" s="78" t="str">
        <f t="shared" si="127"/>
        <v/>
      </c>
      <c r="CS475" s="79" t="str">
        <f t="shared" si="128"/>
        <v/>
      </c>
      <c r="CT475" s="79" t="str">
        <f t="shared" si="129"/>
        <v/>
      </c>
      <c r="CU475" s="79" t="str">
        <f t="shared" si="130"/>
        <v/>
      </c>
      <c r="CV475" s="79" t="str">
        <f t="shared" si="131"/>
        <v/>
      </c>
      <c r="CW475" s="79" t="str">
        <f t="shared" si="132"/>
        <v/>
      </c>
      <c r="CX475" s="79" t="str">
        <f t="shared" si="133"/>
        <v/>
      </c>
      <c r="CY475" s="79" t="str">
        <f t="shared" si="134"/>
        <v/>
      </c>
      <c r="CZ475" s="79" t="str">
        <f t="shared" si="135"/>
        <v/>
      </c>
      <c r="DA475" s="79" t="str">
        <f t="shared" si="136"/>
        <v/>
      </c>
      <c r="DB475" s="79" t="str">
        <f t="shared" si="137"/>
        <v/>
      </c>
      <c r="DC475" s="79" t="str">
        <f t="shared" si="138"/>
        <v/>
      </c>
      <c r="DD475" s="79" t="str">
        <f t="shared" si="139"/>
        <v/>
      </c>
      <c r="DE475" s="79" t="str">
        <f t="shared" si="140"/>
        <v/>
      </c>
      <c r="DF475" s="79" t="str">
        <f t="shared" si="141"/>
        <v/>
      </c>
      <c r="DG475" s="79" t="str">
        <f t="shared" si="142"/>
        <v/>
      </c>
      <c r="DH475" s="76"/>
      <c r="DI475" s="78"/>
      <c r="DJ475" s="76"/>
      <c r="DK475" s="77"/>
      <c r="DL475" s="77"/>
      <c r="DM475" s="77"/>
      <c r="DN475" s="80"/>
      <c r="DO475" s="80"/>
      <c r="DP475" s="92" t="str">
        <f>IF(Table1[Start Date]="","",IF(Table1[Start Date]&gt;42185,"",IF(AND(Table1[Leaving Date]&gt;1,Table1[Leaving Date]&lt;42095),"",1)))</f>
        <v/>
      </c>
      <c r="DQ475" s="92" t="str">
        <f>IF(Table1[Start Date]="","",IF(Table1[Start Date]&gt;42277,"",IF(AND(Table1[Leaving Date]&gt;1,Table1[Leaving Date]&lt;42186),"",1)))</f>
        <v/>
      </c>
      <c r="DR475" s="92" t="str">
        <f>IF(Table1[Start Date]="","",IF(Table1[Start Date]&gt;42369,"",IF(AND(Table1[Leaving Date]&gt;1,Table1[Leaving Date]&lt;42278),"",1)))</f>
        <v/>
      </c>
      <c r="DS475" s="92" t="str">
        <f>IF(Table1[Start Date]="","",IF(Table1[Start Date]&gt;42460,"",IF(AND(Table1[Leaving Date]&gt;1,Table1[Leaving Date]&lt;42370),"",1)))</f>
        <v/>
      </c>
      <c r="DT475" s="92" t="str">
        <f>IF(Table1[Start Date]="","",IF(Table1[Start Date]&gt;42551,"",IF(AND(Table1[Leaving Date]&gt;1,Table1[Leaving Date]&lt;42461),"",1)))</f>
        <v/>
      </c>
      <c r="DU475" s="92" t="str">
        <f>IF(Table1[Start Date]="","",IF(Table1[Start Date]&gt;42643,"",IF(AND(Table1[Leaving Date]&gt;1,Table1[Leaving Date]&lt;42552),"",1)))</f>
        <v/>
      </c>
      <c r="DV475" s="92" t="str">
        <f>IF(Table1[Start Date]="","",IF(Table1[Start Date]&gt;42735,"",IF(AND(Table1[Leaving Date]&gt;1,Table1[Leaving Date]&lt;42644),"",1)))</f>
        <v/>
      </c>
      <c r="DW475" s="92" t="str">
        <f>IF(Table1[Start Date]="","",IF(Table1[Start Date]&gt;42825,"",IF(AND(Table1[Leaving Date]&gt;1,Table1[Leaving Date]&lt;42736),"",1)))</f>
        <v/>
      </c>
      <c r="DX475"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475" s="44" t="e">
        <f>VLOOKUP(Table1[Referral Source],Lists!$G$2:$H$20,2,FALSE)</f>
        <v>#N/A</v>
      </c>
      <c r="DZ475" s="93" t="e">
        <f>SUM(Table1[Data Referral Quarter]+Table1[Data Referral Source])</f>
        <v>#N/A</v>
      </c>
      <c r="EA475" s="44" t="b">
        <f>IF(Table1[Referral Decision]="Accepted",100,IF(Table1[Referral Decision]="Rejected by Provider",200,IF(Table1[Referral Decision]="Rejected by Applicant",300)))</f>
        <v>0</v>
      </c>
      <c r="EB475" s="44">
        <f>SUM(Table1[Data Referral Quarter]+Table1[Data Referral Decision])</f>
        <v>0</v>
      </c>
      <c r="EC475" s="44" t="b">
        <f>IF(Table1[Start Date]&gt;42735,8000,IF(Table1[Start Date]&gt;42643,7000,IF(Table1[Start Date]&gt;42551,6000,IF(Table1[Start Date]&gt;42460,5000,IF(Table1[Start Date]&gt;42369,4000,IF(Table1[Start Date]&gt;42277,3000,IF(Table1[Start Date]&gt;42185,2000,IF(Table1[Start Date]&gt;42094,1000))))))))</f>
        <v>0</v>
      </c>
      <c r="ED475" s="44" t="str">
        <f>IF(Table1[Start Date]="","",IF(Table1[Current Local Authority]="Swindon",1,"2"))</f>
        <v/>
      </c>
      <c r="EE475" s="44" t="e">
        <f>SUM(Table1[Data Start Date]+Table1[Data Local Authority])</f>
        <v>#VALUE!</v>
      </c>
      <c r="EF475" s="44">
        <f>IF(Table1[Registered with GP]="Yes",1,0)</f>
        <v>0</v>
      </c>
      <c r="EG475" s="44">
        <f>SUM(Table1[Data Start Date]+Table1[Data GP Start])</f>
        <v>0</v>
      </c>
      <c r="EH475" s="44" t="str">
        <f>IF(Table1[EET]="NEET",1,IF(Table1[EET]="Education",2,IF(Table1[EET]="Employment",2,IF(Table1[EET]="Training",2,IF(Table1[EET]="Retired",3,"")))))</f>
        <v/>
      </c>
      <c r="EI475" s="44" t="e">
        <f>Table1[Data Start Date]+Table1[Data EET Start]</f>
        <v>#VALUE!</v>
      </c>
      <c r="EJ475" s="44" t="b">
        <f>IF(Table1[Leaving Date]&gt;42735,8000,IF(Table1[Leaving Date]&gt;42643,7000,IF(Table1[Leaving Date]&gt;42551,6000,IF(Table1[Leaving Date]&gt;42460,5000,IF(Table1[Leaving Date]&gt;42369,4000,IF(Table1[Leaving Date]&gt;42277,3000,IF(Table1[Leaving Date]&gt;42185,2000,IF(Table1[Leaving Date]&gt;42094,1000))))))))</f>
        <v>0</v>
      </c>
      <c r="EK475" s="44" t="e">
        <f>VLOOKUP(Table1[Reason for Leaving],Lists!$T$2:$U$15,2,FALSE)</f>
        <v>#N/A</v>
      </c>
      <c r="EL475" s="44" t="e">
        <f>SUM(Table1[Data Leavers Date]+Table1[Data Move On])</f>
        <v>#N/A</v>
      </c>
      <c r="EM475" s="44" t="b">
        <f>IF(Table1[Registered with GP2]="Yes",1,IF(Table1[Registered with GP2]="No",0,IF(Table1[Registered with GP]="Yes",1,IF(Table1[Registered with GP]="No",0))))</f>
        <v>0</v>
      </c>
      <c r="EN475" s="44">
        <f>SUM(Table1[Data Leavers Date]+Table1[Data GP End])</f>
        <v>0</v>
      </c>
      <c r="EO475" s="44" t="str">
        <f>IF(Table1[EET2]="NEET",1,IF(Table1[EET2]="Employment",2,IF(Table1[EET2]="Education",2,IF(Table1[EET2]="Training",2,IF(Table1[EET2]="Retired",3,IF(Table1[EET]="NEET",1,IF(Table1[EET]="Employment",2,IF(Table1[EET]="Education",2,IF(Table1[EET]="Training",2,IF(Table1[EET]="Retired",3,""))))))))))</f>
        <v/>
      </c>
      <c r="EP475" s="44" t="e">
        <f>+Table1[[#This Row],[Data Leavers Date]]+Table1[[#This Row],[Data EET End]]</f>
        <v>#VALUE!</v>
      </c>
      <c r="EQ475" s="44">
        <f>IF(Table1[Exit Form Received]="Yes",1,0)</f>
        <v>0</v>
      </c>
      <c r="ER475" s="44">
        <f>+Table1[[#This Row],[Data Leavers Date]]+Table1[[#This Row],[Data Exit Forms]]</f>
        <v>0</v>
      </c>
      <c r="ES475" s="44" t="str">
        <f>IF(Table1[Data Leavers Date]=1000,SUM(Table1[Leaving Date]-Table1[Start Date]),"")</f>
        <v/>
      </c>
      <c r="ET475" s="44" t="str">
        <f>IF(Table1[Data Leavers Date]=2000,SUM(Table1[Leaving Date]-Table1[Start Date]),"")</f>
        <v/>
      </c>
      <c r="EU475" s="44" t="str">
        <f>IF(Table1[Data Leavers Date]=3000,SUM(Table1[Leaving Date]-Table1[Start Date]),"")</f>
        <v/>
      </c>
      <c r="EV475" s="44" t="str">
        <f>IF(Table1[Data Leavers Date]=4000,SUM(Table1[Leaving Date]-Table1[Start Date]),"")</f>
        <v/>
      </c>
      <c r="EW475" s="44" t="str">
        <f>IF(Table1[Data Leavers Date]=5000,SUM(Table1[Leaving Date]-Table1[Start Date]),"")</f>
        <v/>
      </c>
      <c r="EX475" s="44" t="str">
        <f>IF(Table1[Data Leavers Date]=6000,SUM(Table1[Leaving Date]-Table1[Start Date]),"")</f>
        <v/>
      </c>
      <c r="EY475" s="44" t="str">
        <f>IF(Table1[Data Leavers Date]=7000,SUM(Table1[Leaving Date]-Table1[Start Date]),"")</f>
        <v/>
      </c>
      <c r="EZ475" s="44" t="str">
        <f>IF(Table1[Data Leavers Date]=8000,SUM(Table1[Leaving Date]-Table1[Start Date]),"")</f>
        <v/>
      </c>
      <c r="FA475" s="44" t="str">
        <f>IF(Table1[Date of Initial Assessment]="","",IF(AND(Table1[Start Date]&gt;42094,Table1[Start Date]&lt;42461),Table1[Motivation and Taking Responsibility],""))</f>
        <v/>
      </c>
      <c r="FB475" s="44" t="str">
        <f>IF(Table1[Date of Initial Assessment]="","",IF(AND(Table1[Start Date]&gt;42094,Table1[Start Date]&lt;42461),Table1[Self-Care and Living Skills],""))</f>
        <v/>
      </c>
      <c r="FC475" s="44" t="str">
        <f>IF(Table1[Date of Initial Assessment]="","",IF(AND(Table1[Start Date]&gt;42094,Table1[Start Date]&lt;42461),Table1[Managing Money and Personal Administration],""))</f>
        <v/>
      </c>
      <c r="FD475" s="44" t="str">
        <f>IF(Table1[Date of Initial Assessment]="","",IF(AND(Table1[Start Date]&gt;42094,Table1[Start Date]&lt;42461),Table1[Social Networks and Relationships],""))</f>
        <v/>
      </c>
      <c r="FE475" s="44" t="str">
        <f>IF(Table1[Date of Initial Assessment]="","",IF(AND(Table1[Start Date]&gt;42094,Table1[Start Date]&lt;42461),Table1[Drug and Alcohol Misuse],""))</f>
        <v/>
      </c>
      <c r="FF475" s="44" t="str">
        <f>IF(Table1[Date of Initial Assessment]="","",IF(AND(Table1[Start Date]&gt;42094,Table1[Start Date]&lt;42461),Table1[Physical Health],""))</f>
        <v/>
      </c>
      <c r="FG475" s="44" t="str">
        <f>IF(Table1[Date of Initial Assessment]="","",IF(AND(Table1[Start Date]&gt;42094,Table1[Start Date]&lt;42461),Table1[Emotional and Mental Health],""))</f>
        <v/>
      </c>
      <c r="FH475" s="44" t="str">
        <f>IF(Table1[Date of Initial Assessment]="","",IF(AND(Table1[Start Date]&gt;42094,Table1[Start Date]&lt;42461),Table1[Meaningful Use of Time],""))</f>
        <v/>
      </c>
      <c r="FI475" s="44" t="str">
        <f>IF(Table1[Date of Initial Assessment]="","",IF(AND(Table1[Start Date]&gt;42094,Table1[Start Date]&lt;42461),Table1[Managing Tenancy and Accommodation],""))</f>
        <v/>
      </c>
      <c r="FJ475" s="44" t="str">
        <f>IF(Table1[Date of Initial Assessment]="","",IF(AND(Table1[Start Date]&gt;42094,Table1[Start Date]&lt;42461),Table1[Offending],""))</f>
        <v/>
      </c>
      <c r="FK475" s="44" t="str">
        <f>IF(Table1[Leaving Date]="","",IF(Table1[Date of Initial Assessment]="","",IF(AND(Table1[Leaving Date]&gt;42094,Table1[Leaving Date]&lt;42461),IF(Table1[Date of Last Assessment]="",Table1[Motivation and Taking Responsibility],Table1[Motivation and Taking Responsibility2]),"")))</f>
        <v/>
      </c>
      <c r="FL475" s="44" t="str">
        <f>IF(Table1[Leaving Date]="","",IF(Table1[Date of Initial Assessment]="","",IF(AND(Table1[Leaving Date]&gt;42094,Table1[Leaving Date]&lt;42461),IF(Table1[Date of Last Assessment]="",Table1[Self-Care and Living Skills],Table1[Self-Care and Living Skills2]),"")))</f>
        <v/>
      </c>
      <c r="FM475" s="44" t="str">
        <f>IF(Table1[Leaving Date]="","",IF(Table1[Date of Initial Assessment]="","",IF(AND(Table1[Leaving Date]&gt;42094,Table1[Leaving Date]&lt;42461),IF(Table1[Date of Last Assessment]="",Table1[Managing Money and Personal Administration],Table1[Managing Money and Personal Administration2]),"")))</f>
        <v/>
      </c>
      <c r="FN475" s="44" t="str">
        <f>IF(Table1[Leaving Date]="","",IF(Table1[Date of Initial Assessment]="","",IF(AND(Table1[Leaving Date]&gt;42094,Table1[Leaving Date]&lt;42461),IF(Table1[Date of Last Assessment]="",Table1[Social Networks and Relationships],Table1[Social Networks and Relationships2]),"")))</f>
        <v/>
      </c>
      <c r="FO475" s="44" t="str">
        <f>IF(Table1[Leaving Date]="","",IF(Table1[Date of Initial Assessment]="","",IF(AND(Table1[Leaving Date]&gt;42094,Table1[Leaving Date]&lt;42461),IF(Table1[Date of Last Assessment]="",Table1[Drug and Alcohol Misuse],Table1[Drug and Alcohol Misuse2]),"")))</f>
        <v/>
      </c>
      <c r="FP475" s="44" t="str">
        <f>IF(Table1[Leaving Date]="","",IF(Table1[Date of Initial Assessment]="","",IF(AND(Table1[Leaving Date]&gt;42094,Table1[Leaving Date]&lt;42461),IF(Table1[Date of Last Assessment]="",Table1[Physical Health],Table1[Physical Health2]),"")))</f>
        <v/>
      </c>
      <c r="FQ475" s="44" t="str">
        <f>IF(Table1[Leaving Date]="","",IF(Table1[Date of Initial Assessment]="","",IF(AND(Table1[Leaving Date]&gt;42094,Table1[Leaving Date]&lt;42461),IF(Table1[Date of Last Assessment]="",Table1[Emotional and Mental Health],Table1[Emotional and Mental Health2]),"")))</f>
        <v/>
      </c>
      <c r="FR475" s="44" t="str">
        <f>IF(Table1[Leaving Date]="","",IF(Table1[Date of Initial Assessment]="","",IF(AND(Table1[Leaving Date]&gt;42094,Table1[Leaving Date]&lt;42461),IF(Table1[Date of Last Assessment]="",Table1[Meaningful Use of Time],Table1[Meaningful Use of Time2]),"")))</f>
        <v/>
      </c>
      <c r="FS475" s="44" t="str">
        <f>IF(Table1[Leaving Date]="","",IF(Table1[Date of Initial Assessment]="","",IF(AND(Table1[Leaving Date]&gt;42094,Table1[Leaving Date]&lt;42461),IF(Table1[Date of Last Assessment]="",Table1[Managing Tenancy and Accommodation],Table1[Managing Tenancy and Accommodation2]),"")))</f>
        <v/>
      </c>
      <c r="FT475" s="44" t="str">
        <f>IF(Table1[Leaving Date]="","",IF(Table1[Date of Initial Assessment]="","",IF(AND(Table1[Leaving Date]&gt;42094,Table1[Leaving Date]&lt;42461),IF(Table1[Date of Last Assessment]="",Table1[Offending],Table1[Offending2]),"")))</f>
        <v/>
      </c>
      <c r="FU475" s="44" t="str">
        <f>IF(Table1[Date of Initial Assessment]="","",IF(AND(Table1[Start Date]&gt;42460,Table1[Start Date]&lt;42826),Table1[Motivation and Taking Responsibility],""))</f>
        <v/>
      </c>
      <c r="FV475" s="44" t="str">
        <f>IF(Table1[Date of Initial Assessment]="","",IF(AND(Table1[Start Date]&gt;42460,Table1[Start Date]&lt;42826),Table1[Self-Care and Living Skills],""))</f>
        <v/>
      </c>
      <c r="FW475" s="44" t="str">
        <f>IF(Table1[Date of Initial Assessment]="","",IF(AND(Table1[Start Date]&gt;42460,Table1[Start Date]&lt;42826),Table1[Managing Money and Personal Administration],""))</f>
        <v/>
      </c>
      <c r="FX475" s="44" t="str">
        <f>IF(Table1[Date of Initial Assessment]="","",IF(AND(Table1[Start Date]&gt;42460,Table1[Start Date]&lt;42826),Table1[Social Networks and Relationships],""))</f>
        <v/>
      </c>
      <c r="FY475" s="44" t="str">
        <f>IF(Table1[Date of Initial Assessment]="","",IF(AND(Table1[Start Date]&gt;42460,Table1[Start Date]&lt;42826),Table1[Drug and Alcohol Misuse],""))</f>
        <v/>
      </c>
      <c r="FZ475" s="44" t="str">
        <f>IF(Table1[Date of Initial Assessment]="","",IF(AND(Table1[Start Date]&gt;42460,Table1[Start Date]&lt;42826),Table1[Physical Health],""))</f>
        <v/>
      </c>
      <c r="GA475" s="44" t="str">
        <f>IF(Table1[Date of Initial Assessment]="","",IF(AND(Table1[Start Date]&gt;42460,Table1[Start Date]&lt;42826),Table1[Emotional and Mental Health],""))</f>
        <v/>
      </c>
      <c r="GB475" s="44" t="str">
        <f>IF(Table1[Date of Initial Assessment]="","",IF(AND(Table1[Start Date]&gt;42460,Table1[Start Date]&lt;42826),Table1[Meaningful Use of Time],""))</f>
        <v/>
      </c>
      <c r="GC475" s="44" t="str">
        <f>IF(Table1[Date of Initial Assessment]="","",IF(AND(Table1[Start Date]&gt;42460,Table1[Start Date]&lt;42826),Table1[Managing Tenancy and Accommodation],""))</f>
        <v/>
      </c>
      <c r="GD475" s="44" t="str">
        <f>IF(Table1[Date of Initial Assessment]="","",IF(AND(Table1[Start Date]&gt;42460,Table1[Start Date]&lt;42826),Table1[Offending],""))</f>
        <v/>
      </c>
      <c r="GE475" s="44" t="str">
        <f>IF(Table1[Leaving Date]="","",IF(AND(Table1[Leaving Date]&gt;42460,Table1[Leaving Date]&lt;42826),IF(Table1[Date of Last Assessment]="",Table1[Motivation and Taking Responsibility],Table1[Motivation and Taking Responsibility2]),""))</f>
        <v/>
      </c>
      <c r="GF475" s="44" t="str">
        <f>IF(Table1[Leaving Date]="","",IF(AND(Table1[Leaving Date]&gt;42460,Table1[Leaving Date]&lt;42826),IF(Table1[Date of Last Assessment]="",Table1[Self-Care and Living Skills],Table1[Self-Care and Living Skills2]),""))</f>
        <v/>
      </c>
      <c r="GG475" s="44" t="str">
        <f>IF(Table1[Leaving Date]="","",IF(AND(Table1[Leaving Date]&gt;42460,Table1[Leaving Date]&lt;42826),IF(Table1[Date of Last Assessment]="",Table1[Managing Money and Personal Administration],Table1[Managing Money and Personal Administration2]),""))</f>
        <v/>
      </c>
      <c r="GH475" s="44" t="str">
        <f>IF(Table1[Leaving Date]="","",IF(AND(Table1[Leaving Date]&gt;42460,Table1[Leaving Date]&lt;42826),IF(Table1[Date of Last Assessment]="",Table1[Social Networks and Relationships],Table1[Social Networks and Relationships2]),""))</f>
        <v/>
      </c>
      <c r="GI475" s="44" t="str">
        <f>IF(Table1[Leaving Date]="","",IF(AND(Table1[Leaving Date]&gt;42460,Table1[Leaving Date]&lt;42826),IF(Table1[Date of Last Assessment]="",Table1[Drug and Alcohol Misuse],Table1[Drug and Alcohol Misuse2]),""))</f>
        <v/>
      </c>
      <c r="GJ475" s="44" t="str">
        <f>IF(Table1[Leaving Date]="","",IF(AND(Table1[Leaving Date]&gt;42460,Table1[Leaving Date]&lt;42826),IF(Table1[Date of Last Assessment]="",Table1[Physical Health],Table1[Physical Health2]),""))</f>
        <v/>
      </c>
      <c r="GK475" s="44" t="str">
        <f>IF(Table1[Leaving Date]="","",IF(AND(Table1[Leaving Date]&gt;42460,Table1[Leaving Date]&lt;42826),IF(Table1[Date of Last Assessment]="",Table1[Emotional and Mental Health],Table1[Emotional and Mental Health2]),""))</f>
        <v/>
      </c>
      <c r="GL475" s="44" t="str">
        <f>IF(Table1[Leaving Date]="","",IF(AND(Table1[Leaving Date]&gt;42460,Table1[Leaving Date]&lt;42826),IF(Table1[Date of Last Assessment]="",Table1[Meaningful Use of Time],Table1[Meaningful Use of Time2]),""))</f>
        <v/>
      </c>
      <c r="GM475" s="44" t="str">
        <f>IF(Table1[Leaving Date]="","",IF(AND(Table1[Leaving Date]&gt;42460,Table1[Leaving Date]&lt;42826),IF(Table1[Date of Last Assessment]="",Table1[Managing Tenancy and Accommodation],Table1[Managing Tenancy and Accommodation2]),""))</f>
        <v/>
      </c>
      <c r="GN475" s="44" t="str">
        <f>IF(Table1[Leaving Date]="","",IF(AND(Table1[Leaving Date]&gt;42460,Table1[Leaving Date]&lt;42826),IF(Table1[Date of Last Assessment]="",Table1[Offending],Table1[Offending2]),""))</f>
        <v/>
      </c>
    </row>
    <row r="476" spans="2:196" ht="20.100000000000001" customHeight="1" x14ac:dyDescent="0.2">
      <c r="B476" s="86">
        <f>+'Service Data'!$C$5:$C$5</f>
        <v>0</v>
      </c>
      <c r="C476" s="86"/>
      <c r="D476" s="86"/>
      <c r="E476" s="86"/>
      <c r="F476" s="86"/>
      <c r="G476" s="86"/>
      <c r="H476" s="6"/>
      <c r="I476" s="99" t="str">
        <f ca="1">IF(Table1[[#This Row],[Date of Birth]]="","",SUM(TODAY()-Table1[[#This Row],[Date of Birth]])/365)</f>
        <v/>
      </c>
      <c r="L476" s="86"/>
      <c r="M476" s="77"/>
      <c r="N476" s="86"/>
      <c r="O476" s="86"/>
      <c r="P476" s="91"/>
      <c r="Q476" s="86"/>
      <c r="R476" s="77"/>
      <c r="S476" s="77"/>
      <c r="T476" s="68"/>
      <c r="U476" s="68"/>
      <c r="V476" s="67"/>
      <c r="W476" s="67"/>
      <c r="X476" s="67"/>
      <c r="Y476" s="67"/>
      <c r="Z476" s="67"/>
      <c r="AA476" s="67"/>
      <c r="AB476" s="67"/>
      <c r="AC476" s="67"/>
      <c r="AD476" s="67"/>
      <c r="AE476" s="67"/>
      <c r="AF476" s="67"/>
      <c r="AG476" s="67"/>
      <c r="AH476" s="67"/>
      <c r="AI476" s="67"/>
      <c r="AJ476" s="67"/>
      <c r="AK476" s="67"/>
      <c r="AL476" s="67"/>
      <c r="AM476" s="67"/>
      <c r="AN476" s="77"/>
      <c r="AO476" s="76"/>
      <c r="AP476" s="77"/>
      <c r="AQ476" s="76"/>
      <c r="AR476" s="76"/>
      <c r="AS476" s="76"/>
      <c r="AT476" s="76"/>
      <c r="AU476" s="76"/>
      <c r="AV476" s="77"/>
      <c r="AW476" s="76"/>
      <c r="AX476" s="77"/>
      <c r="AY476" s="76"/>
      <c r="AZ476" s="76"/>
      <c r="BA476" s="76"/>
      <c r="BB476" s="76"/>
      <c r="BC476" s="76"/>
      <c r="BD476" s="77"/>
      <c r="BE476" s="76"/>
      <c r="BF476" s="77"/>
      <c r="BG476" s="76"/>
      <c r="BH476" s="76"/>
      <c r="BI476" s="76"/>
      <c r="BJ476" s="76"/>
      <c r="BK476" s="76"/>
      <c r="BL476" s="77"/>
      <c r="BM476" s="76"/>
      <c r="BN476" s="77"/>
      <c r="BO476" s="76"/>
      <c r="BP476" s="76"/>
      <c r="BQ476" s="76"/>
      <c r="BR476" s="76"/>
      <c r="BS476" s="76"/>
      <c r="BT476" s="77"/>
      <c r="BU476" s="76"/>
      <c r="BV476" s="77"/>
      <c r="BW476" s="76"/>
      <c r="BX476" s="76"/>
      <c r="BY476" s="76"/>
      <c r="BZ476" s="76"/>
      <c r="CA476" s="76"/>
      <c r="CB476" s="77"/>
      <c r="CC476" s="76"/>
      <c r="CD476" s="77"/>
      <c r="CE476" s="76"/>
      <c r="CF476" s="76"/>
      <c r="CG476" s="76"/>
      <c r="CH476" s="76"/>
      <c r="CI476" s="76"/>
      <c r="CJ476" s="77"/>
      <c r="CK476" s="76"/>
      <c r="CL476" s="77"/>
      <c r="CM476" s="76"/>
      <c r="CN476" s="76"/>
      <c r="CO476" s="76"/>
      <c r="CP476" s="76"/>
      <c r="CQ476" s="76"/>
      <c r="CR476" s="78" t="str">
        <f t="shared" si="127"/>
        <v/>
      </c>
      <c r="CS476" s="79" t="str">
        <f t="shared" si="128"/>
        <v/>
      </c>
      <c r="CT476" s="79" t="str">
        <f t="shared" si="129"/>
        <v/>
      </c>
      <c r="CU476" s="79" t="str">
        <f t="shared" si="130"/>
        <v/>
      </c>
      <c r="CV476" s="79" t="str">
        <f t="shared" si="131"/>
        <v/>
      </c>
      <c r="CW476" s="79" t="str">
        <f t="shared" si="132"/>
        <v/>
      </c>
      <c r="CX476" s="79" t="str">
        <f t="shared" si="133"/>
        <v/>
      </c>
      <c r="CY476" s="79" t="str">
        <f t="shared" si="134"/>
        <v/>
      </c>
      <c r="CZ476" s="79" t="str">
        <f t="shared" si="135"/>
        <v/>
      </c>
      <c r="DA476" s="79" t="str">
        <f t="shared" si="136"/>
        <v/>
      </c>
      <c r="DB476" s="79" t="str">
        <f t="shared" si="137"/>
        <v/>
      </c>
      <c r="DC476" s="79" t="str">
        <f t="shared" si="138"/>
        <v/>
      </c>
      <c r="DD476" s="79" t="str">
        <f t="shared" si="139"/>
        <v/>
      </c>
      <c r="DE476" s="79" t="str">
        <f t="shared" si="140"/>
        <v/>
      </c>
      <c r="DF476" s="79" t="str">
        <f t="shared" si="141"/>
        <v/>
      </c>
      <c r="DG476" s="79" t="str">
        <f t="shared" si="142"/>
        <v/>
      </c>
      <c r="DH476" s="76"/>
      <c r="DI476" s="78"/>
      <c r="DJ476" s="76"/>
      <c r="DK476" s="77"/>
      <c r="DL476" s="77"/>
      <c r="DM476" s="77"/>
      <c r="DN476" s="80"/>
      <c r="DO476" s="80"/>
      <c r="DP476" s="92" t="str">
        <f>IF(Table1[Start Date]="","",IF(Table1[Start Date]&gt;42185,"",IF(AND(Table1[Leaving Date]&gt;1,Table1[Leaving Date]&lt;42095),"",1)))</f>
        <v/>
      </c>
      <c r="DQ476" s="92" t="str">
        <f>IF(Table1[Start Date]="","",IF(Table1[Start Date]&gt;42277,"",IF(AND(Table1[Leaving Date]&gt;1,Table1[Leaving Date]&lt;42186),"",1)))</f>
        <v/>
      </c>
      <c r="DR476" s="92" t="str">
        <f>IF(Table1[Start Date]="","",IF(Table1[Start Date]&gt;42369,"",IF(AND(Table1[Leaving Date]&gt;1,Table1[Leaving Date]&lt;42278),"",1)))</f>
        <v/>
      </c>
      <c r="DS476" s="92" t="str">
        <f>IF(Table1[Start Date]="","",IF(Table1[Start Date]&gt;42460,"",IF(AND(Table1[Leaving Date]&gt;1,Table1[Leaving Date]&lt;42370),"",1)))</f>
        <v/>
      </c>
      <c r="DT476" s="92" t="str">
        <f>IF(Table1[Start Date]="","",IF(Table1[Start Date]&gt;42551,"",IF(AND(Table1[Leaving Date]&gt;1,Table1[Leaving Date]&lt;42461),"",1)))</f>
        <v/>
      </c>
      <c r="DU476" s="92" t="str">
        <f>IF(Table1[Start Date]="","",IF(Table1[Start Date]&gt;42643,"",IF(AND(Table1[Leaving Date]&gt;1,Table1[Leaving Date]&lt;42552),"",1)))</f>
        <v/>
      </c>
      <c r="DV476" s="92" t="str">
        <f>IF(Table1[Start Date]="","",IF(Table1[Start Date]&gt;42735,"",IF(AND(Table1[Leaving Date]&gt;1,Table1[Leaving Date]&lt;42644),"",1)))</f>
        <v/>
      </c>
      <c r="DW476" s="92" t="str">
        <f>IF(Table1[Start Date]="","",IF(Table1[Start Date]&gt;42825,"",IF(AND(Table1[Leaving Date]&gt;1,Table1[Leaving Date]&lt;42736),"",1)))</f>
        <v/>
      </c>
      <c r="DX476"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476" s="44" t="e">
        <f>VLOOKUP(Table1[Referral Source],Lists!$G$2:$H$20,2,FALSE)</f>
        <v>#N/A</v>
      </c>
      <c r="DZ476" s="93" t="e">
        <f>SUM(Table1[Data Referral Quarter]+Table1[Data Referral Source])</f>
        <v>#N/A</v>
      </c>
      <c r="EA476" s="44" t="b">
        <f>IF(Table1[Referral Decision]="Accepted",100,IF(Table1[Referral Decision]="Rejected by Provider",200,IF(Table1[Referral Decision]="Rejected by Applicant",300)))</f>
        <v>0</v>
      </c>
      <c r="EB476" s="44">
        <f>SUM(Table1[Data Referral Quarter]+Table1[Data Referral Decision])</f>
        <v>0</v>
      </c>
      <c r="EC476" s="44" t="b">
        <f>IF(Table1[Start Date]&gt;42735,8000,IF(Table1[Start Date]&gt;42643,7000,IF(Table1[Start Date]&gt;42551,6000,IF(Table1[Start Date]&gt;42460,5000,IF(Table1[Start Date]&gt;42369,4000,IF(Table1[Start Date]&gt;42277,3000,IF(Table1[Start Date]&gt;42185,2000,IF(Table1[Start Date]&gt;42094,1000))))))))</f>
        <v>0</v>
      </c>
      <c r="ED476" s="44" t="str">
        <f>IF(Table1[Start Date]="","",IF(Table1[Current Local Authority]="Swindon",1,"2"))</f>
        <v/>
      </c>
      <c r="EE476" s="44" t="e">
        <f>SUM(Table1[Data Start Date]+Table1[Data Local Authority])</f>
        <v>#VALUE!</v>
      </c>
      <c r="EF476" s="44">
        <f>IF(Table1[Registered with GP]="Yes",1,0)</f>
        <v>0</v>
      </c>
      <c r="EG476" s="44">
        <f>SUM(Table1[Data Start Date]+Table1[Data GP Start])</f>
        <v>0</v>
      </c>
      <c r="EH476" s="44" t="str">
        <f>IF(Table1[EET]="NEET",1,IF(Table1[EET]="Education",2,IF(Table1[EET]="Employment",2,IF(Table1[EET]="Training",2,IF(Table1[EET]="Retired",3,"")))))</f>
        <v/>
      </c>
      <c r="EI476" s="44" t="e">
        <f>Table1[Data Start Date]+Table1[Data EET Start]</f>
        <v>#VALUE!</v>
      </c>
      <c r="EJ476" s="44" t="b">
        <f>IF(Table1[Leaving Date]&gt;42735,8000,IF(Table1[Leaving Date]&gt;42643,7000,IF(Table1[Leaving Date]&gt;42551,6000,IF(Table1[Leaving Date]&gt;42460,5000,IF(Table1[Leaving Date]&gt;42369,4000,IF(Table1[Leaving Date]&gt;42277,3000,IF(Table1[Leaving Date]&gt;42185,2000,IF(Table1[Leaving Date]&gt;42094,1000))))))))</f>
        <v>0</v>
      </c>
      <c r="EK476" s="44" t="e">
        <f>VLOOKUP(Table1[Reason for Leaving],Lists!$T$2:$U$15,2,FALSE)</f>
        <v>#N/A</v>
      </c>
      <c r="EL476" s="44" t="e">
        <f>SUM(Table1[Data Leavers Date]+Table1[Data Move On])</f>
        <v>#N/A</v>
      </c>
      <c r="EM476" s="44" t="b">
        <f>IF(Table1[Registered with GP2]="Yes",1,IF(Table1[Registered with GP2]="No",0,IF(Table1[Registered with GP]="Yes",1,IF(Table1[Registered with GP]="No",0))))</f>
        <v>0</v>
      </c>
      <c r="EN476" s="44">
        <f>SUM(Table1[Data Leavers Date]+Table1[Data GP End])</f>
        <v>0</v>
      </c>
      <c r="EO476" s="44" t="str">
        <f>IF(Table1[EET2]="NEET",1,IF(Table1[EET2]="Employment",2,IF(Table1[EET2]="Education",2,IF(Table1[EET2]="Training",2,IF(Table1[EET2]="Retired",3,IF(Table1[EET]="NEET",1,IF(Table1[EET]="Employment",2,IF(Table1[EET]="Education",2,IF(Table1[EET]="Training",2,IF(Table1[EET]="Retired",3,""))))))))))</f>
        <v/>
      </c>
      <c r="EP476" s="44" t="e">
        <f>+Table1[[#This Row],[Data Leavers Date]]+Table1[[#This Row],[Data EET End]]</f>
        <v>#VALUE!</v>
      </c>
      <c r="EQ476" s="44">
        <f>IF(Table1[Exit Form Received]="Yes",1,0)</f>
        <v>0</v>
      </c>
      <c r="ER476" s="44">
        <f>+Table1[[#This Row],[Data Leavers Date]]+Table1[[#This Row],[Data Exit Forms]]</f>
        <v>0</v>
      </c>
      <c r="ES476" s="44" t="str">
        <f>IF(Table1[Data Leavers Date]=1000,SUM(Table1[Leaving Date]-Table1[Start Date]),"")</f>
        <v/>
      </c>
      <c r="ET476" s="44" t="str">
        <f>IF(Table1[Data Leavers Date]=2000,SUM(Table1[Leaving Date]-Table1[Start Date]),"")</f>
        <v/>
      </c>
      <c r="EU476" s="44" t="str">
        <f>IF(Table1[Data Leavers Date]=3000,SUM(Table1[Leaving Date]-Table1[Start Date]),"")</f>
        <v/>
      </c>
      <c r="EV476" s="44" t="str">
        <f>IF(Table1[Data Leavers Date]=4000,SUM(Table1[Leaving Date]-Table1[Start Date]),"")</f>
        <v/>
      </c>
      <c r="EW476" s="44" t="str">
        <f>IF(Table1[Data Leavers Date]=5000,SUM(Table1[Leaving Date]-Table1[Start Date]),"")</f>
        <v/>
      </c>
      <c r="EX476" s="44" t="str">
        <f>IF(Table1[Data Leavers Date]=6000,SUM(Table1[Leaving Date]-Table1[Start Date]),"")</f>
        <v/>
      </c>
      <c r="EY476" s="44" t="str">
        <f>IF(Table1[Data Leavers Date]=7000,SUM(Table1[Leaving Date]-Table1[Start Date]),"")</f>
        <v/>
      </c>
      <c r="EZ476" s="44" t="str">
        <f>IF(Table1[Data Leavers Date]=8000,SUM(Table1[Leaving Date]-Table1[Start Date]),"")</f>
        <v/>
      </c>
      <c r="FA476" s="44" t="str">
        <f>IF(Table1[Date of Initial Assessment]="","",IF(AND(Table1[Start Date]&gt;42094,Table1[Start Date]&lt;42461),Table1[Motivation and Taking Responsibility],""))</f>
        <v/>
      </c>
      <c r="FB476" s="44" t="str">
        <f>IF(Table1[Date of Initial Assessment]="","",IF(AND(Table1[Start Date]&gt;42094,Table1[Start Date]&lt;42461),Table1[Self-Care and Living Skills],""))</f>
        <v/>
      </c>
      <c r="FC476" s="44" t="str">
        <f>IF(Table1[Date of Initial Assessment]="","",IF(AND(Table1[Start Date]&gt;42094,Table1[Start Date]&lt;42461),Table1[Managing Money and Personal Administration],""))</f>
        <v/>
      </c>
      <c r="FD476" s="44" t="str">
        <f>IF(Table1[Date of Initial Assessment]="","",IF(AND(Table1[Start Date]&gt;42094,Table1[Start Date]&lt;42461),Table1[Social Networks and Relationships],""))</f>
        <v/>
      </c>
      <c r="FE476" s="44" t="str">
        <f>IF(Table1[Date of Initial Assessment]="","",IF(AND(Table1[Start Date]&gt;42094,Table1[Start Date]&lt;42461),Table1[Drug and Alcohol Misuse],""))</f>
        <v/>
      </c>
      <c r="FF476" s="44" t="str">
        <f>IF(Table1[Date of Initial Assessment]="","",IF(AND(Table1[Start Date]&gt;42094,Table1[Start Date]&lt;42461),Table1[Physical Health],""))</f>
        <v/>
      </c>
      <c r="FG476" s="44" t="str">
        <f>IF(Table1[Date of Initial Assessment]="","",IF(AND(Table1[Start Date]&gt;42094,Table1[Start Date]&lt;42461),Table1[Emotional and Mental Health],""))</f>
        <v/>
      </c>
      <c r="FH476" s="44" t="str">
        <f>IF(Table1[Date of Initial Assessment]="","",IF(AND(Table1[Start Date]&gt;42094,Table1[Start Date]&lt;42461),Table1[Meaningful Use of Time],""))</f>
        <v/>
      </c>
      <c r="FI476" s="44" t="str">
        <f>IF(Table1[Date of Initial Assessment]="","",IF(AND(Table1[Start Date]&gt;42094,Table1[Start Date]&lt;42461),Table1[Managing Tenancy and Accommodation],""))</f>
        <v/>
      </c>
      <c r="FJ476" s="44" t="str">
        <f>IF(Table1[Date of Initial Assessment]="","",IF(AND(Table1[Start Date]&gt;42094,Table1[Start Date]&lt;42461),Table1[Offending],""))</f>
        <v/>
      </c>
      <c r="FK476" s="44" t="str">
        <f>IF(Table1[Leaving Date]="","",IF(Table1[Date of Initial Assessment]="","",IF(AND(Table1[Leaving Date]&gt;42094,Table1[Leaving Date]&lt;42461),IF(Table1[Date of Last Assessment]="",Table1[Motivation and Taking Responsibility],Table1[Motivation and Taking Responsibility2]),"")))</f>
        <v/>
      </c>
      <c r="FL476" s="44" t="str">
        <f>IF(Table1[Leaving Date]="","",IF(Table1[Date of Initial Assessment]="","",IF(AND(Table1[Leaving Date]&gt;42094,Table1[Leaving Date]&lt;42461),IF(Table1[Date of Last Assessment]="",Table1[Self-Care and Living Skills],Table1[Self-Care and Living Skills2]),"")))</f>
        <v/>
      </c>
      <c r="FM476" s="44" t="str">
        <f>IF(Table1[Leaving Date]="","",IF(Table1[Date of Initial Assessment]="","",IF(AND(Table1[Leaving Date]&gt;42094,Table1[Leaving Date]&lt;42461),IF(Table1[Date of Last Assessment]="",Table1[Managing Money and Personal Administration],Table1[Managing Money and Personal Administration2]),"")))</f>
        <v/>
      </c>
      <c r="FN476" s="44" t="str">
        <f>IF(Table1[Leaving Date]="","",IF(Table1[Date of Initial Assessment]="","",IF(AND(Table1[Leaving Date]&gt;42094,Table1[Leaving Date]&lt;42461),IF(Table1[Date of Last Assessment]="",Table1[Social Networks and Relationships],Table1[Social Networks and Relationships2]),"")))</f>
        <v/>
      </c>
      <c r="FO476" s="44" t="str">
        <f>IF(Table1[Leaving Date]="","",IF(Table1[Date of Initial Assessment]="","",IF(AND(Table1[Leaving Date]&gt;42094,Table1[Leaving Date]&lt;42461),IF(Table1[Date of Last Assessment]="",Table1[Drug and Alcohol Misuse],Table1[Drug and Alcohol Misuse2]),"")))</f>
        <v/>
      </c>
      <c r="FP476" s="44" t="str">
        <f>IF(Table1[Leaving Date]="","",IF(Table1[Date of Initial Assessment]="","",IF(AND(Table1[Leaving Date]&gt;42094,Table1[Leaving Date]&lt;42461),IF(Table1[Date of Last Assessment]="",Table1[Physical Health],Table1[Physical Health2]),"")))</f>
        <v/>
      </c>
      <c r="FQ476" s="44" t="str">
        <f>IF(Table1[Leaving Date]="","",IF(Table1[Date of Initial Assessment]="","",IF(AND(Table1[Leaving Date]&gt;42094,Table1[Leaving Date]&lt;42461),IF(Table1[Date of Last Assessment]="",Table1[Emotional and Mental Health],Table1[Emotional and Mental Health2]),"")))</f>
        <v/>
      </c>
      <c r="FR476" s="44" t="str">
        <f>IF(Table1[Leaving Date]="","",IF(Table1[Date of Initial Assessment]="","",IF(AND(Table1[Leaving Date]&gt;42094,Table1[Leaving Date]&lt;42461),IF(Table1[Date of Last Assessment]="",Table1[Meaningful Use of Time],Table1[Meaningful Use of Time2]),"")))</f>
        <v/>
      </c>
      <c r="FS476" s="44" t="str">
        <f>IF(Table1[Leaving Date]="","",IF(Table1[Date of Initial Assessment]="","",IF(AND(Table1[Leaving Date]&gt;42094,Table1[Leaving Date]&lt;42461),IF(Table1[Date of Last Assessment]="",Table1[Managing Tenancy and Accommodation],Table1[Managing Tenancy and Accommodation2]),"")))</f>
        <v/>
      </c>
      <c r="FT476" s="44" t="str">
        <f>IF(Table1[Leaving Date]="","",IF(Table1[Date of Initial Assessment]="","",IF(AND(Table1[Leaving Date]&gt;42094,Table1[Leaving Date]&lt;42461),IF(Table1[Date of Last Assessment]="",Table1[Offending],Table1[Offending2]),"")))</f>
        <v/>
      </c>
      <c r="FU476" s="44" t="str">
        <f>IF(Table1[Date of Initial Assessment]="","",IF(AND(Table1[Start Date]&gt;42460,Table1[Start Date]&lt;42826),Table1[Motivation and Taking Responsibility],""))</f>
        <v/>
      </c>
      <c r="FV476" s="44" t="str">
        <f>IF(Table1[Date of Initial Assessment]="","",IF(AND(Table1[Start Date]&gt;42460,Table1[Start Date]&lt;42826),Table1[Self-Care and Living Skills],""))</f>
        <v/>
      </c>
      <c r="FW476" s="44" t="str">
        <f>IF(Table1[Date of Initial Assessment]="","",IF(AND(Table1[Start Date]&gt;42460,Table1[Start Date]&lt;42826),Table1[Managing Money and Personal Administration],""))</f>
        <v/>
      </c>
      <c r="FX476" s="44" t="str">
        <f>IF(Table1[Date of Initial Assessment]="","",IF(AND(Table1[Start Date]&gt;42460,Table1[Start Date]&lt;42826),Table1[Social Networks and Relationships],""))</f>
        <v/>
      </c>
      <c r="FY476" s="44" t="str">
        <f>IF(Table1[Date of Initial Assessment]="","",IF(AND(Table1[Start Date]&gt;42460,Table1[Start Date]&lt;42826),Table1[Drug and Alcohol Misuse],""))</f>
        <v/>
      </c>
      <c r="FZ476" s="44" t="str">
        <f>IF(Table1[Date of Initial Assessment]="","",IF(AND(Table1[Start Date]&gt;42460,Table1[Start Date]&lt;42826),Table1[Physical Health],""))</f>
        <v/>
      </c>
      <c r="GA476" s="44" t="str">
        <f>IF(Table1[Date of Initial Assessment]="","",IF(AND(Table1[Start Date]&gt;42460,Table1[Start Date]&lt;42826),Table1[Emotional and Mental Health],""))</f>
        <v/>
      </c>
      <c r="GB476" s="44" t="str">
        <f>IF(Table1[Date of Initial Assessment]="","",IF(AND(Table1[Start Date]&gt;42460,Table1[Start Date]&lt;42826),Table1[Meaningful Use of Time],""))</f>
        <v/>
      </c>
      <c r="GC476" s="44" t="str">
        <f>IF(Table1[Date of Initial Assessment]="","",IF(AND(Table1[Start Date]&gt;42460,Table1[Start Date]&lt;42826),Table1[Managing Tenancy and Accommodation],""))</f>
        <v/>
      </c>
      <c r="GD476" s="44" t="str">
        <f>IF(Table1[Date of Initial Assessment]="","",IF(AND(Table1[Start Date]&gt;42460,Table1[Start Date]&lt;42826),Table1[Offending],""))</f>
        <v/>
      </c>
      <c r="GE476" s="44" t="str">
        <f>IF(Table1[Leaving Date]="","",IF(AND(Table1[Leaving Date]&gt;42460,Table1[Leaving Date]&lt;42826),IF(Table1[Date of Last Assessment]="",Table1[Motivation and Taking Responsibility],Table1[Motivation and Taking Responsibility2]),""))</f>
        <v/>
      </c>
      <c r="GF476" s="44" t="str">
        <f>IF(Table1[Leaving Date]="","",IF(AND(Table1[Leaving Date]&gt;42460,Table1[Leaving Date]&lt;42826),IF(Table1[Date of Last Assessment]="",Table1[Self-Care and Living Skills],Table1[Self-Care and Living Skills2]),""))</f>
        <v/>
      </c>
      <c r="GG476" s="44" t="str">
        <f>IF(Table1[Leaving Date]="","",IF(AND(Table1[Leaving Date]&gt;42460,Table1[Leaving Date]&lt;42826),IF(Table1[Date of Last Assessment]="",Table1[Managing Money and Personal Administration],Table1[Managing Money and Personal Administration2]),""))</f>
        <v/>
      </c>
      <c r="GH476" s="44" t="str">
        <f>IF(Table1[Leaving Date]="","",IF(AND(Table1[Leaving Date]&gt;42460,Table1[Leaving Date]&lt;42826),IF(Table1[Date of Last Assessment]="",Table1[Social Networks and Relationships],Table1[Social Networks and Relationships2]),""))</f>
        <v/>
      </c>
      <c r="GI476" s="44" t="str">
        <f>IF(Table1[Leaving Date]="","",IF(AND(Table1[Leaving Date]&gt;42460,Table1[Leaving Date]&lt;42826),IF(Table1[Date of Last Assessment]="",Table1[Drug and Alcohol Misuse],Table1[Drug and Alcohol Misuse2]),""))</f>
        <v/>
      </c>
      <c r="GJ476" s="44" t="str">
        <f>IF(Table1[Leaving Date]="","",IF(AND(Table1[Leaving Date]&gt;42460,Table1[Leaving Date]&lt;42826),IF(Table1[Date of Last Assessment]="",Table1[Physical Health],Table1[Physical Health2]),""))</f>
        <v/>
      </c>
      <c r="GK476" s="44" t="str">
        <f>IF(Table1[Leaving Date]="","",IF(AND(Table1[Leaving Date]&gt;42460,Table1[Leaving Date]&lt;42826),IF(Table1[Date of Last Assessment]="",Table1[Emotional and Mental Health],Table1[Emotional and Mental Health2]),""))</f>
        <v/>
      </c>
      <c r="GL476" s="44" t="str">
        <f>IF(Table1[Leaving Date]="","",IF(AND(Table1[Leaving Date]&gt;42460,Table1[Leaving Date]&lt;42826),IF(Table1[Date of Last Assessment]="",Table1[Meaningful Use of Time],Table1[Meaningful Use of Time2]),""))</f>
        <v/>
      </c>
      <c r="GM476" s="44" t="str">
        <f>IF(Table1[Leaving Date]="","",IF(AND(Table1[Leaving Date]&gt;42460,Table1[Leaving Date]&lt;42826),IF(Table1[Date of Last Assessment]="",Table1[Managing Tenancy and Accommodation],Table1[Managing Tenancy and Accommodation2]),""))</f>
        <v/>
      </c>
      <c r="GN476" s="44" t="str">
        <f>IF(Table1[Leaving Date]="","",IF(AND(Table1[Leaving Date]&gt;42460,Table1[Leaving Date]&lt;42826),IF(Table1[Date of Last Assessment]="",Table1[Offending],Table1[Offending2]),""))</f>
        <v/>
      </c>
    </row>
    <row r="477" spans="2:196" ht="20.100000000000001" customHeight="1" x14ac:dyDescent="0.2">
      <c r="B477" s="86">
        <f>+'Service Data'!$C$5:$C$5</f>
        <v>0</v>
      </c>
      <c r="C477" s="86"/>
      <c r="D477" s="86"/>
      <c r="E477" s="86"/>
      <c r="F477" s="86"/>
      <c r="G477" s="86"/>
      <c r="H477" s="6"/>
      <c r="I477" s="99" t="str">
        <f ca="1">IF(Table1[[#This Row],[Date of Birth]]="","",SUM(TODAY()-Table1[[#This Row],[Date of Birth]])/365)</f>
        <v/>
      </c>
      <c r="L477" s="86"/>
      <c r="M477" s="77"/>
      <c r="N477" s="86"/>
      <c r="O477" s="86"/>
      <c r="P477" s="91"/>
      <c r="Q477" s="86"/>
      <c r="R477" s="77"/>
      <c r="S477" s="77"/>
      <c r="T477" s="68"/>
      <c r="U477" s="68"/>
      <c r="V477" s="67"/>
      <c r="W477" s="67"/>
      <c r="X477" s="67"/>
      <c r="Y477" s="67"/>
      <c r="Z477" s="67"/>
      <c r="AA477" s="67"/>
      <c r="AB477" s="67"/>
      <c r="AC477" s="67"/>
      <c r="AD477" s="67"/>
      <c r="AE477" s="67"/>
      <c r="AF477" s="67"/>
      <c r="AG477" s="67"/>
      <c r="AH477" s="67"/>
      <c r="AI477" s="67"/>
      <c r="AJ477" s="67"/>
      <c r="AK477" s="67"/>
      <c r="AL477" s="67"/>
      <c r="AM477" s="67"/>
      <c r="AN477" s="77"/>
      <c r="AO477" s="76"/>
      <c r="AP477" s="77"/>
      <c r="AQ477" s="76"/>
      <c r="AR477" s="76"/>
      <c r="AS477" s="76"/>
      <c r="AT477" s="76"/>
      <c r="AU477" s="76"/>
      <c r="AV477" s="77"/>
      <c r="AW477" s="76"/>
      <c r="AX477" s="77"/>
      <c r="AY477" s="76"/>
      <c r="AZ477" s="76"/>
      <c r="BA477" s="76"/>
      <c r="BB477" s="76"/>
      <c r="BC477" s="76"/>
      <c r="BD477" s="77"/>
      <c r="BE477" s="76"/>
      <c r="BF477" s="77"/>
      <c r="BG477" s="76"/>
      <c r="BH477" s="76"/>
      <c r="BI477" s="76"/>
      <c r="BJ477" s="76"/>
      <c r="BK477" s="76"/>
      <c r="BL477" s="77"/>
      <c r="BM477" s="76"/>
      <c r="BN477" s="77"/>
      <c r="BO477" s="76"/>
      <c r="BP477" s="76"/>
      <c r="BQ477" s="76"/>
      <c r="BR477" s="76"/>
      <c r="BS477" s="76"/>
      <c r="BT477" s="77"/>
      <c r="BU477" s="76"/>
      <c r="BV477" s="77"/>
      <c r="BW477" s="76"/>
      <c r="BX477" s="76"/>
      <c r="BY477" s="76"/>
      <c r="BZ477" s="76"/>
      <c r="CA477" s="76"/>
      <c r="CB477" s="77"/>
      <c r="CC477" s="76"/>
      <c r="CD477" s="77"/>
      <c r="CE477" s="76"/>
      <c r="CF477" s="76"/>
      <c r="CG477" s="76"/>
      <c r="CH477" s="76"/>
      <c r="CI477" s="76"/>
      <c r="CJ477" s="77"/>
      <c r="CK477" s="76"/>
      <c r="CL477" s="77"/>
      <c r="CM477" s="76"/>
      <c r="CN477" s="76"/>
      <c r="CO477" s="76"/>
      <c r="CP477" s="76"/>
      <c r="CQ477" s="76"/>
      <c r="CR477" s="78" t="str">
        <f t="shared" si="127"/>
        <v/>
      </c>
      <c r="CS477" s="79" t="str">
        <f t="shared" si="128"/>
        <v/>
      </c>
      <c r="CT477" s="79" t="str">
        <f t="shared" si="129"/>
        <v/>
      </c>
      <c r="CU477" s="79" t="str">
        <f t="shared" si="130"/>
        <v/>
      </c>
      <c r="CV477" s="79" t="str">
        <f t="shared" si="131"/>
        <v/>
      </c>
      <c r="CW477" s="79" t="str">
        <f t="shared" si="132"/>
        <v/>
      </c>
      <c r="CX477" s="79" t="str">
        <f t="shared" si="133"/>
        <v/>
      </c>
      <c r="CY477" s="79" t="str">
        <f t="shared" si="134"/>
        <v/>
      </c>
      <c r="CZ477" s="79" t="str">
        <f t="shared" si="135"/>
        <v/>
      </c>
      <c r="DA477" s="79" t="str">
        <f t="shared" si="136"/>
        <v/>
      </c>
      <c r="DB477" s="79" t="str">
        <f t="shared" si="137"/>
        <v/>
      </c>
      <c r="DC477" s="79" t="str">
        <f t="shared" si="138"/>
        <v/>
      </c>
      <c r="DD477" s="79" t="str">
        <f t="shared" si="139"/>
        <v/>
      </c>
      <c r="DE477" s="79" t="str">
        <f t="shared" si="140"/>
        <v/>
      </c>
      <c r="DF477" s="79" t="str">
        <f t="shared" si="141"/>
        <v/>
      </c>
      <c r="DG477" s="79" t="str">
        <f t="shared" si="142"/>
        <v/>
      </c>
      <c r="DH477" s="76"/>
      <c r="DI477" s="78"/>
      <c r="DJ477" s="76"/>
      <c r="DK477" s="77"/>
      <c r="DL477" s="77"/>
      <c r="DM477" s="77"/>
      <c r="DN477" s="80"/>
      <c r="DO477" s="80"/>
      <c r="DP477" s="92" t="str">
        <f>IF(Table1[Start Date]="","",IF(Table1[Start Date]&gt;42185,"",IF(AND(Table1[Leaving Date]&gt;1,Table1[Leaving Date]&lt;42095),"",1)))</f>
        <v/>
      </c>
      <c r="DQ477" s="92" t="str">
        <f>IF(Table1[Start Date]="","",IF(Table1[Start Date]&gt;42277,"",IF(AND(Table1[Leaving Date]&gt;1,Table1[Leaving Date]&lt;42186),"",1)))</f>
        <v/>
      </c>
      <c r="DR477" s="92" t="str">
        <f>IF(Table1[Start Date]="","",IF(Table1[Start Date]&gt;42369,"",IF(AND(Table1[Leaving Date]&gt;1,Table1[Leaving Date]&lt;42278),"",1)))</f>
        <v/>
      </c>
      <c r="DS477" s="92" t="str">
        <f>IF(Table1[Start Date]="","",IF(Table1[Start Date]&gt;42460,"",IF(AND(Table1[Leaving Date]&gt;1,Table1[Leaving Date]&lt;42370),"",1)))</f>
        <v/>
      </c>
      <c r="DT477" s="92" t="str">
        <f>IF(Table1[Start Date]="","",IF(Table1[Start Date]&gt;42551,"",IF(AND(Table1[Leaving Date]&gt;1,Table1[Leaving Date]&lt;42461),"",1)))</f>
        <v/>
      </c>
      <c r="DU477" s="92" t="str">
        <f>IF(Table1[Start Date]="","",IF(Table1[Start Date]&gt;42643,"",IF(AND(Table1[Leaving Date]&gt;1,Table1[Leaving Date]&lt;42552),"",1)))</f>
        <v/>
      </c>
      <c r="DV477" s="92" t="str">
        <f>IF(Table1[Start Date]="","",IF(Table1[Start Date]&gt;42735,"",IF(AND(Table1[Leaving Date]&gt;1,Table1[Leaving Date]&lt;42644),"",1)))</f>
        <v/>
      </c>
      <c r="DW477" s="92" t="str">
        <f>IF(Table1[Start Date]="","",IF(Table1[Start Date]&gt;42825,"",IF(AND(Table1[Leaving Date]&gt;1,Table1[Leaving Date]&lt;42736),"",1)))</f>
        <v/>
      </c>
      <c r="DX477"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477" s="44" t="e">
        <f>VLOOKUP(Table1[Referral Source],Lists!$G$2:$H$20,2,FALSE)</f>
        <v>#N/A</v>
      </c>
      <c r="DZ477" s="93" t="e">
        <f>SUM(Table1[Data Referral Quarter]+Table1[Data Referral Source])</f>
        <v>#N/A</v>
      </c>
      <c r="EA477" s="44" t="b">
        <f>IF(Table1[Referral Decision]="Accepted",100,IF(Table1[Referral Decision]="Rejected by Provider",200,IF(Table1[Referral Decision]="Rejected by Applicant",300)))</f>
        <v>0</v>
      </c>
      <c r="EB477" s="44">
        <f>SUM(Table1[Data Referral Quarter]+Table1[Data Referral Decision])</f>
        <v>0</v>
      </c>
      <c r="EC477" s="44" t="b">
        <f>IF(Table1[Start Date]&gt;42735,8000,IF(Table1[Start Date]&gt;42643,7000,IF(Table1[Start Date]&gt;42551,6000,IF(Table1[Start Date]&gt;42460,5000,IF(Table1[Start Date]&gt;42369,4000,IF(Table1[Start Date]&gt;42277,3000,IF(Table1[Start Date]&gt;42185,2000,IF(Table1[Start Date]&gt;42094,1000))))))))</f>
        <v>0</v>
      </c>
      <c r="ED477" s="44" t="str">
        <f>IF(Table1[Start Date]="","",IF(Table1[Current Local Authority]="Swindon",1,"2"))</f>
        <v/>
      </c>
      <c r="EE477" s="44" t="e">
        <f>SUM(Table1[Data Start Date]+Table1[Data Local Authority])</f>
        <v>#VALUE!</v>
      </c>
      <c r="EF477" s="44">
        <f>IF(Table1[Registered with GP]="Yes",1,0)</f>
        <v>0</v>
      </c>
      <c r="EG477" s="44">
        <f>SUM(Table1[Data Start Date]+Table1[Data GP Start])</f>
        <v>0</v>
      </c>
      <c r="EH477" s="44" t="str">
        <f>IF(Table1[EET]="NEET",1,IF(Table1[EET]="Education",2,IF(Table1[EET]="Employment",2,IF(Table1[EET]="Training",2,IF(Table1[EET]="Retired",3,"")))))</f>
        <v/>
      </c>
      <c r="EI477" s="44" t="e">
        <f>Table1[Data Start Date]+Table1[Data EET Start]</f>
        <v>#VALUE!</v>
      </c>
      <c r="EJ477" s="44" t="b">
        <f>IF(Table1[Leaving Date]&gt;42735,8000,IF(Table1[Leaving Date]&gt;42643,7000,IF(Table1[Leaving Date]&gt;42551,6000,IF(Table1[Leaving Date]&gt;42460,5000,IF(Table1[Leaving Date]&gt;42369,4000,IF(Table1[Leaving Date]&gt;42277,3000,IF(Table1[Leaving Date]&gt;42185,2000,IF(Table1[Leaving Date]&gt;42094,1000))))))))</f>
        <v>0</v>
      </c>
      <c r="EK477" s="44" t="e">
        <f>VLOOKUP(Table1[Reason for Leaving],Lists!$T$2:$U$15,2,FALSE)</f>
        <v>#N/A</v>
      </c>
      <c r="EL477" s="44" t="e">
        <f>SUM(Table1[Data Leavers Date]+Table1[Data Move On])</f>
        <v>#N/A</v>
      </c>
      <c r="EM477" s="44" t="b">
        <f>IF(Table1[Registered with GP2]="Yes",1,IF(Table1[Registered with GP2]="No",0,IF(Table1[Registered with GP]="Yes",1,IF(Table1[Registered with GP]="No",0))))</f>
        <v>0</v>
      </c>
      <c r="EN477" s="44">
        <f>SUM(Table1[Data Leavers Date]+Table1[Data GP End])</f>
        <v>0</v>
      </c>
      <c r="EO477" s="44" t="str">
        <f>IF(Table1[EET2]="NEET",1,IF(Table1[EET2]="Employment",2,IF(Table1[EET2]="Education",2,IF(Table1[EET2]="Training",2,IF(Table1[EET2]="Retired",3,IF(Table1[EET]="NEET",1,IF(Table1[EET]="Employment",2,IF(Table1[EET]="Education",2,IF(Table1[EET]="Training",2,IF(Table1[EET]="Retired",3,""))))))))))</f>
        <v/>
      </c>
      <c r="EP477" s="44" t="e">
        <f>+Table1[[#This Row],[Data Leavers Date]]+Table1[[#This Row],[Data EET End]]</f>
        <v>#VALUE!</v>
      </c>
      <c r="EQ477" s="44">
        <f>IF(Table1[Exit Form Received]="Yes",1,0)</f>
        <v>0</v>
      </c>
      <c r="ER477" s="44">
        <f>+Table1[[#This Row],[Data Leavers Date]]+Table1[[#This Row],[Data Exit Forms]]</f>
        <v>0</v>
      </c>
      <c r="ES477" s="44" t="str">
        <f>IF(Table1[Data Leavers Date]=1000,SUM(Table1[Leaving Date]-Table1[Start Date]),"")</f>
        <v/>
      </c>
      <c r="ET477" s="44" t="str">
        <f>IF(Table1[Data Leavers Date]=2000,SUM(Table1[Leaving Date]-Table1[Start Date]),"")</f>
        <v/>
      </c>
      <c r="EU477" s="44" t="str">
        <f>IF(Table1[Data Leavers Date]=3000,SUM(Table1[Leaving Date]-Table1[Start Date]),"")</f>
        <v/>
      </c>
      <c r="EV477" s="44" t="str">
        <f>IF(Table1[Data Leavers Date]=4000,SUM(Table1[Leaving Date]-Table1[Start Date]),"")</f>
        <v/>
      </c>
      <c r="EW477" s="44" t="str">
        <f>IF(Table1[Data Leavers Date]=5000,SUM(Table1[Leaving Date]-Table1[Start Date]),"")</f>
        <v/>
      </c>
      <c r="EX477" s="44" t="str">
        <f>IF(Table1[Data Leavers Date]=6000,SUM(Table1[Leaving Date]-Table1[Start Date]),"")</f>
        <v/>
      </c>
      <c r="EY477" s="44" t="str">
        <f>IF(Table1[Data Leavers Date]=7000,SUM(Table1[Leaving Date]-Table1[Start Date]),"")</f>
        <v/>
      </c>
      <c r="EZ477" s="44" t="str">
        <f>IF(Table1[Data Leavers Date]=8000,SUM(Table1[Leaving Date]-Table1[Start Date]),"")</f>
        <v/>
      </c>
      <c r="FA477" s="44" t="str">
        <f>IF(Table1[Date of Initial Assessment]="","",IF(AND(Table1[Start Date]&gt;42094,Table1[Start Date]&lt;42461),Table1[Motivation and Taking Responsibility],""))</f>
        <v/>
      </c>
      <c r="FB477" s="44" t="str">
        <f>IF(Table1[Date of Initial Assessment]="","",IF(AND(Table1[Start Date]&gt;42094,Table1[Start Date]&lt;42461),Table1[Self-Care and Living Skills],""))</f>
        <v/>
      </c>
      <c r="FC477" s="44" t="str">
        <f>IF(Table1[Date of Initial Assessment]="","",IF(AND(Table1[Start Date]&gt;42094,Table1[Start Date]&lt;42461),Table1[Managing Money and Personal Administration],""))</f>
        <v/>
      </c>
      <c r="FD477" s="44" t="str">
        <f>IF(Table1[Date of Initial Assessment]="","",IF(AND(Table1[Start Date]&gt;42094,Table1[Start Date]&lt;42461),Table1[Social Networks and Relationships],""))</f>
        <v/>
      </c>
      <c r="FE477" s="44" t="str">
        <f>IF(Table1[Date of Initial Assessment]="","",IF(AND(Table1[Start Date]&gt;42094,Table1[Start Date]&lt;42461),Table1[Drug and Alcohol Misuse],""))</f>
        <v/>
      </c>
      <c r="FF477" s="44" t="str">
        <f>IF(Table1[Date of Initial Assessment]="","",IF(AND(Table1[Start Date]&gt;42094,Table1[Start Date]&lt;42461),Table1[Physical Health],""))</f>
        <v/>
      </c>
      <c r="FG477" s="44" t="str">
        <f>IF(Table1[Date of Initial Assessment]="","",IF(AND(Table1[Start Date]&gt;42094,Table1[Start Date]&lt;42461),Table1[Emotional and Mental Health],""))</f>
        <v/>
      </c>
      <c r="FH477" s="44" t="str">
        <f>IF(Table1[Date of Initial Assessment]="","",IF(AND(Table1[Start Date]&gt;42094,Table1[Start Date]&lt;42461),Table1[Meaningful Use of Time],""))</f>
        <v/>
      </c>
      <c r="FI477" s="44" t="str">
        <f>IF(Table1[Date of Initial Assessment]="","",IF(AND(Table1[Start Date]&gt;42094,Table1[Start Date]&lt;42461),Table1[Managing Tenancy and Accommodation],""))</f>
        <v/>
      </c>
      <c r="FJ477" s="44" t="str">
        <f>IF(Table1[Date of Initial Assessment]="","",IF(AND(Table1[Start Date]&gt;42094,Table1[Start Date]&lt;42461),Table1[Offending],""))</f>
        <v/>
      </c>
      <c r="FK477" s="44" t="str">
        <f>IF(Table1[Leaving Date]="","",IF(Table1[Date of Initial Assessment]="","",IF(AND(Table1[Leaving Date]&gt;42094,Table1[Leaving Date]&lt;42461),IF(Table1[Date of Last Assessment]="",Table1[Motivation and Taking Responsibility],Table1[Motivation and Taking Responsibility2]),"")))</f>
        <v/>
      </c>
      <c r="FL477" s="44" t="str">
        <f>IF(Table1[Leaving Date]="","",IF(Table1[Date of Initial Assessment]="","",IF(AND(Table1[Leaving Date]&gt;42094,Table1[Leaving Date]&lt;42461),IF(Table1[Date of Last Assessment]="",Table1[Self-Care and Living Skills],Table1[Self-Care and Living Skills2]),"")))</f>
        <v/>
      </c>
      <c r="FM477" s="44" t="str">
        <f>IF(Table1[Leaving Date]="","",IF(Table1[Date of Initial Assessment]="","",IF(AND(Table1[Leaving Date]&gt;42094,Table1[Leaving Date]&lt;42461),IF(Table1[Date of Last Assessment]="",Table1[Managing Money and Personal Administration],Table1[Managing Money and Personal Administration2]),"")))</f>
        <v/>
      </c>
      <c r="FN477" s="44" t="str">
        <f>IF(Table1[Leaving Date]="","",IF(Table1[Date of Initial Assessment]="","",IF(AND(Table1[Leaving Date]&gt;42094,Table1[Leaving Date]&lt;42461),IF(Table1[Date of Last Assessment]="",Table1[Social Networks and Relationships],Table1[Social Networks and Relationships2]),"")))</f>
        <v/>
      </c>
      <c r="FO477" s="44" t="str">
        <f>IF(Table1[Leaving Date]="","",IF(Table1[Date of Initial Assessment]="","",IF(AND(Table1[Leaving Date]&gt;42094,Table1[Leaving Date]&lt;42461),IF(Table1[Date of Last Assessment]="",Table1[Drug and Alcohol Misuse],Table1[Drug and Alcohol Misuse2]),"")))</f>
        <v/>
      </c>
      <c r="FP477" s="44" t="str">
        <f>IF(Table1[Leaving Date]="","",IF(Table1[Date of Initial Assessment]="","",IF(AND(Table1[Leaving Date]&gt;42094,Table1[Leaving Date]&lt;42461),IF(Table1[Date of Last Assessment]="",Table1[Physical Health],Table1[Physical Health2]),"")))</f>
        <v/>
      </c>
      <c r="FQ477" s="44" t="str">
        <f>IF(Table1[Leaving Date]="","",IF(Table1[Date of Initial Assessment]="","",IF(AND(Table1[Leaving Date]&gt;42094,Table1[Leaving Date]&lt;42461),IF(Table1[Date of Last Assessment]="",Table1[Emotional and Mental Health],Table1[Emotional and Mental Health2]),"")))</f>
        <v/>
      </c>
      <c r="FR477" s="44" t="str">
        <f>IF(Table1[Leaving Date]="","",IF(Table1[Date of Initial Assessment]="","",IF(AND(Table1[Leaving Date]&gt;42094,Table1[Leaving Date]&lt;42461),IF(Table1[Date of Last Assessment]="",Table1[Meaningful Use of Time],Table1[Meaningful Use of Time2]),"")))</f>
        <v/>
      </c>
      <c r="FS477" s="44" t="str">
        <f>IF(Table1[Leaving Date]="","",IF(Table1[Date of Initial Assessment]="","",IF(AND(Table1[Leaving Date]&gt;42094,Table1[Leaving Date]&lt;42461),IF(Table1[Date of Last Assessment]="",Table1[Managing Tenancy and Accommodation],Table1[Managing Tenancy and Accommodation2]),"")))</f>
        <v/>
      </c>
      <c r="FT477" s="44" t="str">
        <f>IF(Table1[Leaving Date]="","",IF(Table1[Date of Initial Assessment]="","",IF(AND(Table1[Leaving Date]&gt;42094,Table1[Leaving Date]&lt;42461),IF(Table1[Date of Last Assessment]="",Table1[Offending],Table1[Offending2]),"")))</f>
        <v/>
      </c>
      <c r="FU477" s="44" t="str">
        <f>IF(Table1[Date of Initial Assessment]="","",IF(AND(Table1[Start Date]&gt;42460,Table1[Start Date]&lt;42826),Table1[Motivation and Taking Responsibility],""))</f>
        <v/>
      </c>
      <c r="FV477" s="44" t="str">
        <f>IF(Table1[Date of Initial Assessment]="","",IF(AND(Table1[Start Date]&gt;42460,Table1[Start Date]&lt;42826),Table1[Self-Care and Living Skills],""))</f>
        <v/>
      </c>
      <c r="FW477" s="44" t="str">
        <f>IF(Table1[Date of Initial Assessment]="","",IF(AND(Table1[Start Date]&gt;42460,Table1[Start Date]&lt;42826),Table1[Managing Money and Personal Administration],""))</f>
        <v/>
      </c>
      <c r="FX477" s="44" t="str">
        <f>IF(Table1[Date of Initial Assessment]="","",IF(AND(Table1[Start Date]&gt;42460,Table1[Start Date]&lt;42826),Table1[Social Networks and Relationships],""))</f>
        <v/>
      </c>
      <c r="FY477" s="44" t="str">
        <f>IF(Table1[Date of Initial Assessment]="","",IF(AND(Table1[Start Date]&gt;42460,Table1[Start Date]&lt;42826),Table1[Drug and Alcohol Misuse],""))</f>
        <v/>
      </c>
      <c r="FZ477" s="44" t="str">
        <f>IF(Table1[Date of Initial Assessment]="","",IF(AND(Table1[Start Date]&gt;42460,Table1[Start Date]&lt;42826),Table1[Physical Health],""))</f>
        <v/>
      </c>
      <c r="GA477" s="44" t="str">
        <f>IF(Table1[Date of Initial Assessment]="","",IF(AND(Table1[Start Date]&gt;42460,Table1[Start Date]&lt;42826),Table1[Emotional and Mental Health],""))</f>
        <v/>
      </c>
      <c r="GB477" s="44" t="str">
        <f>IF(Table1[Date of Initial Assessment]="","",IF(AND(Table1[Start Date]&gt;42460,Table1[Start Date]&lt;42826),Table1[Meaningful Use of Time],""))</f>
        <v/>
      </c>
      <c r="GC477" s="44" t="str">
        <f>IF(Table1[Date of Initial Assessment]="","",IF(AND(Table1[Start Date]&gt;42460,Table1[Start Date]&lt;42826),Table1[Managing Tenancy and Accommodation],""))</f>
        <v/>
      </c>
      <c r="GD477" s="44" t="str">
        <f>IF(Table1[Date of Initial Assessment]="","",IF(AND(Table1[Start Date]&gt;42460,Table1[Start Date]&lt;42826),Table1[Offending],""))</f>
        <v/>
      </c>
      <c r="GE477" s="44" t="str">
        <f>IF(Table1[Leaving Date]="","",IF(AND(Table1[Leaving Date]&gt;42460,Table1[Leaving Date]&lt;42826),IF(Table1[Date of Last Assessment]="",Table1[Motivation and Taking Responsibility],Table1[Motivation and Taking Responsibility2]),""))</f>
        <v/>
      </c>
      <c r="GF477" s="44" t="str">
        <f>IF(Table1[Leaving Date]="","",IF(AND(Table1[Leaving Date]&gt;42460,Table1[Leaving Date]&lt;42826),IF(Table1[Date of Last Assessment]="",Table1[Self-Care and Living Skills],Table1[Self-Care and Living Skills2]),""))</f>
        <v/>
      </c>
      <c r="GG477" s="44" t="str">
        <f>IF(Table1[Leaving Date]="","",IF(AND(Table1[Leaving Date]&gt;42460,Table1[Leaving Date]&lt;42826),IF(Table1[Date of Last Assessment]="",Table1[Managing Money and Personal Administration],Table1[Managing Money and Personal Administration2]),""))</f>
        <v/>
      </c>
      <c r="GH477" s="44" t="str">
        <f>IF(Table1[Leaving Date]="","",IF(AND(Table1[Leaving Date]&gt;42460,Table1[Leaving Date]&lt;42826),IF(Table1[Date of Last Assessment]="",Table1[Social Networks and Relationships],Table1[Social Networks and Relationships2]),""))</f>
        <v/>
      </c>
      <c r="GI477" s="44" t="str">
        <f>IF(Table1[Leaving Date]="","",IF(AND(Table1[Leaving Date]&gt;42460,Table1[Leaving Date]&lt;42826),IF(Table1[Date of Last Assessment]="",Table1[Drug and Alcohol Misuse],Table1[Drug and Alcohol Misuse2]),""))</f>
        <v/>
      </c>
      <c r="GJ477" s="44" t="str">
        <f>IF(Table1[Leaving Date]="","",IF(AND(Table1[Leaving Date]&gt;42460,Table1[Leaving Date]&lt;42826),IF(Table1[Date of Last Assessment]="",Table1[Physical Health],Table1[Physical Health2]),""))</f>
        <v/>
      </c>
      <c r="GK477" s="44" t="str">
        <f>IF(Table1[Leaving Date]="","",IF(AND(Table1[Leaving Date]&gt;42460,Table1[Leaving Date]&lt;42826),IF(Table1[Date of Last Assessment]="",Table1[Emotional and Mental Health],Table1[Emotional and Mental Health2]),""))</f>
        <v/>
      </c>
      <c r="GL477" s="44" t="str">
        <f>IF(Table1[Leaving Date]="","",IF(AND(Table1[Leaving Date]&gt;42460,Table1[Leaving Date]&lt;42826),IF(Table1[Date of Last Assessment]="",Table1[Meaningful Use of Time],Table1[Meaningful Use of Time2]),""))</f>
        <v/>
      </c>
      <c r="GM477" s="44" t="str">
        <f>IF(Table1[Leaving Date]="","",IF(AND(Table1[Leaving Date]&gt;42460,Table1[Leaving Date]&lt;42826),IF(Table1[Date of Last Assessment]="",Table1[Managing Tenancy and Accommodation],Table1[Managing Tenancy and Accommodation2]),""))</f>
        <v/>
      </c>
      <c r="GN477" s="44" t="str">
        <f>IF(Table1[Leaving Date]="","",IF(AND(Table1[Leaving Date]&gt;42460,Table1[Leaving Date]&lt;42826),IF(Table1[Date of Last Assessment]="",Table1[Offending],Table1[Offending2]),""))</f>
        <v/>
      </c>
    </row>
    <row r="478" spans="2:196" ht="20.100000000000001" customHeight="1" x14ac:dyDescent="0.2">
      <c r="B478" s="86">
        <f>+'Service Data'!$C$5:$C$5</f>
        <v>0</v>
      </c>
      <c r="C478" s="86"/>
      <c r="D478" s="86"/>
      <c r="E478" s="86"/>
      <c r="F478" s="86"/>
      <c r="G478" s="86"/>
      <c r="H478" s="6"/>
      <c r="I478" s="99" t="str">
        <f ca="1">IF(Table1[[#This Row],[Date of Birth]]="","",SUM(TODAY()-Table1[[#This Row],[Date of Birth]])/365)</f>
        <v/>
      </c>
      <c r="L478" s="86"/>
      <c r="M478" s="77"/>
      <c r="N478" s="86"/>
      <c r="O478" s="86"/>
      <c r="P478" s="91"/>
      <c r="Q478" s="86"/>
      <c r="R478" s="77"/>
      <c r="S478" s="77"/>
      <c r="T478" s="68"/>
      <c r="U478" s="68"/>
      <c r="V478" s="67"/>
      <c r="W478" s="67"/>
      <c r="X478" s="67"/>
      <c r="Y478" s="67"/>
      <c r="Z478" s="67"/>
      <c r="AA478" s="67"/>
      <c r="AB478" s="67"/>
      <c r="AC478" s="67"/>
      <c r="AD478" s="67"/>
      <c r="AE478" s="67"/>
      <c r="AF478" s="67"/>
      <c r="AG478" s="67"/>
      <c r="AH478" s="67"/>
      <c r="AI478" s="67"/>
      <c r="AJ478" s="67"/>
      <c r="AK478" s="67"/>
      <c r="AL478" s="67"/>
      <c r="AM478" s="67"/>
      <c r="AN478" s="77"/>
      <c r="AO478" s="76"/>
      <c r="AP478" s="77"/>
      <c r="AQ478" s="76"/>
      <c r="AR478" s="76"/>
      <c r="AS478" s="76"/>
      <c r="AT478" s="76"/>
      <c r="AU478" s="76"/>
      <c r="AV478" s="77"/>
      <c r="AW478" s="76"/>
      <c r="AX478" s="77"/>
      <c r="AY478" s="76"/>
      <c r="AZ478" s="76"/>
      <c r="BA478" s="76"/>
      <c r="BB478" s="76"/>
      <c r="BC478" s="76"/>
      <c r="BD478" s="77"/>
      <c r="BE478" s="76"/>
      <c r="BF478" s="77"/>
      <c r="BG478" s="76"/>
      <c r="BH478" s="76"/>
      <c r="BI478" s="76"/>
      <c r="BJ478" s="76"/>
      <c r="BK478" s="76"/>
      <c r="BL478" s="77"/>
      <c r="BM478" s="76"/>
      <c r="BN478" s="77"/>
      <c r="BO478" s="76"/>
      <c r="BP478" s="76"/>
      <c r="BQ478" s="76"/>
      <c r="BR478" s="76"/>
      <c r="BS478" s="76"/>
      <c r="BT478" s="77"/>
      <c r="BU478" s="76"/>
      <c r="BV478" s="77"/>
      <c r="BW478" s="76"/>
      <c r="BX478" s="76"/>
      <c r="BY478" s="76"/>
      <c r="BZ478" s="76"/>
      <c r="CA478" s="76"/>
      <c r="CB478" s="77"/>
      <c r="CC478" s="76"/>
      <c r="CD478" s="77"/>
      <c r="CE478" s="76"/>
      <c r="CF478" s="76"/>
      <c r="CG478" s="76"/>
      <c r="CH478" s="76"/>
      <c r="CI478" s="76"/>
      <c r="CJ478" s="77"/>
      <c r="CK478" s="76"/>
      <c r="CL478" s="77"/>
      <c r="CM478" s="76"/>
      <c r="CN478" s="76"/>
      <c r="CO478" s="76"/>
      <c r="CP478" s="76"/>
      <c r="CQ478" s="76"/>
      <c r="CR478" s="78" t="str">
        <f t="shared" si="127"/>
        <v/>
      </c>
      <c r="CS478" s="79" t="str">
        <f t="shared" si="128"/>
        <v/>
      </c>
      <c r="CT478" s="79" t="str">
        <f t="shared" si="129"/>
        <v/>
      </c>
      <c r="CU478" s="79" t="str">
        <f t="shared" si="130"/>
        <v/>
      </c>
      <c r="CV478" s="79" t="str">
        <f t="shared" si="131"/>
        <v/>
      </c>
      <c r="CW478" s="79" t="str">
        <f t="shared" si="132"/>
        <v/>
      </c>
      <c r="CX478" s="79" t="str">
        <f t="shared" si="133"/>
        <v/>
      </c>
      <c r="CY478" s="79" t="str">
        <f t="shared" si="134"/>
        <v/>
      </c>
      <c r="CZ478" s="79" t="str">
        <f t="shared" si="135"/>
        <v/>
      </c>
      <c r="DA478" s="79" t="str">
        <f t="shared" si="136"/>
        <v/>
      </c>
      <c r="DB478" s="79" t="str">
        <f t="shared" si="137"/>
        <v/>
      </c>
      <c r="DC478" s="79" t="str">
        <f t="shared" si="138"/>
        <v/>
      </c>
      <c r="DD478" s="79" t="str">
        <f t="shared" si="139"/>
        <v/>
      </c>
      <c r="DE478" s="79" t="str">
        <f t="shared" si="140"/>
        <v/>
      </c>
      <c r="DF478" s="79" t="str">
        <f t="shared" si="141"/>
        <v/>
      </c>
      <c r="DG478" s="79" t="str">
        <f t="shared" si="142"/>
        <v/>
      </c>
      <c r="DH478" s="76"/>
      <c r="DI478" s="78"/>
      <c r="DJ478" s="76"/>
      <c r="DK478" s="77"/>
      <c r="DL478" s="77"/>
      <c r="DM478" s="77"/>
      <c r="DN478" s="80"/>
      <c r="DO478" s="80"/>
      <c r="DP478" s="92" t="str">
        <f>IF(Table1[Start Date]="","",IF(Table1[Start Date]&gt;42185,"",IF(AND(Table1[Leaving Date]&gt;1,Table1[Leaving Date]&lt;42095),"",1)))</f>
        <v/>
      </c>
      <c r="DQ478" s="92" t="str">
        <f>IF(Table1[Start Date]="","",IF(Table1[Start Date]&gt;42277,"",IF(AND(Table1[Leaving Date]&gt;1,Table1[Leaving Date]&lt;42186),"",1)))</f>
        <v/>
      </c>
      <c r="DR478" s="92" t="str">
        <f>IF(Table1[Start Date]="","",IF(Table1[Start Date]&gt;42369,"",IF(AND(Table1[Leaving Date]&gt;1,Table1[Leaving Date]&lt;42278),"",1)))</f>
        <v/>
      </c>
      <c r="DS478" s="92" t="str">
        <f>IF(Table1[Start Date]="","",IF(Table1[Start Date]&gt;42460,"",IF(AND(Table1[Leaving Date]&gt;1,Table1[Leaving Date]&lt;42370),"",1)))</f>
        <v/>
      </c>
      <c r="DT478" s="92" t="str">
        <f>IF(Table1[Start Date]="","",IF(Table1[Start Date]&gt;42551,"",IF(AND(Table1[Leaving Date]&gt;1,Table1[Leaving Date]&lt;42461),"",1)))</f>
        <v/>
      </c>
      <c r="DU478" s="92" t="str">
        <f>IF(Table1[Start Date]="","",IF(Table1[Start Date]&gt;42643,"",IF(AND(Table1[Leaving Date]&gt;1,Table1[Leaving Date]&lt;42552),"",1)))</f>
        <v/>
      </c>
      <c r="DV478" s="92" t="str">
        <f>IF(Table1[Start Date]="","",IF(Table1[Start Date]&gt;42735,"",IF(AND(Table1[Leaving Date]&gt;1,Table1[Leaving Date]&lt;42644),"",1)))</f>
        <v/>
      </c>
      <c r="DW478" s="92" t="str">
        <f>IF(Table1[Start Date]="","",IF(Table1[Start Date]&gt;42825,"",IF(AND(Table1[Leaving Date]&gt;1,Table1[Leaving Date]&lt;42736),"",1)))</f>
        <v/>
      </c>
      <c r="DX478"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478" s="44" t="e">
        <f>VLOOKUP(Table1[Referral Source],Lists!$G$2:$H$20,2,FALSE)</f>
        <v>#N/A</v>
      </c>
      <c r="DZ478" s="93" t="e">
        <f>SUM(Table1[Data Referral Quarter]+Table1[Data Referral Source])</f>
        <v>#N/A</v>
      </c>
      <c r="EA478" s="44" t="b">
        <f>IF(Table1[Referral Decision]="Accepted",100,IF(Table1[Referral Decision]="Rejected by Provider",200,IF(Table1[Referral Decision]="Rejected by Applicant",300)))</f>
        <v>0</v>
      </c>
      <c r="EB478" s="44">
        <f>SUM(Table1[Data Referral Quarter]+Table1[Data Referral Decision])</f>
        <v>0</v>
      </c>
      <c r="EC478" s="44" t="b">
        <f>IF(Table1[Start Date]&gt;42735,8000,IF(Table1[Start Date]&gt;42643,7000,IF(Table1[Start Date]&gt;42551,6000,IF(Table1[Start Date]&gt;42460,5000,IF(Table1[Start Date]&gt;42369,4000,IF(Table1[Start Date]&gt;42277,3000,IF(Table1[Start Date]&gt;42185,2000,IF(Table1[Start Date]&gt;42094,1000))))))))</f>
        <v>0</v>
      </c>
      <c r="ED478" s="44" t="str">
        <f>IF(Table1[Start Date]="","",IF(Table1[Current Local Authority]="Swindon",1,"2"))</f>
        <v/>
      </c>
      <c r="EE478" s="44" t="e">
        <f>SUM(Table1[Data Start Date]+Table1[Data Local Authority])</f>
        <v>#VALUE!</v>
      </c>
      <c r="EF478" s="44">
        <f>IF(Table1[Registered with GP]="Yes",1,0)</f>
        <v>0</v>
      </c>
      <c r="EG478" s="44">
        <f>SUM(Table1[Data Start Date]+Table1[Data GP Start])</f>
        <v>0</v>
      </c>
      <c r="EH478" s="44" t="str">
        <f>IF(Table1[EET]="NEET",1,IF(Table1[EET]="Education",2,IF(Table1[EET]="Employment",2,IF(Table1[EET]="Training",2,IF(Table1[EET]="Retired",3,"")))))</f>
        <v/>
      </c>
      <c r="EI478" s="44" t="e">
        <f>Table1[Data Start Date]+Table1[Data EET Start]</f>
        <v>#VALUE!</v>
      </c>
      <c r="EJ478" s="44" t="b">
        <f>IF(Table1[Leaving Date]&gt;42735,8000,IF(Table1[Leaving Date]&gt;42643,7000,IF(Table1[Leaving Date]&gt;42551,6000,IF(Table1[Leaving Date]&gt;42460,5000,IF(Table1[Leaving Date]&gt;42369,4000,IF(Table1[Leaving Date]&gt;42277,3000,IF(Table1[Leaving Date]&gt;42185,2000,IF(Table1[Leaving Date]&gt;42094,1000))))))))</f>
        <v>0</v>
      </c>
      <c r="EK478" s="44" t="e">
        <f>VLOOKUP(Table1[Reason for Leaving],Lists!$T$2:$U$15,2,FALSE)</f>
        <v>#N/A</v>
      </c>
      <c r="EL478" s="44" t="e">
        <f>SUM(Table1[Data Leavers Date]+Table1[Data Move On])</f>
        <v>#N/A</v>
      </c>
      <c r="EM478" s="44" t="b">
        <f>IF(Table1[Registered with GP2]="Yes",1,IF(Table1[Registered with GP2]="No",0,IF(Table1[Registered with GP]="Yes",1,IF(Table1[Registered with GP]="No",0))))</f>
        <v>0</v>
      </c>
      <c r="EN478" s="44">
        <f>SUM(Table1[Data Leavers Date]+Table1[Data GP End])</f>
        <v>0</v>
      </c>
      <c r="EO478" s="44" t="str">
        <f>IF(Table1[EET2]="NEET",1,IF(Table1[EET2]="Employment",2,IF(Table1[EET2]="Education",2,IF(Table1[EET2]="Training",2,IF(Table1[EET2]="Retired",3,IF(Table1[EET]="NEET",1,IF(Table1[EET]="Employment",2,IF(Table1[EET]="Education",2,IF(Table1[EET]="Training",2,IF(Table1[EET]="Retired",3,""))))))))))</f>
        <v/>
      </c>
      <c r="EP478" s="44" t="e">
        <f>+Table1[[#This Row],[Data Leavers Date]]+Table1[[#This Row],[Data EET End]]</f>
        <v>#VALUE!</v>
      </c>
      <c r="EQ478" s="44">
        <f>IF(Table1[Exit Form Received]="Yes",1,0)</f>
        <v>0</v>
      </c>
      <c r="ER478" s="44">
        <f>+Table1[[#This Row],[Data Leavers Date]]+Table1[[#This Row],[Data Exit Forms]]</f>
        <v>0</v>
      </c>
      <c r="ES478" s="44" t="str">
        <f>IF(Table1[Data Leavers Date]=1000,SUM(Table1[Leaving Date]-Table1[Start Date]),"")</f>
        <v/>
      </c>
      <c r="ET478" s="44" t="str">
        <f>IF(Table1[Data Leavers Date]=2000,SUM(Table1[Leaving Date]-Table1[Start Date]),"")</f>
        <v/>
      </c>
      <c r="EU478" s="44" t="str">
        <f>IF(Table1[Data Leavers Date]=3000,SUM(Table1[Leaving Date]-Table1[Start Date]),"")</f>
        <v/>
      </c>
      <c r="EV478" s="44" t="str">
        <f>IF(Table1[Data Leavers Date]=4000,SUM(Table1[Leaving Date]-Table1[Start Date]),"")</f>
        <v/>
      </c>
      <c r="EW478" s="44" t="str">
        <f>IF(Table1[Data Leavers Date]=5000,SUM(Table1[Leaving Date]-Table1[Start Date]),"")</f>
        <v/>
      </c>
      <c r="EX478" s="44" t="str">
        <f>IF(Table1[Data Leavers Date]=6000,SUM(Table1[Leaving Date]-Table1[Start Date]),"")</f>
        <v/>
      </c>
      <c r="EY478" s="44" t="str">
        <f>IF(Table1[Data Leavers Date]=7000,SUM(Table1[Leaving Date]-Table1[Start Date]),"")</f>
        <v/>
      </c>
      <c r="EZ478" s="44" t="str">
        <f>IF(Table1[Data Leavers Date]=8000,SUM(Table1[Leaving Date]-Table1[Start Date]),"")</f>
        <v/>
      </c>
      <c r="FA478" s="44" t="str">
        <f>IF(Table1[Date of Initial Assessment]="","",IF(AND(Table1[Start Date]&gt;42094,Table1[Start Date]&lt;42461),Table1[Motivation and Taking Responsibility],""))</f>
        <v/>
      </c>
      <c r="FB478" s="44" t="str">
        <f>IF(Table1[Date of Initial Assessment]="","",IF(AND(Table1[Start Date]&gt;42094,Table1[Start Date]&lt;42461),Table1[Self-Care and Living Skills],""))</f>
        <v/>
      </c>
      <c r="FC478" s="44" t="str">
        <f>IF(Table1[Date of Initial Assessment]="","",IF(AND(Table1[Start Date]&gt;42094,Table1[Start Date]&lt;42461),Table1[Managing Money and Personal Administration],""))</f>
        <v/>
      </c>
      <c r="FD478" s="44" t="str">
        <f>IF(Table1[Date of Initial Assessment]="","",IF(AND(Table1[Start Date]&gt;42094,Table1[Start Date]&lt;42461),Table1[Social Networks and Relationships],""))</f>
        <v/>
      </c>
      <c r="FE478" s="44" t="str">
        <f>IF(Table1[Date of Initial Assessment]="","",IF(AND(Table1[Start Date]&gt;42094,Table1[Start Date]&lt;42461),Table1[Drug and Alcohol Misuse],""))</f>
        <v/>
      </c>
      <c r="FF478" s="44" t="str">
        <f>IF(Table1[Date of Initial Assessment]="","",IF(AND(Table1[Start Date]&gt;42094,Table1[Start Date]&lt;42461),Table1[Physical Health],""))</f>
        <v/>
      </c>
      <c r="FG478" s="44" t="str">
        <f>IF(Table1[Date of Initial Assessment]="","",IF(AND(Table1[Start Date]&gt;42094,Table1[Start Date]&lt;42461),Table1[Emotional and Mental Health],""))</f>
        <v/>
      </c>
      <c r="FH478" s="44" t="str">
        <f>IF(Table1[Date of Initial Assessment]="","",IF(AND(Table1[Start Date]&gt;42094,Table1[Start Date]&lt;42461),Table1[Meaningful Use of Time],""))</f>
        <v/>
      </c>
      <c r="FI478" s="44" t="str">
        <f>IF(Table1[Date of Initial Assessment]="","",IF(AND(Table1[Start Date]&gt;42094,Table1[Start Date]&lt;42461),Table1[Managing Tenancy and Accommodation],""))</f>
        <v/>
      </c>
      <c r="FJ478" s="44" t="str">
        <f>IF(Table1[Date of Initial Assessment]="","",IF(AND(Table1[Start Date]&gt;42094,Table1[Start Date]&lt;42461),Table1[Offending],""))</f>
        <v/>
      </c>
      <c r="FK478" s="44" t="str">
        <f>IF(Table1[Leaving Date]="","",IF(Table1[Date of Initial Assessment]="","",IF(AND(Table1[Leaving Date]&gt;42094,Table1[Leaving Date]&lt;42461),IF(Table1[Date of Last Assessment]="",Table1[Motivation and Taking Responsibility],Table1[Motivation and Taking Responsibility2]),"")))</f>
        <v/>
      </c>
      <c r="FL478" s="44" t="str">
        <f>IF(Table1[Leaving Date]="","",IF(Table1[Date of Initial Assessment]="","",IF(AND(Table1[Leaving Date]&gt;42094,Table1[Leaving Date]&lt;42461),IF(Table1[Date of Last Assessment]="",Table1[Self-Care and Living Skills],Table1[Self-Care and Living Skills2]),"")))</f>
        <v/>
      </c>
      <c r="FM478" s="44" t="str">
        <f>IF(Table1[Leaving Date]="","",IF(Table1[Date of Initial Assessment]="","",IF(AND(Table1[Leaving Date]&gt;42094,Table1[Leaving Date]&lt;42461),IF(Table1[Date of Last Assessment]="",Table1[Managing Money and Personal Administration],Table1[Managing Money and Personal Administration2]),"")))</f>
        <v/>
      </c>
      <c r="FN478" s="44" t="str">
        <f>IF(Table1[Leaving Date]="","",IF(Table1[Date of Initial Assessment]="","",IF(AND(Table1[Leaving Date]&gt;42094,Table1[Leaving Date]&lt;42461),IF(Table1[Date of Last Assessment]="",Table1[Social Networks and Relationships],Table1[Social Networks and Relationships2]),"")))</f>
        <v/>
      </c>
      <c r="FO478" s="44" t="str">
        <f>IF(Table1[Leaving Date]="","",IF(Table1[Date of Initial Assessment]="","",IF(AND(Table1[Leaving Date]&gt;42094,Table1[Leaving Date]&lt;42461),IF(Table1[Date of Last Assessment]="",Table1[Drug and Alcohol Misuse],Table1[Drug and Alcohol Misuse2]),"")))</f>
        <v/>
      </c>
      <c r="FP478" s="44" t="str">
        <f>IF(Table1[Leaving Date]="","",IF(Table1[Date of Initial Assessment]="","",IF(AND(Table1[Leaving Date]&gt;42094,Table1[Leaving Date]&lt;42461),IF(Table1[Date of Last Assessment]="",Table1[Physical Health],Table1[Physical Health2]),"")))</f>
        <v/>
      </c>
      <c r="FQ478" s="44" t="str">
        <f>IF(Table1[Leaving Date]="","",IF(Table1[Date of Initial Assessment]="","",IF(AND(Table1[Leaving Date]&gt;42094,Table1[Leaving Date]&lt;42461),IF(Table1[Date of Last Assessment]="",Table1[Emotional and Mental Health],Table1[Emotional and Mental Health2]),"")))</f>
        <v/>
      </c>
      <c r="FR478" s="44" t="str">
        <f>IF(Table1[Leaving Date]="","",IF(Table1[Date of Initial Assessment]="","",IF(AND(Table1[Leaving Date]&gt;42094,Table1[Leaving Date]&lt;42461),IF(Table1[Date of Last Assessment]="",Table1[Meaningful Use of Time],Table1[Meaningful Use of Time2]),"")))</f>
        <v/>
      </c>
      <c r="FS478" s="44" t="str">
        <f>IF(Table1[Leaving Date]="","",IF(Table1[Date of Initial Assessment]="","",IF(AND(Table1[Leaving Date]&gt;42094,Table1[Leaving Date]&lt;42461),IF(Table1[Date of Last Assessment]="",Table1[Managing Tenancy and Accommodation],Table1[Managing Tenancy and Accommodation2]),"")))</f>
        <v/>
      </c>
      <c r="FT478" s="44" t="str">
        <f>IF(Table1[Leaving Date]="","",IF(Table1[Date of Initial Assessment]="","",IF(AND(Table1[Leaving Date]&gt;42094,Table1[Leaving Date]&lt;42461),IF(Table1[Date of Last Assessment]="",Table1[Offending],Table1[Offending2]),"")))</f>
        <v/>
      </c>
      <c r="FU478" s="44" t="str">
        <f>IF(Table1[Date of Initial Assessment]="","",IF(AND(Table1[Start Date]&gt;42460,Table1[Start Date]&lt;42826),Table1[Motivation and Taking Responsibility],""))</f>
        <v/>
      </c>
      <c r="FV478" s="44" t="str">
        <f>IF(Table1[Date of Initial Assessment]="","",IF(AND(Table1[Start Date]&gt;42460,Table1[Start Date]&lt;42826),Table1[Self-Care and Living Skills],""))</f>
        <v/>
      </c>
      <c r="FW478" s="44" t="str">
        <f>IF(Table1[Date of Initial Assessment]="","",IF(AND(Table1[Start Date]&gt;42460,Table1[Start Date]&lt;42826),Table1[Managing Money and Personal Administration],""))</f>
        <v/>
      </c>
      <c r="FX478" s="44" t="str">
        <f>IF(Table1[Date of Initial Assessment]="","",IF(AND(Table1[Start Date]&gt;42460,Table1[Start Date]&lt;42826),Table1[Social Networks and Relationships],""))</f>
        <v/>
      </c>
      <c r="FY478" s="44" t="str">
        <f>IF(Table1[Date of Initial Assessment]="","",IF(AND(Table1[Start Date]&gt;42460,Table1[Start Date]&lt;42826),Table1[Drug and Alcohol Misuse],""))</f>
        <v/>
      </c>
      <c r="FZ478" s="44" t="str">
        <f>IF(Table1[Date of Initial Assessment]="","",IF(AND(Table1[Start Date]&gt;42460,Table1[Start Date]&lt;42826),Table1[Physical Health],""))</f>
        <v/>
      </c>
      <c r="GA478" s="44" t="str">
        <f>IF(Table1[Date of Initial Assessment]="","",IF(AND(Table1[Start Date]&gt;42460,Table1[Start Date]&lt;42826),Table1[Emotional and Mental Health],""))</f>
        <v/>
      </c>
      <c r="GB478" s="44" t="str">
        <f>IF(Table1[Date of Initial Assessment]="","",IF(AND(Table1[Start Date]&gt;42460,Table1[Start Date]&lt;42826),Table1[Meaningful Use of Time],""))</f>
        <v/>
      </c>
      <c r="GC478" s="44" t="str">
        <f>IF(Table1[Date of Initial Assessment]="","",IF(AND(Table1[Start Date]&gt;42460,Table1[Start Date]&lt;42826),Table1[Managing Tenancy and Accommodation],""))</f>
        <v/>
      </c>
      <c r="GD478" s="44" t="str">
        <f>IF(Table1[Date of Initial Assessment]="","",IF(AND(Table1[Start Date]&gt;42460,Table1[Start Date]&lt;42826),Table1[Offending],""))</f>
        <v/>
      </c>
      <c r="GE478" s="44" t="str">
        <f>IF(Table1[Leaving Date]="","",IF(AND(Table1[Leaving Date]&gt;42460,Table1[Leaving Date]&lt;42826),IF(Table1[Date of Last Assessment]="",Table1[Motivation and Taking Responsibility],Table1[Motivation and Taking Responsibility2]),""))</f>
        <v/>
      </c>
      <c r="GF478" s="44" t="str">
        <f>IF(Table1[Leaving Date]="","",IF(AND(Table1[Leaving Date]&gt;42460,Table1[Leaving Date]&lt;42826),IF(Table1[Date of Last Assessment]="",Table1[Self-Care and Living Skills],Table1[Self-Care and Living Skills2]),""))</f>
        <v/>
      </c>
      <c r="GG478" s="44" t="str">
        <f>IF(Table1[Leaving Date]="","",IF(AND(Table1[Leaving Date]&gt;42460,Table1[Leaving Date]&lt;42826),IF(Table1[Date of Last Assessment]="",Table1[Managing Money and Personal Administration],Table1[Managing Money and Personal Administration2]),""))</f>
        <v/>
      </c>
      <c r="GH478" s="44" t="str">
        <f>IF(Table1[Leaving Date]="","",IF(AND(Table1[Leaving Date]&gt;42460,Table1[Leaving Date]&lt;42826),IF(Table1[Date of Last Assessment]="",Table1[Social Networks and Relationships],Table1[Social Networks and Relationships2]),""))</f>
        <v/>
      </c>
      <c r="GI478" s="44" t="str">
        <f>IF(Table1[Leaving Date]="","",IF(AND(Table1[Leaving Date]&gt;42460,Table1[Leaving Date]&lt;42826),IF(Table1[Date of Last Assessment]="",Table1[Drug and Alcohol Misuse],Table1[Drug and Alcohol Misuse2]),""))</f>
        <v/>
      </c>
      <c r="GJ478" s="44" t="str">
        <f>IF(Table1[Leaving Date]="","",IF(AND(Table1[Leaving Date]&gt;42460,Table1[Leaving Date]&lt;42826),IF(Table1[Date of Last Assessment]="",Table1[Physical Health],Table1[Physical Health2]),""))</f>
        <v/>
      </c>
      <c r="GK478" s="44" t="str">
        <f>IF(Table1[Leaving Date]="","",IF(AND(Table1[Leaving Date]&gt;42460,Table1[Leaving Date]&lt;42826),IF(Table1[Date of Last Assessment]="",Table1[Emotional and Mental Health],Table1[Emotional and Mental Health2]),""))</f>
        <v/>
      </c>
      <c r="GL478" s="44" t="str">
        <f>IF(Table1[Leaving Date]="","",IF(AND(Table1[Leaving Date]&gt;42460,Table1[Leaving Date]&lt;42826),IF(Table1[Date of Last Assessment]="",Table1[Meaningful Use of Time],Table1[Meaningful Use of Time2]),""))</f>
        <v/>
      </c>
      <c r="GM478" s="44" t="str">
        <f>IF(Table1[Leaving Date]="","",IF(AND(Table1[Leaving Date]&gt;42460,Table1[Leaving Date]&lt;42826),IF(Table1[Date of Last Assessment]="",Table1[Managing Tenancy and Accommodation],Table1[Managing Tenancy and Accommodation2]),""))</f>
        <v/>
      </c>
      <c r="GN478" s="44" t="str">
        <f>IF(Table1[Leaving Date]="","",IF(AND(Table1[Leaving Date]&gt;42460,Table1[Leaving Date]&lt;42826),IF(Table1[Date of Last Assessment]="",Table1[Offending],Table1[Offending2]),""))</f>
        <v/>
      </c>
    </row>
    <row r="479" spans="2:196" ht="20.100000000000001" customHeight="1" x14ac:dyDescent="0.2">
      <c r="B479" s="86">
        <f>+'Service Data'!$C$5:$C$5</f>
        <v>0</v>
      </c>
      <c r="C479" s="86"/>
      <c r="D479" s="86"/>
      <c r="E479" s="86"/>
      <c r="F479" s="86"/>
      <c r="G479" s="86"/>
      <c r="H479" s="6"/>
      <c r="I479" s="99" t="str">
        <f ca="1">IF(Table1[[#This Row],[Date of Birth]]="","",SUM(TODAY()-Table1[[#This Row],[Date of Birth]])/365)</f>
        <v/>
      </c>
      <c r="L479" s="86"/>
      <c r="M479" s="77"/>
      <c r="N479" s="86"/>
      <c r="O479" s="86"/>
      <c r="P479" s="91"/>
      <c r="Q479" s="86"/>
      <c r="R479" s="77"/>
      <c r="S479" s="77"/>
      <c r="T479" s="68"/>
      <c r="U479" s="68"/>
      <c r="V479" s="67"/>
      <c r="W479" s="67"/>
      <c r="X479" s="67"/>
      <c r="Y479" s="67"/>
      <c r="Z479" s="67"/>
      <c r="AA479" s="67"/>
      <c r="AB479" s="67"/>
      <c r="AC479" s="67"/>
      <c r="AD479" s="67"/>
      <c r="AE479" s="67"/>
      <c r="AF479" s="67"/>
      <c r="AG479" s="67"/>
      <c r="AH479" s="67"/>
      <c r="AI479" s="67"/>
      <c r="AJ479" s="67"/>
      <c r="AK479" s="67"/>
      <c r="AL479" s="67"/>
      <c r="AM479" s="67"/>
      <c r="AN479" s="77"/>
      <c r="AO479" s="76"/>
      <c r="AP479" s="77"/>
      <c r="AQ479" s="76"/>
      <c r="AR479" s="76"/>
      <c r="AS479" s="76"/>
      <c r="AT479" s="76"/>
      <c r="AU479" s="76"/>
      <c r="AV479" s="77"/>
      <c r="AW479" s="76"/>
      <c r="AX479" s="77"/>
      <c r="AY479" s="76"/>
      <c r="AZ479" s="76"/>
      <c r="BA479" s="76"/>
      <c r="BB479" s="76"/>
      <c r="BC479" s="76"/>
      <c r="BD479" s="77"/>
      <c r="BE479" s="76"/>
      <c r="BF479" s="77"/>
      <c r="BG479" s="76"/>
      <c r="BH479" s="76"/>
      <c r="BI479" s="76"/>
      <c r="BJ479" s="76"/>
      <c r="BK479" s="76"/>
      <c r="BL479" s="77"/>
      <c r="BM479" s="76"/>
      <c r="BN479" s="77"/>
      <c r="BO479" s="76"/>
      <c r="BP479" s="76"/>
      <c r="BQ479" s="76"/>
      <c r="BR479" s="76"/>
      <c r="BS479" s="76"/>
      <c r="BT479" s="77"/>
      <c r="BU479" s="76"/>
      <c r="BV479" s="77"/>
      <c r="BW479" s="76"/>
      <c r="BX479" s="76"/>
      <c r="BY479" s="76"/>
      <c r="BZ479" s="76"/>
      <c r="CA479" s="76"/>
      <c r="CB479" s="77"/>
      <c r="CC479" s="76"/>
      <c r="CD479" s="77"/>
      <c r="CE479" s="76"/>
      <c r="CF479" s="76"/>
      <c r="CG479" s="76"/>
      <c r="CH479" s="76"/>
      <c r="CI479" s="76"/>
      <c r="CJ479" s="77"/>
      <c r="CK479" s="76"/>
      <c r="CL479" s="77"/>
      <c r="CM479" s="76"/>
      <c r="CN479" s="76"/>
      <c r="CO479" s="76"/>
      <c r="CP479" s="76"/>
      <c r="CQ479" s="76"/>
      <c r="CR479" s="78" t="str">
        <f t="shared" si="127"/>
        <v/>
      </c>
      <c r="CS479" s="79" t="str">
        <f t="shared" si="128"/>
        <v/>
      </c>
      <c r="CT479" s="79" t="str">
        <f t="shared" si="129"/>
        <v/>
      </c>
      <c r="CU479" s="79" t="str">
        <f t="shared" si="130"/>
        <v/>
      </c>
      <c r="CV479" s="79" t="str">
        <f t="shared" si="131"/>
        <v/>
      </c>
      <c r="CW479" s="79" t="str">
        <f t="shared" si="132"/>
        <v/>
      </c>
      <c r="CX479" s="79" t="str">
        <f t="shared" si="133"/>
        <v/>
      </c>
      <c r="CY479" s="79" t="str">
        <f t="shared" si="134"/>
        <v/>
      </c>
      <c r="CZ479" s="79" t="str">
        <f t="shared" si="135"/>
        <v/>
      </c>
      <c r="DA479" s="79" t="str">
        <f t="shared" si="136"/>
        <v/>
      </c>
      <c r="DB479" s="79" t="str">
        <f t="shared" si="137"/>
        <v/>
      </c>
      <c r="DC479" s="79" t="str">
        <f t="shared" si="138"/>
        <v/>
      </c>
      <c r="DD479" s="79" t="str">
        <f t="shared" si="139"/>
        <v/>
      </c>
      <c r="DE479" s="79" t="str">
        <f t="shared" si="140"/>
        <v/>
      </c>
      <c r="DF479" s="79" t="str">
        <f t="shared" si="141"/>
        <v/>
      </c>
      <c r="DG479" s="79" t="str">
        <f t="shared" si="142"/>
        <v/>
      </c>
      <c r="DH479" s="76"/>
      <c r="DI479" s="78"/>
      <c r="DJ479" s="76"/>
      <c r="DK479" s="77"/>
      <c r="DL479" s="77"/>
      <c r="DM479" s="77"/>
      <c r="DN479" s="80"/>
      <c r="DO479" s="80"/>
      <c r="DP479" s="92" t="str">
        <f>IF(Table1[Start Date]="","",IF(Table1[Start Date]&gt;42185,"",IF(AND(Table1[Leaving Date]&gt;1,Table1[Leaving Date]&lt;42095),"",1)))</f>
        <v/>
      </c>
      <c r="DQ479" s="92" t="str">
        <f>IF(Table1[Start Date]="","",IF(Table1[Start Date]&gt;42277,"",IF(AND(Table1[Leaving Date]&gt;1,Table1[Leaving Date]&lt;42186),"",1)))</f>
        <v/>
      </c>
      <c r="DR479" s="92" t="str">
        <f>IF(Table1[Start Date]="","",IF(Table1[Start Date]&gt;42369,"",IF(AND(Table1[Leaving Date]&gt;1,Table1[Leaving Date]&lt;42278),"",1)))</f>
        <v/>
      </c>
      <c r="DS479" s="92" t="str">
        <f>IF(Table1[Start Date]="","",IF(Table1[Start Date]&gt;42460,"",IF(AND(Table1[Leaving Date]&gt;1,Table1[Leaving Date]&lt;42370),"",1)))</f>
        <v/>
      </c>
      <c r="DT479" s="92" t="str">
        <f>IF(Table1[Start Date]="","",IF(Table1[Start Date]&gt;42551,"",IF(AND(Table1[Leaving Date]&gt;1,Table1[Leaving Date]&lt;42461),"",1)))</f>
        <v/>
      </c>
      <c r="DU479" s="92" t="str">
        <f>IF(Table1[Start Date]="","",IF(Table1[Start Date]&gt;42643,"",IF(AND(Table1[Leaving Date]&gt;1,Table1[Leaving Date]&lt;42552),"",1)))</f>
        <v/>
      </c>
      <c r="DV479" s="92" t="str">
        <f>IF(Table1[Start Date]="","",IF(Table1[Start Date]&gt;42735,"",IF(AND(Table1[Leaving Date]&gt;1,Table1[Leaving Date]&lt;42644),"",1)))</f>
        <v/>
      </c>
      <c r="DW479" s="92" t="str">
        <f>IF(Table1[Start Date]="","",IF(Table1[Start Date]&gt;42825,"",IF(AND(Table1[Leaving Date]&gt;1,Table1[Leaving Date]&lt;42736),"",1)))</f>
        <v/>
      </c>
      <c r="DX479"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479" s="44" t="e">
        <f>VLOOKUP(Table1[Referral Source],Lists!$G$2:$H$20,2,FALSE)</f>
        <v>#N/A</v>
      </c>
      <c r="DZ479" s="93" t="e">
        <f>SUM(Table1[Data Referral Quarter]+Table1[Data Referral Source])</f>
        <v>#N/A</v>
      </c>
      <c r="EA479" s="44" t="b">
        <f>IF(Table1[Referral Decision]="Accepted",100,IF(Table1[Referral Decision]="Rejected by Provider",200,IF(Table1[Referral Decision]="Rejected by Applicant",300)))</f>
        <v>0</v>
      </c>
      <c r="EB479" s="44">
        <f>SUM(Table1[Data Referral Quarter]+Table1[Data Referral Decision])</f>
        <v>0</v>
      </c>
      <c r="EC479" s="44" t="b">
        <f>IF(Table1[Start Date]&gt;42735,8000,IF(Table1[Start Date]&gt;42643,7000,IF(Table1[Start Date]&gt;42551,6000,IF(Table1[Start Date]&gt;42460,5000,IF(Table1[Start Date]&gt;42369,4000,IF(Table1[Start Date]&gt;42277,3000,IF(Table1[Start Date]&gt;42185,2000,IF(Table1[Start Date]&gt;42094,1000))))))))</f>
        <v>0</v>
      </c>
      <c r="ED479" s="44" t="str">
        <f>IF(Table1[Start Date]="","",IF(Table1[Current Local Authority]="Swindon",1,"2"))</f>
        <v/>
      </c>
      <c r="EE479" s="44" t="e">
        <f>SUM(Table1[Data Start Date]+Table1[Data Local Authority])</f>
        <v>#VALUE!</v>
      </c>
      <c r="EF479" s="44">
        <f>IF(Table1[Registered with GP]="Yes",1,0)</f>
        <v>0</v>
      </c>
      <c r="EG479" s="44">
        <f>SUM(Table1[Data Start Date]+Table1[Data GP Start])</f>
        <v>0</v>
      </c>
      <c r="EH479" s="44" t="str">
        <f>IF(Table1[EET]="NEET",1,IF(Table1[EET]="Education",2,IF(Table1[EET]="Employment",2,IF(Table1[EET]="Training",2,IF(Table1[EET]="Retired",3,"")))))</f>
        <v/>
      </c>
      <c r="EI479" s="44" t="e">
        <f>Table1[Data Start Date]+Table1[Data EET Start]</f>
        <v>#VALUE!</v>
      </c>
      <c r="EJ479" s="44" t="b">
        <f>IF(Table1[Leaving Date]&gt;42735,8000,IF(Table1[Leaving Date]&gt;42643,7000,IF(Table1[Leaving Date]&gt;42551,6000,IF(Table1[Leaving Date]&gt;42460,5000,IF(Table1[Leaving Date]&gt;42369,4000,IF(Table1[Leaving Date]&gt;42277,3000,IF(Table1[Leaving Date]&gt;42185,2000,IF(Table1[Leaving Date]&gt;42094,1000))))))))</f>
        <v>0</v>
      </c>
      <c r="EK479" s="44" t="e">
        <f>VLOOKUP(Table1[Reason for Leaving],Lists!$T$2:$U$15,2,FALSE)</f>
        <v>#N/A</v>
      </c>
      <c r="EL479" s="44" t="e">
        <f>SUM(Table1[Data Leavers Date]+Table1[Data Move On])</f>
        <v>#N/A</v>
      </c>
      <c r="EM479" s="44" t="b">
        <f>IF(Table1[Registered with GP2]="Yes",1,IF(Table1[Registered with GP2]="No",0,IF(Table1[Registered with GP]="Yes",1,IF(Table1[Registered with GP]="No",0))))</f>
        <v>0</v>
      </c>
      <c r="EN479" s="44">
        <f>SUM(Table1[Data Leavers Date]+Table1[Data GP End])</f>
        <v>0</v>
      </c>
      <c r="EO479" s="44" t="str">
        <f>IF(Table1[EET2]="NEET",1,IF(Table1[EET2]="Employment",2,IF(Table1[EET2]="Education",2,IF(Table1[EET2]="Training",2,IF(Table1[EET2]="Retired",3,IF(Table1[EET]="NEET",1,IF(Table1[EET]="Employment",2,IF(Table1[EET]="Education",2,IF(Table1[EET]="Training",2,IF(Table1[EET]="Retired",3,""))))))))))</f>
        <v/>
      </c>
      <c r="EP479" s="44" t="e">
        <f>+Table1[[#This Row],[Data Leavers Date]]+Table1[[#This Row],[Data EET End]]</f>
        <v>#VALUE!</v>
      </c>
      <c r="EQ479" s="44">
        <f>IF(Table1[Exit Form Received]="Yes",1,0)</f>
        <v>0</v>
      </c>
      <c r="ER479" s="44">
        <f>+Table1[[#This Row],[Data Leavers Date]]+Table1[[#This Row],[Data Exit Forms]]</f>
        <v>0</v>
      </c>
      <c r="ES479" s="44" t="str">
        <f>IF(Table1[Data Leavers Date]=1000,SUM(Table1[Leaving Date]-Table1[Start Date]),"")</f>
        <v/>
      </c>
      <c r="ET479" s="44" t="str">
        <f>IF(Table1[Data Leavers Date]=2000,SUM(Table1[Leaving Date]-Table1[Start Date]),"")</f>
        <v/>
      </c>
      <c r="EU479" s="44" t="str">
        <f>IF(Table1[Data Leavers Date]=3000,SUM(Table1[Leaving Date]-Table1[Start Date]),"")</f>
        <v/>
      </c>
      <c r="EV479" s="44" t="str">
        <f>IF(Table1[Data Leavers Date]=4000,SUM(Table1[Leaving Date]-Table1[Start Date]),"")</f>
        <v/>
      </c>
      <c r="EW479" s="44" t="str">
        <f>IF(Table1[Data Leavers Date]=5000,SUM(Table1[Leaving Date]-Table1[Start Date]),"")</f>
        <v/>
      </c>
      <c r="EX479" s="44" t="str">
        <f>IF(Table1[Data Leavers Date]=6000,SUM(Table1[Leaving Date]-Table1[Start Date]),"")</f>
        <v/>
      </c>
      <c r="EY479" s="44" t="str">
        <f>IF(Table1[Data Leavers Date]=7000,SUM(Table1[Leaving Date]-Table1[Start Date]),"")</f>
        <v/>
      </c>
      <c r="EZ479" s="44" t="str">
        <f>IF(Table1[Data Leavers Date]=8000,SUM(Table1[Leaving Date]-Table1[Start Date]),"")</f>
        <v/>
      </c>
      <c r="FA479" s="44" t="str">
        <f>IF(Table1[Date of Initial Assessment]="","",IF(AND(Table1[Start Date]&gt;42094,Table1[Start Date]&lt;42461),Table1[Motivation and Taking Responsibility],""))</f>
        <v/>
      </c>
      <c r="FB479" s="44" t="str">
        <f>IF(Table1[Date of Initial Assessment]="","",IF(AND(Table1[Start Date]&gt;42094,Table1[Start Date]&lt;42461),Table1[Self-Care and Living Skills],""))</f>
        <v/>
      </c>
      <c r="FC479" s="44" t="str">
        <f>IF(Table1[Date of Initial Assessment]="","",IF(AND(Table1[Start Date]&gt;42094,Table1[Start Date]&lt;42461),Table1[Managing Money and Personal Administration],""))</f>
        <v/>
      </c>
      <c r="FD479" s="44" t="str">
        <f>IF(Table1[Date of Initial Assessment]="","",IF(AND(Table1[Start Date]&gt;42094,Table1[Start Date]&lt;42461),Table1[Social Networks and Relationships],""))</f>
        <v/>
      </c>
      <c r="FE479" s="44" t="str">
        <f>IF(Table1[Date of Initial Assessment]="","",IF(AND(Table1[Start Date]&gt;42094,Table1[Start Date]&lt;42461),Table1[Drug and Alcohol Misuse],""))</f>
        <v/>
      </c>
      <c r="FF479" s="44" t="str">
        <f>IF(Table1[Date of Initial Assessment]="","",IF(AND(Table1[Start Date]&gt;42094,Table1[Start Date]&lt;42461),Table1[Physical Health],""))</f>
        <v/>
      </c>
      <c r="FG479" s="44" t="str">
        <f>IF(Table1[Date of Initial Assessment]="","",IF(AND(Table1[Start Date]&gt;42094,Table1[Start Date]&lt;42461),Table1[Emotional and Mental Health],""))</f>
        <v/>
      </c>
      <c r="FH479" s="44" t="str">
        <f>IF(Table1[Date of Initial Assessment]="","",IF(AND(Table1[Start Date]&gt;42094,Table1[Start Date]&lt;42461),Table1[Meaningful Use of Time],""))</f>
        <v/>
      </c>
      <c r="FI479" s="44" t="str">
        <f>IF(Table1[Date of Initial Assessment]="","",IF(AND(Table1[Start Date]&gt;42094,Table1[Start Date]&lt;42461),Table1[Managing Tenancy and Accommodation],""))</f>
        <v/>
      </c>
      <c r="FJ479" s="44" t="str">
        <f>IF(Table1[Date of Initial Assessment]="","",IF(AND(Table1[Start Date]&gt;42094,Table1[Start Date]&lt;42461),Table1[Offending],""))</f>
        <v/>
      </c>
      <c r="FK479" s="44" t="str">
        <f>IF(Table1[Leaving Date]="","",IF(Table1[Date of Initial Assessment]="","",IF(AND(Table1[Leaving Date]&gt;42094,Table1[Leaving Date]&lt;42461),IF(Table1[Date of Last Assessment]="",Table1[Motivation and Taking Responsibility],Table1[Motivation and Taking Responsibility2]),"")))</f>
        <v/>
      </c>
      <c r="FL479" s="44" t="str">
        <f>IF(Table1[Leaving Date]="","",IF(Table1[Date of Initial Assessment]="","",IF(AND(Table1[Leaving Date]&gt;42094,Table1[Leaving Date]&lt;42461),IF(Table1[Date of Last Assessment]="",Table1[Self-Care and Living Skills],Table1[Self-Care and Living Skills2]),"")))</f>
        <v/>
      </c>
      <c r="FM479" s="44" t="str">
        <f>IF(Table1[Leaving Date]="","",IF(Table1[Date of Initial Assessment]="","",IF(AND(Table1[Leaving Date]&gt;42094,Table1[Leaving Date]&lt;42461),IF(Table1[Date of Last Assessment]="",Table1[Managing Money and Personal Administration],Table1[Managing Money and Personal Administration2]),"")))</f>
        <v/>
      </c>
      <c r="FN479" s="44" t="str">
        <f>IF(Table1[Leaving Date]="","",IF(Table1[Date of Initial Assessment]="","",IF(AND(Table1[Leaving Date]&gt;42094,Table1[Leaving Date]&lt;42461),IF(Table1[Date of Last Assessment]="",Table1[Social Networks and Relationships],Table1[Social Networks and Relationships2]),"")))</f>
        <v/>
      </c>
      <c r="FO479" s="44" t="str">
        <f>IF(Table1[Leaving Date]="","",IF(Table1[Date of Initial Assessment]="","",IF(AND(Table1[Leaving Date]&gt;42094,Table1[Leaving Date]&lt;42461),IF(Table1[Date of Last Assessment]="",Table1[Drug and Alcohol Misuse],Table1[Drug and Alcohol Misuse2]),"")))</f>
        <v/>
      </c>
      <c r="FP479" s="44" t="str">
        <f>IF(Table1[Leaving Date]="","",IF(Table1[Date of Initial Assessment]="","",IF(AND(Table1[Leaving Date]&gt;42094,Table1[Leaving Date]&lt;42461),IF(Table1[Date of Last Assessment]="",Table1[Physical Health],Table1[Physical Health2]),"")))</f>
        <v/>
      </c>
      <c r="FQ479" s="44" t="str">
        <f>IF(Table1[Leaving Date]="","",IF(Table1[Date of Initial Assessment]="","",IF(AND(Table1[Leaving Date]&gt;42094,Table1[Leaving Date]&lt;42461),IF(Table1[Date of Last Assessment]="",Table1[Emotional and Mental Health],Table1[Emotional and Mental Health2]),"")))</f>
        <v/>
      </c>
      <c r="FR479" s="44" t="str">
        <f>IF(Table1[Leaving Date]="","",IF(Table1[Date of Initial Assessment]="","",IF(AND(Table1[Leaving Date]&gt;42094,Table1[Leaving Date]&lt;42461),IF(Table1[Date of Last Assessment]="",Table1[Meaningful Use of Time],Table1[Meaningful Use of Time2]),"")))</f>
        <v/>
      </c>
      <c r="FS479" s="44" t="str">
        <f>IF(Table1[Leaving Date]="","",IF(Table1[Date of Initial Assessment]="","",IF(AND(Table1[Leaving Date]&gt;42094,Table1[Leaving Date]&lt;42461),IF(Table1[Date of Last Assessment]="",Table1[Managing Tenancy and Accommodation],Table1[Managing Tenancy and Accommodation2]),"")))</f>
        <v/>
      </c>
      <c r="FT479" s="44" t="str">
        <f>IF(Table1[Leaving Date]="","",IF(Table1[Date of Initial Assessment]="","",IF(AND(Table1[Leaving Date]&gt;42094,Table1[Leaving Date]&lt;42461),IF(Table1[Date of Last Assessment]="",Table1[Offending],Table1[Offending2]),"")))</f>
        <v/>
      </c>
      <c r="FU479" s="44" t="str">
        <f>IF(Table1[Date of Initial Assessment]="","",IF(AND(Table1[Start Date]&gt;42460,Table1[Start Date]&lt;42826),Table1[Motivation and Taking Responsibility],""))</f>
        <v/>
      </c>
      <c r="FV479" s="44" t="str">
        <f>IF(Table1[Date of Initial Assessment]="","",IF(AND(Table1[Start Date]&gt;42460,Table1[Start Date]&lt;42826),Table1[Self-Care and Living Skills],""))</f>
        <v/>
      </c>
      <c r="FW479" s="44" t="str">
        <f>IF(Table1[Date of Initial Assessment]="","",IF(AND(Table1[Start Date]&gt;42460,Table1[Start Date]&lt;42826),Table1[Managing Money and Personal Administration],""))</f>
        <v/>
      </c>
      <c r="FX479" s="44" t="str">
        <f>IF(Table1[Date of Initial Assessment]="","",IF(AND(Table1[Start Date]&gt;42460,Table1[Start Date]&lt;42826),Table1[Social Networks and Relationships],""))</f>
        <v/>
      </c>
      <c r="FY479" s="44" t="str">
        <f>IF(Table1[Date of Initial Assessment]="","",IF(AND(Table1[Start Date]&gt;42460,Table1[Start Date]&lt;42826),Table1[Drug and Alcohol Misuse],""))</f>
        <v/>
      </c>
      <c r="FZ479" s="44" t="str">
        <f>IF(Table1[Date of Initial Assessment]="","",IF(AND(Table1[Start Date]&gt;42460,Table1[Start Date]&lt;42826),Table1[Physical Health],""))</f>
        <v/>
      </c>
      <c r="GA479" s="44" t="str">
        <f>IF(Table1[Date of Initial Assessment]="","",IF(AND(Table1[Start Date]&gt;42460,Table1[Start Date]&lt;42826),Table1[Emotional and Mental Health],""))</f>
        <v/>
      </c>
      <c r="GB479" s="44" t="str">
        <f>IF(Table1[Date of Initial Assessment]="","",IF(AND(Table1[Start Date]&gt;42460,Table1[Start Date]&lt;42826),Table1[Meaningful Use of Time],""))</f>
        <v/>
      </c>
      <c r="GC479" s="44" t="str">
        <f>IF(Table1[Date of Initial Assessment]="","",IF(AND(Table1[Start Date]&gt;42460,Table1[Start Date]&lt;42826),Table1[Managing Tenancy and Accommodation],""))</f>
        <v/>
      </c>
      <c r="GD479" s="44" t="str">
        <f>IF(Table1[Date of Initial Assessment]="","",IF(AND(Table1[Start Date]&gt;42460,Table1[Start Date]&lt;42826),Table1[Offending],""))</f>
        <v/>
      </c>
      <c r="GE479" s="44" t="str">
        <f>IF(Table1[Leaving Date]="","",IF(AND(Table1[Leaving Date]&gt;42460,Table1[Leaving Date]&lt;42826),IF(Table1[Date of Last Assessment]="",Table1[Motivation and Taking Responsibility],Table1[Motivation and Taking Responsibility2]),""))</f>
        <v/>
      </c>
      <c r="GF479" s="44" t="str">
        <f>IF(Table1[Leaving Date]="","",IF(AND(Table1[Leaving Date]&gt;42460,Table1[Leaving Date]&lt;42826),IF(Table1[Date of Last Assessment]="",Table1[Self-Care and Living Skills],Table1[Self-Care and Living Skills2]),""))</f>
        <v/>
      </c>
      <c r="GG479" s="44" t="str">
        <f>IF(Table1[Leaving Date]="","",IF(AND(Table1[Leaving Date]&gt;42460,Table1[Leaving Date]&lt;42826),IF(Table1[Date of Last Assessment]="",Table1[Managing Money and Personal Administration],Table1[Managing Money and Personal Administration2]),""))</f>
        <v/>
      </c>
      <c r="GH479" s="44" t="str">
        <f>IF(Table1[Leaving Date]="","",IF(AND(Table1[Leaving Date]&gt;42460,Table1[Leaving Date]&lt;42826),IF(Table1[Date of Last Assessment]="",Table1[Social Networks and Relationships],Table1[Social Networks and Relationships2]),""))</f>
        <v/>
      </c>
      <c r="GI479" s="44" t="str">
        <f>IF(Table1[Leaving Date]="","",IF(AND(Table1[Leaving Date]&gt;42460,Table1[Leaving Date]&lt;42826),IF(Table1[Date of Last Assessment]="",Table1[Drug and Alcohol Misuse],Table1[Drug and Alcohol Misuse2]),""))</f>
        <v/>
      </c>
      <c r="GJ479" s="44" t="str">
        <f>IF(Table1[Leaving Date]="","",IF(AND(Table1[Leaving Date]&gt;42460,Table1[Leaving Date]&lt;42826),IF(Table1[Date of Last Assessment]="",Table1[Physical Health],Table1[Physical Health2]),""))</f>
        <v/>
      </c>
      <c r="GK479" s="44" t="str">
        <f>IF(Table1[Leaving Date]="","",IF(AND(Table1[Leaving Date]&gt;42460,Table1[Leaving Date]&lt;42826),IF(Table1[Date of Last Assessment]="",Table1[Emotional and Mental Health],Table1[Emotional and Mental Health2]),""))</f>
        <v/>
      </c>
      <c r="GL479" s="44" t="str">
        <f>IF(Table1[Leaving Date]="","",IF(AND(Table1[Leaving Date]&gt;42460,Table1[Leaving Date]&lt;42826),IF(Table1[Date of Last Assessment]="",Table1[Meaningful Use of Time],Table1[Meaningful Use of Time2]),""))</f>
        <v/>
      </c>
      <c r="GM479" s="44" t="str">
        <f>IF(Table1[Leaving Date]="","",IF(AND(Table1[Leaving Date]&gt;42460,Table1[Leaving Date]&lt;42826),IF(Table1[Date of Last Assessment]="",Table1[Managing Tenancy and Accommodation],Table1[Managing Tenancy and Accommodation2]),""))</f>
        <v/>
      </c>
      <c r="GN479" s="44" t="str">
        <f>IF(Table1[Leaving Date]="","",IF(AND(Table1[Leaving Date]&gt;42460,Table1[Leaving Date]&lt;42826),IF(Table1[Date of Last Assessment]="",Table1[Offending],Table1[Offending2]),""))</f>
        <v/>
      </c>
    </row>
    <row r="480" spans="2:196" ht="20.100000000000001" customHeight="1" x14ac:dyDescent="0.2">
      <c r="B480" s="86">
        <f>+'Service Data'!$C$5:$C$5</f>
        <v>0</v>
      </c>
      <c r="C480" s="86"/>
      <c r="D480" s="86"/>
      <c r="E480" s="86"/>
      <c r="F480" s="86"/>
      <c r="G480" s="86"/>
      <c r="H480" s="6"/>
      <c r="I480" s="99" t="str">
        <f ca="1">IF(Table1[[#This Row],[Date of Birth]]="","",SUM(TODAY()-Table1[[#This Row],[Date of Birth]])/365)</f>
        <v/>
      </c>
      <c r="L480" s="86"/>
      <c r="M480" s="77"/>
      <c r="N480" s="86"/>
      <c r="O480" s="86"/>
      <c r="P480" s="91"/>
      <c r="Q480" s="86"/>
      <c r="R480" s="77"/>
      <c r="S480" s="77"/>
      <c r="T480" s="68"/>
      <c r="U480" s="68"/>
      <c r="V480" s="67"/>
      <c r="W480" s="67"/>
      <c r="X480" s="67"/>
      <c r="Y480" s="67"/>
      <c r="Z480" s="67"/>
      <c r="AA480" s="67"/>
      <c r="AB480" s="67"/>
      <c r="AC480" s="67"/>
      <c r="AD480" s="67"/>
      <c r="AE480" s="67"/>
      <c r="AF480" s="67"/>
      <c r="AG480" s="67"/>
      <c r="AH480" s="67"/>
      <c r="AI480" s="67"/>
      <c r="AJ480" s="67"/>
      <c r="AK480" s="67"/>
      <c r="AL480" s="67"/>
      <c r="AM480" s="67"/>
      <c r="AN480" s="77"/>
      <c r="AO480" s="76"/>
      <c r="AP480" s="77"/>
      <c r="AQ480" s="76"/>
      <c r="AR480" s="76"/>
      <c r="AS480" s="76"/>
      <c r="AT480" s="76"/>
      <c r="AU480" s="76"/>
      <c r="AV480" s="77"/>
      <c r="AW480" s="76"/>
      <c r="AX480" s="77"/>
      <c r="AY480" s="76"/>
      <c r="AZ480" s="76"/>
      <c r="BA480" s="76"/>
      <c r="BB480" s="76"/>
      <c r="BC480" s="76"/>
      <c r="BD480" s="77"/>
      <c r="BE480" s="76"/>
      <c r="BF480" s="77"/>
      <c r="BG480" s="76"/>
      <c r="BH480" s="76"/>
      <c r="BI480" s="76"/>
      <c r="BJ480" s="76"/>
      <c r="BK480" s="76"/>
      <c r="BL480" s="77"/>
      <c r="BM480" s="76"/>
      <c r="BN480" s="77"/>
      <c r="BO480" s="76"/>
      <c r="BP480" s="76"/>
      <c r="BQ480" s="76"/>
      <c r="BR480" s="76"/>
      <c r="BS480" s="76"/>
      <c r="BT480" s="77"/>
      <c r="BU480" s="76"/>
      <c r="BV480" s="77"/>
      <c r="BW480" s="76"/>
      <c r="BX480" s="76"/>
      <c r="BY480" s="76"/>
      <c r="BZ480" s="76"/>
      <c r="CA480" s="76"/>
      <c r="CB480" s="77"/>
      <c r="CC480" s="76"/>
      <c r="CD480" s="77"/>
      <c r="CE480" s="76"/>
      <c r="CF480" s="76"/>
      <c r="CG480" s="76"/>
      <c r="CH480" s="76"/>
      <c r="CI480" s="76"/>
      <c r="CJ480" s="77"/>
      <c r="CK480" s="76"/>
      <c r="CL480" s="77"/>
      <c r="CM480" s="76"/>
      <c r="CN480" s="76"/>
      <c r="CO480" s="76"/>
      <c r="CP480" s="76"/>
      <c r="CQ480" s="76"/>
      <c r="CR480" s="78" t="str">
        <f t="shared" si="127"/>
        <v/>
      </c>
      <c r="CS480" s="79" t="str">
        <f t="shared" si="128"/>
        <v/>
      </c>
      <c r="CT480" s="79" t="str">
        <f t="shared" si="129"/>
        <v/>
      </c>
      <c r="CU480" s="79" t="str">
        <f t="shared" si="130"/>
        <v/>
      </c>
      <c r="CV480" s="79" t="str">
        <f t="shared" si="131"/>
        <v/>
      </c>
      <c r="CW480" s="79" t="str">
        <f t="shared" si="132"/>
        <v/>
      </c>
      <c r="CX480" s="79" t="str">
        <f t="shared" si="133"/>
        <v/>
      </c>
      <c r="CY480" s="79" t="str">
        <f t="shared" si="134"/>
        <v/>
      </c>
      <c r="CZ480" s="79" t="str">
        <f t="shared" si="135"/>
        <v/>
      </c>
      <c r="DA480" s="79" t="str">
        <f t="shared" si="136"/>
        <v/>
      </c>
      <c r="DB480" s="79" t="str">
        <f t="shared" si="137"/>
        <v/>
      </c>
      <c r="DC480" s="79" t="str">
        <f t="shared" si="138"/>
        <v/>
      </c>
      <c r="DD480" s="79" t="str">
        <f t="shared" si="139"/>
        <v/>
      </c>
      <c r="DE480" s="79" t="str">
        <f t="shared" si="140"/>
        <v/>
      </c>
      <c r="DF480" s="79" t="str">
        <f t="shared" si="141"/>
        <v/>
      </c>
      <c r="DG480" s="79" t="str">
        <f t="shared" si="142"/>
        <v/>
      </c>
      <c r="DH480" s="76"/>
      <c r="DI480" s="78"/>
      <c r="DJ480" s="76"/>
      <c r="DK480" s="77"/>
      <c r="DL480" s="77"/>
      <c r="DM480" s="77"/>
      <c r="DN480" s="80"/>
      <c r="DO480" s="80"/>
      <c r="DP480" s="92" t="str">
        <f>IF(Table1[Start Date]="","",IF(Table1[Start Date]&gt;42185,"",IF(AND(Table1[Leaving Date]&gt;1,Table1[Leaving Date]&lt;42095),"",1)))</f>
        <v/>
      </c>
      <c r="DQ480" s="92" t="str">
        <f>IF(Table1[Start Date]="","",IF(Table1[Start Date]&gt;42277,"",IF(AND(Table1[Leaving Date]&gt;1,Table1[Leaving Date]&lt;42186),"",1)))</f>
        <v/>
      </c>
      <c r="DR480" s="92" t="str">
        <f>IF(Table1[Start Date]="","",IF(Table1[Start Date]&gt;42369,"",IF(AND(Table1[Leaving Date]&gt;1,Table1[Leaving Date]&lt;42278),"",1)))</f>
        <v/>
      </c>
      <c r="DS480" s="92" t="str">
        <f>IF(Table1[Start Date]="","",IF(Table1[Start Date]&gt;42460,"",IF(AND(Table1[Leaving Date]&gt;1,Table1[Leaving Date]&lt;42370),"",1)))</f>
        <v/>
      </c>
      <c r="DT480" s="92" t="str">
        <f>IF(Table1[Start Date]="","",IF(Table1[Start Date]&gt;42551,"",IF(AND(Table1[Leaving Date]&gt;1,Table1[Leaving Date]&lt;42461),"",1)))</f>
        <v/>
      </c>
      <c r="DU480" s="92" t="str">
        <f>IF(Table1[Start Date]="","",IF(Table1[Start Date]&gt;42643,"",IF(AND(Table1[Leaving Date]&gt;1,Table1[Leaving Date]&lt;42552),"",1)))</f>
        <v/>
      </c>
      <c r="DV480" s="92" t="str">
        <f>IF(Table1[Start Date]="","",IF(Table1[Start Date]&gt;42735,"",IF(AND(Table1[Leaving Date]&gt;1,Table1[Leaving Date]&lt;42644),"",1)))</f>
        <v/>
      </c>
      <c r="DW480" s="92" t="str">
        <f>IF(Table1[Start Date]="","",IF(Table1[Start Date]&gt;42825,"",IF(AND(Table1[Leaving Date]&gt;1,Table1[Leaving Date]&lt;42736),"",1)))</f>
        <v/>
      </c>
      <c r="DX480"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480" s="44" t="e">
        <f>VLOOKUP(Table1[Referral Source],Lists!$G$2:$H$20,2,FALSE)</f>
        <v>#N/A</v>
      </c>
      <c r="DZ480" s="93" t="e">
        <f>SUM(Table1[Data Referral Quarter]+Table1[Data Referral Source])</f>
        <v>#N/A</v>
      </c>
      <c r="EA480" s="44" t="b">
        <f>IF(Table1[Referral Decision]="Accepted",100,IF(Table1[Referral Decision]="Rejected by Provider",200,IF(Table1[Referral Decision]="Rejected by Applicant",300)))</f>
        <v>0</v>
      </c>
      <c r="EB480" s="44">
        <f>SUM(Table1[Data Referral Quarter]+Table1[Data Referral Decision])</f>
        <v>0</v>
      </c>
      <c r="EC480" s="44" t="b">
        <f>IF(Table1[Start Date]&gt;42735,8000,IF(Table1[Start Date]&gt;42643,7000,IF(Table1[Start Date]&gt;42551,6000,IF(Table1[Start Date]&gt;42460,5000,IF(Table1[Start Date]&gt;42369,4000,IF(Table1[Start Date]&gt;42277,3000,IF(Table1[Start Date]&gt;42185,2000,IF(Table1[Start Date]&gt;42094,1000))))))))</f>
        <v>0</v>
      </c>
      <c r="ED480" s="44" t="str">
        <f>IF(Table1[Start Date]="","",IF(Table1[Current Local Authority]="Swindon",1,"2"))</f>
        <v/>
      </c>
      <c r="EE480" s="44" t="e">
        <f>SUM(Table1[Data Start Date]+Table1[Data Local Authority])</f>
        <v>#VALUE!</v>
      </c>
      <c r="EF480" s="44">
        <f>IF(Table1[Registered with GP]="Yes",1,0)</f>
        <v>0</v>
      </c>
      <c r="EG480" s="44">
        <f>SUM(Table1[Data Start Date]+Table1[Data GP Start])</f>
        <v>0</v>
      </c>
      <c r="EH480" s="44" t="str">
        <f>IF(Table1[EET]="NEET",1,IF(Table1[EET]="Education",2,IF(Table1[EET]="Employment",2,IF(Table1[EET]="Training",2,IF(Table1[EET]="Retired",3,"")))))</f>
        <v/>
      </c>
      <c r="EI480" s="44" t="e">
        <f>Table1[Data Start Date]+Table1[Data EET Start]</f>
        <v>#VALUE!</v>
      </c>
      <c r="EJ480" s="44" t="b">
        <f>IF(Table1[Leaving Date]&gt;42735,8000,IF(Table1[Leaving Date]&gt;42643,7000,IF(Table1[Leaving Date]&gt;42551,6000,IF(Table1[Leaving Date]&gt;42460,5000,IF(Table1[Leaving Date]&gt;42369,4000,IF(Table1[Leaving Date]&gt;42277,3000,IF(Table1[Leaving Date]&gt;42185,2000,IF(Table1[Leaving Date]&gt;42094,1000))))))))</f>
        <v>0</v>
      </c>
      <c r="EK480" s="44" t="e">
        <f>VLOOKUP(Table1[Reason for Leaving],Lists!$T$2:$U$15,2,FALSE)</f>
        <v>#N/A</v>
      </c>
      <c r="EL480" s="44" t="e">
        <f>SUM(Table1[Data Leavers Date]+Table1[Data Move On])</f>
        <v>#N/A</v>
      </c>
      <c r="EM480" s="44" t="b">
        <f>IF(Table1[Registered with GP2]="Yes",1,IF(Table1[Registered with GP2]="No",0,IF(Table1[Registered with GP]="Yes",1,IF(Table1[Registered with GP]="No",0))))</f>
        <v>0</v>
      </c>
      <c r="EN480" s="44">
        <f>SUM(Table1[Data Leavers Date]+Table1[Data GP End])</f>
        <v>0</v>
      </c>
      <c r="EO480" s="44" t="str">
        <f>IF(Table1[EET2]="NEET",1,IF(Table1[EET2]="Employment",2,IF(Table1[EET2]="Education",2,IF(Table1[EET2]="Training",2,IF(Table1[EET2]="Retired",3,IF(Table1[EET]="NEET",1,IF(Table1[EET]="Employment",2,IF(Table1[EET]="Education",2,IF(Table1[EET]="Training",2,IF(Table1[EET]="Retired",3,""))))))))))</f>
        <v/>
      </c>
      <c r="EP480" s="44" t="e">
        <f>+Table1[[#This Row],[Data Leavers Date]]+Table1[[#This Row],[Data EET End]]</f>
        <v>#VALUE!</v>
      </c>
      <c r="EQ480" s="44">
        <f>IF(Table1[Exit Form Received]="Yes",1,0)</f>
        <v>0</v>
      </c>
      <c r="ER480" s="44">
        <f>+Table1[[#This Row],[Data Leavers Date]]+Table1[[#This Row],[Data Exit Forms]]</f>
        <v>0</v>
      </c>
      <c r="ES480" s="44" t="str">
        <f>IF(Table1[Data Leavers Date]=1000,SUM(Table1[Leaving Date]-Table1[Start Date]),"")</f>
        <v/>
      </c>
      <c r="ET480" s="44" t="str">
        <f>IF(Table1[Data Leavers Date]=2000,SUM(Table1[Leaving Date]-Table1[Start Date]),"")</f>
        <v/>
      </c>
      <c r="EU480" s="44" t="str">
        <f>IF(Table1[Data Leavers Date]=3000,SUM(Table1[Leaving Date]-Table1[Start Date]),"")</f>
        <v/>
      </c>
      <c r="EV480" s="44" t="str">
        <f>IF(Table1[Data Leavers Date]=4000,SUM(Table1[Leaving Date]-Table1[Start Date]),"")</f>
        <v/>
      </c>
      <c r="EW480" s="44" t="str">
        <f>IF(Table1[Data Leavers Date]=5000,SUM(Table1[Leaving Date]-Table1[Start Date]),"")</f>
        <v/>
      </c>
      <c r="EX480" s="44" t="str">
        <f>IF(Table1[Data Leavers Date]=6000,SUM(Table1[Leaving Date]-Table1[Start Date]),"")</f>
        <v/>
      </c>
      <c r="EY480" s="44" t="str">
        <f>IF(Table1[Data Leavers Date]=7000,SUM(Table1[Leaving Date]-Table1[Start Date]),"")</f>
        <v/>
      </c>
      <c r="EZ480" s="44" t="str">
        <f>IF(Table1[Data Leavers Date]=8000,SUM(Table1[Leaving Date]-Table1[Start Date]),"")</f>
        <v/>
      </c>
      <c r="FA480" s="44" t="str">
        <f>IF(Table1[Date of Initial Assessment]="","",IF(AND(Table1[Start Date]&gt;42094,Table1[Start Date]&lt;42461),Table1[Motivation and Taking Responsibility],""))</f>
        <v/>
      </c>
      <c r="FB480" s="44" t="str">
        <f>IF(Table1[Date of Initial Assessment]="","",IF(AND(Table1[Start Date]&gt;42094,Table1[Start Date]&lt;42461),Table1[Self-Care and Living Skills],""))</f>
        <v/>
      </c>
      <c r="FC480" s="44" t="str">
        <f>IF(Table1[Date of Initial Assessment]="","",IF(AND(Table1[Start Date]&gt;42094,Table1[Start Date]&lt;42461),Table1[Managing Money and Personal Administration],""))</f>
        <v/>
      </c>
      <c r="FD480" s="44" t="str">
        <f>IF(Table1[Date of Initial Assessment]="","",IF(AND(Table1[Start Date]&gt;42094,Table1[Start Date]&lt;42461),Table1[Social Networks and Relationships],""))</f>
        <v/>
      </c>
      <c r="FE480" s="44" t="str">
        <f>IF(Table1[Date of Initial Assessment]="","",IF(AND(Table1[Start Date]&gt;42094,Table1[Start Date]&lt;42461),Table1[Drug and Alcohol Misuse],""))</f>
        <v/>
      </c>
      <c r="FF480" s="44" t="str">
        <f>IF(Table1[Date of Initial Assessment]="","",IF(AND(Table1[Start Date]&gt;42094,Table1[Start Date]&lt;42461),Table1[Physical Health],""))</f>
        <v/>
      </c>
      <c r="FG480" s="44" t="str">
        <f>IF(Table1[Date of Initial Assessment]="","",IF(AND(Table1[Start Date]&gt;42094,Table1[Start Date]&lt;42461),Table1[Emotional and Mental Health],""))</f>
        <v/>
      </c>
      <c r="FH480" s="44" t="str">
        <f>IF(Table1[Date of Initial Assessment]="","",IF(AND(Table1[Start Date]&gt;42094,Table1[Start Date]&lt;42461),Table1[Meaningful Use of Time],""))</f>
        <v/>
      </c>
      <c r="FI480" s="44" t="str">
        <f>IF(Table1[Date of Initial Assessment]="","",IF(AND(Table1[Start Date]&gt;42094,Table1[Start Date]&lt;42461),Table1[Managing Tenancy and Accommodation],""))</f>
        <v/>
      </c>
      <c r="FJ480" s="44" t="str">
        <f>IF(Table1[Date of Initial Assessment]="","",IF(AND(Table1[Start Date]&gt;42094,Table1[Start Date]&lt;42461),Table1[Offending],""))</f>
        <v/>
      </c>
      <c r="FK480" s="44" t="str">
        <f>IF(Table1[Leaving Date]="","",IF(Table1[Date of Initial Assessment]="","",IF(AND(Table1[Leaving Date]&gt;42094,Table1[Leaving Date]&lt;42461),IF(Table1[Date of Last Assessment]="",Table1[Motivation and Taking Responsibility],Table1[Motivation and Taking Responsibility2]),"")))</f>
        <v/>
      </c>
      <c r="FL480" s="44" t="str">
        <f>IF(Table1[Leaving Date]="","",IF(Table1[Date of Initial Assessment]="","",IF(AND(Table1[Leaving Date]&gt;42094,Table1[Leaving Date]&lt;42461),IF(Table1[Date of Last Assessment]="",Table1[Self-Care and Living Skills],Table1[Self-Care and Living Skills2]),"")))</f>
        <v/>
      </c>
      <c r="FM480" s="44" t="str">
        <f>IF(Table1[Leaving Date]="","",IF(Table1[Date of Initial Assessment]="","",IF(AND(Table1[Leaving Date]&gt;42094,Table1[Leaving Date]&lt;42461),IF(Table1[Date of Last Assessment]="",Table1[Managing Money and Personal Administration],Table1[Managing Money and Personal Administration2]),"")))</f>
        <v/>
      </c>
      <c r="FN480" s="44" t="str">
        <f>IF(Table1[Leaving Date]="","",IF(Table1[Date of Initial Assessment]="","",IF(AND(Table1[Leaving Date]&gt;42094,Table1[Leaving Date]&lt;42461),IF(Table1[Date of Last Assessment]="",Table1[Social Networks and Relationships],Table1[Social Networks and Relationships2]),"")))</f>
        <v/>
      </c>
      <c r="FO480" s="44" t="str">
        <f>IF(Table1[Leaving Date]="","",IF(Table1[Date of Initial Assessment]="","",IF(AND(Table1[Leaving Date]&gt;42094,Table1[Leaving Date]&lt;42461),IF(Table1[Date of Last Assessment]="",Table1[Drug and Alcohol Misuse],Table1[Drug and Alcohol Misuse2]),"")))</f>
        <v/>
      </c>
      <c r="FP480" s="44" t="str">
        <f>IF(Table1[Leaving Date]="","",IF(Table1[Date of Initial Assessment]="","",IF(AND(Table1[Leaving Date]&gt;42094,Table1[Leaving Date]&lt;42461),IF(Table1[Date of Last Assessment]="",Table1[Physical Health],Table1[Physical Health2]),"")))</f>
        <v/>
      </c>
      <c r="FQ480" s="44" t="str">
        <f>IF(Table1[Leaving Date]="","",IF(Table1[Date of Initial Assessment]="","",IF(AND(Table1[Leaving Date]&gt;42094,Table1[Leaving Date]&lt;42461),IF(Table1[Date of Last Assessment]="",Table1[Emotional and Mental Health],Table1[Emotional and Mental Health2]),"")))</f>
        <v/>
      </c>
      <c r="FR480" s="44" t="str">
        <f>IF(Table1[Leaving Date]="","",IF(Table1[Date of Initial Assessment]="","",IF(AND(Table1[Leaving Date]&gt;42094,Table1[Leaving Date]&lt;42461),IF(Table1[Date of Last Assessment]="",Table1[Meaningful Use of Time],Table1[Meaningful Use of Time2]),"")))</f>
        <v/>
      </c>
      <c r="FS480" s="44" t="str">
        <f>IF(Table1[Leaving Date]="","",IF(Table1[Date of Initial Assessment]="","",IF(AND(Table1[Leaving Date]&gt;42094,Table1[Leaving Date]&lt;42461),IF(Table1[Date of Last Assessment]="",Table1[Managing Tenancy and Accommodation],Table1[Managing Tenancy and Accommodation2]),"")))</f>
        <v/>
      </c>
      <c r="FT480" s="44" t="str">
        <f>IF(Table1[Leaving Date]="","",IF(Table1[Date of Initial Assessment]="","",IF(AND(Table1[Leaving Date]&gt;42094,Table1[Leaving Date]&lt;42461),IF(Table1[Date of Last Assessment]="",Table1[Offending],Table1[Offending2]),"")))</f>
        <v/>
      </c>
      <c r="FU480" s="44" t="str">
        <f>IF(Table1[Date of Initial Assessment]="","",IF(AND(Table1[Start Date]&gt;42460,Table1[Start Date]&lt;42826),Table1[Motivation and Taking Responsibility],""))</f>
        <v/>
      </c>
      <c r="FV480" s="44" t="str">
        <f>IF(Table1[Date of Initial Assessment]="","",IF(AND(Table1[Start Date]&gt;42460,Table1[Start Date]&lt;42826),Table1[Self-Care and Living Skills],""))</f>
        <v/>
      </c>
      <c r="FW480" s="44" t="str">
        <f>IF(Table1[Date of Initial Assessment]="","",IF(AND(Table1[Start Date]&gt;42460,Table1[Start Date]&lt;42826),Table1[Managing Money and Personal Administration],""))</f>
        <v/>
      </c>
      <c r="FX480" s="44" t="str">
        <f>IF(Table1[Date of Initial Assessment]="","",IF(AND(Table1[Start Date]&gt;42460,Table1[Start Date]&lt;42826),Table1[Social Networks and Relationships],""))</f>
        <v/>
      </c>
      <c r="FY480" s="44" t="str">
        <f>IF(Table1[Date of Initial Assessment]="","",IF(AND(Table1[Start Date]&gt;42460,Table1[Start Date]&lt;42826),Table1[Drug and Alcohol Misuse],""))</f>
        <v/>
      </c>
      <c r="FZ480" s="44" t="str">
        <f>IF(Table1[Date of Initial Assessment]="","",IF(AND(Table1[Start Date]&gt;42460,Table1[Start Date]&lt;42826),Table1[Physical Health],""))</f>
        <v/>
      </c>
      <c r="GA480" s="44" t="str">
        <f>IF(Table1[Date of Initial Assessment]="","",IF(AND(Table1[Start Date]&gt;42460,Table1[Start Date]&lt;42826),Table1[Emotional and Mental Health],""))</f>
        <v/>
      </c>
      <c r="GB480" s="44" t="str">
        <f>IF(Table1[Date of Initial Assessment]="","",IF(AND(Table1[Start Date]&gt;42460,Table1[Start Date]&lt;42826),Table1[Meaningful Use of Time],""))</f>
        <v/>
      </c>
      <c r="GC480" s="44" t="str">
        <f>IF(Table1[Date of Initial Assessment]="","",IF(AND(Table1[Start Date]&gt;42460,Table1[Start Date]&lt;42826),Table1[Managing Tenancy and Accommodation],""))</f>
        <v/>
      </c>
      <c r="GD480" s="44" t="str">
        <f>IF(Table1[Date of Initial Assessment]="","",IF(AND(Table1[Start Date]&gt;42460,Table1[Start Date]&lt;42826),Table1[Offending],""))</f>
        <v/>
      </c>
      <c r="GE480" s="44" t="str">
        <f>IF(Table1[Leaving Date]="","",IF(AND(Table1[Leaving Date]&gt;42460,Table1[Leaving Date]&lt;42826),IF(Table1[Date of Last Assessment]="",Table1[Motivation and Taking Responsibility],Table1[Motivation and Taking Responsibility2]),""))</f>
        <v/>
      </c>
      <c r="GF480" s="44" t="str">
        <f>IF(Table1[Leaving Date]="","",IF(AND(Table1[Leaving Date]&gt;42460,Table1[Leaving Date]&lt;42826),IF(Table1[Date of Last Assessment]="",Table1[Self-Care and Living Skills],Table1[Self-Care and Living Skills2]),""))</f>
        <v/>
      </c>
      <c r="GG480" s="44" t="str">
        <f>IF(Table1[Leaving Date]="","",IF(AND(Table1[Leaving Date]&gt;42460,Table1[Leaving Date]&lt;42826),IF(Table1[Date of Last Assessment]="",Table1[Managing Money and Personal Administration],Table1[Managing Money and Personal Administration2]),""))</f>
        <v/>
      </c>
      <c r="GH480" s="44" t="str">
        <f>IF(Table1[Leaving Date]="","",IF(AND(Table1[Leaving Date]&gt;42460,Table1[Leaving Date]&lt;42826),IF(Table1[Date of Last Assessment]="",Table1[Social Networks and Relationships],Table1[Social Networks and Relationships2]),""))</f>
        <v/>
      </c>
      <c r="GI480" s="44" t="str">
        <f>IF(Table1[Leaving Date]="","",IF(AND(Table1[Leaving Date]&gt;42460,Table1[Leaving Date]&lt;42826),IF(Table1[Date of Last Assessment]="",Table1[Drug and Alcohol Misuse],Table1[Drug and Alcohol Misuse2]),""))</f>
        <v/>
      </c>
      <c r="GJ480" s="44" t="str">
        <f>IF(Table1[Leaving Date]="","",IF(AND(Table1[Leaving Date]&gt;42460,Table1[Leaving Date]&lt;42826),IF(Table1[Date of Last Assessment]="",Table1[Physical Health],Table1[Physical Health2]),""))</f>
        <v/>
      </c>
      <c r="GK480" s="44" t="str">
        <f>IF(Table1[Leaving Date]="","",IF(AND(Table1[Leaving Date]&gt;42460,Table1[Leaving Date]&lt;42826),IF(Table1[Date of Last Assessment]="",Table1[Emotional and Mental Health],Table1[Emotional and Mental Health2]),""))</f>
        <v/>
      </c>
      <c r="GL480" s="44" t="str">
        <f>IF(Table1[Leaving Date]="","",IF(AND(Table1[Leaving Date]&gt;42460,Table1[Leaving Date]&lt;42826),IF(Table1[Date of Last Assessment]="",Table1[Meaningful Use of Time],Table1[Meaningful Use of Time2]),""))</f>
        <v/>
      </c>
      <c r="GM480" s="44" t="str">
        <f>IF(Table1[Leaving Date]="","",IF(AND(Table1[Leaving Date]&gt;42460,Table1[Leaving Date]&lt;42826),IF(Table1[Date of Last Assessment]="",Table1[Managing Tenancy and Accommodation],Table1[Managing Tenancy and Accommodation2]),""))</f>
        <v/>
      </c>
      <c r="GN480" s="44" t="str">
        <f>IF(Table1[Leaving Date]="","",IF(AND(Table1[Leaving Date]&gt;42460,Table1[Leaving Date]&lt;42826),IF(Table1[Date of Last Assessment]="",Table1[Offending],Table1[Offending2]),""))</f>
        <v/>
      </c>
    </row>
    <row r="481" spans="2:196" ht="20.100000000000001" customHeight="1" x14ac:dyDescent="0.2">
      <c r="B481" s="86">
        <f>+'Service Data'!$C$5:$C$5</f>
        <v>0</v>
      </c>
      <c r="C481" s="86"/>
      <c r="D481" s="86"/>
      <c r="E481" s="86"/>
      <c r="F481" s="86"/>
      <c r="G481" s="86"/>
      <c r="H481" s="6"/>
      <c r="I481" s="99" t="str">
        <f ca="1">IF(Table1[[#This Row],[Date of Birth]]="","",SUM(TODAY()-Table1[[#This Row],[Date of Birth]])/365)</f>
        <v/>
      </c>
      <c r="L481" s="86"/>
      <c r="M481" s="77"/>
      <c r="N481" s="86"/>
      <c r="O481" s="86"/>
      <c r="P481" s="91"/>
      <c r="Q481" s="86"/>
      <c r="R481" s="77"/>
      <c r="S481" s="77"/>
      <c r="T481" s="68"/>
      <c r="U481" s="68"/>
      <c r="V481" s="67"/>
      <c r="W481" s="67"/>
      <c r="X481" s="67"/>
      <c r="Y481" s="67"/>
      <c r="Z481" s="67"/>
      <c r="AA481" s="67"/>
      <c r="AB481" s="67"/>
      <c r="AC481" s="67"/>
      <c r="AD481" s="67"/>
      <c r="AE481" s="67"/>
      <c r="AF481" s="67"/>
      <c r="AG481" s="67"/>
      <c r="AH481" s="67"/>
      <c r="AI481" s="67"/>
      <c r="AJ481" s="67"/>
      <c r="AK481" s="67"/>
      <c r="AL481" s="67"/>
      <c r="AM481" s="67"/>
      <c r="AN481" s="77"/>
      <c r="AO481" s="76"/>
      <c r="AP481" s="77"/>
      <c r="AQ481" s="76"/>
      <c r="AR481" s="76"/>
      <c r="AS481" s="76"/>
      <c r="AT481" s="76"/>
      <c r="AU481" s="76"/>
      <c r="AV481" s="77"/>
      <c r="AW481" s="76"/>
      <c r="AX481" s="77"/>
      <c r="AY481" s="76"/>
      <c r="AZ481" s="76"/>
      <c r="BA481" s="76"/>
      <c r="BB481" s="76"/>
      <c r="BC481" s="76"/>
      <c r="BD481" s="77"/>
      <c r="BE481" s="76"/>
      <c r="BF481" s="77"/>
      <c r="BG481" s="76"/>
      <c r="BH481" s="76"/>
      <c r="BI481" s="76"/>
      <c r="BJ481" s="76"/>
      <c r="BK481" s="76"/>
      <c r="BL481" s="77"/>
      <c r="BM481" s="76"/>
      <c r="BN481" s="77"/>
      <c r="BO481" s="76"/>
      <c r="BP481" s="76"/>
      <c r="BQ481" s="76"/>
      <c r="BR481" s="76"/>
      <c r="BS481" s="76"/>
      <c r="BT481" s="77"/>
      <c r="BU481" s="76"/>
      <c r="BV481" s="77"/>
      <c r="BW481" s="76"/>
      <c r="BX481" s="76"/>
      <c r="BY481" s="76"/>
      <c r="BZ481" s="76"/>
      <c r="CA481" s="76"/>
      <c r="CB481" s="77"/>
      <c r="CC481" s="76"/>
      <c r="CD481" s="77"/>
      <c r="CE481" s="76"/>
      <c r="CF481" s="76"/>
      <c r="CG481" s="76"/>
      <c r="CH481" s="76"/>
      <c r="CI481" s="76"/>
      <c r="CJ481" s="77"/>
      <c r="CK481" s="76"/>
      <c r="CL481" s="77"/>
      <c r="CM481" s="76"/>
      <c r="CN481" s="76"/>
      <c r="CO481" s="76"/>
      <c r="CP481" s="76"/>
      <c r="CQ481" s="76"/>
      <c r="CR481" s="78" t="str">
        <f t="shared" si="127"/>
        <v/>
      </c>
      <c r="CS481" s="79" t="str">
        <f t="shared" si="128"/>
        <v/>
      </c>
      <c r="CT481" s="79" t="str">
        <f t="shared" si="129"/>
        <v/>
      </c>
      <c r="CU481" s="79" t="str">
        <f t="shared" si="130"/>
        <v/>
      </c>
      <c r="CV481" s="79" t="str">
        <f t="shared" si="131"/>
        <v/>
      </c>
      <c r="CW481" s="79" t="str">
        <f t="shared" si="132"/>
        <v/>
      </c>
      <c r="CX481" s="79" t="str">
        <f t="shared" si="133"/>
        <v/>
      </c>
      <c r="CY481" s="79" t="str">
        <f t="shared" si="134"/>
        <v/>
      </c>
      <c r="CZ481" s="79" t="str">
        <f t="shared" si="135"/>
        <v/>
      </c>
      <c r="DA481" s="79" t="str">
        <f t="shared" si="136"/>
        <v/>
      </c>
      <c r="DB481" s="79" t="str">
        <f t="shared" si="137"/>
        <v/>
      </c>
      <c r="DC481" s="79" t="str">
        <f t="shared" si="138"/>
        <v/>
      </c>
      <c r="DD481" s="79" t="str">
        <f t="shared" si="139"/>
        <v/>
      </c>
      <c r="DE481" s="79" t="str">
        <f t="shared" si="140"/>
        <v/>
      </c>
      <c r="DF481" s="79" t="str">
        <f t="shared" si="141"/>
        <v/>
      </c>
      <c r="DG481" s="79" t="str">
        <f t="shared" si="142"/>
        <v/>
      </c>
      <c r="DH481" s="76"/>
      <c r="DI481" s="78"/>
      <c r="DJ481" s="76"/>
      <c r="DK481" s="77"/>
      <c r="DL481" s="77"/>
      <c r="DM481" s="77"/>
      <c r="DN481" s="80"/>
      <c r="DO481" s="80"/>
      <c r="DP481" s="92" t="str">
        <f>IF(Table1[Start Date]="","",IF(Table1[Start Date]&gt;42185,"",IF(AND(Table1[Leaving Date]&gt;1,Table1[Leaving Date]&lt;42095),"",1)))</f>
        <v/>
      </c>
      <c r="DQ481" s="92" t="str">
        <f>IF(Table1[Start Date]="","",IF(Table1[Start Date]&gt;42277,"",IF(AND(Table1[Leaving Date]&gt;1,Table1[Leaving Date]&lt;42186),"",1)))</f>
        <v/>
      </c>
      <c r="DR481" s="92" t="str">
        <f>IF(Table1[Start Date]="","",IF(Table1[Start Date]&gt;42369,"",IF(AND(Table1[Leaving Date]&gt;1,Table1[Leaving Date]&lt;42278),"",1)))</f>
        <v/>
      </c>
      <c r="DS481" s="92" t="str">
        <f>IF(Table1[Start Date]="","",IF(Table1[Start Date]&gt;42460,"",IF(AND(Table1[Leaving Date]&gt;1,Table1[Leaving Date]&lt;42370),"",1)))</f>
        <v/>
      </c>
      <c r="DT481" s="92" t="str">
        <f>IF(Table1[Start Date]="","",IF(Table1[Start Date]&gt;42551,"",IF(AND(Table1[Leaving Date]&gt;1,Table1[Leaving Date]&lt;42461),"",1)))</f>
        <v/>
      </c>
      <c r="DU481" s="92" t="str">
        <f>IF(Table1[Start Date]="","",IF(Table1[Start Date]&gt;42643,"",IF(AND(Table1[Leaving Date]&gt;1,Table1[Leaving Date]&lt;42552),"",1)))</f>
        <v/>
      </c>
      <c r="DV481" s="92" t="str">
        <f>IF(Table1[Start Date]="","",IF(Table1[Start Date]&gt;42735,"",IF(AND(Table1[Leaving Date]&gt;1,Table1[Leaving Date]&lt;42644),"",1)))</f>
        <v/>
      </c>
      <c r="DW481" s="92" t="str">
        <f>IF(Table1[Start Date]="","",IF(Table1[Start Date]&gt;42825,"",IF(AND(Table1[Leaving Date]&gt;1,Table1[Leaving Date]&lt;42736),"",1)))</f>
        <v/>
      </c>
      <c r="DX481"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481" s="44" t="e">
        <f>VLOOKUP(Table1[Referral Source],Lists!$G$2:$H$20,2,FALSE)</f>
        <v>#N/A</v>
      </c>
      <c r="DZ481" s="93" t="e">
        <f>SUM(Table1[Data Referral Quarter]+Table1[Data Referral Source])</f>
        <v>#N/A</v>
      </c>
      <c r="EA481" s="44" t="b">
        <f>IF(Table1[Referral Decision]="Accepted",100,IF(Table1[Referral Decision]="Rejected by Provider",200,IF(Table1[Referral Decision]="Rejected by Applicant",300)))</f>
        <v>0</v>
      </c>
      <c r="EB481" s="44">
        <f>SUM(Table1[Data Referral Quarter]+Table1[Data Referral Decision])</f>
        <v>0</v>
      </c>
      <c r="EC481" s="44" t="b">
        <f>IF(Table1[Start Date]&gt;42735,8000,IF(Table1[Start Date]&gt;42643,7000,IF(Table1[Start Date]&gt;42551,6000,IF(Table1[Start Date]&gt;42460,5000,IF(Table1[Start Date]&gt;42369,4000,IF(Table1[Start Date]&gt;42277,3000,IF(Table1[Start Date]&gt;42185,2000,IF(Table1[Start Date]&gt;42094,1000))))))))</f>
        <v>0</v>
      </c>
      <c r="ED481" s="44" t="str">
        <f>IF(Table1[Start Date]="","",IF(Table1[Current Local Authority]="Swindon",1,"2"))</f>
        <v/>
      </c>
      <c r="EE481" s="44" t="e">
        <f>SUM(Table1[Data Start Date]+Table1[Data Local Authority])</f>
        <v>#VALUE!</v>
      </c>
      <c r="EF481" s="44">
        <f>IF(Table1[Registered with GP]="Yes",1,0)</f>
        <v>0</v>
      </c>
      <c r="EG481" s="44">
        <f>SUM(Table1[Data Start Date]+Table1[Data GP Start])</f>
        <v>0</v>
      </c>
      <c r="EH481" s="44" t="str">
        <f>IF(Table1[EET]="NEET",1,IF(Table1[EET]="Education",2,IF(Table1[EET]="Employment",2,IF(Table1[EET]="Training",2,IF(Table1[EET]="Retired",3,"")))))</f>
        <v/>
      </c>
      <c r="EI481" s="44" t="e">
        <f>Table1[Data Start Date]+Table1[Data EET Start]</f>
        <v>#VALUE!</v>
      </c>
      <c r="EJ481" s="44" t="b">
        <f>IF(Table1[Leaving Date]&gt;42735,8000,IF(Table1[Leaving Date]&gt;42643,7000,IF(Table1[Leaving Date]&gt;42551,6000,IF(Table1[Leaving Date]&gt;42460,5000,IF(Table1[Leaving Date]&gt;42369,4000,IF(Table1[Leaving Date]&gt;42277,3000,IF(Table1[Leaving Date]&gt;42185,2000,IF(Table1[Leaving Date]&gt;42094,1000))))))))</f>
        <v>0</v>
      </c>
      <c r="EK481" s="44" t="e">
        <f>VLOOKUP(Table1[Reason for Leaving],Lists!$T$2:$U$15,2,FALSE)</f>
        <v>#N/A</v>
      </c>
      <c r="EL481" s="44" t="e">
        <f>SUM(Table1[Data Leavers Date]+Table1[Data Move On])</f>
        <v>#N/A</v>
      </c>
      <c r="EM481" s="44" t="b">
        <f>IF(Table1[Registered with GP2]="Yes",1,IF(Table1[Registered with GP2]="No",0,IF(Table1[Registered with GP]="Yes",1,IF(Table1[Registered with GP]="No",0))))</f>
        <v>0</v>
      </c>
      <c r="EN481" s="44">
        <f>SUM(Table1[Data Leavers Date]+Table1[Data GP End])</f>
        <v>0</v>
      </c>
      <c r="EO481" s="44" t="str">
        <f>IF(Table1[EET2]="NEET",1,IF(Table1[EET2]="Employment",2,IF(Table1[EET2]="Education",2,IF(Table1[EET2]="Training",2,IF(Table1[EET2]="Retired",3,IF(Table1[EET]="NEET",1,IF(Table1[EET]="Employment",2,IF(Table1[EET]="Education",2,IF(Table1[EET]="Training",2,IF(Table1[EET]="Retired",3,""))))))))))</f>
        <v/>
      </c>
      <c r="EP481" s="44" t="e">
        <f>+Table1[[#This Row],[Data Leavers Date]]+Table1[[#This Row],[Data EET End]]</f>
        <v>#VALUE!</v>
      </c>
      <c r="EQ481" s="44">
        <f>IF(Table1[Exit Form Received]="Yes",1,0)</f>
        <v>0</v>
      </c>
      <c r="ER481" s="44">
        <f>+Table1[[#This Row],[Data Leavers Date]]+Table1[[#This Row],[Data Exit Forms]]</f>
        <v>0</v>
      </c>
      <c r="ES481" s="44" t="str">
        <f>IF(Table1[Data Leavers Date]=1000,SUM(Table1[Leaving Date]-Table1[Start Date]),"")</f>
        <v/>
      </c>
      <c r="ET481" s="44" t="str">
        <f>IF(Table1[Data Leavers Date]=2000,SUM(Table1[Leaving Date]-Table1[Start Date]),"")</f>
        <v/>
      </c>
      <c r="EU481" s="44" t="str">
        <f>IF(Table1[Data Leavers Date]=3000,SUM(Table1[Leaving Date]-Table1[Start Date]),"")</f>
        <v/>
      </c>
      <c r="EV481" s="44" t="str">
        <f>IF(Table1[Data Leavers Date]=4000,SUM(Table1[Leaving Date]-Table1[Start Date]),"")</f>
        <v/>
      </c>
      <c r="EW481" s="44" t="str">
        <f>IF(Table1[Data Leavers Date]=5000,SUM(Table1[Leaving Date]-Table1[Start Date]),"")</f>
        <v/>
      </c>
      <c r="EX481" s="44" t="str">
        <f>IF(Table1[Data Leavers Date]=6000,SUM(Table1[Leaving Date]-Table1[Start Date]),"")</f>
        <v/>
      </c>
      <c r="EY481" s="44" t="str">
        <f>IF(Table1[Data Leavers Date]=7000,SUM(Table1[Leaving Date]-Table1[Start Date]),"")</f>
        <v/>
      </c>
      <c r="EZ481" s="44" t="str">
        <f>IF(Table1[Data Leavers Date]=8000,SUM(Table1[Leaving Date]-Table1[Start Date]),"")</f>
        <v/>
      </c>
      <c r="FA481" s="44" t="str">
        <f>IF(Table1[Date of Initial Assessment]="","",IF(AND(Table1[Start Date]&gt;42094,Table1[Start Date]&lt;42461),Table1[Motivation and Taking Responsibility],""))</f>
        <v/>
      </c>
      <c r="FB481" s="44" t="str">
        <f>IF(Table1[Date of Initial Assessment]="","",IF(AND(Table1[Start Date]&gt;42094,Table1[Start Date]&lt;42461),Table1[Self-Care and Living Skills],""))</f>
        <v/>
      </c>
      <c r="FC481" s="44" t="str">
        <f>IF(Table1[Date of Initial Assessment]="","",IF(AND(Table1[Start Date]&gt;42094,Table1[Start Date]&lt;42461),Table1[Managing Money and Personal Administration],""))</f>
        <v/>
      </c>
      <c r="FD481" s="44" t="str">
        <f>IF(Table1[Date of Initial Assessment]="","",IF(AND(Table1[Start Date]&gt;42094,Table1[Start Date]&lt;42461),Table1[Social Networks and Relationships],""))</f>
        <v/>
      </c>
      <c r="FE481" s="44" t="str">
        <f>IF(Table1[Date of Initial Assessment]="","",IF(AND(Table1[Start Date]&gt;42094,Table1[Start Date]&lt;42461),Table1[Drug and Alcohol Misuse],""))</f>
        <v/>
      </c>
      <c r="FF481" s="44" t="str">
        <f>IF(Table1[Date of Initial Assessment]="","",IF(AND(Table1[Start Date]&gt;42094,Table1[Start Date]&lt;42461),Table1[Physical Health],""))</f>
        <v/>
      </c>
      <c r="FG481" s="44" t="str">
        <f>IF(Table1[Date of Initial Assessment]="","",IF(AND(Table1[Start Date]&gt;42094,Table1[Start Date]&lt;42461),Table1[Emotional and Mental Health],""))</f>
        <v/>
      </c>
      <c r="FH481" s="44" t="str">
        <f>IF(Table1[Date of Initial Assessment]="","",IF(AND(Table1[Start Date]&gt;42094,Table1[Start Date]&lt;42461),Table1[Meaningful Use of Time],""))</f>
        <v/>
      </c>
      <c r="FI481" s="44" t="str">
        <f>IF(Table1[Date of Initial Assessment]="","",IF(AND(Table1[Start Date]&gt;42094,Table1[Start Date]&lt;42461),Table1[Managing Tenancy and Accommodation],""))</f>
        <v/>
      </c>
      <c r="FJ481" s="44" t="str">
        <f>IF(Table1[Date of Initial Assessment]="","",IF(AND(Table1[Start Date]&gt;42094,Table1[Start Date]&lt;42461),Table1[Offending],""))</f>
        <v/>
      </c>
      <c r="FK481" s="44" t="str">
        <f>IF(Table1[Leaving Date]="","",IF(Table1[Date of Initial Assessment]="","",IF(AND(Table1[Leaving Date]&gt;42094,Table1[Leaving Date]&lt;42461),IF(Table1[Date of Last Assessment]="",Table1[Motivation and Taking Responsibility],Table1[Motivation and Taking Responsibility2]),"")))</f>
        <v/>
      </c>
      <c r="FL481" s="44" t="str">
        <f>IF(Table1[Leaving Date]="","",IF(Table1[Date of Initial Assessment]="","",IF(AND(Table1[Leaving Date]&gt;42094,Table1[Leaving Date]&lt;42461),IF(Table1[Date of Last Assessment]="",Table1[Self-Care and Living Skills],Table1[Self-Care and Living Skills2]),"")))</f>
        <v/>
      </c>
      <c r="FM481" s="44" t="str">
        <f>IF(Table1[Leaving Date]="","",IF(Table1[Date of Initial Assessment]="","",IF(AND(Table1[Leaving Date]&gt;42094,Table1[Leaving Date]&lt;42461),IF(Table1[Date of Last Assessment]="",Table1[Managing Money and Personal Administration],Table1[Managing Money and Personal Administration2]),"")))</f>
        <v/>
      </c>
      <c r="FN481" s="44" t="str">
        <f>IF(Table1[Leaving Date]="","",IF(Table1[Date of Initial Assessment]="","",IF(AND(Table1[Leaving Date]&gt;42094,Table1[Leaving Date]&lt;42461),IF(Table1[Date of Last Assessment]="",Table1[Social Networks and Relationships],Table1[Social Networks and Relationships2]),"")))</f>
        <v/>
      </c>
      <c r="FO481" s="44" t="str">
        <f>IF(Table1[Leaving Date]="","",IF(Table1[Date of Initial Assessment]="","",IF(AND(Table1[Leaving Date]&gt;42094,Table1[Leaving Date]&lt;42461),IF(Table1[Date of Last Assessment]="",Table1[Drug and Alcohol Misuse],Table1[Drug and Alcohol Misuse2]),"")))</f>
        <v/>
      </c>
      <c r="FP481" s="44" t="str">
        <f>IF(Table1[Leaving Date]="","",IF(Table1[Date of Initial Assessment]="","",IF(AND(Table1[Leaving Date]&gt;42094,Table1[Leaving Date]&lt;42461),IF(Table1[Date of Last Assessment]="",Table1[Physical Health],Table1[Physical Health2]),"")))</f>
        <v/>
      </c>
      <c r="FQ481" s="44" t="str">
        <f>IF(Table1[Leaving Date]="","",IF(Table1[Date of Initial Assessment]="","",IF(AND(Table1[Leaving Date]&gt;42094,Table1[Leaving Date]&lt;42461),IF(Table1[Date of Last Assessment]="",Table1[Emotional and Mental Health],Table1[Emotional and Mental Health2]),"")))</f>
        <v/>
      </c>
      <c r="FR481" s="44" t="str">
        <f>IF(Table1[Leaving Date]="","",IF(Table1[Date of Initial Assessment]="","",IF(AND(Table1[Leaving Date]&gt;42094,Table1[Leaving Date]&lt;42461),IF(Table1[Date of Last Assessment]="",Table1[Meaningful Use of Time],Table1[Meaningful Use of Time2]),"")))</f>
        <v/>
      </c>
      <c r="FS481" s="44" t="str">
        <f>IF(Table1[Leaving Date]="","",IF(Table1[Date of Initial Assessment]="","",IF(AND(Table1[Leaving Date]&gt;42094,Table1[Leaving Date]&lt;42461),IF(Table1[Date of Last Assessment]="",Table1[Managing Tenancy and Accommodation],Table1[Managing Tenancy and Accommodation2]),"")))</f>
        <v/>
      </c>
      <c r="FT481" s="44" t="str">
        <f>IF(Table1[Leaving Date]="","",IF(Table1[Date of Initial Assessment]="","",IF(AND(Table1[Leaving Date]&gt;42094,Table1[Leaving Date]&lt;42461),IF(Table1[Date of Last Assessment]="",Table1[Offending],Table1[Offending2]),"")))</f>
        <v/>
      </c>
      <c r="FU481" s="44" t="str">
        <f>IF(Table1[Date of Initial Assessment]="","",IF(AND(Table1[Start Date]&gt;42460,Table1[Start Date]&lt;42826),Table1[Motivation and Taking Responsibility],""))</f>
        <v/>
      </c>
      <c r="FV481" s="44" t="str">
        <f>IF(Table1[Date of Initial Assessment]="","",IF(AND(Table1[Start Date]&gt;42460,Table1[Start Date]&lt;42826),Table1[Self-Care and Living Skills],""))</f>
        <v/>
      </c>
      <c r="FW481" s="44" t="str">
        <f>IF(Table1[Date of Initial Assessment]="","",IF(AND(Table1[Start Date]&gt;42460,Table1[Start Date]&lt;42826),Table1[Managing Money and Personal Administration],""))</f>
        <v/>
      </c>
      <c r="FX481" s="44" t="str">
        <f>IF(Table1[Date of Initial Assessment]="","",IF(AND(Table1[Start Date]&gt;42460,Table1[Start Date]&lt;42826),Table1[Social Networks and Relationships],""))</f>
        <v/>
      </c>
      <c r="FY481" s="44" t="str">
        <f>IF(Table1[Date of Initial Assessment]="","",IF(AND(Table1[Start Date]&gt;42460,Table1[Start Date]&lt;42826),Table1[Drug and Alcohol Misuse],""))</f>
        <v/>
      </c>
      <c r="FZ481" s="44" t="str">
        <f>IF(Table1[Date of Initial Assessment]="","",IF(AND(Table1[Start Date]&gt;42460,Table1[Start Date]&lt;42826),Table1[Physical Health],""))</f>
        <v/>
      </c>
      <c r="GA481" s="44" t="str">
        <f>IF(Table1[Date of Initial Assessment]="","",IF(AND(Table1[Start Date]&gt;42460,Table1[Start Date]&lt;42826),Table1[Emotional and Mental Health],""))</f>
        <v/>
      </c>
      <c r="GB481" s="44" t="str">
        <f>IF(Table1[Date of Initial Assessment]="","",IF(AND(Table1[Start Date]&gt;42460,Table1[Start Date]&lt;42826),Table1[Meaningful Use of Time],""))</f>
        <v/>
      </c>
      <c r="GC481" s="44" t="str">
        <f>IF(Table1[Date of Initial Assessment]="","",IF(AND(Table1[Start Date]&gt;42460,Table1[Start Date]&lt;42826),Table1[Managing Tenancy and Accommodation],""))</f>
        <v/>
      </c>
      <c r="GD481" s="44" t="str">
        <f>IF(Table1[Date of Initial Assessment]="","",IF(AND(Table1[Start Date]&gt;42460,Table1[Start Date]&lt;42826),Table1[Offending],""))</f>
        <v/>
      </c>
      <c r="GE481" s="44" t="str">
        <f>IF(Table1[Leaving Date]="","",IF(AND(Table1[Leaving Date]&gt;42460,Table1[Leaving Date]&lt;42826),IF(Table1[Date of Last Assessment]="",Table1[Motivation and Taking Responsibility],Table1[Motivation and Taking Responsibility2]),""))</f>
        <v/>
      </c>
      <c r="GF481" s="44" t="str">
        <f>IF(Table1[Leaving Date]="","",IF(AND(Table1[Leaving Date]&gt;42460,Table1[Leaving Date]&lt;42826),IF(Table1[Date of Last Assessment]="",Table1[Self-Care and Living Skills],Table1[Self-Care and Living Skills2]),""))</f>
        <v/>
      </c>
      <c r="GG481" s="44" t="str">
        <f>IF(Table1[Leaving Date]="","",IF(AND(Table1[Leaving Date]&gt;42460,Table1[Leaving Date]&lt;42826),IF(Table1[Date of Last Assessment]="",Table1[Managing Money and Personal Administration],Table1[Managing Money and Personal Administration2]),""))</f>
        <v/>
      </c>
      <c r="GH481" s="44" t="str">
        <f>IF(Table1[Leaving Date]="","",IF(AND(Table1[Leaving Date]&gt;42460,Table1[Leaving Date]&lt;42826),IF(Table1[Date of Last Assessment]="",Table1[Social Networks and Relationships],Table1[Social Networks and Relationships2]),""))</f>
        <v/>
      </c>
      <c r="GI481" s="44" t="str">
        <f>IF(Table1[Leaving Date]="","",IF(AND(Table1[Leaving Date]&gt;42460,Table1[Leaving Date]&lt;42826),IF(Table1[Date of Last Assessment]="",Table1[Drug and Alcohol Misuse],Table1[Drug and Alcohol Misuse2]),""))</f>
        <v/>
      </c>
      <c r="GJ481" s="44" t="str">
        <f>IF(Table1[Leaving Date]="","",IF(AND(Table1[Leaving Date]&gt;42460,Table1[Leaving Date]&lt;42826),IF(Table1[Date of Last Assessment]="",Table1[Physical Health],Table1[Physical Health2]),""))</f>
        <v/>
      </c>
      <c r="GK481" s="44" t="str">
        <f>IF(Table1[Leaving Date]="","",IF(AND(Table1[Leaving Date]&gt;42460,Table1[Leaving Date]&lt;42826),IF(Table1[Date of Last Assessment]="",Table1[Emotional and Mental Health],Table1[Emotional and Mental Health2]),""))</f>
        <v/>
      </c>
      <c r="GL481" s="44" t="str">
        <f>IF(Table1[Leaving Date]="","",IF(AND(Table1[Leaving Date]&gt;42460,Table1[Leaving Date]&lt;42826),IF(Table1[Date of Last Assessment]="",Table1[Meaningful Use of Time],Table1[Meaningful Use of Time2]),""))</f>
        <v/>
      </c>
      <c r="GM481" s="44" t="str">
        <f>IF(Table1[Leaving Date]="","",IF(AND(Table1[Leaving Date]&gt;42460,Table1[Leaving Date]&lt;42826),IF(Table1[Date of Last Assessment]="",Table1[Managing Tenancy and Accommodation],Table1[Managing Tenancy and Accommodation2]),""))</f>
        <v/>
      </c>
      <c r="GN481" s="44" t="str">
        <f>IF(Table1[Leaving Date]="","",IF(AND(Table1[Leaving Date]&gt;42460,Table1[Leaving Date]&lt;42826),IF(Table1[Date of Last Assessment]="",Table1[Offending],Table1[Offending2]),""))</f>
        <v/>
      </c>
    </row>
    <row r="482" spans="2:196" ht="20.100000000000001" customHeight="1" x14ac:dyDescent="0.2">
      <c r="B482" s="86">
        <f>+'Service Data'!$C$5:$C$5</f>
        <v>0</v>
      </c>
      <c r="C482" s="86"/>
      <c r="D482" s="86"/>
      <c r="E482" s="86"/>
      <c r="F482" s="86"/>
      <c r="G482" s="86"/>
      <c r="H482" s="6"/>
      <c r="I482" s="99" t="str">
        <f ca="1">IF(Table1[[#This Row],[Date of Birth]]="","",SUM(TODAY()-Table1[[#This Row],[Date of Birth]])/365)</f>
        <v/>
      </c>
      <c r="L482" s="86"/>
      <c r="M482" s="77"/>
      <c r="N482" s="86"/>
      <c r="O482" s="86"/>
      <c r="P482" s="91"/>
      <c r="Q482" s="86"/>
      <c r="R482" s="77"/>
      <c r="S482" s="77"/>
      <c r="T482" s="68"/>
      <c r="U482" s="68"/>
      <c r="V482" s="67"/>
      <c r="W482" s="67"/>
      <c r="X482" s="67"/>
      <c r="Y482" s="67"/>
      <c r="Z482" s="67"/>
      <c r="AA482" s="67"/>
      <c r="AB482" s="67"/>
      <c r="AC482" s="67"/>
      <c r="AD482" s="67"/>
      <c r="AE482" s="67"/>
      <c r="AF482" s="67"/>
      <c r="AG482" s="67"/>
      <c r="AH482" s="67"/>
      <c r="AI482" s="67"/>
      <c r="AJ482" s="67"/>
      <c r="AK482" s="67"/>
      <c r="AL482" s="67"/>
      <c r="AM482" s="67"/>
      <c r="AN482" s="77"/>
      <c r="AO482" s="76"/>
      <c r="AP482" s="77"/>
      <c r="AQ482" s="76"/>
      <c r="AR482" s="76"/>
      <c r="AS482" s="76"/>
      <c r="AT482" s="76"/>
      <c r="AU482" s="76"/>
      <c r="AV482" s="77"/>
      <c r="AW482" s="76"/>
      <c r="AX482" s="77"/>
      <c r="AY482" s="76"/>
      <c r="AZ482" s="76"/>
      <c r="BA482" s="76"/>
      <c r="BB482" s="76"/>
      <c r="BC482" s="76"/>
      <c r="BD482" s="77"/>
      <c r="BE482" s="76"/>
      <c r="BF482" s="77"/>
      <c r="BG482" s="76"/>
      <c r="BH482" s="76"/>
      <c r="BI482" s="76"/>
      <c r="BJ482" s="76"/>
      <c r="BK482" s="76"/>
      <c r="BL482" s="77"/>
      <c r="BM482" s="76"/>
      <c r="BN482" s="77"/>
      <c r="BO482" s="76"/>
      <c r="BP482" s="76"/>
      <c r="BQ482" s="76"/>
      <c r="BR482" s="76"/>
      <c r="BS482" s="76"/>
      <c r="BT482" s="77"/>
      <c r="BU482" s="76"/>
      <c r="BV482" s="77"/>
      <c r="BW482" s="76"/>
      <c r="BX482" s="76"/>
      <c r="BY482" s="76"/>
      <c r="BZ482" s="76"/>
      <c r="CA482" s="76"/>
      <c r="CB482" s="77"/>
      <c r="CC482" s="76"/>
      <c r="CD482" s="77"/>
      <c r="CE482" s="76"/>
      <c r="CF482" s="76"/>
      <c r="CG482" s="76"/>
      <c r="CH482" s="76"/>
      <c r="CI482" s="76"/>
      <c r="CJ482" s="77"/>
      <c r="CK482" s="76"/>
      <c r="CL482" s="77"/>
      <c r="CM482" s="76"/>
      <c r="CN482" s="76"/>
      <c r="CO482" s="76"/>
      <c r="CP482" s="76"/>
      <c r="CQ482" s="76"/>
      <c r="CR482" s="78" t="str">
        <f t="shared" si="127"/>
        <v/>
      </c>
      <c r="CS482" s="79" t="str">
        <f t="shared" si="128"/>
        <v/>
      </c>
      <c r="CT482" s="79" t="str">
        <f t="shared" si="129"/>
        <v/>
      </c>
      <c r="CU482" s="79" t="str">
        <f t="shared" si="130"/>
        <v/>
      </c>
      <c r="CV482" s="79" t="str">
        <f t="shared" si="131"/>
        <v/>
      </c>
      <c r="CW482" s="79" t="str">
        <f t="shared" si="132"/>
        <v/>
      </c>
      <c r="CX482" s="79" t="str">
        <f t="shared" si="133"/>
        <v/>
      </c>
      <c r="CY482" s="79" t="str">
        <f t="shared" si="134"/>
        <v/>
      </c>
      <c r="CZ482" s="79" t="str">
        <f t="shared" si="135"/>
        <v/>
      </c>
      <c r="DA482" s="79" t="str">
        <f t="shared" si="136"/>
        <v/>
      </c>
      <c r="DB482" s="79" t="str">
        <f t="shared" si="137"/>
        <v/>
      </c>
      <c r="DC482" s="79" t="str">
        <f t="shared" si="138"/>
        <v/>
      </c>
      <c r="DD482" s="79" t="str">
        <f t="shared" si="139"/>
        <v/>
      </c>
      <c r="DE482" s="79" t="str">
        <f t="shared" si="140"/>
        <v/>
      </c>
      <c r="DF482" s="79" t="str">
        <f t="shared" si="141"/>
        <v/>
      </c>
      <c r="DG482" s="79" t="str">
        <f t="shared" si="142"/>
        <v/>
      </c>
      <c r="DH482" s="76"/>
      <c r="DI482" s="78"/>
      <c r="DJ482" s="76"/>
      <c r="DK482" s="77"/>
      <c r="DL482" s="77"/>
      <c r="DM482" s="77"/>
      <c r="DN482" s="80"/>
      <c r="DO482" s="80"/>
      <c r="DP482" s="92" t="str">
        <f>IF(Table1[Start Date]="","",IF(Table1[Start Date]&gt;42185,"",IF(AND(Table1[Leaving Date]&gt;1,Table1[Leaving Date]&lt;42095),"",1)))</f>
        <v/>
      </c>
      <c r="DQ482" s="92" t="str">
        <f>IF(Table1[Start Date]="","",IF(Table1[Start Date]&gt;42277,"",IF(AND(Table1[Leaving Date]&gt;1,Table1[Leaving Date]&lt;42186),"",1)))</f>
        <v/>
      </c>
      <c r="DR482" s="92" t="str">
        <f>IF(Table1[Start Date]="","",IF(Table1[Start Date]&gt;42369,"",IF(AND(Table1[Leaving Date]&gt;1,Table1[Leaving Date]&lt;42278),"",1)))</f>
        <v/>
      </c>
      <c r="DS482" s="92" t="str">
        <f>IF(Table1[Start Date]="","",IF(Table1[Start Date]&gt;42460,"",IF(AND(Table1[Leaving Date]&gt;1,Table1[Leaving Date]&lt;42370),"",1)))</f>
        <v/>
      </c>
      <c r="DT482" s="92" t="str">
        <f>IF(Table1[Start Date]="","",IF(Table1[Start Date]&gt;42551,"",IF(AND(Table1[Leaving Date]&gt;1,Table1[Leaving Date]&lt;42461),"",1)))</f>
        <v/>
      </c>
      <c r="DU482" s="92" t="str">
        <f>IF(Table1[Start Date]="","",IF(Table1[Start Date]&gt;42643,"",IF(AND(Table1[Leaving Date]&gt;1,Table1[Leaving Date]&lt;42552),"",1)))</f>
        <v/>
      </c>
      <c r="DV482" s="92" t="str">
        <f>IF(Table1[Start Date]="","",IF(Table1[Start Date]&gt;42735,"",IF(AND(Table1[Leaving Date]&gt;1,Table1[Leaving Date]&lt;42644),"",1)))</f>
        <v/>
      </c>
      <c r="DW482" s="92" t="str">
        <f>IF(Table1[Start Date]="","",IF(Table1[Start Date]&gt;42825,"",IF(AND(Table1[Leaving Date]&gt;1,Table1[Leaving Date]&lt;42736),"",1)))</f>
        <v/>
      </c>
      <c r="DX482"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482" s="44" t="e">
        <f>VLOOKUP(Table1[Referral Source],Lists!$G$2:$H$20,2,FALSE)</f>
        <v>#N/A</v>
      </c>
      <c r="DZ482" s="93" t="e">
        <f>SUM(Table1[Data Referral Quarter]+Table1[Data Referral Source])</f>
        <v>#N/A</v>
      </c>
      <c r="EA482" s="44" t="b">
        <f>IF(Table1[Referral Decision]="Accepted",100,IF(Table1[Referral Decision]="Rejected by Provider",200,IF(Table1[Referral Decision]="Rejected by Applicant",300)))</f>
        <v>0</v>
      </c>
      <c r="EB482" s="44">
        <f>SUM(Table1[Data Referral Quarter]+Table1[Data Referral Decision])</f>
        <v>0</v>
      </c>
      <c r="EC482" s="44" t="b">
        <f>IF(Table1[Start Date]&gt;42735,8000,IF(Table1[Start Date]&gt;42643,7000,IF(Table1[Start Date]&gt;42551,6000,IF(Table1[Start Date]&gt;42460,5000,IF(Table1[Start Date]&gt;42369,4000,IF(Table1[Start Date]&gt;42277,3000,IF(Table1[Start Date]&gt;42185,2000,IF(Table1[Start Date]&gt;42094,1000))))))))</f>
        <v>0</v>
      </c>
      <c r="ED482" s="44" t="str">
        <f>IF(Table1[Start Date]="","",IF(Table1[Current Local Authority]="Swindon",1,"2"))</f>
        <v/>
      </c>
      <c r="EE482" s="44" t="e">
        <f>SUM(Table1[Data Start Date]+Table1[Data Local Authority])</f>
        <v>#VALUE!</v>
      </c>
      <c r="EF482" s="44">
        <f>IF(Table1[Registered with GP]="Yes",1,0)</f>
        <v>0</v>
      </c>
      <c r="EG482" s="44">
        <f>SUM(Table1[Data Start Date]+Table1[Data GP Start])</f>
        <v>0</v>
      </c>
      <c r="EH482" s="44" t="str">
        <f>IF(Table1[EET]="NEET",1,IF(Table1[EET]="Education",2,IF(Table1[EET]="Employment",2,IF(Table1[EET]="Training",2,IF(Table1[EET]="Retired",3,"")))))</f>
        <v/>
      </c>
      <c r="EI482" s="44" t="e">
        <f>Table1[Data Start Date]+Table1[Data EET Start]</f>
        <v>#VALUE!</v>
      </c>
      <c r="EJ482" s="44" t="b">
        <f>IF(Table1[Leaving Date]&gt;42735,8000,IF(Table1[Leaving Date]&gt;42643,7000,IF(Table1[Leaving Date]&gt;42551,6000,IF(Table1[Leaving Date]&gt;42460,5000,IF(Table1[Leaving Date]&gt;42369,4000,IF(Table1[Leaving Date]&gt;42277,3000,IF(Table1[Leaving Date]&gt;42185,2000,IF(Table1[Leaving Date]&gt;42094,1000))))))))</f>
        <v>0</v>
      </c>
      <c r="EK482" s="44" t="e">
        <f>VLOOKUP(Table1[Reason for Leaving],Lists!$T$2:$U$15,2,FALSE)</f>
        <v>#N/A</v>
      </c>
      <c r="EL482" s="44" t="e">
        <f>SUM(Table1[Data Leavers Date]+Table1[Data Move On])</f>
        <v>#N/A</v>
      </c>
      <c r="EM482" s="44" t="b">
        <f>IF(Table1[Registered with GP2]="Yes",1,IF(Table1[Registered with GP2]="No",0,IF(Table1[Registered with GP]="Yes",1,IF(Table1[Registered with GP]="No",0))))</f>
        <v>0</v>
      </c>
      <c r="EN482" s="44">
        <f>SUM(Table1[Data Leavers Date]+Table1[Data GP End])</f>
        <v>0</v>
      </c>
      <c r="EO482" s="44" t="str">
        <f>IF(Table1[EET2]="NEET",1,IF(Table1[EET2]="Employment",2,IF(Table1[EET2]="Education",2,IF(Table1[EET2]="Training",2,IF(Table1[EET2]="Retired",3,IF(Table1[EET]="NEET",1,IF(Table1[EET]="Employment",2,IF(Table1[EET]="Education",2,IF(Table1[EET]="Training",2,IF(Table1[EET]="Retired",3,""))))))))))</f>
        <v/>
      </c>
      <c r="EP482" s="44" t="e">
        <f>+Table1[[#This Row],[Data Leavers Date]]+Table1[[#This Row],[Data EET End]]</f>
        <v>#VALUE!</v>
      </c>
      <c r="EQ482" s="44">
        <f>IF(Table1[Exit Form Received]="Yes",1,0)</f>
        <v>0</v>
      </c>
      <c r="ER482" s="44">
        <f>+Table1[[#This Row],[Data Leavers Date]]+Table1[[#This Row],[Data Exit Forms]]</f>
        <v>0</v>
      </c>
      <c r="ES482" s="44" t="str">
        <f>IF(Table1[Data Leavers Date]=1000,SUM(Table1[Leaving Date]-Table1[Start Date]),"")</f>
        <v/>
      </c>
      <c r="ET482" s="44" t="str">
        <f>IF(Table1[Data Leavers Date]=2000,SUM(Table1[Leaving Date]-Table1[Start Date]),"")</f>
        <v/>
      </c>
      <c r="EU482" s="44" t="str">
        <f>IF(Table1[Data Leavers Date]=3000,SUM(Table1[Leaving Date]-Table1[Start Date]),"")</f>
        <v/>
      </c>
      <c r="EV482" s="44" t="str">
        <f>IF(Table1[Data Leavers Date]=4000,SUM(Table1[Leaving Date]-Table1[Start Date]),"")</f>
        <v/>
      </c>
      <c r="EW482" s="44" t="str">
        <f>IF(Table1[Data Leavers Date]=5000,SUM(Table1[Leaving Date]-Table1[Start Date]),"")</f>
        <v/>
      </c>
      <c r="EX482" s="44" t="str">
        <f>IF(Table1[Data Leavers Date]=6000,SUM(Table1[Leaving Date]-Table1[Start Date]),"")</f>
        <v/>
      </c>
      <c r="EY482" s="44" t="str">
        <f>IF(Table1[Data Leavers Date]=7000,SUM(Table1[Leaving Date]-Table1[Start Date]),"")</f>
        <v/>
      </c>
      <c r="EZ482" s="44" t="str">
        <f>IF(Table1[Data Leavers Date]=8000,SUM(Table1[Leaving Date]-Table1[Start Date]),"")</f>
        <v/>
      </c>
      <c r="FA482" s="44" t="str">
        <f>IF(Table1[Date of Initial Assessment]="","",IF(AND(Table1[Start Date]&gt;42094,Table1[Start Date]&lt;42461),Table1[Motivation and Taking Responsibility],""))</f>
        <v/>
      </c>
      <c r="FB482" s="44" t="str">
        <f>IF(Table1[Date of Initial Assessment]="","",IF(AND(Table1[Start Date]&gt;42094,Table1[Start Date]&lt;42461),Table1[Self-Care and Living Skills],""))</f>
        <v/>
      </c>
      <c r="FC482" s="44" t="str">
        <f>IF(Table1[Date of Initial Assessment]="","",IF(AND(Table1[Start Date]&gt;42094,Table1[Start Date]&lt;42461),Table1[Managing Money and Personal Administration],""))</f>
        <v/>
      </c>
      <c r="FD482" s="44" t="str">
        <f>IF(Table1[Date of Initial Assessment]="","",IF(AND(Table1[Start Date]&gt;42094,Table1[Start Date]&lt;42461),Table1[Social Networks and Relationships],""))</f>
        <v/>
      </c>
      <c r="FE482" s="44" t="str">
        <f>IF(Table1[Date of Initial Assessment]="","",IF(AND(Table1[Start Date]&gt;42094,Table1[Start Date]&lt;42461),Table1[Drug and Alcohol Misuse],""))</f>
        <v/>
      </c>
      <c r="FF482" s="44" t="str">
        <f>IF(Table1[Date of Initial Assessment]="","",IF(AND(Table1[Start Date]&gt;42094,Table1[Start Date]&lt;42461),Table1[Physical Health],""))</f>
        <v/>
      </c>
      <c r="FG482" s="44" t="str">
        <f>IF(Table1[Date of Initial Assessment]="","",IF(AND(Table1[Start Date]&gt;42094,Table1[Start Date]&lt;42461),Table1[Emotional and Mental Health],""))</f>
        <v/>
      </c>
      <c r="FH482" s="44" t="str">
        <f>IF(Table1[Date of Initial Assessment]="","",IF(AND(Table1[Start Date]&gt;42094,Table1[Start Date]&lt;42461),Table1[Meaningful Use of Time],""))</f>
        <v/>
      </c>
      <c r="FI482" s="44" t="str">
        <f>IF(Table1[Date of Initial Assessment]="","",IF(AND(Table1[Start Date]&gt;42094,Table1[Start Date]&lt;42461),Table1[Managing Tenancy and Accommodation],""))</f>
        <v/>
      </c>
      <c r="FJ482" s="44" t="str">
        <f>IF(Table1[Date of Initial Assessment]="","",IF(AND(Table1[Start Date]&gt;42094,Table1[Start Date]&lt;42461),Table1[Offending],""))</f>
        <v/>
      </c>
      <c r="FK482" s="44" t="str">
        <f>IF(Table1[Leaving Date]="","",IF(Table1[Date of Initial Assessment]="","",IF(AND(Table1[Leaving Date]&gt;42094,Table1[Leaving Date]&lt;42461),IF(Table1[Date of Last Assessment]="",Table1[Motivation and Taking Responsibility],Table1[Motivation and Taking Responsibility2]),"")))</f>
        <v/>
      </c>
      <c r="FL482" s="44" t="str">
        <f>IF(Table1[Leaving Date]="","",IF(Table1[Date of Initial Assessment]="","",IF(AND(Table1[Leaving Date]&gt;42094,Table1[Leaving Date]&lt;42461),IF(Table1[Date of Last Assessment]="",Table1[Self-Care and Living Skills],Table1[Self-Care and Living Skills2]),"")))</f>
        <v/>
      </c>
      <c r="FM482" s="44" t="str">
        <f>IF(Table1[Leaving Date]="","",IF(Table1[Date of Initial Assessment]="","",IF(AND(Table1[Leaving Date]&gt;42094,Table1[Leaving Date]&lt;42461),IF(Table1[Date of Last Assessment]="",Table1[Managing Money and Personal Administration],Table1[Managing Money and Personal Administration2]),"")))</f>
        <v/>
      </c>
      <c r="FN482" s="44" t="str">
        <f>IF(Table1[Leaving Date]="","",IF(Table1[Date of Initial Assessment]="","",IF(AND(Table1[Leaving Date]&gt;42094,Table1[Leaving Date]&lt;42461),IF(Table1[Date of Last Assessment]="",Table1[Social Networks and Relationships],Table1[Social Networks and Relationships2]),"")))</f>
        <v/>
      </c>
      <c r="FO482" s="44" t="str">
        <f>IF(Table1[Leaving Date]="","",IF(Table1[Date of Initial Assessment]="","",IF(AND(Table1[Leaving Date]&gt;42094,Table1[Leaving Date]&lt;42461),IF(Table1[Date of Last Assessment]="",Table1[Drug and Alcohol Misuse],Table1[Drug and Alcohol Misuse2]),"")))</f>
        <v/>
      </c>
      <c r="FP482" s="44" t="str">
        <f>IF(Table1[Leaving Date]="","",IF(Table1[Date of Initial Assessment]="","",IF(AND(Table1[Leaving Date]&gt;42094,Table1[Leaving Date]&lt;42461),IF(Table1[Date of Last Assessment]="",Table1[Physical Health],Table1[Physical Health2]),"")))</f>
        <v/>
      </c>
      <c r="FQ482" s="44" t="str">
        <f>IF(Table1[Leaving Date]="","",IF(Table1[Date of Initial Assessment]="","",IF(AND(Table1[Leaving Date]&gt;42094,Table1[Leaving Date]&lt;42461),IF(Table1[Date of Last Assessment]="",Table1[Emotional and Mental Health],Table1[Emotional and Mental Health2]),"")))</f>
        <v/>
      </c>
      <c r="FR482" s="44" t="str">
        <f>IF(Table1[Leaving Date]="","",IF(Table1[Date of Initial Assessment]="","",IF(AND(Table1[Leaving Date]&gt;42094,Table1[Leaving Date]&lt;42461),IF(Table1[Date of Last Assessment]="",Table1[Meaningful Use of Time],Table1[Meaningful Use of Time2]),"")))</f>
        <v/>
      </c>
      <c r="FS482" s="44" t="str">
        <f>IF(Table1[Leaving Date]="","",IF(Table1[Date of Initial Assessment]="","",IF(AND(Table1[Leaving Date]&gt;42094,Table1[Leaving Date]&lt;42461),IF(Table1[Date of Last Assessment]="",Table1[Managing Tenancy and Accommodation],Table1[Managing Tenancy and Accommodation2]),"")))</f>
        <v/>
      </c>
      <c r="FT482" s="44" t="str">
        <f>IF(Table1[Leaving Date]="","",IF(Table1[Date of Initial Assessment]="","",IF(AND(Table1[Leaving Date]&gt;42094,Table1[Leaving Date]&lt;42461),IF(Table1[Date of Last Assessment]="",Table1[Offending],Table1[Offending2]),"")))</f>
        <v/>
      </c>
      <c r="FU482" s="44" t="str">
        <f>IF(Table1[Date of Initial Assessment]="","",IF(AND(Table1[Start Date]&gt;42460,Table1[Start Date]&lt;42826),Table1[Motivation and Taking Responsibility],""))</f>
        <v/>
      </c>
      <c r="FV482" s="44" t="str">
        <f>IF(Table1[Date of Initial Assessment]="","",IF(AND(Table1[Start Date]&gt;42460,Table1[Start Date]&lt;42826),Table1[Self-Care and Living Skills],""))</f>
        <v/>
      </c>
      <c r="FW482" s="44" t="str">
        <f>IF(Table1[Date of Initial Assessment]="","",IF(AND(Table1[Start Date]&gt;42460,Table1[Start Date]&lt;42826),Table1[Managing Money and Personal Administration],""))</f>
        <v/>
      </c>
      <c r="FX482" s="44" t="str">
        <f>IF(Table1[Date of Initial Assessment]="","",IF(AND(Table1[Start Date]&gt;42460,Table1[Start Date]&lt;42826),Table1[Social Networks and Relationships],""))</f>
        <v/>
      </c>
      <c r="FY482" s="44" t="str">
        <f>IF(Table1[Date of Initial Assessment]="","",IF(AND(Table1[Start Date]&gt;42460,Table1[Start Date]&lt;42826),Table1[Drug and Alcohol Misuse],""))</f>
        <v/>
      </c>
      <c r="FZ482" s="44" t="str">
        <f>IF(Table1[Date of Initial Assessment]="","",IF(AND(Table1[Start Date]&gt;42460,Table1[Start Date]&lt;42826),Table1[Physical Health],""))</f>
        <v/>
      </c>
      <c r="GA482" s="44" t="str">
        <f>IF(Table1[Date of Initial Assessment]="","",IF(AND(Table1[Start Date]&gt;42460,Table1[Start Date]&lt;42826),Table1[Emotional and Mental Health],""))</f>
        <v/>
      </c>
      <c r="GB482" s="44" t="str">
        <f>IF(Table1[Date of Initial Assessment]="","",IF(AND(Table1[Start Date]&gt;42460,Table1[Start Date]&lt;42826),Table1[Meaningful Use of Time],""))</f>
        <v/>
      </c>
      <c r="GC482" s="44" t="str">
        <f>IF(Table1[Date of Initial Assessment]="","",IF(AND(Table1[Start Date]&gt;42460,Table1[Start Date]&lt;42826),Table1[Managing Tenancy and Accommodation],""))</f>
        <v/>
      </c>
      <c r="GD482" s="44" t="str">
        <f>IF(Table1[Date of Initial Assessment]="","",IF(AND(Table1[Start Date]&gt;42460,Table1[Start Date]&lt;42826),Table1[Offending],""))</f>
        <v/>
      </c>
      <c r="GE482" s="44" t="str">
        <f>IF(Table1[Leaving Date]="","",IF(AND(Table1[Leaving Date]&gt;42460,Table1[Leaving Date]&lt;42826),IF(Table1[Date of Last Assessment]="",Table1[Motivation and Taking Responsibility],Table1[Motivation and Taking Responsibility2]),""))</f>
        <v/>
      </c>
      <c r="GF482" s="44" t="str">
        <f>IF(Table1[Leaving Date]="","",IF(AND(Table1[Leaving Date]&gt;42460,Table1[Leaving Date]&lt;42826),IF(Table1[Date of Last Assessment]="",Table1[Self-Care and Living Skills],Table1[Self-Care and Living Skills2]),""))</f>
        <v/>
      </c>
      <c r="GG482" s="44" t="str">
        <f>IF(Table1[Leaving Date]="","",IF(AND(Table1[Leaving Date]&gt;42460,Table1[Leaving Date]&lt;42826),IF(Table1[Date of Last Assessment]="",Table1[Managing Money and Personal Administration],Table1[Managing Money and Personal Administration2]),""))</f>
        <v/>
      </c>
      <c r="GH482" s="44" t="str">
        <f>IF(Table1[Leaving Date]="","",IF(AND(Table1[Leaving Date]&gt;42460,Table1[Leaving Date]&lt;42826),IF(Table1[Date of Last Assessment]="",Table1[Social Networks and Relationships],Table1[Social Networks and Relationships2]),""))</f>
        <v/>
      </c>
      <c r="GI482" s="44" t="str">
        <f>IF(Table1[Leaving Date]="","",IF(AND(Table1[Leaving Date]&gt;42460,Table1[Leaving Date]&lt;42826),IF(Table1[Date of Last Assessment]="",Table1[Drug and Alcohol Misuse],Table1[Drug and Alcohol Misuse2]),""))</f>
        <v/>
      </c>
      <c r="GJ482" s="44" t="str">
        <f>IF(Table1[Leaving Date]="","",IF(AND(Table1[Leaving Date]&gt;42460,Table1[Leaving Date]&lt;42826),IF(Table1[Date of Last Assessment]="",Table1[Physical Health],Table1[Physical Health2]),""))</f>
        <v/>
      </c>
      <c r="GK482" s="44" t="str">
        <f>IF(Table1[Leaving Date]="","",IF(AND(Table1[Leaving Date]&gt;42460,Table1[Leaving Date]&lt;42826),IF(Table1[Date of Last Assessment]="",Table1[Emotional and Mental Health],Table1[Emotional and Mental Health2]),""))</f>
        <v/>
      </c>
      <c r="GL482" s="44" t="str">
        <f>IF(Table1[Leaving Date]="","",IF(AND(Table1[Leaving Date]&gt;42460,Table1[Leaving Date]&lt;42826),IF(Table1[Date of Last Assessment]="",Table1[Meaningful Use of Time],Table1[Meaningful Use of Time2]),""))</f>
        <v/>
      </c>
      <c r="GM482" s="44" t="str">
        <f>IF(Table1[Leaving Date]="","",IF(AND(Table1[Leaving Date]&gt;42460,Table1[Leaving Date]&lt;42826),IF(Table1[Date of Last Assessment]="",Table1[Managing Tenancy and Accommodation],Table1[Managing Tenancy and Accommodation2]),""))</f>
        <v/>
      </c>
      <c r="GN482" s="44" t="str">
        <f>IF(Table1[Leaving Date]="","",IF(AND(Table1[Leaving Date]&gt;42460,Table1[Leaving Date]&lt;42826),IF(Table1[Date of Last Assessment]="",Table1[Offending],Table1[Offending2]),""))</f>
        <v/>
      </c>
    </row>
    <row r="483" spans="2:196" ht="20.100000000000001" customHeight="1" x14ac:dyDescent="0.2">
      <c r="B483" s="86">
        <f>+'Service Data'!$C$5:$C$5</f>
        <v>0</v>
      </c>
      <c r="C483" s="86"/>
      <c r="D483" s="86"/>
      <c r="E483" s="86"/>
      <c r="F483" s="86"/>
      <c r="G483" s="86"/>
      <c r="H483" s="6"/>
      <c r="I483" s="99" t="str">
        <f ca="1">IF(Table1[[#This Row],[Date of Birth]]="","",SUM(TODAY()-Table1[[#This Row],[Date of Birth]])/365)</f>
        <v/>
      </c>
      <c r="L483" s="86"/>
      <c r="M483" s="77"/>
      <c r="N483" s="86"/>
      <c r="O483" s="86"/>
      <c r="P483" s="91"/>
      <c r="Q483" s="86"/>
      <c r="R483" s="77"/>
      <c r="S483" s="77"/>
      <c r="T483" s="68"/>
      <c r="U483" s="68"/>
      <c r="V483" s="67"/>
      <c r="W483" s="67"/>
      <c r="X483" s="67"/>
      <c r="Y483" s="67"/>
      <c r="Z483" s="67"/>
      <c r="AA483" s="67"/>
      <c r="AB483" s="67"/>
      <c r="AC483" s="67"/>
      <c r="AD483" s="67"/>
      <c r="AE483" s="67"/>
      <c r="AF483" s="67"/>
      <c r="AG483" s="67"/>
      <c r="AH483" s="67"/>
      <c r="AI483" s="67"/>
      <c r="AJ483" s="67"/>
      <c r="AK483" s="67"/>
      <c r="AL483" s="67"/>
      <c r="AM483" s="67"/>
      <c r="AN483" s="77"/>
      <c r="AO483" s="76"/>
      <c r="AP483" s="77"/>
      <c r="AQ483" s="76"/>
      <c r="AR483" s="76"/>
      <c r="AS483" s="76"/>
      <c r="AT483" s="76"/>
      <c r="AU483" s="76"/>
      <c r="AV483" s="77"/>
      <c r="AW483" s="76"/>
      <c r="AX483" s="77"/>
      <c r="AY483" s="76"/>
      <c r="AZ483" s="76"/>
      <c r="BA483" s="76"/>
      <c r="BB483" s="76"/>
      <c r="BC483" s="76"/>
      <c r="BD483" s="77"/>
      <c r="BE483" s="76"/>
      <c r="BF483" s="77"/>
      <c r="BG483" s="76"/>
      <c r="BH483" s="76"/>
      <c r="BI483" s="76"/>
      <c r="BJ483" s="76"/>
      <c r="BK483" s="76"/>
      <c r="BL483" s="77"/>
      <c r="BM483" s="76"/>
      <c r="BN483" s="77"/>
      <c r="BO483" s="76"/>
      <c r="BP483" s="76"/>
      <c r="BQ483" s="76"/>
      <c r="BR483" s="76"/>
      <c r="BS483" s="76"/>
      <c r="BT483" s="77"/>
      <c r="BU483" s="76"/>
      <c r="BV483" s="77"/>
      <c r="BW483" s="76"/>
      <c r="BX483" s="76"/>
      <c r="BY483" s="76"/>
      <c r="BZ483" s="76"/>
      <c r="CA483" s="76"/>
      <c r="CB483" s="77"/>
      <c r="CC483" s="76"/>
      <c r="CD483" s="77"/>
      <c r="CE483" s="76"/>
      <c r="CF483" s="76"/>
      <c r="CG483" s="76"/>
      <c r="CH483" s="76"/>
      <c r="CI483" s="76"/>
      <c r="CJ483" s="77"/>
      <c r="CK483" s="76"/>
      <c r="CL483" s="77"/>
      <c r="CM483" s="76"/>
      <c r="CN483" s="76"/>
      <c r="CO483" s="76"/>
      <c r="CP483" s="76"/>
      <c r="CQ483" s="76"/>
      <c r="CR483" s="78" t="str">
        <f t="shared" si="127"/>
        <v/>
      </c>
      <c r="CS483" s="79" t="str">
        <f t="shared" si="128"/>
        <v/>
      </c>
      <c r="CT483" s="79" t="str">
        <f t="shared" si="129"/>
        <v/>
      </c>
      <c r="CU483" s="79" t="str">
        <f t="shared" si="130"/>
        <v/>
      </c>
      <c r="CV483" s="79" t="str">
        <f t="shared" si="131"/>
        <v/>
      </c>
      <c r="CW483" s="79" t="str">
        <f t="shared" si="132"/>
        <v/>
      </c>
      <c r="CX483" s="79" t="str">
        <f t="shared" si="133"/>
        <v/>
      </c>
      <c r="CY483" s="79" t="str">
        <f t="shared" si="134"/>
        <v/>
      </c>
      <c r="CZ483" s="79" t="str">
        <f t="shared" si="135"/>
        <v/>
      </c>
      <c r="DA483" s="79" t="str">
        <f t="shared" si="136"/>
        <v/>
      </c>
      <c r="DB483" s="79" t="str">
        <f t="shared" si="137"/>
        <v/>
      </c>
      <c r="DC483" s="79" t="str">
        <f t="shared" si="138"/>
        <v/>
      </c>
      <c r="DD483" s="79" t="str">
        <f t="shared" si="139"/>
        <v/>
      </c>
      <c r="DE483" s="79" t="str">
        <f t="shared" si="140"/>
        <v/>
      </c>
      <c r="DF483" s="79" t="str">
        <f t="shared" si="141"/>
        <v/>
      </c>
      <c r="DG483" s="79" t="str">
        <f t="shared" si="142"/>
        <v/>
      </c>
      <c r="DH483" s="76"/>
      <c r="DI483" s="78"/>
      <c r="DJ483" s="76"/>
      <c r="DK483" s="77"/>
      <c r="DL483" s="77"/>
      <c r="DM483" s="77"/>
      <c r="DN483" s="80"/>
      <c r="DO483" s="80"/>
      <c r="DP483" s="92" t="str">
        <f>IF(Table1[Start Date]="","",IF(Table1[Start Date]&gt;42185,"",IF(AND(Table1[Leaving Date]&gt;1,Table1[Leaving Date]&lt;42095),"",1)))</f>
        <v/>
      </c>
      <c r="DQ483" s="92" t="str">
        <f>IF(Table1[Start Date]="","",IF(Table1[Start Date]&gt;42277,"",IF(AND(Table1[Leaving Date]&gt;1,Table1[Leaving Date]&lt;42186),"",1)))</f>
        <v/>
      </c>
      <c r="DR483" s="92" t="str">
        <f>IF(Table1[Start Date]="","",IF(Table1[Start Date]&gt;42369,"",IF(AND(Table1[Leaving Date]&gt;1,Table1[Leaving Date]&lt;42278),"",1)))</f>
        <v/>
      </c>
      <c r="DS483" s="92" t="str">
        <f>IF(Table1[Start Date]="","",IF(Table1[Start Date]&gt;42460,"",IF(AND(Table1[Leaving Date]&gt;1,Table1[Leaving Date]&lt;42370),"",1)))</f>
        <v/>
      </c>
      <c r="DT483" s="92" t="str">
        <f>IF(Table1[Start Date]="","",IF(Table1[Start Date]&gt;42551,"",IF(AND(Table1[Leaving Date]&gt;1,Table1[Leaving Date]&lt;42461),"",1)))</f>
        <v/>
      </c>
      <c r="DU483" s="92" t="str">
        <f>IF(Table1[Start Date]="","",IF(Table1[Start Date]&gt;42643,"",IF(AND(Table1[Leaving Date]&gt;1,Table1[Leaving Date]&lt;42552),"",1)))</f>
        <v/>
      </c>
      <c r="DV483" s="92" t="str">
        <f>IF(Table1[Start Date]="","",IF(Table1[Start Date]&gt;42735,"",IF(AND(Table1[Leaving Date]&gt;1,Table1[Leaving Date]&lt;42644),"",1)))</f>
        <v/>
      </c>
      <c r="DW483" s="92" t="str">
        <f>IF(Table1[Start Date]="","",IF(Table1[Start Date]&gt;42825,"",IF(AND(Table1[Leaving Date]&gt;1,Table1[Leaving Date]&lt;42736),"",1)))</f>
        <v/>
      </c>
      <c r="DX483"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483" s="44" t="e">
        <f>VLOOKUP(Table1[Referral Source],Lists!$G$2:$H$20,2,FALSE)</f>
        <v>#N/A</v>
      </c>
      <c r="DZ483" s="93" t="e">
        <f>SUM(Table1[Data Referral Quarter]+Table1[Data Referral Source])</f>
        <v>#N/A</v>
      </c>
      <c r="EA483" s="44" t="b">
        <f>IF(Table1[Referral Decision]="Accepted",100,IF(Table1[Referral Decision]="Rejected by Provider",200,IF(Table1[Referral Decision]="Rejected by Applicant",300)))</f>
        <v>0</v>
      </c>
      <c r="EB483" s="44">
        <f>SUM(Table1[Data Referral Quarter]+Table1[Data Referral Decision])</f>
        <v>0</v>
      </c>
      <c r="EC483" s="44" t="b">
        <f>IF(Table1[Start Date]&gt;42735,8000,IF(Table1[Start Date]&gt;42643,7000,IF(Table1[Start Date]&gt;42551,6000,IF(Table1[Start Date]&gt;42460,5000,IF(Table1[Start Date]&gt;42369,4000,IF(Table1[Start Date]&gt;42277,3000,IF(Table1[Start Date]&gt;42185,2000,IF(Table1[Start Date]&gt;42094,1000))))))))</f>
        <v>0</v>
      </c>
      <c r="ED483" s="44" t="str">
        <f>IF(Table1[Start Date]="","",IF(Table1[Current Local Authority]="Swindon",1,"2"))</f>
        <v/>
      </c>
      <c r="EE483" s="44" t="e">
        <f>SUM(Table1[Data Start Date]+Table1[Data Local Authority])</f>
        <v>#VALUE!</v>
      </c>
      <c r="EF483" s="44">
        <f>IF(Table1[Registered with GP]="Yes",1,0)</f>
        <v>0</v>
      </c>
      <c r="EG483" s="44">
        <f>SUM(Table1[Data Start Date]+Table1[Data GP Start])</f>
        <v>0</v>
      </c>
      <c r="EH483" s="44" t="str">
        <f>IF(Table1[EET]="NEET",1,IF(Table1[EET]="Education",2,IF(Table1[EET]="Employment",2,IF(Table1[EET]="Training",2,IF(Table1[EET]="Retired",3,"")))))</f>
        <v/>
      </c>
      <c r="EI483" s="44" t="e">
        <f>Table1[Data Start Date]+Table1[Data EET Start]</f>
        <v>#VALUE!</v>
      </c>
      <c r="EJ483" s="44" t="b">
        <f>IF(Table1[Leaving Date]&gt;42735,8000,IF(Table1[Leaving Date]&gt;42643,7000,IF(Table1[Leaving Date]&gt;42551,6000,IF(Table1[Leaving Date]&gt;42460,5000,IF(Table1[Leaving Date]&gt;42369,4000,IF(Table1[Leaving Date]&gt;42277,3000,IF(Table1[Leaving Date]&gt;42185,2000,IF(Table1[Leaving Date]&gt;42094,1000))))))))</f>
        <v>0</v>
      </c>
      <c r="EK483" s="44" t="e">
        <f>VLOOKUP(Table1[Reason for Leaving],Lists!$T$2:$U$15,2,FALSE)</f>
        <v>#N/A</v>
      </c>
      <c r="EL483" s="44" t="e">
        <f>SUM(Table1[Data Leavers Date]+Table1[Data Move On])</f>
        <v>#N/A</v>
      </c>
      <c r="EM483" s="44" t="b">
        <f>IF(Table1[Registered with GP2]="Yes",1,IF(Table1[Registered with GP2]="No",0,IF(Table1[Registered with GP]="Yes",1,IF(Table1[Registered with GP]="No",0))))</f>
        <v>0</v>
      </c>
      <c r="EN483" s="44">
        <f>SUM(Table1[Data Leavers Date]+Table1[Data GP End])</f>
        <v>0</v>
      </c>
      <c r="EO483" s="44" t="str">
        <f>IF(Table1[EET2]="NEET",1,IF(Table1[EET2]="Employment",2,IF(Table1[EET2]="Education",2,IF(Table1[EET2]="Training",2,IF(Table1[EET2]="Retired",3,IF(Table1[EET]="NEET",1,IF(Table1[EET]="Employment",2,IF(Table1[EET]="Education",2,IF(Table1[EET]="Training",2,IF(Table1[EET]="Retired",3,""))))))))))</f>
        <v/>
      </c>
      <c r="EP483" s="44" t="e">
        <f>+Table1[[#This Row],[Data Leavers Date]]+Table1[[#This Row],[Data EET End]]</f>
        <v>#VALUE!</v>
      </c>
      <c r="EQ483" s="44">
        <f>IF(Table1[Exit Form Received]="Yes",1,0)</f>
        <v>0</v>
      </c>
      <c r="ER483" s="44">
        <f>+Table1[[#This Row],[Data Leavers Date]]+Table1[[#This Row],[Data Exit Forms]]</f>
        <v>0</v>
      </c>
      <c r="ES483" s="44" t="str">
        <f>IF(Table1[Data Leavers Date]=1000,SUM(Table1[Leaving Date]-Table1[Start Date]),"")</f>
        <v/>
      </c>
      <c r="ET483" s="44" t="str">
        <f>IF(Table1[Data Leavers Date]=2000,SUM(Table1[Leaving Date]-Table1[Start Date]),"")</f>
        <v/>
      </c>
      <c r="EU483" s="44" t="str">
        <f>IF(Table1[Data Leavers Date]=3000,SUM(Table1[Leaving Date]-Table1[Start Date]),"")</f>
        <v/>
      </c>
      <c r="EV483" s="44" t="str">
        <f>IF(Table1[Data Leavers Date]=4000,SUM(Table1[Leaving Date]-Table1[Start Date]),"")</f>
        <v/>
      </c>
      <c r="EW483" s="44" t="str">
        <f>IF(Table1[Data Leavers Date]=5000,SUM(Table1[Leaving Date]-Table1[Start Date]),"")</f>
        <v/>
      </c>
      <c r="EX483" s="44" t="str">
        <f>IF(Table1[Data Leavers Date]=6000,SUM(Table1[Leaving Date]-Table1[Start Date]),"")</f>
        <v/>
      </c>
      <c r="EY483" s="44" t="str">
        <f>IF(Table1[Data Leavers Date]=7000,SUM(Table1[Leaving Date]-Table1[Start Date]),"")</f>
        <v/>
      </c>
      <c r="EZ483" s="44" t="str">
        <f>IF(Table1[Data Leavers Date]=8000,SUM(Table1[Leaving Date]-Table1[Start Date]),"")</f>
        <v/>
      </c>
      <c r="FA483" s="44" t="str">
        <f>IF(Table1[Date of Initial Assessment]="","",IF(AND(Table1[Start Date]&gt;42094,Table1[Start Date]&lt;42461),Table1[Motivation and Taking Responsibility],""))</f>
        <v/>
      </c>
      <c r="FB483" s="44" t="str">
        <f>IF(Table1[Date of Initial Assessment]="","",IF(AND(Table1[Start Date]&gt;42094,Table1[Start Date]&lt;42461),Table1[Self-Care and Living Skills],""))</f>
        <v/>
      </c>
      <c r="FC483" s="44" t="str">
        <f>IF(Table1[Date of Initial Assessment]="","",IF(AND(Table1[Start Date]&gt;42094,Table1[Start Date]&lt;42461),Table1[Managing Money and Personal Administration],""))</f>
        <v/>
      </c>
      <c r="FD483" s="44" t="str">
        <f>IF(Table1[Date of Initial Assessment]="","",IF(AND(Table1[Start Date]&gt;42094,Table1[Start Date]&lt;42461),Table1[Social Networks and Relationships],""))</f>
        <v/>
      </c>
      <c r="FE483" s="44" t="str">
        <f>IF(Table1[Date of Initial Assessment]="","",IF(AND(Table1[Start Date]&gt;42094,Table1[Start Date]&lt;42461),Table1[Drug and Alcohol Misuse],""))</f>
        <v/>
      </c>
      <c r="FF483" s="44" t="str">
        <f>IF(Table1[Date of Initial Assessment]="","",IF(AND(Table1[Start Date]&gt;42094,Table1[Start Date]&lt;42461),Table1[Physical Health],""))</f>
        <v/>
      </c>
      <c r="FG483" s="44" t="str">
        <f>IF(Table1[Date of Initial Assessment]="","",IF(AND(Table1[Start Date]&gt;42094,Table1[Start Date]&lt;42461),Table1[Emotional and Mental Health],""))</f>
        <v/>
      </c>
      <c r="FH483" s="44" t="str">
        <f>IF(Table1[Date of Initial Assessment]="","",IF(AND(Table1[Start Date]&gt;42094,Table1[Start Date]&lt;42461),Table1[Meaningful Use of Time],""))</f>
        <v/>
      </c>
      <c r="FI483" s="44" t="str">
        <f>IF(Table1[Date of Initial Assessment]="","",IF(AND(Table1[Start Date]&gt;42094,Table1[Start Date]&lt;42461),Table1[Managing Tenancy and Accommodation],""))</f>
        <v/>
      </c>
      <c r="FJ483" s="44" t="str">
        <f>IF(Table1[Date of Initial Assessment]="","",IF(AND(Table1[Start Date]&gt;42094,Table1[Start Date]&lt;42461),Table1[Offending],""))</f>
        <v/>
      </c>
      <c r="FK483" s="44" t="str">
        <f>IF(Table1[Leaving Date]="","",IF(Table1[Date of Initial Assessment]="","",IF(AND(Table1[Leaving Date]&gt;42094,Table1[Leaving Date]&lt;42461),IF(Table1[Date of Last Assessment]="",Table1[Motivation and Taking Responsibility],Table1[Motivation and Taking Responsibility2]),"")))</f>
        <v/>
      </c>
      <c r="FL483" s="44" t="str">
        <f>IF(Table1[Leaving Date]="","",IF(Table1[Date of Initial Assessment]="","",IF(AND(Table1[Leaving Date]&gt;42094,Table1[Leaving Date]&lt;42461),IF(Table1[Date of Last Assessment]="",Table1[Self-Care and Living Skills],Table1[Self-Care and Living Skills2]),"")))</f>
        <v/>
      </c>
      <c r="FM483" s="44" t="str">
        <f>IF(Table1[Leaving Date]="","",IF(Table1[Date of Initial Assessment]="","",IF(AND(Table1[Leaving Date]&gt;42094,Table1[Leaving Date]&lt;42461),IF(Table1[Date of Last Assessment]="",Table1[Managing Money and Personal Administration],Table1[Managing Money and Personal Administration2]),"")))</f>
        <v/>
      </c>
      <c r="FN483" s="44" t="str">
        <f>IF(Table1[Leaving Date]="","",IF(Table1[Date of Initial Assessment]="","",IF(AND(Table1[Leaving Date]&gt;42094,Table1[Leaving Date]&lt;42461),IF(Table1[Date of Last Assessment]="",Table1[Social Networks and Relationships],Table1[Social Networks and Relationships2]),"")))</f>
        <v/>
      </c>
      <c r="FO483" s="44" t="str">
        <f>IF(Table1[Leaving Date]="","",IF(Table1[Date of Initial Assessment]="","",IF(AND(Table1[Leaving Date]&gt;42094,Table1[Leaving Date]&lt;42461),IF(Table1[Date of Last Assessment]="",Table1[Drug and Alcohol Misuse],Table1[Drug and Alcohol Misuse2]),"")))</f>
        <v/>
      </c>
      <c r="FP483" s="44" t="str">
        <f>IF(Table1[Leaving Date]="","",IF(Table1[Date of Initial Assessment]="","",IF(AND(Table1[Leaving Date]&gt;42094,Table1[Leaving Date]&lt;42461),IF(Table1[Date of Last Assessment]="",Table1[Physical Health],Table1[Physical Health2]),"")))</f>
        <v/>
      </c>
      <c r="FQ483" s="44" t="str">
        <f>IF(Table1[Leaving Date]="","",IF(Table1[Date of Initial Assessment]="","",IF(AND(Table1[Leaving Date]&gt;42094,Table1[Leaving Date]&lt;42461),IF(Table1[Date of Last Assessment]="",Table1[Emotional and Mental Health],Table1[Emotional and Mental Health2]),"")))</f>
        <v/>
      </c>
      <c r="FR483" s="44" t="str">
        <f>IF(Table1[Leaving Date]="","",IF(Table1[Date of Initial Assessment]="","",IF(AND(Table1[Leaving Date]&gt;42094,Table1[Leaving Date]&lt;42461),IF(Table1[Date of Last Assessment]="",Table1[Meaningful Use of Time],Table1[Meaningful Use of Time2]),"")))</f>
        <v/>
      </c>
      <c r="FS483" s="44" t="str">
        <f>IF(Table1[Leaving Date]="","",IF(Table1[Date of Initial Assessment]="","",IF(AND(Table1[Leaving Date]&gt;42094,Table1[Leaving Date]&lt;42461),IF(Table1[Date of Last Assessment]="",Table1[Managing Tenancy and Accommodation],Table1[Managing Tenancy and Accommodation2]),"")))</f>
        <v/>
      </c>
      <c r="FT483" s="44" t="str">
        <f>IF(Table1[Leaving Date]="","",IF(Table1[Date of Initial Assessment]="","",IF(AND(Table1[Leaving Date]&gt;42094,Table1[Leaving Date]&lt;42461),IF(Table1[Date of Last Assessment]="",Table1[Offending],Table1[Offending2]),"")))</f>
        <v/>
      </c>
      <c r="FU483" s="44" t="str">
        <f>IF(Table1[Date of Initial Assessment]="","",IF(AND(Table1[Start Date]&gt;42460,Table1[Start Date]&lt;42826),Table1[Motivation and Taking Responsibility],""))</f>
        <v/>
      </c>
      <c r="FV483" s="44" t="str">
        <f>IF(Table1[Date of Initial Assessment]="","",IF(AND(Table1[Start Date]&gt;42460,Table1[Start Date]&lt;42826),Table1[Self-Care and Living Skills],""))</f>
        <v/>
      </c>
      <c r="FW483" s="44" t="str">
        <f>IF(Table1[Date of Initial Assessment]="","",IF(AND(Table1[Start Date]&gt;42460,Table1[Start Date]&lt;42826),Table1[Managing Money and Personal Administration],""))</f>
        <v/>
      </c>
      <c r="FX483" s="44" t="str">
        <f>IF(Table1[Date of Initial Assessment]="","",IF(AND(Table1[Start Date]&gt;42460,Table1[Start Date]&lt;42826),Table1[Social Networks and Relationships],""))</f>
        <v/>
      </c>
      <c r="FY483" s="44" t="str">
        <f>IF(Table1[Date of Initial Assessment]="","",IF(AND(Table1[Start Date]&gt;42460,Table1[Start Date]&lt;42826),Table1[Drug and Alcohol Misuse],""))</f>
        <v/>
      </c>
      <c r="FZ483" s="44" t="str">
        <f>IF(Table1[Date of Initial Assessment]="","",IF(AND(Table1[Start Date]&gt;42460,Table1[Start Date]&lt;42826),Table1[Physical Health],""))</f>
        <v/>
      </c>
      <c r="GA483" s="44" t="str">
        <f>IF(Table1[Date of Initial Assessment]="","",IF(AND(Table1[Start Date]&gt;42460,Table1[Start Date]&lt;42826),Table1[Emotional and Mental Health],""))</f>
        <v/>
      </c>
      <c r="GB483" s="44" t="str">
        <f>IF(Table1[Date of Initial Assessment]="","",IF(AND(Table1[Start Date]&gt;42460,Table1[Start Date]&lt;42826),Table1[Meaningful Use of Time],""))</f>
        <v/>
      </c>
      <c r="GC483" s="44" t="str">
        <f>IF(Table1[Date of Initial Assessment]="","",IF(AND(Table1[Start Date]&gt;42460,Table1[Start Date]&lt;42826),Table1[Managing Tenancy and Accommodation],""))</f>
        <v/>
      </c>
      <c r="GD483" s="44" t="str">
        <f>IF(Table1[Date of Initial Assessment]="","",IF(AND(Table1[Start Date]&gt;42460,Table1[Start Date]&lt;42826),Table1[Offending],""))</f>
        <v/>
      </c>
      <c r="GE483" s="44" t="str">
        <f>IF(Table1[Leaving Date]="","",IF(AND(Table1[Leaving Date]&gt;42460,Table1[Leaving Date]&lt;42826),IF(Table1[Date of Last Assessment]="",Table1[Motivation and Taking Responsibility],Table1[Motivation and Taking Responsibility2]),""))</f>
        <v/>
      </c>
      <c r="GF483" s="44" t="str">
        <f>IF(Table1[Leaving Date]="","",IF(AND(Table1[Leaving Date]&gt;42460,Table1[Leaving Date]&lt;42826),IF(Table1[Date of Last Assessment]="",Table1[Self-Care and Living Skills],Table1[Self-Care and Living Skills2]),""))</f>
        <v/>
      </c>
      <c r="GG483" s="44" t="str">
        <f>IF(Table1[Leaving Date]="","",IF(AND(Table1[Leaving Date]&gt;42460,Table1[Leaving Date]&lt;42826),IF(Table1[Date of Last Assessment]="",Table1[Managing Money and Personal Administration],Table1[Managing Money and Personal Administration2]),""))</f>
        <v/>
      </c>
      <c r="GH483" s="44" t="str">
        <f>IF(Table1[Leaving Date]="","",IF(AND(Table1[Leaving Date]&gt;42460,Table1[Leaving Date]&lt;42826),IF(Table1[Date of Last Assessment]="",Table1[Social Networks and Relationships],Table1[Social Networks and Relationships2]),""))</f>
        <v/>
      </c>
      <c r="GI483" s="44" t="str">
        <f>IF(Table1[Leaving Date]="","",IF(AND(Table1[Leaving Date]&gt;42460,Table1[Leaving Date]&lt;42826),IF(Table1[Date of Last Assessment]="",Table1[Drug and Alcohol Misuse],Table1[Drug and Alcohol Misuse2]),""))</f>
        <v/>
      </c>
      <c r="GJ483" s="44" t="str">
        <f>IF(Table1[Leaving Date]="","",IF(AND(Table1[Leaving Date]&gt;42460,Table1[Leaving Date]&lt;42826),IF(Table1[Date of Last Assessment]="",Table1[Physical Health],Table1[Physical Health2]),""))</f>
        <v/>
      </c>
      <c r="GK483" s="44" t="str">
        <f>IF(Table1[Leaving Date]="","",IF(AND(Table1[Leaving Date]&gt;42460,Table1[Leaving Date]&lt;42826),IF(Table1[Date of Last Assessment]="",Table1[Emotional and Mental Health],Table1[Emotional and Mental Health2]),""))</f>
        <v/>
      </c>
      <c r="GL483" s="44" t="str">
        <f>IF(Table1[Leaving Date]="","",IF(AND(Table1[Leaving Date]&gt;42460,Table1[Leaving Date]&lt;42826),IF(Table1[Date of Last Assessment]="",Table1[Meaningful Use of Time],Table1[Meaningful Use of Time2]),""))</f>
        <v/>
      </c>
      <c r="GM483" s="44" t="str">
        <f>IF(Table1[Leaving Date]="","",IF(AND(Table1[Leaving Date]&gt;42460,Table1[Leaving Date]&lt;42826),IF(Table1[Date of Last Assessment]="",Table1[Managing Tenancy and Accommodation],Table1[Managing Tenancy and Accommodation2]),""))</f>
        <v/>
      </c>
      <c r="GN483" s="44" t="str">
        <f>IF(Table1[Leaving Date]="","",IF(AND(Table1[Leaving Date]&gt;42460,Table1[Leaving Date]&lt;42826),IF(Table1[Date of Last Assessment]="",Table1[Offending],Table1[Offending2]),""))</f>
        <v/>
      </c>
    </row>
    <row r="484" spans="2:196" ht="20.100000000000001" customHeight="1" x14ac:dyDescent="0.2">
      <c r="B484" s="86">
        <f>+'Service Data'!$C$5:$C$5</f>
        <v>0</v>
      </c>
      <c r="C484" s="86"/>
      <c r="D484" s="86"/>
      <c r="E484" s="86"/>
      <c r="F484" s="86"/>
      <c r="G484" s="86"/>
      <c r="H484" s="6"/>
      <c r="I484" s="99" t="str">
        <f ca="1">IF(Table1[[#This Row],[Date of Birth]]="","",SUM(TODAY()-Table1[[#This Row],[Date of Birth]])/365)</f>
        <v/>
      </c>
      <c r="L484" s="86"/>
      <c r="M484" s="77"/>
      <c r="N484" s="86"/>
      <c r="O484" s="86"/>
      <c r="P484" s="91"/>
      <c r="Q484" s="86"/>
      <c r="R484" s="77"/>
      <c r="S484" s="77"/>
      <c r="T484" s="68"/>
      <c r="U484" s="68"/>
      <c r="V484" s="67"/>
      <c r="W484" s="67"/>
      <c r="X484" s="67"/>
      <c r="Y484" s="67"/>
      <c r="Z484" s="67"/>
      <c r="AA484" s="67"/>
      <c r="AB484" s="67"/>
      <c r="AC484" s="67"/>
      <c r="AD484" s="67"/>
      <c r="AE484" s="67"/>
      <c r="AF484" s="67"/>
      <c r="AG484" s="67"/>
      <c r="AH484" s="67"/>
      <c r="AI484" s="67"/>
      <c r="AJ484" s="67"/>
      <c r="AK484" s="67"/>
      <c r="AL484" s="67"/>
      <c r="AM484" s="67"/>
      <c r="AN484" s="77"/>
      <c r="AO484" s="76"/>
      <c r="AP484" s="77"/>
      <c r="AQ484" s="76"/>
      <c r="AR484" s="76"/>
      <c r="AS484" s="76"/>
      <c r="AT484" s="76"/>
      <c r="AU484" s="76"/>
      <c r="AV484" s="77"/>
      <c r="AW484" s="76"/>
      <c r="AX484" s="77"/>
      <c r="AY484" s="76"/>
      <c r="AZ484" s="76"/>
      <c r="BA484" s="76"/>
      <c r="BB484" s="76"/>
      <c r="BC484" s="76"/>
      <c r="BD484" s="77"/>
      <c r="BE484" s="76"/>
      <c r="BF484" s="77"/>
      <c r="BG484" s="76"/>
      <c r="BH484" s="76"/>
      <c r="BI484" s="76"/>
      <c r="BJ484" s="76"/>
      <c r="BK484" s="76"/>
      <c r="BL484" s="77"/>
      <c r="BM484" s="76"/>
      <c r="BN484" s="77"/>
      <c r="BO484" s="76"/>
      <c r="BP484" s="76"/>
      <c r="BQ484" s="76"/>
      <c r="BR484" s="76"/>
      <c r="BS484" s="76"/>
      <c r="BT484" s="77"/>
      <c r="BU484" s="76"/>
      <c r="BV484" s="77"/>
      <c r="BW484" s="76"/>
      <c r="BX484" s="76"/>
      <c r="BY484" s="76"/>
      <c r="BZ484" s="76"/>
      <c r="CA484" s="76"/>
      <c r="CB484" s="77"/>
      <c r="CC484" s="76"/>
      <c r="CD484" s="77"/>
      <c r="CE484" s="76"/>
      <c r="CF484" s="76"/>
      <c r="CG484" s="76"/>
      <c r="CH484" s="76"/>
      <c r="CI484" s="76"/>
      <c r="CJ484" s="77"/>
      <c r="CK484" s="76"/>
      <c r="CL484" s="77"/>
      <c r="CM484" s="76"/>
      <c r="CN484" s="76"/>
      <c r="CO484" s="76"/>
      <c r="CP484" s="76"/>
      <c r="CQ484" s="76"/>
      <c r="CR484" s="78" t="str">
        <f t="shared" si="127"/>
        <v/>
      </c>
      <c r="CS484" s="79" t="str">
        <f t="shared" si="128"/>
        <v/>
      </c>
      <c r="CT484" s="79" t="str">
        <f t="shared" si="129"/>
        <v/>
      </c>
      <c r="CU484" s="79" t="str">
        <f t="shared" si="130"/>
        <v/>
      </c>
      <c r="CV484" s="79" t="str">
        <f t="shared" si="131"/>
        <v/>
      </c>
      <c r="CW484" s="79" t="str">
        <f t="shared" si="132"/>
        <v/>
      </c>
      <c r="CX484" s="79" t="str">
        <f t="shared" si="133"/>
        <v/>
      </c>
      <c r="CY484" s="79" t="str">
        <f t="shared" si="134"/>
        <v/>
      </c>
      <c r="CZ484" s="79" t="str">
        <f t="shared" si="135"/>
        <v/>
      </c>
      <c r="DA484" s="79" t="str">
        <f t="shared" si="136"/>
        <v/>
      </c>
      <c r="DB484" s="79" t="str">
        <f t="shared" si="137"/>
        <v/>
      </c>
      <c r="DC484" s="79" t="str">
        <f t="shared" si="138"/>
        <v/>
      </c>
      <c r="DD484" s="79" t="str">
        <f t="shared" si="139"/>
        <v/>
      </c>
      <c r="DE484" s="79" t="str">
        <f t="shared" si="140"/>
        <v/>
      </c>
      <c r="DF484" s="79" t="str">
        <f t="shared" si="141"/>
        <v/>
      </c>
      <c r="DG484" s="79" t="str">
        <f t="shared" si="142"/>
        <v/>
      </c>
      <c r="DH484" s="76"/>
      <c r="DI484" s="78"/>
      <c r="DJ484" s="76"/>
      <c r="DK484" s="77"/>
      <c r="DL484" s="77"/>
      <c r="DM484" s="77"/>
      <c r="DN484" s="80"/>
      <c r="DO484" s="80"/>
      <c r="DP484" s="92" t="str">
        <f>IF(Table1[Start Date]="","",IF(Table1[Start Date]&gt;42185,"",IF(AND(Table1[Leaving Date]&gt;1,Table1[Leaving Date]&lt;42095),"",1)))</f>
        <v/>
      </c>
      <c r="DQ484" s="92" t="str">
        <f>IF(Table1[Start Date]="","",IF(Table1[Start Date]&gt;42277,"",IF(AND(Table1[Leaving Date]&gt;1,Table1[Leaving Date]&lt;42186),"",1)))</f>
        <v/>
      </c>
      <c r="DR484" s="92" t="str">
        <f>IF(Table1[Start Date]="","",IF(Table1[Start Date]&gt;42369,"",IF(AND(Table1[Leaving Date]&gt;1,Table1[Leaving Date]&lt;42278),"",1)))</f>
        <v/>
      </c>
      <c r="DS484" s="92" t="str">
        <f>IF(Table1[Start Date]="","",IF(Table1[Start Date]&gt;42460,"",IF(AND(Table1[Leaving Date]&gt;1,Table1[Leaving Date]&lt;42370),"",1)))</f>
        <v/>
      </c>
      <c r="DT484" s="92" t="str">
        <f>IF(Table1[Start Date]="","",IF(Table1[Start Date]&gt;42551,"",IF(AND(Table1[Leaving Date]&gt;1,Table1[Leaving Date]&lt;42461),"",1)))</f>
        <v/>
      </c>
      <c r="DU484" s="92" t="str">
        <f>IF(Table1[Start Date]="","",IF(Table1[Start Date]&gt;42643,"",IF(AND(Table1[Leaving Date]&gt;1,Table1[Leaving Date]&lt;42552),"",1)))</f>
        <v/>
      </c>
      <c r="DV484" s="92" t="str">
        <f>IF(Table1[Start Date]="","",IF(Table1[Start Date]&gt;42735,"",IF(AND(Table1[Leaving Date]&gt;1,Table1[Leaving Date]&lt;42644),"",1)))</f>
        <v/>
      </c>
      <c r="DW484" s="92" t="str">
        <f>IF(Table1[Start Date]="","",IF(Table1[Start Date]&gt;42825,"",IF(AND(Table1[Leaving Date]&gt;1,Table1[Leaving Date]&lt;42736),"",1)))</f>
        <v/>
      </c>
      <c r="DX484"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484" s="44" t="e">
        <f>VLOOKUP(Table1[Referral Source],Lists!$G$2:$H$20,2,FALSE)</f>
        <v>#N/A</v>
      </c>
      <c r="DZ484" s="93" t="e">
        <f>SUM(Table1[Data Referral Quarter]+Table1[Data Referral Source])</f>
        <v>#N/A</v>
      </c>
      <c r="EA484" s="44" t="b">
        <f>IF(Table1[Referral Decision]="Accepted",100,IF(Table1[Referral Decision]="Rejected by Provider",200,IF(Table1[Referral Decision]="Rejected by Applicant",300)))</f>
        <v>0</v>
      </c>
      <c r="EB484" s="44">
        <f>SUM(Table1[Data Referral Quarter]+Table1[Data Referral Decision])</f>
        <v>0</v>
      </c>
      <c r="EC484" s="44" t="b">
        <f>IF(Table1[Start Date]&gt;42735,8000,IF(Table1[Start Date]&gt;42643,7000,IF(Table1[Start Date]&gt;42551,6000,IF(Table1[Start Date]&gt;42460,5000,IF(Table1[Start Date]&gt;42369,4000,IF(Table1[Start Date]&gt;42277,3000,IF(Table1[Start Date]&gt;42185,2000,IF(Table1[Start Date]&gt;42094,1000))))))))</f>
        <v>0</v>
      </c>
      <c r="ED484" s="44" t="str">
        <f>IF(Table1[Start Date]="","",IF(Table1[Current Local Authority]="Swindon",1,"2"))</f>
        <v/>
      </c>
      <c r="EE484" s="44" t="e">
        <f>SUM(Table1[Data Start Date]+Table1[Data Local Authority])</f>
        <v>#VALUE!</v>
      </c>
      <c r="EF484" s="44">
        <f>IF(Table1[Registered with GP]="Yes",1,0)</f>
        <v>0</v>
      </c>
      <c r="EG484" s="44">
        <f>SUM(Table1[Data Start Date]+Table1[Data GP Start])</f>
        <v>0</v>
      </c>
      <c r="EH484" s="44" t="str">
        <f>IF(Table1[EET]="NEET",1,IF(Table1[EET]="Education",2,IF(Table1[EET]="Employment",2,IF(Table1[EET]="Training",2,IF(Table1[EET]="Retired",3,"")))))</f>
        <v/>
      </c>
      <c r="EI484" s="44" t="e">
        <f>Table1[Data Start Date]+Table1[Data EET Start]</f>
        <v>#VALUE!</v>
      </c>
      <c r="EJ484" s="44" t="b">
        <f>IF(Table1[Leaving Date]&gt;42735,8000,IF(Table1[Leaving Date]&gt;42643,7000,IF(Table1[Leaving Date]&gt;42551,6000,IF(Table1[Leaving Date]&gt;42460,5000,IF(Table1[Leaving Date]&gt;42369,4000,IF(Table1[Leaving Date]&gt;42277,3000,IF(Table1[Leaving Date]&gt;42185,2000,IF(Table1[Leaving Date]&gt;42094,1000))))))))</f>
        <v>0</v>
      </c>
      <c r="EK484" s="44" t="e">
        <f>VLOOKUP(Table1[Reason for Leaving],Lists!$T$2:$U$15,2,FALSE)</f>
        <v>#N/A</v>
      </c>
      <c r="EL484" s="44" t="e">
        <f>SUM(Table1[Data Leavers Date]+Table1[Data Move On])</f>
        <v>#N/A</v>
      </c>
      <c r="EM484" s="44" t="b">
        <f>IF(Table1[Registered with GP2]="Yes",1,IF(Table1[Registered with GP2]="No",0,IF(Table1[Registered with GP]="Yes",1,IF(Table1[Registered with GP]="No",0))))</f>
        <v>0</v>
      </c>
      <c r="EN484" s="44">
        <f>SUM(Table1[Data Leavers Date]+Table1[Data GP End])</f>
        <v>0</v>
      </c>
      <c r="EO484" s="44" t="str">
        <f>IF(Table1[EET2]="NEET",1,IF(Table1[EET2]="Employment",2,IF(Table1[EET2]="Education",2,IF(Table1[EET2]="Training",2,IF(Table1[EET2]="Retired",3,IF(Table1[EET]="NEET",1,IF(Table1[EET]="Employment",2,IF(Table1[EET]="Education",2,IF(Table1[EET]="Training",2,IF(Table1[EET]="Retired",3,""))))))))))</f>
        <v/>
      </c>
      <c r="EP484" s="44" t="e">
        <f>+Table1[[#This Row],[Data Leavers Date]]+Table1[[#This Row],[Data EET End]]</f>
        <v>#VALUE!</v>
      </c>
      <c r="EQ484" s="44">
        <f>IF(Table1[Exit Form Received]="Yes",1,0)</f>
        <v>0</v>
      </c>
      <c r="ER484" s="44">
        <f>+Table1[[#This Row],[Data Leavers Date]]+Table1[[#This Row],[Data Exit Forms]]</f>
        <v>0</v>
      </c>
      <c r="ES484" s="44" t="str">
        <f>IF(Table1[Data Leavers Date]=1000,SUM(Table1[Leaving Date]-Table1[Start Date]),"")</f>
        <v/>
      </c>
      <c r="ET484" s="44" t="str">
        <f>IF(Table1[Data Leavers Date]=2000,SUM(Table1[Leaving Date]-Table1[Start Date]),"")</f>
        <v/>
      </c>
      <c r="EU484" s="44" t="str">
        <f>IF(Table1[Data Leavers Date]=3000,SUM(Table1[Leaving Date]-Table1[Start Date]),"")</f>
        <v/>
      </c>
      <c r="EV484" s="44" t="str">
        <f>IF(Table1[Data Leavers Date]=4000,SUM(Table1[Leaving Date]-Table1[Start Date]),"")</f>
        <v/>
      </c>
      <c r="EW484" s="44" t="str">
        <f>IF(Table1[Data Leavers Date]=5000,SUM(Table1[Leaving Date]-Table1[Start Date]),"")</f>
        <v/>
      </c>
      <c r="EX484" s="44" t="str">
        <f>IF(Table1[Data Leavers Date]=6000,SUM(Table1[Leaving Date]-Table1[Start Date]),"")</f>
        <v/>
      </c>
      <c r="EY484" s="44" t="str">
        <f>IF(Table1[Data Leavers Date]=7000,SUM(Table1[Leaving Date]-Table1[Start Date]),"")</f>
        <v/>
      </c>
      <c r="EZ484" s="44" t="str">
        <f>IF(Table1[Data Leavers Date]=8000,SUM(Table1[Leaving Date]-Table1[Start Date]),"")</f>
        <v/>
      </c>
      <c r="FA484" s="44" t="str">
        <f>IF(Table1[Date of Initial Assessment]="","",IF(AND(Table1[Start Date]&gt;42094,Table1[Start Date]&lt;42461),Table1[Motivation and Taking Responsibility],""))</f>
        <v/>
      </c>
      <c r="FB484" s="44" t="str">
        <f>IF(Table1[Date of Initial Assessment]="","",IF(AND(Table1[Start Date]&gt;42094,Table1[Start Date]&lt;42461),Table1[Self-Care and Living Skills],""))</f>
        <v/>
      </c>
      <c r="FC484" s="44" t="str">
        <f>IF(Table1[Date of Initial Assessment]="","",IF(AND(Table1[Start Date]&gt;42094,Table1[Start Date]&lt;42461),Table1[Managing Money and Personal Administration],""))</f>
        <v/>
      </c>
      <c r="FD484" s="44" t="str">
        <f>IF(Table1[Date of Initial Assessment]="","",IF(AND(Table1[Start Date]&gt;42094,Table1[Start Date]&lt;42461),Table1[Social Networks and Relationships],""))</f>
        <v/>
      </c>
      <c r="FE484" s="44" t="str">
        <f>IF(Table1[Date of Initial Assessment]="","",IF(AND(Table1[Start Date]&gt;42094,Table1[Start Date]&lt;42461),Table1[Drug and Alcohol Misuse],""))</f>
        <v/>
      </c>
      <c r="FF484" s="44" t="str">
        <f>IF(Table1[Date of Initial Assessment]="","",IF(AND(Table1[Start Date]&gt;42094,Table1[Start Date]&lt;42461),Table1[Physical Health],""))</f>
        <v/>
      </c>
      <c r="FG484" s="44" t="str">
        <f>IF(Table1[Date of Initial Assessment]="","",IF(AND(Table1[Start Date]&gt;42094,Table1[Start Date]&lt;42461),Table1[Emotional and Mental Health],""))</f>
        <v/>
      </c>
      <c r="FH484" s="44" t="str">
        <f>IF(Table1[Date of Initial Assessment]="","",IF(AND(Table1[Start Date]&gt;42094,Table1[Start Date]&lt;42461),Table1[Meaningful Use of Time],""))</f>
        <v/>
      </c>
      <c r="FI484" s="44" t="str">
        <f>IF(Table1[Date of Initial Assessment]="","",IF(AND(Table1[Start Date]&gt;42094,Table1[Start Date]&lt;42461),Table1[Managing Tenancy and Accommodation],""))</f>
        <v/>
      </c>
      <c r="FJ484" s="44" t="str">
        <f>IF(Table1[Date of Initial Assessment]="","",IF(AND(Table1[Start Date]&gt;42094,Table1[Start Date]&lt;42461),Table1[Offending],""))</f>
        <v/>
      </c>
      <c r="FK484" s="44" t="str">
        <f>IF(Table1[Leaving Date]="","",IF(Table1[Date of Initial Assessment]="","",IF(AND(Table1[Leaving Date]&gt;42094,Table1[Leaving Date]&lt;42461),IF(Table1[Date of Last Assessment]="",Table1[Motivation and Taking Responsibility],Table1[Motivation and Taking Responsibility2]),"")))</f>
        <v/>
      </c>
      <c r="FL484" s="44" t="str">
        <f>IF(Table1[Leaving Date]="","",IF(Table1[Date of Initial Assessment]="","",IF(AND(Table1[Leaving Date]&gt;42094,Table1[Leaving Date]&lt;42461),IF(Table1[Date of Last Assessment]="",Table1[Self-Care and Living Skills],Table1[Self-Care and Living Skills2]),"")))</f>
        <v/>
      </c>
      <c r="FM484" s="44" t="str">
        <f>IF(Table1[Leaving Date]="","",IF(Table1[Date of Initial Assessment]="","",IF(AND(Table1[Leaving Date]&gt;42094,Table1[Leaving Date]&lt;42461),IF(Table1[Date of Last Assessment]="",Table1[Managing Money and Personal Administration],Table1[Managing Money and Personal Administration2]),"")))</f>
        <v/>
      </c>
      <c r="FN484" s="44" t="str">
        <f>IF(Table1[Leaving Date]="","",IF(Table1[Date of Initial Assessment]="","",IF(AND(Table1[Leaving Date]&gt;42094,Table1[Leaving Date]&lt;42461),IF(Table1[Date of Last Assessment]="",Table1[Social Networks and Relationships],Table1[Social Networks and Relationships2]),"")))</f>
        <v/>
      </c>
      <c r="FO484" s="44" t="str">
        <f>IF(Table1[Leaving Date]="","",IF(Table1[Date of Initial Assessment]="","",IF(AND(Table1[Leaving Date]&gt;42094,Table1[Leaving Date]&lt;42461),IF(Table1[Date of Last Assessment]="",Table1[Drug and Alcohol Misuse],Table1[Drug and Alcohol Misuse2]),"")))</f>
        <v/>
      </c>
      <c r="FP484" s="44" t="str">
        <f>IF(Table1[Leaving Date]="","",IF(Table1[Date of Initial Assessment]="","",IF(AND(Table1[Leaving Date]&gt;42094,Table1[Leaving Date]&lt;42461),IF(Table1[Date of Last Assessment]="",Table1[Physical Health],Table1[Physical Health2]),"")))</f>
        <v/>
      </c>
      <c r="FQ484" s="44" t="str">
        <f>IF(Table1[Leaving Date]="","",IF(Table1[Date of Initial Assessment]="","",IF(AND(Table1[Leaving Date]&gt;42094,Table1[Leaving Date]&lt;42461),IF(Table1[Date of Last Assessment]="",Table1[Emotional and Mental Health],Table1[Emotional and Mental Health2]),"")))</f>
        <v/>
      </c>
      <c r="FR484" s="44" t="str">
        <f>IF(Table1[Leaving Date]="","",IF(Table1[Date of Initial Assessment]="","",IF(AND(Table1[Leaving Date]&gt;42094,Table1[Leaving Date]&lt;42461),IF(Table1[Date of Last Assessment]="",Table1[Meaningful Use of Time],Table1[Meaningful Use of Time2]),"")))</f>
        <v/>
      </c>
      <c r="FS484" s="44" t="str">
        <f>IF(Table1[Leaving Date]="","",IF(Table1[Date of Initial Assessment]="","",IF(AND(Table1[Leaving Date]&gt;42094,Table1[Leaving Date]&lt;42461),IF(Table1[Date of Last Assessment]="",Table1[Managing Tenancy and Accommodation],Table1[Managing Tenancy and Accommodation2]),"")))</f>
        <v/>
      </c>
      <c r="FT484" s="44" t="str">
        <f>IF(Table1[Leaving Date]="","",IF(Table1[Date of Initial Assessment]="","",IF(AND(Table1[Leaving Date]&gt;42094,Table1[Leaving Date]&lt;42461),IF(Table1[Date of Last Assessment]="",Table1[Offending],Table1[Offending2]),"")))</f>
        <v/>
      </c>
      <c r="FU484" s="44" t="str">
        <f>IF(Table1[Date of Initial Assessment]="","",IF(AND(Table1[Start Date]&gt;42460,Table1[Start Date]&lt;42826),Table1[Motivation and Taking Responsibility],""))</f>
        <v/>
      </c>
      <c r="FV484" s="44" t="str">
        <f>IF(Table1[Date of Initial Assessment]="","",IF(AND(Table1[Start Date]&gt;42460,Table1[Start Date]&lt;42826),Table1[Self-Care and Living Skills],""))</f>
        <v/>
      </c>
      <c r="FW484" s="44" t="str">
        <f>IF(Table1[Date of Initial Assessment]="","",IF(AND(Table1[Start Date]&gt;42460,Table1[Start Date]&lt;42826),Table1[Managing Money and Personal Administration],""))</f>
        <v/>
      </c>
      <c r="FX484" s="44" t="str">
        <f>IF(Table1[Date of Initial Assessment]="","",IF(AND(Table1[Start Date]&gt;42460,Table1[Start Date]&lt;42826),Table1[Social Networks and Relationships],""))</f>
        <v/>
      </c>
      <c r="FY484" s="44" t="str">
        <f>IF(Table1[Date of Initial Assessment]="","",IF(AND(Table1[Start Date]&gt;42460,Table1[Start Date]&lt;42826),Table1[Drug and Alcohol Misuse],""))</f>
        <v/>
      </c>
      <c r="FZ484" s="44" t="str">
        <f>IF(Table1[Date of Initial Assessment]="","",IF(AND(Table1[Start Date]&gt;42460,Table1[Start Date]&lt;42826),Table1[Physical Health],""))</f>
        <v/>
      </c>
      <c r="GA484" s="44" t="str">
        <f>IF(Table1[Date of Initial Assessment]="","",IF(AND(Table1[Start Date]&gt;42460,Table1[Start Date]&lt;42826),Table1[Emotional and Mental Health],""))</f>
        <v/>
      </c>
      <c r="GB484" s="44" t="str">
        <f>IF(Table1[Date of Initial Assessment]="","",IF(AND(Table1[Start Date]&gt;42460,Table1[Start Date]&lt;42826),Table1[Meaningful Use of Time],""))</f>
        <v/>
      </c>
      <c r="GC484" s="44" t="str">
        <f>IF(Table1[Date of Initial Assessment]="","",IF(AND(Table1[Start Date]&gt;42460,Table1[Start Date]&lt;42826),Table1[Managing Tenancy and Accommodation],""))</f>
        <v/>
      </c>
      <c r="GD484" s="44" t="str">
        <f>IF(Table1[Date of Initial Assessment]="","",IF(AND(Table1[Start Date]&gt;42460,Table1[Start Date]&lt;42826),Table1[Offending],""))</f>
        <v/>
      </c>
      <c r="GE484" s="44" t="str">
        <f>IF(Table1[Leaving Date]="","",IF(AND(Table1[Leaving Date]&gt;42460,Table1[Leaving Date]&lt;42826),IF(Table1[Date of Last Assessment]="",Table1[Motivation and Taking Responsibility],Table1[Motivation and Taking Responsibility2]),""))</f>
        <v/>
      </c>
      <c r="GF484" s="44" t="str">
        <f>IF(Table1[Leaving Date]="","",IF(AND(Table1[Leaving Date]&gt;42460,Table1[Leaving Date]&lt;42826),IF(Table1[Date of Last Assessment]="",Table1[Self-Care and Living Skills],Table1[Self-Care and Living Skills2]),""))</f>
        <v/>
      </c>
      <c r="GG484" s="44" t="str">
        <f>IF(Table1[Leaving Date]="","",IF(AND(Table1[Leaving Date]&gt;42460,Table1[Leaving Date]&lt;42826),IF(Table1[Date of Last Assessment]="",Table1[Managing Money and Personal Administration],Table1[Managing Money and Personal Administration2]),""))</f>
        <v/>
      </c>
      <c r="GH484" s="44" t="str">
        <f>IF(Table1[Leaving Date]="","",IF(AND(Table1[Leaving Date]&gt;42460,Table1[Leaving Date]&lt;42826),IF(Table1[Date of Last Assessment]="",Table1[Social Networks and Relationships],Table1[Social Networks and Relationships2]),""))</f>
        <v/>
      </c>
      <c r="GI484" s="44" t="str">
        <f>IF(Table1[Leaving Date]="","",IF(AND(Table1[Leaving Date]&gt;42460,Table1[Leaving Date]&lt;42826),IF(Table1[Date of Last Assessment]="",Table1[Drug and Alcohol Misuse],Table1[Drug and Alcohol Misuse2]),""))</f>
        <v/>
      </c>
      <c r="GJ484" s="44" t="str">
        <f>IF(Table1[Leaving Date]="","",IF(AND(Table1[Leaving Date]&gt;42460,Table1[Leaving Date]&lt;42826),IF(Table1[Date of Last Assessment]="",Table1[Physical Health],Table1[Physical Health2]),""))</f>
        <v/>
      </c>
      <c r="GK484" s="44" t="str">
        <f>IF(Table1[Leaving Date]="","",IF(AND(Table1[Leaving Date]&gt;42460,Table1[Leaving Date]&lt;42826),IF(Table1[Date of Last Assessment]="",Table1[Emotional and Mental Health],Table1[Emotional and Mental Health2]),""))</f>
        <v/>
      </c>
      <c r="GL484" s="44" t="str">
        <f>IF(Table1[Leaving Date]="","",IF(AND(Table1[Leaving Date]&gt;42460,Table1[Leaving Date]&lt;42826),IF(Table1[Date of Last Assessment]="",Table1[Meaningful Use of Time],Table1[Meaningful Use of Time2]),""))</f>
        <v/>
      </c>
      <c r="GM484" s="44" t="str">
        <f>IF(Table1[Leaving Date]="","",IF(AND(Table1[Leaving Date]&gt;42460,Table1[Leaving Date]&lt;42826),IF(Table1[Date of Last Assessment]="",Table1[Managing Tenancy and Accommodation],Table1[Managing Tenancy and Accommodation2]),""))</f>
        <v/>
      </c>
      <c r="GN484" s="44" t="str">
        <f>IF(Table1[Leaving Date]="","",IF(AND(Table1[Leaving Date]&gt;42460,Table1[Leaving Date]&lt;42826),IF(Table1[Date of Last Assessment]="",Table1[Offending],Table1[Offending2]),""))</f>
        <v/>
      </c>
    </row>
    <row r="485" spans="2:196" ht="20.100000000000001" customHeight="1" x14ac:dyDescent="0.2">
      <c r="B485" s="86">
        <f>+'Service Data'!$C$5:$C$5</f>
        <v>0</v>
      </c>
      <c r="C485" s="86"/>
      <c r="D485" s="86"/>
      <c r="E485" s="86"/>
      <c r="F485" s="86"/>
      <c r="G485" s="86"/>
      <c r="H485" s="6"/>
      <c r="I485" s="99" t="str">
        <f ca="1">IF(Table1[[#This Row],[Date of Birth]]="","",SUM(TODAY()-Table1[[#This Row],[Date of Birth]])/365)</f>
        <v/>
      </c>
      <c r="L485" s="86"/>
      <c r="M485" s="77"/>
      <c r="N485" s="86"/>
      <c r="O485" s="86"/>
      <c r="P485" s="91"/>
      <c r="Q485" s="86"/>
      <c r="R485" s="77"/>
      <c r="S485" s="77"/>
      <c r="T485" s="68"/>
      <c r="U485" s="68"/>
      <c r="V485" s="67"/>
      <c r="W485" s="67"/>
      <c r="X485" s="67"/>
      <c r="Y485" s="67"/>
      <c r="Z485" s="67"/>
      <c r="AA485" s="67"/>
      <c r="AB485" s="67"/>
      <c r="AC485" s="67"/>
      <c r="AD485" s="67"/>
      <c r="AE485" s="67"/>
      <c r="AF485" s="67"/>
      <c r="AG485" s="67"/>
      <c r="AH485" s="67"/>
      <c r="AI485" s="67"/>
      <c r="AJ485" s="67"/>
      <c r="AK485" s="67"/>
      <c r="AL485" s="67"/>
      <c r="AM485" s="67"/>
      <c r="AN485" s="77"/>
      <c r="AO485" s="76"/>
      <c r="AP485" s="77"/>
      <c r="AQ485" s="76"/>
      <c r="AR485" s="76"/>
      <c r="AS485" s="76"/>
      <c r="AT485" s="76"/>
      <c r="AU485" s="76"/>
      <c r="AV485" s="77"/>
      <c r="AW485" s="76"/>
      <c r="AX485" s="77"/>
      <c r="AY485" s="76"/>
      <c r="AZ485" s="76"/>
      <c r="BA485" s="76"/>
      <c r="BB485" s="76"/>
      <c r="BC485" s="76"/>
      <c r="BD485" s="77"/>
      <c r="BE485" s="76"/>
      <c r="BF485" s="77"/>
      <c r="BG485" s="76"/>
      <c r="BH485" s="76"/>
      <c r="BI485" s="76"/>
      <c r="BJ485" s="76"/>
      <c r="BK485" s="76"/>
      <c r="BL485" s="77"/>
      <c r="BM485" s="76"/>
      <c r="BN485" s="77"/>
      <c r="BO485" s="76"/>
      <c r="BP485" s="76"/>
      <c r="BQ485" s="76"/>
      <c r="BR485" s="76"/>
      <c r="BS485" s="76"/>
      <c r="BT485" s="77"/>
      <c r="BU485" s="76"/>
      <c r="BV485" s="77"/>
      <c r="BW485" s="76"/>
      <c r="BX485" s="76"/>
      <c r="BY485" s="76"/>
      <c r="BZ485" s="76"/>
      <c r="CA485" s="76"/>
      <c r="CB485" s="77"/>
      <c r="CC485" s="76"/>
      <c r="CD485" s="77"/>
      <c r="CE485" s="76"/>
      <c r="CF485" s="76"/>
      <c r="CG485" s="76"/>
      <c r="CH485" s="76"/>
      <c r="CI485" s="76"/>
      <c r="CJ485" s="77"/>
      <c r="CK485" s="76"/>
      <c r="CL485" s="77"/>
      <c r="CM485" s="76"/>
      <c r="CN485" s="76"/>
      <c r="CO485" s="76"/>
      <c r="CP485" s="76"/>
      <c r="CQ485" s="76"/>
      <c r="CR485" s="78" t="str">
        <f t="shared" si="127"/>
        <v/>
      </c>
      <c r="CS485" s="79" t="str">
        <f t="shared" si="128"/>
        <v/>
      </c>
      <c r="CT485" s="79" t="str">
        <f t="shared" si="129"/>
        <v/>
      </c>
      <c r="CU485" s="79" t="str">
        <f t="shared" si="130"/>
        <v/>
      </c>
      <c r="CV485" s="79" t="str">
        <f t="shared" si="131"/>
        <v/>
      </c>
      <c r="CW485" s="79" t="str">
        <f t="shared" si="132"/>
        <v/>
      </c>
      <c r="CX485" s="79" t="str">
        <f t="shared" si="133"/>
        <v/>
      </c>
      <c r="CY485" s="79" t="str">
        <f t="shared" si="134"/>
        <v/>
      </c>
      <c r="CZ485" s="79" t="str">
        <f t="shared" si="135"/>
        <v/>
      </c>
      <c r="DA485" s="79" t="str">
        <f t="shared" si="136"/>
        <v/>
      </c>
      <c r="DB485" s="79" t="str">
        <f t="shared" si="137"/>
        <v/>
      </c>
      <c r="DC485" s="79" t="str">
        <f t="shared" si="138"/>
        <v/>
      </c>
      <c r="DD485" s="79" t="str">
        <f t="shared" si="139"/>
        <v/>
      </c>
      <c r="DE485" s="79" t="str">
        <f t="shared" si="140"/>
        <v/>
      </c>
      <c r="DF485" s="79" t="str">
        <f t="shared" si="141"/>
        <v/>
      </c>
      <c r="DG485" s="79" t="str">
        <f t="shared" si="142"/>
        <v/>
      </c>
      <c r="DH485" s="76"/>
      <c r="DI485" s="78"/>
      <c r="DJ485" s="76"/>
      <c r="DK485" s="77"/>
      <c r="DL485" s="77"/>
      <c r="DM485" s="77"/>
      <c r="DN485" s="80"/>
      <c r="DO485" s="80"/>
      <c r="DP485" s="92" t="str">
        <f>IF(Table1[Start Date]="","",IF(Table1[Start Date]&gt;42185,"",IF(AND(Table1[Leaving Date]&gt;1,Table1[Leaving Date]&lt;42095),"",1)))</f>
        <v/>
      </c>
      <c r="DQ485" s="92" t="str">
        <f>IF(Table1[Start Date]="","",IF(Table1[Start Date]&gt;42277,"",IF(AND(Table1[Leaving Date]&gt;1,Table1[Leaving Date]&lt;42186),"",1)))</f>
        <v/>
      </c>
      <c r="DR485" s="92" t="str">
        <f>IF(Table1[Start Date]="","",IF(Table1[Start Date]&gt;42369,"",IF(AND(Table1[Leaving Date]&gt;1,Table1[Leaving Date]&lt;42278),"",1)))</f>
        <v/>
      </c>
      <c r="DS485" s="92" t="str">
        <f>IF(Table1[Start Date]="","",IF(Table1[Start Date]&gt;42460,"",IF(AND(Table1[Leaving Date]&gt;1,Table1[Leaving Date]&lt;42370),"",1)))</f>
        <v/>
      </c>
      <c r="DT485" s="92" t="str">
        <f>IF(Table1[Start Date]="","",IF(Table1[Start Date]&gt;42551,"",IF(AND(Table1[Leaving Date]&gt;1,Table1[Leaving Date]&lt;42461),"",1)))</f>
        <v/>
      </c>
      <c r="DU485" s="92" t="str">
        <f>IF(Table1[Start Date]="","",IF(Table1[Start Date]&gt;42643,"",IF(AND(Table1[Leaving Date]&gt;1,Table1[Leaving Date]&lt;42552),"",1)))</f>
        <v/>
      </c>
      <c r="DV485" s="92" t="str">
        <f>IF(Table1[Start Date]="","",IF(Table1[Start Date]&gt;42735,"",IF(AND(Table1[Leaving Date]&gt;1,Table1[Leaving Date]&lt;42644),"",1)))</f>
        <v/>
      </c>
      <c r="DW485" s="92" t="str">
        <f>IF(Table1[Start Date]="","",IF(Table1[Start Date]&gt;42825,"",IF(AND(Table1[Leaving Date]&gt;1,Table1[Leaving Date]&lt;42736),"",1)))</f>
        <v/>
      </c>
      <c r="DX485"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485" s="44" t="e">
        <f>VLOOKUP(Table1[Referral Source],Lists!$G$2:$H$20,2,FALSE)</f>
        <v>#N/A</v>
      </c>
      <c r="DZ485" s="93" t="e">
        <f>SUM(Table1[Data Referral Quarter]+Table1[Data Referral Source])</f>
        <v>#N/A</v>
      </c>
      <c r="EA485" s="44" t="b">
        <f>IF(Table1[Referral Decision]="Accepted",100,IF(Table1[Referral Decision]="Rejected by Provider",200,IF(Table1[Referral Decision]="Rejected by Applicant",300)))</f>
        <v>0</v>
      </c>
      <c r="EB485" s="44">
        <f>SUM(Table1[Data Referral Quarter]+Table1[Data Referral Decision])</f>
        <v>0</v>
      </c>
      <c r="EC485" s="44" t="b">
        <f>IF(Table1[Start Date]&gt;42735,8000,IF(Table1[Start Date]&gt;42643,7000,IF(Table1[Start Date]&gt;42551,6000,IF(Table1[Start Date]&gt;42460,5000,IF(Table1[Start Date]&gt;42369,4000,IF(Table1[Start Date]&gt;42277,3000,IF(Table1[Start Date]&gt;42185,2000,IF(Table1[Start Date]&gt;42094,1000))))))))</f>
        <v>0</v>
      </c>
      <c r="ED485" s="44" t="str">
        <f>IF(Table1[Start Date]="","",IF(Table1[Current Local Authority]="Swindon",1,"2"))</f>
        <v/>
      </c>
      <c r="EE485" s="44" t="e">
        <f>SUM(Table1[Data Start Date]+Table1[Data Local Authority])</f>
        <v>#VALUE!</v>
      </c>
      <c r="EF485" s="44">
        <f>IF(Table1[Registered with GP]="Yes",1,0)</f>
        <v>0</v>
      </c>
      <c r="EG485" s="44">
        <f>SUM(Table1[Data Start Date]+Table1[Data GP Start])</f>
        <v>0</v>
      </c>
      <c r="EH485" s="44" t="str">
        <f>IF(Table1[EET]="NEET",1,IF(Table1[EET]="Education",2,IF(Table1[EET]="Employment",2,IF(Table1[EET]="Training",2,IF(Table1[EET]="Retired",3,"")))))</f>
        <v/>
      </c>
      <c r="EI485" s="44" t="e">
        <f>Table1[Data Start Date]+Table1[Data EET Start]</f>
        <v>#VALUE!</v>
      </c>
      <c r="EJ485" s="44" t="b">
        <f>IF(Table1[Leaving Date]&gt;42735,8000,IF(Table1[Leaving Date]&gt;42643,7000,IF(Table1[Leaving Date]&gt;42551,6000,IF(Table1[Leaving Date]&gt;42460,5000,IF(Table1[Leaving Date]&gt;42369,4000,IF(Table1[Leaving Date]&gt;42277,3000,IF(Table1[Leaving Date]&gt;42185,2000,IF(Table1[Leaving Date]&gt;42094,1000))))))))</f>
        <v>0</v>
      </c>
      <c r="EK485" s="44" t="e">
        <f>VLOOKUP(Table1[Reason for Leaving],Lists!$T$2:$U$15,2,FALSE)</f>
        <v>#N/A</v>
      </c>
      <c r="EL485" s="44" t="e">
        <f>SUM(Table1[Data Leavers Date]+Table1[Data Move On])</f>
        <v>#N/A</v>
      </c>
      <c r="EM485" s="44" t="b">
        <f>IF(Table1[Registered with GP2]="Yes",1,IF(Table1[Registered with GP2]="No",0,IF(Table1[Registered with GP]="Yes",1,IF(Table1[Registered with GP]="No",0))))</f>
        <v>0</v>
      </c>
      <c r="EN485" s="44">
        <f>SUM(Table1[Data Leavers Date]+Table1[Data GP End])</f>
        <v>0</v>
      </c>
      <c r="EO485" s="44" t="str">
        <f>IF(Table1[EET2]="NEET",1,IF(Table1[EET2]="Employment",2,IF(Table1[EET2]="Education",2,IF(Table1[EET2]="Training",2,IF(Table1[EET2]="Retired",3,IF(Table1[EET]="NEET",1,IF(Table1[EET]="Employment",2,IF(Table1[EET]="Education",2,IF(Table1[EET]="Training",2,IF(Table1[EET]="Retired",3,""))))))))))</f>
        <v/>
      </c>
      <c r="EP485" s="44" t="e">
        <f>+Table1[[#This Row],[Data Leavers Date]]+Table1[[#This Row],[Data EET End]]</f>
        <v>#VALUE!</v>
      </c>
      <c r="EQ485" s="44">
        <f>IF(Table1[Exit Form Received]="Yes",1,0)</f>
        <v>0</v>
      </c>
      <c r="ER485" s="44">
        <f>+Table1[[#This Row],[Data Leavers Date]]+Table1[[#This Row],[Data Exit Forms]]</f>
        <v>0</v>
      </c>
      <c r="ES485" s="44" t="str">
        <f>IF(Table1[Data Leavers Date]=1000,SUM(Table1[Leaving Date]-Table1[Start Date]),"")</f>
        <v/>
      </c>
      <c r="ET485" s="44" t="str">
        <f>IF(Table1[Data Leavers Date]=2000,SUM(Table1[Leaving Date]-Table1[Start Date]),"")</f>
        <v/>
      </c>
      <c r="EU485" s="44" t="str">
        <f>IF(Table1[Data Leavers Date]=3000,SUM(Table1[Leaving Date]-Table1[Start Date]),"")</f>
        <v/>
      </c>
      <c r="EV485" s="44" t="str">
        <f>IF(Table1[Data Leavers Date]=4000,SUM(Table1[Leaving Date]-Table1[Start Date]),"")</f>
        <v/>
      </c>
      <c r="EW485" s="44" t="str">
        <f>IF(Table1[Data Leavers Date]=5000,SUM(Table1[Leaving Date]-Table1[Start Date]),"")</f>
        <v/>
      </c>
      <c r="EX485" s="44" t="str">
        <f>IF(Table1[Data Leavers Date]=6000,SUM(Table1[Leaving Date]-Table1[Start Date]),"")</f>
        <v/>
      </c>
      <c r="EY485" s="44" t="str">
        <f>IF(Table1[Data Leavers Date]=7000,SUM(Table1[Leaving Date]-Table1[Start Date]),"")</f>
        <v/>
      </c>
      <c r="EZ485" s="44" t="str">
        <f>IF(Table1[Data Leavers Date]=8000,SUM(Table1[Leaving Date]-Table1[Start Date]),"")</f>
        <v/>
      </c>
      <c r="FA485" s="44" t="str">
        <f>IF(Table1[Date of Initial Assessment]="","",IF(AND(Table1[Start Date]&gt;42094,Table1[Start Date]&lt;42461),Table1[Motivation and Taking Responsibility],""))</f>
        <v/>
      </c>
      <c r="FB485" s="44" t="str">
        <f>IF(Table1[Date of Initial Assessment]="","",IF(AND(Table1[Start Date]&gt;42094,Table1[Start Date]&lt;42461),Table1[Self-Care and Living Skills],""))</f>
        <v/>
      </c>
      <c r="FC485" s="44" t="str">
        <f>IF(Table1[Date of Initial Assessment]="","",IF(AND(Table1[Start Date]&gt;42094,Table1[Start Date]&lt;42461),Table1[Managing Money and Personal Administration],""))</f>
        <v/>
      </c>
      <c r="FD485" s="44" t="str">
        <f>IF(Table1[Date of Initial Assessment]="","",IF(AND(Table1[Start Date]&gt;42094,Table1[Start Date]&lt;42461),Table1[Social Networks and Relationships],""))</f>
        <v/>
      </c>
      <c r="FE485" s="44" t="str">
        <f>IF(Table1[Date of Initial Assessment]="","",IF(AND(Table1[Start Date]&gt;42094,Table1[Start Date]&lt;42461),Table1[Drug and Alcohol Misuse],""))</f>
        <v/>
      </c>
      <c r="FF485" s="44" t="str">
        <f>IF(Table1[Date of Initial Assessment]="","",IF(AND(Table1[Start Date]&gt;42094,Table1[Start Date]&lt;42461),Table1[Physical Health],""))</f>
        <v/>
      </c>
      <c r="FG485" s="44" t="str">
        <f>IF(Table1[Date of Initial Assessment]="","",IF(AND(Table1[Start Date]&gt;42094,Table1[Start Date]&lt;42461),Table1[Emotional and Mental Health],""))</f>
        <v/>
      </c>
      <c r="FH485" s="44" t="str">
        <f>IF(Table1[Date of Initial Assessment]="","",IF(AND(Table1[Start Date]&gt;42094,Table1[Start Date]&lt;42461),Table1[Meaningful Use of Time],""))</f>
        <v/>
      </c>
      <c r="FI485" s="44" t="str">
        <f>IF(Table1[Date of Initial Assessment]="","",IF(AND(Table1[Start Date]&gt;42094,Table1[Start Date]&lt;42461),Table1[Managing Tenancy and Accommodation],""))</f>
        <v/>
      </c>
      <c r="FJ485" s="44" t="str">
        <f>IF(Table1[Date of Initial Assessment]="","",IF(AND(Table1[Start Date]&gt;42094,Table1[Start Date]&lt;42461),Table1[Offending],""))</f>
        <v/>
      </c>
      <c r="FK485" s="44" t="str">
        <f>IF(Table1[Leaving Date]="","",IF(Table1[Date of Initial Assessment]="","",IF(AND(Table1[Leaving Date]&gt;42094,Table1[Leaving Date]&lt;42461),IF(Table1[Date of Last Assessment]="",Table1[Motivation and Taking Responsibility],Table1[Motivation and Taking Responsibility2]),"")))</f>
        <v/>
      </c>
      <c r="FL485" s="44" t="str">
        <f>IF(Table1[Leaving Date]="","",IF(Table1[Date of Initial Assessment]="","",IF(AND(Table1[Leaving Date]&gt;42094,Table1[Leaving Date]&lt;42461),IF(Table1[Date of Last Assessment]="",Table1[Self-Care and Living Skills],Table1[Self-Care and Living Skills2]),"")))</f>
        <v/>
      </c>
      <c r="FM485" s="44" t="str">
        <f>IF(Table1[Leaving Date]="","",IF(Table1[Date of Initial Assessment]="","",IF(AND(Table1[Leaving Date]&gt;42094,Table1[Leaving Date]&lt;42461),IF(Table1[Date of Last Assessment]="",Table1[Managing Money and Personal Administration],Table1[Managing Money and Personal Administration2]),"")))</f>
        <v/>
      </c>
      <c r="FN485" s="44" t="str">
        <f>IF(Table1[Leaving Date]="","",IF(Table1[Date of Initial Assessment]="","",IF(AND(Table1[Leaving Date]&gt;42094,Table1[Leaving Date]&lt;42461),IF(Table1[Date of Last Assessment]="",Table1[Social Networks and Relationships],Table1[Social Networks and Relationships2]),"")))</f>
        <v/>
      </c>
      <c r="FO485" s="44" t="str">
        <f>IF(Table1[Leaving Date]="","",IF(Table1[Date of Initial Assessment]="","",IF(AND(Table1[Leaving Date]&gt;42094,Table1[Leaving Date]&lt;42461),IF(Table1[Date of Last Assessment]="",Table1[Drug and Alcohol Misuse],Table1[Drug and Alcohol Misuse2]),"")))</f>
        <v/>
      </c>
      <c r="FP485" s="44" t="str">
        <f>IF(Table1[Leaving Date]="","",IF(Table1[Date of Initial Assessment]="","",IF(AND(Table1[Leaving Date]&gt;42094,Table1[Leaving Date]&lt;42461),IF(Table1[Date of Last Assessment]="",Table1[Physical Health],Table1[Physical Health2]),"")))</f>
        <v/>
      </c>
      <c r="FQ485" s="44" t="str">
        <f>IF(Table1[Leaving Date]="","",IF(Table1[Date of Initial Assessment]="","",IF(AND(Table1[Leaving Date]&gt;42094,Table1[Leaving Date]&lt;42461),IF(Table1[Date of Last Assessment]="",Table1[Emotional and Mental Health],Table1[Emotional and Mental Health2]),"")))</f>
        <v/>
      </c>
      <c r="FR485" s="44" t="str">
        <f>IF(Table1[Leaving Date]="","",IF(Table1[Date of Initial Assessment]="","",IF(AND(Table1[Leaving Date]&gt;42094,Table1[Leaving Date]&lt;42461),IF(Table1[Date of Last Assessment]="",Table1[Meaningful Use of Time],Table1[Meaningful Use of Time2]),"")))</f>
        <v/>
      </c>
      <c r="FS485" s="44" t="str">
        <f>IF(Table1[Leaving Date]="","",IF(Table1[Date of Initial Assessment]="","",IF(AND(Table1[Leaving Date]&gt;42094,Table1[Leaving Date]&lt;42461),IF(Table1[Date of Last Assessment]="",Table1[Managing Tenancy and Accommodation],Table1[Managing Tenancy and Accommodation2]),"")))</f>
        <v/>
      </c>
      <c r="FT485" s="44" t="str">
        <f>IF(Table1[Leaving Date]="","",IF(Table1[Date of Initial Assessment]="","",IF(AND(Table1[Leaving Date]&gt;42094,Table1[Leaving Date]&lt;42461),IF(Table1[Date of Last Assessment]="",Table1[Offending],Table1[Offending2]),"")))</f>
        <v/>
      </c>
      <c r="FU485" s="44" t="str">
        <f>IF(Table1[Date of Initial Assessment]="","",IF(AND(Table1[Start Date]&gt;42460,Table1[Start Date]&lt;42826),Table1[Motivation and Taking Responsibility],""))</f>
        <v/>
      </c>
      <c r="FV485" s="44" t="str">
        <f>IF(Table1[Date of Initial Assessment]="","",IF(AND(Table1[Start Date]&gt;42460,Table1[Start Date]&lt;42826),Table1[Self-Care and Living Skills],""))</f>
        <v/>
      </c>
      <c r="FW485" s="44" t="str">
        <f>IF(Table1[Date of Initial Assessment]="","",IF(AND(Table1[Start Date]&gt;42460,Table1[Start Date]&lt;42826),Table1[Managing Money and Personal Administration],""))</f>
        <v/>
      </c>
      <c r="FX485" s="44" t="str">
        <f>IF(Table1[Date of Initial Assessment]="","",IF(AND(Table1[Start Date]&gt;42460,Table1[Start Date]&lt;42826),Table1[Social Networks and Relationships],""))</f>
        <v/>
      </c>
      <c r="FY485" s="44" t="str">
        <f>IF(Table1[Date of Initial Assessment]="","",IF(AND(Table1[Start Date]&gt;42460,Table1[Start Date]&lt;42826),Table1[Drug and Alcohol Misuse],""))</f>
        <v/>
      </c>
      <c r="FZ485" s="44" t="str">
        <f>IF(Table1[Date of Initial Assessment]="","",IF(AND(Table1[Start Date]&gt;42460,Table1[Start Date]&lt;42826),Table1[Physical Health],""))</f>
        <v/>
      </c>
      <c r="GA485" s="44" t="str">
        <f>IF(Table1[Date of Initial Assessment]="","",IF(AND(Table1[Start Date]&gt;42460,Table1[Start Date]&lt;42826),Table1[Emotional and Mental Health],""))</f>
        <v/>
      </c>
      <c r="GB485" s="44" t="str">
        <f>IF(Table1[Date of Initial Assessment]="","",IF(AND(Table1[Start Date]&gt;42460,Table1[Start Date]&lt;42826),Table1[Meaningful Use of Time],""))</f>
        <v/>
      </c>
      <c r="GC485" s="44" t="str">
        <f>IF(Table1[Date of Initial Assessment]="","",IF(AND(Table1[Start Date]&gt;42460,Table1[Start Date]&lt;42826),Table1[Managing Tenancy and Accommodation],""))</f>
        <v/>
      </c>
      <c r="GD485" s="44" t="str">
        <f>IF(Table1[Date of Initial Assessment]="","",IF(AND(Table1[Start Date]&gt;42460,Table1[Start Date]&lt;42826),Table1[Offending],""))</f>
        <v/>
      </c>
      <c r="GE485" s="44" t="str">
        <f>IF(Table1[Leaving Date]="","",IF(AND(Table1[Leaving Date]&gt;42460,Table1[Leaving Date]&lt;42826),IF(Table1[Date of Last Assessment]="",Table1[Motivation and Taking Responsibility],Table1[Motivation and Taking Responsibility2]),""))</f>
        <v/>
      </c>
      <c r="GF485" s="44" t="str">
        <f>IF(Table1[Leaving Date]="","",IF(AND(Table1[Leaving Date]&gt;42460,Table1[Leaving Date]&lt;42826),IF(Table1[Date of Last Assessment]="",Table1[Self-Care and Living Skills],Table1[Self-Care and Living Skills2]),""))</f>
        <v/>
      </c>
      <c r="GG485" s="44" t="str">
        <f>IF(Table1[Leaving Date]="","",IF(AND(Table1[Leaving Date]&gt;42460,Table1[Leaving Date]&lt;42826),IF(Table1[Date of Last Assessment]="",Table1[Managing Money and Personal Administration],Table1[Managing Money and Personal Administration2]),""))</f>
        <v/>
      </c>
      <c r="GH485" s="44" t="str">
        <f>IF(Table1[Leaving Date]="","",IF(AND(Table1[Leaving Date]&gt;42460,Table1[Leaving Date]&lt;42826),IF(Table1[Date of Last Assessment]="",Table1[Social Networks and Relationships],Table1[Social Networks and Relationships2]),""))</f>
        <v/>
      </c>
      <c r="GI485" s="44" t="str">
        <f>IF(Table1[Leaving Date]="","",IF(AND(Table1[Leaving Date]&gt;42460,Table1[Leaving Date]&lt;42826),IF(Table1[Date of Last Assessment]="",Table1[Drug and Alcohol Misuse],Table1[Drug and Alcohol Misuse2]),""))</f>
        <v/>
      </c>
      <c r="GJ485" s="44" t="str">
        <f>IF(Table1[Leaving Date]="","",IF(AND(Table1[Leaving Date]&gt;42460,Table1[Leaving Date]&lt;42826),IF(Table1[Date of Last Assessment]="",Table1[Physical Health],Table1[Physical Health2]),""))</f>
        <v/>
      </c>
      <c r="GK485" s="44" t="str">
        <f>IF(Table1[Leaving Date]="","",IF(AND(Table1[Leaving Date]&gt;42460,Table1[Leaving Date]&lt;42826),IF(Table1[Date of Last Assessment]="",Table1[Emotional and Mental Health],Table1[Emotional and Mental Health2]),""))</f>
        <v/>
      </c>
      <c r="GL485" s="44" t="str">
        <f>IF(Table1[Leaving Date]="","",IF(AND(Table1[Leaving Date]&gt;42460,Table1[Leaving Date]&lt;42826),IF(Table1[Date of Last Assessment]="",Table1[Meaningful Use of Time],Table1[Meaningful Use of Time2]),""))</f>
        <v/>
      </c>
      <c r="GM485" s="44" t="str">
        <f>IF(Table1[Leaving Date]="","",IF(AND(Table1[Leaving Date]&gt;42460,Table1[Leaving Date]&lt;42826),IF(Table1[Date of Last Assessment]="",Table1[Managing Tenancy and Accommodation],Table1[Managing Tenancy and Accommodation2]),""))</f>
        <v/>
      </c>
      <c r="GN485" s="44" t="str">
        <f>IF(Table1[Leaving Date]="","",IF(AND(Table1[Leaving Date]&gt;42460,Table1[Leaving Date]&lt;42826),IF(Table1[Date of Last Assessment]="",Table1[Offending],Table1[Offending2]),""))</f>
        <v/>
      </c>
    </row>
    <row r="486" spans="2:196" ht="20.100000000000001" customHeight="1" x14ac:dyDescent="0.2">
      <c r="B486" s="86">
        <f>+'Service Data'!$C$5:$C$5</f>
        <v>0</v>
      </c>
      <c r="C486" s="86"/>
      <c r="D486" s="86"/>
      <c r="E486" s="86"/>
      <c r="F486" s="86"/>
      <c r="G486" s="86"/>
      <c r="H486" s="6"/>
      <c r="I486" s="99" t="str">
        <f ca="1">IF(Table1[[#This Row],[Date of Birth]]="","",SUM(TODAY()-Table1[[#This Row],[Date of Birth]])/365)</f>
        <v/>
      </c>
      <c r="L486" s="86"/>
      <c r="M486" s="77"/>
      <c r="N486" s="86"/>
      <c r="O486" s="86"/>
      <c r="P486" s="91"/>
      <c r="Q486" s="86"/>
      <c r="R486" s="77"/>
      <c r="S486" s="77"/>
      <c r="T486" s="68"/>
      <c r="U486" s="68"/>
      <c r="V486" s="67"/>
      <c r="W486" s="67"/>
      <c r="X486" s="67"/>
      <c r="Y486" s="67"/>
      <c r="Z486" s="67"/>
      <c r="AA486" s="67"/>
      <c r="AB486" s="67"/>
      <c r="AC486" s="67"/>
      <c r="AD486" s="67"/>
      <c r="AE486" s="67"/>
      <c r="AF486" s="67"/>
      <c r="AG486" s="67"/>
      <c r="AH486" s="67"/>
      <c r="AI486" s="67"/>
      <c r="AJ486" s="67"/>
      <c r="AK486" s="67"/>
      <c r="AL486" s="67"/>
      <c r="AM486" s="67"/>
      <c r="AN486" s="77"/>
      <c r="AO486" s="76"/>
      <c r="AP486" s="77"/>
      <c r="AQ486" s="76"/>
      <c r="AR486" s="76"/>
      <c r="AS486" s="76"/>
      <c r="AT486" s="76"/>
      <c r="AU486" s="76"/>
      <c r="AV486" s="77"/>
      <c r="AW486" s="76"/>
      <c r="AX486" s="77"/>
      <c r="AY486" s="76"/>
      <c r="AZ486" s="76"/>
      <c r="BA486" s="76"/>
      <c r="BB486" s="76"/>
      <c r="BC486" s="76"/>
      <c r="BD486" s="77"/>
      <c r="BE486" s="76"/>
      <c r="BF486" s="77"/>
      <c r="BG486" s="76"/>
      <c r="BH486" s="76"/>
      <c r="BI486" s="76"/>
      <c r="BJ486" s="76"/>
      <c r="BK486" s="76"/>
      <c r="BL486" s="77"/>
      <c r="BM486" s="76"/>
      <c r="BN486" s="77"/>
      <c r="BO486" s="76"/>
      <c r="BP486" s="76"/>
      <c r="BQ486" s="76"/>
      <c r="BR486" s="76"/>
      <c r="BS486" s="76"/>
      <c r="BT486" s="77"/>
      <c r="BU486" s="76"/>
      <c r="BV486" s="77"/>
      <c r="BW486" s="76"/>
      <c r="BX486" s="76"/>
      <c r="BY486" s="76"/>
      <c r="BZ486" s="76"/>
      <c r="CA486" s="76"/>
      <c r="CB486" s="77"/>
      <c r="CC486" s="76"/>
      <c r="CD486" s="77"/>
      <c r="CE486" s="76"/>
      <c r="CF486" s="76"/>
      <c r="CG486" s="76"/>
      <c r="CH486" s="76"/>
      <c r="CI486" s="76"/>
      <c r="CJ486" s="77"/>
      <c r="CK486" s="76"/>
      <c r="CL486" s="77"/>
      <c r="CM486" s="76"/>
      <c r="CN486" s="76"/>
      <c r="CO486" s="76"/>
      <c r="CP486" s="76"/>
      <c r="CQ486" s="76"/>
      <c r="CR486" s="78" t="str">
        <f t="shared" si="127"/>
        <v/>
      </c>
      <c r="CS486" s="79" t="str">
        <f t="shared" si="128"/>
        <v/>
      </c>
      <c r="CT486" s="79" t="str">
        <f t="shared" si="129"/>
        <v/>
      </c>
      <c r="CU486" s="79" t="str">
        <f t="shared" si="130"/>
        <v/>
      </c>
      <c r="CV486" s="79" t="str">
        <f t="shared" si="131"/>
        <v/>
      </c>
      <c r="CW486" s="79" t="str">
        <f t="shared" si="132"/>
        <v/>
      </c>
      <c r="CX486" s="79" t="str">
        <f t="shared" si="133"/>
        <v/>
      </c>
      <c r="CY486" s="79" t="str">
        <f t="shared" si="134"/>
        <v/>
      </c>
      <c r="CZ486" s="79" t="str">
        <f t="shared" si="135"/>
        <v/>
      </c>
      <c r="DA486" s="79" t="str">
        <f t="shared" si="136"/>
        <v/>
      </c>
      <c r="DB486" s="79" t="str">
        <f t="shared" si="137"/>
        <v/>
      </c>
      <c r="DC486" s="79" t="str">
        <f t="shared" si="138"/>
        <v/>
      </c>
      <c r="DD486" s="79" t="str">
        <f t="shared" si="139"/>
        <v/>
      </c>
      <c r="DE486" s="79" t="str">
        <f t="shared" si="140"/>
        <v/>
      </c>
      <c r="DF486" s="79" t="str">
        <f t="shared" si="141"/>
        <v/>
      </c>
      <c r="DG486" s="79" t="str">
        <f t="shared" si="142"/>
        <v/>
      </c>
      <c r="DH486" s="76"/>
      <c r="DI486" s="78"/>
      <c r="DJ486" s="76"/>
      <c r="DK486" s="77"/>
      <c r="DL486" s="77"/>
      <c r="DM486" s="77"/>
      <c r="DN486" s="80"/>
      <c r="DO486" s="80"/>
      <c r="DP486" s="92" t="str">
        <f>IF(Table1[Start Date]="","",IF(Table1[Start Date]&gt;42185,"",IF(AND(Table1[Leaving Date]&gt;1,Table1[Leaving Date]&lt;42095),"",1)))</f>
        <v/>
      </c>
      <c r="DQ486" s="92" t="str">
        <f>IF(Table1[Start Date]="","",IF(Table1[Start Date]&gt;42277,"",IF(AND(Table1[Leaving Date]&gt;1,Table1[Leaving Date]&lt;42186),"",1)))</f>
        <v/>
      </c>
      <c r="DR486" s="92" t="str">
        <f>IF(Table1[Start Date]="","",IF(Table1[Start Date]&gt;42369,"",IF(AND(Table1[Leaving Date]&gt;1,Table1[Leaving Date]&lt;42278),"",1)))</f>
        <v/>
      </c>
      <c r="DS486" s="92" t="str">
        <f>IF(Table1[Start Date]="","",IF(Table1[Start Date]&gt;42460,"",IF(AND(Table1[Leaving Date]&gt;1,Table1[Leaving Date]&lt;42370),"",1)))</f>
        <v/>
      </c>
      <c r="DT486" s="92" t="str">
        <f>IF(Table1[Start Date]="","",IF(Table1[Start Date]&gt;42551,"",IF(AND(Table1[Leaving Date]&gt;1,Table1[Leaving Date]&lt;42461),"",1)))</f>
        <v/>
      </c>
      <c r="DU486" s="92" t="str">
        <f>IF(Table1[Start Date]="","",IF(Table1[Start Date]&gt;42643,"",IF(AND(Table1[Leaving Date]&gt;1,Table1[Leaving Date]&lt;42552),"",1)))</f>
        <v/>
      </c>
      <c r="DV486" s="92" t="str">
        <f>IF(Table1[Start Date]="","",IF(Table1[Start Date]&gt;42735,"",IF(AND(Table1[Leaving Date]&gt;1,Table1[Leaving Date]&lt;42644),"",1)))</f>
        <v/>
      </c>
      <c r="DW486" s="92" t="str">
        <f>IF(Table1[Start Date]="","",IF(Table1[Start Date]&gt;42825,"",IF(AND(Table1[Leaving Date]&gt;1,Table1[Leaving Date]&lt;42736),"",1)))</f>
        <v/>
      </c>
      <c r="DX486"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486" s="44" t="e">
        <f>VLOOKUP(Table1[Referral Source],Lists!$G$2:$H$20,2,FALSE)</f>
        <v>#N/A</v>
      </c>
      <c r="DZ486" s="93" t="e">
        <f>SUM(Table1[Data Referral Quarter]+Table1[Data Referral Source])</f>
        <v>#N/A</v>
      </c>
      <c r="EA486" s="44" t="b">
        <f>IF(Table1[Referral Decision]="Accepted",100,IF(Table1[Referral Decision]="Rejected by Provider",200,IF(Table1[Referral Decision]="Rejected by Applicant",300)))</f>
        <v>0</v>
      </c>
      <c r="EB486" s="44">
        <f>SUM(Table1[Data Referral Quarter]+Table1[Data Referral Decision])</f>
        <v>0</v>
      </c>
      <c r="EC486" s="44" t="b">
        <f>IF(Table1[Start Date]&gt;42735,8000,IF(Table1[Start Date]&gt;42643,7000,IF(Table1[Start Date]&gt;42551,6000,IF(Table1[Start Date]&gt;42460,5000,IF(Table1[Start Date]&gt;42369,4000,IF(Table1[Start Date]&gt;42277,3000,IF(Table1[Start Date]&gt;42185,2000,IF(Table1[Start Date]&gt;42094,1000))))))))</f>
        <v>0</v>
      </c>
      <c r="ED486" s="44" t="str">
        <f>IF(Table1[Start Date]="","",IF(Table1[Current Local Authority]="Swindon",1,"2"))</f>
        <v/>
      </c>
      <c r="EE486" s="44" t="e">
        <f>SUM(Table1[Data Start Date]+Table1[Data Local Authority])</f>
        <v>#VALUE!</v>
      </c>
      <c r="EF486" s="44">
        <f>IF(Table1[Registered with GP]="Yes",1,0)</f>
        <v>0</v>
      </c>
      <c r="EG486" s="44">
        <f>SUM(Table1[Data Start Date]+Table1[Data GP Start])</f>
        <v>0</v>
      </c>
      <c r="EH486" s="44" t="str">
        <f>IF(Table1[EET]="NEET",1,IF(Table1[EET]="Education",2,IF(Table1[EET]="Employment",2,IF(Table1[EET]="Training",2,IF(Table1[EET]="Retired",3,"")))))</f>
        <v/>
      </c>
      <c r="EI486" s="44" t="e">
        <f>Table1[Data Start Date]+Table1[Data EET Start]</f>
        <v>#VALUE!</v>
      </c>
      <c r="EJ486" s="44" t="b">
        <f>IF(Table1[Leaving Date]&gt;42735,8000,IF(Table1[Leaving Date]&gt;42643,7000,IF(Table1[Leaving Date]&gt;42551,6000,IF(Table1[Leaving Date]&gt;42460,5000,IF(Table1[Leaving Date]&gt;42369,4000,IF(Table1[Leaving Date]&gt;42277,3000,IF(Table1[Leaving Date]&gt;42185,2000,IF(Table1[Leaving Date]&gt;42094,1000))))))))</f>
        <v>0</v>
      </c>
      <c r="EK486" s="44" t="e">
        <f>VLOOKUP(Table1[Reason for Leaving],Lists!$T$2:$U$15,2,FALSE)</f>
        <v>#N/A</v>
      </c>
      <c r="EL486" s="44" t="e">
        <f>SUM(Table1[Data Leavers Date]+Table1[Data Move On])</f>
        <v>#N/A</v>
      </c>
      <c r="EM486" s="44" t="b">
        <f>IF(Table1[Registered with GP2]="Yes",1,IF(Table1[Registered with GP2]="No",0,IF(Table1[Registered with GP]="Yes",1,IF(Table1[Registered with GP]="No",0))))</f>
        <v>0</v>
      </c>
      <c r="EN486" s="44">
        <f>SUM(Table1[Data Leavers Date]+Table1[Data GP End])</f>
        <v>0</v>
      </c>
      <c r="EO486" s="44" t="str">
        <f>IF(Table1[EET2]="NEET",1,IF(Table1[EET2]="Employment",2,IF(Table1[EET2]="Education",2,IF(Table1[EET2]="Training",2,IF(Table1[EET2]="Retired",3,IF(Table1[EET]="NEET",1,IF(Table1[EET]="Employment",2,IF(Table1[EET]="Education",2,IF(Table1[EET]="Training",2,IF(Table1[EET]="Retired",3,""))))))))))</f>
        <v/>
      </c>
      <c r="EP486" s="44" t="e">
        <f>+Table1[[#This Row],[Data Leavers Date]]+Table1[[#This Row],[Data EET End]]</f>
        <v>#VALUE!</v>
      </c>
      <c r="EQ486" s="44">
        <f>IF(Table1[Exit Form Received]="Yes",1,0)</f>
        <v>0</v>
      </c>
      <c r="ER486" s="44">
        <f>+Table1[[#This Row],[Data Leavers Date]]+Table1[[#This Row],[Data Exit Forms]]</f>
        <v>0</v>
      </c>
      <c r="ES486" s="44" t="str">
        <f>IF(Table1[Data Leavers Date]=1000,SUM(Table1[Leaving Date]-Table1[Start Date]),"")</f>
        <v/>
      </c>
      <c r="ET486" s="44" t="str">
        <f>IF(Table1[Data Leavers Date]=2000,SUM(Table1[Leaving Date]-Table1[Start Date]),"")</f>
        <v/>
      </c>
      <c r="EU486" s="44" t="str">
        <f>IF(Table1[Data Leavers Date]=3000,SUM(Table1[Leaving Date]-Table1[Start Date]),"")</f>
        <v/>
      </c>
      <c r="EV486" s="44" t="str">
        <f>IF(Table1[Data Leavers Date]=4000,SUM(Table1[Leaving Date]-Table1[Start Date]),"")</f>
        <v/>
      </c>
      <c r="EW486" s="44" t="str">
        <f>IF(Table1[Data Leavers Date]=5000,SUM(Table1[Leaving Date]-Table1[Start Date]),"")</f>
        <v/>
      </c>
      <c r="EX486" s="44" t="str">
        <f>IF(Table1[Data Leavers Date]=6000,SUM(Table1[Leaving Date]-Table1[Start Date]),"")</f>
        <v/>
      </c>
      <c r="EY486" s="44" t="str">
        <f>IF(Table1[Data Leavers Date]=7000,SUM(Table1[Leaving Date]-Table1[Start Date]),"")</f>
        <v/>
      </c>
      <c r="EZ486" s="44" t="str">
        <f>IF(Table1[Data Leavers Date]=8000,SUM(Table1[Leaving Date]-Table1[Start Date]),"")</f>
        <v/>
      </c>
      <c r="FA486" s="44" t="str">
        <f>IF(Table1[Date of Initial Assessment]="","",IF(AND(Table1[Start Date]&gt;42094,Table1[Start Date]&lt;42461),Table1[Motivation and Taking Responsibility],""))</f>
        <v/>
      </c>
      <c r="FB486" s="44" t="str">
        <f>IF(Table1[Date of Initial Assessment]="","",IF(AND(Table1[Start Date]&gt;42094,Table1[Start Date]&lt;42461),Table1[Self-Care and Living Skills],""))</f>
        <v/>
      </c>
      <c r="FC486" s="44" t="str">
        <f>IF(Table1[Date of Initial Assessment]="","",IF(AND(Table1[Start Date]&gt;42094,Table1[Start Date]&lt;42461),Table1[Managing Money and Personal Administration],""))</f>
        <v/>
      </c>
      <c r="FD486" s="44" t="str">
        <f>IF(Table1[Date of Initial Assessment]="","",IF(AND(Table1[Start Date]&gt;42094,Table1[Start Date]&lt;42461),Table1[Social Networks and Relationships],""))</f>
        <v/>
      </c>
      <c r="FE486" s="44" t="str">
        <f>IF(Table1[Date of Initial Assessment]="","",IF(AND(Table1[Start Date]&gt;42094,Table1[Start Date]&lt;42461),Table1[Drug and Alcohol Misuse],""))</f>
        <v/>
      </c>
      <c r="FF486" s="44" t="str">
        <f>IF(Table1[Date of Initial Assessment]="","",IF(AND(Table1[Start Date]&gt;42094,Table1[Start Date]&lt;42461),Table1[Physical Health],""))</f>
        <v/>
      </c>
      <c r="FG486" s="44" t="str">
        <f>IF(Table1[Date of Initial Assessment]="","",IF(AND(Table1[Start Date]&gt;42094,Table1[Start Date]&lt;42461),Table1[Emotional and Mental Health],""))</f>
        <v/>
      </c>
      <c r="FH486" s="44" t="str">
        <f>IF(Table1[Date of Initial Assessment]="","",IF(AND(Table1[Start Date]&gt;42094,Table1[Start Date]&lt;42461),Table1[Meaningful Use of Time],""))</f>
        <v/>
      </c>
      <c r="FI486" s="44" t="str">
        <f>IF(Table1[Date of Initial Assessment]="","",IF(AND(Table1[Start Date]&gt;42094,Table1[Start Date]&lt;42461),Table1[Managing Tenancy and Accommodation],""))</f>
        <v/>
      </c>
      <c r="FJ486" s="44" t="str">
        <f>IF(Table1[Date of Initial Assessment]="","",IF(AND(Table1[Start Date]&gt;42094,Table1[Start Date]&lt;42461),Table1[Offending],""))</f>
        <v/>
      </c>
      <c r="FK486" s="44" t="str">
        <f>IF(Table1[Leaving Date]="","",IF(Table1[Date of Initial Assessment]="","",IF(AND(Table1[Leaving Date]&gt;42094,Table1[Leaving Date]&lt;42461),IF(Table1[Date of Last Assessment]="",Table1[Motivation and Taking Responsibility],Table1[Motivation and Taking Responsibility2]),"")))</f>
        <v/>
      </c>
      <c r="FL486" s="44" t="str">
        <f>IF(Table1[Leaving Date]="","",IF(Table1[Date of Initial Assessment]="","",IF(AND(Table1[Leaving Date]&gt;42094,Table1[Leaving Date]&lt;42461),IF(Table1[Date of Last Assessment]="",Table1[Self-Care and Living Skills],Table1[Self-Care and Living Skills2]),"")))</f>
        <v/>
      </c>
      <c r="FM486" s="44" t="str">
        <f>IF(Table1[Leaving Date]="","",IF(Table1[Date of Initial Assessment]="","",IF(AND(Table1[Leaving Date]&gt;42094,Table1[Leaving Date]&lt;42461),IF(Table1[Date of Last Assessment]="",Table1[Managing Money and Personal Administration],Table1[Managing Money and Personal Administration2]),"")))</f>
        <v/>
      </c>
      <c r="FN486" s="44" t="str">
        <f>IF(Table1[Leaving Date]="","",IF(Table1[Date of Initial Assessment]="","",IF(AND(Table1[Leaving Date]&gt;42094,Table1[Leaving Date]&lt;42461),IF(Table1[Date of Last Assessment]="",Table1[Social Networks and Relationships],Table1[Social Networks and Relationships2]),"")))</f>
        <v/>
      </c>
      <c r="FO486" s="44" t="str">
        <f>IF(Table1[Leaving Date]="","",IF(Table1[Date of Initial Assessment]="","",IF(AND(Table1[Leaving Date]&gt;42094,Table1[Leaving Date]&lt;42461),IF(Table1[Date of Last Assessment]="",Table1[Drug and Alcohol Misuse],Table1[Drug and Alcohol Misuse2]),"")))</f>
        <v/>
      </c>
      <c r="FP486" s="44" t="str">
        <f>IF(Table1[Leaving Date]="","",IF(Table1[Date of Initial Assessment]="","",IF(AND(Table1[Leaving Date]&gt;42094,Table1[Leaving Date]&lt;42461),IF(Table1[Date of Last Assessment]="",Table1[Physical Health],Table1[Physical Health2]),"")))</f>
        <v/>
      </c>
      <c r="FQ486" s="44" t="str">
        <f>IF(Table1[Leaving Date]="","",IF(Table1[Date of Initial Assessment]="","",IF(AND(Table1[Leaving Date]&gt;42094,Table1[Leaving Date]&lt;42461),IF(Table1[Date of Last Assessment]="",Table1[Emotional and Mental Health],Table1[Emotional and Mental Health2]),"")))</f>
        <v/>
      </c>
      <c r="FR486" s="44" t="str">
        <f>IF(Table1[Leaving Date]="","",IF(Table1[Date of Initial Assessment]="","",IF(AND(Table1[Leaving Date]&gt;42094,Table1[Leaving Date]&lt;42461),IF(Table1[Date of Last Assessment]="",Table1[Meaningful Use of Time],Table1[Meaningful Use of Time2]),"")))</f>
        <v/>
      </c>
      <c r="FS486" s="44" t="str">
        <f>IF(Table1[Leaving Date]="","",IF(Table1[Date of Initial Assessment]="","",IF(AND(Table1[Leaving Date]&gt;42094,Table1[Leaving Date]&lt;42461),IF(Table1[Date of Last Assessment]="",Table1[Managing Tenancy and Accommodation],Table1[Managing Tenancy and Accommodation2]),"")))</f>
        <v/>
      </c>
      <c r="FT486" s="44" t="str">
        <f>IF(Table1[Leaving Date]="","",IF(Table1[Date of Initial Assessment]="","",IF(AND(Table1[Leaving Date]&gt;42094,Table1[Leaving Date]&lt;42461),IF(Table1[Date of Last Assessment]="",Table1[Offending],Table1[Offending2]),"")))</f>
        <v/>
      </c>
      <c r="FU486" s="44" t="str">
        <f>IF(Table1[Date of Initial Assessment]="","",IF(AND(Table1[Start Date]&gt;42460,Table1[Start Date]&lt;42826),Table1[Motivation and Taking Responsibility],""))</f>
        <v/>
      </c>
      <c r="FV486" s="44" t="str">
        <f>IF(Table1[Date of Initial Assessment]="","",IF(AND(Table1[Start Date]&gt;42460,Table1[Start Date]&lt;42826),Table1[Self-Care and Living Skills],""))</f>
        <v/>
      </c>
      <c r="FW486" s="44" t="str">
        <f>IF(Table1[Date of Initial Assessment]="","",IF(AND(Table1[Start Date]&gt;42460,Table1[Start Date]&lt;42826),Table1[Managing Money and Personal Administration],""))</f>
        <v/>
      </c>
      <c r="FX486" s="44" t="str">
        <f>IF(Table1[Date of Initial Assessment]="","",IF(AND(Table1[Start Date]&gt;42460,Table1[Start Date]&lt;42826),Table1[Social Networks and Relationships],""))</f>
        <v/>
      </c>
      <c r="FY486" s="44" t="str">
        <f>IF(Table1[Date of Initial Assessment]="","",IF(AND(Table1[Start Date]&gt;42460,Table1[Start Date]&lt;42826),Table1[Drug and Alcohol Misuse],""))</f>
        <v/>
      </c>
      <c r="FZ486" s="44" t="str">
        <f>IF(Table1[Date of Initial Assessment]="","",IF(AND(Table1[Start Date]&gt;42460,Table1[Start Date]&lt;42826),Table1[Physical Health],""))</f>
        <v/>
      </c>
      <c r="GA486" s="44" t="str">
        <f>IF(Table1[Date of Initial Assessment]="","",IF(AND(Table1[Start Date]&gt;42460,Table1[Start Date]&lt;42826),Table1[Emotional and Mental Health],""))</f>
        <v/>
      </c>
      <c r="GB486" s="44" t="str">
        <f>IF(Table1[Date of Initial Assessment]="","",IF(AND(Table1[Start Date]&gt;42460,Table1[Start Date]&lt;42826),Table1[Meaningful Use of Time],""))</f>
        <v/>
      </c>
      <c r="GC486" s="44" t="str">
        <f>IF(Table1[Date of Initial Assessment]="","",IF(AND(Table1[Start Date]&gt;42460,Table1[Start Date]&lt;42826),Table1[Managing Tenancy and Accommodation],""))</f>
        <v/>
      </c>
      <c r="GD486" s="44" t="str">
        <f>IF(Table1[Date of Initial Assessment]="","",IF(AND(Table1[Start Date]&gt;42460,Table1[Start Date]&lt;42826),Table1[Offending],""))</f>
        <v/>
      </c>
      <c r="GE486" s="44" t="str">
        <f>IF(Table1[Leaving Date]="","",IF(AND(Table1[Leaving Date]&gt;42460,Table1[Leaving Date]&lt;42826),IF(Table1[Date of Last Assessment]="",Table1[Motivation and Taking Responsibility],Table1[Motivation and Taking Responsibility2]),""))</f>
        <v/>
      </c>
      <c r="GF486" s="44" t="str">
        <f>IF(Table1[Leaving Date]="","",IF(AND(Table1[Leaving Date]&gt;42460,Table1[Leaving Date]&lt;42826),IF(Table1[Date of Last Assessment]="",Table1[Self-Care and Living Skills],Table1[Self-Care and Living Skills2]),""))</f>
        <v/>
      </c>
      <c r="GG486" s="44" t="str">
        <f>IF(Table1[Leaving Date]="","",IF(AND(Table1[Leaving Date]&gt;42460,Table1[Leaving Date]&lt;42826),IF(Table1[Date of Last Assessment]="",Table1[Managing Money and Personal Administration],Table1[Managing Money and Personal Administration2]),""))</f>
        <v/>
      </c>
      <c r="GH486" s="44" t="str">
        <f>IF(Table1[Leaving Date]="","",IF(AND(Table1[Leaving Date]&gt;42460,Table1[Leaving Date]&lt;42826),IF(Table1[Date of Last Assessment]="",Table1[Social Networks and Relationships],Table1[Social Networks and Relationships2]),""))</f>
        <v/>
      </c>
      <c r="GI486" s="44" t="str">
        <f>IF(Table1[Leaving Date]="","",IF(AND(Table1[Leaving Date]&gt;42460,Table1[Leaving Date]&lt;42826),IF(Table1[Date of Last Assessment]="",Table1[Drug and Alcohol Misuse],Table1[Drug and Alcohol Misuse2]),""))</f>
        <v/>
      </c>
      <c r="GJ486" s="44" t="str">
        <f>IF(Table1[Leaving Date]="","",IF(AND(Table1[Leaving Date]&gt;42460,Table1[Leaving Date]&lt;42826),IF(Table1[Date of Last Assessment]="",Table1[Physical Health],Table1[Physical Health2]),""))</f>
        <v/>
      </c>
      <c r="GK486" s="44" t="str">
        <f>IF(Table1[Leaving Date]="","",IF(AND(Table1[Leaving Date]&gt;42460,Table1[Leaving Date]&lt;42826),IF(Table1[Date of Last Assessment]="",Table1[Emotional and Mental Health],Table1[Emotional and Mental Health2]),""))</f>
        <v/>
      </c>
      <c r="GL486" s="44" t="str">
        <f>IF(Table1[Leaving Date]="","",IF(AND(Table1[Leaving Date]&gt;42460,Table1[Leaving Date]&lt;42826),IF(Table1[Date of Last Assessment]="",Table1[Meaningful Use of Time],Table1[Meaningful Use of Time2]),""))</f>
        <v/>
      </c>
      <c r="GM486" s="44" t="str">
        <f>IF(Table1[Leaving Date]="","",IF(AND(Table1[Leaving Date]&gt;42460,Table1[Leaving Date]&lt;42826),IF(Table1[Date of Last Assessment]="",Table1[Managing Tenancy and Accommodation],Table1[Managing Tenancy and Accommodation2]),""))</f>
        <v/>
      </c>
      <c r="GN486" s="44" t="str">
        <f>IF(Table1[Leaving Date]="","",IF(AND(Table1[Leaving Date]&gt;42460,Table1[Leaving Date]&lt;42826),IF(Table1[Date of Last Assessment]="",Table1[Offending],Table1[Offending2]),""))</f>
        <v/>
      </c>
    </row>
    <row r="487" spans="2:196" ht="20.100000000000001" customHeight="1" x14ac:dyDescent="0.2">
      <c r="B487" s="86">
        <f>+'Service Data'!$C$5:$C$5</f>
        <v>0</v>
      </c>
      <c r="C487" s="86"/>
      <c r="D487" s="86"/>
      <c r="E487" s="86"/>
      <c r="F487" s="86"/>
      <c r="G487" s="86"/>
      <c r="H487" s="6"/>
      <c r="I487" s="99" t="str">
        <f ca="1">IF(Table1[[#This Row],[Date of Birth]]="","",SUM(TODAY()-Table1[[#This Row],[Date of Birth]])/365)</f>
        <v/>
      </c>
      <c r="L487" s="86"/>
      <c r="M487" s="77"/>
      <c r="N487" s="86"/>
      <c r="O487" s="86"/>
      <c r="P487" s="91"/>
      <c r="Q487" s="86"/>
      <c r="R487" s="77"/>
      <c r="S487" s="77"/>
      <c r="T487" s="68"/>
      <c r="U487" s="68"/>
      <c r="V487" s="67"/>
      <c r="W487" s="67"/>
      <c r="X487" s="67"/>
      <c r="Y487" s="67"/>
      <c r="Z487" s="67"/>
      <c r="AA487" s="67"/>
      <c r="AB487" s="67"/>
      <c r="AC487" s="67"/>
      <c r="AD487" s="67"/>
      <c r="AE487" s="67"/>
      <c r="AF487" s="67"/>
      <c r="AG487" s="67"/>
      <c r="AH487" s="67"/>
      <c r="AI487" s="67"/>
      <c r="AJ487" s="67"/>
      <c r="AK487" s="67"/>
      <c r="AL487" s="67"/>
      <c r="AM487" s="67"/>
      <c r="AN487" s="77"/>
      <c r="AO487" s="76"/>
      <c r="AP487" s="77"/>
      <c r="AQ487" s="76"/>
      <c r="AR487" s="76"/>
      <c r="AS487" s="76"/>
      <c r="AT487" s="76"/>
      <c r="AU487" s="76"/>
      <c r="AV487" s="77"/>
      <c r="AW487" s="76"/>
      <c r="AX487" s="77"/>
      <c r="AY487" s="76"/>
      <c r="AZ487" s="76"/>
      <c r="BA487" s="76"/>
      <c r="BB487" s="76"/>
      <c r="BC487" s="76"/>
      <c r="BD487" s="77"/>
      <c r="BE487" s="76"/>
      <c r="BF487" s="77"/>
      <c r="BG487" s="76"/>
      <c r="BH487" s="76"/>
      <c r="BI487" s="76"/>
      <c r="BJ487" s="76"/>
      <c r="BK487" s="76"/>
      <c r="BL487" s="77"/>
      <c r="BM487" s="76"/>
      <c r="BN487" s="77"/>
      <c r="BO487" s="76"/>
      <c r="BP487" s="76"/>
      <c r="BQ487" s="76"/>
      <c r="BR487" s="76"/>
      <c r="BS487" s="76"/>
      <c r="BT487" s="77"/>
      <c r="BU487" s="76"/>
      <c r="BV487" s="77"/>
      <c r="BW487" s="76"/>
      <c r="BX487" s="76"/>
      <c r="BY487" s="76"/>
      <c r="BZ487" s="76"/>
      <c r="CA487" s="76"/>
      <c r="CB487" s="77"/>
      <c r="CC487" s="76"/>
      <c r="CD487" s="77"/>
      <c r="CE487" s="76"/>
      <c r="CF487" s="76"/>
      <c r="CG487" s="76"/>
      <c r="CH487" s="76"/>
      <c r="CI487" s="76"/>
      <c r="CJ487" s="77"/>
      <c r="CK487" s="76"/>
      <c r="CL487" s="77"/>
      <c r="CM487" s="76"/>
      <c r="CN487" s="76"/>
      <c r="CO487" s="76"/>
      <c r="CP487" s="76"/>
      <c r="CQ487" s="76"/>
      <c r="CR487" s="78" t="str">
        <f t="shared" si="127"/>
        <v/>
      </c>
      <c r="CS487" s="79" t="str">
        <f t="shared" si="128"/>
        <v/>
      </c>
      <c r="CT487" s="79" t="str">
        <f t="shared" si="129"/>
        <v/>
      </c>
      <c r="CU487" s="79" t="str">
        <f t="shared" si="130"/>
        <v/>
      </c>
      <c r="CV487" s="79" t="str">
        <f t="shared" si="131"/>
        <v/>
      </c>
      <c r="CW487" s="79" t="str">
        <f t="shared" si="132"/>
        <v/>
      </c>
      <c r="CX487" s="79" t="str">
        <f t="shared" si="133"/>
        <v/>
      </c>
      <c r="CY487" s="79" t="str">
        <f t="shared" si="134"/>
        <v/>
      </c>
      <c r="CZ487" s="79" t="str">
        <f t="shared" si="135"/>
        <v/>
      </c>
      <c r="DA487" s="79" t="str">
        <f t="shared" si="136"/>
        <v/>
      </c>
      <c r="DB487" s="79" t="str">
        <f t="shared" si="137"/>
        <v/>
      </c>
      <c r="DC487" s="79" t="str">
        <f t="shared" si="138"/>
        <v/>
      </c>
      <c r="DD487" s="79" t="str">
        <f t="shared" si="139"/>
        <v/>
      </c>
      <c r="DE487" s="79" t="str">
        <f t="shared" si="140"/>
        <v/>
      </c>
      <c r="DF487" s="79" t="str">
        <f t="shared" si="141"/>
        <v/>
      </c>
      <c r="DG487" s="79" t="str">
        <f t="shared" si="142"/>
        <v/>
      </c>
      <c r="DH487" s="76"/>
      <c r="DI487" s="78"/>
      <c r="DJ487" s="76"/>
      <c r="DK487" s="77"/>
      <c r="DL487" s="77"/>
      <c r="DM487" s="77"/>
      <c r="DN487" s="80"/>
      <c r="DO487" s="80"/>
      <c r="DP487" s="92" t="str">
        <f>IF(Table1[Start Date]="","",IF(Table1[Start Date]&gt;42185,"",IF(AND(Table1[Leaving Date]&gt;1,Table1[Leaving Date]&lt;42095),"",1)))</f>
        <v/>
      </c>
      <c r="DQ487" s="92" t="str">
        <f>IF(Table1[Start Date]="","",IF(Table1[Start Date]&gt;42277,"",IF(AND(Table1[Leaving Date]&gt;1,Table1[Leaving Date]&lt;42186),"",1)))</f>
        <v/>
      </c>
      <c r="DR487" s="92" t="str">
        <f>IF(Table1[Start Date]="","",IF(Table1[Start Date]&gt;42369,"",IF(AND(Table1[Leaving Date]&gt;1,Table1[Leaving Date]&lt;42278),"",1)))</f>
        <v/>
      </c>
      <c r="DS487" s="92" t="str">
        <f>IF(Table1[Start Date]="","",IF(Table1[Start Date]&gt;42460,"",IF(AND(Table1[Leaving Date]&gt;1,Table1[Leaving Date]&lt;42370),"",1)))</f>
        <v/>
      </c>
      <c r="DT487" s="92" t="str">
        <f>IF(Table1[Start Date]="","",IF(Table1[Start Date]&gt;42551,"",IF(AND(Table1[Leaving Date]&gt;1,Table1[Leaving Date]&lt;42461),"",1)))</f>
        <v/>
      </c>
      <c r="DU487" s="92" t="str">
        <f>IF(Table1[Start Date]="","",IF(Table1[Start Date]&gt;42643,"",IF(AND(Table1[Leaving Date]&gt;1,Table1[Leaving Date]&lt;42552),"",1)))</f>
        <v/>
      </c>
      <c r="DV487" s="92" t="str">
        <f>IF(Table1[Start Date]="","",IF(Table1[Start Date]&gt;42735,"",IF(AND(Table1[Leaving Date]&gt;1,Table1[Leaving Date]&lt;42644),"",1)))</f>
        <v/>
      </c>
      <c r="DW487" s="92" t="str">
        <f>IF(Table1[Start Date]="","",IF(Table1[Start Date]&gt;42825,"",IF(AND(Table1[Leaving Date]&gt;1,Table1[Leaving Date]&lt;42736),"",1)))</f>
        <v/>
      </c>
      <c r="DX487"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487" s="44" t="e">
        <f>VLOOKUP(Table1[Referral Source],Lists!$G$2:$H$20,2,FALSE)</f>
        <v>#N/A</v>
      </c>
      <c r="DZ487" s="93" t="e">
        <f>SUM(Table1[Data Referral Quarter]+Table1[Data Referral Source])</f>
        <v>#N/A</v>
      </c>
      <c r="EA487" s="44" t="b">
        <f>IF(Table1[Referral Decision]="Accepted",100,IF(Table1[Referral Decision]="Rejected by Provider",200,IF(Table1[Referral Decision]="Rejected by Applicant",300)))</f>
        <v>0</v>
      </c>
      <c r="EB487" s="44">
        <f>SUM(Table1[Data Referral Quarter]+Table1[Data Referral Decision])</f>
        <v>0</v>
      </c>
      <c r="EC487" s="44" t="b">
        <f>IF(Table1[Start Date]&gt;42735,8000,IF(Table1[Start Date]&gt;42643,7000,IF(Table1[Start Date]&gt;42551,6000,IF(Table1[Start Date]&gt;42460,5000,IF(Table1[Start Date]&gt;42369,4000,IF(Table1[Start Date]&gt;42277,3000,IF(Table1[Start Date]&gt;42185,2000,IF(Table1[Start Date]&gt;42094,1000))))))))</f>
        <v>0</v>
      </c>
      <c r="ED487" s="44" t="str">
        <f>IF(Table1[Start Date]="","",IF(Table1[Current Local Authority]="Swindon",1,"2"))</f>
        <v/>
      </c>
      <c r="EE487" s="44" t="e">
        <f>SUM(Table1[Data Start Date]+Table1[Data Local Authority])</f>
        <v>#VALUE!</v>
      </c>
      <c r="EF487" s="44">
        <f>IF(Table1[Registered with GP]="Yes",1,0)</f>
        <v>0</v>
      </c>
      <c r="EG487" s="44">
        <f>SUM(Table1[Data Start Date]+Table1[Data GP Start])</f>
        <v>0</v>
      </c>
      <c r="EH487" s="44" t="str">
        <f>IF(Table1[EET]="NEET",1,IF(Table1[EET]="Education",2,IF(Table1[EET]="Employment",2,IF(Table1[EET]="Training",2,IF(Table1[EET]="Retired",3,"")))))</f>
        <v/>
      </c>
      <c r="EI487" s="44" t="e">
        <f>Table1[Data Start Date]+Table1[Data EET Start]</f>
        <v>#VALUE!</v>
      </c>
      <c r="EJ487" s="44" t="b">
        <f>IF(Table1[Leaving Date]&gt;42735,8000,IF(Table1[Leaving Date]&gt;42643,7000,IF(Table1[Leaving Date]&gt;42551,6000,IF(Table1[Leaving Date]&gt;42460,5000,IF(Table1[Leaving Date]&gt;42369,4000,IF(Table1[Leaving Date]&gt;42277,3000,IF(Table1[Leaving Date]&gt;42185,2000,IF(Table1[Leaving Date]&gt;42094,1000))))))))</f>
        <v>0</v>
      </c>
      <c r="EK487" s="44" t="e">
        <f>VLOOKUP(Table1[Reason for Leaving],Lists!$T$2:$U$15,2,FALSE)</f>
        <v>#N/A</v>
      </c>
      <c r="EL487" s="44" t="e">
        <f>SUM(Table1[Data Leavers Date]+Table1[Data Move On])</f>
        <v>#N/A</v>
      </c>
      <c r="EM487" s="44" t="b">
        <f>IF(Table1[Registered with GP2]="Yes",1,IF(Table1[Registered with GP2]="No",0,IF(Table1[Registered with GP]="Yes",1,IF(Table1[Registered with GP]="No",0))))</f>
        <v>0</v>
      </c>
      <c r="EN487" s="44">
        <f>SUM(Table1[Data Leavers Date]+Table1[Data GP End])</f>
        <v>0</v>
      </c>
      <c r="EO487" s="44" t="str">
        <f>IF(Table1[EET2]="NEET",1,IF(Table1[EET2]="Employment",2,IF(Table1[EET2]="Education",2,IF(Table1[EET2]="Training",2,IF(Table1[EET2]="Retired",3,IF(Table1[EET]="NEET",1,IF(Table1[EET]="Employment",2,IF(Table1[EET]="Education",2,IF(Table1[EET]="Training",2,IF(Table1[EET]="Retired",3,""))))))))))</f>
        <v/>
      </c>
      <c r="EP487" s="44" t="e">
        <f>+Table1[[#This Row],[Data Leavers Date]]+Table1[[#This Row],[Data EET End]]</f>
        <v>#VALUE!</v>
      </c>
      <c r="EQ487" s="44">
        <f>IF(Table1[Exit Form Received]="Yes",1,0)</f>
        <v>0</v>
      </c>
      <c r="ER487" s="44">
        <f>+Table1[[#This Row],[Data Leavers Date]]+Table1[[#This Row],[Data Exit Forms]]</f>
        <v>0</v>
      </c>
      <c r="ES487" s="44" t="str">
        <f>IF(Table1[Data Leavers Date]=1000,SUM(Table1[Leaving Date]-Table1[Start Date]),"")</f>
        <v/>
      </c>
      <c r="ET487" s="44" t="str">
        <f>IF(Table1[Data Leavers Date]=2000,SUM(Table1[Leaving Date]-Table1[Start Date]),"")</f>
        <v/>
      </c>
      <c r="EU487" s="44" t="str">
        <f>IF(Table1[Data Leavers Date]=3000,SUM(Table1[Leaving Date]-Table1[Start Date]),"")</f>
        <v/>
      </c>
      <c r="EV487" s="44" t="str">
        <f>IF(Table1[Data Leavers Date]=4000,SUM(Table1[Leaving Date]-Table1[Start Date]),"")</f>
        <v/>
      </c>
      <c r="EW487" s="44" t="str">
        <f>IF(Table1[Data Leavers Date]=5000,SUM(Table1[Leaving Date]-Table1[Start Date]),"")</f>
        <v/>
      </c>
      <c r="EX487" s="44" t="str">
        <f>IF(Table1[Data Leavers Date]=6000,SUM(Table1[Leaving Date]-Table1[Start Date]),"")</f>
        <v/>
      </c>
      <c r="EY487" s="44" t="str">
        <f>IF(Table1[Data Leavers Date]=7000,SUM(Table1[Leaving Date]-Table1[Start Date]),"")</f>
        <v/>
      </c>
      <c r="EZ487" s="44" t="str">
        <f>IF(Table1[Data Leavers Date]=8000,SUM(Table1[Leaving Date]-Table1[Start Date]),"")</f>
        <v/>
      </c>
      <c r="FA487" s="44" t="str">
        <f>IF(Table1[Date of Initial Assessment]="","",IF(AND(Table1[Start Date]&gt;42094,Table1[Start Date]&lt;42461),Table1[Motivation and Taking Responsibility],""))</f>
        <v/>
      </c>
      <c r="FB487" s="44" t="str">
        <f>IF(Table1[Date of Initial Assessment]="","",IF(AND(Table1[Start Date]&gt;42094,Table1[Start Date]&lt;42461),Table1[Self-Care and Living Skills],""))</f>
        <v/>
      </c>
      <c r="FC487" s="44" t="str">
        <f>IF(Table1[Date of Initial Assessment]="","",IF(AND(Table1[Start Date]&gt;42094,Table1[Start Date]&lt;42461),Table1[Managing Money and Personal Administration],""))</f>
        <v/>
      </c>
      <c r="FD487" s="44" t="str">
        <f>IF(Table1[Date of Initial Assessment]="","",IF(AND(Table1[Start Date]&gt;42094,Table1[Start Date]&lt;42461),Table1[Social Networks and Relationships],""))</f>
        <v/>
      </c>
      <c r="FE487" s="44" t="str">
        <f>IF(Table1[Date of Initial Assessment]="","",IF(AND(Table1[Start Date]&gt;42094,Table1[Start Date]&lt;42461),Table1[Drug and Alcohol Misuse],""))</f>
        <v/>
      </c>
      <c r="FF487" s="44" t="str">
        <f>IF(Table1[Date of Initial Assessment]="","",IF(AND(Table1[Start Date]&gt;42094,Table1[Start Date]&lt;42461),Table1[Physical Health],""))</f>
        <v/>
      </c>
      <c r="FG487" s="44" t="str">
        <f>IF(Table1[Date of Initial Assessment]="","",IF(AND(Table1[Start Date]&gt;42094,Table1[Start Date]&lt;42461),Table1[Emotional and Mental Health],""))</f>
        <v/>
      </c>
      <c r="FH487" s="44" t="str">
        <f>IF(Table1[Date of Initial Assessment]="","",IF(AND(Table1[Start Date]&gt;42094,Table1[Start Date]&lt;42461),Table1[Meaningful Use of Time],""))</f>
        <v/>
      </c>
      <c r="FI487" s="44" t="str">
        <f>IF(Table1[Date of Initial Assessment]="","",IF(AND(Table1[Start Date]&gt;42094,Table1[Start Date]&lt;42461),Table1[Managing Tenancy and Accommodation],""))</f>
        <v/>
      </c>
      <c r="FJ487" s="44" t="str">
        <f>IF(Table1[Date of Initial Assessment]="","",IF(AND(Table1[Start Date]&gt;42094,Table1[Start Date]&lt;42461),Table1[Offending],""))</f>
        <v/>
      </c>
      <c r="FK487" s="44" t="str">
        <f>IF(Table1[Leaving Date]="","",IF(Table1[Date of Initial Assessment]="","",IF(AND(Table1[Leaving Date]&gt;42094,Table1[Leaving Date]&lt;42461),IF(Table1[Date of Last Assessment]="",Table1[Motivation and Taking Responsibility],Table1[Motivation and Taking Responsibility2]),"")))</f>
        <v/>
      </c>
      <c r="FL487" s="44" t="str">
        <f>IF(Table1[Leaving Date]="","",IF(Table1[Date of Initial Assessment]="","",IF(AND(Table1[Leaving Date]&gt;42094,Table1[Leaving Date]&lt;42461),IF(Table1[Date of Last Assessment]="",Table1[Self-Care and Living Skills],Table1[Self-Care and Living Skills2]),"")))</f>
        <v/>
      </c>
      <c r="FM487" s="44" t="str">
        <f>IF(Table1[Leaving Date]="","",IF(Table1[Date of Initial Assessment]="","",IF(AND(Table1[Leaving Date]&gt;42094,Table1[Leaving Date]&lt;42461),IF(Table1[Date of Last Assessment]="",Table1[Managing Money and Personal Administration],Table1[Managing Money and Personal Administration2]),"")))</f>
        <v/>
      </c>
      <c r="FN487" s="44" t="str">
        <f>IF(Table1[Leaving Date]="","",IF(Table1[Date of Initial Assessment]="","",IF(AND(Table1[Leaving Date]&gt;42094,Table1[Leaving Date]&lt;42461),IF(Table1[Date of Last Assessment]="",Table1[Social Networks and Relationships],Table1[Social Networks and Relationships2]),"")))</f>
        <v/>
      </c>
      <c r="FO487" s="44" t="str">
        <f>IF(Table1[Leaving Date]="","",IF(Table1[Date of Initial Assessment]="","",IF(AND(Table1[Leaving Date]&gt;42094,Table1[Leaving Date]&lt;42461),IF(Table1[Date of Last Assessment]="",Table1[Drug and Alcohol Misuse],Table1[Drug and Alcohol Misuse2]),"")))</f>
        <v/>
      </c>
      <c r="FP487" s="44" t="str">
        <f>IF(Table1[Leaving Date]="","",IF(Table1[Date of Initial Assessment]="","",IF(AND(Table1[Leaving Date]&gt;42094,Table1[Leaving Date]&lt;42461),IF(Table1[Date of Last Assessment]="",Table1[Physical Health],Table1[Physical Health2]),"")))</f>
        <v/>
      </c>
      <c r="FQ487" s="44" t="str">
        <f>IF(Table1[Leaving Date]="","",IF(Table1[Date of Initial Assessment]="","",IF(AND(Table1[Leaving Date]&gt;42094,Table1[Leaving Date]&lt;42461),IF(Table1[Date of Last Assessment]="",Table1[Emotional and Mental Health],Table1[Emotional and Mental Health2]),"")))</f>
        <v/>
      </c>
      <c r="FR487" s="44" t="str">
        <f>IF(Table1[Leaving Date]="","",IF(Table1[Date of Initial Assessment]="","",IF(AND(Table1[Leaving Date]&gt;42094,Table1[Leaving Date]&lt;42461),IF(Table1[Date of Last Assessment]="",Table1[Meaningful Use of Time],Table1[Meaningful Use of Time2]),"")))</f>
        <v/>
      </c>
      <c r="FS487" s="44" t="str">
        <f>IF(Table1[Leaving Date]="","",IF(Table1[Date of Initial Assessment]="","",IF(AND(Table1[Leaving Date]&gt;42094,Table1[Leaving Date]&lt;42461),IF(Table1[Date of Last Assessment]="",Table1[Managing Tenancy and Accommodation],Table1[Managing Tenancy and Accommodation2]),"")))</f>
        <v/>
      </c>
      <c r="FT487" s="44" t="str">
        <f>IF(Table1[Leaving Date]="","",IF(Table1[Date of Initial Assessment]="","",IF(AND(Table1[Leaving Date]&gt;42094,Table1[Leaving Date]&lt;42461),IF(Table1[Date of Last Assessment]="",Table1[Offending],Table1[Offending2]),"")))</f>
        <v/>
      </c>
      <c r="FU487" s="44" t="str">
        <f>IF(Table1[Date of Initial Assessment]="","",IF(AND(Table1[Start Date]&gt;42460,Table1[Start Date]&lt;42826),Table1[Motivation and Taking Responsibility],""))</f>
        <v/>
      </c>
      <c r="FV487" s="44" t="str">
        <f>IF(Table1[Date of Initial Assessment]="","",IF(AND(Table1[Start Date]&gt;42460,Table1[Start Date]&lt;42826),Table1[Self-Care and Living Skills],""))</f>
        <v/>
      </c>
      <c r="FW487" s="44" t="str">
        <f>IF(Table1[Date of Initial Assessment]="","",IF(AND(Table1[Start Date]&gt;42460,Table1[Start Date]&lt;42826),Table1[Managing Money and Personal Administration],""))</f>
        <v/>
      </c>
      <c r="FX487" s="44" t="str">
        <f>IF(Table1[Date of Initial Assessment]="","",IF(AND(Table1[Start Date]&gt;42460,Table1[Start Date]&lt;42826),Table1[Social Networks and Relationships],""))</f>
        <v/>
      </c>
      <c r="FY487" s="44" t="str">
        <f>IF(Table1[Date of Initial Assessment]="","",IF(AND(Table1[Start Date]&gt;42460,Table1[Start Date]&lt;42826),Table1[Drug and Alcohol Misuse],""))</f>
        <v/>
      </c>
      <c r="FZ487" s="44" t="str">
        <f>IF(Table1[Date of Initial Assessment]="","",IF(AND(Table1[Start Date]&gt;42460,Table1[Start Date]&lt;42826),Table1[Physical Health],""))</f>
        <v/>
      </c>
      <c r="GA487" s="44" t="str">
        <f>IF(Table1[Date of Initial Assessment]="","",IF(AND(Table1[Start Date]&gt;42460,Table1[Start Date]&lt;42826),Table1[Emotional and Mental Health],""))</f>
        <v/>
      </c>
      <c r="GB487" s="44" t="str">
        <f>IF(Table1[Date of Initial Assessment]="","",IF(AND(Table1[Start Date]&gt;42460,Table1[Start Date]&lt;42826),Table1[Meaningful Use of Time],""))</f>
        <v/>
      </c>
      <c r="GC487" s="44" t="str">
        <f>IF(Table1[Date of Initial Assessment]="","",IF(AND(Table1[Start Date]&gt;42460,Table1[Start Date]&lt;42826),Table1[Managing Tenancy and Accommodation],""))</f>
        <v/>
      </c>
      <c r="GD487" s="44" t="str">
        <f>IF(Table1[Date of Initial Assessment]="","",IF(AND(Table1[Start Date]&gt;42460,Table1[Start Date]&lt;42826),Table1[Offending],""))</f>
        <v/>
      </c>
      <c r="GE487" s="44" t="str">
        <f>IF(Table1[Leaving Date]="","",IF(AND(Table1[Leaving Date]&gt;42460,Table1[Leaving Date]&lt;42826),IF(Table1[Date of Last Assessment]="",Table1[Motivation and Taking Responsibility],Table1[Motivation and Taking Responsibility2]),""))</f>
        <v/>
      </c>
      <c r="GF487" s="44" t="str">
        <f>IF(Table1[Leaving Date]="","",IF(AND(Table1[Leaving Date]&gt;42460,Table1[Leaving Date]&lt;42826),IF(Table1[Date of Last Assessment]="",Table1[Self-Care and Living Skills],Table1[Self-Care and Living Skills2]),""))</f>
        <v/>
      </c>
      <c r="GG487" s="44" t="str">
        <f>IF(Table1[Leaving Date]="","",IF(AND(Table1[Leaving Date]&gt;42460,Table1[Leaving Date]&lt;42826),IF(Table1[Date of Last Assessment]="",Table1[Managing Money and Personal Administration],Table1[Managing Money and Personal Administration2]),""))</f>
        <v/>
      </c>
      <c r="GH487" s="44" t="str">
        <f>IF(Table1[Leaving Date]="","",IF(AND(Table1[Leaving Date]&gt;42460,Table1[Leaving Date]&lt;42826),IF(Table1[Date of Last Assessment]="",Table1[Social Networks and Relationships],Table1[Social Networks and Relationships2]),""))</f>
        <v/>
      </c>
      <c r="GI487" s="44" t="str">
        <f>IF(Table1[Leaving Date]="","",IF(AND(Table1[Leaving Date]&gt;42460,Table1[Leaving Date]&lt;42826),IF(Table1[Date of Last Assessment]="",Table1[Drug and Alcohol Misuse],Table1[Drug and Alcohol Misuse2]),""))</f>
        <v/>
      </c>
      <c r="GJ487" s="44" t="str">
        <f>IF(Table1[Leaving Date]="","",IF(AND(Table1[Leaving Date]&gt;42460,Table1[Leaving Date]&lt;42826),IF(Table1[Date of Last Assessment]="",Table1[Physical Health],Table1[Physical Health2]),""))</f>
        <v/>
      </c>
      <c r="GK487" s="44" t="str">
        <f>IF(Table1[Leaving Date]="","",IF(AND(Table1[Leaving Date]&gt;42460,Table1[Leaving Date]&lt;42826),IF(Table1[Date of Last Assessment]="",Table1[Emotional and Mental Health],Table1[Emotional and Mental Health2]),""))</f>
        <v/>
      </c>
      <c r="GL487" s="44" t="str">
        <f>IF(Table1[Leaving Date]="","",IF(AND(Table1[Leaving Date]&gt;42460,Table1[Leaving Date]&lt;42826),IF(Table1[Date of Last Assessment]="",Table1[Meaningful Use of Time],Table1[Meaningful Use of Time2]),""))</f>
        <v/>
      </c>
      <c r="GM487" s="44" t="str">
        <f>IF(Table1[Leaving Date]="","",IF(AND(Table1[Leaving Date]&gt;42460,Table1[Leaving Date]&lt;42826),IF(Table1[Date of Last Assessment]="",Table1[Managing Tenancy and Accommodation],Table1[Managing Tenancy and Accommodation2]),""))</f>
        <v/>
      </c>
      <c r="GN487" s="44" t="str">
        <f>IF(Table1[Leaving Date]="","",IF(AND(Table1[Leaving Date]&gt;42460,Table1[Leaving Date]&lt;42826),IF(Table1[Date of Last Assessment]="",Table1[Offending],Table1[Offending2]),""))</f>
        <v/>
      </c>
    </row>
    <row r="488" spans="2:196" ht="20.100000000000001" customHeight="1" x14ac:dyDescent="0.2">
      <c r="B488" s="86">
        <f>+'Service Data'!$C$5:$C$5</f>
        <v>0</v>
      </c>
      <c r="C488" s="86"/>
      <c r="D488" s="86"/>
      <c r="E488" s="86"/>
      <c r="F488" s="86"/>
      <c r="G488" s="86"/>
      <c r="H488" s="6"/>
      <c r="I488" s="99" t="str">
        <f ca="1">IF(Table1[[#This Row],[Date of Birth]]="","",SUM(TODAY()-Table1[[#This Row],[Date of Birth]])/365)</f>
        <v/>
      </c>
      <c r="L488" s="86"/>
      <c r="M488" s="77"/>
      <c r="N488" s="86"/>
      <c r="O488" s="86"/>
      <c r="P488" s="91"/>
      <c r="Q488" s="86"/>
      <c r="R488" s="77"/>
      <c r="S488" s="77"/>
      <c r="T488" s="68"/>
      <c r="U488" s="68"/>
      <c r="V488" s="67"/>
      <c r="W488" s="67"/>
      <c r="X488" s="67"/>
      <c r="Y488" s="67"/>
      <c r="Z488" s="67"/>
      <c r="AA488" s="67"/>
      <c r="AB488" s="67"/>
      <c r="AC488" s="67"/>
      <c r="AD488" s="67"/>
      <c r="AE488" s="67"/>
      <c r="AF488" s="67"/>
      <c r="AG488" s="67"/>
      <c r="AH488" s="67"/>
      <c r="AI488" s="67"/>
      <c r="AJ488" s="67"/>
      <c r="AK488" s="67"/>
      <c r="AL488" s="67"/>
      <c r="AM488" s="67"/>
      <c r="AN488" s="77"/>
      <c r="AO488" s="76"/>
      <c r="AP488" s="77"/>
      <c r="AQ488" s="76"/>
      <c r="AR488" s="76"/>
      <c r="AS488" s="76"/>
      <c r="AT488" s="76"/>
      <c r="AU488" s="76"/>
      <c r="AV488" s="77"/>
      <c r="AW488" s="76"/>
      <c r="AX488" s="77"/>
      <c r="AY488" s="76"/>
      <c r="AZ488" s="76"/>
      <c r="BA488" s="76"/>
      <c r="BB488" s="76"/>
      <c r="BC488" s="76"/>
      <c r="BD488" s="77"/>
      <c r="BE488" s="76"/>
      <c r="BF488" s="77"/>
      <c r="BG488" s="76"/>
      <c r="BH488" s="76"/>
      <c r="BI488" s="76"/>
      <c r="BJ488" s="76"/>
      <c r="BK488" s="76"/>
      <c r="BL488" s="77"/>
      <c r="BM488" s="76"/>
      <c r="BN488" s="77"/>
      <c r="BO488" s="76"/>
      <c r="BP488" s="76"/>
      <c r="BQ488" s="76"/>
      <c r="BR488" s="76"/>
      <c r="BS488" s="76"/>
      <c r="BT488" s="77"/>
      <c r="BU488" s="76"/>
      <c r="BV488" s="77"/>
      <c r="BW488" s="76"/>
      <c r="BX488" s="76"/>
      <c r="BY488" s="76"/>
      <c r="BZ488" s="76"/>
      <c r="CA488" s="76"/>
      <c r="CB488" s="77"/>
      <c r="CC488" s="76"/>
      <c r="CD488" s="77"/>
      <c r="CE488" s="76"/>
      <c r="CF488" s="76"/>
      <c r="CG488" s="76"/>
      <c r="CH488" s="76"/>
      <c r="CI488" s="76"/>
      <c r="CJ488" s="77"/>
      <c r="CK488" s="76"/>
      <c r="CL488" s="77"/>
      <c r="CM488" s="76"/>
      <c r="CN488" s="76"/>
      <c r="CO488" s="76"/>
      <c r="CP488" s="76"/>
      <c r="CQ488" s="76"/>
      <c r="CR488" s="78" t="str">
        <f t="shared" si="127"/>
        <v/>
      </c>
      <c r="CS488" s="79" t="str">
        <f t="shared" si="128"/>
        <v/>
      </c>
      <c r="CT488" s="79" t="str">
        <f t="shared" si="129"/>
        <v/>
      </c>
      <c r="CU488" s="79" t="str">
        <f t="shared" si="130"/>
        <v/>
      </c>
      <c r="CV488" s="79" t="str">
        <f t="shared" si="131"/>
        <v/>
      </c>
      <c r="CW488" s="79" t="str">
        <f t="shared" si="132"/>
        <v/>
      </c>
      <c r="CX488" s="79" t="str">
        <f t="shared" si="133"/>
        <v/>
      </c>
      <c r="CY488" s="79" t="str">
        <f t="shared" si="134"/>
        <v/>
      </c>
      <c r="CZ488" s="79" t="str">
        <f t="shared" si="135"/>
        <v/>
      </c>
      <c r="DA488" s="79" t="str">
        <f t="shared" si="136"/>
        <v/>
      </c>
      <c r="DB488" s="79" t="str">
        <f t="shared" si="137"/>
        <v/>
      </c>
      <c r="DC488" s="79" t="str">
        <f t="shared" si="138"/>
        <v/>
      </c>
      <c r="DD488" s="79" t="str">
        <f t="shared" si="139"/>
        <v/>
      </c>
      <c r="DE488" s="79" t="str">
        <f t="shared" si="140"/>
        <v/>
      </c>
      <c r="DF488" s="79" t="str">
        <f t="shared" si="141"/>
        <v/>
      </c>
      <c r="DG488" s="79" t="str">
        <f t="shared" si="142"/>
        <v/>
      </c>
      <c r="DH488" s="76"/>
      <c r="DI488" s="78"/>
      <c r="DJ488" s="76"/>
      <c r="DK488" s="77"/>
      <c r="DL488" s="77"/>
      <c r="DM488" s="77"/>
      <c r="DN488" s="80"/>
      <c r="DO488" s="80"/>
      <c r="DP488" s="92" t="str">
        <f>IF(Table1[Start Date]="","",IF(Table1[Start Date]&gt;42185,"",IF(AND(Table1[Leaving Date]&gt;1,Table1[Leaving Date]&lt;42095),"",1)))</f>
        <v/>
      </c>
      <c r="DQ488" s="92" t="str">
        <f>IF(Table1[Start Date]="","",IF(Table1[Start Date]&gt;42277,"",IF(AND(Table1[Leaving Date]&gt;1,Table1[Leaving Date]&lt;42186),"",1)))</f>
        <v/>
      </c>
      <c r="DR488" s="92" t="str">
        <f>IF(Table1[Start Date]="","",IF(Table1[Start Date]&gt;42369,"",IF(AND(Table1[Leaving Date]&gt;1,Table1[Leaving Date]&lt;42278),"",1)))</f>
        <v/>
      </c>
      <c r="DS488" s="92" t="str">
        <f>IF(Table1[Start Date]="","",IF(Table1[Start Date]&gt;42460,"",IF(AND(Table1[Leaving Date]&gt;1,Table1[Leaving Date]&lt;42370),"",1)))</f>
        <v/>
      </c>
      <c r="DT488" s="92" t="str">
        <f>IF(Table1[Start Date]="","",IF(Table1[Start Date]&gt;42551,"",IF(AND(Table1[Leaving Date]&gt;1,Table1[Leaving Date]&lt;42461),"",1)))</f>
        <v/>
      </c>
      <c r="DU488" s="92" t="str">
        <f>IF(Table1[Start Date]="","",IF(Table1[Start Date]&gt;42643,"",IF(AND(Table1[Leaving Date]&gt;1,Table1[Leaving Date]&lt;42552),"",1)))</f>
        <v/>
      </c>
      <c r="DV488" s="92" t="str">
        <f>IF(Table1[Start Date]="","",IF(Table1[Start Date]&gt;42735,"",IF(AND(Table1[Leaving Date]&gt;1,Table1[Leaving Date]&lt;42644),"",1)))</f>
        <v/>
      </c>
      <c r="DW488" s="92" t="str">
        <f>IF(Table1[Start Date]="","",IF(Table1[Start Date]&gt;42825,"",IF(AND(Table1[Leaving Date]&gt;1,Table1[Leaving Date]&lt;42736),"",1)))</f>
        <v/>
      </c>
      <c r="DX488"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488" s="44" t="e">
        <f>VLOOKUP(Table1[Referral Source],Lists!$G$2:$H$20,2,FALSE)</f>
        <v>#N/A</v>
      </c>
      <c r="DZ488" s="93" t="e">
        <f>SUM(Table1[Data Referral Quarter]+Table1[Data Referral Source])</f>
        <v>#N/A</v>
      </c>
      <c r="EA488" s="44" t="b">
        <f>IF(Table1[Referral Decision]="Accepted",100,IF(Table1[Referral Decision]="Rejected by Provider",200,IF(Table1[Referral Decision]="Rejected by Applicant",300)))</f>
        <v>0</v>
      </c>
      <c r="EB488" s="44">
        <f>SUM(Table1[Data Referral Quarter]+Table1[Data Referral Decision])</f>
        <v>0</v>
      </c>
      <c r="EC488" s="44" t="b">
        <f>IF(Table1[Start Date]&gt;42735,8000,IF(Table1[Start Date]&gt;42643,7000,IF(Table1[Start Date]&gt;42551,6000,IF(Table1[Start Date]&gt;42460,5000,IF(Table1[Start Date]&gt;42369,4000,IF(Table1[Start Date]&gt;42277,3000,IF(Table1[Start Date]&gt;42185,2000,IF(Table1[Start Date]&gt;42094,1000))))))))</f>
        <v>0</v>
      </c>
      <c r="ED488" s="44" t="str">
        <f>IF(Table1[Start Date]="","",IF(Table1[Current Local Authority]="Swindon",1,"2"))</f>
        <v/>
      </c>
      <c r="EE488" s="44" t="e">
        <f>SUM(Table1[Data Start Date]+Table1[Data Local Authority])</f>
        <v>#VALUE!</v>
      </c>
      <c r="EF488" s="44">
        <f>IF(Table1[Registered with GP]="Yes",1,0)</f>
        <v>0</v>
      </c>
      <c r="EG488" s="44">
        <f>SUM(Table1[Data Start Date]+Table1[Data GP Start])</f>
        <v>0</v>
      </c>
      <c r="EH488" s="44" t="str">
        <f>IF(Table1[EET]="NEET",1,IF(Table1[EET]="Education",2,IF(Table1[EET]="Employment",2,IF(Table1[EET]="Training",2,IF(Table1[EET]="Retired",3,"")))))</f>
        <v/>
      </c>
      <c r="EI488" s="44" t="e">
        <f>Table1[Data Start Date]+Table1[Data EET Start]</f>
        <v>#VALUE!</v>
      </c>
      <c r="EJ488" s="44" t="b">
        <f>IF(Table1[Leaving Date]&gt;42735,8000,IF(Table1[Leaving Date]&gt;42643,7000,IF(Table1[Leaving Date]&gt;42551,6000,IF(Table1[Leaving Date]&gt;42460,5000,IF(Table1[Leaving Date]&gt;42369,4000,IF(Table1[Leaving Date]&gt;42277,3000,IF(Table1[Leaving Date]&gt;42185,2000,IF(Table1[Leaving Date]&gt;42094,1000))))))))</f>
        <v>0</v>
      </c>
      <c r="EK488" s="44" t="e">
        <f>VLOOKUP(Table1[Reason for Leaving],Lists!$T$2:$U$15,2,FALSE)</f>
        <v>#N/A</v>
      </c>
      <c r="EL488" s="44" t="e">
        <f>SUM(Table1[Data Leavers Date]+Table1[Data Move On])</f>
        <v>#N/A</v>
      </c>
      <c r="EM488" s="44" t="b">
        <f>IF(Table1[Registered with GP2]="Yes",1,IF(Table1[Registered with GP2]="No",0,IF(Table1[Registered with GP]="Yes",1,IF(Table1[Registered with GP]="No",0))))</f>
        <v>0</v>
      </c>
      <c r="EN488" s="44">
        <f>SUM(Table1[Data Leavers Date]+Table1[Data GP End])</f>
        <v>0</v>
      </c>
      <c r="EO488" s="44" t="str">
        <f>IF(Table1[EET2]="NEET",1,IF(Table1[EET2]="Employment",2,IF(Table1[EET2]="Education",2,IF(Table1[EET2]="Training",2,IF(Table1[EET2]="Retired",3,IF(Table1[EET]="NEET",1,IF(Table1[EET]="Employment",2,IF(Table1[EET]="Education",2,IF(Table1[EET]="Training",2,IF(Table1[EET]="Retired",3,""))))))))))</f>
        <v/>
      </c>
      <c r="EP488" s="44" t="e">
        <f>+Table1[[#This Row],[Data Leavers Date]]+Table1[[#This Row],[Data EET End]]</f>
        <v>#VALUE!</v>
      </c>
      <c r="EQ488" s="44">
        <f>IF(Table1[Exit Form Received]="Yes",1,0)</f>
        <v>0</v>
      </c>
      <c r="ER488" s="44">
        <f>+Table1[[#This Row],[Data Leavers Date]]+Table1[[#This Row],[Data Exit Forms]]</f>
        <v>0</v>
      </c>
      <c r="ES488" s="44" t="str">
        <f>IF(Table1[Data Leavers Date]=1000,SUM(Table1[Leaving Date]-Table1[Start Date]),"")</f>
        <v/>
      </c>
      <c r="ET488" s="44" t="str">
        <f>IF(Table1[Data Leavers Date]=2000,SUM(Table1[Leaving Date]-Table1[Start Date]),"")</f>
        <v/>
      </c>
      <c r="EU488" s="44" t="str">
        <f>IF(Table1[Data Leavers Date]=3000,SUM(Table1[Leaving Date]-Table1[Start Date]),"")</f>
        <v/>
      </c>
      <c r="EV488" s="44" t="str">
        <f>IF(Table1[Data Leavers Date]=4000,SUM(Table1[Leaving Date]-Table1[Start Date]),"")</f>
        <v/>
      </c>
      <c r="EW488" s="44" t="str">
        <f>IF(Table1[Data Leavers Date]=5000,SUM(Table1[Leaving Date]-Table1[Start Date]),"")</f>
        <v/>
      </c>
      <c r="EX488" s="44" t="str">
        <f>IF(Table1[Data Leavers Date]=6000,SUM(Table1[Leaving Date]-Table1[Start Date]),"")</f>
        <v/>
      </c>
      <c r="EY488" s="44" t="str">
        <f>IF(Table1[Data Leavers Date]=7000,SUM(Table1[Leaving Date]-Table1[Start Date]),"")</f>
        <v/>
      </c>
      <c r="EZ488" s="44" t="str">
        <f>IF(Table1[Data Leavers Date]=8000,SUM(Table1[Leaving Date]-Table1[Start Date]),"")</f>
        <v/>
      </c>
      <c r="FA488" s="44" t="str">
        <f>IF(Table1[Date of Initial Assessment]="","",IF(AND(Table1[Start Date]&gt;42094,Table1[Start Date]&lt;42461),Table1[Motivation and Taking Responsibility],""))</f>
        <v/>
      </c>
      <c r="FB488" s="44" t="str">
        <f>IF(Table1[Date of Initial Assessment]="","",IF(AND(Table1[Start Date]&gt;42094,Table1[Start Date]&lt;42461),Table1[Self-Care and Living Skills],""))</f>
        <v/>
      </c>
      <c r="FC488" s="44" t="str">
        <f>IF(Table1[Date of Initial Assessment]="","",IF(AND(Table1[Start Date]&gt;42094,Table1[Start Date]&lt;42461),Table1[Managing Money and Personal Administration],""))</f>
        <v/>
      </c>
      <c r="FD488" s="44" t="str">
        <f>IF(Table1[Date of Initial Assessment]="","",IF(AND(Table1[Start Date]&gt;42094,Table1[Start Date]&lt;42461),Table1[Social Networks and Relationships],""))</f>
        <v/>
      </c>
      <c r="FE488" s="44" t="str">
        <f>IF(Table1[Date of Initial Assessment]="","",IF(AND(Table1[Start Date]&gt;42094,Table1[Start Date]&lt;42461),Table1[Drug and Alcohol Misuse],""))</f>
        <v/>
      </c>
      <c r="FF488" s="44" t="str">
        <f>IF(Table1[Date of Initial Assessment]="","",IF(AND(Table1[Start Date]&gt;42094,Table1[Start Date]&lt;42461),Table1[Physical Health],""))</f>
        <v/>
      </c>
      <c r="FG488" s="44" t="str">
        <f>IF(Table1[Date of Initial Assessment]="","",IF(AND(Table1[Start Date]&gt;42094,Table1[Start Date]&lt;42461),Table1[Emotional and Mental Health],""))</f>
        <v/>
      </c>
      <c r="FH488" s="44" t="str">
        <f>IF(Table1[Date of Initial Assessment]="","",IF(AND(Table1[Start Date]&gt;42094,Table1[Start Date]&lt;42461),Table1[Meaningful Use of Time],""))</f>
        <v/>
      </c>
      <c r="FI488" s="44" t="str">
        <f>IF(Table1[Date of Initial Assessment]="","",IF(AND(Table1[Start Date]&gt;42094,Table1[Start Date]&lt;42461),Table1[Managing Tenancy and Accommodation],""))</f>
        <v/>
      </c>
      <c r="FJ488" s="44" t="str">
        <f>IF(Table1[Date of Initial Assessment]="","",IF(AND(Table1[Start Date]&gt;42094,Table1[Start Date]&lt;42461),Table1[Offending],""))</f>
        <v/>
      </c>
      <c r="FK488" s="44" t="str">
        <f>IF(Table1[Leaving Date]="","",IF(Table1[Date of Initial Assessment]="","",IF(AND(Table1[Leaving Date]&gt;42094,Table1[Leaving Date]&lt;42461),IF(Table1[Date of Last Assessment]="",Table1[Motivation and Taking Responsibility],Table1[Motivation and Taking Responsibility2]),"")))</f>
        <v/>
      </c>
      <c r="FL488" s="44" t="str">
        <f>IF(Table1[Leaving Date]="","",IF(Table1[Date of Initial Assessment]="","",IF(AND(Table1[Leaving Date]&gt;42094,Table1[Leaving Date]&lt;42461),IF(Table1[Date of Last Assessment]="",Table1[Self-Care and Living Skills],Table1[Self-Care and Living Skills2]),"")))</f>
        <v/>
      </c>
      <c r="FM488" s="44" t="str">
        <f>IF(Table1[Leaving Date]="","",IF(Table1[Date of Initial Assessment]="","",IF(AND(Table1[Leaving Date]&gt;42094,Table1[Leaving Date]&lt;42461),IF(Table1[Date of Last Assessment]="",Table1[Managing Money and Personal Administration],Table1[Managing Money and Personal Administration2]),"")))</f>
        <v/>
      </c>
      <c r="FN488" s="44" t="str">
        <f>IF(Table1[Leaving Date]="","",IF(Table1[Date of Initial Assessment]="","",IF(AND(Table1[Leaving Date]&gt;42094,Table1[Leaving Date]&lt;42461),IF(Table1[Date of Last Assessment]="",Table1[Social Networks and Relationships],Table1[Social Networks and Relationships2]),"")))</f>
        <v/>
      </c>
      <c r="FO488" s="44" t="str">
        <f>IF(Table1[Leaving Date]="","",IF(Table1[Date of Initial Assessment]="","",IF(AND(Table1[Leaving Date]&gt;42094,Table1[Leaving Date]&lt;42461),IF(Table1[Date of Last Assessment]="",Table1[Drug and Alcohol Misuse],Table1[Drug and Alcohol Misuse2]),"")))</f>
        <v/>
      </c>
      <c r="FP488" s="44" t="str">
        <f>IF(Table1[Leaving Date]="","",IF(Table1[Date of Initial Assessment]="","",IF(AND(Table1[Leaving Date]&gt;42094,Table1[Leaving Date]&lt;42461),IF(Table1[Date of Last Assessment]="",Table1[Physical Health],Table1[Physical Health2]),"")))</f>
        <v/>
      </c>
      <c r="FQ488" s="44" t="str">
        <f>IF(Table1[Leaving Date]="","",IF(Table1[Date of Initial Assessment]="","",IF(AND(Table1[Leaving Date]&gt;42094,Table1[Leaving Date]&lt;42461),IF(Table1[Date of Last Assessment]="",Table1[Emotional and Mental Health],Table1[Emotional and Mental Health2]),"")))</f>
        <v/>
      </c>
      <c r="FR488" s="44" t="str">
        <f>IF(Table1[Leaving Date]="","",IF(Table1[Date of Initial Assessment]="","",IF(AND(Table1[Leaving Date]&gt;42094,Table1[Leaving Date]&lt;42461),IF(Table1[Date of Last Assessment]="",Table1[Meaningful Use of Time],Table1[Meaningful Use of Time2]),"")))</f>
        <v/>
      </c>
      <c r="FS488" s="44" t="str">
        <f>IF(Table1[Leaving Date]="","",IF(Table1[Date of Initial Assessment]="","",IF(AND(Table1[Leaving Date]&gt;42094,Table1[Leaving Date]&lt;42461),IF(Table1[Date of Last Assessment]="",Table1[Managing Tenancy and Accommodation],Table1[Managing Tenancy and Accommodation2]),"")))</f>
        <v/>
      </c>
      <c r="FT488" s="44" t="str">
        <f>IF(Table1[Leaving Date]="","",IF(Table1[Date of Initial Assessment]="","",IF(AND(Table1[Leaving Date]&gt;42094,Table1[Leaving Date]&lt;42461),IF(Table1[Date of Last Assessment]="",Table1[Offending],Table1[Offending2]),"")))</f>
        <v/>
      </c>
      <c r="FU488" s="44" t="str">
        <f>IF(Table1[Date of Initial Assessment]="","",IF(AND(Table1[Start Date]&gt;42460,Table1[Start Date]&lt;42826),Table1[Motivation and Taking Responsibility],""))</f>
        <v/>
      </c>
      <c r="FV488" s="44" t="str">
        <f>IF(Table1[Date of Initial Assessment]="","",IF(AND(Table1[Start Date]&gt;42460,Table1[Start Date]&lt;42826),Table1[Self-Care and Living Skills],""))</f>
        <v/>
      </c>
      <c r="FW488" s="44" t="str">
        <f>IF(Table1[Date of Initial Assessment]="","",IF(AND(Table1[Start Date]&gt;42460,Table1[Start Date]&lt;42826),Table1[Managing Money and Personal Administration],""))</f>
        <v/>
      </c>
      <c r="FX488" s="44" t="str">
        <f>IF(Table1[Date of Initial Assessment]="","",IF(AND(Table1[Start Date]&gt;42460,Table1[Start Date]&lt;42826),Table1[Social Networks and Relationships],""))</f>
        <v/>
      </c>
      <c r="FY488" s="44" t="str">
        <f>IF(Table1[Date of Initial Assessment]="","",IF(AND(Table1[Start Date]&gt;42460,Table1[Start Date]&lt;42826),Table1[Drug and Alcohol Misuse],""))</f>
        <v/>
      </c>
      <c r="FZ488" s="44" t="str">
        <f>IF(Table1[Date of Initial Assessment]="","",IF(AND(Table1[Start Date]&gt;42460,Table1[Start Date]&lt;42826),Table1[Physical Health],""))</f>
        <v/>
      </c>
      <c r="GA488" s="44" t="str">
        <f>IF(Table1[Date of Initial Assessment]="","",IF(AND(Table1[Start Date]&gt;42460,Table1[Start Date]&lt;42826),Table1[Emotional and Mental Health],""))</f>
        <v/>
      </c>
      <c r="GB488" s="44" t="str">
        <f>IF(Table1[Date of Initial Assessment]="","",IF(AND(Table1[Start Date]&gt;42460,Table1[Start Date]&lt;42826),Table1[Meaningful Use of Time],""))</f>
        <v/>
      </c>
      <c r="GC488" s="44" t="str">
        <f>IF(Table1[Date of Initial Assessment]="","",IF(AND(Table1[Start Date]&gt;42460,Table1[Start Date]&lt;42826),Table1[Managing Tenancy and Accommodation],""))</f>
        <v/>
      </c>
      <c r="GD488" s="44" t="str">
        <f>IF(Table1[Date of Initial Assessment]="","",IF(AND(Table1[Start Date]&gt;42460,Table1[Start Date]&lt;42826),Table1[Offending],""))</f>
        <v/>
      </c>
      <c r="GE488" s="44" t="str">
        <f>IF(Table1[Leaving Date]="","",IF(AND(Table1[Leaving Date]&gt;42460,Table1[Leaving Date]&lt;42826),IF(Table1[Date of Last Assessment]="",Table1[Motivation and Taking Responsibility],Table1[Motivation and Taking Responsibility2]),""))</f>
        <v/>
      </c>
      <c r="GF488" s="44" t="str">
        <f>IF(Table1[Leaving Date]="","",IF(AND(Table1[Leaving Date]&gt;42460,Table1[Leaving Date]&lt;42826),IF(Table1[Date of Last Assessment]="",Table1[Self-Care and Living Skills],Table1[Self-Care and Living Skills2]),""))</f>
        <v/>
      </c>
      <c r="GG488" s="44" t="str">
        <f>IF(Table1[Leaving Date]="","",IF(AND(Table1[Leaving Date]&gt;42460,Table1[Leaving Date]&lt;42826),IF(Table1[Date of Last Assessment]="",Table1[Managing Money and Personal Administration],Table1[Managing Money and Personal Administration2]),""))</f>
        <v/>
      </c>
      <c r="GH488" s="44" t="str">
        <f>IF(Table1[Leaving Date]="","",IF(AND(Table1[Leaving Date]&gt;42460,Table1[Leaving Date]&lt;42826),IF(Table1[Date of Last Assessment]="",Table1[Social Networks and Relationships],Table1[Social Networks and Relationships2]),""))</f>
        <v/>
      </c>
      <c r="GI488" s="44" t="str">
        <f>IF(Table1[Leaving Date]="","",IF(AND(Table1[Leaving Date]&gt;42460,Table1[Leaving Date]&lt;42826),IF(Table1[Date of Last Assessment]="",Table1[Drug and Alcohol Misuse],Table1[Drug and Alcohol Misuse2]),""))</f>
        <v/>
      </c>
      <c r="GJ488" s="44" t="str">
        <f>IF(Table1[Leaving Date]="","",IF(AND(Table1[Leaving Date]&gt;42460,Table1[Leaving Date]&lt;42826),IF(Table1[Date of Last Assessment]="",Table1[Physical Health],Table1[Physical Health2]),""))</f>
        <v/>
      </c>
      <c r="GK488" s="44" t="str">
        <f>IF(Table1[Leaving Date]="","",IF(AND(Table1[Leaving Date]&gt;42460,Table1[Leaving Date]&lt;42826),IF(Table1[Date of Last Assessment]="",Table1[Emotional and Mental Health],Table1[Emotional and Mental Health2]),""))</f>
        <v/>
      </c>
      <c r="GL488" s="44" t="str">
        <f>IF(Table1[Leaving Date]="","",IF(AND(Table1[Leaving Date]&gt;42460,Table1[Leaving Date]&lt;42826),IF(Table1[Date of Last Assessment]="",Table1[Meaningful Use of Time],Table1[Meaningful Use of Time2]),""))</f>
        <v/>
      </c>
      <c r="GM488" s="44" t="str">
        <f>IF(Table1[Leaving Date]="","",IF(AND(Table1[Leaving Date]&gt;42460,Table1[Leaving Date]&lt;42826),IF(Table1[Date of Last Assessment]="",Table1[Managing Tenancy and Accommodation],Table1[Managing Tenancy and Accommodation2]),""))</f>
        <v/>
      </c>
      <c r="GN488" s="44" t="str">
        <f>IF(Table1[Leaving Date]="","",IF(AND(Table1[Leaving Date]&gt;42460,Table1[Leaving Date]&lt;42826),IF(Table1[Date of Last Assessment]="",Table1[Offending],Table1[Offending2]),""))</f>
        <v/>
      </c>
    </row>
    <row r="489" spans="2:196" ht="20.100000000000001" customHeight="1" x14ac:dyDescent="0.2">
      <c r="B489" s="86">
        <f>+'Service Data'!$C$5:$C$5</f>
        <v>0</v>
      </c>
      <c r="C489" s="86"/>
      <c r="D489" s="86"/>
      <c r="E489" s="86"/>
      <c r="F489" s="86"/>
      <c r="G489" s="86"/>
      <c r="H489" s="6"/>
      <c r="I489" s="99" t="str">
        <f ca="1">IF(Table1[[#This Row],[Date of Birth]]="","",SUM(TODAY()-Table1[[#This Row],[Date of Birth]])/365)</f>
        <v/>
      </c>
      <c r="L489" s="86"/>
      <c r="M489" s="77"/>
      <c r="N489" s="86"/>
      <c r="O489" s="86"/>
      <c r="P489" s="91"/>
      <c r="Q489" s="86"/>
      <c r="R489" s="77"/>
      <c r="S489" s="77"/>
      <c r="T489" s="68"/>
      <c r="U489" s="68"/>
      <c r="V489" s="67"/>
      <c r="W489" s="67"/>
      <c r="X489" s="67"/>
      <c r="Y489" s="67"/>
      <c r="Z489" s="67"/>
      <c r="AA489" s="67"/>
      <c r="AB489" s="67"/>
      <c r="AC489" s="67"/>
      <c r="AD489" s="67"/>
      <c r="AE489" s="67"/>
      <c r="AF489" s="67"/>
      <c r="AG489" s="67"/>
      <c r="AH489" s="67"/>
      <c r="AI489" s="67"/>
      <c r="AJ489" s="67"/>
      <c r="AK489" s="67"/>
      <c r="AL489" s="67"/>
      <c r="AM489" s="67"/>
      <c r="AN489" s="77"/>
      <c r="AO489" s="76"/>
      <c r="AP489" s="77"/>
      <c r="AQ489" s="76"/>
      <c r="AR489" s="76"/>
      <c r="AS489" s="76"/>
      <c r="AT489" s="76"/>
      <c r="AU489" s="76"/>
      <c r="AV489" s="77"/>
      <c r="AW489" s="76"/>
      <c r="AX489" s="77"/>
      <c r="AY489" s="76"/>
      <c r="AZ489" s="76"/>
      <c r="BA489" s="76"/>
      <c r="BB489" s="76"/>
      <c r="BC489" s="76"/>
      <c r="BD489" s="77"/>
      <c r="BE489" s="76"/>
      <c r="BF489" s="77"/>
      <c r="BG489" s="76"/>
      <c r="BH489" s="76"/>
      <c r="BI489" s="76"/>
      <c r="BJ489" s="76"/>
      <c r="BK489" s="76"/>
      <c r="BL489" s="77"/>
      <c r="BM489" s="76"/>
      <c r="BN489" s="77"/>
      <c r="BO489" s="76"/>
      <c r="BP489" s="76"/>
      <c r="BQ489" s="76"/>
      <c r="BR489" s="76"/>
      <c r="BS489" s="76"/>
      <c r="BT489" s="77"/>
      <c r="BU489" s="76"/>
      <c r="BV489" s="77"/>
      <c r="BW489" s="76"/>
      <c r="BX489" s="76"/>
      <c r="BY489" s="76"/>
      <c r="BZ489" s="76"/>
      <c r="CA489" s="76"/>
      <c r="CB489" s="77"/>
      <c r="CC489" s="76"/>
      <c r="CD489" s="77"/>
      <c r="CE489" s="76"/>
      <c r="CF489" s="76"/>
      <c r="CG489" s="76"/>
      <c r="CH489" s="76"/>
      <c r="CI489" s="76"/>
      <c r="CJ489" s="77"/>
      <c r="CK489" s="76"/>
      <c r="CL489" s="77"/>
      <c r="CM489" s="76"/>
      <c r="CN489" s="76"/>
      <c r="CO489" s="76"/>
      <c r="CP489" s="76"/>
      <c r="CQ489" s="76"/>
      <c r="CR489" s="78" t="str">
        <f t="shared" si="127"/>
        <v/>
      </c>
      <c r="CS489" s="79" t="str">
        <f t="shared" si="128"/>
        <v/>
      </c>
      <c r="CT489" s="79" t="str">
        <f t="shared" si="129"/>
        <v/>
      </c>
      <c r="CU489" s="79" t="str">
        <f t="shared" si="130"/>
        <v/>
      </c>
      <c r="CV489" s="79" t="str">
        <f t="shared" si="131"/>
        <v/>
      </c>
      <c r="CW489" s="79" t="str">
        <f t="shared" si="132"/>
        <v/>
      </c>
      <c r="CX489" s="79" t="str">
        <f t="shared" si="133"/>
        <v/>
      </c>
      <c r="CY489" s="79" t="str">
        <f t="shared" si="134"/>
        <v/>
      </c>
      <c r="CZ489" s="79" t="str">
        <f t="shared" si="135"/>
        <v/>
      </c>
      <c r="DA489" s="79" t="str">
        <f t="shared" si="136"/>
        <v/>
      </c>
      <c r="DB489" s="79" t="str">
        <f t="shared" si="137"/>
        <v/>
      </c>
      <c r="DC489" s="79" t="str">
        <f t="shared" si="138"/>
        <v/>
      </c>
      <c r="DD489" s="79" t="str">
        <f t="shared" si="139"/>
        <v/>
      </c>
      <c r="DE489" s="79" t="str">
        <f t="shared" si="140"/>
        <v/>
      </c>
      <c r="DF489" s="79" t="str">
        <f t="shared" si="141"/>
        <v/>
      </c>
      <c r="DG489" s="79" t="str">
        <f t="shared" si="142"/>
        <v/>
      </c>
      <c r="DH489" s="76"/>
      <c r="DI489" s="78"/>
      <c r="DJ489" s="76"/>
      <c r="DK489" s="77"/>
      <c r="DL489" s="77"/>
      <c r="DM489" s="77"/>
      <c r="DN489" s="80"/>
      <c r="DO489" s="80"/>
      <c r="DP489" s="92" t="str">
        <f>IF(Table1[Start Date]="","",IF(Table1[Start Date]&gt;42185,"",IF(AND(Table1[Leaving Date]&gt;1,Table1[Leaving Date]&lt;42095),"",1)))</f>
        <v/>
      </c>
      <c r="DQ489" s="92" t="str">
        <f>IF(Table1[Start Date]="","",IF(Table1[Start Date]&gt;42277,"",IF(AND(Table1[Leaving Date]&gt;1,Table1[Leaving Date]&lt;42186),"",1)))</f>
        <v/>
      </c>
      <c r="DR489" s="92" t="str">
        <f>IF(Table1[Start Date]="","",IF(Table1[Start Date]&gt;42369,"",IF(AND(Table1[Leaving Date]&gt;1,Table1[Leaving Date]&lt;42278),"",1)))</f>
        <v/>
      </c>
      <c r="DS489" s="92" t="str">
        <f>IF(Table1[Start Date]="","",IF(Table1[Start Date]&gt;42460,"",IF(AND(Table1[Leaving Date]&gt;1,Table1[Leaving Date]&lt;42370),"",1)))</f>
        <v/>
      </c>
      <c r="DT489" s="92" t="str">
        <f>IF(Table1[Start Date]="","",IF(Table1[Start Date]&gt;42551,"",IF(AND(Table1[Leaving Date]&gt;1,Table1[Leaving Date]&lt;42461),"",1)))</f>
        <v/>
      </c>
      <c r="DU489" s="92" t="str">
        <f>IF(Table1[Start Date]="","",IF(Table1[Start Date]&gt;42643,"",IF(AND(Table1[Leaving Date]&gt;1,Table1[Leaving Date]&lt;42552),"",1)))</f>
        <v/>
      </c>
      <c r="DV489" s="92" t="str">
        <f>IF(Table1[Start Date]="","",IF(Table1[Start Date]&gt;42735,"",IF(AND(Table1[Leaving Date]&gt;1,Table1[Leaving Date]&lt;42644),"",1)))</f>
        <v/>
      </c>
      <c r="DW489" s="92" t="str">
        <f>IF(Table1[Start Date]="","",IF(Table1[Start Date]&gt;42825,"",IF(AND(Table1[Leaving Date]&gt;1,Table1[Leaving Date]&lt;42736),"",1)))</f>
        <v/>
      </c>
      <c r="DX489"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489" s="44" t="e">
        <f>VLOOKUP(Table1[Referral Source],Lists!$G$2:$H$20,2,FALSE)</f>
        <v>#N/A</v>
      </c>
      <c r="DZ489" s="93" t="e">
        <f>SUM(Table1[Data Referral Quarter]+Table1[Data Referral Source])</f>
        <v>#N/A</v>
      </c>
      <c r="EA489" s="44" t="b">
        <f>IF(Table1[Referral Decision]="Accepted",100,IF(Table1[Referral Decision]="Rejected by Provider",200,IF(Table1[Referral Decision]="Rejected by Applicant",300)))</f>
        <v>0</v>
      </c>
      <c r="EB489" s="44">
        <f>SUM(Table1[Data Referral Quarter]+Table1[Data Referral Decision])</f>
        <v>0</v>
      </c>
      <c r="EC489" s="44" t="b">
        <f>IF(Table1[Start Date]&gt;42735,8000,IF(Table1[Start Date]&gt;42643,7000,IF(Table1[Start Date]&gt;42551,6000,IF(Table1[Start Date]&gt;42460,5000,IF(Table1[Start Date]&gt;42369,4000,IF(Table1[Start Date]&gt;42277,3000,IF(Table1[Start Date]&gt;42185,2000,IF(Table1[Start Date]&gt;42094,1000))))))))</f>
        <v>0</v>
      </c>
      <c r="ED489" s="44" t="str">
        <f>IF(Table1[Start Date]="","",IF(Table1[Current Local Authority]="Swindon",1,"2"))</f>
        <v/>
      </c>
      <c r="EE489" s="44" t="e">
        <f>SUM(Table1[Data Start Date]+Table1[Data Local Authority])</f>
        <v>#VALUE!</v>
      </c>
      <c r="EF489" s="44">
        <f>IF(Table1[Registered with GP]="Yes",1,0)</f>
        <v>0</v>
      </c>
      <c r="EG489" s="44">
        <f>SUM(Table1[Data Start Date]+Table1[Data GP Start])</f>
        <v>0</v>
      </c>
      <c r="EH489" s="44" t="str">
        <f>IF(Table1[EET]="NEET",1,IF(Table1[EET]="Education",2,IF(Table1[EET]="Employment",2,IF(Table1[EET]="Training",2,IF(Table1[EET]="Retired",3,"")))))</f>
        <v/>
      </c>
      <c r="EI489" s="44" t="e">
        <f>Table1[Data Start Date]+Table1[Data EET Start]</f>
        <v>#VALUE!</v>
      </c>
      <c r="EJ489" s="44" t="b">
        <f>IF(Table1[Leaving Date]&gt;42735,8000,IF(Table1[Leaving Date]&gt;42643,7000,IF(Table1[Leaving Date]&gt;42551,6000,IF(Table1[Leaving Date]&gt;42460,5000,IF(Table1[Leaving Date]&gt;42369,4000,IF(Table1[Leaving Date]&gt;42277,3000,IF(Table1[Leaving Date]&gt;42185,2000,IF(Table1[Leaving Date]&gt;42094,1000))))))))</f>
        <v>0</v>
      </c>
      <c r="EK489" s="44" t="e">
        <f>VLOOKUP(Table1[Reason for Leaving],Lists!$T$2:$U$15,2,FALSE)</f>
        <v>#N/A</v>
      </c>
      <c r="EL489" s="44" t="e">
        <f>SUM(Table1[Data Leavers Date]+Table1[Data Move On])</f>
        <v>#N/A</v>
      </c>
      <c r="EM489" s="44" t="b">
        <f>IF(Table1[Registered with GP2]="Yes",1,IF(Table1[Registered with GP2]="No",0,IF(Table1[Registered with GP]="Yes",1,IF(Table1[Registered with GP]="No",0))))</f>
        <v>0</v>
      </c>
      <c r="EN489" s="44">
        <f>SUM(Table1[Data Leavers Date]+Table1[Data GP End])</f>
        <v>0</v>
      </c>
      <c r="EO489" s="44" t="str">
        <f>IF(Table1[EET2]="NEET",1,IF(Table1[EET2]="Employment",2,IF(Table1[EET2]="Education",2,IF(Table1[EET2]="Training",2,IF(Table1[EET2]="Retired",3,IF(Table1[EET]="NEET",1,IF(Table1[EET]="Employment",2,IF(Table1[EET]="Education",2,IF(Table1[EET]="Training",2,IF(Table1[EET]="Retired",3,""))))))))))</f>
        <v/>
      </c>
      <c r="EP489" s="44" t="e">
        <f>+Table1[[#This Row],[Data Leavers Date]]+Table1[[#This Row],[Data EET End]]</f>
        <v>#VALUE!</v>
      </c>
      <c r="EQ489" s="44">
        <f>IF(Table1[Exit Form Received]="Yes",1,0)</f>
        <v>0</v>
      </c>
      <c r="ER489" s="44">
        <f>+Table1[[#This Row],[Data Leavers Date]]+Table1[[#This Row],[Data Exit Forms]]</f>
        <v>0</v>
      </c>
      <c r="ES489" s="44" t="str">
        <f>IF(Table1[Data Leavers Date]=1000,SUM(Table1[Leaving Date]-Table1[Start Date]),"")</f>
        <v/>
      </c>
      <c r="ET489" s="44" t="str">
        <f>IF(Table1[Data Leavers Date]=2000,SUM(Table1[Leaving Date]-Table1[Start Date]),"")</f>
        <v/>
      </c>
      <c r="EU489" s="44" t="str">
        <f>IF(Table1[Data Leavers Date]=3000,SUM(Table1[Leaving Date]-Table1[Start Date]),"")</f>
        <v/>
      </c>
      <c r="EV489" s="44" t="str">
        <f>IF(Table1[Data Leavers Date]=4000,SUM(Table1[Leaving Date]-Table1[Start Date]),"")</f>
        <v/>
      </c>
      <c r="EW489" s="44" t="str">
        <f>IF(Table1[Data Leavers Date]=5000,SUM(Table1[Leaving Date]-Table1[Start Date]),"")</f>
        <v/>
      </c>
      <c r="EX489" s="44" t="str">
        <f>IF(Table1[Data Leavers Date]=6000,SUM(Table1[Leaving Date]-Table1[Start Date]),"")</f>
        <v/>
      </c>
      <c r="EY489" s="44" t="str">
        <f>IF(Table1[Data Leavers Date]=7000,SUM(Table1[Leaving Date]-Table1[Start Date]),"")</f>
        <v/>
      </c>
      <c r="EZ489" s="44" t="str">
        <f>IF(Table1[Data Leavers Date]=8000,SUM(Table1[Leaving Date]-Table1[Start Date]),"")</f>
        <v/>
      </c>
      <c r="FA489" s="44" t="str">
        <f>IF(Table1[Date of Initial Assessment]="","",IF(AND(Table1[Start Date]&gt;42094,Table1[Start Date]&lt;42461),Table1[Motivation and Taking Responsibility],""))</f>
        <v/>
      </c>
      <c r="FB489" s="44" t="str">
        <f>IF(Table1[Date of Initial Assessment]="","",IF(AND(Table1[Start Date]&gt;42094,Table1[Start Date]&lt;42461),Table1[Self-Care and Living Skills],""))</f>
        <v/>
      </c>
      <c r="FC489" s="44" t="str">
        <f>IF(Table1[Date of Initial Assessment]="","",IF(AND(Table1[Start Date]&gt;42094,Table1[Start Date]&lt;42461),Table1[Managing Money and Personal Administration],""))</f>
        <v/>
      </c>
      <c r="FD489" s="44" t="str">
        <f>IF(Table1[Date of Initial Assessment]="","",IF(AND(Table1[Start Date]&gt;42094,Table1[Start Date]&lt;42461),Table1[Social Networks and Relationships],""))</f>
        <v/>
      </c>
      <c r="FE489" s="44" t="str">
        <f>IF(Table1[Date of Initial Assessment]="","",IF(AND(Table1[Start Date]&gt;42094,Table1[Start Date]&lt;42461),Table1[Drug and Alcohol Misuse],""))</f>
        <v/>
      </c>
      <c r="FF489" s="44" t="str">
        <f>IF(Table1[Date of Initial Assessment]="","",IF(AND(Table1[Start Date]&gt;42094,Table1[Start Date]&lt;42461),Table1[Physical Health],""))</f>
        <v/>
      </c>
      <c r="FG489" s="44" t="str">
        <f>IF(Table1[Date of Initial Assessment]="","",IF(AND(Table1[Start Date]&gt;42094,Table1[Start Date]&lt;42461),Table1[Emotional and Mental Health],""))</f>
        <v/>
      </c>
      <c r="FH489" s="44" t="str">
        <f>IF(Table1[Date of Initial Assessment]="","",IF(AND(Table1[Start Date]&gt;42094,Table1[Start Date]&lt;42461),Table1[Meaningful Use of Time],""))</f>
        <v/>
      </c>
      <c r="FI489" s="44" t="str">
        <f>IF(Table1[Date of Initial Assessment]="","",IF(AND(Table1[Start Date]&gt;42094,Table1[Start Date]&lt;42461),Table1[Managing Tenancy and Accommodation],""))</f>
        <v/>
      </c>
      <c r="FJ489" s="44" t="str">
        <f>IF(Table1[Date of Initial Assessment]="","",IF(AND(Table1[Start Date]&gt;42094,Table1[Start Date]&lt;42461),Table1[Offending],""))</f>
        <v/>
      </c>
      <c r="FK489" s="44" t="str">
        <f>IF(Table1[Leaving Date]="","",IF(Table1[Date of Initial Assessment]="","",IF(AND(Table1[Leaving Date]&gt;42094,Table1[Leaving Date]&lt;42461),IF(Table1[Date of Last Assessment]="",Table1[Motivation and Taking Responsibility],Table1[Motivation and Taking Responsibility2]),"")))</f>
        <v/>
      </c>
      <c r="FL489" s="44" t="str">
        <f>IF(Table1[Leaving Date]="","",IF(Table1[Date of Initial Assessment]="","",IF(AND(Table1[Leaving Date]&gt;42094,Table1[Leaving Date]&lt;42461),IF(Table1[Date of Last Assessment]="",Table1[Self-Care and Living Skills],Table1[Self-Care and Living Skills2]),"")))</f>
        <v/>
      </c>
      <c r="FM489" s="44" t="str">
        <f>IF(Table1[Leaving Date]="","",IF(Table1[Date of Initial Assessment]="","",IF(AND(Table1[Leaving Date]&gt;42094,Table1[Leaving Date]&lt;42461),IF(Table1[Date of Last Assessment]="",Table1[Managing Money and Personal Administration],Table1[Managing Money and Personal Administration2]),"")))</f>
        <v/>
      </c>
      <c r="FN489" s="44" t="str">
        <f>IF(Table1[Leaving Date]="","",IF(Table1[Date of Initial Assessment]="","",IF(AND(Table1[Leaving Date]&gt;42094,Table1[Leaving Date]&lt;42461),IF(Table1[Date of Last Assessment]="",Table1[Social Networks and Relationships],Table1[Social Networks and Relationships2]),"")))</f>
        <v/>
      </c>
      <c r="FO489" s="44" t="str">
        <f>IF(Table1[Leaving Date]="","",IF(Table1[Date of Initial Assessment]="","",IF(AND(Table1[Leaving Date]&gt;42094,Table1[Leaving Date]&lt;42461),IF(Table1[Date of Last Assessment]="",Table1[Drug and Alcohol Misuse],Table1[Drug and Alcohol Misuse2]),"")))</f>
        <v/>
      </c>
      <c r="FP489" s="44" t="str">
        <f>IF(Table1[Leaving Date]="","",IF(Table1[Date of Initial Assessment]="","",IF(AND(Table1[Leaving Date]&gt;42094,Table1[Leaving Date]&lt;42461),IF(Table1[Date of Last Assessment]="",Table1[Physical Health],Table1[Physical Health2]),"")))</f>
        <v/>
      </c>
      <c r="FQ489" s="44" t="str">
        <f>IF(Table1[Leaving Date]="","",IF(Table1[Date of Initial Assessment]="","",IF(AND(Table1[Leaving Date]&gt;42094,Table1[Leaving Date]&lt;42461),IF(Table1[Date of Last Assessment]="",Table1[Emotional and Mental Health],Table1[Emotional and Mental Health2]),"")))</f>
        <v/>
      </c>
      <c r="FR489" s="44" t="str">
        <f>IF(Table1[Leaving Date]="","",IF(Table1[Date of Initial Assessment]="","",IF(AND(Table1[Leaving Date]&gt;42094,Table1[Leaving Date]&lt;42461),IF(Table1[Date of Last Assessment]="",Table1[Meaningful Use of Time],Table1[Meaningful Use of Time2]),"")))</f>
        <v/>
      </c>
      <c r="FS489" s="44" t="str">
        <f>IF(Table1[Leaving Date]="","",IF(Table1[Date of Initial Assessment]="","",IF(AND(Table1[Leaving Date]&gt;42094,Table1[Leaving Date]&lt;42461),IF(Table1[Date of Last Assessment]="",Table1[Managing Tenancy and Accommodation],Table1[Managing Tenancy and Accommodation2]),"")))</f>
        <v/>
      </c>
      <c r="FT489" s="44" t="str">
        <f>IF(Table1[Leaving Date]="","",IF(Table1[Date of Initial Assessment]="","",IF(AND(Table1[Leaving Date]&gt;42094,Table1[Leaving Date]&lt;42461),IF(Table1[Date of Last Assessment]="",Table1[Offending],Table1[Offending2]),"")))</f>
        <v/>
      </c>
      <c r="FU489" s="44" t="str">
        <f>IF(Table1[Date of Initial Assessment]="","",IF(AND(Table1[Start Date]&gt;42460,Table1[Start Date]&lt;42826),Table1[Motivation and Taking Responsibility],""))</f>
        <v/>
      </c>
      <c r="FV489" s="44" t="str">
        <f>IF(Table1[Date of Initial Assessment]="","",IF(AND(Table1[Start Date]&gt;42460,Table1[Start Date]&lt;42826),Table1[Self-Care and Living Skills],""))</f>
        <v/>
      </c>
      <c r="FW489" s="44" t="str">
        <f>IF(Table1[Date of Initial Assessment]="","",IF(AND(Table1[Start Date]&gt;42460,Table1[Start Date]&lt;42826),Table1[Managing Money and Personal Administration],""))</f>
        <v/>
      </c>
      <c r="FX489" s="44" t="str">
        <f>IF(Table1[Date of Initial Assessment]="","",IF(AND(Table1[Start Date]&gt;42460,Table1[Start Date]&lt;42826),Table1[Social Networks and Relationships],""))</f>
        <v/>
      </c>
      <c r="FY489" s="44" t="str">
        <f>IF(Table1[Date of Initial Assessment]="","",IF(AND(Table1[Start Date]&gt;42460,Table1[Start Date]&lt;42826),Table1[Drug and Alcohol Misuse],""))</f>
        <v/>
      </c>
      <c r="FZ489" s="44" t="str">
        <f>IF(Table1[Date of Initial Assessment]="","",IF(AND(Table1[Start Date]&gt;42460,Table1[Start Date]&lt;42826),Table1[Physical Health],""))</f>
        <v/>
      </c>
      <c r="GA489" s="44" t="str">
        <f>IF(Table1[Date of Initial Assessment]="","",IF(AND(Table1[Start Date]&gt;42460,Table1[Start Date]&lt;42826),Table1[Emotional and Mental Health],""))</f>
        <v/>
      </c>
      <c r="GB489" s="44" t="str">
        <f>IF(Table1[Date of Initial Assessment]="","",IF(AND(Table1[Start Date]&gt;42460,Table1[Start Date]&lt;42826),Table1[Meaningful Use of Time],""))</f>
        <v/>
      </c>
      <c r="GC489" s="44" t="str">
        <f>IF(Table1[Date of Initial Assessment]="","",IF(AND(Table1[Start Date]&gt;42460,Table1[Start Date]&lt;42826),Table1[Managing Tenancy and Accommodation],""))</f>
        <v/>
      </c>
      <c r="GD489" s="44" t="str">
        <f>IF(Table1[Date of Initial Assessment]="","",IF(AND(Table1[Start Date]&gt;42460,Table1[Start Date]&lt;42826),Table1[Offending],""))</f>
        <v/>
      </c>
      <c r="GE489" s="44" t="str">
        <f>IF(Table1[Leaving Date]="","",IF(AND(Table1[Leaving Date]&gt;42460,Table1[Leaving Date]&lt;42826),IF(Table1[Date of Last Assessment]="",Table1[Motivation and Taking Responsibility],Table1[Motivation and Taking Responsibility2]),""))</f>
        <v/>
      </c>
      <c r="GF489" s="44" t="str">
        <f>IF(Table1[Leaving Date]="","",IF(AND(Table1[Leaving Date]&gt;42460,Table1[Leaving Date]&lt;42826),IF(Table1[Date of Last Assessment]="",Table1[Self-Care and Living Skills],Table1[Self-Care and Living Skills2]),""))</f>
        <v/>
      </c>
      <c r="GG489" s="44" t="str">
        <f>IF(Table1[Leaving Date]="","",IF(AND(Table1[Leaving Date]&gt;42460,Table1[Leaving Date]&lt;42826),IF(Table1[Date of Last Assessment]="",Table1[Managing Money and Personal Administration],Table1[Managing Money and Personal Administration2]),""))</f>
        <v/>
      </c>
      <c r="GH489" s="44" t="str">
        <f>IF(Table1[Leaving Date]="","",IF(AND(Table1[Leaving Date]&gt;42460,Table1[Leaving Date]&lt;42826),IF(Table1[Date of Last Assessment]="",Table1[Social Networks and Relationships],Table1[Social Networks and Relationships2]),""))</f>
        <v/>
      </c>
      <c r="GI489" s="44" t="str">
        <f>IF(Table1[Leaving Date]="","",IF(AND(Table1[Leaving Date]&gt;42460,Table1[Leaving Date]&lt;42826),IF(Table1[Date of Last Assessment]="",Table1[Drug and Alcohol Misuse],Table1[Drug and Alcohol Misuse2]),""))</f>
        <v/>
      </c>
      <c r="GJ489" s="44" t="str">
        <f>IF(Table1[Leaving Date]="","",IF(AND(Table1[Leaving Date]&gt;42460,Table1[Leaving Date]&lt;42826),IF(Table1[Date of Last Assessment]="",Table1[Physical Health],Table1[Physical Health2]),""))</f>
        <v/>
      </c>
      <c r="GK489" s="44" t="str">
        <f>IF(Table1[Leaving Date]="","",IF(AND(Table1[Leaving Date]&gt;42460,Table1[Leaving Date]&lt;42826),IF(Table1[Date of Last Assessment]="",Table1[Emotional and Mental Health],Table1[Emotional and Mental Health2]),""))</f>
        <v/>
      </c>
      <c r="GL489" s="44" t="str">
        <f>IF(Table1[Leaving Date]="","",IF(AND(Table1[Leaving Date]&gt;42460,Table1[Leaving Date]&lt;42826),IF(Table1[Date of Last Assessment]="",Table1[Meaningful Use of Time],Table1[Meaningful Use of Time2]),""))</f>
        <v/>
      </c>
      <c r="GM489" s="44" t="str">
        <f>IF(Table1[Leaving Date]="","",IF(AND(Table1[Leaving Date]&gt;42460,Table1[Leaving Date]&lt;42826),IF(Table1[Date of Last Assessment]="",Table1[Managing Tenancy and Accommodation],Table1[Managing Tenancy and Accommodation2]),""))</f>
        <v/>
      </c>
      <c r="GN489" s="44" t="str">
        <f>IF(Table1[Leaving Date]="","",IF(AND(Table1[Leaving Date]&gt;42460,Table1[Leaving Date]&lt;42826),IF(Table1[Date of Last Assessment]="",Table1[Offending],Table1[Offending2]),""))</f>
        <v/>
      </c>
    </row>
    <row r="490" spans="2:196" ht="20.100000000000001" customHeight="1" x14ac:dyDescent="0.2">
      <c r="B490" s="86">
        <f>+'Service Data'!$C$5:$C$5</f>
        <v>0</v>
      </c>
      <c r="C490" s="86"/>
      <c r="D490" s="86"/>
      <c r="E490" s="86"/>
      <c r="F490" s="86"/>
      <c r="G490" s="86"/>
      <c r="H490" s="6"/>
      <c r="I490" s="99" t="str">
        <f ca="1">IF(Table1[[#This Row],[Date of Birth]]="","",SUM(TODAY()-Table1[[#This Row],[Date of Birth]])/365)</f>
        <v/>
      </c>
      <c r="L490" s="86"/>
      <c r="M490" s="77"/>
      <c r="N490" s="86"/>
      <c r="O490" s="86"/>
      <c r="P490" s="91"/>
      <c r="Q490" s="86"/>
      <c r="R490" s="77"/>
      <c r="S490" s="77"/>
      <c r="T490" s="68"/>
      <c r="U490" s="68"/>
      <c r="V490" s="67"/>
      <c r="W490" s="67"/>
      <c r="X490" s="67"/>
      <c r="Y490" s="67"/>
      <c r="Z490" s="67"/>
      <c r="AA490" s="67"/>
      <c r="AB490" s="67"/>
      <c r="AC490" s="67"/>
      <c r="AD490" s="67"/>
      <c r="AE490" s="67"/>
      <c r="AF490" s="67"/>
      <c r="AG490" s="67"/>
      <c r="AH490" s="67"/>
      <c r="AI490" s="67"/>
      <c r="AJ490" s="67"/>
      <c r="AK490" s="67"/>
      <c r="AL490" s="67"/>
      <c r="AM490" s="67"/>
      <c r="AN490" s="77"/>
      <c r="AO490" s="76"/>
      <c r="AP490" s="77"/>
      <c r="AQ490" s="76"/>
      <c r="AR490" s="76"/>
      <c r="AS490" s="76"/>
      <c r="AT490" s="76"/>
      <c r="AU490" s="76"/>
      <c r="AV490" s="77"/>
      <c r="AW490" s="76"/>
      <c r="AX490" s="77"/>
      <c r="AY490" s="76"/>
      <c r="AZ490" s="76"/>
      <c r="BA490" s="76"/>
      <c r="BB490" s="76"/>
      <c r="BC490" s="76"/>
      <c r="BD490" s="77"/>
      <c r="BE490" s="76"/>
      <c r="BF490" s="77"/>
      <c r="BG490" s="76"/>
      <c r="BH490" s="76"/>
      <c r="BI490" s="76"/>
      <c r="BJ490" s="76"/>
      <c r="BK490" s="76"/>
      <c r="BL490" s="77"/>
      <c r="BM490" s="76"/>
      <c r="BN490" s="77"/>
      <c r="BO490" s="76"/>
      <c r="BP490" s="76"/>
      <c r="BQ490" s="76"/>
      <c r="BR490" s="76"/>
      <c r="BS490" s="76"/>
      <c r="BT490" s="77"/>
      <c r="BU490" s="76"/>
      <c r="BV490" s="77"/>
      <c r="BW490" s="76"/>
      <c r="BX490" s="76"/>
      <c r="BY490" s="76"/>
      <c r="BZ490" s="76"/>
      <c r="CA490" s="76"/>
      <c r="CB490" s="77"/>
      <c r="CC490" s="76"/>
      <c r="CD490" s="77"/>
      <c r="CE490" s="76"/>
      <c r="CF490" s="76"/>
      <c r="CG490" s="76"/>
      <c r="CH490" s="76"/>
      <c r="CI490" s="76"/>
      <c r="CJ490" s="77"/>
      <c r="CK490" s="76"/>
      <c r="CL490" s="77"/>
      <c r="CM490" s="76"/>
      <c r="CN490" s="76"/>
      <c r="CO490" s="76"/>
      <c r="CP490" s="76"/>
      <c r="CQ490" s="76"/>
      <c r="CR490" s="78" t="str">
        <f t="shared" si="127"/>
        <v/>
      </c>
      <c r="CS490" s="79" t="str">
        <f t="shared" si="128"/>
        <v/>
      </c>
      <c r="CT490" s="79" t="str">
        <f t="shared" si="129"/>
        <v/>
      </c>
      <c r="CU490" s="79" t="str">
        <f t="shared" si="130"/>
        <v/>
      </c>
      <c r="CV490" s="79" t="str">
        <f t="shared" si="131"/>
        <v/>
      </c>
      <c r="CW490" s="79" t="str">
        <f t="shared" si="132"/>
        <v/>
      </c>
      <c r="CX490" s="79" t="str">
        <f t="shared" si="133"/>
        <v/>
      </c>
      <c r="CY490" s="79" t="str">
        <f t="shared" si="134"/>
        <v/>
      </c>
      <c r="CZ490" s="79" t="str">
        <f t="shared" si="135"/>
        <v/>
      </c>
      <c r="DA490" s="79" t="str">
        <f t="shared" si="136"/>
        <v/>
      </c>
      <c r="DB490" s="79" t="str">
        <f t="shared" si="137"/>
        <v/>
      </c>
      <c r="DC490" s="79" t="str">
        <f t="shared" si="138"/>
        <v/>
      </c>
      <c r="DD490" s="79" t="str">
        <f t="shared" si="139"/>
        <v/>
      </c>
      <c r="DE490" s="79" t="str">
        <f t="shared" si="140"/>
        <v/>
      </c>
      <c r="DF490" s="79" t="str">
        <f t="shared" si="141"/>
        <v/>
      </c>
      <c r="DG490" s="79" t="str">
        <f t="shared" si="142"/>
        <v/>
      </c>
      <c r="DH490" s="76"/>
      <c r="DI490" s="78"/>
      <c r="DJ490" s="76"/>
      <c r="DK490" s="77"/>
      <c r="DL490" s="77"/>
      <c r="DM490" s="77"/>
      <c r="DN490" s="80"/>
      <c r="DO490" s="80"/>
      <c r="DP490" s="92" t="str">
        <f>IF(Table1[Start Date]="","",IF(Table1[Start Date]&gt;42185,"",IF(AND(Table1[Leaving Date]&gt;1,Table1[Leaving Date]&lt;42095),"",1)))</f>
        <v/>
      </c>
      <c r="DQ490" s="92" t="str">
        <f>IF(Table1[Start Date]="","",IF(Table1[Start Date]&gt;42277,"",IF(AND(Table1[Leaving Date]&gt;1,Table1[Leaving Date]&lt;42186),"",1)))</f>
        <v/>
      </c>
      <c r="DR490" s="92" t="str">
        <f>IF(Table1[Start Date]="","",IF(Table1[Start Date]&gt;42369,"",IF(AND(Table1[Leaving Date]&gt;1,Table1[Leaving Date]&lt;42278),"",1)))</f>
        <v/>
      </c>
      <c r="DS490" s="92" t="str">
        <f>IF(Table1[Start Date]="","",IF(Table1[Start Date]&gt;42460,"",IF(AND(Table1[Leaving Date]&gt;1,Table1[Leaving Date]&lt;42370),"",1)))</f>
        <v/>
      </c>
      <c r="DT490" s="92" t="str">
        <f>IF(Table1[Start Date]="","",IF(Table1[Start Date]&gt;42551,"",IF(AND(Table1[Leaving Date]&gt;1,Table1[Leaving Date]&lt;42461),"",1)))</f>
        <v/>
      </c>
      <c r="DU490" s="92" t="str">
        <f>IF(Table1[Start Date]="","",IF(Table1[Start Date]&gt;42643,"",IF(AND(Table1[Leaving Date]&gt;1,Table1[Leaving Date]&lt;42552),"",1)))</f>
        <v/>
      </c>
      <c r="DV490" s="92" t="str">
        <f>IF(Table1[Start Date]="","",IF(Table1[Start Date]&gt;42735,"",IF(AND(Table1[Leaving Date]&gt;1,Table1[Leaving Date]&lt;42644),"",1)))</f>
        <v/>
      </c>
      <c r="DW490" s="92" t="str">
        <f>IF(Table1[Start Date]="","",IF(Table1[Start Date]&gt;42825,"",IF(AND(Table1[Leaving Date]&gt;1,Table1[Leaving Date]&lt;42736),"",1)))</f>
        <v/>
      </c>
      <c r="DX490"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490" s="44" t="e">
        <f>VLOOKUP(Table1[Referral Source],Lists!$G$2:$H$20,2,FALSE)</f>
        <v>#N/A</v>
      </c>
      <c r="DZ490" s="93" t="e">
        <f>SUM(Table1[Data Referral Quarter]+Table1[Data Referral Source])</f>
        <v>#N/A</v>
      </c>
      <c r="EA490" s="44" t="b">
        <f>IF(Table1[Referral Decision]="Accepted",100,IF(Table1[Referral Decision]="Rejected by Provider",200,IF(Table1[Referral Decision]="Rejected by Applicant",300)))</f>
        <v>0</v>
      </c>
      <c r="EB490" s="44">
        <f>SUM(Table1[Data Referral Quarter]+Table1[Data Referral Decision])</f>
        <v>0</v>
      </c>
      <c r="EC490" s="44" t="b">
        <f>IF(Table1[Start Date]&gt;42735,8000,IF(Table1[Start Date]&gt;42643,7000,IF(Table1[Start Date]&gt;42551,6000,IF(Table1[Start Date]&gt;42460,5000,IF(Table1[Start Date]&gt;42369,4000,IF(Table1[Start Date]&gt;42277,3000,IF(Table1[Start Date]&gt;42185,2000,IF(Table1[Start Date]&gt;42094,1000))))))))</f>
        <v>0</v>
      </c>
      <c r="ED490" s="44" t="str">
        <f>IF(Table1[Start Date]="","",IF(Table1[Current Local Authority]="Swindon",1,"2"))</f>
        <v/>
      </c>
      <c r="EE490" s="44" t="e">
        <f>SUM(Table1[Data Start Date]+Table1[Data Local Authority])</f>
        <v>#VALUE!</v>
      </c>
      <c r="EF490" s="44">
        <f>IF(Table1[Registered with GP]="Yes",1,0)</f>
        <v>0</v>
      </c>
      <c r="EG490" s="44">
        <f>SUM(Table1[Data Start Date]+Table1[Data GP Start])</f>
        <v>0</v>
      </c>
      <c r="EH490" s="44" t="str">
        <f>IF(Table1[EET]="NEET",1,IF(Table1[EET]="Education",2,IF(Table1[EET]="Employment",2,IF(Table1[EET]="Training",2,IF(Table1[EET]="Retired",3,"")))))</f>
        <v/>
      </c>
      <c r="EI490" s="44" t="e">
        <f>Table1[Data Start Date]+Table1[Data EET Start]</f>
        <v>#VALUE!</v>
      </c>
      <c r="EJ490" s="44" t="b">
        <f>IF(Table1[Leaving Date]&gt;42735,8000,IF(Table1[Leaving Date]&gt;42643,7000,IF(Table1[Leaving Date]&gt;42551,6000,IF(Table1[Leaving Date]&gt;42460,5000,IF(Table1[Leaving Date]&gt;42369,4000,IF(Table1[Leaving Date]&gt;42277,3000,IF(Table1[Leaving Date]&gt;42185,2000,IF(Table1[Leaving Date]&gt;42094,1000))))))))</f>
        <v>0</v>
      </c>
      <c r="EK490" s="44" t="e">
        <f>VLOOKUP(Table1[Reason for Leaving],Lists!$T$2:$U$15,2,FALSE)</f>
        <v>#N/A</v>
      </c>
      <c r="EL490" s="44" t="e">
        <f>SUM(Table1[Data Leavers Date]+Table1[Data Move On])</f>
        <v>#N/A</v>
      </c>
      <c r="EM490" s="44" t="b">
        <f>IF(Table1[Registered with GP2]="Yes",1,IF(Table1[Registered with GP2]="No",0,IF(Table1[Registered with GP]="Yes",1,IF(Table1[Registered with GP]="No",0))))</f>
        <v>0</v>
      </c>
      <c r="EN490" s="44">
        <f>SUM(Table1[Data Leavers Date]+Table1[Data GP End])</f>
        <v>0</v>
      </c>
      <c r="EO490" s="44" t="str">
        <f>IF(Table1[EET2]="NEET",1,IF(Table1[EET2]="Employment",2,IF(Table1[EET2]="Education",2,IF(Table1[EET2]="Training",2,IF(Table1[EET2]="Retired",3,IF(Table1[EET]="NEET",1,IF(Table1[EET]="Employment",2,IF(Table1[EET]="Education",2,IF(Table1[EET]="Training",2,IF(Table1[EET]="Retired",3,""))))))))))</f>
        <v/>
      </c>
      <c r="EP490" s="44" t="e">
        <f>+Table1[[#This Row],[Data Leavers Date]]+Table1[[#This Row],[Data EET End]]</f>
        <v>#VALUE!</v>
      </c>
      <c r="EQ490" s="44">
        <f>IF(Table1[Exit Form Received]="Yes",1,0)</f>
        <v>0</v>
      </c>
      <c r="ER490" s="44">
        <f>+Table1[[#This Row],[Data Leavers Date]]+Table1[[#This Row],[Data Exit Forms]]</f>
        <v>0</v>
      </c>
      <c r="ES490" s="44" t="str">
        <f>IF(Table1[Data Leavers Date]=1000,SUM(Table1[Leaving Date]-Table1[Start Date]),"")</f>
        <v/>
      </c>
      <c r="ET490" s="44" t="str">
        <f>IF(Table1[Data Leavers Date]=2000,SUM(Table1[Leaving Date]-Table1[Start Date]),"")</f>
        <v/>
      </c>
      <c r="EU490" s="44" t="str">
        <f>IF(Table1[Data Leavers Date]=3000,SUM(Table1[Leaving Date]-Table1[Start Date]),"")</f>
        <v/>
      </c>
      <c r="EV490" s="44" t="str">
        <f>IF(Table1[Data Leavers Date]=4000,SUM(Table1[Leaving Date]-Table1[Start Date]),"")</f>
        <v/>
      </c>
      <c r="EW490" s="44" t="str">
        <f>IF(Table1[Data Leavers Date]=5000,SUM(Table1[Leaving Date]-Table1[Start Date]),"")</f>
        <v/>
      </c>
      <c r="EX490" s="44" t="str">
        <f>IF(Table1[Data Leavers Date]=6000,SUM(Table1[Leaving Date]-Table1[Start Date]),"")</f>
        <v/>
      </c>
      <c r="EY490" s="44" t="str">
        <f>IF(Table1[Data Leavers Date]=7000,SUM(Table1[Leaving Date]-Table1[Start Date]),"")</f>
        <v/>
      </c>
      <c r="EZ490" s="44" t="str">
        <f>IF(Table1[Data Leavers Date]=8000,SUM(Table1[Leaving Date]-Table1[Start Date]),"")</f>
        <v/>
      </c>
      <c r="FA490" s="44" t="str">
        <f>IF(Table1[Date of Initial Assessment]="","",IF(AND(Table1[Start Date]&gt;42094,Table1[Start Date]&lt;42461),Table1[Motivation and Taking Responsibility],""))</f>
        <v/>
      </c>
      <c r="FB490" s="44" t="str">
        <f>IF(Table1[Date of Initial Assessment]="","",IF(AND(Table1[Start Date]&gt;42094,Table1[Start Date]&lt;42461),Table1[Self-Care and Living Skills],""))</f>
        <v/>
      </c>
      <c r="FC490" s="44" t="str">
        <f>IF(Table1[Date of Initial Assessment]="","",IF(AND(Table1[Start Date]&gt;42094,Table1[Start Date]&lt;42461),Table1[Managing Money and Personal Administration],""))</f>
        <v/>
      </c>
      <c r="FD490" s="44" t="str">
        <f>IF(Table1[Date of Initial Assessment]="","",IF(AND(Table1[Start Date]&gt;42094,Table1[Start Date]&lt;42461),Table1[Social Networks and Relationships],""))</f>
        <v/>
      </c>
      <c r="FE490" s="44" t="str">
        <f>IF(Table1[Date of Initial Assessment]="","",IF(AND(Table1[Start Date]&gt;42094,Table1[Start Date]&lt;42461),Table1[Drug and Alcohol Misuse],""))</f>
        <v/>
      </c>
      <c r="FF490" s="44" t="str">
        <f>IF(Table1[Date of Initial Assessment]="","",IF(AND(Table1[Start Date]&gt;42094,Table1[Start Date]&lt;42461),Table1[Physical Health],""))</f>
        <v/>
      </c>
      <c r="FG490" s="44" t="str">
        <f>IF(Table1[Date of Initial Assessment]="","",IF(AND(Table1[Start Date]&gt;42094,Table1[Start Date]&lt;42461),Table1[Emotional and Mental Health],""))</f>
        <v/>
      </c>
      <c r="FH490" s="44" t="str">
        <f>IF(Table1[Date of Initial Assessment]="","",IF(AND(Table1[Start Date]&gt;42094,Table1[Start Date]&lt;42461),Table1[Meaningful Use of Time],""))</f>
        <v/>
      </c>
      <c r="FI490" s="44" t="str">
        <f>IF(Table1[Date of Initial Assessment]="","",IF(AND(Table1[Start Date]&gt;42094,Table1[Start Date]&lt;42461),Table1[Managing Tenancy and Accommodation],""))</f>
        <v/>
      </c>
      <c r="FJ490" s="44" t="str">
        <f>IF(Table1[Date of Initial Assessment]="","",IF(AND(Table1[Start Date]&gt;42094,Table1[Start Date]&lt;42461),Table1[Offending],""))</f>
        <v/>
      </c>
      <c r="FK490" s="44" t="str">
        <f>IF(Table1[Leaving Date]="","",IF(Table1[Date of Initial Assessment]="","",IF(AND(Table1[Leaving Date]&gt;42094,Table1[Leaving Date]&lt;42461),IF(Table1[Date of Last Assessment]="",Table1[Motivation and Taking Responsibility],Table1[Motivation and Taking Responsibility2]),"")))</f>
        <v/>
      </c>
      <c r="FL490" s="44" t="str">
        <f>IF(Table1[Leaving Date]="","",IF(Table1[Date of Initial Assessment]="","",IF(AND(Table1[Leaving Date]&gt;42094,Table1[Leaving Date]&lt;42461),IF(Table1[Date of Last Assessment]="",Table1[Self-Care and Living Skills],Table1[Self-Care and Living Skills2]),"")))</f>
        <v/>
      </c>
      <c r="FM490" s="44" t="str">
        <f>IF(Table1[Leaving Date]="","",IF(Table1[Date of Initial Assessment]="","",IF(AND(Table1[Leaving Date]&gt;42094,Table1[Leaving Date]&lt;42461),IF(Table1[Date of Last Assessment]="",Table1[Managing Money and Personal Administration],Table1[Managing Money and Personal Administration2]),"")))</f>
        <v/>
      </c>
      <c r="FN490" s="44" t="str">
        <f>IF(Table1[Leaving Date]="","",IF(Table1[Date of Initial Assessment]="","",IF(AND(Table1[Leaving Date]&gt;42094,Table1[Leaving Date]&lt;42461),IF(Table1[Date of Last Assessment]="",Table1[Social Networks and Relationships],Table1[Social Networks and Relationships2]),"")))</f>
        <v/>
      </c>
      <c r="FO490" s="44" t="str">
        <f>IF(Table1[Leaving Date]="","",IF(Table1[Date of Initial Assessment]="","",IF(AND(Table1[Leaving Date]&gt;42094,Table1[Leaving Date]&lt;42461),IF(Table1[Date of Last Assessment]="",Table1[Drug and Alcohol Misuse],Table1[Drug and Alcohol Misuse2]),"")))</f>
        <v/>
      </c>
      <c r="FP490" s="44" t="str">
        <f>IF(Table1[Leaving Date]="","",IF(Table1[Date of Initial Assessment]="","",IF(AND(Table1[Leaving Date]&gt;42094,Table1[Leaving Date]&lt;42461),IF(Table1[Date of Last Assessment]="",Table1[Physical Health],Table1[Physical Health2]),"")))</f>
        <v/>
      </c>
      <c r="FQ490" s="44" t="str">
        <f>IF(Table1[Leaving Date]="","",IF(Table1[Date of Initial Assessment]="","",IF(AND(Table1[Leaving Date]&gt;42094,Table1[Leaving Date]&lt;42461),IF(Table1[Date of Last Assessment]="",Table1[Emotional and Mental Health],Table1[Emotional and Mental Health2]),"")))</f>
        <v/>
      </c>
      <c r="FR490" s="44" t="str">
        <f>IF(Table1[Leaving Date]="","",IF(Table1[Date of Initial Assessment]="","",IF(AND(Table1[Leaving Date]&gt;42094,Table1[Leaving Date]&lt;42461),IF(Table1[Date of Last Assessment]="",Table1[Meaningful Use of Time],Table1[Meaningful Use of Time2]),"")))</f>
        <v/>
      </c>
      <c r="FS490" s="44" t="str">
        <f>IF(Table1[Leaving Date]="","",IF(Table1[Date of Initial Assessment]="","",IF(AND(Table1[Leaving Date]&gt;42094,Table1[Leaving Date]&lt;42461),IF(Table1[Date of Last Assessment]="",Table1[Managing Tenancy and Accommodation],Table1[Managing Tenancy and Accommodation2]),"")))</f>
        <v/>
      </c>
      <c r="FT490" s="44" t="str">
        <f>IF(Table1[Leaving Date]="","",IF(Table1[Date of Initial Assessment]="","",IF(AND(Table1[Leaving Date]&gt;42094,Table1[Leaving Date]&lt;42461),IF(Table1[Date of Last Assessment]="",Table1[Offending],Table1[Offending2]),"")))</f>
        <v/>
      </c>
      <c r="FU490" s="44" t="str">
        <f>IF(Table1[Date of Initial Assessment]="","",IF(AND(Table1[Start Date]&gt;42460,Table1[Start Date]&lt;42826),Table1[Motivation and Taking Responsibility],""))</f>
        <v/>
      </c>
      <c r="FV490" s="44" t="str">
        <f>IF(Table1[Date of Initial Assessment]="","",IF(AND(Table1[Start Date]&gt;42460,Table1[Start Date]&lt;42826),Table1[Self-Care and Living Skills],""))</f>
        <v/>
      </c>
      <c r="FW490" s="44" t="str">
        <f>IF(Table1[Date of Initial Assessment]="","",IF(AND(Table1[Start Date]&gt;42460,Table1[Start Date]&lt;42826),Table1[Managing Money and Personal Administration],""))</f>
        <v/>
      </c>
      <c r="FX490" s="44" t="str">
        <f>IF(Table1[Date of Initial Assessment]="","",IF(AND(Table1[Start Date]&gt;42460,Table1[Start Date]&lt;42826),Table1[Social Networks and Relationships],""))</f>
        <v/>
      </c>
      <c r="FY490" s="44" t="str">
        <f>IF(Table1[Date of Initial Assessment]="","",IF(AND(Table1[Start Date]&gt;42460,Table1[Start Date]&lt;42826),Table1[Drug and Alcohol Misuse],""))</f>
        <v/>
      </c>
      <c r="FZ490" s="44" t="str">
        <f>IF(Table1[Date of Initial Assessment]="","",IF(AND(Table1[Start Date]&gt;42460,Table1[Start Date]&lt;42826),Table1[Physical Health],""))</f>
        <v/>
      </c>
      <c r="GA490" s="44" t="str">
        <f>IF(Table1[Date of Initial Assessment]="","",IF(AND(Table1[Start Date]&gt;42460,Table1[Start Date]&lt;42826),Table1[Emotional and Mental Health],""))</f>
        <v/>
      </c>
      <c r="GB490" s="44" t="str">
        <f>IF(Table1[Date of Initial Assessment]="","",IF(AND(Table1[Start Date]&gt;42460,Table1[Start Date]&lt;42826),Table1[Meaningful Use of Time],""))</f>
        <v/>
      </c>
      <c r="GC490" s="44" t="str">
        <f>IF(Table1[Date of Initial Assessment]="","",IF(AND(Table1[Start Date]&gt;42460,Table1[Start Date]&lt;42826),Table1[Managing Tenancy and Accommodation],""))</f>
        <v/>
      </c>
      <c r="GD490" s="44" t="str">
        <f>IF(Table1[Date of Initial Assessment]="","",IF(AND(Table1[Start Date]&gt;42460,Table1[Start Date]&lt;42826),Table1[Offending],""))</f>
        <v/>
      </c>
      <c r="GE490" s="44" t="str">
        <f>IF(Table1[Leaving Date]="","",IF(AND(Table1[Leaving Date]&gt;42460,Table1[Leaving Date]&lt;42826),IF(Table1[Date of Last Assessment]="",Table1[Motivation and Taking Responsibility],Table1[Motivation and Taking Responsibility2]),""))</f>
        <v/>
      </c>
      <c r="GF490" s="44" t="str">
        <f>IF(Table1[Leaving Date]="","",IF(AND(Table1[Leaving Date]&gt;42460,Table1[Leaving Date]&lt;42826),IF(Table1[Date of Last Assessment]="",Table1[Self-Care and Living Skills],Table1[Self-Care and Living Skills2]),""))</f>
        <v/>
      </c>
      <c r="GG490" s="44" t="str">
        <f>IF(Table1[Leaving Date]="","",IF(AND(Table1[Leaving Date]&gt;42460,Table1[Leaving Date]&lt;42826),IF(Table1[Date of Last Assessment]="",Table1[Managing Money and Personal Administration],Table1[Managing Money and Personal Administration2]),""))</f>
        <v/>
      </c>
      <c r="GH490" s="44" t="str">
        <f>IF(Table1[Leaving Date]="","",IF(AND(Table1[Leaving Date]&gt;42460,Table1[Leaving Date]&lt;42826),IF(Table1[Date of Last Assessment]="",Table1[Social Networks and Relationships],Table1[Social Networks and Relationships2]),""))</f>
        <v/>
      </c>
      <c r="GI490" s="44" t="str">
        <f>IF(Table1[Leaving Date]="","",IF(AND(Table1[Leaving Date]&gt;42460,Table1[Leaving Date]&lt;42826),IF(Table1[Date of Last Assessment]="",Table1[Drug and Alcohol Misuse],Table1[Drug and Alcohol Misuse2]),""))</f>
        <v/>
      </c>
      <c r="GJ490" s="44" t="str">
        <f>IF(Table1[Leaving Date]="","",IF(AND(Table1[Leaving Date]&gt;42460,Table1[Leaving Date]&lt;42826),IF(Table1[Date of Last Assessment]="",Table1[Physical Health],Table1[Physical Health2]),""))</f>
        <v/>
      </c>
      <c r="GK490" s="44" t="str">
        <f>IF(Table1[Leaving Date]="","",IF(AND(Table1[Leaving Date]&gt;42460,Table1[Leaving Date]&lt;42826),IF(Table1[Date of Last Assessment]="",Table1[Emotional and Mental Health],Table1[Emotional and Mental Health2]),""))</f>
        <v/>
      </c>
      <c r="GL490" s="44" t="str">
        <f>IF(Table1[Leaving Date]="","",IF(AND(Table1[Leaving Date]&gt;42460,Table1[Leaving Date]&lt;42826),IF(Table1[Date of Last Assessment]="",Table1[Meaningful Use of Time],Table1[Meaningful Use of Time2]),""))</f>
        <v/>
      </c>
      <c r="GM490" s="44" t="str">
        <f>IF(Table1[Leaving Date]="","",IF(AND(Table1[Leaving Date]&gt;42460,Table1[Leaving Date]&lt;42826),IF(Table1[Date of Last Assessment]="",Table1[Managing Tenancy and Accommodation],Table1[Managing Tenancy and Accommodation2]),""))</f>
        <v/>
      </c>
      <c r="GN490" s="44" t="str">
        <f>IF(Table1[Leaving Date]="","",IF(AND(Table1[Leaving Date]&gt;42460,Table1[Leaving Date]&lt;42826),IF(Table1[Date of Last Assessment]="",Table1[Offending],Table1[Offending2]),""))</f>
        <v/>
      </c>
    </row>
    <row r="491" spans="2:196" ht="20.100000000000001" customHeight="1" x14ac:dyDescent="0.2">
      <c r="B491" s="86">
        <f>+'Service Data'!$C$5:$C$5</f>
        <v>0</v>
      </c>
      <c r="C491" s="86"/>
      <c r="D491" s="86"/>
      <c r="E491" s="86"/>
      <c r="F491" s="86"/>
      <c r="G491" s="86"/>
      <c r="H491" s="6"/>
      <c r="I491" s="99" t="str">
        <f ca="1">IF(Table1[[#This Row],[Date of Birth]]="","",SUM(TODAY()-Table1[[#This Row],[Date of Birth]])/365)</f>
        <v/>
      </c>
      <c r="L491" s="86"/>
      <c r="M491" s="77"/>
      <c r="N491" s="86"/>
      <c r="O491" s="86"/>
      <c r="P491" s="91"/>
      <c r="Q491" s="86"/>
      <c r="R491" s="77"/>
      <c r="S491" s="77"/>
      <c r="T491" s="68"/>
      <c r="U491" s="68"/>
      <c r="V491" s="67"/>
      <c r="W491" s="67"/>
      <c r="X491" s="67"/>
      <c r="Y491" s="67"/>
      <c r="Z491" s="67"/>
      <c r="AA491" s="67"/>
      <c r="AB491" s="67"/>
      <c r="AC491" s="67"/>
      <c r="AD491" s="67"/>
      <c r="AE491" s="67"/>
      <c r="AF491" s="67"/>
      <c r="AG491" s="67"/>
      <c r="AH491" s="67"/>
      <c r="AI491" s="67"/>
      <c r="AJ491" s="67"/>
      <c r="AK491" s="67"/>
      <c r="AL491" s="67"/>
      <c r="AM491" s="67"/>
      <c r="AN491" s="77"/>
      <c r="AO491" s="76"/>
      <c r="AP491" s="77"/>
      <c r="AQ491" s="76"/>
      <c r="AR491" s="76"/>
      <c r="AS491" s="76"/>
      <c r="AT491" s="76"/>
      <c r="AU491" s="76"/>
      <c r="AV491" s="77"/>
      <c r="AW491" s="76"/>
      <c r="AX491" s="77"/>
      <c r="AY491" s="76"/>
      <c r="AZ491" s="76"/>
      <c r="BA491" s="76"/>
      <c r="BB491" s="76"/>
      <c r="BC491" s="76"/>
      <c r="BD491" s="77"/>
      <c r="BE491" s="76"/>
      <c r="BF491" s="77"/>
      <c r="BG491" s="76"/>
      <c r="BH491" s="76"/>
      <c r="BI491" s="76"/>
      <c r="BJ491" s="76"/>
      <c r="BK491" s="76"/>
      <c r="BL491" s="77"/>
      <c r="BM491" s="76"/>
      <c r="BN491" s="77"/>
      <c r="BO491" s="76"/>
      <c r="BP491" s="76"/>
      <c r="BQ491" s="76"/>
      <c r="BR491" s="76"/>
      <c r="BS491" s="76"/>
      <c r="BT491" s="77"/>
      <c r="BU491" s="76"/>
      <c r="BV491" s="77"/>
      <c r="BW491" s="76"/>
      <c r="BX491" s="76"/>
      <c r="BY491" s="76"/>
      <c r="BZ491" s="76"/>
      <c r="CA491" s="76"/>
      <c r="CB491" s="77"/>
      <c r="CC491" s="76"/>
      <c r="CD491" s="77"/>
      <c r="CE491" s="76"/>
      <c r="CF491" s="76"/>
      <c r="CG491" s="76"/>
      <c r="CH491" s="76"/>
      <c r="CI491" s="76"/>
      <c r="CJ491" s="77"/>
      <c r="CK491" s="76"/>
      <c r="CL491" s="77"/>
      <c r="CM491" s="76"/>
      <c r="CN491" s="76"/>
      <c r="CO491" s="76"/>
      <c r="CP491" s="76"/>
      <c r="CQ491" s="76"/>
      <c r="CR491" s="78" t="str">
        <f t="shared" si="127"/>
        <v/>
      </c>
      <c r="CS491" s="79" t="str">
        <f t="shared" si="128"/>
        <v/>
      </c>
      <c r="CT491" s="79" t="str">
        <f t="shared" si="129"/>
        <v/>
      </c>
      <c r="CU491" s="79" t="str">
        <f t="shared" si="130"/>
        <v/>
      </c>
      <c r="CV491" s="79" t="str">
        <f t="shared" si="131"/>
        <v/>
      </c>
      <c r="CW491" s="79" t="str">
        <f t="shared" si="132"/>
        <v/>
      </c>
      <c r="CX491" s="79" t="str">
        <f t="shared" si="133"/>
        <v/>
      </c>
      <c r="CY491" s="79" t="str">
        <f t="shared" si="134"/>
        <v/>
      </c>
      <c r="CZ491" s="79" t="str">
        <f t="shared" si="135"/>
        <v/>
      </c>
      <c r="DA491" s="79" t="str">
        <f t="shared" si="136"/>
        <v/>
      </c>
      <c r="DB491" s="79" t="str">
        <f t="shared" si="137"/>
        <v/>
      </c>
      <c r="DC491" s="79" t="str">
        <f t="shared" si="138"/>
        <v/>
      </c>
      <c r="DD491" s="79" t="str">
        <f t="shared" si="139"/>
        <v/>
      </c>
      <c r="DE491" s="79" t="str">
        <f t="shared" si="140"/>
        <v/>
      </c>
      <c r="DF491" s="79" t="str">
        <f t="shared" si="141"/>
        <v/>
      </c>
      <c r="DG491" s="79" t="str">
        <f t="shared" si="142"/>
        <v/>
      </c>
      <c r="DH491" s="76"/>
      <c r="DI491" s="78"/>
      <c r="DJ491" s="76"/>
      <c r="DK491" s="77"/>
      <c r="DL491" s="77"/>
      <c r="DM491" s="77"/>
      <c r="DN491" s="80"/>
      <c r="DO491" s="80"/>
      <c r="DP491" s="92" t="str">
        <f>IF(Table1[Start Date]="","",IF(Table1[Start Date]&gt;42185,"",IF(AND(Table1[Leaving Date]&gt;1,Table1[Leaving Date]&lt;42095),"",1)))</f>
        <v/>
      </c>
      <c r="DQ491" s="92" t="str">
        <f>IF(Table1[Start Date]="","",IF(Table1[Start Date]&gt;42277,"",IF(AND(Table1[Leaving Date]&gt;1,Table1[Leaving Date]&lt;42186),"",1)))</f>
        <v/>
      </c>
      <c r="DR491" s="92" t="str">
        <f>IF(Table1[Start Date]="","",IF(Table1[Start Date]&gt;42369,"",IF(AND(Table1[Leaving Date]&gt;1,Table1[Leaving Date]&lt;42278),"",1)))</f>
        <v/>
      </c>
      <c r="DS491" s="92" t="str">
        <f>IF(Table1[Start Date]="","",IF(Table1[Start Date]&gt;42460,"",IF(AND(Table1[Leaving Date]&gt;1,Table1[Leaving Date]&lt;42370),"",1)))</f>
        <v/>
      </c>
      <c r="DT491" s="92" t="str">
        <f>IF(Table1[Start Date]="","",IF(Table1[Start Date]&gt;42551,"",IF(AND(Table1[Leaving Date]&gt;1,Table1[Leaving Date]&lt;42461),"",1)))</f>
        <v/>
      </c>
      <c r="DU491" s="92" t="str">
        <f>IF(Table1[Start Date]="","",IF(Table1[Start Date]&gt;42643,"",IF(AND(Table1[Leaving Date]&gt;1,Table1[Leaving Date]&lt;42552),"",1)))</f>
        <v/>
      </c>
      <c r="DV491" s="92" t="str">
        <f>IF(Table1[Start Date]="","",IF(Table1[Start Date]&gt;42735,"",IF(AND(Table1[Leaving Date]&gt;1,Table1[Leaving Date]&lt;42644),"",1)))</f>
        <v/>
      </c>
      <c r="DW491" s="92" t="str">
        <f>IF(Table1[Start Date]="","",IF(Table1[Start Date]&gt;42825,"",IF(AND(Table1[Leaving Date]&gt;1,Table1[Leaving Date]&lt;42736),"",1)))</f>
        <v/>
      </c>
      <c r="DX491"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491" s="44" t="e">
        <f>VLOOKUP(Table1[Referral Source],Lists!$G$2:$H$20,2,FALSE)</f>
        <v>#N/A</v>
      </c>
      <c r="DZ491" s="93" t="e">
        <f>SUM(Table1[Data Referral Quarter]+Table1[Data Referral Source])</f>
        <v>#N/A</v>
      </c>
      <c r="EA491" s="44" t="b">
        <f>IF(Table1[Referral Decision]="Accepted",100,IF(Table1[Referral Decision]="Rejected by Provider",200,IF(Table1[Referral Decision]="Rejected by Applicant",300)))</f>
        <v>0</v>
      </c>
      <c r="EB491" s="44">
        <f>SUM(Table1[Data Referral Quarter]+Table1[Data Referral Decision])</f>
        <v>0</v>
      </c>
      <c r="EC491" s="44" t="b">
        <f>IF(Table1[Start Date]&gt;42735,8000,IF(Table1[Start Date]&gt;42643,7000,IF(Table1[Start Date]&gt;42551,6000,IF(Table1[Start Date]&gt;42460,5000,IF(Table1[Start Date]&gt;42369,4000,IF(Table1[Start Date]&gt;42277,3000,IF(Table1[Start Date]&gt;42185,2000,IF(Table1[Start Date]&gt;42094,1000))))))))</f>
        <v>0</v>
      </c>
      <c r="ED491" s="44" t="str">
        <f>IF(Table1[Start Date]="","",IF(Table1[Current Local Authority]="Swindon",1,"2"))</f>
        <v/>
      </c>
      <c r="EE491" s="44" t="e">
        <f>SUM(Table1[Data Start Date]+Table1[Data Local Authority])</f>
        <v>#VALUE!</v>
      </c>
      <c r="EF491" s="44">
        <f>IF(Table1[Registered with GP]="Yes",1,0)</f>
        <v>0</v>
      </c>
      <c r="EG491" s="44">
        <f>SUM(Table1[Data Start Date]+Table1[Data GP Start])</f>
        <v>0</v>
      </c>
      <c r="EH491" s="44" t="str">
        <f>IF(Table1[EET]="NEET",1,IF(Table1[EET]="Education",2,IF(Table1[EET]="Employment",2,IF(Table1[EET]="Training",2,IF(Table1[EET]="Retired",3,"")))))</f>
        <v/>
      </c>
      <c r="EI491" s="44" t="e">
        <f>Table1[Data Start Date]+Table1[Data EET Start]</f>
        <v>#VALUE!</v>
      </c>
      <c r="EJ491" s="44" t="b">
        <f>IF(Table1[Leaving Date]&gt;42735,8000,IF(Table1[Leaving Date]&gt;42643,7000,IF(Table1[Leaving Date]&gt;42551,6000,IF(Table1[Leaving Date]&gt;42460,5000,IF(Table1[Leaving Date]&gt;42369,4000,IF(Table1[Leaving Date]&gt;42277,3000,IF(Table1[Leaving Date]&gt;42185,2000,IF(Table1[Leaving Date]&gt;42094,1000))))))))</f>
        <v>0</v>
      </c>
      <c r="EK491" s="44" t="e">
        <f>VLOOKUP(Table1[Reason for Leaving],Lists!$T$2:$U$15,2,FALSE)</f>
        <v>#N/A</v>
      </c>
      <c r="EL491" s="44" t="e">
        <f>SUM(Table1[Data Leavers Date]+Table1[Data Move On])</f>
        <v>#N/A</v>
      </c>
      <c r="EM491" s="44" t="b">
        <f>IF(Table1[Registered with GP2]="Yes",1,IF(Table1[Registered with GP2]="No",0,IF(Table1[Registered with GP]="Yes",1,IF(Table1[Registered with GP]="No",0))))</f>
        <v>0</v>
      </c>
      <c r="EN491" s="44">
        <f>SUM(Table1[Data Leavers Date]+Table1[Data GP End])</f>
        <v>0</v>
      </c>
      <c r="EO491" s="44" t="str">
        <f>IF(Table1[EET2]="NEET",1,IF(Table1[EET2]="Employment",2,IF(Table1[EET2]="Education",2,IF(Table1[EET2]="Training",2,IF(Table1[EET2]="Retired",3,IF(Table1[EET]="NEET",1,IF(Table1[EET]="Employment",2,IF(Table1[EET]="Education",2,IF(Table1[EET]="Training",2,IF(Table1[EET]="Retired",3,""))))))))))</f>
        <v/>
      </c>
      <c r="EP491" s="44" t="e">
        <f>+Table1[[#This Row],[Data Leavers Date]]+Table1[[#This Row],[Data EET End]]</f>
        <v>#VALUE!</v>
      </c>
      <c r="EQ491" s="44">
        <f>IF(Table1[Exit Form Received]="Yes",1,0)</f>
        <v>0</v>
      </c>
      <c r="ER491" s="44">
        <f>+Table1[[#This Row],[Data Leavers Date]]+Table1[[#This Row],[Data Exit Forms]]</f>
        <v>0</v>
      </c>
      <c r="ES491" s="44" t="str">
        <f>IF(Table1[Data Leavers Date]=1000,SUM(Table1[Leaving Date]-Table1[Start Date]),"")</f>
        <v/>
      </c>
      <c r="ET491" s="44" t="str">
        <f>IF(Table1[Data Leavers Date]=2000,SUM(Table1[Leaving Date]-Table1[Start Date]),"")</f>
        <v/>
      </c>
      <c r="EU491" s="44" t="str">
        <f>IF(Table1[Data Leavers Date]=3000,SUM(Table1[Leaving Date]-Table1[Start Date]),"")</f>
        <v/>
      </c>
      <c r="EV491" s="44" t="str">
        <f>IF(Table1[Data Leavers Date]=4000,SUM(Table1[Leaving Date]-Table1[Start Date]),"")</f>
        <v/>
      </c>
      <c r="EW491" s="44" t="str">
        <f>IF(Table1[Data Leavers Date]=5000,SUM(Table1[Leaving Date]-Table1[Start Date]),"")</f>
        <v/>
      </c>
      <c r="EX491" s="44" t="str">
        <f>IF(Table1[Data Leavers Date]=6000,SUM(Table1[Leaving Date]-Table1[Start Date]),"")</f>
        <v/>
      </c>
      <c r="EY491" s="44" t="str">
        <f>IF(Table1[Data Leavers Date]=7000,SUM(Table1[Leaving Date]-Table1[Start Date]),"")</f>
        <v/>
      </c>
      <c r="EZ491" s="44" t="str">
        <f>IF(Table1[Data Leavers Date]=8000,SUM(Table1[Leaving Date]-Table1[Start Date]),"")</f>
        <v/>
      </c>
      <c r="FA491" s="44" t="str">
        <f>IF(Table1[Date of Initial Assessment]="","",IF(AND(Table1[Start Date]&gt;42094,Table1[Start Date]&lt;42461),Table1[Motivation and Taking Responsibility],""))</f>
        <v/>
      </c>
      <c r="FB491" s="44" t="str">
        <f>IF(Table1[Date of Initial Assessment]="","",IF(AND(Table1[Start Date]&gt;42094,Table1[Start Date]&lt;42461),Table1[Self-Care and Living Skills],""))</f>
        <v/>
      </c>
      <c r="FC491" s="44" t="str">
        <f>IF(Table1[Date of Initial Assessment]="","",IF(AND(Table1[Start Date]&gt;42094,Table1[Start Date]&lt;42461),Table1[Managing Money and Personal Administration],""))</f>
        <v/>
      </c>
      <c r="FD491" s="44" t="str">
        <f>IF(Table1[Date of Initial Assessment]="","",IF(AND(Table1[Start Date]&gt;42094,Table1[Start Date]&lt;42461),Table1[Social Networks and Relationships],""))</f>
        <v/>
      </c>
      <c r="FE491" s="44" t="str">
        <f>IF(Table1[Date of Initial Assessment]="","",IF(AND(Table1[Start Date]&gt;42094,Table1[Start Date]&lt;42461),Table1[Drug and Alcohol Misuse],""))</f>
        <v/>
      </c>
      <c r="FF491" s="44" t="str">
        <f>IF(Table1[Date of Initial Assessment]="","",IF(AND(Table1[Start Date]&gt;42094,Table1[Start Date]&lt;42461),Table1[Physical Health],""))</f>
        <v/>
      </c>
      <c r="FG491" s="44" t="str">
        <f>IF(Table1[Date of Initial Assessment]="","",IF(AND(Table1[Start Date]&gt;42094,Table1[Start Date]&lt;42461),Table1[Emotional and Mental Health],""))</f>
        <v/>
      </c>
      <c r="FH491" s="44" t="str">
        <f>IF(Table1[Date of Initial Assessment]="","",IF(AND(Table1[Start Date]&gt;42094,Table1[Start Date]&lt;42461),Table1[Meaningful Use of Time],""))</f>
        <v/>
      </c>
      <c r="FI491" s="44" t="str">
        <f>IF(Table1[Date of Initial Assessment]="","",IF(AND(Table1[Start Date]&gt;42094,Table1[Start Date]&lt;42461),Table1[Managing Tenancy and Accommodation],""))</f>
        <v/>
      </c>
      <c r="FJ491" s="44" t="str">
        <f>IF(Table1[Date of Initial Assessment]="","",IF(AND(Table1[Start Date]&gt;42094,Table1[Start Date]&lt;42461),Table1[Offending],""))</f>
        <v/>
      </c>
      <c r="FK491" s="44" t="str">
        <f>IF(Table1[Leaving Date]="","",IF(Table1[Date of Initial Assessment]="","",IF(AND(Table1[Leaving Date]&gt;42094,Table1[Leaving Date]&lt;42461),IF(Table1[Date of Last Assessment]="",Table1[Motivation and Taking Responsibility],Table1[Motivation and Taking Responsibility2]),"")))</f>
        <v/>
      </c>
      <c r="FL491" s="44" t="str">
        <f>IF(Table1[Leaving Date]="","",IF(Table1[Date of Initial Assessment]="","",IF(AND(Table1[Leaving Date]&gt;42094,Table1[Leaving Date]&lt;42461),IF(Table1[Date of Last Assessment]="",Table1[Self-Care and Living Skills],Table1[Self-Care and Living Skills2]),"")))</f>
        <v/>
      </c>
      <c r="FM491" s="44" t="str">
        <f>IF(Table1[Leaving Date]="","",IF(Table1[Date of Initial Assessment]="","",IF(AND(Table1[Leaving Date]&gt;42094,Table1[Leaving Date]&lt;42461),IF(Table1[Date of Last Assessment]="",Table1[Managing Money and Personal Administration],Table1[Managing Money and Personal Administration2]),"")))</f>
        <v/>
      </c>
      <c r="FN491" s="44" t="str">
        <f>IF(Table1[Leaving Date]="","",IF(Table1[Date of Initial Assessment]="","",IF(AND(Table1[Leaving Date]&gt;42094,Table1[Leaving Date]&lt;42461),IF(Table1[Date of Last Assessment]="",Table1[Social Networks and Relationships],Table1[Social Networks and Relationships2]),"")))</f>
        <v/>
      </c>
      <c r="FO491" s="44" t="str">
        <f>IF(Table1[Leaving Date]="","",IF(Table1[Date of Initial Assessment]="","",IF(AND(Table1[Leaving Date]&gt;42094,Table1[Leaving Date]&lt;42461),IF(Table1[Date of Last Assessment]="",Table1[Drug and Alcohol Misuse],Table1[Drug and Alcohol Misuse2]),"")))</f>
        <v/>
      </c>
      <c r="FP491" s="44" t="str">
        <f>IF(Table1[Leaving Date]="","",IF(Table1[Date of Initial Assessment]="","",IF(AND(Table1[Leaving Date]&gt;42094,Table1[Leaving Date]&lt;42461),IF(Table1[Date of Last Assessment]="",Table1[Physical Health],Table1[Physical Health2]),"")))</f>
        <v/>
      </c>
      <c r="FQ491" s="44" t="str">
        <f>IF(Table1[Leaving Date]="","",IF(Table1[Date of Initial Assessment]="","",IF(AND(Table1[Leaving Date]&gt;42094,Table1[Leaving Date]&lt;42461),IF(Table1[Date of Last Assessment]="",Table1[Emotional and Mental Health],Table1[Emotional and Mental Health2]),"")))</f>
        <v/>
      </c>
      <c r="FR491" s="44" t="str">
        <f>IF(Table1[Leaving Date]="","",IF(Table1[Date of Initial Assessment]="","",IF(AND(Table1[Leaving Date]&gt;42094,Table1[Leaving Date]&lt;42461),IF(Table1[Date of Last Assessment]="",Table1[Meaningful Use of Time],Table1[Meaningful Use of Time2]),"")))</f>
        <v/>
      </c>
      <c r="FS491" s="44" t="str">
        <f>IF(Table1[Leaving Date]="","",IF(Table1[Date of Initial Assessment]="","",IF(AND(Table1[Leaving Date]&gt;42094,Table1[Leaving Date]&lt;42461),IF(Table1[Date of Last Assessment]="",Table1[Managing Tenancy and Accommodation],Table1[Managing Tenancy and Accommodation2]),"")))</f>
        <v/>
      </c>
      <c r="FT491" s="44" t="str">
        <f>IF(Table1[Leaving Date]="","",IF(Table1[Date of Initial Assessment]="","",IF(AND(Table1[Leaving Date]&gt;42094,Table1[Leaving Date]&lt;42461),IF(Table1[Date of Last Assessment]="",Table1[Offending],Table1[Offending2]),"")))</f>
        <v/>
      </c>
      <c r="FU491" s="44" t="str">
        <f>IF(Table1[Date of Initial Assessment]="","",IF(AND(Table1[Start Date]&gt;42460,Table1[Start Date]&lt;42826),Table1[Motivation and Taking Responsibility],""))</f>
        <v/>
      </c>
      <c r="FV491" s="44" t="str">
        <f>IF(Table1[Date of Initial Assessment]="","",IF(AND(Table1[Start Date]&gt;42460,Table1[Start Date]&lt;42826),Table1[Self-Care and Living Skills],""))</f>
        <v/>
      </c>
      <c r="FW491" s="44" t="str">
        <f>IF(Table1[Date of Initial Assessment]="","",IF(AND(Table1[Start Date]&gt;42460,Table1[Start Date]&lt;42826),Table1[Managing Money and Personal Administration],""))</f>
        <v/>
      </c>
      <c r="FX491" s="44" t="str">
        <f>IF(Table1[Date of Initial Assessment]="","",IF(AND(Table1[Start Date]&gt;42460,Table1[Start Date]&lt;42826),Table1[Social Networks and Relationships],""))</f>
        <v/>
      </c>
      <c r="FY491" s="44" t="str">
        <f>IF(Table1[Date of Initial Assessment]="","",IF(AND(Table1[Start Date]&gt;42460,Table1[Start Date]&lt;42826),Table1[Drug and Alcohol Misuse],""))</f>
        <v/>
      </c>
      <c r="FZ491" s="44" t="str">
        <f>IF(Table1[Date of Initial Assessment]="","",IF(AND(Table1[Start Date]&gt;42460,Table1[Start Date]&lt;42826),Table1[Physical Health],""))</f>
        <v/>
      </c>
      <c r="GA491" s="44" t="str">
        <f>IF(Table1[Date of Initial Assessment]="","",IF(AND(Table1[Start Date]&gt;42460,Table1[Start Date]&lt;42826),Table1[Emotional and Mental Health],""))</f>
        <v/>
      </c>
      <c r="GB491" s="44" t="str">
        <f>IF(Table1[Date of Initial Assessment]="","",IF(AND(Table1[Start Date]&gt;42460,Table1[Start Date]&lt;42826),Table1[Meaningful Use of Time],""))</f>
        <v/>
      </c>
      <c r="GC491" s="44" t="str">
        <f>IF(Table1[Date of Initial Assessment]="","",IF(AND(Table1[Start Date]&gt;42460,Table1[Start Date]&lt;42826),Table1[Managing Tenancy and Accommodation],""))</f>
        <v/>
      </c>
      <c r="GD491" s="44" t="str">
        <f>IF(Table1[Date of Initial Assessment]="","",IF(AND(Table1[Start Date]&gt;42460,Table1[Start Date]&lt;42826),Table1[Offending],""))</f>
        <v/>
      </c>
      <c r="GE491" s="44" t="str">
        <f>IF(Table1[Leaving Date]="","",IF(AND(Table1[Leaving Date]&gt;42460,Table1[Leaving Date]&lt;42826),IF(Table1[Date of Last Assessment]="",Table1[Motivation and Taking Responsibility],Table1[Motivation and Taking Responsibility2]),""))</f>
        <v/>
      </c>
      <c r="GF491" s="44" t="str">
        <f>IF(Table1[Leaving Date]="","",IF(AND(Table1[Leaving Date]&gt;42460,Table1[Leaving Date]&lt;42826),IF(Table1[Date of Last Assessment]="",Table1[Self-Care and Living Skills],Table1[Self-Care and Living Skills2]),""))</f>
        <v/>
      </c>
      <c r="GG491" s="44" t="str">
        <f>IF(Table1[Leaving Date]="","",IF(AND(Table1[Leaving Date]&gt;42460,Table1[Leaving Date]&lt;42826),IF(Table1[Date of Last Assessment]="",Table1[Managing Money and Personal Administration],Table1[Managing Money and Personal Administration2]),""))</f>
        <v/>
      </c>
      <c r="GH491" s="44" t="str">
        <f>IF(Table1[Leaving Date]="","",IF(AND(Table1[Leaving Date]&gt;42460,Table1[Leaving Date]&lt;42826),IF(Table1[Date of Last Assessment]="",Table1[Social Networks and Relationships],Table1[Social Networks and Relationships2]),""))</f>
        <v/>
      </c>
      <c r="GI491" s="44" t="str">
        <f>IF(Table1[Leaving Date]="","",IF(AND(Table1[Leaving Date]&gt;42460,Table1[Leaving Date]&lt;42826),IF(Table1[Date of Last Assessment]="",Table1[Drug and Alcohol Misuse],Table1[Drug and Alcohol Misuse2]),""))</f>
        <v/>
      </c>
      <c r="GJ491" s="44" t="str">
        <f>IF(Table1[Leaving Date]="","",IF(AND(Table1[Leaving Date]&gt;42460,Table1[Leaving Date]&lt;42826),IF(Table1[Date of Last Assessment]="",Table1[Physical Health],Table1[Physical Health2]),""))</f>
        <v/>
      </c>
      <c r="GK491" s="44" t="str">
        <f>IF(Table1[Leaving Date]="","",IF(AND(Table1[Leaving Date]&gt;42460,Table1[Leaving Date]&lt;42826),IF(Table1[Date of Last Assessment]="",Table1[Emotional and Mental Health],Table1[Emotional and Mental Health2]),""))</f>
        <v/>
      </c>
      <c r="GL491" s="44" t="str">
        <f>IF(Table1[Leaving Date]="","",IF(AND(Table1[Leaving Date]&gt;42460,Table1[Leaving Date]&lt;42826),IF(Table1[Date of Last Assessment]="",Table1[Meaningful Use of Time],Table1[Meaningful Use of Time2]),""))</f>
        <v/>
      </c>
      <c r="GM491" s="44" t="str">
        <f>IF(Table1[Leaving Date]="","",IF(AND(Table1[Leaving Date]&gt;42460,Table1[Leaving Date]&lt;42826),IF(Table1[Date of Last Assessment]="",Table1[Managing Tenancy and Accommodation],Table1[Managing Tenancy and Accommodation2]),""))</f>
        <v/>
      </c>
      <c r="GN491" s="44" t="str">
        <f>IF(Table1[Leaving Date]="","",IF(AND(Table1[Leaving Date]&gt;42460,Table1[Leaving Date]&lt;42826),IF(Table1[Date of Last Assessment]="",Table1[Offending],Table1[Offending2]),""))</f>
        <v/>
      </c>
    </row>
    <row r="492" spans="2:196" ht="20.100000000000001" customHeight="1" x14ac:dyDescent="0.2">
      <c r="B492" s="86">
        <f>+'Service Data'!$C$5:$C$5</f>
        <v>0</v>
      </c>
      <c r="C492" s="86"/>
      <c r="D492" s="86"/>
      <c r="E492" s="86"/>
      <c r="F492" s="86"/>
      <c r="G492" s="86"/>
      <c r="H492" s="6"/>
      <c r="I492" s="99" t="str">
        <f ca="1">IF(Table1[[#This Row],[Date of Birth]]="","",SUM(TODAY()-Table1[[#This Row],[Date of Birth]])/365)</f>
        <v/>
      </c>
      <c r="L492" s="86"/>
      <c r="M492" s="77"/>
      <c r="N492" s="86"/>
      <c r="O492" s="86"/>
      <c r="P492" s="91"/>
      <c r="Q492" s="86"/>
      <c r="R492" s="77"/>
      <c r="S492" s="77"/>
      <c r="T492" s="68"/>
      <c r="U492" s="68"/>
      <c r="V492" s="67"/>
      <c r="W492" s="67"/>
      <c r="X492" s="67"/>
      <c r="Y492" s="67"/>
      <c r="Z492" s="67"/>
      <c r="AA492" s="67"/>
      <c r="AB492" s="67"/>
      <c r="AC492" s="67"/>
      <c r="AD492" s="67"/>
      <c r="AE492" s="67"/>
      <c r="AF492" s="67"/>
      <c r="AG492" s="67"/>
      <c r="AH492" s="67"/>
      <c r="AI492" s="67"/>
      <c r="AJ492" s="67"/>
      <c r="AK492" s="67"/>
      <c r="AL492" s="67"/>
      <c r="AM492" s="67"/>
      <c r="AN492" s="77"/>
      <c r="AO492" s="76"/>
      <c r="AP492" s="77"/>
      <c r="AQ492" s="76"/>
      <c r="AR492" s="76"/>
      <c r="AS492" s="76"/>
      <c r="AT492" s="76"/>
      <c r="AU492" s="76"/>
      <c r="AV492" s="77"/>
      <c r="AW492" s="76"/>
      <c r="AX492" s="77"/>
      <c r="AY492" s="76"/>
      <c r="AZ492" s="76"/>
      <c r="BA492" s="76"/>
      <c r="BB492" s="76"/>
      <c r="BC492" s="76"/>
      <c r="BD492" s="77"/>
      <c r="BE492" s="76"/>
      <c r="BF492" s="77"/>
      <c r="BG492" s="76"/>
      <c r="BH492" s="76"/>
      <c r="BI492" s="76"/>
      <c r="BJ492" s="76"/>
      <c r="BK492" s="76"/>
      <c r="BL492" s="77"/>
      <c r="BM492" s="76"/>
      <c r="BN492" s="77"/>
      <c r="BO492" s="76"/>
      <c r="BP492" s="76"/>
      <c r="BQ492" s="76"/>
      <c r="BR492" s="76"/>
      <c r="BS492" s="76"/>
      <c r="BT492" s="77"/>
      <c r="BU492" s="76"/>
      <c r="BV492" s="77"/>
      <c r="BW492" s="76"/>
      <c r="BX492" s="76"/>
      <c r="BY492" s="76"/>
      <c r="BZ492" s="76"/>
      <c r="CA492" s="76"/>
      <c r="CB492" s="77"/>
      <c r="CC492" s="76"/>
      <c r="CD492" s="77"/>
      <c r="CE492" s="76"/>
      <c r="CF492" s="76"/>
      <c r="CG492" s="76"/>
      <c r="CH492" s="76"/>
      <c r="CI492" s="76"/>
      <c r="CJ492" s="77"/>
      <c r="CK492" s="76"/>
      <c r="CL492" s="77"/>
      <c r="CM492" s="76"/>
      <c r="CN492" s="76"/>
      <c r="CO492" s="76"/>
      <c r="CP492" s="76"/>
      <c r="CQ492" s="76"/>
      <c r="CR492" s="78" t="str">
        <f t="shared" si="127"/>
        <v/>
      </c>
      <c r="CS492" s="79" t="str">
        <f t="shared" si="128"/>
        <v/>
      </c>
      <c r="CT492" s="79" t="str">
        <f t="shared" si="129"/>
        <v/>
      </c>
      <c r="CU492" s="79" t="str">
        <f t="shared" si="130"/>
        <v/>
      </c>
      <c r="CV492" s="79" t="str">
        <f t="shared" si="131"/>
        <v/>
      </c>
      <c r="CW492" s="79" t="str">
        <f t="shared" si="132"/>
        <v/>
      </c>
      <c r="CX492" s="79" t="str">
        <f t="shared" si="133"/>
        <v/>
      </c>
      <c r="CY492" s="79" t="str">
        <f t="shared" si="134"/>
        <v/>
      </c>
      <c r="CZ492" s="79" t="str">
        <f t="shared" si="135"/>
        <v/>
      </c>
      <c r="DA492" s="79" t="str">
        <f t="shared" si="136"/>
        <v/>
      </c>
      <c r="DB492" s="79" t="str">
        <f t="shared" si="137"/>
        <v/>
      </c>
      <c r="DC492" s="79" t="str">
        <f t="shared" si="138"/>
        <v/>
      </c>
      <c r="DD492" s="79" t="str">
        <f t="shared" si="139"/>
        <v/>
      </c>
      <c r="DE492" s="79" t="str">
        <f t="shared" si="140"/>
        <v/>
      </c>
      <c r="DF492" s="79" t="str">
        <f t="shared" si="141"/>
        <v/>
      </c>
      <c r="DG492" s="79" t="str">
        <f t="shared" si="142"/>
        <v/>
      </c>
      <c r="DH492" s="76"/>
      <c r="DI492" s="78"/>
      <c r="DJ492" s="76"/>
      <c r="DK492" s="77"/>
      <c r="DL492" s="77"/>
      <c r="DM492" s="77"/>
      <c r="DN492" s="80"/>
      <c r="DO492" s="80"/>
      <c r="DP492" s="92" t="str">
        <f>IF(Table1[Start Date]="","",IF(Table1[Start Date]&gt;42185,"",IF(AND(Table1[Leaving Date]&gt;1,Table1[Leaving Date]&lt;42095),"",1)))</f>
        <v/>
      </c>
      <c r="DQ492" s="92" t="str">
        <f>IF(Table1[Start Date]="","",IF(Table1[Start Date]&gt;42277,"",IF(AND(Table1[Leaving Date]&gt;1,Table1[Leaving Date]&lt;42186),"",1)))</f>
        <v/>
      </c>
      <c r="DR492" s="92" t="str">
        <f>IF(Table1[Start Date]="","",IF(Table1[Start Date]&gt;42369,"",IF(AND(Table1[Leaving Date]&gt;1,Table1[Leaving Date]&lt;42278),"",1)))</f>
        <v/>
      </c>
      <c r="DS492" s="92" t="str">
        <f>IF(Table1[Start Date]="","",IF(Table1[Start Date]&gt;42460,"",IF(AND(Table1[Leaving Date]&gt;1,Table1[Leaving Date]&lt;42370),"",1)))</f>
        <v/>
      </c>
      <c r="DT492" s="92" t="str">
        <f>IF(Table1[Start Date]="","",IF(Table1[Start Date]&gt;42551,"",IF(AND(Table1[Leaving Date]&gt;1,Table1[Leaving Date]&lt;42461),"",1)))</f>
        <v/>
      </c>
      <c r="DU492" s="92" t="str">
        <f>IF(Table1[Start Date]="","",IF(Table1[Start Date]&gt;42643,"",IF(AND(Table1[Leaving Date]&gt;1,Table1[Leaving Date]&lt;42552),"",1)))</f>
        <v/>
      </c>
      <c r="DV492" s="92" t="str">
        <f>IF(Table1[Start Date]="","",IF(Table1[Start Date]&gt;42735,"",IF(AND(Table1[Leaving Date]&gt;1,Table1[Leaving Date]&lt;42644),"",1)))</f>
        <v/>
      </c>
      <c r="DW492" s="92" t="str">
        <f>IF(Table1[Start Date]="","",IF(Table1[Start Date]&gt;42825,"",IF(AND(Table1[Leaving Date]&gt;1,Table1[Leaving Date]&lt;42736),"",1)))</f>
        <v/>
      </c>
      <c r="DX492"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492" s="44" t="e">
        <f>VLOOKUP(Table1[Referral Source],Lists!$G$2:$H$20,2,FALSE)</f>
        <v>#N/A</v>
      </c>
      <c r="DZ492" s="93" t="e">
        <f>SUM(Table1[Data Referral Quarter]+Table1[Data Referral Source])</f>
        <v>#N/A</v>
      </c>
      <c r="EA492" s="44" t="b">
        <f>IF(Table1[Referral Decision]="Accepted",100,IF(Table1[Referral Decision]="Rejected by Provider",200,IF(Table1[Referral Decision]="Rejected by Applicant",300)))</f>
        <v>0</v>
      </c>
      <c r="EB492" s="44">
        <f>SUM(Table1[Data Referral Quarter]+Table1[Data Referral Decision])</f>
        <v>0</v>
      </c>
      <c r="EC492" s="44" t="b">
        <f>IF(Table1[Start Date]&gt;42735,8000,IF(Table1[Start Date]&gt;42643,7000,IF(Table1[Start Date]&gt;42551,6000,IF(Table1[Start Date]&gt;42460,5000,IF(Table1[Start Date]&gt;42369,4000,IF(Table1[Start Date]&gt;42277,3000,IF(Table1[Start Date]&gt;42185,2000,IF(Table1[Start Date]&gt;42094,1000))))))))</f>
        <v>0</v>
      </c>
      <c r="ED492" s="44" t="str">
        <f>IF(Table1[Start Date]="","",IF(Table1[Current Local Authority]="Swindon",1,"2"))</f>
        <v/>
      </c>
      <c r="EE492" s="44" t="e">
        <f>SUM(Table1[Data Start Date]+Table1[Data Local Authority])</f>
        <v>#VALUE!</v>
      </c>
      <c r="EF492" s="44">
        <f>IF(Table1[Registered with GP]="Yes",1,0)</f>
        <v>0</v>
      </c>
      <c r="EG492" s="44">
        <f>SUM(Table1[Data Start Date]+Table1[Data GP Start])</f>
        <v>0</v>
      </c>
      <c r="EH492" s="44" t="str">
        <f>IF(Table1[EET]="NEET",1,IF(Table1[EET]="Education",2,IF(Table1[EET]="Employment",2,IF(Table1[EET]="Training",2,IF(Table1[EET]="Retired",3,"")))))</f>
        <v/>
      </c>
      <c r="EI492" s="44" t="e">
        <f>Table1[Data Start Date]+Table1[Data EET Start]</f>
        <v>#VALUE!</v>
      </c>
      <c r="EJ492" s="44" t="b">
        <f>IF(Table1[Leaving Date]&gt;42735,8000,IF(Table1[Leaving Date]&gt;42643,7000,IF(Table1[Leaving Date]&gt;42551,6000,IF(Table1[Leaving Date]&gt;42460,5000,IF(Table1[Leaving Date]&gt;42369,4000,IF(Table1[Leaving Date]&gt;42277,3000,IF(Table1[Leaving Date]&gt;42185,2000,IF(Table1[Leaving Date]&gt;42094,1000))))))))</f>
        <v>0</v>
      </c>
      <c r="EK492" s="44" t="e">
        <f>VLOOKUP(Table1[Reason for Leaving],Lists!$T$2:$U$15,2,FALSE)</f>
        <v>#N/A</v>
      </c>
      <c r="EL492" s="44" t="e">
        <f>SUM(Table1[Data Leavers Date]+Table1[Data Move On])</f>
        <v>#N/A</v>
      </c>
      <c r="EM492" s="44" t="b">
        <f>IF(Table1[Registered with GP2]="Yes",1,IF(Table1[Registered with GP2]="No",0,IF(Table1[Registered with GP]="Yes",1,IF(Table1[Registered with GP]="No",0))))</f>
        <v>0</v>
      </c>
      <c r="EN492" s="44">
        <f>SUM(Table1[Data Leavers Date]+Table1[Data GP End])</f>
        <v>0</v>
      </c>
      <c r="EO492" s="44" t="str">
        <f>IF(Table1[EET2]="NEET",1,IF(Table1[EET2]="Employment",2,IF(Table1[EET2]="Education",2,IF(Table1[EET2]="Training",2,IF(Table1[EET2]="Retired",3,IF(Table1[EET]="NEET",1,IF(Table1[EET]="Employment",2,IF(Table1[EET]="Education",2,IF(Table1[EET]="Training",2,IF(Table1[EET]="Retired",3,""))))))))))</f>
        <v/>
      </c>
      <c r="EP492" s="44" t="e">
        <f>+Table1[[#This Row],[Data Leavers Date]]+Table1[[#This Row],[Data EET End]]</f>
        <v>#VALUE!</v>
      </c>
      <c r="EQ492" s="44">
        <f>IF(Table1[Exit Form Received]="Yes",1,0)</f>
        <v>0</v>
      </c>
      <c r="ER492" s="44">
        <f>+Table1[[#This Row],[Data Leavers Date]]+Table1[[#This Row],[Data Exit Forms]]</f>
        <v>0</v>
      </c>
      <c r="ES492" s="44" t="str">
        <f>IF(Table1[Data Leavers Date]=1000,SUM(Table1[Leaving Date]-Table1[Start Date]),"")</f>
        <v/>
      </c>
      <c r="ET492" s="44" t="str">
        <f>IF(Table1[Data Leavers Date]=2000,SUM(Table1[Leaving Date]-Table1[Start Date]),"")</f>
        <v/>
      </c>
      <c r="EU492" s="44" t="str">
        <f>IF(Table1[Data Leavers Date]=3000,SUM(Table1[Leaving Date]-Table1[Start Date]),"")</f>
        <v/>
      </c>
      <c r="EV492" s="44" t="str">
        <f>IF(Table1[Data Leavers Date]=4000,SUM(Table1[Leaving Date]-Table1[Start Date]),"")</f>
        <v/>
      </c>
      <c r="EW492" s="44" t="str">
        <f>IF(Table1[Data Leavers Date]=5000,SUM(Table1[Leaving Date]-Table1[Start Date]),"")</f>
        <v/>
      </c>
      <c r="EX492" s="44" t="str">
        <f>IF(Table1[Data Leavers Date]=6000,SUM(Table1[Leaving Date]-Table1[Start Date]),"")</f>
        <v/>
      </c>
      <c r="EY492" s="44" t="str">
        <f>IF(Table1[Data Leavers Date]=7000,SUM(Table1[Leaving Date]-Table1[Start Date]),"")</f>
        <v/>
      </c>
      <c r="EZ492" s="44" t="str">
        <f>IF(Table1[Data Leavers Date]=8000,SUM(Table1[Leaving Date]-Table1[Start Date]),"")</f>
        <v/>
      </c>
      <c r="FA492" s="44" t="str">
        <f>IF(Table1[Date of Initial Assessment]="","",IF(AND(Table1[Start Date]&gt;42094,Table1[Start Date]&lt;42461),Table1[Motivation and Taking Responsibility],""))</f>
        <v/>
      </c>
      <c r="FB492" s="44" t="str">
        <f>IF(Table1[Date of Initial Assessment]="","",IF(AND(Table1[Start Date]&gt;42094,Table1[Start Date]&lt;42461),Table1[Self-Care and Living Skills],""))</f>
        <v/>
      </c>
      <c r="FC492" s="44" t="str">
        <f>IF(Table1[Date of Initial Assessment]="","",IF(AND(Table1[Start Date]&gt;42094,Table1[Start Date]&lt;42461),Table1[Managing Money and Personal Administration],""))</f>
        <v/>
      </c>
      <c r="FD492" s="44" t="str">
        <f>IF(Table1[Date of Initial Assessment]="","",IF(AND(Table1[Start Date]&gt;42094,Table1[Start Date]&lt;42461),Table1[Social Networks and Relationships],""))</f>
        <v/>
      </c>
      <c r="FE492" s="44" t="str">
        <f>IF(Table1[Date of Initial Assessment]="","",IF(AND(Table1[Start Date]&gt;42094,Table1[Start Date]&lt;42461),Table1[Drug and Alcohol Misuse],""))</f>
        <v/>
      </c>
      <c r="FF492" s="44" t="str">
        <f>IF(Table1[Date of Initial Assessment]="","",IF(AND(Table1[Start Date]&gt;42094,Table1[Start Date]&lt;42461),Table1[Physical Health],""))</f>
        <v/>
      </c>
      <c r="FG492" s="44" t="str">
        <f>IF(Table1[Date of Initial Assessment]="","",IF(AND(Table1[Start Date]&gt;42094,Table1[Start Date]&lt;42461),Table1[Emotional and Mental Health],""))</f>
        <v/>
      </c>
      <c r="FH492" s="44" t="str">
        <f>IF(Table1[Date of Initial Assessment]="","",IF(AND(Table1[Start Date]&gt;42094,Table1[Start Date]&lt;42461),Table1[Meaningful Use of Time],""))</f>
        <v/>
      </c>
      <c r="FI492" s="44" t="str">
        <f>IF(Table1[Date of Initial Assessment]="","",IF(AND(Table1[Start Date]&gt;42094,Table1[Start Date]&lt;42461),Table1[Managing Tenancy and Accommodation],""))</f>
        <v/>
      </c>
      <c r="FJ492" s="44" t="str">
        <f>IF(Table1[Date of Initial Assessment]="","",IF(AND(Table1[Start Date]&gt;42094,Table1[Start Date]&lt;42461),Table1[Offending],""))</f>
        <v/>
      </c>
      <c r="FK492" s="44" t="str">
        <f>IF(Table1[Leaving Date]="","",IF(Table1[Date of Initial Assessment]="","",IF(AND(Table1[Leaving Date]&gt;42094,Table1[Leaving Date]&lt;42461),IF(Table1[Date of Last Assessment]="",Table1[Motivation and Taking Responsibility],Table1[Motivation and Taking Responsibility2]),"")))</f>
        <v/>
      </c>
      <c r="FL492" s="44" t="str">
        <f>IF(Table1[Leaving Date]="","",IF(Table1[Date of Initial Assessment]="","",IF(AND(Table1[Leaving Date]&gt;42094,Table1[Leaving Date]&lt;42461),IF(Table1[Date of Last Assessment]="",Table1[Self-Care and Living Skills],Table1[Self-Care and Living Skills2]),"")))</f>
        <v/>
      </c>
      <c r="FM492" s="44" t="str">
        <f>IF(Table1[Leaving Date]="","",IF(Table1[Date of Initial Assessment]="","",IF(AND(Table1[Leaving Date]&gt;42094,Table1[Leaving Date]&lt;42461),IF(Table1[Date of Last Assessment]="",Table1[Managing Money and Personal Administration],Table1[Managing Money and Personal Administration2]),"")))</f>
        <v/>
      </c>
      <c r="FN492" s="44" t="str">
        <f>IF(Table1[Leaving Date]="","",IF(Table1[Date of Initial Assessment]="","",IF(AND(Table1[Leaving Date]&gt;42094,Table1[Leaving Date]&lt;42461),IF(Table1[Date of Last Assessment]="",Table1[Social Networks and Relationships],Table1[Social Networks and Relationships2]),"")))</f>
        <v/>
      </c>
      <c r="FO492" s="44" t="str">
        <f>IF(Table1[Leaving Date]="","",IF(Table1[Date of Initial Assessment]="","",IF(AND(Table1[Leaving Date]&gt;42094,Table1[Leaving Date]&lt;42461),IF(Table1[Date of Last Assessment]="",Table1[Drug and Alcohol Misuse],Table1[Drug and Alcohol Misuse2]),"")))</f>
        <v/>
      </c>
      <c r="FP492" s="44" t="str">
        <f>IF(Table1[Leaving Date]="","",IF(Table1[Date of Initial Assessment]="","",IF(AND(Table1[Leaving Date]&gt;42094,Table1[Leaving Date]&lt;42461),IF(Table1[Date of Last Assessment]="",Table1[Physical Health],Table1[Physical Health2]),"")))</f>
        <v/>
      </c>
      <c r="FQ492" s="44" t="str">
        <f>IF(Table1[Leaving Date]="","",IF(Table1[Date of Initial Assessment]="","",IF(AND(Table1[Leaving Date]&gt;42094,Table1[Leaving Date]&lt;42461),IF(Table1[Date of Last Assessment]="",Table1[Emotional and Mental Health],Table1[Emotional and Mental Health2]),"")))</f>
        <v/>
      </c>
      <c r="FR492" s="44" t="str">
        <f>IF(Table1[Leaving Date]="","",IF(Table1[Date of Initial Assessment]="","",IF(AND(Table1[Leaving Date]&gt;42094,Table1[Leaving Date]&lt;42461),IF(Table1[Date of Last Assessment]="",Table1[Meaningful Use of Time],Table1[Meaningful Use of Time2]),"")))</f>
        <v/>
      </c>
      <c r="FS492" s="44" t="str">
        <f>IF(Table1[Leaving Date]="","",IF(Table1[Date of Initial Assessment]="","",IF(AND(Table1[Leaving Date]&gt;42094,Table1[Leaving Date]&lt;42461),IF(Table1[Date of Last Assessment]="",Table1[Managing Tenancy and Accommodation],Table1[Managing Tenancy and Accommodation2]),"")))</f>
        <v/>
      </c>
      <c r="FT492" s="44" t="str">
        <f>IF(Table1[Leaving Date]="","",IF(Table1[Date of Initial Assessment]="","",IF(AND(Table1[Leaving Date]&gt;42094,Table1[Leaving Date]&lt;42461),IF(Table1[Date of Last Assessment]="",Table1[Offending],Table1[Offending2]),"")))</f>
        <v/>
      </c>
      <c r="FU492" s="44" t="str">
        <f>IF(Table1[Date of Initial Assessment]="","",IF(AND(Table1[Start Date]&gt;42460,Table1[Start Date]&lt;42826),Table1[Motivation and Taking Responsibility],""))</f>
        <v/>
      </c>
      <c r="FV492" s="44" t="str">
        <f>IF(Table1[Date of Initial Assessment]="","",IF(AND(Table1[Start Date]&gt;42460,Table1[Start Date]&lt;42826),Table1[Self-Care and Living Skills],""))</f>
        <v/>
      </c>
      <c r="FW492" s="44" t="str">
        <f>IF(Table1[Date of Initial Assessment]="","",IF(AND(Table1[Start Date]&gt;42460,Table1[Start Date]&lt;42826),Table1[Managing Money and Personal Administration],""))</f>
        <v/>
      </c>
      <c r="FX492" s="44" t="str">
        <f>IF(Table1[Date of Initial Assessment]="","",IF(AND(Table1[Start Date]&gt;42460,Table1[Start Date]&lt;42826),Table1[Social Networks and Relationships],""))</f>
        <v/>
      </c>
      <c r="FY492" s="44" t="str">
        <f>IF(Table1[Date of Initial Assessment]="","",IF(AND(Table1[Start Date]&gt;42460,Table1[Start Date]&lt;42826),Table1[Drug and Alcohol Misuse],""))</f>
        <v/>
      </c>
      <c r="FZ492" s="44" t="str">
        <f>IF(Table1[Date of Initial Assessment]="","",IF(AND(Table1[Start Date]&gt;42460,Table1[Start Date]&lt;42826),Table1[Physical Health],""))</f>
        <v/>
      </c>
      <c r="GA492" s="44" t="str">
        <f>IF(Table1[Date of Initial Assessment]="","",IF(AND(Table1[Start Date]&gt;42460,Table1[Start Date]&lt;42826),Table1[Emotional and Mental Health],""))</f>
        <v/>
      </c>
      <c r="GB492" s="44" t="str">
        <f>IF(Table1[Date of Initial Assessment]="","",IF(AND(Table1[Start Date]&gt;42460,Table1[Start Date]&lt;42826),Table1[Meaningful Use of Time],""))</f>
        <v/>
      </c>
      <c r="GC492" s="44" t="str">
        <f>IF(Table1[Date of Initial Assessment]="","",IF(AND(Table1[Start Date]&gt;42460,Table1[Start Date]&lt;42826),Table1[Managing Tenancy and Accommodation],""))</f>
        <v/>
      </c>
      <c r="GD492" s="44" t="str">
        <f>IF(Table1[Date of Initial Assessment]="","",IF(AND(Table1[Start Date]&gt;42460,Table1[Start Date]&lt;42826),Table1[Offending],""))</f>
        <v/>
      </c>
      <c r="GE492" s="44" t="str">
        <f>IF(Table1[Leaving Date]="","",IF(AND(Table1[Leaving Date]&gt;42460,Table1[Leaving Date]&lt;42826),IF(Table1[Date of Last Assessment]="",Table1[Motivation and Taking Responsibility],Table1[Motivation and Taking Responsibility2]),""))</f>
        <v/>
      </c>
      <c r="GF492" s="44" t="str">
        <f>IF(Table1[Leaving Date]="","",IF(AND(Table1[Leaving Date]&gt;42460,Table1[Leaving Date]&lt;42826),IF(Table1[Date of Last Assessment]="",Table1[Self-Care and Living Skills],Table1[Self-Care and Living Skills2]),""))</f>
        <v/>
      </c>
      <c r="GG492" s="44" t="str">
        <f>IF(Table1[Leaving Date]="","",IF(AND(Table1[Leaving Date]&gt;42460,Table1[Leaving Date]&lt;42826),IF(Table1[Date of Last Assessment]="",Table1[Managing Money and Personal Administration],Table1[Managing Money and Personal Administration2]),""))</f>
        <v/>
      </c>
      <c r="GH492" s="44" t="str">
        <f>IF(Table1[Leaving Date]="","",IF(AND(Table1[Leaving Date]&gt;42460,Table1[Leaving Date]&lt;42826),IF(Table1[Date of Last Assessment]="",Table1[Social Networks and Relationships],Table1[Social Networks and Relationships2]),""))</f>
        <v/>
      </c>
      <c r="GI492" s="44" t="str">
        <f>IF(Table1[Leaving Date]="","",IF(AND(Table1[Leaving Date]&gt;42460,Table1[Leaving Date]&lt;42826),IF(Table1[Date of Last Assessment]="",Table1[Drug and Alcohol Misuse],Table1[Drug and Alcohol Misuse2]),""))</f>
        <v/>
      </c>
      <c r="GJ492" s="44" t="str">
        <f>IF(Table1[Leaving Date]="","",IF(AND(Table1[Leaving Date]&gt;42460,Table1[Leaving Date]&lt;42826),IF(Table1[Date of Last Assessment]="",Table1[Physical Health],Table1[Physical Health2]),""))</f>
        <v/>
      </c>
      <c r="GK492" s="44" t="str">
        <f>IF(Table1[Leaving Date]="","",IF(AND(Table1[Leaving Date]&gt;42460,Table1[Leaving Date]&lt;42826),IF(Table1[Date of Last Assessment]="",Table1[Emotional and Mental Health],Table1[Emotional and Mental Health2]),""))</f>
        <v/>
      </c>
      <c r="GL492" s="44" t="str">
        <f>IF(Table1[Leaving Date]="","",IF(AND(Table1[Leaving Date]&gt;42460,Table1[Leaving Date]&lt;42826),IF(Table1[Date of Last Assessment]="",Table1[Meaningful Use of Time],Table1[Meaningful Use of Time2]),""))</f>
        <v/>
      </c>
      <c r="GM492" s="44" t="str">
        <f>IF(Table1[Leaving Date]="","",IF(AND(Table1[Leaving Date]&gt;42460,Table1[Leaving Date]&lt;42826),IF(Table1[Date of Last Assessment]="",Table1[Managing Tenancy and Accommodation],Table1[Managing Tenancy and Accommodation2]),""))</f>
        <v/>
      </c>
      <c r="GN492" s="44" t="str">
        <f>IF(Table1[Leaving Date]="","",IF(AND(Table1[Leaving Date]&gt;42460,Table1[Leaving Date]&lt;42826),IF(Table1[Date of Last Assessment]="",Table1[Offending],Table1[Offending2]),""))</f>
        <v/>
      </c>
    </row>
    <row r="493" spans="2:196" ht="20.100000000000001" customHeight="1" x14ac:dyDescent="0.2">
      <c r="B493" s="86">
        <f>+'Service Data'!$C$5:$C$5</f>
        <v>0</v>
      </c>
      <c r="C493" s="86"/>
      <c r="D493" s="86"/>
      <c r="E493" s="86"/>
      <c r="F493" s="86"/>
      <c r="G493" s="86"/>
      <c r="H493" s="6"/>
      <c r="I493" s="99" t="str">
        <f ca="1">IF(Table1[[#This Row],[Date of Birth]]="","",SUM(TODAY()-Table1[[#This Row],[Date of Birth]])/365)</f>
        <v/>
      </c>
      <c r="L493" s="86"/>
      <c r="M493" s="77"/>
      <c r="N493" s="86"/>
      <c r="O493" s="86"/>
      <c r="P493" s="91"/>
      <c r="Q493" s="86"/>
      <c r="R493" s="77"/>
      <c r="S493" s="77"/>
      <c r="T493" s="68"/>
      <c r="U493" s="68"/>
      <c r="V493" s="67"/>
      <c r="W493" s="67"/>
      <c r="X493" s="67"/>
      <c r="Y493" s="67"/>
      <c r="Z493" s="67"/>
      <c r="AA493" s="67"/>
      <c r="AB493" s="67"/>
      <c r="AC493" s="67"/>
      <c r="AD493" s="67"/>
      <c r="AE493" s="67"/>
      <c r="AF493" s="67"/>
      <c r="AG493" s="67"/>
      <c r="AH493" s="67"/>
      <c r="AI493" s="67"/>
      <c r="AJ493" s="67"/>
      <c r="AK493" s="67"/>
      <c r="AL493" s="67"/>
      <c r="AM493" s="67"/>
      <c r="AN493" s="77"/>
      <c r="AO493" s="76"/>
      <c r="AP493" s="77"/>
      <c r="AQ493" s="76"/>
      <c r="AR493" s="76"/>
      <c r="AS493" s="76"/>
      <c r="AT493" s="76"/>
      <c r="AU493" s="76"/>
      <c r="AV493" s="77"/>
      <c r="AW493" s="76"/>
      <c r="AX493" s="77"/>
      <c r="AY493" s="76"/>
      <c r="AZ493" s="76"/>
      <c r="BA493" s="76"/>
      <c r="BB493" s="76"/>
      <c r="BC493" s="76"/>
      <c r="BD493" s="77"/>
      <c r="BE493" s="76"/>
      <c r="BF493" s="77"/>
      <c r="BG493" s="76"/>
      <c r="BH493" s="76"/>
      <c r="BI493" s="76"/>
      <c r="BJ493" s="76"/>
      <c r="BK493" s="76"/>
      <c r="BL493" s="77"/>
      <c r="BM493" s="76"/>
      <c r="BN493" s="77"/>
      <c r="BO493" s="76"/>
      <c r="BP493" s="76"/>
      <c r="BQ493" s="76"/>
      <c r="BR493" s="76"/>
      <c r="BS493" s="76"/>
      <c r="BT493" s="77"/>
      <c r="BU493" s="76"/>
      <c r="BV493" s="77"/>
      <c r="BW493" s="76"/>
      <c r="BX493" s="76"/>
      <c r="BY493" s="76"/>
      <c r="BZ493" s="76"/>
      <c r="CA493" s="76"/>
      <c r="CB493" s="77"/>
      <c r="CC493" s="76"/>
      <c r="CD493" s="77"/>
      <c r="CE493" s="76"/>
      <c r="CF493" s="76"/>
      <c r="CG493" s="76"/>
      <c r="CH493" s="76"/>
      <c r="CI493" s="76"/>
      <c r="CJ493" s="77"/>
      <c r="CK493" s="76"/>
      <c r="CL493" s="77"/>
      <c r="CM493" s="76"/>
      <c r="CN493" s="76"/>
      <c r="CO493" s="76"/>
      <c r="CP493" s="76"/>
      <c r="CQ493" s="76"/>
      <c r="CR493" s="78" t="str">
        <f t="shared" si="127"/>
        <v/>
      </c>
      <c r="CS493" s="79" t="str">
        <f t="shared" si="128"/>
        <v/>
      </c>
      <c r="CT493" s="79" t="str">
        <f t="shared" si="129"/>
        <v/>
      </c>
      <c r="CU493" s="79" t="str">
        <f t="shared" si="130"/>
        <v/>
      </c>
      <c r="CV493" s="79" t="str">
        <f t="shared" si="131"/>
        <v/>
      </c>
      <c r="CW493" s="79" t="str">
        <f t="shared" si="132"/>
        <v/>
      </c>
      <c r="CX493" s="79" t="str">
        <f t="shared" si="133"/>
        <v/>
      </c>
      <c r="CY493" s="79" t="str">
        <f t="shared" si="134"/>
        <v/>
      </c>
      <c r="CZ493" s="79" t="str">
        <f t="shared" si="135"/>
        <v/>
      </c>
      <c r="DA493" s="79" t="str">
        <f t="shared" si="136"/>
        <v/>
      </c>
      <c r="DB493" s="79" t="str">
        <f t="shared" si="137"/>
        <v/>
      </c>
      <c r="DC493" s="79" t="str">
        <f t="shared" si="138"/>
        <v/>
      </c>
      <c r="DD493" s="79" t="str">
        <f t="shared" si="139"/>
        <v/>
      </c>
      <c r="DE493" s="79" t="str">
        <f t="shared" si="140"/>
        <v/>
      </c>
      <c r="DF493" s="79" t="str">
        <f t="shared" si="141"/>
        <v/>
      </c>
      <c r="DG493" s="79" t="str">
        <f t="shared" si="142"/>
        <v/>
      </c>
      <c r="DH493" s="76"/>
      <c r="DI493" s="78"/>
      <c r="DJ493" s="76"/>
      <c r="DK493" s="77"/>
      <c r="DL493" s="77"/>
      <c r="DM493" s="77"/>
      <c r="DN493" s="80"/>
      <c r="DO493" s="80"/>
      <c r="DP493" s="92" t="str">
        <f>IF(Table1[Start Date]="","",IF(Table1[Start Date]&gt;42185,"",IF(AND(Table1[Leaving Date]&gt;1,Table1[Leaving Date]&lt;42095),"",1)))</f>
        <v/>
      </c>
      <c r="DQ493" s="92" t="str">
        <f>IF(Table1[Start Date]="","",IF(Table1[Start Date]&gt;42277,"",IF(AND(Table1[Leaving Date]&gt;1,Table1[Leaving Date]&lt;42186),"",1)))</f>
        <v/>
      </c>
      <c r="DR493" s="92" t="str">
        <f>IF(Table1[Start Date]="","",IF(Table1[Start Date]&gt;42369,"",IF(AND(Table1[Leaving Date]&gt;1,Table1[Leaving Date]&lt;42278),"",1)))</f>
        <v/>
      </c>
      <c r="DS493" s="92" t="str">
        <f>IF(Table1[Start Date]="","",IF(Table1[Start Date]&gt;42460,"",IF(AND(Table1[Leaving Date]&gt;1,Table1[Leaving Date]&lt;42370),"",1)))</f>
        <v/>
      </c>
      <c r="DT493" s="92" t="str">
        <f>IF(Table1[Start Date]="","",IF(Table1[Start Date]&gt;42551,"",IF(AND(Table1[Leaving Date]&gt;1,Table1[Leaving Date]&lt;42461),"",1)))</f>
        <v/>
      </c>
      <c r="DU493" s="92" t="str">
        <f>IF(Table1[Start Date]="","",IF(Table1[Start Date]&gt;42643,"",IF(AND(Table1[Leaving Date]&gt;1,Table1[Leaving Date]&lt;42552),"",1)))</f>
        <v/>
      </c>
      <c r="DV493" s="92" t="str">
        <f>IF(Table1[Start Date]="","",IF(Table1[Start Date]&gt;42735,"",IF(AND(Table1[Leaving Date]&gt;1,Table1[Leaving Date]&lt;42644),"",1)))</f>
        <v/>
      </c>
      <c r="DW493" s="92" t="str">
        <f>IF(Table1[Start Date]="","",IF(Table1[Start Date]&gt;42825,"",IF(AND(Table1[Leaving Date]&gt;1,Table1[Leaving Date]&lt;42736),"",1)))</f>
        <v/>
      </c>
      <c r="DX493"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493" s="44" t="e">
        <f>VLOOKUP(Table1[Referral Source],Lists!$G$2:$H$20,2,FALSE)</f>
        <v>#N/A</v>
      </c>
      <c r="DZ493" s="93" t="e">
        <f>SUM(Table1[Data Referral Quarter]+Table1[Data Referral Source])</f>
        <v>#N/A</v>
      </c>
      <c r="EA493" s="44" t="b">
        <f>IF(Table1[Referral Decision]="Accepted",100,IF(Table1[Referral Decision]="Rejected by Provider",200,IF(Table1[Referral Decision]="Rejected by Applicant",300)))</f>
        <v>0</v>
      </c>
      <c r="EB493" s="44">
        <f>SUM(Table1[Data Referral Quarter]+Table1[Data Referral Decision])</f>
        <v>0</v>
      </c>
      <c r="EC493" s="44" t="b">
        <f>IF(Table1[Start Date]&gt;42735,8000,IF(Table1[Start Date]&gt;42643,7000,IF(Table1[Start Date]&gt;42551,6000,IF(Table1[Start Date]&gt;42460,5000,IF(Table1[Start Date]&gt;42369,4000,IF(Table1[Start Date]&gt;42277,3000,IF(Table1[Start Date]&gt;42185,2000,IF(Table1[Start Date]&gt;42094,1000))))))))</f>
        <v>0</v>
      </c>
      <c r="ED493" s="44" t="str">
        <f>IF(Table1[Start Date]="","",IF(Table1[Current Local Authority]="Swindon",1,"2"))</f>
        <v/>
      </c>
      <c r="EE493" s="44" t="e">
        <f>SUM(Table1[Data Start Date]+Table1[Data Local Authority])</f>
        <v>#VALUE!</v>
      </c>
      <c r="EF493" s="44">
        <f>IF(Table1[Registered with GP]="Yes",1,0)</f>
        <v>0</v>
      </c>
      <c r="EG493" s="44">
        <f>SUM(Table1[Data Start Date]+Table1[Data GP Start])</f>
        <v>0</v>
      </c>
      <c r="EH493" s="44" t="str">
        <f>IF(Table1[EET]="NEET",1,IF(Table1[EET]="Education",2,IF(Table1[EET]="Employment",2,IF(Table1[EET]="Training",2,IF(Table1[EET]="Retired",3,"")))))</f>
        <v/>
      </c>
      <c r="EI493" s="44" t="e">
        <f>Table1[Data Start Date]+Table1[Data EET Start]</f>
        <v>#VALUE!</v>
      </c>
      <c r="EJ493" s="44" t="b">
        <f>IF(Table1[Leaving Date]&gt;42735,8000,IF(Table1[Leaving Date]&gt;42643,7000,IF(Table1[Leaving Date]&gt;42551,6000,IF(Table1[Leaving Date]&gt;42460,5000,IF(Table1[Leaving Date]&gt;42369,4000,IF(Table1[Leaving Date]&gt;42277,3000,IF(Table1[Leaving Date]&gt;42185,2000,IF(Table1[Leaving Date]&gt;42094,1000))))))))</f>
        <v>0</v>
      </c>
      <c r="EK493" s="44" t="e">
        <f>VLOOKUP(Table1[Reason for Leaving],Lists!$T$2:$U$15,2,FALSE)</f>
        <v>#N/A</v>
      </c>
      <c r="EL493" s="44" t="e">
        <f>SUM(Table1[Data Leavers Date]+Table1[Data Move On])</f>
        <v>#N/A</v>
      </c>
      <c r="EM493" s="44" t="b">
        <f>IF(Table1[Registered with GP2]="Yes",1,IF(Table1[Registered with GP2]="No",0,IF(Table1[Registered with GP]="Yes",1,IF(Table1[Registered with GP]="No",0))))</f>
        <v>0</v>
      </c>
      <c r="EN493" s="44">
        <f>SUM(Table1[Data Leavers Date]+Table1[Data GP End])</f>
        <v>0</v>
      </c>
      <c r="EO493" s="44" t="str">
        <f>IF(Table1[EET2]="NEET",1,IF(Table1[EET2]="Employment",2,IF(Table1[EET2]="Education",2,IF(Table1[EET2]="Training",2,IF(Table1[EET2]="Retired",3,IF(Table1[EET]="NEET",1,IF(Table1[EET]="Employment",2,IF(Table1[EET]="Education",2,IF(Table1[EET]="Training",2,IF(Table1[EET]="Retired",3,""))))))))))</f>
        <v/>
      </c>
      <c r="EP493" s="44" t="e">
        <f>+Table1[[#This Row],[Data Leavers Date]]+Table1[[#This Row],[Data EET End]]</f>
        <v>#VALUE!</v>
      </c>
      <c r="EQ493" s="44">
        <f>IF(Table1[Exit Form Received]="Yes",1,0)</f>
        <v>0</v>
      </c>
      <c r="ER493" s="44">
        <f>+Table1[[#This Row],[Data Leavers Date]]+Table1[[#This Row],[Data Exit Forms]]</f>
        <v>0</v>
      </c>
      <c r="ES493" s="44" t="str">
        <f>IF(Table1[Data Leavers Date]=1000,SUM(Table1[Leaving Date]-Table1[Start Date]),"")</f>
        <v/>
      </c>
      <c r="ET493" s="44" t="str">
        <f>IF(Table1[Data Leavers Date]=2000,SUM(Table1[Leaving Date]-Table1[Start Date]),"")</f>
        <v/>
      </c>
      <c r="EU493" s="44" t="str">
        <f>IF(Table1[Data Leavers Date]=3000,SUM(Table1[Leaving Date]-Table1[Start Date]),"")</f>
        <v/>
      </c>
      <c r="EV493" s="44" t="str">
        <f>IF(Table1[Data Leavers Date]=4000,SUM(Table1[Leaving Date]-Table1[Start Date]),"")</f>
        <v/>
      </c>
      <c r="EW493" s="44" t="str">
        <f>IF(Table1[Data Leavers Date]=5000,SUM(Table1[Leaving Date]-Table1[Start Date]),"")</f>
        <v/>
      </c>
      <c r="EX493" s="44" t="str">
        <f>IF(Table1[Data Leavers Date]=6000,SUM(Table1[Leaving Date]-Table1[Start Date]),"")</f>
        <v/>
      </c>
      <c r="EY493" s="44" t="str">
        <f>IF(Table1[Data Leavers Date]=7000,SUM(Table1[Leaving Date]-Table1[Start Date]),"")</f>
        <v/>
      </c>
      <c r="EZ493" s="44" t="str">
        <f>IF(Table1[Data Leavers Date]=8000,SUM(Table1[Leaving Date]-Table1[Start Date]),"")</f>
        <v/>
      </c>
      <c r="FA493" s="44" t="str">
        <f>IF(Table1[Date of Initial Assessment]="","",IF(AND(Table1[Start Date]&gt;42094,Table1[Start Date]&lt;42461),Table1[Motivation and Taking Responsibility],""))</f>
        <v/>
      </c>
      <c r="FB493" s="44" t="str">
        <f>IF(Table1[Date of Initial Assessment]="","",IF(AND(Table1[Start Date]&gt;42094,Table1[Start Date]&lt;42461),Table1[Self-Care and Living Skills],""))</f>
        <v/>
      </c>
      <c r="FC493" s="44" t="str">
        <f>IF(Table1[Date of Initial Assessment]="","",IF(AND(Table1[Start Date]&gt;42094,Table1[Start Date]&lt;42461),Table1[Managing Money and Personal Administration],""))</f>
        <v/>
      </c>
      <c r="FD493" s="44" t="str">
        <f>IF(Table1[Date of Initial Assessment]="","",IF(AND(Table1[Start Date]&gt;42094,Table1[Start Date]&lt;42461),Table1[Social Networks and Relationships],""))</f>
        <v/>
      </c>
      <c r="FE493" s="44" t="str">
        <f>IF(Table1[Date of Initial Assessment]="","",IF(AND(Table1[Start Date]&gt;42094,Table1[Start Date]&lt;42461),Table1[Drug and Alcohol Misuse],""))</f>
        <v/>
      </c>
      <c r="FF493" s="44" t="str">
        <f>IF(Table1[Date of Initial Assessment]="","",IF(AND(Table1[Start Date]&gt;42094,Table1[Start Date]&lt;42461),Table1[Physical Health],""))</f>
        <v/>
      </c>
      <c r="FG493" s="44" t="str">
        <f>IF(Table1[Date of Initial Assessment]="","",IF(AND(Table1[Start Date]&gt;42094,Table1[Start Date]&lt;42461),Table1[Emotional and Mental Health],""))</f>
        <v/>
      </c>
      <c r="FH493" s="44" t="str">
        <f>IF(Table1[Date of Initial Assessment]="","",IF(AND(Table1[Start Date]&gt;42094,Table1[Start Date]&lt;42461),Table1[Meaningful Use of Time],""))</f>
        <v/>
      </c>
      <c r="FI493" s="44" t="str">
        <f>IF(Table1[Date of Initial Assessment]="","",IF(AND(Table1[Start Date]&gt;42094,Table1[Start Date]&lt;42461),Table1[Managing Tenancy and Accommodation],""))</f>
        <v/>
      </c>
      <c r="FJ493" s="44" t="str">
        <f>IF(Table1[Date of Initial Assessment]="","",IF(AND(Table1[Start Date]&gt;42094,Table1[Start Date]&lt;42461),Table1[Offending],""))</f>
        <v/>
      </c>
      <c r="FK493" s="44" t="str">
        <f>IF(Table1[Leaving Date]="","",IF(Table1[Date of Initial Assessment]="","",IF(AND(Table1[Leaving Date]&gt;42094,Table1[Leaving Date]&lt;42461),IF(Table1[Date of Last Assessment]="",Table1[Motivation and Taking Responsibility],Table1[Motivation and Taking Responsibility2]),"")))</f>
        <v/>
      </c>
      <c r="FL493" s="44" t="str">
        <f>IF(Table1[Leaving Date]="","",IF(Table1[Date of Initial Assessment]="","",IF(AND(Table1[Leaving Date]&gt;42094,Table1[Leaving Date]&lt;42461),IF(Table1[Date of Last Assessment]="",Table1[Self-Care and Living Skills],Table1[Self-Care and Living Skills2]),"")))</f>
        <v/>
      </c>
      <c r="FM493" s="44" t="str">
        <f>IF(Table1[Leaving Date]="","",IF(Table1[Date of Initial Assessment]="","",IF(AND(Table1[Leaving Date]&gt;42094,Table1[Leaving Date]&lt;42461),IF(Table1[Date of Last Assessment]="",Table1[Managing Money and Personal Administration],Table1[Managing Money and Personal Administration2]),"")))</f>
        <v/>
      </c>
      <c r="FN493" s="44" t="str">
        <f>IF(Table1[Leaving Date]="","",IF(Table1[Date of Initial Assessment]="","",IF(AND(Table1[Leaving Date]&gt;42094,Table1[Leaving Date]&lt;42461),IF(Table1[Date of Last Assessment]="",Table1[Social Networks and Relationships],Table1[Social Networks and Relationships2]),"")))</f>
        <v/>
      </c>
      <c r="FO493" s="44" t="str">
        <f>IF(Table1[Leaving Date]="","",IF(Table1[Date of Initial Assessment]="","",IF(AND(Table1[Leaving Date]&gt;42094,Table1[Leaving Date]&lt;42461),IF(Table1[Date of Last Assessment]="",Table1[Drug and Alcohol Misuse],Table1[Drug and Alcohol Misuse2]),"")))</f>
        <v/>
      </c>
      <c r="FP493" s="44" t="str">
        <f>IF(Table1[Leaving Date]="","",IF(Table1[Date of Initial Assessment]="","",IF(AND(Table1[Leaving Date]&gt;42094,Table1[Leaving Date]&lt;42461),IF(Table1[Date of Last Assessment]="",Table1[Physical Health],Table1[Physical Health2]),"")))</f>
        <v/>
      </c>
      <c r="FQ493" s="44" t="str">
        <f>IF(Table1[Leaving Date]="","",IF(Table1[Date of Initial Assessment]="","",IF(AND(Table1[Leaving Date]&gt;42094,Table1[Leaving Date]&lt;42461),IF(Table1[Date of Last Assessment]="",Table1[Emotional and Mental Health],Table1[Emotional and Mental Health2]),"")))</f>
        <v/>
      </c>
      <c r="FR493" s="44" t="str">
        <f>IF(Table1[Leaving Date]="","",IF(Table1[Date of Initial Assessment]="","",IF(AND(Table1[Leaving Date]&gt;42094,Table1[Leaving Date]&lt;42461),IF(Table1[Date of Last Assessment]="",Table1[Meaningful Use of Time],Table1[Meaningful Use of Time2]),"")))</f>
        <v/>
      </c>
      <c r="FS493" s="44" t="str">
        <f>IF(Table1[Leaving Date]="","",IF(Table1[Date of Initial Assessment]="","",IF(AND(Table1[Leaving Date]&gt;42094,Table1[Leaving Date]&lt;42461),IF(Table1[Date of Last Assessment]="",Table1[Managing Tenancy and Accommodation],Table1[Managing Tenancy and Accommodation2]),"")))</f>
        <v/>
      </c>
      <c r="FT493" s="44" t="str">
        <f>IF(Table1[Leaving Date]="","",IF(Table1[Date of Initial Assessment]="","",IF(AND(Table1[Leaving Date]&gt;42094,Table1[Leaving Date]&lt;42461),IF(Table1[Date of Last Assessment]="",Table1[Offending],Table1[Offending2]),"")))</f>
        <v/>
      </c>
      <c r="FU493" s="44" t="str">
        <f>IF(Table1[Date of Initial Assessment]="","",IF(AND(Table1[Start Date]&gt;42460,Table1[Start Date]&lt;42826),Table1[Motivation and Taking Responsibility],""))</f>
        <v/>
      </c>
      <c r="FV493" s="44" t="str">
        <f>IF(Table1[Date of Initial Assessment]="","",IF(AND(Table1[Start Date]&gt;42460,Table1[Start Date]&lt;42826),Table1[Self-Care and Living Skills],""))</f>
        <v/>
      </c>
      <c r="FW493" s="44" t="str">
        <f>IF(Table1[Date of Initial Assessment]="","",IF(AND(Table1[Start Date]&gt;42460,Table1[Start Date]&lt;42826),Table1[Managing Money and Personal Administration],""))</f>
        <v/>
      </c>
      <c r="FX493" s="44" t="str">
        <f>IF(Table1[Date of Initial Assessment]="","",IF(AND(Table1[Start Date]&gt;42460,Table1[Start Date]&lt;42826),Table1[Social Networks and Relationships],""))</f>
        <v/>
      </c>
      <c r="FY493" s="44" t="str">
        <f>IF(Table1[Date of Initial Assessment]="","",IF(AND(Table1[Start Date]&gt;42460,Table1[Start Date]&lt;42826),Table1[Drug and Alcohol Misuse],""))</f>
        <v/>
      </c>
      <c r="FZ493" s="44" t="str">
        <f>IF(Table1[Date of Initial Assessment]="","",IF(AND(Table1[Start Date]&gt;42460,Table1[Start Date]&lt;42826),Table1[Physical Health],""))</f>
        <v/>
      </c>
      <c r="GA493" s="44" t="str">
        <f>IF(Table1[Date of Initial Assessment]="","",IF(AND(Table1[Start Date]&gt;42460,Table1[Start Date]&lt;42826),Table1[Emotional and Mental Health],""))</f>
        <v/>
      </c>
      <c r="GB493" s="44" t="str">
        <f>IF(Table1[Date of Initial Assessment]="","",IF(AND(Table1[Start Date]&gt;42460,Table1[Start Date]&lt;42826),Table1[Meaningful Use of Time],""))</f>
        <v/>
      </c>
      <c r="GC493" s="44" t="str">
        <f>IF(Table1[Date of Initial Assessment]="","",IF(AND(Table1[Start Date]&gt;42460,Table1[Start Date]&lt;42826),Table1[Managing Tenancy and Accommodation],""))</f>
        <v/>
      </c>
      <c r="GD493" s="44" t="str">
        <f>IF(Table1[Date of Initial Assessment]="","",IF(AND(Table1[Start Date]&gt;42460,Table1[Start Date]&lt;42826),Table1[Offending],""))</f>
        <v/>
      </c>
      <c r="GE493" s="44" t="str">
        <f>IF(Table1[Leaving Date]="","",IF(AND(Table1[Leaving Date]&gt;42460,Table1[Leaving Date]&lt;42826),IF(Table1[Date of Last Assessment]="",Table1[Motivation and Taking Responsibility],Table1[Motivation and Taking Responsibility2]),""))</f>
        <v/>
      </c>
      <c r="GF493" s="44" t="str">
        <f>IF(Table1[Leaving Date]="","",IF(AND(Table1[Leaving Date]&gt;42460,Table1[Leaving Date]&lt;42826),IF(Table1[Date of Last Assessment]="",Table1[Self-Care and Living Skills],Table1[Self-Care and Living Skills2]),""))</f>
        <v/>
      </c>
      <c r="GG493" s="44" t="str">
        <f>IF(Table1[Leaving Date]="","",IF(AND(Table1[Leaving Date]&gt;42460,Table1[Leaving Date]&lt;42826),IF(Table1[Date of Last Assessment]="",Table1[Managing Money and Personal Administration],Table1[Managing Money and Personal Administration2]),""))</f>
        <v/>
      </c>
      <c r="GH493" s="44" t="str">
        <f>IF(Table1[Leaving Date]="","",IF(AND(Table1[Leaving Date]&gt;42460,Table1[Leaving Date]&lt;42826),IF(Table1[Date of Last Assessment]="",Table1[Social Networks and Relationships],Table1[Social Networks and Relationships2]),""))</f>
        <v/>
      </c>
      <c r="GI493" s="44" t="str">
        <f>IF(Table1[Leaving Date]="","",IF(AND(Table1[Leaving Date]&gt;42460,Table1[Leaving Date]&lt;42826),IF(Table1[Date of Last Assessment]="",Table1[Drug and Alcohol Misuse],Table1[Drug and Alcohol Misuse2]),""))</f>
        <v/>
      </c>
      <c r="GJ493" s="44" t="str">
        <f>IF(Table1[Leaving Date]="","",IF(AND(Table1[Leaving Date]&gt;42460,Table1[Leaving Date]&lt;42826),IF(Table1[Date of Last Assessment]="",Table1[Physical Health],Table1[Physical Health2]),""))</f>
        <v/>
      </c>
      <c r="GK493" s="44" t="str">
        <f>IF(Table1[Leaving Date]="","",IF(AND(Table1[Leaving Date]&gt;42460,Table1[Leaving Date]&lt;42826),IF(Table1[Date of Last Assessment]="",Table1[Emotional and Mental Health],Table1[Emotional and Mental Health2]),""))</f>
        <v/>
      </c>
      <c r="GL493" s="44" t="str">
        <f>IF(Table1[Leaving Date]="","",IF(AND(Table1[Leaving Date]&gt;42460,Table1[Leaving Date]&lt;42826),IF(Table1[Date of Last Assessment]="",Table1[Meaningful Use of Time],Table1[Meaningful Use of Time2]),""))</f>
        <v/>
      </c>
      <c r="GM493" s="44" t="str">
        <f>IF(Table1[Leaving Date]="","",IF(AND(Table1[Leaving Date]&gt;42460,Table1[Leaving Date]&lt;42826),IF(Table1[Date of Last Assessment]="",Table1[Managing Tenancy and Accommodation],Table1[Managing Tenancy and Accommodation2]),""))</f>
        <v/>
      </c>
      <c r="GN493" s="44" t="str">
        <f>IF(Table1[Leaving Date]="","",IF(AND(Table1[Leaving Date]&gt;42460,Table1[Leaving Date]&lt;42826),IF(Table1[Date of Last Assessment]="",Table1[Offending],Table1[Offending2]),""))</f>
        <v/>
      </c>
    </row>
    <row r="494" spans="2:196" ht="20.100000000000001" customHeight="1" x14ac:dyDescent="0.2">
      <c r="B494" s="86">
        <f>+'Service Data'!$C$5:$C$5</f>
        <v>0</v>
      </c>
      <c r="C494" s="86"/>
      <c r="D494" s="86"/>
      <c r="E494" s="86"/>
      <c r="F494" s="86"/>
      <c r="G494" s="86"/>
      <c r="H494" s="6"/>
      <c r="I494" s="99" t="str">
        <f ca="1">IF(Table1[[#This Row],[Date of Birth]]="","",SUM(TODAY()-Table1[[#This Row],[Date of Birth]])/365)</f>
        <v/>
      </c>
      <c r="L494" s="86"/>
      <c r="M494" s="77"/>
      <c r="N494" s="86"/>
      <c r="O494" s="86"/>
      <c r="P494" s="91"/>
      <c r="Q494" s="86"/>
      <c r="R494" s="77"/>
      <c r="S494" s="77"/>
      <c r="T494" s="68"/>
      <c r="U494" s="68"/>
      <c r="V494" s="67"/>
      <c r="W494" s="67"/>
      <c r="X494" s="67"/>
      <c r="Y494" s="67"/>
      <c r="Z494" s="67"/>
      <c r="AA494" s="67"/>
      <c r="AB494" s="67"/>
      <c r="AC494" s="67"/>
      <c r="AD494" s="67"/>
      <c r="AE494" s="67"/>
      <c r="AF494" s="67"/>
      <c r="AG494" s="67"/>
      <c r="AH494" s="67"/>
      <c r="AI494" s="67"/>
      <c r="AJ494" s="67"/>
      <c r="AK494" s="67"/>
      <c r="AL494" s="67"/>
      <c r="AM494" s="67"/>
      <c r="AN494" s="77"/>
      <c r="AO494" s="76"/>
      <c r="AP494" s="77"/>
      <c r="AQ494" s="76"/>
      <c r="AR494" s="76"/>
      <c r="AS494" s="76"/>
      <c r="AT494" s="76"/>
      <c r="AU494" s="76"/>
      <c r="AV494" s="77"/>
      <c r="AW494" s="76"/>
      <c r="AX494" s="77"/>
      <c r="AY494" s="76"/>
      <c r="AZ494" s="76"/>
      <c r="BA494" s="76"/>
      <c r="BB494" s="76"/>
      <c r="BC494" s="76"/>
      <c r="BD494" s="77"/>
      <c r="BE494" s="76"/>
      <c r="BF494" s="77"/>
      <c r="BG494" s="76"/>
      <c r="BH494" s="76"/>
      <c r="BI494" s="76"/>
      <c r="BJ494" s="76"/>
      <c r="BK494" s="76"/>
      <c r="BL494" s="77"/>
      <c r="BM494" s="76"/>
      <c r="BN494" s="77"/>
      <c r="BO494" s="76"/>
      <c r="BP494" s="76"/>
      <c r="BQ494" s="76"/>
      <c r="BR494" s="76"/>
      <c r="BS494" s="76"/>
      <c r="BT494" s="77"/>
      <c r="BU494" s="76"/>
      <c r="BV494" s="77"/>
      <c r="BW494" s="76"/>
      <c r="BX494" s="76"/>
      <c r="BY494" s="76"/>
      <c r="BZ494" s="76"/>
      <c r="CA494" s="76"/>
      <c r="CB494" s="77"/>
      <c r="CC494" s="76"/>
      <c r="CD494" s="77"/>
      <c r="CE494" s="76"/>
      <c r="CF494" s="76"/>
      <c r="CG494" s="76"/>
      <c r="CH494" s="76"/>
      <c r="CI494" s="76"/>
      <c r="CJ494" s="77"/>
      <c r="CK494" s="76"/>
      <c r="CL494" s="77"/>
      <c r="CM494" s="76"/>
      <c r="CN494" s="76"/>
      <c r="CO494" s="76"/>
      <c r="CP494" s="76"/>
      <c r="CQ494" s="76"/>
      <c r="CR494" s="78" t="str">
        <f t="shared" si="127"/>
        <v/>
      </c>
      <c r="CS494" s="79" t="str">
        <f t="shared" si="128"/>
        <v/>
      </c>
      <c r="CT494" s="79" t="str">
        <f t="shared" si="129"/>
        <v/>
      </c>
      <c r="CU494" s="79" t="str">
        <f t="shared" si="130"/>
        <v/>
      </c>
      <c r="CV494" s="79" t="str">
        <f t="shared" si="131"/>
        <v/>
      </c>
      <c r="CW494" s="79" t="str">
        <f t="shared" si="132"/>
        <v/>
      </c>
      <c r="CX494" s="79" t="str">
        <f t="shared" si="133"/>
        <v/>
      </c>
      <c r="CY494" s="79" t="str">
        <f t="shared" si="134"/>
        <v/>
      </c>
      <c r="CZ494" s="79" t="str">
        <f t="shared" si="135"/>
        <v/>
      </c>
      <c r="DA494" s="79" t="str">
        <f t="shared" si="136"/>
        <v/>
      </c>
      <c r="DB494" s="79" t="str">
        <f t="shared" si="137"/>
        <v/>
      </c>
      <c r="DC494" s="79" t="str">
        <f t="shared" si="138"/>
        <v/>
      </c>
      <c r="DD494" s="79" t="str">
        <f t="shared" si="139"/>
        <v/>
      </c>
      <c r="DE494" s="79" t="str">
        <f t="shared" si="140"/>
        <v/>
      </c>
      <c r="DF494" s="79" t="str">
        <f t="shared" si="141"/>
        <v/>
      </c>
      <c r="DG494" s="79" t="str">
        <f t="shared" si="142"/>
        <v/>
      </c>
      <c r="DH494" s="76"/>
      <c r="DI494" s="78"/>
      <c r="DJ494" s="76"/>
      <c r="DK494" s="77"/>
      <c r="DL494" s="77"/>
      <c r="DM494" s="77"/>
      <c r="DN494" s="80"/>
      <c r="DO494" s="80"/>
      <c r="DP494" s="92" t="str">
        <f>IF(Table1[Start Date]="","",IF(Table1[Start Date]&gt;42185,"",IF(AND(Table1[Leaving Date]&gt;1,Table1[Leaving Date]&lt;42095),"",1)))</f>
        <v/>
      </c>
      <c r="DQ494" s="92" t="str">
        <f>IF(Table1[Start Date]="","",IF(Table1[Start Date]&gt;42277,"",IF(AND(Table1[Leaving Date]&gt;1,Table1[Leaving Date]&lt;42186),"",1)))</f>
        <v/>
      </c>
      <c r="DR494" s="92" t="str">
        <f>IF(Table1[Start Date]="","",IF(Table1[Start Date]&gt;42369,"",IF(AND(Table1[Leaving Date]&gt;1,Table1[Leaving Date]&lt;42278),"",1)))</f>
        <v/>
      </c>
      <c r="DS494" s="92" t="str">
        <f>IF(Table1[Start Date]="","",IF(Table1[Start Date]&gt;42460,"",IF(AND(Table1[Leaving Date]&gt;1,Table1[Leaving Date]&lt;42370),"",1)))</f>
        <v/>
      </c>
      <c r="DT494" s="92" t="str">
        <f>IF(Table1[Start Date]="","",IF(Table1[Start Date]&gt;42551,"",IF(AND(Table1[Leaving Date]&gt;1,Table1[Leaving Date]&lt;42461),"",1)))</f>
        <v/>
      </c>
      <c r="DU494" s="92" t="str">
        <f>IF(Table1[Start Date]="","",IF(Table1[Start Date]&gt;42643,"",IF(AND(Table1[Leaving Date]&gt;1,Table1[Leaving Date]&lt;42552),"",1)))</f>
        <v/>
      </c>
      <c r="DV494" s="92" t="str">
        <f>IF(Table1[Start Date]="","",IF(Table1[Start Date]&gt;42735,"",IF(AND(Table1[Leaving Date]&gt;1,Table1[Leaving Date]&lt;42644),"",1)))</f>
        <v/>
      </c>
      <c r="DW494" s="92" t="str">
        <f>IF(Table1[Start Date]="","",IF(Table1[Start Date]&gt;42825,"",IF(AND(Table1[Leaving Date]&gt;1,Table1[Leaving Date]&lt;42736),"",1)))</f>
        <v/>
      </c>
      <c r="DX494"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494" s="44" t="e">
        <f>VLOOKUP(Table1[Referral Source],Lists!$G$2:$H$20,2,FALSE)</f>
        <v>#N/A</v>
      </c>
      <c r="DZ494" s="93" t="e">
        <f>SUM(Table1[Data Referral Quarter]+Table1[Data Referral Source])</f>
        <v>#N/A</v>
      </c>
      <c r="EA494" s="44" t="b">
        <f>IF(Table1[Referral Decision]="Accepted",100,IF(Table1[Referral Decision]="Rejected by Provider",200,IF(Table1[Referral Decision]="Rejected by Applicant",300)))</f>
        <v>0</v>
      </c>
      <c r="EB494" s="44">
        <f>SUM(Table1[Data Referral Quarter]+Table1[Data Referral Decision])</f>
        <v>0</v>
      </c>
      <c r="EC494" s="44" t="b">
        <f>IF(Table1[Start Date]&gt;42735,8000,IF(Table1[Start Date]&gt;42643,7000,IF(Table1[Start Date]&gt;42551,6000,IF(Table1[Start Date]&gt;42460,5000,IF(Table1[Start Date]&gt;42369,4000,IF(Table1[Start Date]&gt;42277,3000,IF(Table1[Start Date]&gt;42185,2000,IF(Table1[Start Date]&gt;42094,1000))))))))</f>
        <v>0</v>
      </c>
      <c r="ED494" s="44" t="str">
        <f>IF(Table1[Start Date]="","",IF(Table1[Current Local Authority]="Swindon",1,"2"))</f>
        <v/>
      </c>
      <c r="EE494" s="44" t="e">
        <f>SUM(Table1[Data Start Date]+Table1[Data Local Authority])</f>
        <v>#VALUE!</v>
      </c>
      <c r="EF494" s="44">
        <f>IF(Table1[Registered with GP]="Yes",1,0)</f>
        <v>0</v>
      </c>
      <c r="EG494" s="44">
        <f>SUM(Table1[Data Start Date]+Table1[Data GP Start])</f>
        <v>0</v>
      </c>
      <c r="EH494" s="44" t="str">
        <f>IF(Table1[EET]="NEET",1,IF(Table1[EET]="Education",2,IF(Table1[EET]="Employment",2,IF(Table1[EET]="Training",2,IF(Table1[EET]="Retired",3,"")))))</f>
        <v/>
      </c>
      <c r="EI494" s="44" t="e">
        <f>Table1[Data Start Date]+Table1[Data EET Start]</f>
        <v>#VALUE!</v>
      </c>
      <c r="EJ494" s="44" t="b">
        <f>IF(Table1[Leaving Date]&gt;42735,8000,IF(Table1[Leaving Date]&gt;42643,7000,IF(Table1[Leaving Date]&gt;42551,6000,IF(Table1[Leaving Date]&gt;42460,5000,IF(Table1[Leaving Date]&gt;42369,4000,IF(Table1[Leaving Date]&gt;42277,3000,IF(Table1[Leaving Date]&gt;42185,2000,IF(Table1[Leaving Date]&gt;42094,1000))))))))</f>
        <v>0</v>
      </c>
      <c r="EK494" s="44" t="e">
        <f>VLOOKUP(Table1[Reason for Leaving],Lists!$T$2:$U$15,2,FALSE)</f>
        <v>#N/A</v>
      </c>
      <c r="EL494" s="44" t="e">
        <f>SUM(Table1[Data Leavers Date]+Table1[Data Move On])</f>
        <v>#N/A</v>
      </c>
      <c r="EM494" s="44" t="b">
        <f>IF(Table1[Registered with GP2]="Yes",1,IF(Table1[Registered with GP2]="No",0,IF(Table1[Registered with GP]="Yes",1,IF(Table1[Registered with GP]="No",0))))</f>
        <v>0</v>
      </c>
      <c r="EN494" s="44">
        <f>SUM(Table1[Data Leavers Date]+Table1[Data GP End])</f>
        <v>0</v>
      </c>
      <c r="EO494" s="44" t="str">
        <f>IF(Table1[EET2]="NEET",1,IF(Table1[EET2]="Employment",2,IF(Table1[EET2]="Education",2,IF(Table1[EET2]="Training",2,IF(Table1[EET2]="Retired",3,IF(Table1[EET]="NEET",1,IF(Table1[EET]="Employment",2,IF(Table1[EET]="Education",2,IF(Table1[EET]="Training",2,IF(Table1[EET]="Retired",3,""))))))))))</f>
        <v/>
      </c>
      <c r="EP494" s="44" t="e">
        <f>+Table1[[#This Row],[Data Leavers Date]]+Table1[[#This Row],[Data EET End]]</f>
        <v>#VALUE!</v>
      </c>
      <c r="EQ494" s="44">
        <f>IF(Table1[Exit Form Received]="Yes",1,0)</f>
        <v>0</v>
      </c>
      <c r="ER494" s="44">
        <f>+Table1[[#This Row],[Data Leavers Date]]+Table1[[#This Row],[Data Exit Forms]]</f>
        <v>0</v>
      </c>
      <c r="ES494" s="44" t="str">
        <f>IF(Table1[Data Leavers Date]=1000,SUM(Table1[Leaving Date]-Table1[Start Date]),"")</f>
        <v/>
      </c>
      <c r="ET494" s="44" t="str">
        <f>IF(Table1[Data Leavers Date]=2000,SUM(Table1[Leaving Date]-Table1[Start Date]),"")</f>
        <v/>
      </c>
      <c r="EU494" s="44" t="str">
        <f>IF(Table1[Data Leavers Date]=3000,SUM(Table1[Leaving Date]-Table1[Start Date]),"")</f>
        <v/>
      </c>
      <c r="EV494" s="44" t="str">
        <f>IF(Table1[Data Leavers Date]=4000,SUM(Table1[Leaving Date]-Table1[Start Date]),"")</f>
        <v/>
      </c>
      <c r="EW494" s="44" t="str">
        <f>IF(Table1[Data Leavers Date]=5000,SUM(Table1[Leaving Date]-Table1[Start Date]),"")</f>
        <v/>
      </c>
      <c r="EX494" s="44" t="str">
        <f>IF(Table1[Data Leavers Date]=6000,SUM(Table1[Leaving Date]-Table1[Start Date]),"")</f>
        <v/>
      </c>
      <c r="EY494" s="44" t="str">
        <f>IF(Table1[Data Leavers Date]=7000,SUM(Table1[Leaving Date]-Table1[Start Date]),"")</f>
        <v/>
      </c>
      <c r="EZ494" s="44" t="str">
        <f>IF(Table1[Data Leavers Date]=8000,SUM(Table1[Leaving Date]-Table1[Start Date]),"")</f>
        <v/>
      </c>
      <c r="FA494" s="44" t="str">
        <f>IF(Table1[Date of Initial Assessment]="","",IF(AND(Table1[Start Date]&gt;42094,Table1[Start Date]&lt;42461),Table1[Motivation and Taking Responsibility],""))</f>
        <v/>
      </c>
      <c r="FB494" s="44" t="str">
        <f>IF(Table1[Date of Initial Assessment]="","",IF(AND(Table1[Start Date]&gt;42094,Table1[Start Date]&lt;42461),Table1[Self-Care and Living Skills],""))</f>
        <v/>
      </c>
      <c r="FC494" s="44" t="str">
        <f>IF(Table1[Date of Initial Assessment]="","",IF(AND(Table1[Start Date]&gt;42094,Table1[Start Date]&lt;42461),Table1[Managing Money and Personal Administration],""))</f>
        <v/>
      </c>
      <c r="FD494" s="44" t="str">
        <f>IF(Table1[Date of Initial Assessment]="","",IF(AND(Table1[Start Date]&gt;42094,Table1[Start Date]&lt;42461),Table1[Social Networks and Relationships],""))</f>
        <v/>
      </c>
      <c r="FE494" s="44" t="str">
        <f>IF(Table1[Date of Initial Assessment]="","",IF(AND(Table1[Start Date]&gt;42094,Table1[Start Date]&lt;42461),Table1[Drug and Alcohol Misuse],""))</f>
        <v/>
      </c>
      <c r="FF494" s="44" t="str">
        <f>IF(Table1[Date of Initial Assessment]="","",IF(AND(Table1[Start Date]&gt;42094,Table1[Start Date]&lt;42461),Table1[Physical Health],""))</f>
        <v/>
      </c>
      <c r="FG494" s="44" t="str">
        <f>IF(Table1[Date of Initial Assessment]="","",IF(AND(Table1[Start Date]&gt;42094,Table1[Start Date]&lt;42461),Table1[Emotional and Mental Health],""))</f>
        <v/>
      </c>
      <c r="FH494" s="44" t="str">
        <f>IF(Table1[Date of Initial Assessment]="","",IF(AND(Table1[Start Date]&gt;42094,Table1[Start Date]&lt;42461),Table1[Meaningful Use of Time],""))</f>
        <v/>
      </c>
      <c r="FI494" s="44" t="str">
        <f>IF(Table1[Date of Initial Assessment]="","",IF(AND(Table1[Start Date]&gt;42094,Table1[Start Date]&lt;42461),Table1[Managing Tenancy and Accommodation],""))</f>
        <v/>
      </c>
      <c r="FJ494" s="44" t="str">
        <f>IF(Table1[Date of Initial Assessment]="","",IF(AND(Table1[Start Date]&gt;42094,Table1[Start Date]&lt;42461),Table1[Offending],""))</f>
        <v/>
      </c>
      <c r="FK494" s="44" t="str">
        <f>IF(Table1[Leaving Date]="","",IF(Table1[Date of Initial Assessment]="","",IF(AND(Table1[Leaving Date]&gt;42094,Table1[Leaving Date]&lt;42461),IF(Table1[Date of Last Assessment]="",Table1[Motivation and Taking Responsibility],Table1[Motivation and Taking Responsibility2]),"")))</f>
        <v/>
      </c>
      <c r="FL494" s="44" t="str">
        <f>IF(Table1[Leaving Date]="","",IF(Table1[Date of Initial Assessment]="","",IF(AND(Table1[Leaving Date]&gt;42094,Table1[Leaving Date]&lt;42461),IF(Table1[Date of Last Assessment]="",Table1[Self-Care and Living Skills],Table1[Self-Care and Living Skills2]),"")))</f>
        <v/>
      </c>
      <c r="FM494" s="44" t="str">
        <f>IF(Table1[Leaving Date]="","",IF(Table1[Date of Initial Assessment]="","",IF(AND(Table1[Leaving Date]&gt;42094,Table1[Leaving Date]&lt;42461),IF(Table1[Date of Last Assessment]="",Table1[Managing Money and Personal Administration],Table1[Managing Money and Personal Administration2]),"")))</f>
        <v/>
      </c>
      <c r="FN494" s="44" t="str">
        <f>IF(Table1[Leaving Date]="","",IF(Table1[Date of Initial Assessment]="","",IF(AND(Table1[Leaving Date]&gt;42094,Table1[Leaving Date]&lt;42461),IF(Table1[Date of Last Assessment]="",Table1[Social Networks and Relationships],Table1[Social Networks and Relationships2]),"")))</f>
        <v/>
      </c>
      <c r="FO494" s="44" t="str">
        <f>IF(Table1[Leaving Date]="","",IF(Table1[Date of Initial Assessment]="","",IF(AND(Table1[Leaving Date]&gt;42094,Table1[Leaving Date]&lt;42461),IF(Table1[Date of Last Assessment]="",Table1[Drug and Alcohol Misuse],Table1[Drug and Alcohol Misuse2]),"")))</f>
        <v/>
      </c>
      <c r="FP494" s="44" t="str">
        <f>IF(Table1[Leaving Date]="","",IF(Table1[Date of Initial Assessment]="","",IF(AND(Table1[Leaving Date]&gt;42094,Table1[Leaving Date]&lt;42461),IF(Table1[Date of Last Assessment]="",Table1[Physical Health],Table1[Physical Health2]),"")))</f>
        <v/>
      </c>
      <c r="FQ494" s="44" t="str">
        <f>IF(Table1[Leaving Date]="","",IF(Table1[Date of Initial Assessment]="","",IF(AND(Table1[Leaving Date]&gt;42094,Table1[Leaving Date]&lt;42461),IF(Table1[Date of Last Assessment]="",Table1[Emotional and Mental Health],Table1[Emotional and Mental Health2]),"")))</f>
        <v/>
      </c>
      <c r="FR494" s="44" t="str">
        <f>IF(Table1[Leaving Date]="","",IF(Table1[Date of Initial Assessment]="","",IF(AND(Table1[Leaving Date]&gt;42094,Table1[Leaving Date]&lt;42461),IF(Table1[Date of Last Assessment]="",Table1[Meaningful Use of Time],Table1[Meaningful Use of Time2]),"")))</f>
        <v/>
      </c>
      <c r="FS494" s="44" t="str">
        <f>IF(Table1[Leaving Date]="","",IF(Table1[Date of Initial Assessment]="","",IF(AND(Table1[Leaving Date]&gt;42094,Table1[Leaving Date]&lt;42461),IF(Table1[Date of Last Assessment]="",Table1[Managing Tenancy and Accommodation],Table1[Managing Tenancy and Accommodation2]),"")))</f>
        <v/>
      </c>
      <c r="FT494" s="44" t="str">
        <f>IF(Table1[Leaving Date]="","",IF(Table1[Date of Initial Assessment]="","",IF(AND(Table1[Leaving Date]&gt;42094,Table1[Leaving Date]&lt;42461),IF(Table1[Date of Last Assessment]="",Table1[Offending],Table1[Offending2]),"")))</f>
        <v/>
      </c>
      <c r="FU494" s="44" t="str">
        <f>IF(Table1[Date of Initial Assessment]="","",IF(AND(Table1[Start Date]&gt;42460,Table1[Start Date]&lt;42826),Table1[Motivation and Taking Responsibility],""))</f>
        <v/>
      </c>
      <c r="FV494" s="44" t="str">
        <f>IF(Table1[Date of Initial Assessment]="","",IF(AND(Table1[Start Date]&gt;42460,Table1[Start Date]&lt;42826),Table1[Self-Care and Living Skills],""))</f>
        <v/>
      </c>
      <c r="FW494" s="44" t="str">
        <f>IF(Table1[Date of Initial Assessment]="","",IF(AND(Table1[Start Date]&gt;42460,Table1[Start Date]&lt;42826),Table1[Managing Money and Personal Administration],""))</f>
        <v/>
      </c>
      <c r="FX494" s="44" t="str">
        <f>IF(Table1[Date of Initial Assessment]="","",IF(AND(Table1[Start Date]&gt;42460,Table1[Start Date]&lt;42826),Table1[Social Networks and Relationships],""))</f>
        <v/>
      </c>
      <c r="FY494" s="44" t="str">
        <f>IF(Table1[Date of Initial Assessment]="","",IF(AND(Table1[Start Date]&gt;42460,Table1[Start Date]&lt;42826),Table1[Drug and Alcohol Misuse],""))</f>
        <v/>
      </c>
      <c r="FZ494" s="44" t="str">
        <f>IF(Table1[Date of Initial Assessment]="","",IF(AND(Table1[Start Date]&gt;42460,Table1[Start Date]&lt;42826),Table1[Physical Health],""))</f>
        <v/>
      </c>
      <c r="GA494" s="44" t="str">
        <f>IF(Table1[Date of Initial Assessment]="","",IF(AND(Table1[Start Date]&gt;42460,Table1[Start Date]&lt;42826),Table1[Emotional and Mental Health],""))</f>
        <v/>
      </c>
      <c r="GB494" s="44" t="str">
        <f>IF(Table1[Date of Initial Assessment]="","",IF(AND(Table1[Start Date]&gt;42460,Table1[Start Date]&lt;42826),Table1[Meaningful Use of Time],""))</f>
        <v/>
      </c>
      <c r="GC494" s="44" t="str">
        <f>IF(Table1[Date of Initial Assessment]="","",IF(AND(Table1[Start Date]&gt;42460,Table1[Start Date]&lt;42826),Table1[Managing Tenancy and Accommodation],""))</f>
        <v/>
      </c>
      <c r="GD494" s="44" t="str">
        <f>IF(Table1[Date of Initial Assessment]="","",IF(AND(Table1[Start Date]&gt;42460,Table1[Start Date]&lt;42826),Table1[Offending],""))</f>
        <v/>
      </c>
      <c r="GE494" s="44" t="str">
        <f>IF(Table1[Leaving Date]="","",IF(AND(Table1[Leaving Date]&gt;42460,Table1[Leaving Date]&lt;42826),IF(Table1[Date of Last Assessment]="",Table1[Motivation and Taking Responsibility],Table1[Motivation and Taking Responsibility2]),""))</f>
        <v/>
      </c>
      <c r="GF494" s="44" t="str">
        <f>IF(Table1[Leaving Date]="","",IF(AND(Table1[Leaving Date]&gt;42460,Table1[Leaving Date]&lt;42826),IF(Table1[Date of Last Assessment]="",Table1[Self-Care and Living Skills],Table1[Self-Care and Living Skills2]),""))</f>
        <v/>
      </c>
      <c r="GG494" s="44" t="str">
        <f>IF(Table1[Leaving Date]="","",IF(AND(Table1[Leaving Date]&gt;42460,Table1[Leaving Date]&lt;42826),IF(Table1[Date of Last Assessment]="",Table1[Managing Money and Personal Administration],Table1[Managing Money and Personal Administration2]),""))</f>
        <v/>
      </c>
      <c r="GH494" s="44" t="str">
        <f>IF(Table1[Leaving Date]="","",IF(AND(Table1[Leaving Date]&gt;42460,Table1[Leaving Date]&lt;42826),IF(Table1[Date of Last Assessment]="",Table1[Social Networks and Relationships],Table1[Social Networks and Relationships2]),""))</f>
        <v/>
      </c>
      <c r="GI494" s="44" t="str">
        <f>IF(Table1[Leaving Date]="","",IF(AND(Table1[Leaving Date]&gt;42460,Table1[Leaving Date]&lt;42826),IF(Table1[Date of Last Assessment]="",Table1[Drug and Alcohol Misuse],Table1[Drug and Alcohol Misuse2]),""))</f>
        <v/>
      </c>
      <c r="GJ494" s="44" t="str">
        <f>IF(Table1[Leaving Date]="","",IF(AND(Table1[Leaving Date]&gt;42460,Table1[Leaving Date]&lt;42826),IF(Table1[Date of Last Assessment]="",Table1[Physical Health],Table1[Physical Health2]),""))</f>
        <v/>
      </c>
      <c r="GK494" s="44" t="str">
        <f>IF(Table1[Leaving Date]="","",IF(AND(Table1[Leaving Date]&gt;42460,Table1[Leaving Date]&lt;42826),IF(Table1[Date of Last Assessment]="",Table1[Emotional and Mental Health],Table1[Emotional and Mental Health2]),""))</f>
        <v/>
      </c>
      <c r="GL494" s="44" t="str">
        <f>IF(Table1[Leaving Date]="","",IF(AND(Table1[Leaving Date]&gt;42460,Table1[Leaving Date]&lt;42826),IF(Table1[Date of Last Assessment]="",Table1[Meaningful Use of Time],Table1[Meaningful Use of Time2]),""))</f>
        <v/>
      </c>
      <c r="GM494" s="44" t="str">
        <f>IF(Table1[Leaving Date]="","",IF(AND(Table1[Leaving Date]&gt;42460,Table1[Leaving Date]&lt;42826),IF(Table1[Date of Last Assessment]="",Table1[Managing Tenancy and Accommodation],Table1[Managing Tenancy and Accommodation2]),""))</f>
        <v/>
      </c>
      <c r="GN494" s="44" t="str">
        <f>IF(Table1[Leaving Date]="","",IF(AND(Table1[Leaving Date]&gt;42460,Table1[Leaving Date]&lt;42826),IF(Table1[Date of Last Assessment]="",Table1[Offending],Table1[Offending2]),""))</f>
        <v/>
      </c>
    </row>
    <row r="495" spans="2:196" ht="20.100000000000001" customHeight="1" x14ac:dyDescent="0.2">
      <c r="B495" s="86">
        <f>+'Service Data'!$C$5:$C$5</f>
        <v>0</v>
      </c>
      <c r="C495" s="86"/>
      <c r="D495" s="86"/>
      <c r="E495" s="86"/>
      <c r="F495" s="86"/>
      <c r="G495" s="86"/>
      <c r="H495" s="6"/>
      <c r="I495" s="99" t="str">
        <f ca="1">IF(Table1[[#This Row],[Date of Birth]]="","",SUM(TODAY()-Table1[[#This Row],[Date of Birth]])/365)</f>
        <v/>
      </c>
      <c r="L495" s="86"/>
      <c r="M495" s="77"/>
      <c r="N495" s="86"/>
      <c r="O495" s="86"/>
      <c r="P495" s="91"/>
      <c r="Q495" s="86"/>
      <c r="R495" s="77"/>
      <c r="S495" s="77"/>
      <c r="T495" s="68"/>
      <c r="U495" s="68"/>
      <c r="V495" s="67"/>
      <c r="W495" s="67"/>
      <c r="X495" s="67"/>
      <c r="Y495" s="67"/>
      <c r="Z495" s="67"/>
      <c r="AA495" s="67"/>
      <c r="AB495" s="67"/>
      <c r="AC495" s="67"/>
      <c r="AD495" s="67"/>
      <c r="AE495" s="67"/>
      <c r="AF495" s="67"/>
      <c r="AG495" s="67"/>
      <c r="AH495" s="67"/>
      <c r="AI495" s="67"/>
      <c r="AJ495" s="67"/>
      <c r="AK495" s="67"/>
      <c r="AL495" s="67"/>
      <c r="AM495" s="67"/>
      <c r="AN495" s="77"/>
      <c r="AO495" s="76"/>
      <c r="AP495" s="77"/>
      <c r="AQ495" s="76"/>
      <c r="AR495" s="76"/>
      <c r="AS495" s="76"/>
      <c r="AT495" s="76"/>
      <c r="AU495" s="76"/>
      <c r="AV495" s="77"/>
      <c r="AW495" s="76"/>
      <c r="AX495" s="77"/>
      <c r="AY495" s="76"/>
      <c r="AZ495" s="76"/>
      <c r="BA495" s="76"/>
      <c r="BB495" s="76"/>
      <c r="BC495" s="76"/>
      <c r="BD495" s="77"/>
      <c r="BE495" s="76"/>
      <c r="BF495" s="77"/>
      <c r="BG495" s="76"/>
      <c r="BH495" s="76"/>
      <c r="BI495" s="76"/>
      <c r="BJ495" s="76"/>
      <c r="BK495" s="76"/>
      <c r="BL495" s="77"/>
      <c r="BM495" s="76"/>
      <c r="BN495" s="77"/>
      <c r="BO495" s="76"/>
      <c r="BP495" s="76"/>
      <c r="BQ495" s="76"/>
      <c r="BR495" s="76"/>
      <c r="BS495" s="76"/>
      <c r="BT495" s="77"/>
      <c r="BU495" s="76"/>
      <c r="BV495" s="77"/>
      <c r="BW495" s="76"/>
      <c r="BX495" s="76"/>
      <c r="BY495" s="76"/>
      <c r="BZ495" s="76"/>
      <c r="CA495" s="76"/>
      <c r="CB495" s="77"/>
      <c r="CC495" s="76"/>
      <c r="CD495" s="77"/>
      <c r="CE495" s="76"/>
      <c r="CF495" s="76"/>
      <c r="CG495" s="76"/>
      <c r="CH495" s="76"/>
      <c r="CI495" s="76"/>
      <c r="CJ495" s="77"/>
      <c r="CK495" s="76"/>
      <c r="CL495" s="77"/>
      <c r="CM495" s="76"/>
      <c r="CN495" s="76"/>
      <c r="CO495" s="76"/>
      <c r="CP495" s="76"/>
      <c r="CQ495" s="76"/>
      <c r="CR495" s="78" t="str">
        <f t="shared" si="127"/>
        <v/>
      </c>
      <c r="CS495" s="79" t="str">
        <f t="shared" si="128"/>
        <v/>
      </c>
      <c r="CT495" s="79" t="str">
        <f t="shared" si="129"/>
        <v/>
      </c>
      <c r="CU495" s="79" t="str">
        <f t="shared" si="130"/>
        <v/>
      </c>
      <c r="CV495" s="79" t="str">
        <f t="shared" si="131"/>
        <v/>
      </c>
      <c r="CW495" s="79" t="str">
        <f t="shared" si="132"/>
        <v/>
      </c>
      <c r="CX495" s="79" t="str">
        <f t="shared" si="133"/>
        <v/>
      </c>
      <c r="CY495" s="79" t="str">
        <f t="shared" si="134"/>
        <v/>
      </c>
      <c r="CZ495" s="79" t="str">
        <f t="shared" si="135"/>
        <v/>
      </c>
      <c r="DA495" s="79" t="str">
        <f t="shared" si="136"/>
        <v/>
      </c>
      <c r="DB495" s="79" t="str">
        <f t="shared" si="137"/>
        <v/>
      </c>
      <c r="DC495" s="79" t="str">
        <f t="shared" si="138"/>
        <v/>
      </c>
      <c r="DD495" s="79" t="str">
        <f t="shared" si="139"/>
        <v/>
      </c>
      <c r="DE495" s="79" t="str">
        <f t="shared" si="140"/>
        <v/>
      </c>
      <c r="DF495" s="79" t="str">
        <f t="shared" si="141"/>
        <v/>
      </c>
      <c r="DG495" s="79" t="str">
        <f t="shared" si="142"/>
        <v/>
      </c>
      <c r="DH495" s="76"/>
      <c r="DI495" s="78"/>
      <c r="DJ495" s="76"/>
      <c r="DK495" s="77"/>
      <c r="DL495" s="77"/>
      <c r="DM495" s="77"/>
      <c r="DN495" s="80"/>
      <c r="DO495" s="80"/>
      <c r="DP495" s="92" t="str">
        <f>IF(Table1[Start Date]="","",IF(Table1[Start Date]&gt;42185,"",IF(AND(Table1[Leaving Date]&gt;1,Table1[Leaving Date]&lt;42095),"",1)))</f>
        <v/>
      </c>
      <c r="DQ495" s="92" t="str">
        <f>IF(Table1[Start Date]="","",IF(Table1[Start Date]&gt;42277,"",IF(AND(Table1[Leaving Date]&gt;1,Table1[Leaving Date]&lt;42186),"",1)))</f>
        <v/>
      </c>
      <c r="DR495" s="92" t="str">
        <f>IF(Table1[Start Date]="","",IF(Table1[Start Date]&gt;42369,"",IF(AND(Table1[Leaving Date]&gt;1,Table1[Leaving Date]&lt;42278),"",1)))</f>
        <v/>
      </c>
      <c r="DS495" s="92" t="str">
        <f>IF(Table1[Start Date]="","",IF(Table1[Start Date]&gt;42460,"",IF(AND(Table1[Leaving Date]&gt;1,Table1[Leaving Date]&lt;42370),"",1)))</f>
        <v/>
      </c>
      <c r="DT495" s="92" t="str">
        <f>IF(Table1[Start Date]="","",IF(Table1[Start Date]&gt;42551,"",IF(AND(Table1[Leaving Date]&gt;1,Table1[Leaving Date]&lt;42461),"",1)))</f>
        <v/>
      </c>
      <c r="DU495" s="92" t="str">
        <f>IF(Table1[Start Date]="","",IF(Table1[Start Date]&gt;42643,"",IF(AND(Table1[Leaving Date]&gt;1,Table1[Leaving Date]&lt;42552),"",1)))</f>
        <v/>
      </c>
      <c r="DV495" s="92" t="str">
        <f>IF(Table1[Start Date]="","",IF(Table1[Start Date]&gt;42735,"",IF(AND(Table1[Leaving Date]&gt;1,Table1[Leaving Date]&lt;42644),"",1)))</f>
        <v/>
      </c>
      <c r="DW495" s="92" t="str">
        <f>IF(Table1[Start Date]="","",IF(Table1[Start Date]&gt;42825,"",IF(AND(Table1[Leaving Date]&gt;1,Table1[Leaving Date]&lt;42736),"",1)))</f>
        <v/>
      </c>
      <c r="DX495"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495" s="44" t="e">
        <f>VLOOKUP(Table1[Referral Source],Lists!$G$2:$H$20,2,FALSE)</f>
        <v>#N/A</v>
      </c>
      <c r="DZ495" s="93" t="e">
        <f>SUM(Table1[Data Referral Quarter]+Table1[Data Referral Source])</f>
        <v>#N/A</v>
      </c>
      <c r="EA495" s="44" t="b">
        <f>IF(Table1[Referral Decision]="Accepted",100,IF(Table1[Referral Decision]="Rejected by Provider",200,IF(Table1[Referral Decision]="Rejected by Applicant",300)))</f>
        <v>0</v>
      </c>
      <c r="EB495" s="44">
        <f>SUM(Table1[Data Referral Quarter]+Table1[Data Referral Decision])</f>
        <v>0</v>
      </c>
      <c r="EC495" s="44" t="b">
        <f>IF(Table1[Start Date]&gt;42735,8000,IF(Table1[Start Date]&gt;42643,7000,IF(Table1[Start Date]&gt;42551,6000,IF(Table1[Start Date]&gt;42460,5000,IF(Table1[Start Date]&gt;42369,4000,IF(Table1[Start Date]&gt;42277,3000,IF(Table1[Start Date]&gt;42185,2000,IF(Table1[Start Date]&gt;42094,1000))))))))</f>
        <v>0</v>
      </c>
      <c r="ED495" s="44" t="str">
        <f>IF(Table1[Start Date]="","",IF(Table1[Current Local Authority]="Swindon",1,"2"))</f>
        <v/>
      </c>
      <c r="EE495" s="44" t="e">
        <f>SUM(Table1[Data Start Date]+Table1[Data Local Authority])</f>
        <v>#VALUE!</v>
      </c>
      <c r="EF495" s="44">
        <f>IF(Table1[Registered with GP]="Yes",1,0)</f>
        <v>0</v>
      </c>
      <c r="EG495" s="44">
        <f>SUM(Table1[Data Start Date]+Table1[Data GP Start])</f>
        <v>0</v>
      </c>
      <c r="EH495" s="44" t="str">
        <f>IF(Table1[EET]="NEET",1,IF(Table1[EET]="Education",2,IF(Table1[EET]="Employment",2,IF(Table1[EET]="Training",2,IF(Table1[EET]="Retired",3,"")))))</f>
        <v/>
      </c>
      <c r="EI495" s="44" t="e">
        <f>Table1[Data Start Date]+Table1[Data EET Start]</f>
        <v>#VALUE!</v>
      </c>
      <c r="EJ495" s="44" t="b">
        <f>IF(Table1[Leaving Date]&gt;42735,8000,IF(Table1[Leaving Date]&gt;42643,7000,IF(Table1[Leaving Date]&gt;42551,6000,IF(Table1[Leaving Date]&gt;42460,5000,IF(Table1[Leaving Date]&gt;42369,4000,IF(Table1[Leaving Date]&gt;42277,3000,IF(Table1[Leaving Date]&gt;42185,2000,IF(Table1[Leaving Date]&gt;42094,1000))))))))</f>
        <v>0</v>
      </c>
      <c r="EK495" s="44" t="e">
        <f>VLOOKUP(Table1[Reason for Leaving],Lists!$T$2:$U$15,2,FALSE)</f>
        <v>#N/A</v>
      </c>
      <c r="EL495" s="44" t="e">
        <f>SUM(Table1[Data Leavers Date]+Table1[Data Move On])</f>
        <v>#N/A</v>
      </c>
      <c r="EM495" s="44" t="b">
        <f>IF(Table1[Registered with GP2]="Yes",1,IF(Table1[Registered with GP2]="No",0,IF(Table1[Registered with GP]="Yes",1,IF(Table1[Registered with GP]="No",0))))</f>
        <v>0</v>
      </c>
      <c r="EN495" s="44">
        <f>SUM(Table1[Data Leavers Date]+Table1[Data GP End])</f>
        <v>0</v>
      </c>
      <c r="EO495" s="44" t="str">
        <f>IF(Table1[EET2]="NEET",1,IF(Table1[EET2]="Employment",2,IF(Table1[EET2]="Education",2,IF(Table1[EET2]="Training",2,IF(Table1[EET2]="Retired",3,IF(Table1[EET]="NEET",1,IF(Table1[EET]="Employment",2,IF(Table1[EET]="Education",2,IF(Table1[EET]="Training",2,IF(Table1[EET]="Retired",3,""))))))))))</f>
        <v/>
      </c>
      <c r="EP495" s="44" t="e">
        <f>+Table1[[#This Row],[Data Leavers Date]]+Table1[[#This Row],[Data EET End]]</f>
        <v>#VALUE!</v>
      </c>
      <c r="EQ495" s="44">
        <f>IF(Table1[Exit Form Received]="Yes",1,0)</f>
        <v>0</v>
      </c>
      <c r="ER495" s="44">
        <f>+Table1[[#This Row],[Data Leavers Date]]+Table1[[#This Row],[Data Exit Forms]]</f>
        <v>0</v>
      </c>
      <c r="ES495" s="44" t="str">
        <f>IF(Table1[Data Leavers Date]=1000,SUM(Table1[Leaving Date]-Table1[Start Date]),"")</f>
        <v/>
      </c>
      <c r="ET495" s="44" t="str">
        <f>IF(Table1[Data Leavers Date]=2000,SUM(Table1[Leaving Date]-Table1[Start Date]),"")</f>
        <v/>
      </c>
      <c r="EU495" s="44" t="str">
        <f>IF(Table1[Data Leavers Date]=3000,SUM(Table1[Leaving Date]-Table1[Start Date]),"")</f>
        <v/>
      </c>
      <c r="EV495" s="44" t="str">
        <f>IF(Table1[Data Leavers Date]=4000,SUM(Table1[Leaving Date]-Table1[Start Date]),"")</f>
        <v/>
      </c>
      <c r="EW495" s="44" t="str">
        <f>IF(Table1[Data Leavers Date]=5000,SUM(Table1[Leaving Date]-Table1[Start Date]),"")</f>
        <v/>
      </c>
      <c r="EX495" s="44" t="str">
        <f>IF(Table1[Data Leavers Date]=6000,SUM(Table1[Leaving Date]-Table1[Start Date]),"")</f>
        <v/>
      </c>
      <c r="EY495" s="44" t="str">
        <f>IF(Table1[Data Leavers Date]=7000,SUM(Table1[Leaving Date]-Table1[Start Date]),"")</f>
        <v/>
      </c>
      <c r="EZ495" s="44" t="str">
        <f>IF(Table1[Data Leavers Date]=8000,SUM(Table1[Leaving Date]-Table1[Start Date]),"")</f>
        <v/>
      </c>
      <c r="FA495" s="44" t="str">
        <f>IF(Table1[Date of Initial Assessment]="","",IF(AND(Table1[Start Date]&gt;42094,Table1[Start Date]&lt;42461),Table1[Motivation and Taking Responsibility],""))</f>
        <v/>
      </c>
      <c r="FB495" s="44" t="str">
        <f>IF(Table1[Date of Initial Assessment]="","",IF(AND(Table1[Start Date]&gt;42094,Table1[Start Date]&lt;42461),Table1[Self-Care and Living Skills],""))</f>
        <v/>
      </c>
      <c r="FC495" s="44" t="str">
        <f>IF(Table1[Date of Initial Assessment]="","",IF(AND(Table1[Start Date]&gt;42094,Table1[Start Date]&lt;42461),Table1[Managing Money and Personal Administration],""))</f>
        <v/>
      </c>
      <c r="FD495" s="44" t="str">
        <f>IF(Table1[Date of Initial Assessment]="","",IF(AND(Table1[Start Date]&gt;42094,Table1[Start Date]&lt;42461),Table1[Social Networks and Relationships],""))</f>
        <v/>
      </c>
      <c r="FE495" s="44" t="str">
        <f>IF(Table1[Date of Initial Assessment]="","",IF(AND(Table1[Start Date]&gt;42094,Table1[Start Date]&lt;42461),Table1[Drug and Alcohol Misuse],""))</f>
        <v/>
      </c>
      <c r="FF495" s="44" t="str">
        <f>IF(Table1[Date of Initial Assessment]="","",IF(AND(Table1[Start Date]&gt;42094,Table1[Start Date]&lt;42461),Table1[Physical Health],""))</f>
        <v/>
      </c>
      <c r="FG495" s="44" t="str">
        <f>IF(Table1[Date of Initial Assessment]="","",IF(AND(Table1[Start Date]&gt;42094,Table1[Start Date]&lt;42461),Table1[Emotional and Mental Health],""))</f>
        <v/>
      </c>
      <c r="FH495" s="44" t="str">
        <f>IF(Table1[Date of Initial Assessment]="","",IF(AND(Table1[Start Date]&gt;42094,Table1[Start Date]&lt;42461),Table1[Meaningful Use of Time],""))</f>
        <v/>
      </c>
      <c r="FI495" s="44" t="str">
        <f>IF(Table1[Date of Initial Assessment]="","",IF(AND(Table1[Start Date]&gt;42094,Table1[Start Date]&lt;42461),Table1[Managing Tenancy and Accommodation],""))</f>
        <v/>
      </c>
      <c r="FJ495" s="44" t="str">
        <f>IF(Table1[Date of Initial Assessment]="","",IF(AND(Table1[Start Date]&gt;42094,Table1[Start Date]&lt;42461),Table1[Offending],""))</f>
        <v/>
      </c>
      <c r="FK495" s="44" t="str">
        <f>IF(Table1[Leaving Date]="","",IF(Table1[Date of Initial Assessment]="","",IF(AND(Table1[Leaving Date]&gt;42094,Table1[Leaving Date]&lt;42461),IF(Table1[Date of Last Assessment]="",Table1[Motivation and Taking Responsibility],Table1[Motivation and Taking Responsibility2]),"")))</f>
        <v/>
      </c>
      <c r="FL495" s="44" t="str">
        <f>IF(Table1[Leaving Date]="","",IF(Table1[Date of Initial Assessment]="","",IF(AND(Table1[Leaving Date]&gt;42094,Table1[Leaving Date]&lt;42461),IF(Table1[Date of Last Assessment]="",Table1[Self-Care and Living Skills],Table1[Self-Care and Living Skills2]),"")))</f>
        <v/>
      </c>
      <c r="FM495" s="44" t="str">
        <f>IF(Table1[Leaving Date]="","",IF(Table1[Date of Initial Assessment]="","",IF(AND(Table1[Leaving Date]&gt;42094,Table1[Leaving Date]&lt;42461),IF(Table1[Date of Last Assessment]="",Table1[Managing Money and Personal Administration],Table1[Managing Money and Personal Administration2]),"")))</f>
        <v/>
      </c>
      <c r="FN495" s="44" t="str">
        <f>IF(Table1[Leaving Date]="","",IF(Table1[Date of Initial Assessment]="","",IF(AND(Table1[Leaving Date]&gt;42094,Table1[Leaving Date]&lt;42461),IF(Table1[Date of Last Assessment]="",Table1[Social Networks and Relationships],Table1[Social Networks and Relationships2]),"")))</f>
        <v/>
      </c>
      <c r="FO495" s="44" t="str">
        <f>IF(Table1[Leaving Date]="","",IF(Table1[Date of Initial Assessment]="","",IF(AND(Table1[Leaving Date]&gt;42094,Table1[Leaving Date]&lt;42461),IF(Table1[Date of Last Assessment]="",Table1[Drug and Alcohol Misuse],Table1[Drug and Alcohol Misuse2]),"")))</f>
        <v/>
      </c>
      <c r="FP495" s="44" t="str">
        <f>IF(Table1[Leaving Date]="","",IF(Table1[Date of Initial Assessment]="","",IF(AND(Table1[Leaving Date]&gt;42094,Table1[Leaving Date]&lt;42461),IF(Table1[Date of Last Assessment]="",Table1[Physical Health],Table1[Physical Health2]),"")))</f>
        <v/>
      </c>
      <c r="FQ495" s="44" t="str">
        <f>IF(Table1[Leaving Date]="","",IF(Table1[Date of Initial Assessment]="","",IF(AND(Table1[Leaving Date]&gt;42094,Table1[Leaving Date]&lt;42461),IF(Table1[Date of Last Assessment]="",Table1[Emotional and Mental Health],Table1[Emotional and Mental Health2]),"")))</f>
        <v/>
      </c>
      <c r="FR495" s="44" t="str">
        <f>IF(Table1[Leaving Date]="","",IF(Table1[Date of Initial Assessment]="","",IF(AND(Table1[Leaving Date]&gt;42094,Table1[Leaving Date]&lt;42461),IF(Table1[Date of Last Assessment]="",Table1[Meaningful Use of Time],Table1[Meaningful Use of Time2]),"")))</f>
        <v/>
      </c>
      <c r="FS495" s="44" t="str">
        <f>IF(Table1[Leaving Date]="","",IF(Table1[Date of Initial Assessment]="","",IF(AND(Table1[Leaving Date]&gt;42094,Table1[Leaving Date]&lt;42461),IF(Table1[Date of Last Assessment]="",Table1[Managing Tenancy and Accommodation],Table1[Managing Tenancy and Accommodation2]),"")))</f>
        <v/>
      </c>
      <c r="FT495" s="44" t="str">
        <f>IF(Table1[Leaving Date]="","",IF(Table1[Date of Initial Assessment]="","",IF(AND(Table1[Leaving Date]&gt;42094,Table1[Leaving Date]&lt;42461),IF(Table1[Date of Last Assessment]="",Table1[Offending],Table1[Offending2]),"")))</f>
        <v/>
      </c>
      <c r="FU495" s="44" t="str">
        <f>IF(Table1[Date of Initial Assessment]="","",IF(AND(Table1[Start Date]&gt;42460,Table1[Start Date]&lt;42826),Table1[Motivation and Taking Responsibility],""))</f>
        <v/>
      </c>
      <c r="FV495" s="44" t="str">
        <f>IF(Table1[Date of Initial Assessment]="","",IF(AND(Table1[Start Date]&gt;42460,Table1[Start Date]&lt;42826),Table1[Self-Care and Living Skills],""))</f>
        <v/>
      </c>
      <c r="FW495" s="44" t="str">
        <f>IF(Table1[Date of Initial Assessment]="","",IF(AND(Table1[Start Date]&gt;42460,Table1[Start Date]&lt;42826),Table1[Managing Money and Personal Administration],""))</f>
        <v/>
      </c>
      <c r="FX495" s="44" t="str">
        <f>IF(Table1[Date of Initial Assessment]="","",IF(AND(Table1[Start Date]&gt;42460,Table1[Start Date]&lt;42826),Table1[Social Networks and Relationships],""))</f>
        <v/>
      </c>
      <c r="FY495" s="44" t="str">
        <f>IF(Table1[Date of Initial Assessment]="","",IF(AND(Table1[Start Date]&gt;42460,Table1[Start Date]&lt;42826),Table1[Drug and Alcohol Misuse],""))</f>
        <v/>
      </c>
      <c r="FZ495" s="44" t="str">
        <f>IF(Table1[Date of Initial Assessment]="","",IF(AND(Table1[Start Date]&gt;42460,Table1[Start Date]&lt;42826),Table1[Physical Health],""))</f>
        <v/>
      </c>
      <c r="GA495" s="44" t="str">
        <f>IF(Table1[Date of Initial Assessment]="","",IF(AND(Table1[Start Date]&gt;42460,Table1[Start Date]&lt;42826),Table1[Emotional and Mental Health],""))</f>
        <v/>
      </c>
      <c r="GB495" s="44" t="str">
        <f>IF(Table1[Date of Initial Assessment]="","",IF(AND(Table1[Start Date]&gt;42460,Table1[Start Date]&lt;42826),Table1[Meaningful Use of Time],""))</f>
        <v/>
      </c>
      <c r="GC495" s="44" t="str">
        <f>IF(Table1[Date of Initial Assessment]="","",IF(AND(Table1[Start Date]&gt;42460,Table1[Start Date]&lt;42826),Table1[Managing Tenancy and Accommodation],""))</f>
        <v/>
      </c>
      <c r="GD495" s="44" t="str">
        <f>IF(Table1[Date of Initial Assessment]="","",IF(AND(Table1[Start Date]&gt;42460,Table1[Start Date]&lt;42826),Table1[Offending],""))</f>
        <v/>
      </c>
      <c r="GE495" s="44" t="str">
        <f>IF(Table1[Leaving Date]="","",IF(AND(Table1[Leaving Date]&gt;42460,Table1[Leaving Date]&lt;42826),IF(Table1[Date of Last Assessment]="",Table1[Motivation and Taking Responsibility],Table1[Motivation and Taking Responsibility2]),""))</f>
        <v/>
      </c>
      <c r="GF495" s="44" t="str">
        <f>IF(Table1[Leaving Date]="","",IF(AND(Table1[Leaving Date]&gt;42460,Table1[Leaving Date]&lt;42826),IF(Table1[Date of Last Assessment]="",Table1[Self-Care and Living Skills],Table1[Self-Care and Living Skills2]),""))</f>
        <v/>
      </c>
      <c r="GG495" s="44" t="str">
        <f>IF(Table1[Leaving Date]="","",IF(AND(Table1[Leaving Date]&gt;42460,Table1[Leaving Date]&lt;42826),IF(Table1[Date of Last Assessment]="",Table1[Managing Money and Personal Administration],Table1[Managing Money and Personal Administration2]),""))</f>
        <v/>
      </c>
      <c r="GH495" s="44" t="str">
        <f>IF(Table1[Leaving Date]="","",IF(AND(Table1[Leaving Date]&gt;42460,Table1[Leaving Date]&lt;42826),IF(Table1[Date of Last Assessment]="",Table1[Social Networks and Relationships],Table1[Social Networks and Relationships2]),""))</f>
        <v/>
      </c>
      <c r="GI495" s="44" t="str">
        <f>IF(Table1[Leaving Date]="","",IF(AND(Table1[Leaving Date]&gt;42460,Table1[Leaving Date]&lt;42826),IF(Table1[Date of Last Assessment]="",Table1[Drug and Alcohol Misuse],Table1[Drug and Alcohol Misuse2]),""))</f>
        <v/>
      </c>
      <c r="GJ495" s="44" t="str">
        <f>IF(Table1[Leaving Date]="","",IF(AND(Table1[Leaving Date]&gt;42460,Table1[Leaving Date]&lt;42826),IF(Table1[Date of Last Assessment]="",Table1[Physical Health],Table1[Physical Health2]),""))</f>
        <v/>
      </c>
      <c r="GK495" s="44" t="str">
        <f>IF(Table1[Leaving Date]="","",IF(AND(Table1[Leaving Date]&gt;42460,Table1[Leaving Date]&lt;42826),IF(Table1[Date of Last Assessment]="",Table1[Emotional and Mental Health],Table1[Emotional and Mental Health2]),""))</f>
        <v/>
      </c>
      <c r="GL495" s="44" t="str">
        <f>IF(Table1[Leaving Date]="","",IF(AND(Table1[Leaving Date]&gt;42460,Table1[Leaving Date]&lt;42826),IF(Table1[Date of Last Assessment]="",Table1[Meaningful Use of Time],Table1[Meaningful Use of Time2]),""))</f>
        <v/>
      </c>
      <c r="GM495" s="44" t="str">
        <f>IF(Table1[Leaving Date]="","",IF(AND(Table1[Leaving Date]&gt;42460,Table1[Leaving Date]&lt;42826),IF(Table1[Date of Last Assessment]="",Table1[Managing Tenancy and Accommodation],Table1[Managing Tenancy and Accommodation2]),""))</f>
        <v/>
      </c>
      <c r="GN495" s="44" t="str">
        <f>IF(Table1[Leaving Date]="","",IF(AND(Table1[Leaving Date]&gt;42460,Table1[Leaving Date]&lt;42826),IF(Table1[Date of Last Assessment]="",Table1[Offending],Table1[Offending2]),""))</f>
        <v/>
      </c>
    </row>
    <row r="496" spans="2:196" ht="20.100000000000001" customHeight="1" x14ac:dyDescent="0.2">
      <c r="B496" s="86">
        <f>+'Service Data'!$C$5:$C$5</f>
        <v>0</v>
      </c>
      <c r="C496" s="86"/>
      <c r="D496" s="86"/>
      <c r="E496" s="86"/>
      <c r="F496" s="86"/>
      <c r="G496" s="86"/>
      <c r="H496" s="6"/>
      <c r="I496" s="99" t="str">
        <f ca="1">IF(Table1[[#This Row],[Date of Birth]]="","",SUM(TODAY()-Table1[[#This Row],[Date of Birth]])/365)</f>
        <v/>
      </c>
      <c r="L496" s="86"/>
      <c r="M496" s="77"/>
      <c r="N496" s="86"/>
      <c r="O496" s="86"/>
      <c r="P496" s="91"/>
      <c r="Q496" s="86"/>
      <c r="R496" s="77"/>
      <c r="S496" s="77"/>
      <c r="T496" s="68"/>
      <c r="U496" s="68"/>
      <c r="V496" s="67"/>
      <c r="W496" s="67"/>
      <c r="X496" s="67"/>
      <c r="Y496" s="67"/>
      <c r="Z496" s="67"/>
      <c r="AA496" s="67"/>
      <c r="AB496" s="67"/>
      <c r="AC496" s="67"/>
      <c r="AD496" s="67"/>
      <c r="AE496" s="67"/>
      <c r="AF496" s="67"/>
      <c r="AG496" s="67"/>
      <c r="AH496" s="67"/>
      <c r="AI496" s="67"/>
      <c r="AJ496" s="67"/>
      <c r="AK496" s="67"/>
      <c r="AL496" s="67"/>
      <c r="AM496" s="67"/>
      <c r="AN496" s="77"/>
      <c r="AO496" s="76"/>
      <c r="AP496" s="77"/>
      <c r="AQ496" s="76"/>
      <c r="AR496" s="76"/>
      <c r="AS496" s="76"/>
      <c r="AT496" s="76"/>
      <c r="AU496" s="76"/>
      <c r="AV496" s="77"/>
      <c r="AW496" s="76"/>
      <c r="AX496" s="77"/>
      <c r="AY496" s="76"/>
      <c r="AZ496" s="76"/>
      <c r="BA496" s="76"/>
      <c r="BB496" s="76"/>
      <c r="BC496" s="76"/>
      <c r="BD496" s="77"/>
      <c r="BE496" s="76"/>
      <c r="BF496" s="77"/>
      <c r="BG496" s="76"/>
      <c r="BH496" s="76"/>
      <c r="BI496" s="76"/>
      <c r="BJ496" s="76"/>
      <c r="BK496" s="76"/>
      <c r="BL496" s="77"/>
      <c r="BM496" s="76"/>
      <c r="BN496" s="77"/>
      <c r="BO496" s="76"/>
      <c r="BP496" s="76"/>
      <c r="BQ496" s="76"/>
      <c r="BR496" s="76"/>
      <c r="BS496" s="76"/>
      <c r="BT496" s="77"/>
      <c r="BU496" s="76"/>
      <c r="BV496" s="77"/>
      <c r="BW496" s="76"/>
      <c r="BX496" s="76"/>
      <c r="BY496" s="76"/>
      <c r="BZ496" s="76"/>
      <c r="CA496" s="76"/>
      <c r="CB496" s="77"/>
      <c r="CC496" s="76"/>
      <c r="CD496" s="77"/>
      <c r="CE496" s="76"/>
      <c r="CF496" s="76"/>
      <c r="CG496" s="76"/>
      <c r="CH496" s="76"/>
      <c r="CI496" s="76"/>
      <c r="CJ496" s="77"/>
      <c r="CK496" s="76"/>
      <c r="CL496" s="77"/>
      <c r="CM496" s="76"/>
      <c r="CN496" s="76"/>
      <c r="CO496" s="76"/>
      <c r="CP496" s="76"/>
      <c r="CQ496" s="76"/>
      <c r="CR496" s="78" t="str">
        <f t="shared" si="127"/>
        <v/>
      </c>
      <c r="CS496" s="79" t="str">
        <f t="shared" si="128"/>
        <v/>
      </c>
      <c r="CT496" s="79" t="str">
        <f t="shared" si="129"/>
        <v/>
      </c>
      <c r="CU496" s="79" t="str">
        <f t="shared" si="130"/>
        <v/>
      </c>
      <c r="CV496" s="79" t="str">
        <f t="shared" si="131"/>
        <v/>
      </c>
      <c r="CW496" s="79" t="str">
        <f t="shared" si="132"/>
        <v/>
      </c>
      <c r="CX496" s="79" t="str">
        <f t="shared" si="133"/>
        <v/>
      </c>
      <c r="CY496" s="79" t="str">
        <f t="shared" si="134"/>
        <v/>
      </c>
      <c r="CZ496" s="79" t="str">
        <f t="shared" si="135"/>
        <v/>
      </c>
      <c r="DA496" s="79" t="str">
        <f t="shared" si="136"/>
        <v/>
      </c>
      <c r="DB496" s="79" t="str">
        <f t="shared" si="137"/>
        <v/>
      </c>
      <c r="DC496" s="79" t="str">
        <f t="shared" si="138"/>
        <v/>
      </c>
      <c r="DD496" s="79" t="str">
        <f t="shared" si="139"/>
        <v/>
      </c>
      <c r="DE496" s="79" t="str">
        <f t="shared" si="140"/>
        <v/>
      </c>
      <c r="DF496" s="79" t="str">
        <f t="shared" si="141"/>
        <v/>
      </c>
      <c r="DG496" s="79" t="str">
        <f t="shared" si="142"/>
        <v/>
      </c>
      <c r="DH496" s="76"/>
      <c r="DI496" s="78"/>
      <c r="DJ496" s="76"/>
      <c r="DK496" s="77"/>
      <c r="DL496" s="77"/>
      <c r="DM496" s="77"/>
      <c r="DN496" s="80"/>
      <c r="DO496" s="80"/>
      <c r="DP496" s="92" t="str">
        <f>IF(Table1[Start Date]="","",IF(Table1[Start Date]&gt;42185,"",IF(AND(Table1[Leaving Date]&gt;1,Table1[Leaving Date]&lt;42095),"",1)))</f>
        <v/>
      </c>
      <c r="DQ496" s="92" t="str">
        <f>IF(Table1[Start Date]="","",IF(Table1[Start Date]&gt;42277,"",IF(AND(Table1[Leaving Date]&gt;1,Table1[Leaving Date]&lt;42186),"",1)))</f>
        <v/>
      </c>
      <c r="DR496" s="92" t="str">
        <f>IF(Table1[Start Date]="","",IF(Table1[Start Date]&gt;42369,"",IF(AND(Table1[Leaving Date]&gt;1,Table1[Leaving Date]&lt;42278),"",1)))</f>
        <v/>
      </c>
      <c r="DS496" s="92" t="str">
        <f>IF(Table1[Start Date]="","",IF(Table1[Start Date]&gt;42460,"",IF(AND(Table1[Leaving Date]&gt;1,Table1[Leaving Date]&lt;42370),"",1)))</f>
        <v/>
      </c>
      <c r="DT496" s="92" t="str">
        <f>IF(Table1[Start Date]="","",IF(Table1[Start Date]&gt;42551,"",IF(AND(Table1[Leaving Date]&gt;1,Table1[Leaving Date]&lt;42461),"",1)))</f>
        <v/>
      </c>
      <c r="DU496" s="92" t="str">
        <f>IF(Table1[Start Date]="","",IF(Table1[Start Date]&gt;42643,"",IF(AND(Table1[Leaving Date]&gt;1,Table1[Leaving Date]&lt;42552),"",1)))</f>
        <v/>
      </c>
      <c r="DV496" s="92" t="str">
        <f>IF(Table1[Start Date]="","",IF(Table1[Start Date]&gt;42735,"",IF(AND(Table1[Leaving Date]&gt;1,Table1[Leaving Date]&lt;42644),"",1)))</f>
        <v/>
      </c>
      <c r="DW496" s="92" t="str">
        <f>IF(Table1[Start Date]="","",IF(Table1[Start Date]&gt;42825,"",IF(AND(Table1[Leaving Date]&gt;1,Table1[Leaving Date]&lt;42736),"",1)))</f>
        <v/>
      </c>
      <c r="DX496"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496" s="44" t="e">
        <f>VLOOKUP(Table1[Referral Source],Lists!$G$2:$H$20,2,FALSE)</f>
        <v>#N/A</v>
      </c>
      <c r="DZ496" s="93" t="e">
        <f>SUM(Table1[Data Referral Quarter]+Table1[Data Referral Source])</f>
        <v>#N/A</v>
      </c>
      <c r="EA496" s="44" t="b">
        <f>IF(Table1[Referral Decision]="Accepted",100,IF(Table1[Referral Decision]="Rejected by Provider",200,IF(Table1[Referral Decision]="Rejected by Applicant",300)))</f>
        <v>0</v>
      </c>
      <c r="EB496" s="44">
        <f>SUM(Table1[Data Referral Quarter]+Table1[Data Referral Decision])</f>
        <v>0</v>
      </c>
      <c r="EC496" s="44" t="b">
        <f>IF(Table1[Start Date]&gt;42735,8000,IF(Table1[Start Date]&gt;42643,7000,IF(Table1[Start Date]&gt;42551,6000,IF(Table1[Start Date]&gt;42460,5000,IF(Table1[Start Date]&gt;42369,4000,IF(Table1[Start Date]&gt;42277,3000,IF(Table1[Start Date]&gt;42185,2000,IF(Table1[Start Date]&gt;42094,1000))))))))</f>
        <v>0</v>
      </c>
      <c r="ED496" s="44" t="str">
        <f>IF(Table1[Start Date]="","",IF(Table1[Current Local Authority]="Swindon",1,"2"))</f>
        <v/>
      </c>
      <c r="EE496" s="44" t="e">
        <f>SUM(Table1[Data Start Date]+Table1[Data Local Authority])</f>
        <v>#VALUE!</v>
      </c>
      <c r="EF496" s="44">
        <f>IF(Table1[Registered with GP]="Yes",1,0)</f>
        <v>0</v>
      </c>
      <c r="EG496" s="44">
        <f>SUM(Table1[Data Start Date]+Table1[Data GP Start])</f>
        <v>0</v>
      </c>
      <c r="EH496" s="44" t="str">
        <f>IF(Table1[EET]="NEET",1,IF(Table1[EET]="Education",2,IF(Table1[EET]="Employment",2,IF(Table1[EET]="Training",2,IF(Table1[EET]="Retired",3,"")))))</f>
        <v/>
      </c>
      <c r="EI496" s="44" t="e">
        <f>Table1[Data Start Date]+Table1[Data EET Start]</f>
        <v>#VALUE!</v>
      </c>
      <c r="EJ496" s="44" t="b">
        <f>IF(Table1[Leaving Date]&gt;42735,8000,IF(Table1[Leaving Date]&gt;42643,7000,IF(Table1[Leaving Date]&gt;42551,6000,IF(Table1[Leaving Date]&gt;42460,5000,IF(Table1[Leaving Date]&gt;42369,4000,IF(Table1[Leaving Date]&gt;42277,3000,IF(Table1[Leaving Date]&gt;42185,2000,IF(Table1[Leaving Date]&gt;42094,1000))))))))</f>
        <v>0</v>
      </c>
      <c r="EK496" s="44" t="e">
        <f>VLOOKUP(Table1[Reason for Leaving],Lists!$T$2:$U$15,2,FALSE)</f>
        <v>#N/A</v>
      </c>
      <c r="EL496" s="44" t="e">
        <f>SUM(Table1[Data Leavers Date]+Table1[Data Move On])</f>
        <v>#N/A</v>
      </c>
      <c r="EM496" s="44" t="b">
        <f>IF(Table1[Registered with GP2]="Yes",1,IF(Table1[Registered with GP2]="No",0,IF(Table1[Registered with GP]="Yes",1,IF(Table1[Registered with GP]="No",0))))</f>
        <v>0</v>
      </c>
      <c r="EN496" s="44">
        <f>SUM(Table1[Data Leavers Date]+Table1[Data GP End])</f>
        <v>0</v>
      </c>
      <c r="EO496" s="44" t="str">
        <f>IF(Table1[EET2]="NEET",1,IF(Table1[EET2]="Employment",2,IF(Table1[EET2]="Education",2,IF(Table1[EET2]="Training",2,IF(Table1[EET2]="Retired",3,IF(Table1[EET]="NEET",1,IF(Table1[EET]="Employment",2,IF(Table1[EET]="Education",2,IF(Table1[EET]="Training",2,IF(Table1[EET]="Retired",3,""))))))))))</f>
        <v/>
      </c>
      <c r="EP496" s="44" t="e">
        <f>+Table1[[#This Row],[Data Leavers Date]]+Table1[[#This Row],[Data EET End]]</f>
        <v>#VALUE!</v>
      </c>
      <c r="EQ496" s="44">
        <f>IF(Table1[Exit Form Received]="Yes",1,0)</f>
        <v>0</v>
      </c>
      <c r="ER496" s="44">
        <f>+Table1[[#This Row],[Data Leavers Date]]+Table1[[#This Row],[Data Exit Forms]]</f>
        <v>0</v>
      </c>
      <c r="ES496" s="44" t="str">
        <f>IF(Table1[Data Leavers Date]=1000,SUM(Table1[Leaving Date]-Table1[Start Date]),"")</f>
        <v/>
      </c>
      <c r="ET496" s="44" t="str">
        <f>IF(Table1[Data Leavers Date]=2000,SUM(Table1[Leaving Date]-Table1[Start Date]),"")</f>
        <v/>
      </c>
      <c r="EU496" s="44" t="str">
        <f>IF(Table1[Data Leavers Date]=3000,SUM(Table1[Leaving Date]-Table1[Start Date]),"")</f>
        <v/>
      </c>
      <c r="EV496" s="44" t="str">
        <f>IF(Table1[Data Leavers Date]=4000,SUM(Table1[Leaving Date]-Table1[Start Date]),"")</f>
        <v/>
      </c>
      <c r="EW496" s="44" t="str">
        <f>IF(Table1[Data Leavers Date]=5000,SUM(Table1[Leaving Date]-Table1[Start Date]),"")</f>
        <v/>
      </c>
      <c r="EX496" s="44" t="str">
        <f>IF(Table1[Data Leavers Date]=6000,SUM(Table1[Leaving Date]-Table1[Start Date]),"")</f>
        <v/>
      </c>
      <c r="EY496" s="44" t="str">
        <f>IF(Table1[Data Leavers Date]=7000,SUM(Table1[Leaving Date]-Table1[Start Date]),"")</f>
        <v/>
      </c>
      <c r="EZ496" s="44" t="str">
        <f>IF(Table1[Data Leavers Date]=8000,SUM(Table1[Leaving Date]-Table1[Start Date]),"")</f>
        <v/>
      </c>
      <c r="FA496" s="44" t="str">
        <f>IF(Table1[Date of Initial Assessment]="","",IF(AND(Table1[Start Date]&gt;42094,Table1[Start Date]&lt;42461),Table1[Motivation and Taking Responsibility],""))</f>
        <v/>
      </c>
      <c r="FB496" s="44" t="str">
        <f>IF(Table1[Date of Initial Assessment]="","",IF(AND(Table1[Start Date]&gt;42094,Table1[Start Date]&lt;42461),Table1[Self-Care and Living Skills],""))</f>
        <v/>
      </c>
      <c r="FC496" s="44" t="str">
        <f>IF(Table1[Date of Initial Assessment]="","",IF(AND(Table1[Start Date]&gt;42094,Table1[Start Date]&lt;42461),Table1[Managing Money and Personal Administration],""))</f>
        <v/>
      </c>
      <c r="FD496" s="44" t="str">
        <f>IF(Table1[Date of Initial Assessment]="","",IF(AND(Table1[Start Date]&gt;42094,Table1[Start Date]&lt;42461),Table1[Social Networks and Relationships],""))</f>
        <v/>
      </c>
      <c r="FE496" s="44" t="str">
        <f>IF(Table1[Date of Initial Assessment]="","",IF(AND(Table1[Start Date]&gt;42094,Table1[Start Date]&lt;42461),Table1[Drug and Alcohol Misuse],""))</f>
        <v/>
      </c>
      <c r="FF496" s="44" t="str">
        <f>IF(Table1[Date of Initial Assessment]="","",IF(AND(Table1[Start Date]&gt;42094,Table1[Start Date]&lt;42461),Table1[Physical Health],""))</f>
        <v/>
      </c>
      <c r="FG496" s="44" t="str">
        <f>IF(Table1[Date of Initial Assessment]="","",IF(AND(Table1[Start Date]&gt;42094,Table1[Start Date]&lt;42461),Table1[Emotional and Mental Health],""))</f>
        <v/>
      </c>
      <c r="FH496" s="44" t="str">
        <f>IF(Table1[Date of Initial Assessment]="","",IF(AND(Table1[Start Date]&gt;42094,Table1[Start Date]&lt;42461),Table1[Meaningful Use of Time],""))</f>
        <v/>
      </c>
      <c r="FI496" s="44" t="str">
        <f>IF(Table1[Date of Initial Assessment]="","",IF(AND(Table1[Start Date]&gt;42094,Table1[Start Date]&lt;42461),Table1[Managing Tenancy and Accommodation],""))</f>
        <v/>
      </c>
      <c r="FJ496" s="44" t="str">
        <f>IF(Table1[Date of Initial Assessment]="","",IF(AND(Table1[Start Date]&gt;42094,Table1[Start Date]&lt;42461),Table1[Offending],""))</f>
        <v/>
      </c>
      <c r="FK496" s="44" t="str">
        <f>IF(Table1[Leaving Date]="","",IF(Table1[Date of Initial Assessment]="","",IF(AND(Table1[Leaving Date]&gt;42094,Table1[Leaving Date]&lt;42461),IF(Table1[Date of Last Assessment]="",Table1[Motivation and Taking Responsibility],Table1[Motivation and Taking Responsibility2]),"")))</f>
        <v/>
      </c>
      <c r="FL496" s="44" t="str">
        <f>IF(Table1[Leaving Date]="","",IF(Table1[Date of Initial Assessment]="","",IF(AND(Table1[Leaving Date]&gt;42094,Table1[Leaving Date]&lt;42461),IF(Table1[Date of Last Assessment]="",Table1[Self-Care and Living Skills],Table1[Self-Care and Living Skills2]),"")))</f>
        <v/>
      </c>
      <c r="FM496" s="44" t="str">
        <f>IF(Table1[Leaving Date]="","",IF(Table1[Date of Initial Assessment]="","",IF(AND(Table1[Leaving Date]&gt;42094,Table1[Leaving Date]&lt;42461),IF(Table1[Date of Last Assessment]="",Table1[Managing Money and Personal Administration],Table1[Managing Money and Personal Administration2]),"")))</f>
        <v/>
      </c>
      <c r="FN496" s="44" t="str">
        <f>IF(Table1[Leaving Date]="","",IF(Table1[Date of Initial Assessment]="","",IF(AND(Table1[Leaving Date]&gt;42094,Table1[Leaving Date]&lt;42461),IF(Table1[Date of Last Assessment]="",Table1[Social Networks and Relationships],Table1[Social Networks and Relationships2]),"")))</f>
        <v/>
      </c>
      <c r="FO496" s="44" t="str">
        <f>IF(Table1[Leaving Date]="","",IF(Table1[Date of Initial Assessment]="","",IF(AND(Table1[Leaving Date]&gt;42094,Table1[Leaving Date]&lt;42461),IF(Table1[Date of Last Assessment]="",Table1[Drug and Alcohol Misuse],Table1[Drug and Alcohol Misuse2]),"")))</f>
        <v/>
      </c>
      <c r="FP496" s="44" t="str">
        <f>IF(Table1[Leaving Date]="","",IF(Table1[Date of Initial Assessment]="","",IF(AND(Table1[Leaving Date]&gt;42094,Table1[Leaving Date]&lt;42461),IF(Table1[Date of Last Assessment]="",Table1[Physical Health],Table1[Physical Health2]),"")))</f>
        <v/>
      </c>
      <c r="FQ496" s="44" t="str">
        <f>IF(Table1[Leaving Date]="","",IF(Table1[Date of Initial Assessment]="","",IF(AND(Table1[Leaving Date]&gt;42094,Table1[Leaving Date]&lt;42461),IF(Table1[Date of Last Assessment]="",Table1[Emotional and Mental Health],Table1[Emotional and Mental Health2]),"")))</f>
        <v/>
      </c>
      <c r="FR496" s="44" t="str">
        <f>IF(Table1[Leaving Date]="","",IF(Table1[Date of Initial Assessment]="","",IF(AND(Table1[Leaving Date]&gt;42094,Table1[Leaving Date]&lt;42461),IF(Table1[Date of Last Assessment]="",Table1[Meaningful Use of Time],Table1[Meaningful Use of Time2]),"")))</f>
        <v/>
      </c>
      <c r="FS496" s="44" t="str">
        <f>IF(Table1[Leaving Date]="","",IF(Table1[Date of Initial Assessment]="","",IF(AND(Table1[Leaving Date]&gt;42094,Table1[Leaving Date]&lt;42461),IF(Table1[Date of Last Assessment]="",Table1[Managing Tenancy and Accommodation],Table1[Managing Tenancy and Accommodation2]),"")))</f>
        <v/>
      </c>
      <c r="FT496" s="44" t="str">
        <f>IF(Table1[Leaving Date]="","",IF(Table1[Date of Initial Assessment]="","",IF(AND(Table1[Leaving Date]&gt;42094,Table1[Leaving Date]&lt;42461),IF(Table1[Date of Last Assessment]="",Table1[Offending],Table1[Offending2]),"")))</f>
        <v/>
      </c>
      <c r="FU496" s="44" t="str">
        <f>IF(Table1[Date of Initial Assessment]="","",IF(AND(Table1[Start Date]&gt;42460,Table1[Start Date]&lt;42826),Table1[Motivation and Taking Responsibility],""))</f>
        <v/>
      </c>
      <c r="FV496" s="44" t="str">
        <f>IF(Table1[Date of Initial Assessment]="","",IF(AND(Table1[Start Date]&gt;42460,Table1[Start Date]&lt;42826),Table1[Self-Care and Living Skills],""))</f>
        <v/>
      </c>
      <c r="FW496" s="44" t="str">
        <f>IF(Table1[Date of Initial Assessment]="","",IF(AND(Table1[Start Date]&gt;42460,Table1[Start Date]&lt;42826),Table1[Managing Money and Personal Administration],""))</f>
        <v/>
      </c>
      <c r="FX496" s="44" t="str">
        <f>IF(Table1[Date of Initial Assessment]="","",IF(AND(Table1[Start Date]&gt;42460,Table1[Start Date]&lt;42826),Table1[Social Networks and Relationships],""))</f>
        <v/>
      </c>
      <c r="FY496" s="44" t="str">
        <f>IF(Table1[Date of Initial Assessment]="","",IF(AND(Table1[Start Date]&gt;42460,Table1[Start Date]&lt;42826),Table1[Drug and Alcohol Misuse],""))</f>
        <v/>
      </c>
      <c r="FZ496" s="44" t="str">
        <f>IF(Table1[Date of Initial Assessment]="","",IF(AND(Table1[Start Date]&gt;42460,Table1[Start Date]&lt;42826),Table1[Physical Health],""))</f>
        <v/>
      </c>
      <c r="GA496" s="44" t="str">
        <f>IF(Table1[Date of Initial Assessment]="","",IF(AND(Table1[Start Date]&gt;42460,Table1[Start Date]&lt;42826),Table1[Emotional and Mental Health],""))</f>
        <v/>
      </c>
      <c r="GB496" s="44" t="str">
        <f>IF(Table1[Date of Initial Assessment]="","",IF(AND(Table1[Start Date]&gt;42460,Table1[Start Date]&lt;42826),Table1[Meaningful Use of Time],""))</f>
        <v/>
      </c>
      <c r="GC496" s="44" t="str">
        <f>IF(Table1[Date of Initial Assessment]="","",IF(AND(Table1[Start Date]&gt;42460,Table1[Start Date]&lt;42826),Table1[Managing Tenancy and Accommodation],""))</f>
        <v/>
      </c>
      <c r="GD496" s="44" t="str">
        <f>IF(Table1[Date of Initial Assessment]="","",IF(AND(Table1[Start Date]&gt;42460,Table1[Start Date]&lt;42826),Table1[Offending],""))</f>
        <v/>
      </c>
      <c r="GE496" s="44" t="str">
        <f>IF(Table1[Leaving Date]="","",IF(AND(Table1[Leaving Date]&gt;42460,Table1[Leaving Date]&lt;42826),IF(Table1[Date of Last Assessment]="",Table1[Motivation and Taking Responsibility],Table1[Motivation and Taking Responsibility2]),""))</f>
        <v/>
      </c>
      <c r="GF496" s="44" t="str">
        <f>IF(Table1[Leaving Date]="","",IF(AND(Table1[Leaving Date]&gt;42460,Table1[Leaving Date]&lt;42826),IF(Table1[Date of Last Assessment]="",Table1[Self-Care and Living Skills],Table1[Self-Care and Living Skills2]),""))</f>
        <v/>
      </c>
      <c r="GG496" s="44" t="str">
        <f>IF(Table1[Leaving Date]="","",IF(AND(Table1[Leaving Date]&gt;42460,Table1[Leaving Date]&lt;42826),IF(Table1[Date of Last Assessment]="",Table1[Managing Money and Personal Administration],Table1[Managing Money and Personal Administration2]),""))</f>
        <v/>
      </c>
      <c r="GH496" s="44" t="str">
        <f>IF(Table1[Leaving Date]="","",IF(AND(Table1[Leaving Date]&gt;42460,Table1[Leaving Date]&lt;42826),IF(Table1[Date of Last Assessment]="",Table1[Social Networks and Relationships],Table1[Social Networks and Relationships2]),""))</f>
        <v/>
      </c>
      <c r="GI496" s="44" t="str">
        <f>IF(Table1[Leaving Date]="","",IF(AND(Table1[Leaving Date]&gt;42460,Table1[Leaving Date]&lt;42826),IF(Table1[Date of Last Assessment]="",Table1[Drug and Alcohol Misuse],Table1[Drug and Alcohol Misuse2]),""))</f>
        <v/>
      </c>
      <c r="GJ496" s="44" t="str">
        <f>IF(Table1[Leaving Date]="","",IF(AND(Table1[Leaving Date]&gt;42460,Table1[Leaving Date]&lt;42826),IF(Table1[Date of Last Assessment]="",Table1[Physical Health],Table1[Physical Health2]),""))</f>
        <v/>
      </c>
      <c r="GK496" s="44" t="str">
        <f>IF(Table1[Leaving Date]="","",IF(AND(Table1[Leaving Date]&gt;42460,Table1[Leaving Date]&lt;42826),IF(Table1[Date of Last Assessment]="",Table1[Emotional and Mental Health],Table1[Emotional and Mental Health2]),""))</f>
        <v/>
      </c>
      <c r="GL496" s="44" t="str">
        <f>IF(Table1[Leaving Date]="","",IF(AND(Table1[Leaving Date]&gt;42460,Table1[Leaving Date]&lt;42826),IF(Table1[Date of Last Assessment]="",Table1[Meaningful Use of Time],Table1[Meaningful Use of Time2]),""))</f>
        <v/>
      </c>
      <c r="GM496" s="44" t="str">
        <f>IF(Table1[Leaving Date]="","",IF(AND(Table1[Leaving Date]&gt;42460,Table1[Leaving Date]&lt;42826),IF(Table1[Date of Last Assessment]="",Table1[Managing Tenancy and Accommodation],Table1[Managing Tenancy and Accommodation2]),""))</f>
        <v/>
      </c>
      <c r="GN496" s="44" t="str">
        <f>IF(Table1[Leaving Date]="","",IF(AND(Table1[Leaving Date]&gt;42460,Table1[Leaving Date]&lt;42826),IF(Table1[Date of Last Assessment]="",Table1[Offending],Table1[Offending2]),""))</f>
        <v/>
      </c>
    </row>
    <row r="497" spans="2:196" ht="20.100000000000001" customHeight="1" x14ac:dyDescent="0.2">
      <c r="B497" s="86">
        <f>+'Service Data'!$C$5:$C$5</f>
        <v>0</v>
      </c>
      <c r="C497" s="86"/>
      <c r="D497" s="86"/>
      <c r="E497" s="86"/>
      <c r="F497" s="86"/>
      <c r="G497" s="86"/>
      <c r="H497" s="6"/>
      <c r="I497" s="99" t="str">
        <f ca="1">IF(Table1[[#This Row],[Date of Birth]]="","",SUM(TODAY()-Table1[[#This Row],[Date of Birth]])/365)</f>
        <v/>
      </c>
      <c r="L497" s="86"/>
      <c r="M497" s="77"/>
      <c r="N497" s="86"/>
      <c r="O497" s="86"/>
      <c r="P497" s="91"/>
      <c r="Q497" s="86"/>
      <c r="R497" s="77"/>
      <c r="S497" s="77"/>
      <c r="T497" s="68"/>
      <c r="U497" s="68"/>
      <c r="V497" s="67"/>
      <c r="W497" s="67"/>
      <c r="X497" s="67"/>
      <c r="Y497" s="67"/>
      <c r="Z497" s="67"/>
      <c r="AA497" s="67"/>
      <c r="AB497" s="67"/>
      <c r="AC497" s="67"/>
      <c r="AD497" s="67"/>
      <c r="AE497" s="67"/>
      <c r="AF497" s="67"/>
      <c r="AG497" s="67"/>
      <c r="AH497" s="67"/>
      <c r="AI497" s="67"/>
      <c r="AJ497" s="67"/>
      <c r="AK497" s="67"/>
      <c r="AL497" s="67"/>
      <c r="AM497" s="67"/>
      <c r="AN497" s="77"/>
      <c r="AO497" s="76"/>
      <c r="AP497" s="77"/>
      <c r="AQ497" s="76"/>
      <c r="AR497" s="76"/>
      <c r="AS497" s="76"/>
      <c r="AT497" s="76"/>
      <c r="AU497" s="76"/>
      <c r="AV497" s="77"/>
      <c r="AW497" s="76"/>
      <c r="AX497" s="77"/>
      <c r="AY497" s="76"/>
      <c r="AZ497" s="76"/>
      <c r="BA497" s="76"/>
      <c r="BB497" s="76"/>
      <c r="BC497" s="76"/>
      <c r="BD497" s="77"/>
      <c r="BE497" s="76"/>
      <c r="BF497" s="77"/>
      <c r="BG497" s="76"/>
      <c r="BH497" s="76"/>
      <c r="BI497" s="76"/>
      <c r="BJ497" s="76"/>
      <c r="BK497" s="76"/>
      <c r="BL497" s="77"/>
      <c r="BM497" s="76"/>
      <c r="BN497" s="77"/>
      <c r="BO497" s="76"/>
      <c r="BP497" s="76"/>
      <c r="BQ497" s="76"/>
      <c r="BR497" s="76"/>
      <c r="BS497" s="76"/>
      <c r="BT497" s="77"/>
      <c r="BU497" s="76"/>
      <c r="BV497" s="77"/>
      <c r="BW497" s="76"/>
      <c r="BX497" s="76"/>
      <c r="BY497" s="76"/>
      <c r="BZ497" s="76"/>
      <c r="CA497" s="76"/>
      <c r="CB497" s="77"/>
      <c r="CC497" s="76"/>
      <c r="CD497" s="77"/>
      <c r="CE497" s="76"/>
      <c r="CF497" s="76"/>
      <c r="CG497" s="76"/>
      <c r="CH497" s="76"/>
      <c r="CI497" s="76"/>
      <c r="CJ497" s="77"/>
      <c r="CK497" s="76"/>
      <c r="CL497" s="77"/>
      <c r="CM497" s="76"/>
      <c r="CN497" s="76"/>
      <c r="CO497" s="76"/>
      <c r="CP497" s="76"/>
      <c r="CQ497" s="76"/>
      <c r="CR497" s="78" t="str">
        <f t="shared" si="127"/>
        <v/>
      </c>
      <c r="CS497" s="79" t="str">
        <f t="shared" si="128"/>
        <v/>
      </c>
      <c r="CT497" s="79" t="str">
        <f t="shared" si="129"/>
        <v/>
      </c>
      <c r="CU497" s="79" t="str">
        <f t="shared" si="130"/>
        <v/>
      </c>
      <c r="CV497" s="79" t="str">
        <f t="shared" si="131"/>
        <v/>
      </c>
      <c r="CW497" s="79" t="str">
        <f t="shared" si="132"/>
        <v/>
      </c>
      <c r="CX497" s="79" t="str">
        <f t="shared" si="133"/>
        <v/>
      </c>
      <c r="CY497" s="79" t="str">
        <f t="shared" si="134"/>
        <v/>
      </c>
      <c r="CZ497" s="79" t="str">
        <f t="shared" si="135"/>
        <v/>
      </c>
      <c r="DA497" s="79" t="str">
        <f t="shared" si="136"/>
        <v/>
      </c>
      <c r="DB497" s="79" t="str">
        <f t="shared" si="137"/>
        <v/>
      </c>
      <c r="DC497" s="79" t="str">
        <f t="shared" si="138"/>
        <v/>
      </c>
      <c r="DD497" s="79" t="str">
        <f t="shared" si="139"/>
        <v/>
      </c>
      <c r="DE497" s="79" t="str">
        <f t="shared" si="140"/>
        <v/>
      </c>
      <c r="DF497" s="79" t="str">
        <f t="shared" si="141"/>
        <v/>
      </c>
      <c r="DG497" s="79" t="str">
        <f t="shared" si="142"/>
        <v/>
      </c>
      <c r="DH497" s="76"/>
      <c r="DI497" s="78"/>
      <c r="DJ497" s="76"/>
      <c r="DK497" s="77"/>
      <c r="DL497" s="77"/>
      <c r="DM497" s="77"/>
      <c r="DN497" s="80"/>
      <c r="DO497" s="80"/>
      <c r="DP497" s="92" t="str">
        <f>IF(Table1[Start Date]="","",IF(Table1[Start Date]&gt;42185,"",IF(AND(Table1[Leaving Date]&gt;1,Table1[Leaving Date]&lt;42095),"",1)))</f>
        <v/>
      </c>
      <c r="DQ497" s="92" t="str">
        <f>IF(Table1[Start Date]="","",IF(Table1[Start Date]&gt;42277,"",IF(AND(Table1[Leaving Date]&gt;1,Table1[Leaving Date]&lt;42186),"",1)))</f>
        <v/>
      </c>
      <c r="DR497" s="92" t="str">
        <f>IF(Table1[Start Date]="","",IF(Table1[Start Date]&gt;42369,"",IF(AND(Table1[Leaving Date]&gt;1,Table1[Leaving Date]&lt;42278),"",1)))</f>
        <v/>
      </c>
      <c r="DS497" s="92" t="str">
        <f>IF(Table1[Start Date]="","",IF(Table1[Start Date]&gt;42460,"",IF(AND(Table1[Leaving Date]&gt;1,Table1[Leaving Date]&lt;42370),"",1)))</f>
        <v/>
      </c>
      <c r="DT497" s="92" t="str">
        <f>IF(Table1[Start Date]="","",IF(Table1[Start Date]&gt;42551,"",IF(AND(Table1[Leaving Date]&gt;1,Table1[Leaving Date]&lt;42461),"",1)))</f>
        <v/>
      </c>
      <c r="DU497" s="92" t="str">
        <f>IF(Table1[Start Date]="","",IF(Table1[Start Date]&gt;42643,"",IF(AND(Table1[Leaving Date]&gt;1,Table1[Leaving Date]&lt;42552),"",1)))</f>
        <v/>
      </c>
      <c r="DV497" s="92" t="str">
        <f>IF(Table1[Start Date]="","",IF(Table1[Start Date]&gt;42735,"",IF(AND(Table1[Leaving Date]&gt;1,Table1[Leaving Date]&lt;42644),"",1)))</f>
        <v/>
      </c>
      <c r="DW497" s="92" t="str">
        <f>IF(Table1[Start Date]="","",IF(Table1[Start Date]&gt;42825,"",IF(AND(Table1[Leaving Date]&gt;1,Table1[Leaving Date]&lt;42736),"",1)))</f>
        <v/>
      </c>
      <c r="DX497"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497" s="44" t="e">
        <f>VLOOKUP(Table1[Referral Source],Lists!$G$2:$H$20,2,FALSE)</f>
        <v>#N/A</v>
      </c>
      <c r="DZ497" s="93" t="e">
        <f>SUM(Table1[Data Referral Quarter]+Table1[Data Referral Source])</f>
        <v>#N/A</v>
      </c>
      <c r="EA497" s="44" t="b">
        <f>IF(Table1[Referral Decision]="Accepted",100,IF(Table1[Referral Decision]="Rejected by Provider",200,IF(Table1[Referral Decision]="Rejected by Applicant",300)))</f>
        <v>0</v>
      </c>
      <c r="EB497" s="44">
        <f>SUM(Table1[Data Referral Quarter]+Table1[Data Referral Decision])</f>
        <v>0</v>
      </c>
      <c r="EC497" s="44" t="b">
        <f>IF(Table1[Start Date]&gt;42735,8000,IF(Table1[Start Date]&gt;42643,7000,IF(Table1[Start Date]&gt;42551,6000,IF(Table1[Start Date]&gt;42460,5000,IF(Table1[Start Date]&gt;42369,4000,IF(Table1[Start Date]&gt;42277,3000,IF(Table1[Start Date]&gt;42185,2000,IF(Table1[Start Date]&gt;42094,1000))))))))</f>
        <v>0</v>
      </c>
      <c r="ED497" s="44" t="str">
        <f>IF(Table1[Start Date]="","",IF(Table1[Current Local Authority]="Swindon",1,"2"))</f>
        <v/>
      </c>
      <c r="EE497" s="44" t="e">
        <f>SUM(Table1[Data Start Date]+Table1[Data Local Authority])</f>
        <v>#VALUE!</v>
      </c>
      <c r="EF497" s="44">
        <f>IF(Table1[Registered with GP]="Yes",1,0)</f>
        <v>0</v>
      </c>
      <c r="EG497" s="44">
        <f>SUM(Table1[Data Start Date]+Table1[Data GP Start])</f>
        <v>0</v>
      </c>
      <c r="EH497" s="44" t="str">
        <f>IF(Table1[EET]="NEET",1,IF(Table1[EET]="Education",2,IF(Table1[EET]="Employment",2,IF(Table1[EET]="Training",2,IF(Table1[EET]="Retired",3,"")))))</f>
        <v/>
      </c>
      <c r="EI497" s="44" t="e">
        <f>Table1[Data Start Date]+Table1[Data EET Start]</f>
        <v>#VALUE!</v>
      </c>
      <c r="EJ497" s="44" t="b">
        <f>IF(Table1[Leaving Date]&gt;42735,8000,IF(Table1[Leaving Date]&gt;42643,7000,IF(Table1[Leaving Date]&gt;42551,6000,IF(Table1[Leaving Date]&gt;42460,5000,IF(Table1[Leaving Date]&gt;42369,4000,IF(Table1[Leaving Date]&gt;42277,3000,IF(Table1[Leaving Date]&gt;42185,2000,IF(Table1[Leaving Date]&gt;42094,1000))))))))</f>
        <v>0</v>
      </c>
      <c r="EK497" s="44" t="e">
        <f>VLOOKUP(Table1[Reason for Leaving],Lists!$T$2:$U$15,2,FALSE)</f>
        <v>#N/A</v>
      </c>
      <c r="EL497" s="44" t="e">
        <f>SUM(Table1[Data Leavers Date]+Table1[Data Move On])</f>
        <v>#N/A</v>
      </c>
      <c r="EM497" s="44" t="b">
        <f>IF(Table1[Registered with GP2]="Yes",1,IF(Table1[Registered with GP2]="No",0,IF(Table1[Registered with GP]="Yes",1,IF(Table1[Registered with GP]="No",0))))</f>
        <v>0</v>
      </c>
      <c r="EN497" s="44">
        <f>SUM(Table1[Data Leavers Date]+Table1[Data GP End])</f>
        <v>0</v>
      </c>
      <c r="EO497" s="44" t="str">
        <f>IF(Table1[EET2]="NEET",1,IF(Table1[EET2]="Employment",2,IF(Table1[EET2]="Education",2,IF(Table1[EET2]="Training",2,IF(Table1[EET2]="Retired",3,IF(Table1[EET]="NEET",1,IF(Table1[EET]="Employment",2,IF(Table1[EET]="Education",2,IF(Table1[EET]="Training",2,IF(Table1[EET]="Retired",3,""))))))))))</f>
        <v/>
      </c>
      <c r="EP497" s="44" t="e">
        <f>+Table1[[#This Row],[Data Leavers Date]]+Table1[[#This Row],[Data EET End]]</f>
        <v>#VALUE!</v>
      </c>
      <c r="EQ497" s="44">
        <f>IF(Table1[Exit Form Received]="Yes",1,0)</f>
        <v>0</v>
      </c>
      <c r="ER497" s="44">
        <f>+Table1[[#This Row],[Data Leavers Date]]+Table1[[#This Row],[Data Exit Forms]]</f>
        <v>0</v>
      </c>
      <c r="ES497" s="44" t="str">
        <f>IF(Table1[Data Leavers Date]=1000,SUM(Table1[Leaving Date]-Table1[Start Date]),"")</f>
        <v/>
      </c>
      <c r="ET497" s="44" t="str">
        <f>IF(Table1[Data Leavers Date]=2000,SUM(Table1[Leaving Date]-Table1[Start Date]),"")</f>
        <v/>
      </c>
      <c r="EU497" s="44" t="str">
        <f>IF(Table1[Data Leavers Date]=3000,SUM(Table1[Leaving Date]-Table1[Start Date]),"")</f>
        <v/>
      </c>
      <c r="EV497" s="44" t="str">
        <f>IF(Table1[Data Leavers Date]=4000,SUM(Table1[Leaving Date]-Table1[Start Date]),"")</f>
        <v/>
      </c>
      <c r="EW497" s="44" t="str">
        <f>IF(Table1[Data Leavers Date]=5000,SUM(Table1[Leaving Date]-Table1[Start Date]),"")</f>
        <v/>
      </c>
      <c r="EX497" s="44" t="str">
        <f>IF(Table1[Data Leavers Date]=6000,SUM(Table1[Leaving Date]-Table1[Start Date]),"")</f>
        <v/>
      </c>
      <c r="EY497" s="44" t="str">
        <f>IF(Table1[Data Leavers Date]=7000,SUM(Table1[Leaving Date]-Table1[Start Date]),"")</f>
        <v/>
      </c>
      <c r="EZ497" s="44" t="str">
        <f>IF(Table1[Data Leavers Date]=8000,SUM(Table1[Leaving Date]-Table1[Start Date]),"")</f>
        <v/>
      </c>
      <c r="FA497" s="44" t="str">
        <f>IF(Table1[Date of Initial Assessment]="","",IF(AND(Table1[Start Date]&gt;42094,Table1[Start Date]&lt;42461),Table1[Motivation and Taking Responsibility],""))</f>
        <v/>
      </c>
      <c r="FB497" s="44" t="str">
        <f>IF(Table1[Date of Initial Assessment]="","",IF(AND(Table1[Start Date]&gt;42094,Table1[Start Date]&lt;42461),Table1[Self-Care and Living Skills],""))</f>
        <v/>
      </c>
      <c r="FC497" s="44" t="str">
        <f>IF(Table1[Date of Initial Assessment]="","",IF(AND(Table1[Start Date]&gt;42094,Table1[Start Date]&lt;42461),Table1[Managing Money and Personal Administration],""))</f>
        <v/>
      </c>
      <c r="FD497" s="44" t="str">
        <f>IF(Table1[Date of Initial Assessment]="","",IF(AND(Table1[Start Date]&gt;42094,Table1[Start Date]&lt;42461),Table1[Social Networks and Relationships],""))</f>
        <v/>
      </c>
      <c r="FE497" s="44" t="str">
        <f>IF(Table1[Date of Initial Assessment]="","",IF(AND(Table1[Start Date]&gt;42094,Table1[Start Date]&lt;42461),Table1[Drug and Alcohol Misuse],""))</f>
        <v/>
      </c>
      <c r="FF497" s="44" t="str">
        <f>IF(Table1[Date of Initial Assessment]="","",IF(AND(Table1[Start Date]&gt;42094,Table1[Start Date]&lt;42461),Table1[Physical Health],""))</f>
        <v/>
      </c>
      <c r="FG497" s="44" t="str">
        <f>IF(Table1[Date of Initial Assessment]="","",IF(AND(Table1[Start Date]&gt;42094,Table1[Start Date]&lt;42461),Table1[Emotional and Mental Health],""))</f>
        <v/>
      </c>
      <c r="FH497" s="44" t="str">
        <f>IF(Table1[Date of Initial Assessment]="","",IF(AND(Table1[Start Date]&gt;42094,Table1[Start Date]&lt;42461),Table1[Meaningful Use of Time],""))</f>
        <v/>
      </c>
      <c r="FI497" s="44" t="str">
        <f>IF(Table1[Date of Initial Assessment]="","",IF(AND(Table1[Start Date]&gt;42094,Table1[Start Date]&lt;42461),Table1[Managing Tenancy and Accommodation],""))</f>
        <v/>
      </c>
      <c r="FJ497" s="44" t="str">
        <f>IF(Table1[Date of Initial Assessment]="","",IF(AND(Table1[Start Date]&gt;42094,Table1[Start Date]&lt;42461),Table1[Offending],""))</f>
        <v/>
      </c>
      <c r="FK497" s="44" t="str">
        <f>IF(Table1[Leaving Date]="","",IF(Table1[Date of Initial Assessment]="","",IF(AND(Table1[Leaving Date]&gt;42094,Table1[Leaving Date]&lt;42461),IF(Table1[Date of Last Assessment]="",Table1[Motivation and Taking Responsibility],Table1[Motivation and Taking Responsibility2]),"")))</f>
        <v/>
      </c>
      <c r="FL497" s="44" t="str">
        <f>IF(Table1[Leaving Date]="","",IF(Table1[Date of Initial Assessment]="","",IF(AND(Table1[Leaving Date]&gt;42094,Table1[Leaving Date]&lt;42461),IF(Table1[Date of Last Assessment]="",Table1[Self-Care and Living Skills],Table1[Self-Care and Living Skills2]),"")))</f>
        <v/>
      </c>
      <c r="FM497" s="44" t="str">
        <f>IF(Table1[Leaving Date]="","",IF(Table1[Date of Initial Assessment]="","",IF(AND(Table1[Leaving Date]&gt;42094,Table1[Leaving Date]&lt;42461),IF(Table1[Date of Last Assessment]="",Table1[Managing Money and Personal Administration],Table1[Managing Money and Personal Administration2]),"")))</f>
        <v/>
      </c>
      <c r="FN497" s="44" t="str">
        <f>IF(Table1[Leaving Date]="","",IF(Table1[Date of Initial Assessment]="","",IF(AND(Table1[Leaving Date]&gt;42094,Table1[Leaving Date]&lt;42461),IF(Table1[Date of Last Assessment]="",Table1[Social Networks and Relationships],Table1[Social Networks and Relationships2]),"")))</f>
        <v/>
      </c>
      <c r="FO497" s="44" t="str">
        <f>IF(Table1[Leaving Date]="","",IF(Table1[Date of Initial Assessment]="","",IF(AND(Table1[Leaving Date]&gt;42094,Table1[Leaving Date]&lt;42461),IF(Table1[Date of Last Assessment]="",Table1[Drug and Alcohol Misuse],Table1[Drug and Alcohol Misuse2]),"")))</f>
        <v/>
      </c>
      <c r="FP497" s="44" t="str">
        <f>IF(Table1[Leaving Date]="","",IF(Table1[Date of Initial Assessment]="","",IF(AND(Table1[Leaving Date]&gt;42094,Table1[Leaving Date]&lt;42461),IF(Table1[Date of Last Assessment]="",Table1[Physical Health],Table1[Physical Health2]),"")))</f>
        <v/>
      </c>
      <c r="FQ497" s="44" t="str">
        <f>IF(Table1[Leaving Date]="","",IF(Table1[Date of Initial Assessment]="","",IF(AND(Table1[Leaving Date]&gt;42094,Table1[Leaving Date]&lt;42461),IF(Table1[Date of Last Assessment]="",Table1[Emotional and Mental Health],Table1[Emotional and Mental Health2]),"")))</f>
        <v/>
      </c>
      <c r="FR497" s="44" t="str">
        <f>IF(Table1[Leaving Date]="","",IF(Table1[Date of Initial Assessment]="","",IF(AND(Table1[Leaving Date]&gt;42094,Table1[Leaving Date]&lt;42461),IF(Table1[Date of Last Assessment]="",Table1[Meaningful Use of Time],Table1[Meaningful Use of Time2]),"")))</f>
        <v/>
      </c>
      <c r="FS497" s="44" t="str">
        <f>IF(Table1[Leaving Date]="","",IF(Table1[Date of Initial Assessment]="","",IF(AND(Table1[Leaving Date]&gt;42094,Table1[Leaving Date]&lt;42461),IF(Table1[Date of Last Assessment]="",Table1[Managing Tenancy and Accommodation],Table1[Managing Tenancy and Accommodation2]),"")))</f>
        <v/>
      </c>
      <c r="FT497" s="44" t="str">
        <f>IF(Table1[Leaving Date]="","",IF(Table1[Date of Initial Assessment]="","",IF(AND(Table1[Leaving Date]&gt;42094,Table1[Leaving Date]&lt;42461),IF(Table1[Date of Last Assessment]="",Table1[Offending],Table1[Offending2]),"")))</f>
        <v/>
      </c>
      <c r="FU497" s="44" t="str">
        <f>IF(Table1[Date of Initial Assessment]="","",IF(AND(Table1[Start Date]&gt;42460,Table1[Start Date]&lt;42826),Table1[Motivation and Taking Responsibility],""))</f>
        <v/>
      </c>
      <c r="FV497" s="44" t="str">
        <f>IF(Table1[Date of Initial Assessment]="","",IF(AND(Table1[Start Date]&gt;42460,Table1[Start Date]&lt;42826),Table1[Self-Care and Living Skills],""))</f>
        <v/>
      </c>
      <c r="FW497" s="44" t="str">
        <f>IF(Table1[Date of Initial Assessment]="","",IF(AND(Table1[Start Date]&gt;42460,Table1[Start Date]&lt;42826),Table1[Managing Money and Personal Administration],""))</f>
        <v/>
      </c>
      <c r="FX497" s="44" t="str">
        <f>IF(Table1[Date of Initial Assessment]="","",IF(AND(Table1[Start Date]&gt;42460,Table1[Start Date]&lt;42826),Table1[Social Networks and Relationships],""))</f>
        <v/>
      </c>
      <c r="FY497" s="44" t="str">
        <f>IF(Table1[Date of Initial Assessment]="","",IF(AND(Table1[Start Date]&gt;42460,Table1[Start Date]&lt;42826),Table1[Drug and Alcohol Misuse],""))</f>
        <v/>
      </c>
      <c r="FZ497" s="44" t="str">
        <f>IF(Table1[Date of Initial Assessment]="","",IF(AND(Table1[Start Date]&gt;42460,Table1[Start Date]&lt;42826),Table1[Physical Health],""))</f>
        <v/>
      </c>
      <c r="GA497" s="44" t="str">
        <f>IF(Table1[Date of Initial Assessment]="","",IF(AND(Table1[Start Date]&gt;42460,Table1[Start Date]&lt;42826),Table1[Emotional and Mental Health],""))</f>
        <v/>
      </c>
      <c r="GB497" s="44" t="str">
        <f>IF(Table1[Date of Initial Assessment]="","",IF(AND(Table1[Start Date]&gt;42460,Table1[Start Date]&lt;42826),Table1[Meaningful Use of Time],""))</f>
        <v/>
      </c>
      <c r="GC497" s="44" t="str">
        <f>IF(Table1[Date of Initial Assessment]="","",IF(AND(Table1[Start Date]&gt;42460,Table1[Start Date]&lt;42826),Table1[Managing Tenancy and Accommodation],""))</f>
        <v/>
      </c>
      <c r="GD497" s="44" t="str">
        <f>IF(Table1[Date of Initial Assessment]="","",IF(AND(Table1[Start Date]&gt;42460,Table1[Start Date]&lt;42826),Table1[Offending],""))</f>
        <v/>
      </c>
      <c r="GE497" s="44" t="str">
        <f>IF(Table1[Leaving Date]="","",IF(AND(Table1[Leaving Date]&gt;42460,Table1[Leaving Date]&lt;42826),IF(Table1[Date of Last Assessment]="",Table1[Motivation and Taking Responsibility],Table1[Motivation and Taking Responsibility2]),""))</f>
        <v/>
      </c>
      <c r="GF497" s="44" t="str">
        <f>IF(Table1[Leaving Date]="","",IF(AND(Table1[Leaving Date]&gt;42460,Table1[Leaving Date]&lt;42826),IF(Table1[Date of Last Assessment]="",Table1[Self-Care and Living Skills],Table1[Self-Care and Living Skills2]),""))</f>
        <v/>
      </c>
      <c r="GG497" s="44" t="str">
        <f>IF(Table1[Leaving Date]="","",IF(AND(Table1[Leaving Date]&gt;42460,Table1[Leaving Date]&lt;42826),IF(Table1[Date of Last Assessment]="",Table1[Managing Money and Personal Administration],Table1[Managing Money and Personal Administration2]),""))</f>
        <v/>
      </c>
      <c r="GH497" s="44" t="str">
        <f>IF(Table1[Leaving Date]="","",IF(AND(Table1[Leaving Date]&gt;42460,Table1[Leaving Date]&lt;42826),IF(Table1[Date of Last Assessment]="",Table1[Social Networks and Relationships],Table1[Social Networks and Relationships2]),""))</f>
        <v/>
      </c>
      <c r="GI497" s="44" t="str">
        <f>IF(Table1[Leaving Date]="","",IF(AND(Table1[Leaving Date]&gt;42460,Table1[Leaving Date]&lt;42826),IF(Table1[Date of Last Assessment]="",Table1[Drug and Alcohol Misuse],Table1[Drug and Alcohol Misuse2]),""))</f>
        <v/>
      </c>
      <c r="GJ497" s="44" t="str">
        <f>IF(Table1[Leaving Date]="","",IF(AND(Table1[Leaving Date]&gt;42460,Table1[Leaving Date]&lt;42826),IF(Table1[Date of Last Assessment]="",Table1[Physical Health],Table1[Physical Health2]),""))</f>
        <v/>
      </c>
      <c r="GK497" s="44" t="str">
        <f>IF(Table1[Leaving Date]="","",IF(AND(Table1[Leaving Date]&gt;42460,Table1[Leaving Date]&lt;42826),IF(Table1[Date of Last Assessment]="",Table1[Emotional and Mental Health],Table1[Emotional and Mental Health2]),""))</f>
        <v/>
      </c>
      <c r="GL497" s="44" t="str">
        <f>IF(Table1[Leaving Date]="","",IF(AND(Table1[Leaving Date]&gt;42460,Table1[Leaving Date]&lt;42826),IF(Table1[Date of Last Assessment]="",Table1[Meaningful Use of Time],Table1[Meaningful Use of Time2]),""))</f>
        <v/>
      </c>
      <c r="GM497" s="44" t="str">
        <f>IF(Table1[Leaving Date]="","",IF(AND(Table1[Leaving Date]&gt;42460,Table1[Leaving Date]&lt;42826),IF(Table1[Date of Last Assessment]="",Table1[Managing Tenancy and Accommodation],Table1[Managing Tenancy and Accommodation2]),""))</f>
        <v/>
      </c>
      <c r="GN497" s="44" t="str">
        <f>IF(Table1[Leaving Date]="","",IF(AND(Table1[Leaving Date]&gt;42460,Table1[Leaving Date]&lt;42826),IF(Table1[Date of Last Assessment]="",Table1[Offending],Table1[Offending2]),""))</f>
        <v/>
      </c>
    </row>
    <row r="498" spans="2:196" ht="20.100000000000001" customHeight="1" x14ac:dyDescent="0.2">
      <c r="B498" s="86">
        <f>+'Service Data'!$C$5:$C$5</f>
        <v>0</v>
      </c>
      <c r="C498" s="86"/>
      <c r="D498" s="86"/>
      <c r="E498" s="86"/>
      <c r="F498" s="86"/>
      <c r="G498" s="86"/>
      <c r="H498" s="6"/>
      <c r="I498" s="99" t="str">
        <f ca="1">IF(Table1[[#This Row],[Date of Birth]]="","",SUM(TODAY()-Table1[[#This Row],[Date of Birth]])/365)</f>
        <v/>
      </c>
      <c r="L498" s="86"/>
      <c r="M498" s="77"/>
      <c r="N498" s="86"/>
      <c r="O498" s="86"/>
      <c r="P498" s="91"/>
      <c r="Q498" s="86"/>
      <c r="R498" s="77"/>
      <c r="S498" s="77"/>
      <c r="T498" s="68"/>
      <c r="U498" s="68"/>
      <c r="V498" s="67"/>
      <c r="W498" s="67"/>
      <c r="X498" s="67"/>
      <c r="Y498" s="67"/>
      <c r="Z498" s="67"/>
      <c r="AA498" s="67"/>
      <c r="AB498" s="67"/>
      <c r="AC498" s="67"/>
      <c r="AD498" s="67"/>
      <c r="AE498" s="67"/>
      <c r="AF498" s="67"/>
      <c r="AG498" s="67"/>
      <c r="AH498" s="67"/>
      <c r="AI498" s="67"/>
      <c r="AJ498" s="67"/>
      <c r="AK498" s="67"/>
      <c r="AL498" s="67"/>
      <c r="AM498" s="67"/>
      <c r="AN498" s="77"/>
      <c r="AO498" s="76"/>
      <c r="AP498" s="77"/>
      <c r="AQ498" s="76"/>
      <c r="AR498" s="76"/>
      <c r="AS498" s="76"/>
      <c r="AT498" s="76"/>
      <c r="AU498" s="76"/>
      <c r="AV498" s="77"/>
      <c r="AW498" s="76"/>
      <c r="AX498" s="77"/>
      <c r="AY498" s="76"/>
      <c r="AZ498" s="76"/>
      <c r="BA498" s="76"/>
      <c r="BB498" s="76"/>
      <c r="BC498" s="76"/>
      <c r="BD498" s="77"/>
      <c r="BE498" s="76"/>
      <c r="BF498" s="77"/>
      <c r="BG498" s="76"/>
      <c r="BH498" s="76"/>
      <c r="BI498" s="76"/>
      <c r="BJ498" s="76"/>
      <c r="BK498" s="76"/>
      <c r="BL498" s="77"/>
      <c r="BM498" s="76"/>
      <c r="BN498" s="77"/>
      <c r="BO498" s="76"/>
      <c r="BP498" s="76"/>
      <c r="BQ498" s="76"/>
      <c r="BR498" s="76"/>
      <c r="BS498" s="76"/>
      <c r="BT498" s="77"/>
      <c r="BU498" s="76"/>
      <c r="BV498" s="77"/>
      <c r="BW498" s="76"/>
      <c r="BX498" s="76"/>
      <c r="BY498" s="76"/>
      <c r="BZ498" s="76"/>
      <c r="CA498" s="76"/>
      <c r="CB498" s="77"/>
      <c r="CC498" s="76"/>
      <c r="CD498" s="77"/>
      <c r="CE498" s="76"/>
      <c r="CF498" s="76"/>
      <c r="CG498" s="76"/>
      <c r="CH498" s="76"/>
      <c r="CI498" s="76"/>
      <c r="CJ498" s="77"/>
      <c r="CK498" s="76"/>
      <c r="CL498" s="77"/>
      <c r="CM498" s="76"/>
      <c r="CN498" s="76"/>
      <c r="CO498" s="76"/>
      <c r="CP498" s="76"/>
      <c r="CQ498" s="76"/>
      <c r="CR498" s="78" t="str">
        <f t="shared" si="127"/>
        <v/>
      </c>
      <c r="CS498" s="79" t="str">
        <f t="shared" si="128"/>
        <v/>
      </c>
      <c r="CT498" s="79" t="str">
        <f t="shared" si="129"/>
        <v/>
      </c>
      <c r="CU498" s="79" t="str">
        <f t="shared" si="130"/>
        <v/>
      </c>
      <c r="CV498" s="79" t="str">
        <f t="shared" si="131"/>
        <v/>
      </c>
      <c r="CW498" s="79" t="str">
        <f t="shared" si="132"/>
        <v/>
      </c>
      <c r="CX498" s="79" t="str">
        <f t="shared" si="133"/>
        <v/>
      </c>
      <c r="CY498" s="79" t="str">
        <f t="shared" si="134"/>
        <v/>
      </c>
      <c r="CZ498" s="79" t="str">
        <f t="shared" si="135"/>
        <v/>
      </c>
      <c r="DA498" s="79" t="str">
        <f t="shared" si="136"/>
        <v/>
      </c>
      <c r="DB498" s="79" t="str">
        <f t="shared" si="137"/>
        <v/>
      </c>
      <c r="DC498" s="79" t="str">
        <f t="shared" si="138"/>
        <v/>
      </c>
      <c r="DD498" s="79" t="str">
        <f t="shared" si="139"/>
        <v/>
      </c>
      <c r="DE498" s="79" t="str">
        <f t="shared" si="140"/>
        <v/>
      </c>
      <c r="DF498" s="79" t="str">
        <f t="shared" si="141"/>
        <v/>
      </c>
      <c r="DG498" s="79" t="str">
        <f t="shared" si="142"/>
        <v/>
      </c>
      <c r="DH498" s="76"/>
      <c r="DI498" s="78"/>
      <c r="DJ498" s="76"/>
      <c r="DK498" s="77"/>
      <c r="DL498" s="77"/>
      <c r="DM498" s="77"/>
      <c r="DN498" s="80"/>
      <c r="DO498" s="80"/>
      <c r="DP498" s="92" t="str">
        <f>IF(Table1[Start Date]="","",IF(Table1[Start Date]&gt;42185,"",IF(AND(Table1[Leaving Date]&gt;1,Table1[Leaving Date]&lt;42095),"",1)))</f>
        <v/>
      </c>
      <c r="DQ498" s="92" t="str">
        <f>IF(Table1[Start Date]="","",IF(Table1[Start Date]&gt;42277,"",IF(AND(Table1[Leaving Date]&gt;1,Table1[Leaving Date]&lt;42186),"",1)))</f>
        <v/>
      </c>
      <c r="DR498" s="92" t="str">
        <f>IF(Table1[Start Date]="","",IF(Table1[Start Date]&gt;42369,"",IF(AND(Table1[Leaving Date]&gt;1,Table1[Leaving Date]&lt;42278),"",1)))</f>
        <v/>
      </c>
      <c r="DS498" s="92" t="str">
        <f>IF(Table1[Start Date]="","",IF(Table1[Start Date]&gt;42460,"",IF(AND(Table1[Leaving Date]&gt;1,Table1[Leaving Date]&lt;42370),"",1)))</f>
        <v/>
      </c>
      <c r="DT498" s="92" t="str">
        <f>IF(Table1[Start Date]="","",IF(Table1[Start Date]&gt;42551,"",IF(AND(Table1[Leaving Date]&gt;1,Table1[Leaving Date]&lt;42461),"",1)))</f>
        <v/>
      </c>
      <c r="DU498" s="92" t="str">
        <f>IF(Table1[Start Date]="","",IF(Table1[Start Date]&gt;42643,"",IF(AND(Table1[Leaving Date]&gt;1,Table1[Leaving Date]&lt;42552),"",1)))</f>
        <v/>
      </c>
      <c r="DV498" s="92" t="str">
        <f>IF(Table1[Start Date]="","",IF(Table1[Start Date]&gt;42735,"",IF(AND(Table1[Leaving Date]&gt;1,Table1[Leaving Date]&lt;42644),"",1)))</f>
        <v/>
      </c>
      <c r="DW498" s="92" t="str">
        <f>IF(Table1[Start Date]="","",IF(Table1[Start Date]&gt;42825,"",IF(AND(Table1[Leaving Date]&gt;1,Table1[Leaving Date]&lt;42736),"",1)))</f>
        <v/>
      </c>
      <c r="DX498"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498" s="44" t="e">
        <f>VLOOKUP(Table1[Referral Source],Lists!$G$2:$H$20,2,FALSE)</f>
        <v>#N/A</v>
      </c>
      <c r="DZ498" s="93" t="e">
        <f>SUM(Table1[Data Referral Quarter]+Table1[Data Referral Source])</f>
        <v>#N/A</v>
      </c>
      <c r="EA498" s="44" t="b">
        <f>IF(Table1[Referral Decision]="Accepted",100,IF(Table1[Referral Decision]="Rejected by Provider",200,IF(Table1[Referral Decision]="Rejected by Applicant",300)))</f>
        <v>0</v>
      </c>
      <c r="EB498" s="44">
        <f>SUM(Table1[Data Referral Quarter]+Table1[Data Referral Decision])</f>
        <v>0</v>
      </c>
      <c r="EC498" s="44" t="b">
        <f>IF(Table1[Start Date]&gt;42735,8000,IF(Table1[Start Date]&gt;42643,7000,IF(Table1[Start Date]&gt;42551,6000,IF(Table1[Start Date]&gt;42460,5000,IF(Table1[Start Date]&gt;42369,4000,IF(Table1[Start Date]&gt;42277,3000,IF(Table1[Start Date]&gt;42185,2000,IF(Table1[Start Date]&gt;42094,1000))))))))</f>
        <v>0</v>
      </c>
      <c r="ED498" s="44" t="str">
        <f>IF(Table1[Start Date]="","",IF(Table1[Current Local Authority]="Swindon",1,"2"))</f>
        <v/>
      </c>
      <c r="EE498" s="44" t="e">
        <f>SUM(Table1[Data Start Date]+Table1[Data Local Authority])</f>
        <v>#VALUE!</v>
      </c>
      <c r="EF498" s="44">
        <f>IF(Table1[Registered with GP]="Yes",1,0)</f>
        <v>0</v>
      </c>
      <c r="EG498" s="44">
        <f>SUM(Table1[Data Start Date]+Table1[Data GP Start])</f>
        <v>0</v>
      </c>
      <c r="EH498" s="44" t="str">
        <f>IF(Table1[EET]="NEET",1,IF(Table1[EET]="Education",2,IF(Table1[EET]="Employment",2,IF(Table1[EET]="Training",2,IF(Table1[EET]="Retired",3,"")))))</f>
        <v/>
      </c>
      <c r="EI498" s="44" t="e">
        <f>Table1[Data Start Date]+Table1[Data EET Start]</f>
        <v>#VALUE!</v>
      </c>
      <c r="EJ498" s="44" t="b">
        <f>IF(Table1[Leaving Date]&gt;42735,8000,IF(Table1[Leaving Date]&gt;42643,7000,IF(Table1[Leaving Date]&gt;42551,6000,IF(Table1[Leaving Date]&gt;42460,5000,IF(Table1[Leaving Date]&gt;42369,4000,IF(Table1[Leaving Date]&gt;42277,3000,IF(Table1[Leaving Date]&gt;42185,2000,IF(Table1[Leaving Date]&gt;42094,1000))))))))</f>
        <v>0</v>
      </c>
      <c r="EK498" s="44" t="e">
        <f>VLOOKUP(Table1[Reason for Leaving],Lists!$T$2:$U$15,2,FALSE)</f>
        <v>#N/A</v>
      </c>
      <c r="EL498" s="44" t="e">
        <f>SUM(Table1[Data Leavers Date]+Table1[Data Move On])</f>
        <v>#N/A</v>
      </c>
      <c r="EM498" s="44" t="b">
        <f>IF(Table1[Registered with GP2]="Yes",1,IF(Table1[Registered with GP2]="No",0,IF(Table1[Registered with GP]="Yes",1,IF(Table1[Registered with GP]="No",0))))</f>
        <v>0</v>
      </c>
      <c r="EN498" s="44">
        <f>SUM(Table1[Data Leavers Date]+Table1[Data GP End])</f>
        <v>0</v>
      </c>
      <c r="EO498" s="44" t="str">
        <f>IF(Table1[EET2]="NEET",1,IF(Table1[EET2]="Employment",2,IF(Table1[EET2]="Education",2,IF(Table1[EET2]="Training",2,IF(Table1[EET2]="Retired",3,IF(Table1[EET]="NEET",1,IF(Table1[EET]="Employment",2,IF(Table1[EET]="Education",2,IF(Table1[EET]="Training",2,IF(Table1[EET]="Retired",3,""))))))))))</f>
        <v/>
      </c>
      <c r="EP498" s="44" t="e">
        <f>+Table1[[#This Row],[Data Leavers Date]]+Table1[[#This Row],[Data EET End]]</f>
        <v>#VALUE!</v>
      </c>
      <c r="EQ498" s="44">
        <f>IF(Table1[Exit Form Received]="Yes",1,0)</f>
        <v>0</v>
      </c>
      <c r="ER498" s="44">
        <f>+Table1[[#This Row],[Data Leavers Date]]+Table1[[#This Row],[Data Exit Forms]]</f>
        <v>0</v>
      </c>
      <c r="ES498" s="44" t="str">
        <f>IF(Table1[Data Leavers Date]=1000,SUM(Table1[Leaving Date]-Table1[Start Date]),"")</f>
        <v/>
      </c>
      <c r="ET498" s="44" t="str">
        <f>IF(Table1[Data Leavers Date]=2000,SUM(Table1[Leaving Date]-Table1[Start Date]),"")</f>
        <v/>
      </c>
      <c r="EU498" s="44" t="str">
        <f>IF(Table1[Data Leavers Date]=3000,SUM(Table1[Leaving Date]-Table1[Start Date]),"")</f>
        <v/>
      </c>
      <c r="EV498" s="44" t="str">
        <f>IF(Table1[Data Leavers Date]=4000,SUM(Table1[Leaving Date]-Table1[Start Date]),"")</f>
        <v/>
      </c>
      <c r="EW498" s="44" t="str">
        <f>IF(Table1[Data Leavers Date]=5000,SUM(Table1[Leaving Date]-Table1[Start Date]),"")</f>
        <v/>
      </c>
      <c r="EX498" s="44" t="str">
        <f>IF(Table1[Data Leavers Date]=6000,SUM(Table1[Leaving Date]-Table1[Start Date]),"")</f>
        <v/>
      </c>
      <c r="EY498" s="44" t="str">
        <f>IF(Table1[Data Leavers Date]=7000,SUM(Table1[Leaving Date]-Table1[Start Date]),"")</f>
        <v/>
      </c>
      <c r="EZ498" s="44" t="str">
        <f>IF(Table1[Data Leavers Date]=8000,SUM(Table1[Leaving Date]-Table1[Start Date]),"")</f>
        <v/>
      </c>
      <c r="FA498" s="44" t="str">
        <f>IF(Table1[Date of Initial Assessment]="","",IF(AND(Table1[Start Date]&gt;42094,Table1[Start Date]&lt;42461),Table1[Motivation and Taking Responsibility],""))</f>
        <v/>
      </c>
      <c r="FB498" s="44" t="str">
        <f>IF(Table1[Date of Initial Assessment]="","",IF(AND(Table1[Start Date]&gt;42094,Table1[Start Date]&lt;42461),Table1[Self-Care and Living Skills],""))</f>
        <v/>
      </c>
      <c r="FC498" s="44" t="str">
        <f>IF(Table1[Date of Initial Assessment]="","",IF(AND(Table1[Start Date]&gt;42094,Table1[Start Date]&lt;42461),Table1[Managing Money and Personal Administration],""))</f>
        <v/>
      </c>
      <c r="FD498" s="44" t="str">
        <f>IF(Table1[Date of Initial Assessment]="","",IF(AND(Table1[Start Date]&gt;42094,Table1[Start Date]&lt;42461),Table1[Social Networks and Relationships],""))</f>
        <v/>
      </c>
      <c r="FE498" s="44" t="str">
        <f>IF(Table1[Date of Initial Assessment]="","",IF(AND(Table1[Start Date]&gt;42094,Table1[Start Date]&lt;42461),Table1[Drug and Alcohol Misuse],""))</f>
        <v/>
      </c>
      <c r="FF498" s="44" t="str">
        <f>IF(Table1[Date of Initial Assessment]="","",IF(AND(Table1[Start Date]&gt;42094,Table1[Start Date]&lt;42461),Table1[Physical Health],""))</f>
        <v/>
      </c>
      <c r="FG498" s="44" t="str">
        <f>IF(Table1[Date of Initial Assessment]="","",IF(AND(Table1[Start Date]&gt;42094,Table1[Start Date]&lt;42461),Table1[Emotional and Mental Health],""))</f>
        <v/>
      </c>
      <c r="FH498" s="44" t="str">
        <f>IF(Table1[Date of Initial Assessment]="","",IF(AND(Table1[Start Date]&gt;42094,Table1[Start Date]&lt;42461),Table1[Meaningful Use of Time],""))</f>
        <v/>
      </c>
      <c r="FI498" s="44" t="str">
        <f>IF(Table1[Date of Initial Assessment]="","",IF(AND(Table1[Start Date]&gt;42094,Table1[Start Date]&lt;42461),Table1[Managing Tenancy and Accommodation],""))</f>
        <v/>
      </c>
      <c r="FJ498" s="44" t="str">
        <f>IF(Table1[Date of Initial Assessment]="","",IF(AND(Table1[Start Date]&gt;42094,Table1[Start Date]&lt;42461),Table1[Offending],""))</f>
        <v/>
      </c>
      <c r="FK498" s="44" t="str">
        <f>IF(Table1[Leaving Date]="","",IF(Table1[Date of Initial Assessment]="","",IF(AND(Table1[Leaving Date]&gt;42094,Table1[Leaving Date]&lt;42461),IF(Table1[Date of Last Assessment]="",Table1[Motivation and Taking Responsibility],Table1[Motivation and Taking Responsibility2]),"")))</f>
        <v/>
      </c>
      <c r="FL498" s="44" t="str">
        <f>IF(Table1[Leaving Date]="","",IF(Table1[Date of Initial Assessment]="","",IF(AND(Table1[Leaving Date]&gt;42094,Table1[Leaving Date]&lt;42461),IF(Table1[Date of Last Assessment]="",Table1[Self-Care and Living Skills],Table1[Self-Care and Living Skills2]),"")))</f>
        <v/>
      </c>
      <c r="FM498" s="44" t="str">
        <f>IF(Table1[Leaving Date]="","",IF(Table1[Date of Initial Assessment]="","",IF(AND(Table1[Leaving Date]&gt;42094,Table1[Leaving Date]&lt;42461),IF(Table1[Date of Last Assessment]="",Table1[Managing Money and Personal Administration],Table1[Managing Money and Personal Administration2]),"")))</f>
        <v/>
      </c>
      <c r="FN498" s="44" t="str">
        <f>IF(Table1[Leaving Date]="","",IF(Table1[Date of Initial Assessment]="","",IF(AND(Table1[Leaving Date]&gt;42094,Table1[Leaving Date]&lt;42461),IF(Table1[Date of Last Assessment]="",Table1[Social Networks and Relationships],Table1[Social Networks and Relationships2]),"")))</f>
        <v/>
      </c>
      <c r="FO498" s="44" t="str">
        <f>IF(Table1[Leaving Date]="","",IF(Table1[Date of Initial Assessment]="","",IF(AND(Table1[Leaving Date]&gt;42094,Table1[Leaving Date]&lt;42461),IF(Table1[Date of Last Assessment]="",Table1[Drug and Alcohol Misuse],Table1[Drug and Alcohol Misuse2]),"")))</f>
        <v/>
      </c>
      <c r="FP498" s="44" t="str">
        <f>IF(Table1[Leaving Date]="","",IF(Table1[Date of Initial Assessment]="","",IF(AND(Table1[Leaving Date]&gt;42094,Table1[Leaving Date]&lt;42461),IF(Table1[Date of Last Assessment]="",Table1[Physical Health],Table1[Physical Health2]),"")))</f>
        <v/>
      </c>
      <c r="FQ498" s="44" t="str">
        <f>IF(Table1[Leaving Date]="","",IF(Table1[Date of Initial Assessment]="","",IF(AND(Table1[Leaving Date]&gt;42094,Table1[Leaving Date]&lt;42461),IF(Table1[Date of Last Assessment]="",Table1[Emotional and Mental Health],Table1[Emotional and Mental Health2]),"")))</f>
        <v/>
      </c>
      <c r="FR498" s="44" t="str">
        <f>IF(Table1[Leaving Date]="","",IF(Table1[Date of Initial Assessment]="","",IF(AND(Table1[Leaving Date]&gt;42094,Table1[Leaving Date]&lt;42461),IF(Table1[Date of Last Assessment]="",Table1[Meaningful Use of Time],Table1[Meaningful Use of Time2]),"")))</f>
        <v/>
      </c>
      <c r="FS498" s="44" t="str">
        <f>IF(Table1[Leaving Date]="","",IF(Table1[Date of Initial Assessment]="","",IF(AND(Table1[Leaving Date]&gt;42094,Table1[Leaving Date]&lt;42461),IF(Table1[Date of Last Assessment]="",Table1[Managing Tenancy and Accommodation],Table1[Managing Tenancy and Accommodation2]),"")))</f>
        <v/>
      </c>
      <c r="FT498" s="44" t="str">
        <f>IF(Table1[Leaving Date]="","",IF(Table1[Date of Initial Assessment]="","",IF(AND(Table1[Leaving Date]&gt;42094,Table1[Leaving Date]&lt;42461),IF(Table1[Date of Last Assessment]="",Table1[Offending],Table1[Offending2]),"")))</f>
        <v/>
      </c>
      <c r="FU498" s="44" t="str">
        <f>IF(Table1[Date of Initial Assessment]="","",IF(AND(Table1[Start Date]&gt;42460,Table1[Start Date]&lt;42826),Table1[Motivation and Taking Responsibility],""))</f>
        <v/>
      </c>
      <c r="FV498" s="44" t="str">
        <f>IF(Table1[Date of Initial Assessment]="","",IF(AND(Table1[Start Date]&gt;42460,Table1[Start Date]&lt;42826),Table1[Self-Care and Living Skills],""))</f>
        <v/>
      </c>
      <c r="FW498" s="44" t="str">
        <f>IF(Table1[Date of Initial Assessment]="","",IF(AND(Table1[Start Date]&gt;42460,Table1[Start Date]&lt;42826),Table1[Managing Money and Personal Administration],""))</f>
        <v/>
      </c>
      <c r="FX498" s="44" t="str">
        <f>IF(Table1[Date of Initial Assessment]="","",IF(AND(Table1[Start Date]&gt;42460,Table1[Start Date]&lt;42826),Table1[Social Networks and Relationships],""))</f>
        <v/>
      </c>
      <c r="FY498" s="44" t="str">
        <f>IF(Table1[Date of Initial Assessment]="","",IF(AND(Table1[Start Date]&gt;42460,Table1[Start Date]&lt;42826),Table1[Drug and Alcohol Misuse],""))</f>
        <v/>
      </c>
      <c r="FZ498" s="44" t="str">
        <f>IF(Table1[Date of Initial Assessment]="","",IF(AND(Table1[Start Date]&gt;42460,Table1[Start Date]&lt;42826),Table1[Physical Health],""))</f>
        <v/>
      </c>
      <c r="GA498" s="44" t="str">
        <f>IF(Table1[Date of Initial Assessment]="","",IF(AND(Table1[Start Date]&gt;42460,Table1[Start Date]&lt;42826),Table1[Emotional and Mental Health],""))</f>
        <v/>
      </c>
      <c r="GB498" s="44" t="str">
        <f>IF(Table1[Date of Initial Assessment]="","",IF(AND(Table1[Start Date]&gt;42460,Table1[Start Date]&lt;42826),Table1[Meaningful Use of Time],""))</f>
        <v/>
      </c>
      <c r="GC498" s="44" t="str">
        <f>IF(Table1[Date of Initial Assessment]="","",IF(AND(Table1[Start Date]&gt;42460,Table1[Start Date]&lt;42826),Table1[Managing Tenancy and Accommodation],""))</f>
        <v/>
      </c>
      <c r="GD498" s="44" t="str">
        <f>IF(Table1[Date of Initial Assessment]="","",IF(AND(Table1[Start Date]&gt;42460,Table1[Start Date]&lt;42826),Table1[Offending],""))</f>
        <v/>
      </c>
      <c r="GE498" s="44" t="str">
        <f>IF(Table1[Leaving Date]="","",IF(AND(Table1[Leaving Date]&gt;42460,Table1[Leaving Date]&lt;42826),IF(Table1[Date of Last Assessment]="",Table1[Motivation and Taking Responsibility],Table1[Motivation and Taking Responsibility2]),""))</f>
        <v/>
      </c>
      <c r="GF498" s="44" t="str">
        <f>IF(Table1[Leaving Date]="","",IF(AND(Table1[Leaving Date]&gt;42460,Table1[Leaving Date]&lt;42826),IF(Table1[Date of Last Assessment]="",Table1[Self-Care and Living Skills],Table1[Self-Care and Living Skills2]),""))</f>
        <v/>
      </c>
      <c r="GG498" s="44" t="str">
        <f>IF(Table1[Leaving Date]="","",IF(AND(Table1[Leaving Date]&gt;42460,Table1[Leaving Date]&lt;42826),IF(Table1[Date of Last Assessment]="",Table1[Managing Money and Personal Administration],Table1[Managing Money and Personal Administration2]),""))</f>
        <v/>
      </c>
      <c r="GH498" s="44" t="str">
        <f>IF(Table1[Leaving Date]="","",IF(AND(Table1[Leaving Date]&gt;42460,Table1[Leaving Date]&lt;42826),IF(Table1[Date of Last Assessment]="",Table1[Social Networks and Relationships],Table1[Social Networks and Relationships2]),""))</f>
        <v/>
      </c>
      <c r="GI498" s="44" t="str">
        <f>IF(Table1[Leaving Date]="","",IF(AND(Table1[Leaving Date]&gt;42460,Table1[Leaving Date]&lt;42826),IF(Table1[Date of Last Assessment]="",Table1[Drug and Alcohol Misuse],Table1[Drug and Alcohol Misuse2]),""))</f>
        <v/>
      </c>
      <c r="GJ498" s="44" t="str">
        <f>IF(Table1[Leaving Date]="","",IF(AND(Table1[Leaving Date]&gt;42460,Table1[Leaving Date]&lt;42826),IF(Table1[Date of Last Assessment]="",Table1[Physical Health],Table1[Physical Health2]),""))</f>
        <v/>
      </c>
      <c r="GK498" s="44" t="str">
        <f>IF(Table1[Leaving Date]="","",IF(AND(Table1[Leaving Date]&gt;42460,Table1[Leaving Date]&lt;42826),IF(Table1[Date of Last Assessment]="",Table1[Emotional and Mental Health],Table1[Emotional and Mental Health2]),""))</f>
        <v/>
      </c>
      <c r="GL498" s="44" t="str">
        <f>IF(Table1[Leaving Date]="","",IF(AND(Table1[Leaving Date]&gt;42460,Table1[Leaving Date]&lt;42826),IF(Table1[Date of Last Assessment]="",Table1[Meaningful Use of Time],Table1[Meaningful Use of Time2]),""))</f>
        <v/>
      </c>
      <c r="GM498" s="44" t="str">
        <f>IF(Table1[Leaving Date]="","",IF(AND(Table1[Leaving Date]&gt;42460,Table1[Leaving Date]&lt;42826),IF(Table1[Date of Last Assessment]="",Table1[Managing Tenancy and Accommodation],Table1[Managing Tenancy and Accommodation2]),""))</f>
        <v/>
      </c>
      <c r="GN498" s="44" t="str">
        <f>IF(Table1[Leaving Date]="","",IF(AND(Table1[Leaving Date]&gt;42460,Table1[Leaving Date]&lt;42826),IF(Table1[Date of Last Assessment]="",Table1[Offending],Table1[Offending2]),""))</f>
        <v/>
      </c>
    </row>
    <row r="499" spans="2:196" ht="20.100000000000001" customHeight="1" x14ac:dyDescent="0.2">
      <c r="B499" s="86">
        <f>+'Service Data'!$C$5:$C$5</f>
        <v>0</v>
      </c>
      <c r="C499" s="86"/>
      <c r="D499" s="86"/>
      <c r="E499" s="86"/>
      <c r="F499" s="86"/>
      <c r="G499" s="86"/>
      <c r="H499" s="6"/>
      <c r="I499" s="99" t="str">
        <f ca="1">IF(Table1[[#This Row],[Date of Birth]]="","",SUM(TODAY()-Table1[[#This Row],[Date of Birth]])/365)</f>
        <v/>
      </c>
      <c r="L499" s="86"/>
      <c r="M499" s="77"/>
      <c r="N499" s="86"/>
      <c r="O499" s="86"/>
      <c r="P499" s="91"/>
      <c r="Q499" s="86"/>
      <c r="R499" s="77"/>
      <c r="S499" s="77"/>
      <c r="T499" s="68"/>
      <c r="U499" s="68"/>
      <c r="V499" s="67"/>
      <c r="W499" s="67"/>
      <c r="X499" s="67"/>
      <c r="Y499" s="67"/>
      <c r="Z499" s="67"/>
      <c r="AA499" s="67"/>
      <c r="AB499" s="67"/>
      <c r="AC499" s="67"/>
      <c r="AD499" s="67"/>
      <c r="AE499" s="67"/>
      <c r="AF499" s="67"/>
      <c r="AG499" s="67"/>
      <c r="AH499" s="67"/>
      <c r="AI499" s="67"/>
      <c r="AJ499" s="67"/>
      <c r="AK499" s="67"/>
      <c r="AL499" s="67"/>
      <c r="AM499" s="67"/>
      <c r="AN499" s="77"/>
      <c r="AO499" s="76"/>
      <c r="AP499" s="77"/>
      <c r="AQ499" s="76"/>
      <c r="AR499" s="76"/>
      <c r="AS499" s="76"/>
      <c r="AT499" s="76"/>
      <c r="AU499" s="76"/>
      <c r="AV499" s="77"/>
      <c r="AW499" s="76"/>
      <c r="AX499" s="77"/>
      <c r="AY499" s="76"/>
      <c r="AZ499" s="76"/>
      <c r="BA499" s="76"/>
      <c r="BB499" s="76"/>
      <c r="BC499" s="76"/>
      <c r="BD499" s="77"/>
      <c r="BE499" s="76"/>
      <c r="BF499" s="77"/>
      <c r="BG499" s="76"/>
      <c r="BH499" s="76"/>
      <c r="BI499" s="76"/>
      <c r="BJ499" s="76"/>
      <c r="BK499" s="76"/>
      <c r="BL499" s="77"/>
      <c r="BM499" s="76"/>
      <c r="BN499" s="77"/>
      <c r="BO499" s="76"/>
      <c r="BP499" s="76"/>
      <c r="BQ499" s="76"/>
      <c r="BR499" s="76"/>
      <c r="BS499" s="76"/>
      <c r="BT499" s="77"/>
      <c r="BU499" s="76"/>
      <c r="BV499" s="77"/>
      <c r="BW499" s="76"/>
      <c r="BX499" s="76"/>
      <c r="BY499" s="76"/>
      <c r="BZ499" s="76"/>
      <c r="CA499" s="76"/>
      <c r="CB499" s="77"/>
      <c r="CC499" s="76"/>
      <c r="CD499" s="77"/>
      <c r="CE499" s="76"/>
      <c r="CF499" s="76"/>
      <c r="CG499" s="76"/>
      <c r="CH499" s="76"/>
      <c r="CI499" s="76"/>
      <c r="CJ499" s="77"/>
      <c r="CK499" s="76"/>
      <c r="CL499" s="77"/>
      <c r="CM499" s="76"/>
      <c r="CN499" s="76"/>
      <c r="CO499" s="76"/>
      <c r="CP499" s="76"/>
      <c r="CQ499" s="76"/>
      <c r="CR499" s="78" t="str">
        <f t="shared" si="127"/>
        <v/>
      </c>
      <c r="CS499" s="79" t="str">
        <f t="shared" si="128"/>
        <v/>
      </c>
      <c r="CT499" s="79" t="str">
        <f t="shared" si="129"/>
        <v/>
      </c>
      <c r="CU499" s="79" t="str">
        <f t="shared" si="130"/>
        <v/>
      </c>
      <c r="CV499" s="79" t="str">
        <f t="shared" si="131"/>
        <v/>
      </c>
      <c r="CW499" s="79" t="str">
        <f t="shared" si="132"/>
        <v/>
      </c>
      <c r="CX499" s="79" t="str">
        <f t="shared" si="133"/>
        <v/>
      </c>
      <c r="CY499" s="79" t="str">
        <f t="shared" si="134"/>
        <v/>
      </c>
      <c r="CZ499" s="79" t="str">
        <f t="shared" si="135"/>
        <v/>
      </c>
      <c r="DA499" s="79" t="str">
        <f t="shared" si="136"/>
        <v/>
      </c>
      <c r="DB499" s="79" t="str">
        <f t="shared" si="137"/>
        <v/>
      </c>
      <c r="DC499" s="79" t="str">
        <f t="shared" si="138"/>
        <v/>
      </c>
      <c r="DD499" s="79" t="str">
        <f t="shared" si="139"/>
        <v/>
      </c>
      <c r="DE499" s="79" t="str">
        <f t="shared" si="140"/>
        <v/>
      </c>
      <c r="DF499" s="79" t="str">
        <f t="shared" si="141"/>
        <v/>
      </c>
      <c r="DG499" s="79" t="str">
        <f t="shared" si="142"/>
        <v/>
      </c>
      <c r="DH499" s="76"/>
      <c r="DI499" s="78"/>
      <c r="DJ499" s="76"/>
      <c r="DK499" s="77"/>
      <c r="DL499" s="77"/>
      <c r="DM499" s="77"/>
      <c r="DN499" s="80"/>
      <c r="DO499" s="80"/>
      <c r="DP499" s="92" t="str">
        <f>IF(Table1[Start Date]="","",IF(Table1[Start Date]&gt;42185,"",IF(AND(Table1[Leaving Date]&gt;1,Table1[Leaving Date]&lt;42095),"",1)))</f>
        <v/>
      </c>
      <c r="DQ499" s="92" t="str">
        <f>IF(Table1[Start Date]="","",IF(Table1[Start Date]&gt;42277,"",IF(AND(Table1[Leaving Date]&gt;1,Table1[Leaving Date]&lt;42186),"",1)))</f>
        <v/>
      </c>
      <c r="DR499" s="92" t="str">
        <f>IF(Table1[Start Date]="","",IF(Table1[Start Date]&gt;42369,"",IF(AND(Table1[Leaving Date]&gt;1,Table1[Leaving Date]&lt;42278),"",1)))</f>
        <v/>
      </c>
      <c r="DS499" s="92" t="str">
        <f>IF(Table1[Start Date]="","",IF(Table1[Start Date]&gt;42460,"",IF(AND(Table1[Leaving Date]&gt;1,Table1[Leaving Date]&lt;42370),"",1)))</f>
        <v/>
      </c>
      <c r="DT499" s="92" t="str">
        <f>IF(Table1[Start Date]="","",IF(Table1[Start Date]&gt;42551,"",IF(AND(Table1[Leaving Date]&gt;1,Table1[Leaving Date]&lt;42461),"",1)))</f>
        <v/>
      </c>
      <c r="DU499" s="92" t="str">
        <f>IF(Table1[Start Date]="","",IF(Table1[Start Date]&gt;42643,"",IF(AND(Table1[Leaving Date]&gt;1,Table1[Leaving Date]&lt;42552),"",1)))</f>
        <v/>
      </c>
      <c r="DV499" s="92" t="str">
        <f>IF(Table1[Start Date]="","",IF(Table1[Start Date]&gt;42735,"",IF(AND(Table1[Leaving Date]&gt;1,Table1[Leaving Date]&lt;42644),"",1)))</f>
        <v/>
      </c>
      <c r="DW499" s="92" t="str">
        <f>IF(Table1[Start Date]="","",IF(Table1[Start Date]&gt;42825,"",IF(AND(Table1[Leaving Date]&gt;1,Table1[Leaving Date]&lt;42736),"",1)))</f>
        <v/>
      </c>
      <c r="DX499"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499" s="44" t="e">
        <f>VLOOKUP(Table1[Referral Source],Lists!$G$2:$H$20,2,FALSE)</f>
        <v>#N/A</v>
      </c>
      <c r="DZ499" s="93" t="e">
        <f>SUM(Table1[Data Referral Quarter]+Table1[Data Referral Source])</f>
        <v>#N/A</v>
      </c>
      <c r="EA499" s="44" t="b">
        <f>IF(Table1[Referral Decision]="Accepted",100,IF(Table1[Referral Decision]="Rejected by Provider",200,IF(Table1[Referral Decision]="Rejected by Applicant",300)))</f>
        <v>0</v>
      </c>
      <c r="EB499" s="44">
        <f>SUM(Table1[Data Referral Quarter]+Table1[Data Referral Decision])</f>
        <v>0</v>
      </c>
      <c r="EC499" s="44" t="b">
        <f>IF(Table1[Start Date]&gt;42735,8000,IF(Table1[Start Date]&gt;42643,7000,IF(Table1[Start Date]&gt;42551,6000,IF(Table1[Start Date]&gt;42460,5000,IF(Table1[Start Date]&gt;42369,4000,IF(Table1[Start Date]&gt;42277,3000,IF(Table1[Start Date]&gt;42185,2000,IF(Table1[Start Date]&gt;42094,1000))))))))</f>
        <v>0</v>
      </c>
      <c r="ED499" s="44" t="str">
        <f>IF(Table1[Start Date]="","",IF(Table1[Current Local Authority]="Swindon",1,"2"))</f>
        <v/>
      </c>
      <c r="EE499" s="44" t="e">
        <f>SUM(Table1[Data Start Date]+Table1[Data Local Authority])</f>
        <v>#VALUE!</v>
      </c>
      <c r="EF499" s="44">
        <f>IF(Table1[Registered with GP]="Yes",1,0)</f>
        <v>0</v>
      </c>
      <c r="EG499" s="44">
        <f>SUM(Table1[Data Start Date]+Table1[Data GP Start])</f>
        <v>0</v>
      </c>
      <c r="EH499" s="44" t="str">
        <f>IF(Table1[EET]="NEET",1,IF(Table1[EET]="Education",2,IF(Table1[EET]="Employment",2,IF(Table1[EET]="Training",2,IF(Table1[EET]="Retired",3,"")))))</f>
        <v/>
      </c>
      <c r="EI499" s="44" t="e">
        <f>Table1[Data Start Date]+Table1[Data EET Start]</f>
        <v>#VALUE!</v>
      </c>
      <c r="EJ499" s="44" t="b">
        <f>IF(Table1[Leaving Date]&gt;42735,8000,IF(Table1[Leaving Date]&gt;42643,7000,IF(Table1[Leaving Date]&gt;42551,6000,IF(Table1[Leaving Date]&gt;42460,5000,IF(Table1[Leaving Date]&gt;42369,4000,IF(Table1[Leaving Date]&gt;42277,3000,IF(Table1[Leaving Date]&gt;42185,2000,IF(Table1[Leaving Date]&gt;42094,1000))))))))</f>
        <v>0</v>
      </c>
      <c r="EK499" s="44" t="e">
        <f>VLOOKUP(Table1[Reason for Leaving],Lists!$T$2:$U$15,2,FALSE)</f>
        <v>#N/A</v>
      </c>
      <c r="EL499" s="44" t="e">
        <f>SUM(Table1[Data Leavers Date]+Table1[Data Move On])</f>
        <v>#N/A</v>
      </c>
      <c r="EM499" s="44" t="b">
        <f>IF(Table1[Registered with GP2]="Yes",1,IF(Table1[Registered with GP2]="No",0,IF(Table1[Registered with GP]="Yes",1,IF(Table1[Registered with GP]="No",0))))</f>
        <v>0</v>
      </c>
      <c r="EN499" s="44">
        <f>SUM(Table1[Data Leavers Date]+Table1[Data GP End])</f>
        <v>0</v>
      </c>
      <c r="EO499" s="44" t="str">
        <f>IF(Table1[EET2]="NEET",1,IF(Table1[EET2]="Employment",2,IF(Table1[EET2]="Education",2,IF(Table1[EET2]="Training",2,IF(Table1[EET2]="Retired",3,IF(Table1[EET]="NEET",1,IF(Table1[EET]="Employment",2,IF(Table1[EET]="Education",2,IF(Table1[EET]="Training",2,IF(Table1[EET]="Retired",3,""))))))))))</f>
        <v/>
      </c>
      <c r="EP499" s="44" t="e">
        <f>+Table1[[#This Row],[Data Leavers Date]]+Table1[[#This Row],[Data EET End]]</f>
        <v>#VALUE!</v>
      </c>
      <c r="EQ499" s="44">
        <f>IF(Table1[Exit Form Received]="Yes",1,0)</f>
        <v>0</v>
      </c>
      <c r="ER499" s="44">
        <f>+Table1[[#This Row],[Data Leavers Date]]+Table1[[#This Row],[Data Exit Forms]]</f>
        <v>0</v>
      </c>
      <c r="ES499" s="44" t="str">
        <f>IF(Table1[Data Leavers Date]=1000,SUM(Table1[Leaving Date]-Table1[Start Date]),"")</f>
        <v/>
      </c>
      <c r="ET499" s="44" t="str">
        <f>IF(Table1[Data Leavers Date]=2000,SUM(Table1[Leaving Date]-Table1[Start Date]),"")</f>
        <v/>
      </c>
      <c r="EU499" s="44" t="str">
        <f>IF(Table1[Data Leavers Date]=3000,SUM(Table1[Leaving Date]-Table1[Start Date]),"")</f>
        <v/>
      </c>
      <c r="EV499" s="44" t="str">
        <f>IF(Table1[Data Leavers Date]=4000,SUM(Table1[Leaving Date]-Table1[Start Date]),"")</f>
        <v/>
      </c>
      <c r="EW499" s="44" t="str">
        <f>IF(Table1[Data Leavers Date]=5000,SUM(Table1[Leaving Date]-Table1[Start Date]),"")</f>
        <v/>
      </c>
      <c r="EX499" s="44" t="str">
        <f>IF(Table1[Data Leavers Date]=6000,SUM(Table1[Leaving Date]-Table1[Start Date]),"")</f>
        <v/>
      </c>
      <c r="EY499" s="44" t="str">
        <f>IF(Table1[Data Leavers Date]=7000,SUM(Table1[Leaving Date]-Table1[Start Date]),"")</f>
        <v/>
      </c>
      <c r="EZ499" s="44" t="str">
        <f>IF(Table1[Data Leavers Date]=8000,SUM(Table1[Leaving Date]-Table1[Start Date]),"")</f>
        <v/>
      </c>
      <c r="FA499" s="44" t="str">
        <f>IF(Table1[Date of Initial Assessment]="","",IF(AND(Table1[Start Date]&gt;42094,Table1[Start Date]&lt;42461),Table1[Motivation and Taking Responsibility],""))</f>
        <v/>
      </c>
      <c r="FB499" s="44" t="str">
        <f>IF(Table1[Date of Initial Assessment]="","",IF(AND(Table1[Start Date]&gt;42094,Table1[Start Date]&lt;42461),Table1[Self-Care and Living Skills],""))</f>
        <v/>
      </c>
      <c r="FC499" s="44" t="str">
        <f>IF(Table1[Date of Initial Assessment]="","",IF(AND(Table1[Start Date]&gt;42094,Table1[Start Date]&lt;42461),Table1[Managing Money and Personal Administration],""))</f>
        <v/>
      </c>
      <c r="FD499" s="44" t="str">
        <f>IF(Table1[Date of Initial Assessment]="","",IF(AND(Table1[Start Date]&gt;42094,Table1[Start Date]&lt;42461),Table1[Social Networks and Relationships],""))</f>
        <v/>
      </c>
      <c r="FE499" s="44" t="str">
        <f>IF(Table1[Date of Initial Assessment]="","",IF(AND(Table1[Start Date]&gt;42094,Table1[Start Date]&lt;42461),Table1[Drug and Alcohol Misuse],""))</f>
        <v/>
      </c>
      <c r="FF499" s="44" t="str">
        <f>IF(Table1[Date of Initial Assessment]="","",IF(AND(Table1[Start Date]&gt;42094,Table1[Start Date]&lt;42461),Table1[Physical Health],""))</f>
        <v/>
      </c>
      <c r="FG499" s="44" t="str">
        <f>IF(Table1[Date of Initial Assessment]="","",IF(AND(Table1[Start Date]&gt;42094,Table1[Start Date]&lt;42461),Table1[Emotional and Mental Health],""))</f>
        <v/>
      </c>
      <c r="FH499" s="44" t="str">
        <f>IF(Table1[Date of Initial Assessment]="","",IF(AND(Table1[Start Date]&gt;42094,Table1[Start Date]&lt;42461),Table1[Meaningful Use of Time],""))</f>
        <v/>
      </c>
      <c r="FI499" s="44" t="str">
        <f>IF(Table1[Date of Initial Assessment]="","",IF(AND(Table1[Start Date]&gt;42094,Table1[Start Date]&lt;42461),Table1[Managing Tenancy and Accommodation],""))</f>
        <v/>
      </c>
      <c r="FJ499" s="44" t="str">
        <f>IF(Table1[Date of Initial Assessment]="","",IF(AND(Table1[Start Date]&gt;42094,Table1[Start Date]&lt;42461),Table1[Offending],""))</f>
        <v/>
      </c>
      <c r="FK499" s="44" t="str">
        <f>IF(Table1[Leaving Date]="","",IF(Table1[Date of Initial Assessment]="","",IF(AND(Table1[Leaving Date]&gt;42094,Table1[Leaving Date]&lt;42461),IF(Table1[Date of Last Assessment]="",Table1[Motivation and Taking Responsibility],Table1[Motivation and Taking Responsibility2]),"")))</f>
        <v/>
      </c>
      <c r="FL499" s="44" t="str">
        <f>IF(Table1[Leaving Date]="","",IF(Table1[Date of Initial Assessment]="","",IF(AND(Table1[Leaving Date]&gt;42094,Table1[Leaving Date]&lt;42461),IF(Table1[Date of Last Assessment]="",Table1[Self-Care and Living Skills],Table1[Self-Care and Living Skills2]),"")))</f>
        <v/>
      </c>
      <c r="FM499" s="44" t="str">
        <f>IF(Table1[Leaving Date]="","",IF(Table1[Date of Initial Assessment]="","",IF(AND(Table1[Leaving Date]&gt;42094,Table1[Leaving Date]&lt;42461),IF(Table1[Date of Last Assessment]="",Table1[Managing Money and Personal Administration],Table1[Managing Money and Personal Administration2]),"")))</f>
        <v/>
      </c>
      <c r="FN499" s="44" t="str">
        <f>IF(Table1[Leaving Date]="","",IF(Table1[Date of Initial Assessment]="","",IF(AND(Table1[Leaving Date]&gt;42094,Table1[Leaving Date]&lt;42461),IF(Table1[Date of Last Assessment]="",Table1[Social Networks and Relationships],Table1[Social Networks and Relationships2]),"")))</f>
        <v/>
      </c>
      <c r="FO499" s="44" t="str">
        <f>IF(Table1[Leaving Date]="","",IF(Table1[Date of Initial Assessment]="","",IF(AND(Table1[Leaving Date]&gt;42094,Table1[Leaving Date]&lt;42461),IF(Table1[Date of Last Assessment]="",Table1[Drug and Alcohol Misuse],Table1[Drug and Alcohol Misuse2]),"")))</f>
        <v/>
      </c>
      <c r="FP499" s="44" t="str">
        <f>IF(Table1[Leaving Date]="","",IF(Table1[Date of Initial Assessment]="","",IF(AND(Table1[Leaving Date]&gt;42094,Table1[Leaving Date]&lt;42461),IF(Table1[Date of Last Assessment]="",Table1[Physical Health],Table1[Physical Health2]),"")))</f>
        <v/>
      </c>
      <c r="FQ499" s="44" t="str">
        <f>IF(Table1[Leaving Date]="","",IF(Table1[Date of Initial Assessment]="","",IF(AND(Table1[Leaving Date]&gt;42094,Table1[Leaving Date]&lt;42461),IF(Table1[Date of Last Assessment]="",Table1[Emotional and Mental Health],Table1[Emotional and Mental Health2]),"")))</f>
        <v/>
      </c>
      <c r="FR499" s="44" t="str">
        <f>IF(Table1[Leaving Date]="","",IF(Table1[Date of Initial Assessment]="","",IF(AND(Table1[Leaving Date]&gt;42094,Table1[Leaving Date]&lt;42461),IF(Table1[Date of Last Assessment]="",Table1[Meaningful Use of Time],Table1[Meaningful Use of Time2]),"")))</f>
        <v/>
      </c>
      <c r="FS499" s="44" t="str">
        <f>IF(Table1[Leaving Date]="","",IF(Table1[Date of Initial Assessment]="","",IF(AND(Table1[Leaving Date]&gt;42094,Table1[Leaving Date]&lt;42461),IF(Table1[Date of Last Assessment]="",Table1[Managing Tenancy and Accommodation],Table1[Managing Tenancy and Accommodation2]),"")))</f>
        <v/>
      </c>
      <c r="FT499" s="44" t="str">
        <f>IF(Table1[Leaving Date]="","",IF(Table1[Date of Initial Assessment]="","",IF(AND(Table1[Leaving Date]&gt;42094,Table1[Leaving Date]&lt;42461),IF(Table1[Date of Last Assessment]="",Table1[Offending],Table1[Offending2]),"")))</f>
        <v/>
      </c>
      <c r="FU499" s="44" t="str">
        <f>IF(Table1[Date of Initial Assessment]="","",IF(AND(Table1[Start Date]&gt;42460,Table1[Start Date]&lt;42826),Table1[Motivation and Taking Responsibility],""))</f>
        <v/>
      </c>
      <c r="FV499" s="44" t="str">
        <f>IF(Table1[Date of Initial Assessment]="","",IF(AND(Table1[Start Date]&gt;42460,Table1[Start Date]&lt;42826),Table1[Self-Care and Living Skills],""))</f>
        <v/>
      </c>
      <c r="FW499" s="44" t="str">
        <f>IF(Table1[Date of Initial Assessment]="","",IF(AND(Table1[Start Date]&gt;42460,Table1[Start Date]&lt;42826),Table1[Managing Money and Personal Administration],""))</f>
        <v/>
      </c>
      <c r="FX499" s="44" t="str">
        <f>IF(Table1[Date of Initial Assessment]="","",IF(AND(Table1[Start Date]&gt;42460,Table1[Start Date]&lt;42826),Table1[Social Networks and Relationships],""))</f>
        <v/>
      </c>
      <c r="FY499" s="44" t="str">
        <f>IF(Table1[Date of Initial Assessment]="","",IF(AND(Table1[Start Date]&gt;42460,Table1[Start Date]&lt;42826),Table1[Drug and Alcohol Misuse],""))</f>
        <v/>
      </c>
      <c r="FZ499" s="44" t="str">
        <f>IF(Table1[Date of Initial Assessment]="","",IF(AND(Table1[Start Date]&gt;42460,Table1[Start Date]&lt;42826),Table1[Physical Health],""))</f>
        <v/>
      </c>
      <c r="GA499" s="44" t="str">
        <f>IF(Table1[Date of Initial Assessment]="","",IF(AND(Table1[Start Date]&gt;42460,Table1[Start Date]&lt;42826),Table1[Emotional and Mental Health],""))</f>
        <v/>
      </c>
      <c r="GB499" s="44" t="str">
        <f>IF(Table1[Date of Initial Assessment]="","",IF(AND(Table1[Start Date]&gt;42460,Table1[Start Date]&lt;42826),Table1[Meaningful Use of Time],""))</f>
        <v/>
      </c>
      <c r="GC499" s="44" t="str">
        <f>IF(Table1[Date of Initial Assessment]="","",IF(AND(Table1[Start Date]&gt;42460,Table1[Start Date]&lt;42826),Table1[Managing Tenancy and Accommodation],""))</f>
        <v/>
      </c>
      <c r="GD499" s="44" t="str">
        <f>IF(Table1[Date of Initial Assessment]="","",IF(AND(Table1[Start Date]&gt;42460,Table1[Start Date]&lt;42826),Table1[Offending],""))</f>
        <v/>
      </c>
      <c r="GE499" s="44" t="str">
        <f>IF(Table1[Leaving Date]="","",IF(AND(Table1[Leaving Date]&gt;42460,Table1[Leaving Date]&lt;42826),IF(Table1[Date of Last Assessment]="",Table1[Motivation and Taking Responsibility],Table1[Motivation and Taking Responsibility2]),""))</f>
        <v/>
      </c>
      <c r="GF499" s="44" t="str">
        <f>IF(Table1[Leaving Date]="","",IF(AND(Table1[Leaving Date]&gt;42460,Table1[Leaving Date]&lt;42826),IF(Table1[Date of Last Assessment]="",Table1[Self-Care and Living Skills],Table1[Self-Care and Living Skills2]),""))</f>
        <v/>
      </c>
      <c r="GG499" s="44" t="str">
        <f>IF(Table1[Leaving Date]="","",IF(AND(Table1[Leaving Date]&gt;42460,Table1[Leaving Date]&lt;42826),IF(Table1[Date of Last Assessment]="",Table1[Managing Money and Personal Administration],Table1[Managing Money and Personal Administration2]),""))</f>
        <v/>
      </c>
      <c r="GH499" s="44" t="str">
        <f>IF(Table1[Leaving Date]="","",IF(AND(Table1[Leaving Date]&gt;42460,Table1[Leaving Date]&lt;42826),IF(Table1[Date of Last Assessment]="",Table1[Social Networks and Relationships],Table1[Social Networks and Relationships2]),""))</f>
        <v/>
      </c>
      <c r="GI499" s="44" t="str">
        <f>IF(Table1[Leaving Date]="","",IF(AND(Table1[Leaving Date]&gt;42460,Table1[Leaving Date]&lt;42826),IF(Table1[Date of Last Assessment]="",Table1[Drug and Alcohol Misuse],Table1[Drug and Alcohol Misuse2]),""))</f>
        <v/>
      </c>
      <c r="GJ499" s="44" t="str">
        <f>IF(Table1[Leaving Date]="","",IF(AND(Table1[Leaving Date]&gt;42460,Table1[Leaving Date]&lt;42826),IF(Table1[Date of Last Assessment]="",Table1[Physical Health],Table1[Physical Health2]),""))</f>
        <v/>
      </c>
      <c r="GK499" s="44" t="str">
        <f>IF(Table1[Leaving Date]="","",IF(AND(Table1[Leaving Date]&gt;42460,Table1[Leaving Date]&lt;42826),IF(Table1[Date of Last Assessment]="",Table1[Emotional and Mental Health],Table1[Emotional and Mental Health2]),""))</f>
        <v/>
      </c>
      <c r="GL499" s="44" t="str">
        <f>IF(Table1[Leaving Date]="","",IF(AND(Table1[Leaving Date]&gt;42460,Table1[Leaving Date]&lt;42826),IF(Table1[Date of Last Assessment]="",Table1[Meaningful Use of Time],Table1[Meaningful Use of Time2]),""))</f>
        <v/>
      </c>
      <c r="GM499" s="44" t="str">
        <f>IF(Table1[Leaving Date]="","",IF(AND(Table1[Leaving Date]&gt;42460,Table1[Leaving Date]&lt;42826),IF(Table1[Date of Last Assessment]="",Table1[Managing Tenancy and Accommodation],Table1[Managing Tenancy and Accommodation2]),""))</f>
        <v/>
      </c>
      <c r="GN499" s="44" t="str">
        <f>IF(Table1[Leaving Date]="","",IF(AND(Table1[Leaving Date]&gt;42460,Table1[Leaving Date]&lt;42826),IF(Table1[Date of Last Assessment]="",Table1[Offending],Table1[Offending2]),""))</f>
        <v/>
      </c>
    </row>
    <row r="500" spans="2:196" ht="20.100000000000001" customHeight="1" x14ac:dyDescent="0.2">
      <c r="B500" s="86">
        <f>+'Service Data'!$C$5:$C$5</f>
        <v>0</v>
      </c>
      <c r="C500" s="86"/>
      <c r="D500" s="86"/>
      <c r="E500" s="86"/>
      <c r="F500" s="86"/>
      <c r="G500" s="86"/>
      <c r="H500" s="6"/>
      <c r="I500" s="99" t="str">
        <f ca="1">IF(Table1[[#This Row],[Date of Birth]]="","",SUM(TODAY()-Table1[[#This Row],[Date of Birth]])/365)</f>
        <v/>
      </c>
      <c r="L500" s="86"/>
      <c r="M500" s="77"/>
      <c r="N500" s="86"/>
      <c r="O500" s="86"/>
      <c r="P500" s="91"/>
      <c r="Q500" s="86"/>
      <c r="R500" s="77"/>
      <c r="S500" s="77"/>
      <c r="T500" s="68"/>
      <c r="U500" s="68"/>
      <c r="V500" s="67"/>
      <c r="W500" s="67"/>
      <c r="X500" s="67"/>
      <c r="Y500" s="67"/>
      <c r="Z500" s="67"/>
      <c r="AA500" s="67"/>
      <c r="AB500" s="67"/>
      <c r="AC500" s="67"/>
      <c r="AD500" s="67"/>
      <c r="AE500" s="67"/>
      <c r="AF500" s="67"/>
      <c r="AG500" s="67"/>
      <c r="AH500" s="67"/>
      <c r="AI500" s="67"/>
      <c r="AJ500" s="67"/>
      <c r="AK500" s="67"/>
      <c r="AL500" s="67"/>
      <c r="AM500" s="67"/>
      <c r="AN500" s="77"/>
      <c r="AO500" s="76"/>
      <c r="AP500" s="77"/>
      <c r="AQ500" s="76"/>
      <c r="AR500" s="76"/>
      <c r="AS500" s="76"/>
      <c r="AT500" s="76"/>
      <c r="AU500" s="76"/>
      <c r="AV500" s="77"/>
      <c r="AW500" s="76"/>
      <c r="AX500" s="77"/>
      <c r="AY500" s="76"/>
      <c r="AZ500" s="76"/>
      <c r="BA500" s="76"/>
      <c r="BB500" s="76"/>
      <c r="BC500" s="76"/>
      <c r="BD500" s="77"/>
      <c r="BE500" s="76"/>
      <c r="BF500" s="77"/>
      <c r="BG500" s="76"/>
      <c r="BH500" s="76"/>
      <c r="BI500" s="76"/>
      <c r="BJ500" s="76"/>
      <c r="BK500" s="76"/>
      <c r="BL500" s="77"/>
      <c r="BM500" s="76"/>
      <c r="BN500" s="77"/>
      <c r="BO500" s="76"/>
      <c r="BP500" s="76"/>
      <c r="BQ500" s="76"/>
      <c r="BR500" s="76"/>
      <c r="BS500" s="76"/>
      <c r="BT500" s="77"/>
      <c r="BU500" s="76"/>
      <c r="BV500" s="77"/>
      <c r="BW500" s="76"/>
      <c r="BX500" s="76"/>
      <c r="BY500" s="76"/>
      <c r="BZ500" s="76"/>
      <c r="CA500" s="76"/>
      <c r="CB500" s="77"/>
      <c r="CC500" s="76"/>
      <c r="CD500" s="77"/>
      <c r="CE500" s="76"/>
      <c r="CF500" s="76"/>
      <c r="CG500" s="76"/>
      <c r="CH500" s="76"/>
      <c r="CI500" s="76"/>
      <c r="CJ500" s="77"/>
      <c r="CK500" s="76"/>
      <c r="CL500" s="77"/>
      <c r="CM500" s="76"/>
      <c r="CN500" s="76"/>
      <c r="CO500" s="76"/>
      <c r="CP500" s="76"/>
      <c r="CQ500" s="76"/>
      <c r="CR500" s="78" t="str">
        <f t="shared" si="127"/>
        <v/>
      </c>
      <c r="CS500" s="79" t="str">
        <f t="shared" si="128"/>
        <v/>
      </c>
      <c r="CT500" s="79" t="str">
        <f t="shared" si="129"/>
        <v/>
      </c>
      <c r="CU500" s="79" t="str">
        <f t="shared" si="130"/>
        <v/>
      </c>
      <c r="CV500" s="79" t="str">
        <f t="shared" si="131"/>
        <v/>
      </c>
      <c r="CW500" s="79" t="str">
        <f t="shared" si="132"/>
        <v/>
      </c>
      <c r="CX500" s="79" t="str">
        <f t="shared" si="133"/>
        <v/>
      </c>
      <c r="CY500" s="79" t="str">
        <f t="shared" si="134"/>
        <v/>
      </c>
      <c r="CZ500" s="79" t="str">
        <f t="shared" si="135"/>
        <v/>
      </c>
      <c r="DA500" s="79" t="str">
        <f t="shared" si="136"/>
        <v/>
      </c>
      <c r="DB500" s="79" t="str">
        <f t="shared" si="137"/>
        <v/>
      </c>
      <c r="DC500" s="79" t="str">
        <f t="shared" si="138"/>
        <v/>
      </c>
      <c r="DD500" s="79" t="str">
        <f t="shared" si="139"/>
        <v/>
      </c>
      <c r="DE500" s="79" t="str">
        <f t="shared" si="140"/>
        <v/>
      </c>
      <c r="DF500" s="79" t="str">
        <f t="shared" si="141"/>
        <v/>
      </c>
      <c r="DG500" s="79" t="str">
        <f t="shared" si="142"/>
        <v/>
      </c>
      <c r="DH500" s="76"/>
      <c r="DI500" s="78"/>
      <c r="DJ500" s="76"/>
      <c r="DK500" s="77"/>
      <c r="DL500" s="77"/>
      <c r="DM500" s="77"/>
      <c r="DN500" s="80"/>
      <c r="DO500" s="80"/>
      <c r="DP500" s="92" t="str">
        <f>IF(Table1[Start Date]="","",IF(Table1[Start Date]&gt;42185,"",IF(AND(Table1[Leaving Date]&gt;1,Table1[Leaving Date]&lt;42095),"",1)))</f>
        <v/>
      </c>
      <c r="DQ500" s="92" t="str">
        <f>IF(Table1[Start Date]="","",IF(Table1[Start Date]&gt;42277,"",IF(AND(Table1[Leaving Date]&gt;1,Table1[Leaving Date]&lt;42186),"",1)))</f>
        <v/>
      </c>
      <c r="DR500" s="92" t="str">
        <f>IF(Table1[Start Date]="","",IF(Table1[Start Date]&gt;42369,"",IF(AND(Table1[Leaving Date]&gt;1,Table1[Leaving Date]&lt;42278),"",1)))</f>
        <v/>
      </c>
      <c r="DS500" s="92" t="str">
        <f>IF(Table1[Start Date]="","",IF(Table1[Start Date]&gt;42460,"",IF(AND(Table1[Leaving Date]&gt;1,Table1[Leaving Date]&lt;42370),"",1)))</f>
        <v/>
      </c>
      <c r="DT500" s="92" t="str">
        <f>IF(Table1[Start Date]="","",IF(Table1[Start Date]&gt;42551,"",IF(AND(Table1[Leaving Date]&gt;1,Table1[Leaving Date]&lt;42461),"",1)))</f>
        <v/>
      </c>
      <c r="DU500" s="92" t="str">
        <f>IF(Table1[Start Date]="","",IF(Table1[Start Date]&gt;42643,"",IF(AND(Table1[Leaving Date]&gt;1,Table1[Leaving Date]&lt;42552),"",1)))</f>
        <v/>
      </c>
      <c r="DV500" s="92" t="str">
        <f>IF(Table1[Start Date]="","",IF(Table1[Start Date]&gt;42735,"",IF(AND(Table1[Leaving Date]&gt;1,Table1[Leaving Date]&lt;42644),"",1)))</f>
        <v/>
      </c>
      <c r="DW500" s="92" t="str">
        <f>IF(Table1[Start Date]="","",IF(Table1[Start Date]&gt;42825,"",IF(AND(Table1[Leaving Date]&gt;1,Table1[Leaving Date]&lt;42736),"",1)))</f>
        <v/>
      </c>
      <c r="DX500"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500" s="44" t="e">
        <f>VLOOKUP(Table1[Referral Source],Lists!$G$2:$H$20,2,FALSE)</f>
        <v>#N/A</v>
      </c>
      <c r="DZ500" s="93" t="e">
        <f>SUM(Table1[Data Referral Quarter]+Table1[Data Referral Source])</f>
        <v>#N/A</v>
      </c>
      <c r="EA500" s="44" t="b">
        <f>IF(Table1[Referral Decision]="Accepted",100,IF(Table1[Referral Decision]="Rejected by Provider",200,IF(Table1[Referral Decision]="Rejected by Applicant",300)))</f>
        <v>0</v>
      </c>
      <c r="EB500" s="44">
        <f>SUM(Table1[Data Referral Quarter]+Table1[Data Referral Decision])</f>
        <v>0</v>
      </c>
      <c r="EC500" s="44" t="b">
        <f>IF(Table1[Start Date]&gt;42735,8000,IF(Table1[Start Date]&gt;42643,7000,IF(Table1[Start Date]&gt;42551,6000,IF(Table1[Start Date]&gt;42460,5000,IF(Table1[Start Date]&gt;42369,4000,IF(Table1[Start Date]&gt;42277,3000,IF(Table1[Start Date]&gt;42185,2000,IF(Table1[Start Date]&gt;42094,1000))))))))</f>
        <v>0</v>
      </c>
      <c r="ED500" s="44" t="str">
        <f>IF(Table1[Start Date]="","",IF(Table1[Current Local Authority]="Swindon",1,"2"))</f>
        <v/>
      </c>
      <c r="EE500" s="44" t="e">
        <f>SUM(Table1[Data Start Date]+Table1[Data Local Authority])</f>
        <v>#VALUE!</v>
      </c>
      <c r="EF500" s="44">
        <f>IF(Table1[Registered with GP]="Yes",1,0)</f>
        <v>0</v>
      </c>
      <c r="EG500" s="44">
        <f>SUM(Table1[Data Start Date]+Table1[Data GP Start])</f>
        <v>0</v>
      </c>
      <c r="EH500" s="44" t="str">
        <f>IF(Table1[EET]="NEET",1,IF(Table1[EET]="Education",2,IF(Table1[EET]="Employment",2,IF(Table1[EET]="Training",2,IF(Table1[EET]="Retired",3,"")))))</f>
        <v/>
      </c>
      <c r="EI500" s="44" t="e">
        <f>Table1[Data Start Date]+Table1[Data EET Start]</f>
        <v>#VALUE!</v>
      </c>
      <c r="EJ500" s="44" t="b">
        <f>IF(Table1[Leaving Date]&gt;42735,8000,IF(Table1[Leaving Date]&gt;42643,7000,IF(Table1[Leaving Date]&gt;42551,6000,IF(Table1[Leaving Date]&gt;42460,5000,IF(Table1[Leaving Date]&gt;42369,4000,IF(Table1[Leaving Date]&gt;42277,3000,IF(Table1[Leaving Date]&gt;42185,2000,IF(Table1[Leaving Date]&gt;42094,1000))))))))</f>
        <v>0</v>
      </c>
      <c r="EK500" s="44" t="e">
        <f>VLOOKUP(Table1[Reason for Leaving],Lists!$T$2:$U$15,2,FALSE)</f>
        <v>#N/A</v>
      </c>
      <c r="EL500" s="44" t="e">
        <f>SUM(Table1[Data Leavers Date]+Table1[Data Move On])</f>
        <v>#N/A</v>
      </c>
      <c r="EM500" s="44" t="b">
        <f>IF(Table1[Registered with GP2]="Yes",1,IF(Table1[Registered with GP2]="No",0,IF(Table1[Registered with GP]="Yes",1,IF(Table1[Registered with GP]="No",0))))</f>
        <v>0</v>
      </c>
      <c r="EN500" s="44">
        <f>SUM(Table1[Data Leavers Date]+Table1[Data GP End])</f>
        <v>0</v>
      </c>
      <c r="EO500" s="44" t="str">
        <f>IF(Table1[EET2]="NEET",1,IF(Table1[EET2]="Employment",2,IF(Table1[EET2]="Education",2,IF(Table1[EET2]="Training",2,IF(Table1[EET2]="Retired",3,IF(Table1[EET]="NEET",1,IF(Table1[EET]="Employment",2,IF(Table1[EET]="Education",2,IF(Table1[EET]="Training",2,IF(Table1[EET]="Retired",3,""))))))))))</f>
        <v/>
      </c>
      <c r="EP500" s="44" t="e">
        <f>+Table1[[#This Row],[Data Leavers Date]]+Table1[[#This Row],[Data EET End]]</f>
        <v>#VALUE!</v>
      </c>
      <c r="EQ500" s="44">
        <f>IF(Table1[Exit Form Received]="Yes",1,0)</f>
        <v>0</v>
      </c>
      <c r="ER500" s="44">
        <f>+Table1[[#This Row],[Data Leavers Date]]+Table1[[#This Row],[Data Exit Forms]]</f>
        <v>0</v>
      </c>
      <c r="ES500" s="44" t="str">
        <f>IF(Table1[Data Leavers Date]=1000,SUM(Table1[Leaving Date]-Table1[Start Date]),"")</f>
        <v/>
      </c>
      <c r="ET500" s="44" t="str">
        <f>IF(Table1[Data Leavers Date]=2000,SUM(Table1[Leaving Date]-Table1[Start Date]),"")</f>
        <v/>
      </c>
      <c r="EU500" s="44" t="str">
        <f>IF(Table1[Data Leavers Date]=3000,SUM(Table1[Leaving Date]-Table1[Start Date]),"")</f>
        <v/>
      </c>
      <c r="EV500" s="44" t="str">
        <f>IF(Table1[Data Leavers Date]=4000,SUM(Table1[Leaving Date]-Table1[Start Date]),"")</f>
        <v/>
      </c>
      <c r="EW500" s="44" t="str">
        <f>IF(Table1[Data Leavers Date]=5000,SUM(Table1[Leaving Date]-Table1[Start Date]),"")</f>
        <v/>
      </c>
      <c r="EX500" s="44" t="str">
        <f>IF(Table1[Data Leavers Date]=6000,SUM(Table1[Leaving Date]-Table1[Start Date]),"")</f>
        <v/>
      </c>
      <c r="EY500" s="44" t="str">
        <f>IF(Table1[Data Leavers Date]=7000,SUM(Table1[Leaving Date]-Table1[Start Date]),"")</f>
        <v/>
      </c>
      <c r="EZ500" s="44" t="str">
        <f>IF(Table1[Data Leavers Date]=8000,SUM(Table1[Leaving Date]-Table1[Start Date]),"")</f>
        <v/>
      </c>
      <c r="FA500" s="44" t="str">
        <f>IF(Table1[Date of Initial Assessment]="","",IF(AND(Table1[Start Date]&gt;42094,Table1[Start Date]&lt;42461),Table1[Motivation and Taking Responsibility],""))</f>
        <v/>
      </c>
      <c r="FB500" s="44" t="str">
        <f>IF(Table1[Date of Initial Assessment]="","",IF(AND(Table1[Start Date]&gt;42094,Table1[Start Date]&lt;42461),Table1[Self-Care and Living Skills],""))</f>
        <v/>
      </c>
      <c r="FC500" s="44" t="str">
        <f>IF(Table1[Date of Initial Assessment]="","",IF(AND(Table1[Start Date]&gt;42094,Table1[Start Date]&lt;42461),Table1[Managing Money and Personal Administration],""))</f>
        <v/>
      </c>
      <c r="FD500" s="44" t="str">
        <f>IF(Table1[Date of Initial Assessment]="","",IF(AND(Table1[Start Date]&gt;42094,Table1[Start Date]&lt;42461),Table1[Social Networks and Relationships],""))</f>
        <v/>
      </c>
      <c r="FE500" s="44" t="str">
        <f>IF(Table1[Date of Initial Assessment]="","",IF(AND(Table1[Start Date]&gt;42094,Table1[Start Date]&lt;42461),Table1[Drug and Alcohol Misuse],""))</f>
        <v/>
      </c>
      <c r="FF500" s="44" t="str">
        <f>IF(Table1[Date of Initial Assessment]="","",IF(AND(Table1[Start Date]&gt;42094,Table1[Start Date]&lt;42461),Table1[Physical Health],""))</f>
        <v/>
      </c>
      <c r="FG500" s="44" t="str">
        <f>IF(Table1[Date of Initial Assessment]="","",IF(AND(Table1[Start Date]&gt;42094,Table1[Start Date]&lt;42461),Table1[Emotional and Mental Health],""))</f>
        <v/>
      </c>
      <c r="FH500" s="44" t="str">
        <f>IF(Table1[Date of Initial Assessment]="","",IF(AND(Table1[Start Date]&gt;42094,Table1[Start Date]&lt;42461),Table1[Meaningful Use of Time],""))</f>
        <v/>
      </c>
      <c r="FI500" s="44" t="str">
        <f>IF(Table1[Date of Initial Assessment]="","",IF(AND(Table1[Start Date]&gt;42094,Table1[Start Date]&lt;42461),Table1[Managing Tenancy and Accommodation],""))</f>
        <v/>
      </c>
      <c r="FJ500" s="44" t="str">
        <f>IF(Table1[Date of Initial Assessment]="","",IF(AND(Table1[Start Date]&gt;42094,Table1[Start Date]&lt;42461),Table1[Offending],""))</f>
        <v/>
      </c>
      <c r="FK500" s="44" t="str">
        <f>IF(Table1[Leaving Date]="","",IF(Table1[Date of Initial Assessment]="","",IF(AND(Table1[Leaving Date]&gt;42094,Table1[Leaving Date]&lt;42461),IF(Table1[Date of Last Assessment]="",Table1[Motivation and Taking Responsibility],Table1[Motivation and Taking Responsibility2]),"")))</f>
        <v/>
      </c>
      <c r="FL500" s="44" t="str">
        <f>IF(Table1[Leaving Date]="","",IF(Table1[Date of Initial Assessment]="","",IF(AND(Table1[Leaving Date]&gt;42094,Table1[Leaving Date]&lt;42461),IF(Table1[Date of Last Assessment]="",Table1[Self-Care and Living Skills],Table1[Self-Care and Living Skills2]),"")))</f>
        <v/>
      </c>
      <c r="FM500" s="44" t="str">
        <f>IF(Table1[Leaving Date]="","",IF(Table1[Date of Initial Assessment]="","",IF(AND(Table1[Leaving Date]&gt;42094,Table1[Leaving Date]&lt;42461),IF(Table1[Date of Last Assessment]="",Table1[Managing Money and Personal Administration],Table1[Managing Money and Personal Administration2]),"")))</f>
        <v/>
      </c>
      <c r="FN500" s="44" t="str">
        <f>IF(Table1[Leaving Date]="","",IF(Table1[Date of Initial Assessment]="","",IF(AND(Table1[Leaving Date]&gt;42094,Table1[Leaving Date]&lt;42461),IF(Table1[Date of Last Assessment]="",Table1[Social Networks and Relationships],Table1[Social Networks and Relationships2]),"")))</f>
        <v/>
      </c>
      <c r="FO500" s="44" t="str">
        <f>IF(Table1[Leaving Date]="","",IF(Table1[Date of Initial Assessment]="","",IF(AND(Table1[Leaving Date]&gt;42094,Table1[Leaving Date]&lt;42461),IF(Table1[Date of Last Assessment]="",Table1[Drug and Alcohol Misuse],Table1[Drug and Alcohol Misuse2]),"")))</f>
        <v/>
      </c>
      <c r="FP500" s="44" t="str">
        <f>IF(Table1[Leaving Date]="","",IF(Table1[Date of Initial Assessment]="","",IF(AND(Table1[Leaving Date]&gt;42094,Table1[Leaving Date]&lt;42461),IF(Table1[Date of Last Assessment]="",Table1[Physical Health],Table1[Physical Health2]),"")))</f>
        <v/>
      </c>
      <c r="FQ500" s="44" t="str">
        <f>IF(Table1[Leaving Date]="","",IF(Table1[Date of Initial Assessment]="","",IF(AND(Table1[Leaving Date]&gt;42094,Table1[Leaving Date]&lt;42461),IF(Table1[Date of Last Assessment]="",Table1[Emotional and Mental Health],Table1[Emotional and Mental Health2]),"")))</f>
        <v/>
      </c>
      <c r="FR500" s="44" t="str">
        <f>IF(Table1[Leaving Date]="","",IF(Table1[Date of Initial Assessment]="","",IF(AND(Table1[Leaving Date]&gt;42094,Table1[Leaving Date]&lt;42461),IF(Table1[Date of Last Assessment]="",Table1[Meaningful Use of Time],Table1[Meaningful Use of Time2]),"")))</f>
        <v/>
      </c>
      <c r="FS500" s="44" t="str">
        <f>IF(Table1[Leaving Date]="","",IF(Table1[Date of Initial Assessment]="","",IF(AND(Table1[Leaving Date]&gt;42094,Table1[Leaving Date]&lt;42461),IF(Table1[Date of Last Assessment]="",Table1[Managing Tenancy and Accommodation],Table1[Managing Tenancy and Accommodation2]),"")))</f>
        <v/>
      </c>
      <c r="FT500" s="44" t="str">
        <f>IF(Table1[Leaving Date]="","",IF(Table1[Date of Initial Assessment]="","",IF(AND(Table1[Leaving Date]&gt;42094,Table1[Leaving Date]&lt;42461),IF(Table1[Date of Last Assessment]="",Table1[Offending],Table1[Offending2]),"")))</f>
        <v/>
      </c>
      <c r="FU500" s="44" t="str">
        <f>IF(Table1[Date of Initial Assessment]="","",IF(AND(Table1[Start Date]&gt;42460,Table1[Start Date]&lt;42826),Table1[Motivation and Taking Responsibility],""))</f>
        <v/>
      </c>
      <c r="FV500" s="44" t="str">
        <f>IF(Table1[Date of Initial Assessment]="","",IF(AND(Table1[Start Date]&gt;42460,Table1[Start Date]&lt;42826),Table1[Self-Care and Living Skills],""))</f>
        <v/>
      </c>
      <c r="FW500" s="44" t="str">
        <f>IF(Table1[Date of Initial Assessment]="","",IF(AND(Table1[Start Date]&gt;42460,Table1[Start Date]&lt;42826),Table1[Managing Money and Personal Administration],""))</f>
        <v/>
      </c>
      <c r="FX500" s="44" t="str">
        <f>IF(Table1[Date of Initial Assessment]="","",IF(AND(Table1[Start Date]&gt;42460,Table1[Start Date]&lt;42826),Table1[Social Networks and Relationships],""))</f>
        <v/>
      </c>
      <c r="FY500" s="44" t="str">
        <f>IF(Table1[Date of Initial Assessment]="","",IF(AND(Table1[Start Date]&gt;42460,Table1[Start Date]&lt;42826),Table1[Drug and Alcohol Misuse],""))</f>
        <v/>
      </c>
      <c r="FZ500" s="44" t="str">
        <f>IF(Table1[Date of Initial Assessment]="","",IF(AND(Table1[Start Date]&gt;42460,Table1[Start Date]&lt;42826),Table1[Physical Health],""))</f>
        <v/>
      </c>
      <c r="GA500" s="44" t="str">
        <f>IF(Table1[Date of Initial Assessment]="","",IF(AND(Table1[Start Date]&gt;42460,Table1[Start Date]&lt;42826),Table1[Emotional and Mental Health],""))</f>
        <v/>
      </c>
      <c r="GB500" s="44" t="str">
        <f>IF(Table1[Date of Initial Assessment]="","",IF(AND(Table1[Start Date]&gt;42460,Table1[Start Date]&lt;42826),Table1[Meaningful Use of Time],""))</f>
        <v/>
      </c>
      <c r="GC500" s="44" t="str">
        <f>IF(Table1[Date of Initial Assessment]="","",IF(AND(Table1[Start Date]&gt;42460,Table1[Start Date]&lt;42826),Table1[Managing Tenancy and Accommodation],""))</f>
        <v/>
      </c>
      <c r="GD500" s="44" t="str">
        <f>IF(Table1[Date of Initial Assessment]="","",IF(AND(Table1[Start Date]&gt;42460,Table1[Start Date]&lt;42826),Table1[Offending],""))</f>
        <v/>
      </c>
      <c r="GE500" s="44" t="str">
        <f>IF(Table1[Leaving Date]="","",IF(AND(Table1[Leaving Date]&gt;42460,Table1[Leaving Date]&lt;42826),IF(Table1[Date of Last Assessment]="",Table1[Motivation and Taking Responsibility],Table1[Motivation and Taking Responsibility2]),""))</f>
        <v/>
      </c>
      <c r="GF500" s="44" t="str">
        <f>IF(Table1[Leaving Date]="","",IF(AND(Table1[Leaving Date]&gt;42460,Table1[Leaving Date]&lt;42826),IF(Table1[Date of Last Assessment]="",Table1[Self-Care and Living Skills],Table1[Self-Care and Living Skills2]),""))</f>
        <v/>
      </c>
      <c r="GG500" s="44" t="str">
        <f>IF(Table1[Leaving Date]="","",IF(AND(Table1[Leaving Date]&gt;42460,Table1[Leaving Date]&lt;42826),IF(Table1[Date of Last Assessment]="",Table1[Managing Money and Personal Administration],Table1[Managing Money and Personal Administration2]),""))</f>
        <v/>
      </c>
      <c r="GH500" s="44" t="str">
        <f>IF(Table1[Leaving Date]="","",IF(AND(Table1[Leaving Date]&gt;42460,Table1[Leaving Date]&lt;42826),IF(Table1[Date of Last Assessment]="",Table1[Social Networks and Relationships],Table1[Social Networks and Relationships2]),""))</f>
        <v/>
      </c>
      <c r="GI500" s="44" t="str">
        <f>IF(Table1[Leaving Date]="","",IF(AND(Table1[Leaving Date]&gt;42460,Table1[Leaving Date]&lt;42826),IF(Table1[Date of Last Assessment]="",Table1[Drug and Alcohol Misuse],Table1[Drug and Alcohol Misuse2]),""))</f>
        <v/>
      </c>
      <c r="GJ500" s="44" t="str">
        <f>IF(Table1[Leaving Date]="","",IF(AND(Table1[Leaving Date]&gt;42460,Table1[Leaving Date]&lt;42826),IF(Table1[Date of Last Assessment]="",Table1[Physical Health],Table1[Physical Health2]),""))</f>
        <v/>
      </c>
      <c r="GK500" s="44" t="str">
        <f>IF(Table1[Leaving Date]="","",IF(AND(Table1[Leaving Date]&gt;42460,Table1[Leaving Date]&lt;42826),IF(Table1[Date of Last Assessment]="",Table1[Emotional and Mental Health],Table1[Emotional and Mental Health2]),""))</f>
        <v/>
      </c>
      <c r="GL500" s="44" t="str">
        <f>IF(Table1[Leaving Date]="","",IF(AND(Table1[Leaving Date]&gt;42460,Table1[Leaving Date]&lt;42826),IF(Table1[Date of Last Assessment]="",Table1[Meaningful Use of Time],Table1[Meaningful Use of Time2]),""))</f>
        <v/>
      </c>
      <c r="GM500" s="44" t="str">
        <f>IF(Table1[Leaving Date]="","",IF(AND(Table1[Leaving Date]&gt;42460,Table1[Leaving Date]&lt;42826),IF(Table1[Date of Last Assessment]="",Table1[Managing Tenancy and Accommodation],Table1[Managing Tenancy and Accommodation2]),""))</f>
        <v/>
      </c>
      <c r="GN500" s="44" t="str">
        <f>IF(Table1[Leaving Date]="","",IF(AND(Table1[Leaving Date]&gt;42460,Table1[Leaving Date]&lt;42826),IF(Table1[Date of Last Assessment]="",Table1[Offending],Table1[Offending2]),""))</f>
        <v/>
      </c>
    </row>
    <row r="501" spans="2:196" ht="20.100000000000001" customHeight="1" x14ac:dyDescent="0.2">
      <c r="B501" s="86">
        <f>+'Service Data'!$C$5:$C$5</f>
        <v>0</v>
      </c>
      <c r="C501" s="86"/>
      <c r="D501" s="86"/>
      <c r="E501" s="86"/>
      <c r="F501" s="86"/>
      <c r="G501" s="86"/>
      <c r="H501" s="6"/>
      <c r="I501" s="99" t="str">
        <f ca="1">IF(Table1[[#This Row],[Date of Birth]]="","",SUM(TODAY()-Table1[[#This Row],[Date of Birth]])/365)</f>
        <v/>
      </c>
      <c r="L501" s="86"/>
      <c r="M501" s="77"/>
      <c r="N501" s="86"/>
      <c r="O501" s="86"/>
      <c r="P501" s="91"/>
      <c r="Q501" s="86"/>
      <c r="R501" s="77"/>
      <c r="S501" s="77"/>
      <c r="T501" s="68"/>
      <c r="U501" s="68"/>
      <c r="V501" s="67"/>
      <c r="W501" s="67"/>
      <c r="X501" s="67"/>
      <c r="Y501" s="67"/>
      <c r="Z501" s="67"/>
      <c r="AA501" s="67"/>
      <c r="AB501" s="67"/>
      <c r="AC501" s="67"/>
      <c r="AD501" s="67"/>
      <c r="AE501" s="67"/>
      <c r="AF501" s="67"/>
      <c r="AG501" s="67"/>
      <c r="AH501" s="67"/>
      <c r="AI501" s="67"/>
      <c r="AJ501" s="67"/>
      <c r="AK501" s="67"/>
      <c r="AL501" s="67"/>
      <c r="AM501" s="67"/>
      <c r="AN501" s="77"/>
      <c r="AO501" s="76"/>
      <c r="AP501" s="77"/>
      <c r="AQ501" s="76"/>
      <c r="AR501" s="76"/>
      <c r="AS501" s="76"/>
      <c r="AT501" s="76"/>
      <c r="AU501" s="76"/>
      <c r="AV501" s="77"/>
      <c r="AW501" s="76"/>
      <c r="AX501" s="77"/>
      <c r="AY501" s="76"/>
      <c r="AZ501" s="76"/>
      <c r="BA501" s="76"/>
      <c r="BB501" s="76"/>
      <c r="BC501" s="76"/>
      <c r="BD501" s="77"/>
      <c r="BE501" s="76"/>
      <c r="BF501" s="77"/>
      <c r="BG501" s="76"/>
      <c r="BH501" s="76"/>
      <c r="BI501" s="76"/>
      <c r="BJ501" s="76"/>
      <c r="BK501" s="76"/>
      <c r="BL501" s="77"/>
      <c r="BM501" s="76"/>
      <c r="BN501" s="77"/>
      <c r="BO501" s="76"/>
      <c r="BP501" s="76"/>
      <c r="BQ501" s="76"/>
      <c r="BR501" s="76"/>
      <c r="BS501" s="76"/>
      <c r="BT501" s="77"/>
      <c r="BU501" s="76"/>
      <c r="BV501" s="77"/>
      <c r="BW501" s="76"/>
      <c r="BX501" s="76"/>
      <c r="BY501" s="76"/>
      <c r="BZ501" s="76"/>
      <c r="CA501" s="76"/>
      <c r="CB501" s="77"/>
      <c r="CC501" s="76"/>
      <c r="CD501" s="77"/>
      <c r="CE501" s="76"/>
      <c r="CF501" s="76"/>
      <c r="CG501" s="76"/>
      <c r="CH501" s="76"/>
      <c r="CI501" s="76"/>
      <c r="CJ501" s="77"/>
      <c r="CK501" s="76"/>
      <c r="CL501" s="77"/>
      <c r="CM501" s="76"/>
      <c r="CN501" s="76"/>
      <c r="CO501" s="76"/>
      <c r="CP501" s="76"/>
      <c r="CQ501" s="76"/>
      <c r="CR501" s="78" t="str">
        <f t="shared" si="127"/>
        <v/>
      </c>
      <c r="CS501" s="79" t="str">
        <f t="shared" si="128"/>
        <v/>
      </c>
      <c r="CT501" s="79" t="str">
        <f t="shared" si="129"/>
        <v/>
      </c>
      <c r="CU501" s="79" t="str">
        <f t="shared" si="130"/>
        <v/>
      </c>
      <c r="CV501" s="79" t="str">
        <f t="shared" si="131"/>
        <v/>
      </c>
      <c r="CW501" s="79" t="str">
        <f t="shared" si="132"/>
        <v/>
      </c>
      <c r="CX501" s="79" t="str">
        <f t="shared" si="133"/>
        <v/>
      </c>
      <c r="CY501" s="79" t="str">
        <f t="shared" si="134"/>
        <v/>
      </c>
      <c r="CZ501" s="79" t="str">
        <f t="shared" si="135"/>
        <v/>
      </c>
      <c r="DA501" s="79" t="str">
        <f t="shared" si="136"/>
        <v/>
      </c>
      <c r="DB501" s="79" t="str">
        <f t="shared" si="137"/>
        <v/>
      </c>
      <c r="DC501" s="79" t="str">
        <f t="shared" si="138"/>
        <v/>
      </c>
      <c r="DD501" s="79" t="str">
        <f t="shared" si="139"/>
        <v/>
      </c>
      <c r="DE501" s="79" t="str">
        <f t="shared" si="140"/>
        <v/>
      </c>
      <c r="DF501" s="79" t="str">
        <f t="shared" si="141"/>
        <v/>
      </c>
      <c r="DG501" s="79" t="str">
        <f t="shared" si="142"/>
        <v/>
      </c>
      <c r="DH501" s="76"/>
      <c r="DI501" s="78"/>
      <c r="DJ501" s="76"/>
      <c r="DK501" s="77"/>
      <c r="DL501" s="77"/>
      <c r="DM501" s="77"/>
      <c r="DN501" s="80"/>
      <c r="DO501" s="80"/>
      <c r="DP501" s="92" t="str">
        <f>IF(Table1[Start Date]="","",IF(Table1[Start Date]&gt;42185,"",IF(AND(Table1[Leaving Date]&gt;1,Table1[Leaving Date]&lt;42095),"",1)))</f>
        <v/>
      </c>
      <c r="DQ501" s="92" t="str">
        <f>IF(Table1[Start Date]="","",IF(Table1[Start Date]&gt;42277,"",IF(AND(Table1[Leaving Date]&gt;1,Table1[Leaving Date]&lt;42186),"",1)))</f>
        <v/>
      </c>
      <c r="DR501" s="92" t="str">
        <f>IF(Table1[Start Date]="","",IF(Table1[Start Date]&gt;42369,"",IF(AND(Table1[Leaving Date]&gt;1,Table1[Leaving Date]&lt;42278),"",1)))</f>
        <v/>
      </c>
      <c r="DS501" s="92" t="str">
        <f>IF(Table1[Start Date]="","",IF(Table1[Start Date]&gt;42460,"",IF(AND(Table1[Leaving Date]&gt;1,Table1[Leaving Date]&lt;42370),"",1)))</f>
        <v/>
      </c>
      <c r="DT501" s="92" t="str">
        <f>IF(Table1[Start Date]="","",IF(Table1[Start Date]&gt;42551,"",IF(AND(Table1[Leaving Date]&gt;1,Table1[Leaving Date]&lt;42461),"",1)))</f>
        <v/>
      </c>
      <c r="DU501" s="92" t="str">
        <f>IF(Table1[Start Date]="","",IF(Table1[Start Date]&gt;42643,"",IF(AND(Table1[Leaving Date]&gt;1,Table1[Leaving Date]&lt;42552),"",1)))</f>
        <v/>
      </c>
      <c r="DV501" s="92" t="str">
        <f>IF(Table1[Start Date]="","",IF(Table1[Start Date]&gt;42735,"",IF(AND(Table1[Leaving Date]&gt;1,Table1[Leaving Date]&lt;42644),"",1)))</f>
        <v/>
      </c>
      <c r="DW501" s="92" t="str">
        <f>IF(Table1[Start Date]="","",IF(Table1[Start Date]&gt;42825,"",IF(AND(Table1[Leaving Date]&gt;1,Table1[Leaving Date]&lt;42736),"",1)))</f>
        <v/>
      </c>
      <c r="DX501"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501" s="44" t="e">
        <f>VLOOKUP(Table1[Referral Source],Lists!$G$2:$H$20,2,FALSE)</f>
        <v>#N/A</v>
      </c>
      <c r="DZ501" s="93" t="e">
        <f>SUM(Table1[Data Referral Quarter]+Table1[Data Referral Source])</f>
        <v>#N/A</v>
      </c>
      <c r="EA501" s="44" t="b">
        <f>IF(Table1[Referral Decision]="Accepted",100,IF(Table1[Referral Decision]="Rejected by Provider",200,IF(Table1[Referral Decision]="Rejected by Applicant",300)))</f>
        <v>0</v>
      </c>
      <c r="EB501" s="44">
        <f>SUM(Table1[Data Referral Quarter]+Table1[Data Referral Decision])</f>
        <v>0</v>
      </c>
      <c r="EC501" s="44" t="b">
        <f>IF(Table1[Start Date]&gt;42735,8000,IF(Table1[Start Date]&gt;42643,7000,IF(Table1[Start Date]&gt;42551,6000,IF(Table1[Start Date]&gt;42460,5000,IF(Table1[Start Date]&gt;42369,4000,IF(Table1[Start Date]&gt;42277,3000,IF(Table1[Start Date]&gt;42185,2000,IF(Table1[Start Date]&gt;42094,1000))))))))</f>
        <v>0</v>
      </c>
      <c r="ED501" s="44" t="str">
        <f>IF(Table1[Start Date]="","",IF(Table1[Current Local Authority]="Swindon",1,"2"))</f>
        <v/>
      </c>
      <c r="EE501" s="44" t="e">
        <f>SUM(Table1[Data Start Date]+Table1[Data Local Authority])</f>
        <v>#VALUE!</v>
      </c>
      <c r="EF501" s="44">
        <f>IF(Table1[Registered with GP]="Yes",1,0)</f>
        <v>0</v>
      </c>
      <c r="EG501" s="44">
        <f>SUM(Table1[Data Start Date]+Table1[Data GP Start])</f>
        <v>0</v>
      </c>
      <c r="EH501" s="44" t="str">
        <f>IF(Table1[EET]="NEET",1,IF(Table1[EET]="Education",2,IF(Table1[EET]="Employment",2,IF(Table1[EET]="Training",2,IF(Table1[EET]="Retired",3,"")))))</f>
        <v/>
      </c>
      <c r="EI501" s="44" t="e">
        <f>Table1[Data Start Date]+Table1[Data EET Start]</f>
        <v>#VALUE!</v>
      </c>
      <c r="EJ501" s="44" t="b">
        <f>IF(Table1[Leaving Date]&gt;42735,8000,IF(Table1[Leaving Date]&gt;42643,7000,IF(Table1[Leaving Date]&gt;42551,6000,IF(Table1[Leaving Date]&gt;42460,5000,IF(Table1[Leaving Date]&gt;42369,4000,IF(Table1[Leaving Date]&gt;42277,3000,IF(Table1[Leaving Date]&gt;42185,2000,IF(Table1[Leaving Date]&gt;42094,1000))))))))</f>
        <v>0</v>
      </c>
      <c r="EK501" s="44" t="e">
        <f>VLOOKUP(Table1[Reason for Leaving],Lists!$T$2:$U$15,2,FALSE)</f>
        <v>#N/A</v>
      </c>
      <c r="EL501" s="44" t="e">
        <f>SUM(Table1[Data Leavers Date]+Table1[Data Move On])</f>
        <v>#N/A</v>
      </c>
      <c r="EM501" s="44" t="b">
        <f>IF(Table1[Registered with GP2]="Yes",1,IF(Table1[Registered with GP2]="No",0,IF(Table1[Registered with GP]="Yes",1,IF(Table1[Registered with GP]="No",0))))</f>
        <v>0</v>
      </c>
      <c r="EN501" s="44">
        <f>SUM(Table1[Data Leavers Date]+Table1[Data GP End])</f>
        <v>0</v>
      </c>
      <c r="EO501" s="44" t="str">
        <f>IF(Table1[EET2]="NEET",1,IF(Table1[EET2]="Employment",2,IF(Table1[EET2]="Education",2,IF(Table1[EET2]="Training",2,IF(Table1[EET2]="Retired",3,IF(Table1[EET]="NEET",1,IF(Table1[EET]="Employment",2,IF(Table1[EET]="Education",2,IF(Table1[EET]="Training",2,IF(Table1[EET]="Retired",3,""))))))))))</f>
        <v/>
      </c>
      <c r="EP501" s="44" t="e">
        <f>+Table1[[#This Row],[Data Leavers Date]]+Table1[[#This Row],[Data EET End]]</f>
        <v>#VALUE!</v>
      </c>
      <c r="EQ501" s="44">
        <f>IF(Table1[Exit Form Received]="Yes",1,0)</f>
        <v>0</v>
      </c>
      <c r="ER501" s="44">
        <f>+Table1[[#This Row],[Data Leavers Date]]+Table1[[#This Row],[Data Exit Forms]]</f>
        <v>0</v>
      </c>
      <c r="ES501" s="44" t="str">
        <f>IF(Table1[Data Leavers Date]=1000,SUM(Table1[Leaving Date]-Table1[Start Date]),"")</f>
        <v/>
      </c>
      <c r="ET501" s="44" t="str">
        <f>IF(Table1[Data Leavers Date]=2000,SUM(Table1[Leaving Date]-Table1[Start Date]),"")</f>
        <v/>
      </c>
      <c r="EU501" s="44" t="str">
        <f>IF(Table1[Data Leavers Date]=3000,SUM(Table1[Leaving Date]-Table1[Start Date]),"")</f>
        <v/>
      </c>
      <c r="EV501" s="44" t="str">
        <f>IF(Table1[Data Leavers Date]=4000,SUM(Table1[Leaving Date]-Table1[Start Date]),"")</f>
        <v/>
      </c>
      <c r="EW501" s="44" t="str">
        <f>IF(Table1[Data Leavers Date]=5000,SUM(Table1[Leaving Date]-Table1[Start Date]),"")</f>
        <v/>
      </c>
      <c r="EX501" s="44" t="str">
        <f>IF(Table1[Data Leavers Date]=6000,SUM(Table1[Leaving Date]-Table1[Start Date]),"")</f>
        <v/>
      </c>
      <c r="EY501" s="44" t="str">
        <f>IF(Table1[Data Leavers Date]=7000,SUM(Table1[Leaving Date]-Table1[Start Date]),"")</f>
        <v/>
      </c>
      <c r="EZ501" s="44" t="str">
        <f>IF(Table1[Data Leavers Date]=8000,SUM(Table1[Leaving Date]-Table1[Start Date]),"")</f>
        <v/>
      </c>
      <c r="FA501" s="44" t="str">
        <f>IF(Table1[Date of Initial Assessment]="","",IF(AND(Table1[Start Date]&gt;42094,Table1[Start Date]&lt;42461),Table1[Motivation and Taking Responsibility],""))</f>
        <v/>
      </c>
      <c r="FB501" s="44" t="str">
        <f>IF(Table1[Date of Initial Assessment]="","",IF(AND(Table1[Start Date]&gt;42094,Table1[Start Date]&lt;42461),Table1[Self-Care and Living Skills],""))</f>
        <v/>
      </c>
      <c r="FC501" s="44" t="str">
        <f>IF(Table1[Date of Initial Assessment]="","",IF(AND(Table1[Start Date]&gt;42094,Table1[Start Date]&lt;42461),Table1[Managing Money and Personal Administration],""))</f>
        <v/>
      </c>
      <c r="FD501" s="44" t="str">
        <f>IF(Table1[Date of Initial Assessment]="","",IF(AND(Table1[Start Date]&gt;42094,Table1[Start Date]&lt;42461),Table1[Social Networks and Relationships],""))</f>
        <v/>
      </c>
      <c r="FE501" s="44" t="str">
        <f>IF(Table1[Date of Initial Assessment]="","",IF(AND(Table1[Start Date]&gt;42094,Table1[Start Date]&lt;42461),Table1[Drug and Alcohol Misuse],""))</f>
        <v/>
      </c>
      <c r="FF501" s="44" t="str">
        <f>IF(Table1[Date of Initial Assessment]="","",IF(AND(Table1[Start Date]&gt;42094,Table1[Start Date]&lt;42461),Table1[Physical Health],""))</f>
        <v/>
      </c>
      <c r="FG501" s="44" t="str">
        <f>IF(Table1[Date of Initial Assessment]="","",IF(AND(Table1[Start Date]&gt;42094,Table1[Start Date]&lt;42461),Table1[Emotional and Mental Health],""))</f>
        <v/>
      </c>
      <c r="FH501" s="44" t="str">
        <f>IF(Table1[Date of Initial Assessment]="","",IF(AND(Table1[Start Date]&gt;42094,Table1[Start Date]&lt;42461),Table1[Meaningful Use of Time],""))</f>
        <v/>
      </c>
      <c r="FI501" s="44" t="str">
        <f>IF(Table1[Date of Initial Assessment]="","",IF(AND(Table1[Start Date]&gt;42094,Table1[Start Date]&lt;42461),Table1[Managing Tenancy and Accommodation],""))</f>
        <v/>
      </c>
      <c r="FJ501" s="44" t="str">
        <f>IF(Table1[Date of Initial Assessment]="","",IF(AND(Table1[Start Date]&gt;42094,Table1[Start Date]&lt;42461),Table1[Offending],""))</f>
        <v/>
      </c>
      <c r="FK501" s="44" t="str">
        <f>IF(Table1[Leaving Date]="","",IF(Table1[Date of Initial Assessment]="","",IF(AND(Table1[Leaving Date]&gt;42094,Table1[Leaving Date]&lt;42461),IF(Table1[Date of Last Assessment]="",Table1[Motivation and Taking Responsibility],Table1[Motivation and Taking Responsibility2]),"")))</f>
        <v/>
      </c>
      <c r="FL501" s="44" t="str">
        <f>IF(Table1[Leaving Date]="","",IF(Table1[Date of Initial Assessment]="","",IF(AND(Table1[Leaving Date]&gt;42094,Table1[Leaving Date]&lt;42461),IF(Table1[Date of Last Assessment]="",Table1[Self-Care and Living Skills],Table1[Self-Care and Living Skills2]),"")))</f>
        <v/>
      </c>
      <c r="FM501" s="44" t="str">
        <f>IF(Table1[Leaving Date]="","",IF(Table1[Date of Initial Assessment]="","",IF(AND(Table1[Leaving Date]&gt;42094,Table1[Leaving Date]&lt;42461),IF(Table1[Date of Last Assessment]="",Table1[Managing Money and Personal Administration],Table1[Managing Money and Personal Administration2]),"")))</f>
        <v/>
      </c>
      <c r="FN501" s="44" t="str">
        <f>IF(Table1[Leaving Date]="","",IF(Table1[Date of Initial Assessment]="","",IF(AND(Table1[Leaving Date]&gt;42094,Table1[Leaving Date]&lt;42461),IF(Table1[Date of Last Assessment]="",Table1[Social Networks and Relationships],Table1[Social Networks and Relationships2]),"")))</f>
        <v/>
      </c>
      <c r="FO501" s="44" t="str">
        <f>IF(Table1[Leaving Date]="","",IF(Table1[Date of Initial Assessment]="","",IF(AND(Table1[Leaving Date]&gt;42094,Table1[Leaving Date]&lt;42461),IF(Table1[Date of Last Assessment]="",Table1[Drug and Alcohol Misuse],Table1[Drug and Alcohol Misuse2]),"")))</f>
        <v/>
      </c>
      <c r="FP501" s="44" t="str">
        <f>IF(Table1[Leaving Date]="","",IF(Table1[Date of Initial Assessment]="","",IF(AND(Table1[Leaving Date]&gt;42094,Table1[Leaving Date]&lt;42461),IF(Table1[Date of Last Assessment]="",Table1[Physical Health],Table1[Physical Health2]),"")))</f>
        <v/>
      </c>
      <c r="FQ501" s="44" t="str">
        <f>IF(Table1[Leaving Date]="","",IF(Table1[Date of Initial Assessment]="","",IF(AND(Table1[Leaving Date]&gt;42094,Table1[Leaving Date]&lt;42461),IF(Table1[Date of Last Assessment]="",Table1[Emotional and Mental Health],Table1[Emotional and Mental Health2]),"")))</f>
        <v/>
      </c>
      <c r="FR501" s="44" t="str">
        <f>IF(Table1[Leaving Date]="","",IF(Table1[Date of Initial Assessment]="","",IF(AND(Table1[Leaving Date]&gt;42094,Table1[Leaving Date]&lt;42461),IF(Table1[Date of Last Assessment]="",Table1[Meaningful Use of Time],Table1[Meaningful Use of Time2]),"")))</f>
        <v/>
      </c>
      <c r="FS501" s="44" t="str">
        <f>IF(Table1[Leaving Date]="","",IF(Table1[Date of Initial Assessment]="","",IF(AND(Table1[Leaving Date]&gt;42094,Table1[Leaving Date]&lt;42461),IF(Table1[Date of Last Assessment]="",Table1[Managing Tenancy and Accommodation],Table1[Managing Tenancy and Accommodation2]),"")))</f>
        <v/>
      </c>
      <c r="FT501" s="44" t="str">
        <f>IF(Table1[Leaving Date]="","",IF(Table1[Date of Initial Assessment]="","",IF(AND(Table1[Leaving Date]&gt;42094,Table1[Leaving Date]&lt;42461),IF(Table1[Date of Last Assessment]="",Table1[Offending],Table1[Offending2]),"")))</f>
        <v/>
      </c>
      <c r="FU501" s="44" t="str">
        <f>IF(Table1[Date of Initial Assessment]="","",IF(AND(Table1[Start Date]&gt;42460,Table1[Start Date]&lt;42826),Table1[Motivation and Taking Responsibility],""))</f>
        <v/>
      </c>
      <c r="FV501" s="44" t="str">
        <f>IF(Table1[Date of Initial Assessment]="","",IF(AND(Table1[Start Date]&gt;42460,Table1[Start Date]&lt;42826),Table1[Self-Care and Living Skills],""))</f>
        <v/>
      </c>
      <c r="FW501" s="44" t="str">
        <f>IF(Table1[Date of Initial Assessment]="","",IF(AND(Table1[Start Date]&gt;42460,Table1[Start Date]&lt;42826),Table1[Managing Money and Personal Administration],""))</f>
        <v/>
      </c>
      <c r="FX501" s="44" t="str">
        <f>IF(Table1[Date of Initial Assessment]="","",IF(AND(Table1[Start Date]&gt;42460,Table1[Start Date]&lt;42826),Table1[Social Networks and Relationships],""))</f>
        <v/>
      </c>
      <c r="FY501" s="44" t="str">
        <f>IF(Table1[Date of Initial Assessment]="","",IF(AND(Table1[Start Date]&gt;42460,Table1[Start Date]&lt;42826),Table1[Drug and Alcohol Misuse],""))</f>
        <v/>
      </c>
      <c r="FZ501" s="44" t="str">
        <f>IF(Table1[Date of Initial Assessment]="","",IF(AND(Table1[Start Date]&gt;42460,Table1[Start Date]&lt;42826),Table1[Physical Health],""))</f>
        <v/>
      </c>
      <c r="GA501" s="44" t="str">
        <f>IF(Table1[Date of Initial Assessment]="","",IF(AND(Table1[Start Date]&gt;42460,Table1[Start Date]&lt;42826),Table1[Emotional and Mental Health],""))</f>
        <v/>
      </c>
      <c r="GB501" s="44" t="str">
        <f>IF(Table1[Date of Initial Assessment]="","",IF(AND(Table1[Start Date]&gt;42460,Table1[Start Date]&lt;42826),Table1[Meaningful Use of Time],""))</f>
        <v/>
      </c>
      <c r="GC501" s="44" t="str">
        <f>IF(Table1[Date of Initial Assessment]="","",IF(AND(Table1[Start Date]&gt;42460,Table1[Start Date]&lt;42826),Table1[Managing Tenancy and Accommodation],""))</f>
        <v/>
      </c>
      <c r="GD501" s="44" t="str">
        <f>IF(Table1[Date of Initial Assessment]="","",IF(AND(Table1[Start Date]&gt;42460,Table1[Start Date]&lt;42826),Table1[Offending],""))</f>
        <v/>
      </c>
      <c r="GE501" s="44" t="str">
        <f>IF(Table1[Leaving Date]="","",IF(AND(Table1[Leaving Date]&gt;42460,Table1[Leaving Date]&lt;42826),IF(Table1[Date of Last Assessment]="",Table1[Motivation and Taking Responsibility],Table1[Motivation and Taking Responsibility2]),""))</f>
        <v/>
      </c>
      <c r="GF501" s="44" t="str">
        <f>IF(Table1[Leaving Date]="","",IF(AND(Table1[Leaving Date]&gt;42460,Table1[Leaving Date]&lt;42826),IF(Table1[Date of Last Assessment]="",Table1[Self-Care and Living Skills],Table1[Self-Care and Living Skills2]),""))</f>
        <v/>
      </c>
      <c r="GG501" s="44" t="str">
        <f>IF(Table1[Leaving Date]="","",IF(AND(Table1[Leaving Date]&gt;42460,Table1[Leaving Date]&lt;42826),IF(Table1[Date of Last Assessment]="",Table1[Managing Money and Personal Administration],Table1[Managing Money and Personal Administration2]),""))</f>
        <v/>
      </c>
      <c r="GH501" s="44" t="str">
        <f>IF(Table1[Leaving Date]="","",IF(AND(Table1[Leaving Date]&gt;42460,Table1[Leaving Date]&lt;42826),IF(Table1[Date of Last Assessment]="",Table1[Social Networks and Relationships],Table1[Social Networks and Relationships2]),""))</f>
        <v/>
      </c>
      <c r="GI501" s="44" t="str">
        <f>IF(Table1[Leaving Date]="","",IF(AND(Table1[Leaving Date]&gt;42460,Table1[Leaving Date]&lt;42826),IF(Table1[Date of Last Assessment]="",Table1[Drug and Alcohol Misuse],Table1[Drug and Alcohol Misuse2]),""))</f>
        <v/>
      </c>
      <c r="GJ501" s="44" t="str">
        <f>IF(Table1[Leaving Date]="","",IF(AND(Table1[Leaving Date]&gt;42460,Table1[Leaving Date]&lt;42826),IF(Table1[Date of Last Assessment]="",Table1[Physical Health],Table1[Physical Health2]),""))</f>
        <v/>
      </c>
      <c r="GK501" s="44" t="str">
        <f>IF(Table1[Leaving Date]="","",IF(AND(Table1[Leaving Date]&gt;42460,Table1[Leaving Date]&lt;42826),IF(Table1[Date of Last Assessment]="",Table1[Emotional and Mental Health],Table1[Emotional and Mental Health2]),""))</f>
        <v/>
      </c>
      <c r="GL501" s="44" t="str">
        <f>IF(Table1[Leaving Date]="","",IF(AND(Table1[Leaving Date]&gt;42460,Table1[Leaving Date]&lt;42826),IF(Table1[Date of Last Assessment]="",Table1[Meaningful Use of Time],Table1[Meaningful Use of Time2]),""))</f>
        <v/>
      </c>
      <c r="GM501" s="44" t="str">
        <f>IF(Table1[Leaving Date]="","",IF(AND(Table1[Leaving Date]&gt;42460,Table1[Leaving Date]&lt;42826),IF(Table1[Date of Last Assessment]="",Table1[Managing Tenancy and Accommodation],Table1[Managing Tenancy and Accommodation2]),""))</f>
        <v/>
      </c>
      <c r="GN501" s="44" t="str">
        <f>IF(Table1[Leaving Date]="","",IF(AND(Table1[Leaving Date]&gt;42460,Table1[Leaving Date]&lt;42826),IF(Table1[Date of Last Assessment]="",Table1[Offending],Table1[Offending2]),""))</f>
        <v/>
      </c>
    </row>
    <row r="502" spans="2:196" ht="20.100000000000001" customHeight="1" x14ac:dyDescent="0.2">
      <c r="B502" s="86">
        <f>+'Service Data'!$C$5:$C$5</f>
        <v>0</v>
      </c>
      <c r="C502" s="86"/>
      <c r="D502" s="86"/>
      <c r="E502" s="86"/>
      <c r="F502" s="86"/>
      <c r="G502" s="86"/>
      <c r="H502" s="6"/>
      <c r="I502" s="99" t="str">
        <f ca="1">IF(Table1[[#This Row],[Date of Birth]]="","",SUM(TODAY()-Table1[[#This Row],[Date of Birth]])/365)</f>
        <v/>
      </c>
      <c r="L502" s="86"/>
      <c r="M502" s="77"/>
      <c r="N502" s="86"/>
      <c r="O502" s="86"/>
      <c r="P502" s="91"/>
      <c r="Q502" s="86"/>
      <c r="R502" s="77"/>
      <c r="S502" s="77"/>
      <c r="T502" s="68"/>
      <c r="U502" s="68"/>
      <c r="V502" s="67"/>
      <c r="W502" s="67"/>
      <c r="X502" s="67"/>
      <c r="Y502" s="67"/>
      <c r="Z502" s="67"/>
      <c r="AA502" s="67"/>
      <c r="AB502" s="67"/>
      <c r="AC502" s="67"/>
      <c r="AD502" s="67"/>
      <c r="AE502" s="67"/>
      <c r="AF502" s="67"/>
      <c r="AG502" s="67"/>
      <c r="AH502" s="67"/>
      <c r="AI502" s="67"/>
      <c r="AJ502" s="67"/>
      <c r="AK502" s="67"/>
      <c r="AL502" s="67"/>
      <c r="AM502" s="67"/>
      <c r="AN502" s="77"/>
      <c r="AO502" s="76"/>
      <c r="AP502" s="77"/>
      <c r="AQ502" s="76"/>
      <c r="AR502" s="76"/>
      <c r="AS502" s="76"/>
      <c r="AT502" s="76"/>
      <c r="AU502" s="76"/>
      <c r="AV502" s="77"/>
      <c r="AW502" s="76"/>
      <c r="AX502" s="77"/>
      <c r="AY502" s="76"/>
      <c r="AZ502" s="76"/>
      <c r="BA502" s="76"/>
      <c r="BB502" s="76"/>
      <c r="BC502" s="76"/>
      <c r="BD502" s="77"/>
      <c r="BE502" s="76"/>
      <c r="BF502" s="77"/>
      <c r="BG502" s="76"/>
      <c r="BH502" s="76"/>
      <c r="BI502" s="76"/>
      <c r="BJ502" s="76"/>
      <c r="BK502" s="76"/>
      <c r="BL502" s="77"/>
      <c r="BM502" s="76"/>
      <c r="BN502" s="77"/>
      <c r="BO502" s="76"/>
      <c r="BP502" s="76"/>
      <c r="BQ502" s="76"/>
      <c r="BR502" s="76"/>
      <c r="BS502" s="76"/>
      <c r="BT502" s="77"/>
      <c r="BU502" s="76"/>
      <c r="BV502" s="77"/>
      <c r="BW502" s="76"/>
      <c r="BX502" s="76"/>
      <c r="BY502" s="76"/>
      <c r="BZ502" s="76"/>
      <c r="CA502" s="76"/>
      <c r="CB502" s="77"/>
      <c r="CC502" s="76"/>
      <c r="CD502" s="77"/>
      <c r="CE502" s="76"/>
      <c r="CF502" s="76"/>
      <c r="CG502" s="76"/>
      <c r="CH502" s="76"/>
      <c r="CI502" s="76"/>
      <c r="CJ502" s="77"/>
      <c r="CK502" s="76"/>
      <c r="CL502" s="77"/>
      <c r="CM502" s="76"/>
      <c r="CN502" s="76"/>
      <c r="CO502" s="76"/>
      <c r="CP502" s="76"/>
      <c r="CQ502" s="76"/>
      <c r="CR502" s="78" t="str">
        <f t="shared" si="127"/>
        <v/>
      </c>
      <c r="CS502" s="79" t="str">
        <f t="shared" si="128"/>
        <v/>
      </c>
      <c r="CT502" s="79" t="str">
        <f t="shared" si="129"/>
        <v/>
      </c>
      <c r="CU502" s="79" t="str">
        <f t="shared" si="130"/>
        <v/>
      </c>
      <c r="CV502" s="79" t="str">
        <f t="shared" si="131"/>
        <v/>
      </c>
      <c r="CW502" s="79" t="str">
        <f t="shared" si="132"/>
        <v/>
      </c>
      <c r="CX502" s="79" t="str">
        <f t="shared" si="133"/>
        <v/>
      </c>
      <c r="CY502" s="79" t="str">
        <f t="shared" si="134"/>
        <v/>
      </c>
      <c r="CZ502" s="79" t="str">
        <f t="shared" si="135"/>
        <v/>
      </c>
      <c r="DA502" s="79" t="str">
        <f t="shared" si="136"/>
        <v/>
      </c>
      <c r="DB502" s="79" t="str">
        <f t="shared" si="137"/>
        <v/>
      </c>
      <c r="DC502" s="79" t="str">
        <f t="shared" si="138"/>
        <v/>
      </c>
      <c r="DD502" s="79" t="str">
        <f t="shared" si="139"/>
        <v/>
      </c>
      <c r="DE502" s="79" t="str">
        <f t="shared" si="140"/>
        <v/>
      </c>
      <c r="DF502" s="79" t="str">
        <f t="shared" si="141"/>
        <v/>
      </c>
      <c r="DG502" s="79" t="str">
        <f t="shared" si="142"/>
        <v/>
      </c>
      <c r="DH502" s="76"/>
      <c r="DI502" s="78"/>
      <c r="DJ502" s="76"/>
      <c r="DK502" s="77"/>
      <c r="DL502" s="77"/>
      <c r="DM502" s="77"/>
      <c r="DN502" s="80"/>
      <c r="DO502" s="80"/>
      <c r="DP502" s="92" t="str">
        <f>IF(Table1[Start Date]="","",IF(Table1[Start Date]&gt;42185,"",IF(AND(Table1[Leaving Date]&gt;1,Table1[Leaving Date]&lt;42095),"",1)))</f>
        <v/>
      </c>
      <c r="DQ502" s="92" t="str">
        <f>IF(Table1[Start Date]="","",IF(Table1[Start Date]&gt;42277,"",IF(AND(Table1[Leaving Date]&gt;1,Table1[Leaving Date]&lt;42186),"",1)))</f>
        <v/>
      </c>
      <c r="DR502" s="92" t="str">
        <f>IF(Table1[Start Date]="","",IF(Table1[Start Date]&gt;42369,"",IF(AND(Table1[Leaving Date]&gt;1,Table1[Leaving Date]&lt;42278),"",1)))</f>
        <v/>
      </c>
      <c r="DS502" s="92" t="str">
        <f>IF(Table1[Start Date]="","",IF(Table1[Start Date]&gt;42460,"",IF(AND(Table1[Leaving Date]&gt;1,Table1[Leaving Date]&lt;42370),"",1)))</f>
        <v/>
      </c>
      <c r="DT502" s="92" t="str">
        <f>IF(Table1[Start Date]="","",IF(Table1[Start Date]&gt;42551,"",IF(AND(Table1[Leaving Date]&gt;1,Table1[Leaving Date]&lt;42461),"",1)))</f>
        <v/>
      </c>
      <c r="DU502" s="92" t="str">
        <f>IF(Table1[Start Date]="","",IF(Table1[Start Date]&gt;42643,"",IF(AND(Table1[Leaving Date]&gt;1,Table1[Leaving Date]&lt;42552),"",1)))</f>
        <v/>
      </c>
      <c r="DV502" s="92" t="str">
        <f>IF(Table1[Start Date]="","",IF(Table1[Start Date]&gt;42735,"",IF(AND(Table1[Leaving Date]&gt;1,Table1[Leaving Date]&lt;42644),"",1)))</f>
        <v/>
      </c>
      <c r="DW502" s="92" t="str">
        <f>IF(Table1[Start Date]="","",IF(Table1[Start Date]&gt;42825,"",IF(AND(Table1[Leaving Date]&gt;1,Table1[Leaving Date]&lt;42736),"",1)))</f>
        <v/>
      </c>
      <c r="DX502"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502" s="44" t="e">
        <f>VLOOKUP(Table1[Referral Source],Lists!$G$2:$H$20,2,FALSE)</f>
        <v>#N/A</v>
      </c>
      <c r="DZ502" s="93" t="e">
        <f>SUM(Table1[Data Referral Quarter]+Table1[Data Referral Source])</f>
        <v>#N/A</v>
      </c>
      <c r="EA502" s="44" t="b">
        <f>IF(Table1[Referral Decision]="Accepted",100,IF(Table1[Referral Decision]="Rejected by Provider",200,IF(Table1[Referral Decision]="Rejected by Applicant",300)))</f>
        <v>0</v>
      </c>
      <c r="EB502" s="44">
        <f>SUM(Table1[Data Referral Quarter]+Table1[Data Referral Decision])</f>
        <v>0</v>
      </c>
      <c r="EC502" s="44" t="b">
        <f>IF(Table1[Start Date]&gt;42735,8000,IF(Table1[Start Date]&gt;42643,7000,IF(Table1[Start Date]&gt;42551,6000,IF(Table1[Start Date]&gt;42460,5000,IF(Table1[Start Date]&gt;42369,4000,IF(Table1[Start Date]&gt;42277,3000,IF(Table1[Start Date]&gt;42185,2000,IF(Table1[Start Date]&gt;42094,1000))))))))</f>
        <v>0</v>
      </c>
      <c r="ED502" s="44" t="str">
        <f>IF(Table1[Start Date]="","",IF(Table1[Current Local Authority]="Swindon",1,"2"))</f>
        <v/>
      </c>
      <c r="EE502" s="44" t="e">
        <f>SUM(Table1[Data Start Date]+Table1[Data Local Authority])</f>
        <v>#VALUE!</v>
      </c>
      <c r="EF502" s="44">
        <f>IF(Table1[Registered with GP]="Yes",1,0)</f>
        <v>0</v>
      </c>
      <c r="EG502" s="44">
        <f>SUM(Table1[Data Start Date]+Table1[Data GP Start])</f>
        <v>0</v>
      </c>
      <c r="EH502" s="44" t="str">
        <f>IF(Table1[EET]="NEET",1,IF(Table1[EET]="Education",2,IF(Table1[EET]="Employment",2,IF(Table1[EET]="Training",2,IF(Table1[EET]="Retired",3,"")))))</f>
        <v/>
      </c>
      <c r="EI502" s="44" t="e">
        <f>Table1[Data Start Date]+Table1[Data EET Start]</f>
        <v>#VALUE!</v>
      </c>
      <c r="EJ502" s="44" t="b">
        <f>IF(Table1[Leaving Date]&gt;42735,8000,IF(Table1[Leaving Date]&gt;42643,7000,IF(Table1[Leaving Date]&gt;42551,6000,IF(Table1[Leaving Date]&gt;42460,5000,IF(Table1[Leaving Date]&gt;42369,4000,IF(Table1[Leaving Date]&gt;42277,3000,IF(Table1[Leaving Date]&gt;42185,2000,IF(Table1[Leaving Date]&gt;42094,1000))))))))</f>
        <v>0</v>
      </c>
      <c r="EK502" s="44" t="e">
        <f>VLOOKUP(Table1[Reason for Leaving],Lists!$T$2:$U$15,2,FALSE)</f>
        <v>#N/A</v>
      </c>
      <c r="EL502" s="44" t="e">
        <f>SUM(Table1[Data Leavers Date]+Table1[Data Move On])</f>
        <v>#N/A</v>
      </c>
      <c r="EM502" s="44" t="b">
        <f>IF(Table1[Registered with GP2]="Yes",1,IF(Table1[Registered with GP2]="No",0,IF(Table1[Registered with GP]="Yes",1,IF(Table1[Registered with GP]="No",0))))</f>
        <v>0</v>
      </c>
      <c r="EN502" s="44">
        <f>SUM(Table1[Data Leavers Date]+Table1[Data GP End])</f>
        <v>0</v>
      </c>
      <c r="EO502" s="44" t="str">
        <f>IF(Table1[EET2]="NEET",1,IF(Table1[EET2]="Employment",2,IF(Table1[EET2]="Education",2,IF(Table1[EET2]="Training",2,IF(Table1[EET2]="Retired",3,IF(Table1[EET]="NEET",1,IF(Table1[EET]="Employment",2,IF(Table1[EET]="Education",2,IF(Table1[EET]="Training",2,IF(Table1[EET]="Retired",3,""))))))))))</f>
        <v/>
      </c>
      <c r="EP502" s="44" t="e">
        <f>+Table1[[#This Row],[Data Leavers Date]]+Table1[[#This Row],[Data EET End]]</f>
        <v>#VALUE!</v>
      </c>
      <c r="EQ502" s="44">
        <f>IF(Table1[Exit Form Received]="Yes",1,0)</f>
        <v>0</v>
      </c>
      <c r="ER502" s="44">
        <f>+Table1[[#This Row],[Data Leavers Date]]+Table1[[#This Row],[Data Exit Forms]]</f>
        <v>0</v>
      </c>
      <c r="ES502" s="44" t="str">
        <f>IF(Table1[Data Leavers Date]=1000,SUM(Table1[Leaving Date]-Table1[Start Date]),"")</f>
        <v/>
      </c>
      <c r="ET502" s="44" t="str">
        <f>IF(Table1[Data Leavers Date]=2000,SUM(Table1[Leaving Date]-Table1[Start Date]),"")</f>
        <v/>
      </c>
      <c r="EU502" s="44" t="str">
        <f>IF(Table1[Data Leavers Date]=3000,SUM(Table1[Leaving Date]-Table1[Start Date]),"")</f>
        <v/>
      </c>
      <c r="EV502" s="44" t="str">
        <f>IF(Table1[Data Leavers Date]=4000,SUM(Table1[Leaving Date]-Table1[Start Date]),"")</f>
        <v/>
      </c>
      <c r="EW502" s="44" t="str">
        <f>IF(Table1[Data Leavers Date]=5000,SUM(Table1[Leaving Date]-Table1[Start Date]),"")</f>
        <v/>
      </c>
      <c r="EX502" s="44" t="str">
        <f>IF(Table1[Data Leavers Date]=6000,SUM(Table1[Leaving Date]-Table1[Start Date]),"")</f>
        <v/>
      </c>
      <c r="EY502" s="44" t="str">
        <f>IF(Table1[Data Leavers Date]=7000,SUM(Table1[Leaving Date]-Table1[Start Date]),"")</f>
        <v/>
      </c>
      <c r="EZ502" s="44" t="str">
        <f>IF(Table1[Data Leavers Date]=8000,SUM(Table1[Leaving Date]-Table1[Start Date]),"")</f>
        <v/>
      </c>
      <c r="FA502" s="44" t="str">
        <f>IF(Table1[Date of Initial Assessment]="","",IF(AND(Table1[Start Date]&gt;42094,Table1[Start Date]&lt;42461),Table1[Motivation and Taking Responsibility],""))</f>
        <v/>
      </c>
      <c r="FB502" s="44" t="str">
        <f>IF(Table1[Date of Initial Assessment]="","",IF(AND(Table1[Start Date]&gt;42094,Table1[Start Date]&lt;42461),Table1[Self-Care and Living Skills],""))</f>
        <v/>
      </c>
      <c r="FC502" s="44" t="str">
        <f>IF(Table1[Date of Initial Assessment]="","",IF(AND(Table1[Start Date]&gt;42094,Table1[Start Date]&lt;42461),Table1[Managing Money and Personal Administration],""))</f>
        <v/>
      </c>
      <c r="FD502" s="44" t="str">
        <f>IF(Table1[Date of Initial Assessment]="","",IF(AND(Table1[Start Date]&gt;42094,Table1[Start Date]&lt;42461),Table1[Social Networks and Relationships],""))</f>
        <v/>
      </c>
      <c r="FE502" s="44" t="str">
        <f>IF(Table1[Date of Initial Assessment]="","",IF(AND(Table1[Start Date]&gt;42094,Table1[Start Date]&lt;42461),Table1[Drug and Alcohol Misuse],""))</f>
        <v/>
      </c>
      <c r="FF502" s="44" t="str">
        <f>IF(Table1[Date of Initial Assessment]="","",IF(AND(Table1[Start Date]&gt;42094,Table1[Start Date]&lt;42461),Table1[Physical Health],""))</f>
        <v/>
      </c>
      <c r="FG502" s="44" t="str">
        <f>IF(Table1[Date of Initial Assessment]="","",IF(AND(Table1[Start Date]&gt;42094,Table1[Start Date]&lt;42461),Table1[Emotional and Mental Health],""))</f>
        <v/>
      </c>
      <c r="FH502" s="44" t="str">
        <f>IF(Table1[Date of Initial Assessment]="","",IF(AND(Table1[Start Date]&gt;42094,Table1[Start Date]&lt;42461),Table1[Meaningful Use of Time],""))</f>
        <v/>
      </c>
      <c r="FI502" s="44" t="str">
        <f>IF(Table1[Date of Initial Assessment]="","",IF(AND(Table1[Start Date]&gt;42094,Table1[Start Date]&lt;42461),Table1[Managing Tenancy and Accommodation],""))</f>
        <v/>
      </c>
      <c r="FJ502" s="44" t="str">
        <f>IF(Table1[Date of Initial Assessment]="","",IF(AND(Table1[Start Date]&gt;42094,Table1[Start Date]&lt;42461),Table1[Offending],""))</f>
        <v/>
      </c>
      <c r="FK502" s="44" t="str">
        <f>IF(Table1[Leaving Date]="","",IF(Table1[Date of Initial Assessment]="","",IF(AND(Table1[Leaving Date]&gt;42094,Table1[Leaving Date]&lt;42461),IF(Table1[Date of Last Assessment]="",Table1[Motivation and Taking Responsibility],Table1[Motivation and Taking Responsibility2]),"")))</f>
        <v/>
      </c>
      <c r="FL502" s="44" t="str">
        <f>IF(Table1[Leaving Date]="","",IF(Table1[Date of Initial Assessment]="","",IF(AND(Table1[Leaving Date]&gt;42094,Table1[Leaving Date]&lt;42461),IF(Table1[Date of Last Assessment]="",Table1[Self-Care and Living Skills],Table1[Self-Care and Living Skills2]),"")))</f>
        <v/>
      </c>
      <c r="FM502" s="44" t="str">
        <f>IF(Table1[Leaving Date]="","",IF(Table1[Date of Initial Assessment]="","",IF(AND(Table1[Leaving Date]&gt;42094,Table1[Leaving Date]&lt;42461),IF(Table1[Date of Last Assessment]="",Table1[Managing Money and Personal Administration],Table1[Managing Money and Personal Administration2]),"")))</f>
        <v/>
      </c>
      <c r="FN502" s="44" t="str">
        <f>IF(Table1[Leaving Date]="","",IF(Table1[Date of Initial Assessment]="","",IF(AND(Table1[Leaving Date]&gt;42094,Table1[Leaving Date]&lt;42461),IF(Table1[Date of Last Assessment]="",Table1[Social Networks and Relationships],Table1[Social Networks and Relationships2]),"")))</f>
        <v/>
      </c>
      <c r="FO502" s="44" t="str">
        <f>IF(Table1[Leaving Date]="","",IF(Table1[Date of Initial Assessment]="","",IF(AND(Table1[Leaving Date]&gt;42094,Table1[Leaving Date]&lt;42461),IF(Table1[Date of Last Assessment]="",Table1[Drug and Alcohol Misuse],Table1[Drug and Alcohol Misuse2]),"")))</f>
        <v/>
      </c>
      <c r="FP502" s="44" t="str">
        <f>IF(Table1[Leaving Date]="","",IF(Table1[Date of Initial Assessment]="","",IF(AND(Table1[Leaving Date]&gt;42094,Table1[Leaving Date]&lt;42461),IF(Table1[Date of Last Assessment]="",Table1[Physical Health],Table1[Physical Health2]),"")))</f>
        <v/>
      </c>
      <c r="FQ502" s="44" t="str">
        <f>IF(Table1[Leaving Date]="","",IF(Table1[Date of Initial Assessment]="","",IF(AND(Table1[Leaving Date]&gt;42094,Table1[Leaving Date]&lt;42461),IF(Table1[Date of Last Assessment]="",Table1[Emotional and Mental Health],Table1[Emotional and Mental Health2]),"")))</f>
        <v/>
      </c>
      <c r="FR502" s="44" t="str">
        <f>IF(Table1[Leaving Date]="","",IF(Table1[Date of Initial Assessment]="","",IF(AND(Table1[Leaving Date]&gt;42094,Table1[Leaving Date]&lt;42461),IF(Table1[Date of Last Assessment]="",Table1[Meaningful Use of Time],Table1[Meaningful Use of Time2]),"")))</f>
        <v/>
      </c>
      <c r="FS502" s="44" t="str">
        <f>IF(Table1[Leaving Date]="","",IF(Table1[Date of Initial Assessment]="","",IF(AND(Table1[Leaving Date]&gt;42094,Table1[Leaving Date]&lt;42461),IF(Table1[Date of Last Assessment]="",Table1[Managing Tenancy and Accommodation],Table1[Managing Tenancy and Accommodation2]),"")))</f>
        <v/>
      </c>
      <c r="FT502" s="44" t="str">
        <f>IF(Table1[Leaving Date]="","",IF(Table1[Date of Initial Assessment]="","",IF(AND(Table1[Leaving Date]&gt;42094,Table1[Leaving Date]&lt;42461),IF(Table1[Date of Last Assessment]="",Table1[Offending],Table1[Offending2]),"")))</f>
        <v/>
      </c>
      <c r="FU502" s="44" t="str">
        <f>IF(Table1[Date of Initial Assessment]="","",IF(AND(Table1[Start Date]&gt;42460,Table1[Start Date]&lt;42826),Table1[Motivation and Taking Responsibility],""))</f>
        <v/>
      </c>
      <c r="FV502" s="44" t="str">
        <f>IF(Table1[Date of Initial Assessment]="","",IF(AND(Table1[Start Date]&gt;42460,Table1[Start Date]&lt;42826),Table1[Self-Care and Living Skills],""))</f>
        <v/>
      </c>
      <c r="FW502" s="44" t="str">
        <f>IF(Table1[Date of Initial Assessment]="","",IF(AND(Table1[Start Date]&gt;42460,Table1[Start Date]&lt;42826),Table1[Managing Money and Personal Administration],""))</f>
        <v/>
      </c>
      <c r="FX502" s="44" t="str">
        <f>IF(Table1[Date of Initial Assessment]="","",IF(AND(Table1[Start Date]&gt;42460,Table1[Start Date]&lt;42826),Table1[Social Networks and Relationships],""))</f>
        <v/>
      </c>
      <c r="FY502" s="44" t="str">
        <f>IF(Table1[Date of Initial Assessment]="","",IF(AND(Table1[Start Date]&gt;42460,Table1[Start Date]&lt;42826),Table1[Drug and Alcohol Misuse],""))</f>
        <v/>
      </c>
      <c r="FZ502" s="44" t="str">
        <f>IF(Table1[Date of Initial Assessment]="","",IF(AND(Table1[Start Date]&gt;42460,Table1[Start Date]&lt;42826),Table1[Physical Health],""))</f>
        <v/>
      </c>
      <c r="GA502" s="44" t="str">
        <f>IF(Table1[Date of Initial Assessment]="","",IF(AND(Table1[Start Date]&gt;42460,Table1[Start Date]&lt;42826),Table1[Emotional and Mental Health],""))</f>
        <v/>
      </c>
      <c r="GB502" s="44" t="str">
        <f>IF(Table1[Date of Initial Assessment]="","",IF(AND(Table1[Start Date]&gt;42460,Table1[Start Date]&lt;42826),Table1[Meaningful Use of Time],""))</f>
        <v/>
      </c>
      <c r="GC502" s="44" t="str">
        <f>IF(Table1[Date of Initial Assessment]="","",IF(AND(Table1[Start Date]&gt;42460,Table1[Start Date]&lt;42826),Table1[Managing Tenancy and Accommodation],""))</f>
        <v/>
      </c>
      <c r="GD502" s="44" t="str">
        <f>IF(Table1[Date of Initial Assessment]="","",IF(AND(Table1[Start Date]&gt;42460,Table1[Start Date]&lt;42826),Table1[Offending],""))</f>
        <v/>
      </c>
      <c r="GE502" s="44" t="str">
        <f>IF(Table1[Leaving Date]="","",IF(AND(Table1[Leaving Date]&gt;42460,Table1[Leaving Date]&lt;42826),IF(Table1[Date of Last Assessment]="",Table1[Motivation and Taking Responsibility],Table1[Motivation and Taking Responsibility2]),""))</f>
        <v/>
      </c>
      <c r="GF502" s="44" t="str">
        <f>IF(Table1[Leaving Date]="","",IF(AND(Table1[Leaving Date]&gt;42460,Table1[Leaving Date]&lt;42826),IF(Table1[Date of Last Assessment]="",Table1[Self-Care and Living Skills],Table1[Self-Care and Living Skills2]),""))</f>
        <v/>
      </c>
      <c r="GG502" s="44" t="str">
        <f>IF(Table1[Leaving Date]="","",IF(AND(Table1[Leaving Date]&gt;42460,Table1[Leaving Date]&lt;42826),IF(Table1[Date of Last Assessment]="",Table1[Managing Money and Personal Administration],Table1[Managing Money and Personal Administration2]),""))</f>
        <v/>
      </c>
      <c r="GH502" s="44" t="str">
        <f>IF(Table1[Leaving Date]="","",IF(AND(Table1[Leaving Date]&gt;42460,Table1[Leaving Date]&lt;42826),IF(Table1[Date of Last Assessment]="",Table1[Social Networks and Relationships],Table1[Social Networks and Relationships2]),""))</f>
        <v/>
      </c>
      <c r="GI502" s="44" t="str">
        <f>IF(Table1[Leaving Date]="","",IF(AND(Table1[Leaving Date]&gt;42460,Table1[Leaving Date]&lt;42826),IF(Table1[Date of Last Assessment]="",Table1[Drug and Alcohol Misuse],Table1[Drug and Alcohol Misuse2]),""))</f>
        <v/>
      </c>
      <c r="GJ502" s="44" t="str">
        <f>IF(Table1[Leaving Date]="","",IF(AND(Table1[Leaving Date]&gt;42460,Table1[Leaving Date]&lt;42826),IF(Table1[Date of Last Assessment]="",Table1[Physical Health],Table1[Physical Health2]),""))</f>
        <v/>
      </c>
      <c r="GK502" s="44" t="str">
        <f>IF(Table1[Leaving Date]="","",IF(AND(Table1[Leaving Date]&gt;42460,Table1[Leaving Date]&lt;42826),IF(Table1[Date of Last Assessment]="",Table1[Emotional and Mental Health],Table1[Emotional and Mental Health2]),""))</f>
        <v/>
      </c>
      <c r="GL502" s="44" t="str">
        <f>IF(Table1[Leaving Date]="","",IF(AND(Table1[Leaving Date]&gt;42460,Table1[Leaving Date]&lt;42826),IF(Table1[Date of Last Assessment]="",Table1[Meaningful Use of Time],Table1[Meaningful Use of Time2]),""))</f>
        <v/>
      </c>
      <c r="GM502" s="44" t="str">
        <f>IF(Table1[Leaving Date]="","",IF(AND(Table1[Leaving Date]&gt;42460,Table1[Leaving Date]&lt;42826),IF(Table1[Date of Last Assessment]="",Table1[Managing Tenancy and Accommodation],Table1[Managing Tenancy and Accommodation2]),""))</f>
        <v/>
      </c>
      <c r="GN502" s="44" t="str">
        <f>IF(Table1[Leaving Date]="","",IF(AND(Table1[Leaving Date]&gt;42460,Table1[Leaving Date]&lt;42826),IF(Table1[Date of Last Assessment]="",Table1[Offending],Table1[Offending2]),""))</f>
        <v/>
      </c>
    </row>
    <row r="503" spans="2:196" ht="20.100000000000001" customHeight="1" x14ac:dyDescent="0.2">
      <c r="B503" s="86">
        <f>+'Service Data'!$C$5:$C$5</f>
        <v>0</v>
      </c>
      <c r="C503" s="86"/>
      <c r="D503" s="86"/>
      <c r="E503" s="86"/>
      <c r="F503" s="86"/>
      <c r="G503" s="86"/>
      <c r="H503" s="6"/>
      <c r="I503" s="99" t="str">
        <f ca="1">IF(Table1[[#This Row],[Date of Birth]]="","",SUM(TODAY()-Table1[[#This Row],[Date of Birth]])/365)</f>
        <v/>
      </c>
      <c r="L503" s="86"/>
      <c r="M503" s="77"/>
      <c r="N503" s="86"/>
      <c r="O503" s="86"/>
      <c r="P503" s="91"/>
      <c r="Q503" s="86"/>
      <c r="R503" s="77"/>
      <c r="S503" s="77"/>
      <c r="T503" s="68"/>
      <c r="U503" s="68"/>
      <c r="V503" s="67"/>
      <c r="W503" s="67"/>
      <c r="X503" s="67"/>
      <c r="Y503" s="67"/>
      <c r="Z503" s="67"/>
      <c r="AA503" s="67"/>
      <c r="AB503" s="67"/>
      <c r="AC503" s="67"/>
      <c r="AD503" s="67"/>
      <c r="AE503" s="67"/>
      <c r="AF503" s="67"/>
      <c r="AG503" s="67"/>
      <c r="AH503" s="67"/>
      <c r="AI503" s="67"/>
      <c r="AJ503" s="67"/>
      <c r="AK503" s="67"/>
      <c r="AL503" s="67"/>
      <c r="AM503" s="67"/>
      <c r="AN503" s="77"/>
      <c r="AO503" s="76"/>
      <c r="AP503" s="77"/>
      <c r="AQ503" s="76"/>
      <c r="AR503" s="76"/>
      <c r="AS503" s="76"/>
      <c r="AT503" s="76"/>
      <c r="AU503" s="76"/>
      <c r="AV503" s="77"/>
      <c r="AW503" s="76"/>
      <c r="AX503" s="77"/>
      <c r="AY503" s="76"/>
      <c r="AZ503" s="76"/>
      <c r="BA503" s="76"/>
      <c r="BB503" s="76"/>
      <c r="BC503" s="76"/>
      <c r="BD503" s="77"/>
      <c r="BE503" s="76"/>
      <c r="BF503" s="77"/>
      <c r="BG503" s="76"/>
      <c r="BH503" s="76"/>
      <c r="BI503" s="76"/>
      <c r="BJ503" s="76"/>
      <c r="BK503" s="76"/>
      <c r="BL503" s="77"/>
      <c r="BM503" s="76"/>
      <c r="BN503" s="77"/>
      <c r="BO503" s="76"/>
      <c r="BP503" s="76"/>
      <c r="BQ503" s="76"/>
      <c r="BR503" s="76"/>
      <c r="BS503" s="76"/>
      <c r="BT503" s="77"/>
      <c r="BU503" s="76"/>
      <c r="BV503" s="77"/>
      <c r="BW503" s="76"/>
      <c r="BX503" s="76"/>
      <c r="BY503" s="76"/>
      <c r="BZ503" s="76"/>
      <c r="CA503" s="76"/>
      <c r="CB503" s="77"/>
      <c r="CC503" s="76"/>
      <c r="CD503" s="77"/>
      <c r="CE503" s="76"/>
      <c r="CF503" s="76"/>
      <c r="CG503" s="76"/>
      <c r="CH503" s="76"/>
      <c r="CI503" s="76"/>
      <c r="CJ503" s="77"/>
      <c r="CK503" s="76"/>
      <c r="CL503" s="77"/>
      <c r="CM503" s="76"/>
      <c r="CN503" s="76"/>
      <c r="CO503" s="76"/>
      <c r="CP503" s="76"/>
      <c r="CQ503" s="76"/>
      <c r="CR503" s="78" t="str">
        <f t="shared" si="127"/>
        <v/>
      </c>
      <c r="CS503" s="79" t="str">
        <f t="shared" si="128"/>
        <v/>
      </c>
      <c r="CT503" s="79" t="str">
        <f t="shared" si="129"/>
        <v/>
      </c>
      <c r="CU503" s="79" t="str">
        <f t="shared" si="130"/>
        <v/>
      </c>
      <c r="CV503" s="79" t="str">
        <f t="shared" si="131"/>
        <v/>
      </c>
      <c r="CW503" s="79" t="str">
        <f t="shared" si="132"/>
        <v/>
      </c>
      <c r="CX503" s="79" t="str">
        <f t="shared" si="133"/>
        <v/>
      </c>
      <c r="CY503" s="79" t="str">
        <f t="shared" si="134"/>
        <v/>
      </c>
      <c r="CZ503" s="79" t="str">
        <f t="shared" si="135"/>
        <v/>
      </c>
      <c r="DA503" s="79" t="str">
        <f t="shared" si="136"/>
        <v/>
      </c>
      <c r="DB503" s="79" t="str">
        <f t="shared" si="137"/>
        <v/>
      </c>
      <c r="DC503" s="79" t="str">
        <f t="shared" si="138"/>
        <v/>
      </c>
      <c r="DD503" s="79" t="str">
        <f t="shared" si="139"/>
        <v/>
      </c>
      <c r="DE503" s="79" t="str">
        <f t="shared" si="140"/>
        <v/>
      </c>
      <c r="DF503" s="79" t="str">
        <f t="shared" si="141"/>
        <v/>
      </c>
      <c r="DG503" s="79" t="str">
        <f t="shared" si="142"/>
        <v/>
      </c>
      <c r="DH503" s="76"/>
      <c r="DI503" s="78"/>
      <c r="DJ503" s="76"/>
      <c r="DK503" s="77"/>
      <c r="DL503" s="77"/>
      <c r="DM503" s="77"/>
      <c r="DN503" s="80"/>
      <c r="DO503" s="80"/>
      <c r="DP503" s="92" t="str">
        <f>IF(Table1[Start Date]="","",IF(Table1[Start Date]&gt;42185,"",IF(AND(Table1[Leaving Date]&gt;1,Table1[Leaving Date]&lt;42095),"",1)))</f>
        <v/>
      </c>
      <c r="DQ503" s="92" t="str">
        <f>IF(Table1[Start Date]="","",IF(Table1[Start Date]&gt;42277,"",IF(AND(Table1[Leaving Date]&gt;1,Table1[Leaving Date]&lt;42186),"",1)))</f>
        <v/>
      </c>
      <c r="DR503" s="92" t="str">
        <f>IF(Table1[Start Date]="","",IF(Table1[Start Date]&gt;42369,"",IF(AND(Table1[Leaving Date]&gt;1,Table1[Leaving Date]&lt;42278),"",1)))</f>
        <v/>
      </c>
      <c r="DS503" s="92" t="str">
        <f>IF(Table1[Start Date]="","",IF(Table1[Start Date]&gt;42460,"",IF(AND(Table1[Leaving Date]&gt;1,Table1[Leaving Date]&lt;42370),"",1)))</f>
        <v/>
      </c>
      <c r="DT503" s="92" t="str">
        <f>IF(Table1[Start Date]="","",IF(Table1[Start Date]&gt;42551,"",IF(AND(Table1[Leaving Date]&gt;1,Table1[Leaving Date]&lt;42461),"",1)))</f>
        <v/>
      </c>
      <c r="DU503" s="92" t="str">
        <f>IF(Table1[Start Date]="","",IF(Table1[Start Date]&gt;42643,"",IF(AND(Table1[Leaving Date]&gt;1,Table1[Leaving Date]&lt;42552),"",1)))</f>
        <v/>
      </c>
      <c r="DV503" s="92" t="str">
        <f>IF(Table1[Start Date]="","",IF(Table1[Start Date]&gt;42735,"",IF(AND(Table1[Leaving Date]&gt;1,Table1[Leaving Date]&lt;42644),"",1)))</f>
        <v/>
      </c>
      <c r="DW503" s="92" t="str">
        <f>IF(Table1[Start Date]="","",IF(Table1[Start Date]&gt;42825,"",IF(AND(Table1[Leaving Date]&gt;1,Table1[Leaving Date]&lt;42736),"",1)))</f>
        <v/>
      </c>
      <c r="DX503"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503" s="44" t="e">
        <f>VLOOKUP(Table1[Referral Source],Lists!$G$2:$H$20,2,FALSE)</f>
        <v>#N/A</v>
      </c>
      <c r="DZ503" s="93" t="e">
        <f>SUM(Table1[Data Referral Quarter]+Table1[Data Referral Source])</f>
        <v>#N/A</v>
      </c>
      <c r="EA503" s="44" t="b">
        <f>IF(Table1[Referral Decision]="Accepted",100,IF(Table1[Referral Decision]="Rejected by Provider",200,IF(Table1[Referral Decision]="Rejected by Applicant",300)))</f>
        <v>0</v>
      </c>
      <c r="EB503" s="44">
        <f>SUM(Table1[Data Referral Quarter]+Table1[Data Referral Decision])</f>
        <v>0</v>
      </c>
      <c r="EC503" s="44" t="b">
        <f>IF(Table1[Start Date]&gt;42735,8000,IF(Table1[Start Date]&gt;42643,7000,IF(Table1[Start Date]&gt;42551,6000,IF(Table1[Start Date]&gt;42460,5000,IF(Table1[Start Date]&gt;42369,4000,IF(Table1[Start Date]&gt;42277,3000,IF(Table1[Start Date]&gt;42185,2000,IF(Table1[Start Date]&gt;42094,1000))))))))</f>
        <v>0</v>
      </c>
      <c r="ED503" s="44" t="str">
        <f>IF(Table1[Start Date]="","",IF(Table1[Current Local Authority]="Swindon",1,"2"))</f>
        <v/>
      </c>
      <c r="EE503" s="44" t="e">
        <f>SUM(Table1[Data Start Date]+Table1[Data Local Authority])</f>
        <v>#VALUE!</v>
      </c>
      <c r="EF503" s="44">
        <f>IF(Table1[Registered with GP]="Yes",1,0)</f>
        <v>0</v>
      </c>
      <c r="EG503" s="44">
        <f>SUM(Table1[Data Start Date]+Table1[Data GP Start])</f>
        <v>0</v>
      </c>
      <c r="EH503" s="44" t="str">
        <f>IF(Table1[EET]="NEET",1,IF(Table1[EET]="Education",2,IF(Table1[EET]="Employment",2,IF(Table1[EET]="Training",2,IF(Table1[EET]="Retired",3,"")))))</f>
        <v/>
      </c>
      <c r="EI503" s="44" t="e">
        <f>Table1[Data Start Date]+Table1[Data EET Start]</f>
        <v>#VALUE!</v>
      </c>
      <c r="EJ503" s="44" t="b">
        <f>IF(Table1[Leaving Date]&gt;42735,8000,IF(Table1[Leaving Date]&gt;42643,7000,IF(Table1[Leaving Date]&gt;42551,6000,IF(Table1[Leaving Date]&gt;42460,5000,IF(Table1[Leaving Date]&gt;42369,4000,IF(Table1[Leaving Date]&gt;42277,3000,IF(Table1[Leaving Date]&gt;42185,2000,IF(Table1[Leaving Date]&gt;42094,1000))))))))</f>
        <v>0</v>
      </c>
      <c r="EK503" s="44" t="e">
        <f>VLOOKUP(Table1[Reason for Leaving],Lists!$T$2:$U$15,2,FALSE)</f>
        <v>#N/A</v>
      </c>
      <c r="EL503" s="44" t="e">
        <f>SUM(Table1[Data Leavers Date]+Table1[Data Move On])</f>
        <v>#N/A</v>
      </c>
      <c r="EM503" s="44" t="b">
        <f>IF(Table1[Registered with GP2]="Yes",1,IF(Table1[Registered with GP2]="No",0,IF(Table1[Registered with GP]="Yes",1,IF(Table1[Registered with GP]="No",0))))</f>
        <v>0</v>
      </c>
      <c r="EN503" s="44">
        <f>SUM(Table1[Data Leavers Date]+Table1[Data GP End])</f>
        <v>0</v>
      </c>
      <c r="EO503" s="44" t="str">
        <f>IF(Table1[EET2]="NEET",1,IF(Table1[EET2]="Employment",2,IF(Table1[EET2]="Education",2,IF(Table1[EET2]="Training",2,IF(Table1[EET2]="Retired",3,IF(Table1[EET]="NEET",1,IF(Table1[EET]="Employment",2,IF(Table1[EET]="Education",2,IF(Table1[EET]="Training",2,IF(Table1[EET]="Retired",3,""))))))))))</f>
        <v/>
      </c>
      <c r="EP503" s="44" t="e">
        <f>+Table1[[#This Row],[Data Leavers Date]]+Table1[[#This Row],[Data EET End]]</f>
        <v>#VALUE!</v>
      </c>
      <c r="EQ503" s="44">
        <f>IF(Table1[Exit Form Received]="Yes",1,0)</f>
        <v>0</v>
      </c>
      <c r="ER503" s="44">
        <f>+Table1[[#This Row],[Data Leavers Date]]+Table1[[#This Row],[Data Exit Forms]]</f>
        <v>0</v>
      </c>
      <c r="ES503" s="44" t="str">
        <f>IF(Table1[Data Leavers Date]=1000,SUM(Table1[Leaving Date]-Table1[Start Date]),"")</f>
        <v/>
      </c>
      <c r="ET503" s="44" t="str">
        <f>IF(Table1[Data Leavers Date]=2000,SUM(Table1[Leaving Date]-Table1[Start Date]),"")</f>
        <v/>
      </c>
      <c r="EU503" s="44" t="str">
        <f>IF(Table1[Data Leavers Date]=3000,SUM(Table1[Leaving Date]-Table1[Start Date]),"")</f>
        <v/>
      </c>
      <c r="EV503" s="44" t="str">
        <f>IF(Table1[Data Leavers Date]=4000,SUM(Table1[Leaving Date]-Table1[Start Date]),"")</f>
        <v/>
      </c>
      <c r="EW503" s="44" t="str">
        <f>IF(Table1[Data Leavers Date]=5000,SUM(Table1[Leaving Date]-Table1[Start Date]),"")</f>
        <v/>
      </c>
      <c r="EX503" s="44" t="str">
        <f>IF(Table1[Data Leavers Date]=6000,SUM(Table1[Leaving Date]-Table1[Start Date]),"")</f>
        <v/>
      </c>
      <c r="EY503" s="44" t="str">
        <f>IF(Table1[Data Leavers Date]=7000,SUM(Table1[Leaving Date]-Table1[Start Date]),"")</f>
        <v/>
      </c>
      <c r="EZ503" s="44" t="str">
        <f>IF(Table1[Data Leavers Date]=8000,SUM(Table1[Leaving Date]-Table1[Start Date]),"")</f>
        <v/>
      </c>
      <c r="FA503" s="44" t="str">
        <f>IF(Table1[Date of Initial Assessment]="","",IF(AND(Table1[Start Date]&gt;42094,Table1[Start Date]&lt;42461),Table1[Motivation and Taking Responsibility],""))</f>
        <v/>
      </c>
      <c r="FB503" s="44" t="str">
        <f>IF(Table1[Date of Initial Assessment]="","",IF(AND(Table1[Start Date]&gt;42094,Table1[Start Date]&lt;42461),Table1[Self-Care and Living Skills],""))</f>
        <v/>
      </c>
      <c r="FC503" s="44" t="str">
        <f>IF(Table1[Date of Initial Assessment]="","",IF(AND(Table1[Start Date]&gt;42094,Table1[Start Date]&lt;42461),Table1[Managing Money and Personal Administration],""))</f>
        <v/>
      </c>
      <c r="FD503" s="44" t="str">
        <f>IF(Table1[Date of Initial Assessment]="","",IF(AND(Table1[Start Date]&gt;42094,Table1[Start Date]&lt;42461),Table1[Social Networks and Relationships],""))</f>
        <v/>
      </c>
      <c r="FE503" s="44" t="str">
        <f>IF(Table1[Date of Initial Assessment]="","",IF(AND(Table1[Start Date]&gt;42094,Table1[Start Date]&lt;42461),Table1[Drug and Alcohol Misuse],""))</f>
        <v/>
      </c>
      <c r="FF503" s="44" t="str">
        <f>IF(Table1[Date of Initial Assessment]="","",IF(AND(Table1[Start Date]&gt;42094,Table1[Start Date]&lt;42461),Table1[Physical Health],""))</f>
        <v/>
      </c>
      <c r="FG503" s="44" t="str">
        <f>IF(Table1[Date of Initial Assessment]="","",IF(AND(Table1[Start Date]&gt;42094,Table1[Start Date]&lt;42461),Table1[Emotional and Mental Health],""))</f>
        <v/>
      </c>
      <c r="FH503" s="44" t="str">
        <f>IF(Table1[Date of Initial Assessment]="","",IF(AND(Table1[Start Date]&gt;42094,Table1[Start Date]&lt;42461),Table1[Meaningful Use of Time],""))</f>
        <v/>
      </c>
      <c r="FI503" s="44" t="str">
        <f>IF(Table1[Date of Initial Assessment]="","",IF(AND(Table1[Start Date]&gt;42094,Table1[Start Date]&lt;42461),Table1[Managing Tenancy and Accommodation],""))</f>
        <v/>
      </c>
      <c r="FJ503" s="44" t="str">
        <f>IF(Table1[Date of Initial Assessment]="","",IF(AND(Table1[Start Date]&gt;42094,Table1[Start Date]&lt;42461),Table1[Offending],""))</f>
        <v/>
      </c>
      <c r="FK503" s="44" t="str">
        <f>IF(Table1[Leaving Date]="","",IF(Table1[Date of Initial Assessment]="","",IF(AND(Table1[Leaving Date]&gt;42094,Table1[Leaving Date]&lt;42461),IF(Table1[Date of Last Assessment]="",Table1[Motivation and Taking Responsibility],Table1[Motivation and Taking Responsibility2]),"")))</f>
        <v/>
      </c>
      <c r="FL503" s="44" t="str">
        <f>IF(Table1[Leaving Date]="","",IF(Table1[Date of Initial Assessment]="","",IF(AND(Table1[Leaving Date]&gt;42094,Table1[Leaving Date]&lt;42461),IF(Table1[Date of Last Assessment]="",Table1[Self-Care and Living Skills],Table1[Self-Care and Living Skills2]),"")))</f>
        <v/>
      </c>
      <c r="FM503" s="44" t="str">
        <f>IF(Table1[Leaving Date]="","",IF(Table1[Date of Initial Assessment]="","",IF(AND(Table1[Leaving Date]&gt;42094,Table1[Leaving Date]&lt;42461),IF(Table1[Date of Last Assessment]="",Table1[Managing Money and Personal Administration],Table1[Managing Money and Personal Administration2]),"")))</f>
        <v/>
      </c>
      <c r="FN503" s="44" t="str">
        <f>IF(Table1[Leaving Date]="","",IF(Table1[Date of Initial Assessment]="","",IF(AND(Table1[Leaving Date]&gt;42094,Table1[Leaving Date]&lt;42461),IF(Table1[Date of Last Assessment]="",Table1[Social Networks and Relationships],Table1[Social Networks and Relationships2]),"")))</f>
        <v/>
      </c>
      <c r="FO503" s="44" t="str">
        <f>IF(Table1[Leaving Date]="","",IF(Table1[Date of Initial Assessment]="","",IF(AND(Table1[Leaving Date]&gt;42094,Table1[Leaving Date]&lt;42461),IF(Table1[Date of Last Assessment]="",Table1[Drug and Alcohol Misuse],Table1[Drug and Alcohol Misuse2]),"")))</f>
        <v/>
      </c>
      <c r="FP503" s="44" t="str">
        <f>IF(Table1[Leaving Date]="","",IF(Table1[Date of Initial Assessment]="","",IF(AND(Table1[Leaving Date]&gt;42094,Table1[Leaving Date]&lt;42461),IF(Table1[Date of Last Assessment]="",Table1[Physical Health],Table1[Physical Health2]),"")))</f>
        <v/>
      </c>
      <c r="FQ503" s="44" t="str">
        <f>IF(Table1[Leaving Date]="","",IF(Table1[Date of Initial Assessment]="","",IF(AND(Table1[Leaving Date]&gt;42094,Table1[Leaving Date]&lt;42461),IF(Table1[Date of Last Assessment]="",Table1[Emotional and Mental Health],Table1[Emotional and Mental Health2]),"")))</f>
        <v/>
      </c>
      <c r="FR503" s="44" t="str">
        <f>IF(Table1[Leaving Date]="","",IF(Table1[Date of Initial Assessment]="","",IF(AND(Table1[Leaving Date]&gt;42094,Table1[Leaving Date]&lt;42461),IF(Table1[Date of Last Assessment]="",Table1[Meaningful Use of Time],Table1[Meaningful Use of Time2]),"")))</f>
        <v/>
      </c>
      <c r="FS503" s="44" t="str">
        <f>IF(Table1[Leaving Date]="","",IF(Table1[Date of Initial Assessment]="","",IF(AND(Table1[Leaving Date]&gt;42094,Table1[Leaving Date]&lt;42461),IF(Table1[Date of Last Assessment]="",Table1[Managing Tenancy and Accommodation],Table1[Managing Tenancy and Accommodation2]),"")))</f>
        <v/>
      </c>
      <c r="FT503" s="44" t="str">
        <f>IF(Table1[Leaving Date]="","",IF(Table1[Date of Initial Assessment]="","",IF(AND(Table1[Leaving Date]&gt;42094,Table1[Leaving Date]&lt;42461),IF(Table1[Date of Last Assessment]="",Table1[Offending],Table1[Offending2]),"")))</f>
        <v/>
      </c>
      <c r="FU503" s="44" t="str">
        <f>IF(Table1[Date of Initial Assessment]="","",IF(AND(Table1[Start Date]&gt;42460,Table1[Start Date]&lt;42826),Table1[Motivation and Taking Responsibility],""))</f>
        <v/>
      </c>
      <c r="FV503" s="44" t="str">
        <f>IF(Table1[Date of Initial Assessment]="","",IF(AND(Table1[Start Date]&gt;42460,Table1[Start Date]&lt;42826),Table1[Self-Care and Living Skills],""))</f>
        <v/>
      </c>
      <c r="FW503" s="44" t="str">
        <f>IF(Table1[Date of Initial Assessment]="","",IF(AND(Table1[Start Date]&gt;42460,Table1[Start Date]&lt;42826),Table1[Managing Money and Personal Administration],""))</f>
        <v/>
      </c>
      <c r="FX503" s="44" t="str">
        <f>IF(Table1[Date of Initial Assessment]="","",IF(AND(Table1[Start Date]&gt;42460,Table1[Start Date]&lt;42826),Table1[Social Networks and Relationships],""))</f>
        <v/>
      </c>
      <c r="FY503" s="44" t="str">
        <f>IF(Table1[Date of Initial Assessment]="","",IF(AND(Table1[Start Date]&gt;42460,Table1[Start Date]&lt;42826),Table1[Drug and Alcohol Misuse],""))</f>
        <v/>
      </c>
      <c r="FZ503" s="44" t="str">
        <f>IF(Table1[Date of Initial Assessment]="","",IF(AND(Table1[Start Date]&gt;42460,Table1[Start Date]&lt;42826),Table1[Physical Health],""))</f>
        <v/>
      </c>
      <c r="GA503" s="44" t="str">
        <f>IF(Table1[Date of Initial Assessment]="","",IF(AND(Table1[Start Date]&gt;42460,Table1[Start Date]&lt;42826),Table1[Emotional and Mental Health],""))</f>
        <v/>
      </c>
      <c r="GB503" s="44" t="str">
        <f>IF(Table1[Date of Initial Assessment]="","",IF(AND(Table1[Start Date]&gt;42460,Table1[Start Date]&lt;42826),Table1[Meaningful Use of Time],""))</f>
        <v/>
      </c>
      <c r="GC503" s="44" t="str">
        <f>IF(Table1[Date of Initial Assessment]="","",IF(AND(Table1[Start Date]&gt;42460,Table1[Start Date]&lt;42826),Table1[Managing Tenancy and Accommodation],""))</f>
        <v/>
      </c>
      <c r="GD503" s="44" t="str">
        <f>IF(Table1[Date of Initial Assessment]="","",IF(AND(Table1[Start Date]&gt;42460,Table1[Start Date]&lt;42826),Table1[Offending],""))</f>
        <v/>
      </c>
      <c r="GE503" s="44" t="str">
        <f>IF(Table1[Leaving Date]="","",IF(AND(Table1[Leaving Date]&gt;42460,Table1[Leaving Date]&lt;42826),IF(Table1[Date of Last Assessment]="",Table1[Motivation and Taking Responsibility],Table1[Motivation and Taking Responsibility2]),""))</f>
        <v/>
      </c>
      <c r="GF503" s="44" t="str">
        <f>IF(Table1[Leaving Date]="","",IF(AND(Table1[Leaving Date]&gt;42460,Table1[Leaving Date]&lt;42826),IF(Table1[Date of Last Assessment]="",Table1[Self-Care and Living Skills],Table1[Self-Care and Living Skills2]),""))</f>
        <v/>
      </c>
      <c r="GG503" s="44" t="str">
        <f>IF(Table1[Leaving Date]="","",IF(AND(Table1[Leaving Date]&gt;42460,Table1[Leaving Date]&lt;42826),IF(Table1[Date of Last Assessment]="",Table1[Managing Money and Personal Administration],Table1[Managing Money and Personal Administration2]),""))</f>
        <v/>
      </c>
      <c r="GH503" s="44" t="str">
        <f>IF(Table1[Leaving Date]="","",IF(AND(Table1[Leaving Date]&gt;42460,Table1[Leaving Date]&lt;42826),IF(Table1[Date of Last Assessment]="",Table1[Social Networks and Relationships],Table1[Social Networks and Relationships2]),""))</f>
        <v/>
      </c>
      <c r="GI503" s="44" t="str">
        <f>IF(Table1[Leaving Date]="","",IF(AND(Table1[Leaving Date]&gt;42460,Table1[Leaving Date]&lt;42826),IF(Table1[Date of Last Assessment]="",Table1[Drug and Alcohol Misuse],Table1[Drug and Alcohol Misuse2]),""))</f>
        <v/>
      </c>
      <c r="GJ503" s="44" t="str">
        <f>IF(Table1[Leaving Date]="","",IF(AND(Table1[Leaving Date]&gt;42460,Table1[Leaving Date]&lt;42826),IF(Table1[Date of Last Assessment]="",Table1[Physical Health],Table1[Physical Health2]),""))</f>
        <v/>
      </c>
      <c r="GK503" s="44" t="str">
        <f>IF(Table1[Leaving Date]="","",IF(AND(Table1[Leaving Date]&gt;42460,Table1[Leaving Date]&lt;42826),IF(Table1[Date of Last Assessment]="",Table1[Emotional and Mental Health],Table1[Emotional and Mental Health2]),""))</f>
        <v/>
      </c>
      <c r="GL503" s="44" t="str">
        <f>IF(Table1[Leaving Date]="","",IF(AND(Table1[Leaving Date]&gt;42460,Table1[Leaving Date]&lt;42826),IF(Table1[Date of Last Assessment]="",Table1[Meaningful Use of Time],Table1[Meaningful Use of Time2]),""))</f>
        <v/>
      </c>
      <c r="GM503" s="44" t="str">
        <f>IF(Table1[Leaving Date]="","",IF(AND(Table1[Leaving Date]&gt;42460,Table1[Leaving Date]&lt;42826),IF(Table1[Date of Last Assessment]="",Table1[Managing Tenancy and Accommodation],Table1[Managing Tenancy and Accommodation2]),""))</f>
        <v/>
      </c>
      <c r="GN503" s="44" t="str">
        <f>IF(Table1[Leaving Date]="","",IF(AND(Table1[Leaving Date]&gt;42460,Table1[Leaving Date]&lt;42826),IF(Table1[Date of Last Assessment]="",Table1[Offending],Table1[Offending2]),""))</f>
        <v/>
      </c>
    </row>
    <row r="504" spans="2:196" ht="20.100000000000001" customHeight="1" x14ac:dyDescent="0.2">
      <c r="B504" s="86">
        <f>+'Service Data'!$C$5:$C$5</f>
        <v>0</v>
      </c>
      <c r="C504" s="86"/>
      <c r="D504" s="86"/>
      <c r="E504" s="86"/>
      <c r="F504" s="86"/>
      <c r="G504" s="86"/>
      <c r="H504" s="6"/>
      <c r="I504" s="99" t="str">
        <f ca="1">IF(Table1[[#This Row],[Date of Birth]]="","",SUM(TODAY()-Table1[[#This Row],[Date of Birth]])/365)</f>
        <v/>
      </c>
      <c r="L504" s="86"/>
      <c r="M504" s="77"/>
      <c r="N504" s="86"/>
      <c r="O504" s="86"/>
      <c r="P504" s="91"/>
      <c r="Q504" s="86"/>
      <c r="R504" s="77"/>
      <c r="S504" s="77"/>
      <c r="T504" s="68"/>
      <c r="U504" s="68"/>
      <c r="V504" s="67"/>
      <c r="W504" s="67"/>
      <c r="X504" s="67"/>
      <c r="Y504" s="67"/>
      <c r="Z504" s="67"/>
      <c r="AA504" s="67"/>
      <c r="AB504" s="67"/>
      <c r="AC504" s="67"/>
      <c r="AD504" s="67"/>
      <c r="AE504" s="67"/>
      <c r="AF504" s="67"/>
      <c r="AG504" s="67"/>
      <c r="AH504" s="67"/>
      <c r="AI504" s="67"/>
      <c r="AJ504" s="67"/>
      <c r="AK504" s="67"/>
      <c r="AL504" s="67"/>
      <c r="AM504" s="67"/>
      <c r="AN504" s="77"/>
      <c r="AO504" s="76"/>
      <c r="AP504" s="77"/>
      <c r="AQ504" s="76"/>
      <c r="AR504" s="76"/>
      <c r="AS504" s="76"/>
      <c r="AT504" s="76"/>
      <c r="AU504" s="76"/>
      <c r="AV504" s="77"/>
      <c r="AW504" s="76"/>
      <c r="AX504" s="77"/>
      <c r="AY504" s="76"/>
      <c r="AZ504" s="76"/>
      <c r="BA504" s="76"/>
      <c r="BB504" s="76"/>
      <c r="BC504" s="76"/>
      <c r="BD504" s="77"/>
      <c r="BE504" s="76"/>
      <c r="BF504" s="77"/>
      <c r="BG504" s="76"/>
      <c r="BH504" s="76"/>
      <c r="BI504" s="76"/>
      <c r="BJ504" s="76"/>
      <c r="BK504" s="76"/>
      <c r="BL504" s="77"/>
      <c r="BM504" s="76"/>
      <c r="BN504" s="77"/>
      <c r="BO504" s="76"/>
      <c r="BP504" s="76"/>
      <c r="BQ504" s="76"/>
      <c r="BR504" s="76"/>
      <c r="BS504" s="76"/>
      <c r="BT504" s="77"/>
      <c r="BU504" s="76"/>
      <c r="BV504" s="77"/>
      <c r="BW504" s="76"/>
      <c r="BX504" s="76"/>
      <c r="BY504" s="76"/>
      <c r="BZ504" s="76"/>
      <c r="CA504" s="76"/>
      <c r="CB504" s="77"/>
      <c r="CC504" s="76"/>
      <c r="CD504" s="77"/>
      <c r="CE504" s="76"/>
      <c r="CF504" s="76"/>
      <c r="CG504" s="76"/>
      <c r="CH504" s="76"/>
      <c r="CI504" s="76"/>
      <c r="CJ504" s="77"/>
      <c r="CK504" s="76"/>
      <c r="CL504" s="77"/>
      <c r="CM504" s="76"/>
      <c r="CN504" s="76"/>
      <c r="CO504" s="76"/>
      <c r="CP504" s="76"/>
      <c r="CQ504" s="76"/>
      <c r="CR504" s="78" t="str">
        <f t="shared" si="127"/>
        <v/>
      </c>
      <c r="CS504" s="79" t="str">
        <f t="shared" si="128"/>
        <v/>
      </c>
      <c r="CT504" s="79" t="str">
        <f t="shared" si="129"/>
        <v/>
      </c>
      <c r="CU504" s="79" t="str">
        <f t="shared" si="130"/>
        <v/>
      </c>
      <c r="CV504" s="79" t="str">
        <f t="shared" si="131"/>
        <v/>
      </c>
      <c r="CW504" s="79" t="str">
        <f t="shared" si="132"/>
        <v/>
      </c>
      <c r="CX504" s="79" t="str">
        <f t="shared" si="133"/>
        <v/>
      </c>
      <c r="CY504" s="79" t="str">
        <f t="shared" si="134"/>
        <v/>
      </c>
      <c r="CZ504" s="79" t="str">
        <f t="shared" si="135"/>
        <v/>
      </c>
      <c r="DA504" s="79" t="str">
        <f t="shared" si="136"/>
        <v/>
      </c>
      <c r="DB504" s="79" t="str">
        <f t="shared" si="137"/>
        <v/>
      </c>
      <c r="DC504" s="79" t="str">
        <f t="shared" si="138"/>
        <v/>
      </c>
      <c r="DD504" s="79" t="str">
        <f t="shared" si="139"/>
        <v/>
      </c>
      <c r="DE504" s="79" t="str">
        <f t="shared" si="140"/>
        <v/>
      </c>
      <c r="DF504" s="79" t="str">
        <f t="shared" si="141"/>
        <v/>
      </c>
      <c r="DG504" s="79" t="str">
        <f t="shared" si="142"/>
        <v/>
      </c>
      <c r="DH504" s="76"/>
      <c r="DI504" s="78"/>
      <c r="DJ504" s="76"/>
      <c r="DK504" s="77"/>
      <c r="DL504" s="77"/>
      <c r="DM504" s="77"/>
      <c r="DN504" s="80"/>
      <c r="DO504" s="80"/>
      <c r="DP504" s="92" t="str">
        <f>IF(Table1[Start Date]="","",IF(Table1[Start Date]&gt;42185,"",IF(AND(Table1[Leaving Date]&gt;1,Table1[Leaving Date]&lt;42095),"",1)))</f>
        <v/>
      </c>
      <c r="DQ504" s="92" t="str">
        <f>IF(Table1[Start Date]="","",IF(Table1[Start Date]&gt;42277,"",IF(AND(Table1[Leaving Date]&gt;1,Table1[Leaving Date]&lt;42186),"",1)))</f>
        <v/>
      </c>
      <c r="DR504" s="92" t="str">
        <f>IF(Table1[Start Date]="","",IF(Table1[Start Date]&gt;42369,"",IF(AND(Table1[Leaving Date]&gt;1,Table1[Leaving Date]&lt;42278),"",1)))</f>
        <v/>
      </c>
      <c r="DS504" s="92" t="str">
        <f>IF(Table1[Start Date]="","",IF(Table1[Start Date]&gt;42460,"",IF(AND(Table1[Leaving Date]&gt;1,Table1[Leaving Date]&lt;42370),"",1)))</f>
        <v/>
      </c>
      <c r="DT504" s="92" t="str">
        <f>IF(Table1[Start Date]="","",IF(Table1[Start Date]&gt;42551,"",IF(AND(Table1[Leaving Date]&gt;1,Table1[Leaving Date]&lt;42461),"",1)))</f>
        <v/>
      </c>
      <c r="DU504" s="92" t="str">
        <f>IF(Table1[Start Date]="","",IF(Table1[Start Date]&gt;42643,"",IF(AND(Table1[Leaving Date]&gt;1,Table1[Leaving Date]&lt;42552),"",1)))</f>
        <v/>
      </c>
      <c r="DV504" s="92" t="str">
        <f>IF(Table1[Start Date]="","",IF(Table1[Start Date]&gt;42735,"",IF(AND(Table1[Leaving Date]&gt;1,Table1[Leaving Date]&lt;42644),"",1)))</f>
        <v/>
      </c>
      <c r="DW504" s="92" t="str">
        <f>IF(Table1[Start Date]="","",IF(Table1[Start Date]&gt;42825,"",IF(AND(Table1[Leaving Date]&gt;1,Table1[Leaving Date]&lt;42736),"",1)))</f>
        <v/>
      </c>
      <c r="DX504"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504" s="44" t="e">
        <f>VLOOKUP(Table1[Referral Source],Lists!$G$2:$H$20,2,FALSE)</f>
        <v>#N/A</v>
      </c>
      <c r="DZ504" s="93" t="e">
        <f>SUM(Table1[Data Referral Quarter]+Table1[Data Referral Source])</f>
        <v>#N/A</v>
      </c>
      <c r="EA504" s="44" t="b">
        <f>IF(Table1[Referral Decision]="Accepted",100,IF(Table1[Referral Decision]="Rejected by Provider",200,IF(Table1[Referral Decision]="Rejected by Applicant",300)))</f>
        <v>0</v>
      </c>
      <c r="EB504" s="44">
        <f>SUM(Table1[Data Referral Quarter]+Table1[Data Referral Decision])</f>
        <v>0</v>
      </c>
      <c r="EC504" s="44" t="b">
        <f>IF(Table1[Start Date]&gt;42735,8000,IF(Table1[Start Date]&gt;42643,7000,IF(Table1[Start Date]&gt;42551,6000,IF(Table1[Start Date]&gt;42460,5000,IF(Table1[Start Date]&gt;42369,4000,IF(Table1[Start Date]&gt;42277,3000,IF(Table1[Start Date]&gt;42185,2000,IF(Table1[Start Date]&gt;42094,1000))))))))</f>
        <v>0</v>
      </c>
      <c r="ED504" s="44" t="str">
        <f>IF(Table1[Start Date]="","",IF(Table1[Current Local Authority]="Swindon",1,"2"))</f>
        <v/>
      </c>
      <c r="EE504" s="44" t="e">
        <f>SUM(Table1[Data Start Date]+Table1[Data Local Authority])</f>
        <v>#VALUE!</v>
      </c>
      <c r="EF504" s="44">
        <f>IF(Table1[Registered with GP]="Yes",1,0)</f>
        <v>0</v>
      </c>
      <c r="EG504" s="44">
        <f>SUM(Table1[Data Start Date]+Table1[Data GP Start])</f>
        <v>0</v>
      </c>
      <c r="EH504" s="44" t="str">
        <f>IF(Table1[EET]="NEET",1,IF(Table1[EET]="Education",2,IF(Table1[EET]="Employment",2,IF(Table1[EET]="Training",2,IF(Table1[EET]="Retired",3,"")))))</f>
        <v/>
      </c>
      <c r="EI504" s="44" t="e">
        <f>Table1[Data Start Date]+Table1[Data EET Start]</f>
        <v>#VALUE!</v>
      </c>
      <c r="EJ504" s="44" t="b">
        <f>IF(Table1[Leaving Date]&gt;42735,8000,IF(Table1[Leaving Date]&gt;42643,7000,IF(Table1[Leaving Date]&gt;42551,6000,IF(Table1[Leaving Date]&gt;42460,5000,IF(Table1[Leaving Date]&gt;42369,4000,IF(Table1[Leaving Date]&gt;42277,3000,IF(Table1[Leaving Date]&gt;42185,2000,IF(Table1[Leaving Date]&gt;42094,1000))))))))</f>
        <v>0</v>
      </c>
      <c r="EK504" s="44" t="e">
        <f>VLOOKUP(Table1[Reason for Leaving],Lists!$T$2:$U$15,2,FALSE)</f>
        <v>#N/A</v>
      </c>
      <c r="EL504" s="44" t="e">
        <f>SUM(Table1[Data Leavers Date]+Table1[Data Move On])</f>
        <v>#N/A</v>
      </c>
      <c r="EM504" s="44" t="b">
        <f>IF(Table1[Registered with GP2]="Yes",1,IF(Table1[Registered with GP2]="No",0,IF(Table1[Registered with GP]="Yes",1,IF(Table1[Registered with GP]="No",0))))</f>
        <v>0</v>
      </c>
      <c r="EN504" s="44">
        <f>SUM(Table1[Data Leavers Date]+Table1[Data GP End])</f>
        <v>0</v>
      </c>
      <c r="EO504" s="44" t="str">
        <f>IF(Table1[EET2]="NEET",1,IF(Table1[EET2]="Employment",2,IF(Table1[EET2]="Education",2,IF(Table1[EET2]="Training",2,IF(Table1[EET2]="Retired",3,IF(Table1[EET]="NEET",1,IF(Table1[EET]="Employment",2,IF(Table1[EET]="Education",2,IF(Table1[EET]="Training",2,IF(Table1[EET]="Retired",3,""))))))))))</f>
        <v/>
      </c>
      <c r="EP504" s="44" t="e">
        <f>+Table1[[#This Row],[Data Leavers Date]]+Table1[[#This Row],[Data EET End]]</f>
        <v>#VALUE!</v>
      </c>
      <c r="EQ504" s="44">
        <f>IF(Table1[Exit Form Received]="Yes",1,0)</f>
        <v>0</v>
      </c>
      <c r="ER504" s="44">
        <f>+Table1[[#This Row],[Data Leavers Date]]+Table1[[#This Row],[Data Exit Forms]]</f>
        <v>0</v>
      </c>
      <c r="ES504" s="44" t="str">
        <f>IF(Table1[Data Leavers Date]=1000,SUM(Table1[Leaving Date]-Table1[Start Date]),"")</f>
        <v/>
      </c>
      <c r="ET504" s="44" t="str">
        <f>IF(Table1[Data Leavers Date]=2000,SUM(Table1[Leaving Date]-Table1[Start Date]),"")</f>
        <v/>
      </c>
      <c r="EU504" s="44" t="str">
        <f>IF(Table1[Data Leavers Date]=3000,SUM(Table1[Leaving Date]-Table1[Start Date]),"")</f>
        <v/>
      </c>
      <c r="EV504" s="44" t="str">
        <f>IF(Table1[Data Leavers Date]=4000,SUM(Table1[Leaving Date]-Table1[Start Date]),"")</f>
        <v/>
      </c>
      <c r="EW504" s="44" t="str">
        <f>IF(Table1[Data Leavers Date]=5000,SUM(Table1[Leaving Date]-Table1[Start Date]),"")</f>
        <v/>
      </c>
      <c r="EX504" s="44" t="str">
        <f>IF(Table1[Data Leavers Date]=6000,SUM(Table1[Leaving Date]-Table1[Start Date]),"")</f>
        <v/>
      </c>
      <c r="EY504" s="44" t="str">
        <f>IF(Table1[Data Leavers Date]=7000,SUM(Table1[Leaving Date]-Table1[Start Date]),"")</f>
        <v/>
      </c>
      <c r="EZ504" s="44" t="str">
        <f>IF(Table1[Data Leavers Date]=8000,SUM(Table1[Leaving Date]-Table1[Start Date]),"")</f>
        <v/>
      </c>
      <c r="FA504" s="44" t="str">
        <f>IF(Table1[Date of Initial Assessment]="","",IF(AND(Table1[Start Date]&gt;42094,Table1[Start Date]&lt;42461),Table1[Motivation and Taking Responsibility],""))</f>
        <v/>
      </c>
      <c r="FB504" s="44" t="str">
        <f>IF(Table1[Date of Initial Assessment]="","",IF(AND(Table1[Start Date]&gt;42094,Table1[Start Date]&lt;42461),Table1[Self-Care and Living Skills],""))</f>
        <v/>
      </c>
      <c r="FC504" s="44" t="str">
        <f>IF(Table1[Date of Initial Assessment]="","",IF(AND(Table1[Start Date]&gt;42094,Table1[Start Date]&lt;42461),Table1[Managing Money and Personal Administration],""))</f>
        <v/>
      </c>
      <c r="FD504" s="44" t="str">
        <f>IF(Table1[Date of Initial Assessment]="","",IF(AND(Table1[Start Date]&gt;42094,Table1[Start Date]&lt;42461),Table1[Social Networks and Relationships],""))</f>
        <v/>
      </c>
      <c r="FE504" s="44" t="str">
        <f>IF(Table1[Date of Initial Assessment]="","",IF(AND(Table1[Start Date]&gt;42094,Table1[Start Date]&lt;42461),Table1[Drug and Alcohol Misuse],""))</f>
        <v/>
      </c>
      <c r="FF504" s="44" t="str">
        <f>IF(Table1[Date of Initial Assessment]="","",IF(AND(Table1[Start Date]&gt;42094,Table1[Start Date]&lt;42461),Table1[Physical Health],""))</f>
        <v/>
      </c>
      <c r="FG504" s="44" t="str">
        <f>IF(Table1[Date of Initial Assessment]="","",IF(AND(Table1[Start Date]&gt;42094,Table1[Start Date]&lt;42461),Table1[Emotional and Mental Health],""))</f>
        <v/>
      </c>
      <c r="FH504" s="44" t="str">
        <f>IF(Table1[Date of Initial Assessment]="","",IF(AND(Table1[Start Date]&gt;42094,Table1[Start Date]&lt;42461),Table1[Meaningful Use of Time],""))</f>
        <v/>
      </c>
      <c r="FI504" s="44" t="str">
        <f>IF(Table1[Date of Initial Assessment]="","",IF(AND(Table1[Start Date]&gt;42094,Table1[Start Date]&lt;42461),Table1[Managing Tenancy and Accommodation],""))</f>
        <v/>
      </c>
      <c r="FJ504" s="44" t="str">
        <f>IF(Table1[Date of Initial Assessment]="","",IF(AND(Table1[Start Date]&gt;42094,Table1[Start Date]&lt;42461),Table1[Offending],""))</f>
        <v/>
      </c>
      <c r="FK504" s="44" t="str">
        <f>IF(Table1[Leaving Date]="","",IF(Table1[Date of Initial Assessment]="","",IF(AND(Table1[Leaving Date]&gt;42094,Table1[Leaving Date]&lt;42461),IF(Table1[Date of Last Assessment]="",Table1[Motivation and Taking Responsibility],Table1[Motivation and Taking Responsibility2]),"")))</f>
        <v/>
      </c>
      <c r="FL504" s="44" t="str">
        <f>IF(Table1[Leaving Date]="","",IF(Table1[Date of Initial Assessment]="","",IF(AND(Table1[Leaving Date]&gt;42094,Table1[Leaving Date]&lt;42461),IF(Table1[Date of Last Assessment]="",Table1[Self-Care and Living Skills],Table1[Self-Care and Living Skills2]),"")))</f>
        <v/>
      </c>
      <c r="FM504" s="44" t="str">
        <f>IF(Table1[Leaving Date]="","",IF(Table1[Date of Initial Assessment]="","",IF(AND(Table1[Leaving Date]&gt;42094,Table1[Leaving Date]&lt;42461),IF(Table1[Date of Last Assessment]="",Table1[Managing Money and Personal Administration],Table1[Managing Money and Personal Administration2]),"")))</f>
        <v/>
      </c>
      <c r="FN504" s="44" t="str">
        <f>IF(Table1[Leaving Date]="","",IF(Table1[Date of Initial Assessment]="","",IF(AND(Table1[Leaving Date]&gt;42094,Table1[Leaving Date]&lt;42461),IF(Table1[Date of Last Assessment]="",Table1[Social Networks and Relationships],Table1[Social Networks and Relationships2]),"")))</f>
        <v/>
      </c>
      <c r="FO504" s="44" t="str">
        <f>IF(Table1[Leaving Date]="","",IF(Table1[Date of Initial Assessment]="","",IF(AND(Table1[Leaving Date]&gt;42094,Table1[Leaving Date]&lt;42461),IF(Table1[Date of Last Assessment]="",Table1[Drug and Alcohol Misuse],Table1[Drug and Alcohol Misuse2]),"")))</f>
        <v/>
      </c>
      <c r="FP504" s="44" t="str">
        <f>IF(Table1[Leaving Date]="","",IF(Table1[Date of Initial Assessment]="","",IF(AND(Table1[Leaving Date]&gt;42094,Table1[Leaving Date]&lt;42461),IF(Table1[Date of Last Assessment]="",Table1[Physical Health],Table1[Physical Health2]),"")))</f>
        <v/>
      </c>
      <c r="FQ504" s="44" t="str">
        <f>IF(Table1[Leaving Date]="","",IF(Table1[Date of Initial Assessment]="","",IF(AND(Table1[Leaving Date]&gt;42094,Table1[Leaving Date]&lt;42461),IF(Table1[Date of Last Assessment]="",Table1[Emotional and Mental Health],Table1[Emotional and Mental Health2]),"")))</f>
        <v/>
      </c>
      <c r="FR504" s="44" t="str">
        <f>IF(Table1[Leaving Date]="","",IF(Table1[Date of Initial Assessment]="","",IF(AND(Table1[Leaving Date]&gt;42094,Table1[Leaving Date]&lt;42461),IF(Table1[Date of Last Assessment]="",Table1[Meaningful Use of Time],Table1[Meaningful Use of Time2]),"")))</f>
        <v/>
      </c>
      <c r="FS504" s="44" t="str">
        <f>IF(Table1[Leaving Date]="","",IF(Table1[Date of Initial Assessment]="","",IF(AND(Table1[Leaving Date]&gt;42094,Table1[Leaving Date]&lt;42461),IF(Table1[Date of Last Assessment]="",Table1[Managing Tenancy and Accommodation],Table1[Managing Tenancy and Accommodation2]),"")))</f>
        <v/>
      </c>
      <c r="FT504" s="44" t="str">
        <f>IF(Table1[Leaving Date]="","",IF(Table1[Date of Initial Assessment]="","",IF(AND(Table1[Leaving Date]&gt;42094,Table1[Leaving Date]&lt;42461),IF(Table1[Date of Last Assessment]="",Table1[Offending],Table1[Offending2]),"")))</f>
        <v/>
      </c>
      <c r="FU504" s="44" t="str">
        <f>IF(Table1[Date of Initial Assessment]="","",IF(AND(Table1[Start Date]&gt;42460,Table1[Start Date]&lt;42826),Table1[Motivation and Taking Responsibility],""))</f>
        <v/>
      </c>
      <c r="FV504" s="44" t="str">
        <f>IF(Table1[Date of Initial Assessment]="","",IF(AND(Table1[Start Date]&gt;42460,Table1[Start Date]&lt;42826),Table1[Self-Care and Living Skills],""))</f>
        <v/>
      </c>
      <c r="FW504" s="44" t="str">
        <f>IF(Table1[Date of Initial Assessment]="","",IF(AND(Table1[Start Date]&gt;42460,Table1[Start Date]&lt;42826),Table1[Managing Money and Personal Administration],""))</f>
        <v/>
      </c>
      <c r="FX504" s="44" t="str">
        <f>IF(Table1[Date of Initial Assessment]="","",IF(AND(Table1[Start Date]&gt;42460,Table1[Start Date]&lt;42826),Table1[Social Networks and Relationships],""))</f>
        <v/>
      </c>
      <c r="FY504" s="44" t="str">
        <f>IF(Table1[Date of Initial Assessment]="","",IF(AND(Table1[Start Date]&gt;42460,Table1[Start Date]&lt;42826),Table1[Drug and Alcohol Misuse],""))</f>
        <v/>
      </c>
      <c r="FZ504" s="44" t="str">
        <f>IF(Table1[Date of Initial Assessment]="","",IF(AND(Table1[Start Date]&gt;42460,Table1[Start Date]&lt;42826),Table1[Physical Health],""))</f>
        <v/>
      </c>
      <c r="GA504" s="44" t="str">
        <f>IF(Table1[Date of Initial Assessment]="","",IF(AND(Table1[Start Date]&gt;42460,Table1[Start Date]&lt;42826),Table1[Emotional and Mental Health],""))</f>
        <v/>
      </c>
      <c r="GB504" s="44" t="str">
        <f>IF(Table1[Date of Initial Assessment]="","",IF(AND(Table1[Start Date]&gt;42460,Table1[Start Date]&lt;42826),Table1[Meaningful Use of Time],""))</f>
        <v/>
      </c>
      <c r="GC504" s="44" t="str">
        <f>IF(Table1[Date of Initial Assessment]="","",IF(AND(Table1[Start Date]&gt;42460,Table1[Start Date]&lt;42826),Table1[Managing Tenancy and Accommodation],""))</f>
        <v/>
      </c>
      <c r="GD504" s="44" t="str">
        <f>IF(Table1[Date of Initial Assessment]="","",IF(AND(Table1[Start Date]&gt;42460,Table1[Start Date]&lt;42826),Table1[Offending],""))</f>
        <v/>
      </c>
      <c r="GE504" s="44" t="str">
        <f>IF(Table1[Leaving Date]="","",IF(AND(Table1[Leaving Date]&gt;42460,Table1[Leaving Date]&lt;42826),IF(Table1[Date of Last Assessment]="",Table1[Motivation and Taking Responsibility],Table1[Motivation and Taking Responsibility2]),""))</f>
        <v/>
      </c>
      <c r="GF504" s="44" t="str">
        <f>IF(Table1[Leaving Date]="","",IF(AND(Table1[Leaving Date]&gt;42460,Table1[Leaving Date]&lt;42826),IF(Table1[Date of Last Assessment]="",Table1[Self-Care and Living Skills],Table1[Self-Care and Living Skills2]),""))</f>
        <v/>
      </c>
      <c r="GG504" s="44" t="str">
        <f>IF(Table1[Leaving Date]="","",IF(AND(Table1[Leaving Date]&gt;42460,Table1[Leaving Date]&lt;42826),IF(Table1[Date of Last Assessment]="",Table1[Managing Money and Personal Administration],Table1[Managing Money and Personal Administration2]),""))</f>
        <v/>
      </c>
      <c r="GH504" s="44" t="str">
        <f>IF(Table1[Leaving Date]="","",IF(AND(Table1[Leaving Date]&gt;42460,Table1[Leaving Date]&lt;42826),IF(Table1[Date of Last Assessment]="",Table1[Social Networks and Relationships],Table1[Social Networks and Relationships2]),""))</f>
        <v/>
      </c>
      <c r="GI504" s="44" t="str">
        <f>IF(Table1[Leaving Date]="","",IF(AND(Table1[Leaving Date]&gt;42460,Table1[Leaving Date]&lt;42826),IF(Table1[Date of Last Assessment]="",Table1[Drug and Alcohol Misuse],Table1[Drug and Alcohol Misuse2]),""))</f>
        <v/>
      </c>
      <c r="GJ504" s="44" t="str">
        <f>IF(Table1[Leaving Date]="","",IF(AND(Table1[Leaving Date]&gt;42460,Table1[Leaving Date]&lt;42826),IF(Table1[Date of Last Assessment]="",Table1[Physical Health],Table1[Physical Health2]),""))</f>
        <v/>
      </c>
      <c r="GK504" s="44" t="str">
        <f>IF(Table1[Leaving Date]="","",IF(AND(Table1[Leaving Date]&gt;42460,Table1[Leaving Date]&lt;42826),IF(Table1[Date of Last Assessment]="",Table1[Emotional and Mental Health],Table1[Emotional and Mental Health2]),""))</f>
        <v/>
      </c>
      <c r="GL504" s="44" t="str">
        <f>IF(Table1[Leaving Date]="","",IF(AND(Table1[Leaving Date]&gt;42460,Table1[Leaving Date]&lt;42826),IF(Table1[Date of Last Assessment]="",Table1[Meaningful Use of Time],Table1[Meaningful Use of Time2]),""))</f>
        <v/>
      </c>
      <c r="GM504" s="44" t="str">
        <f>IF(Table1[Leaving Date]="","",IF(AND(Table1[Leaving Date]&gt;42460,Table1[Leaving Date]&lt;42826),IF(Table1[Date of Last Assessment]="",Table1[Managing Tenancy and Accommodation],Table1[Managing Tenancy and Accommodation2]),""))</f>
        <v/>
      </c>
      <c r="GN504" s="44" t="str">
        <f>IF(Table1[Leaving Date]="","",IF(AND(Table1[Leaving Date]&gt;42460,Table1[Leaving Date]&lt;42826),IF(Table1[Date of Last Assessment]="",Table1[Offending],Table1[Offending2]),""))</f>
        <v/>
      </c>
    </row>
    <row r="505" spans="2:196" ht="20.100000000000001" customHeight="1" x14ac:dyDescent="0.2">
      <c r="B505" s="86">
        <f>+'Service Data'!$C$5:$C$5</f>
        <v>0</v>
      </c>
      <c r="C505" s="86"/>
      <c r="D505" s="86"/>
      <c r="E505" s="86"/>
      <c r="F505" s="86"/>
      <c r="G505" s="86"/>
      <c r="H505" s="6"/>
      <c r="I505" s="99" t="str">
        <f ca="1">IF(Table1[[#This Row],[Date of Birth]]="","",SUM(TODAY()-Table1[[#This Row],[Date of Birth]])/365)</f>
        <v/>
      </c>
      <c r="L505" s="86"/>
      <c r="M505" s="77"/>
      <c r="N505" s="86"/>
      <c r="O505" s="86"/>
      <c r="P505" s="91"/>
      <c r="Q505" s="86"/>
      <c r="R505" s="77"/>
      <c r="S505" s="77"/>
      <c r="T505" s="68"/>
      <c r="U505" s="68"/>
      <c r="V505" s="67"/>
      <c r="W505" s="67"/>
      <c r="X505" s="67"/>
      <c r="Y505" s="67"/>
      <c r="Z505" s="67"/>
      <c r="AA505" s="67"/>
      <c r="AB505" s="67"/>
      <c r="AC505" s="67"/>
      <c r="AD505" s="67"/>
      <c r="AE505" s="67"/>
      <c r="AF505" s="67"/>
      <c r="AG505" s="67"/>
      <c r="AH505" s="67"/>
      <c r="AI505" s="67"/>
      <c r="AJ505" s="67"/>
      <c r="AK505" s="67"/>
      <c r="AL505" s="67"/>
      <c r="AM505" s="67"/>
      <c r="AN505" s="77"/>
      <c r="AO505" s="76"/>
      <c r="AP505" s="77"/>
      <c r="AQ505" s="76"/>
      <c r="AR505" s="76"/>
      <c r="AS505" s="76"/>
      <c r="AT505" s="76"/>
      <c r="AU505" s="76"/>
      <c r="AV505" s="77"/>
      <c r="AW505" s="76"/>
      <c r="AX505" s="77"/>
      <c r="AY505" s="76"/>
      <c r="AZ505" s="76"/>
      <c r="BA505" s="76"/>
      <c r="BB505" s="76"/>
      <c r="BC505" s="76"/>
      <c r="BD505" s="77"/>
      <c r="BE505" s="76"/>
      <c r="BF505" s="77"/>
      <c r="BG505" s="76"/>
      <c r="BH505" s="76"/>
      <c r="BI505" s="76"/>
      <c r="BJ505" s="76"/>
      <c r="BK505" s="76"/>
      <c r="BL505" s="77"/>
      <c r="BM505" s="76"/>
      <c r="BN505" s="77"/>
      <c r="BO505" s="76"/>
      <c r="BP505" s="76"/>
      <c r="BQ505" s="76"/>
      <c r="BR505" s="76"/>
      <c r="BS505" s="76"/>
      <c r="BT505" s="77"/>
      <c r="BU505" s="76"/>
      <c r="BV505" s="77"/>
      <c r="BW505" s="76"/>
      <c r="BX505" s="76"/>
      <c r="BY505" s="76"/>
      <c r="BZ505" s="76"/>
      <c r="CA505" s="76"/>
      <c r="CB505" s="77"/>
      <c r="CC505" s="76"/>
      <c r="CD505" s="77"/>
      <c r="CE505" s="76"/>
      <c r="CF505" s="76"/>
      <c r="CG505" s="76"/>
      <c r="CH505" s="76"/>
      <c r="CI505" s="76"/>
      <c r="CJ505" s="77"/>
      <c r="CK505" s="76"/>
      <c r="CL505" s="77"/>
      <c r="CM505" s="76"/>
      <c r="CN505" s="76"/>
      <c r="CO505" s="76"/>
      <c r="CP505" s="76"/>
      <c r="CQ505" s="76"/>
      <c r="CR505" s="78" t="str">
        <f t="shared" si="127"/>
        <v/>
      </c>
      <c r="CS505" s="79" t="str">
        <f t="shared" si="128"/>
        <v/>
      </c>
      <c r="CT505" s="79" t="str">
        <f t="shared" si="129"/>
        <v/>
      </c>
      <c r="CU505" s="79" t="str">
        <f t="shared" si="130"/>
        <v/>
      </c>
      <c r="CV505" s="79" t="str">
        <f t="shared" si="131"/>
        <v/>
      </c>
      <c r="CW505" s="79" t="str">
        <f t="shared" si="132"/>
        <v/>
      </c>
      <c r="CX505" s="79" t="str">
        <f t="shared" si="133"/>
        <v/>
      </c>
      <c r="CY505" s="79" t="str">
        <f t="shared" si="134"/>
        <v/>
      </c>
      <c r="CZ505" s="79" t="str">
        <f t="shared" si="135"/>
        <v/>
      </c>
      <c r="DA505" s="79" t="str">
        <f t="shared" si="136"/>
        <v/>
      </c>
      <c r="DB505" s="79" t="str">
        <f t="shared" si="137"/>
        <v/>
      </c>
      <c r="DC505" s="79" t="str">
        <f t="shared" si="138"/>
        <v/>
      </c>
      <c r="DD505" s="79" t="str">
        <f t="shared" si="139"/>
        <v/>
      </c>
      <c r="DE505" s="79" t="str">
        <f t="shared" si="140"/>
        <v/>
      </c>
      <c r="DF505" s="79" t="str">
        <f t="shared" si="141"/>
        <v/>
      </c>
      <c r="DG505" s="79" t="str">
        <f t="shared" si="142"/>
        <v/>
      </c>
      <c r="DH505" s="76"/>
      <c r="DI505" s="78"/>
      <c r="DJ505" s="76"/>
      <c r="DK505" s="77"/>
      <c r="DL505" s="77"/>
      <c r="DM505" s="77"/>
      <c r="DN505" s="80"/>
      <c r="DO505" s="80"/>
      <c r="DP505" s="92" t="str">
        <f>IF(Table1[Start Date]="","",IF(Table1[Start Date]&gt;42185,"",IF(AND(Table1[Leaving Date]&gt;1,Table1[Leaving Date]&lt;42095),"",1)))</f>
        <v/>
      </c>
      <c r="DQ505" s="92" t="str">
        <f>IF(Table1[Start Date]="","",IF(Table1[Start Date]&gt;42277,"",IF(AND(Table1[Leaving Date]&gt;1,Table1[Leaving Date]&lt;42186),"",1)))</f>
        <v/>
      </c>
      <c r="DR505" s="92" t="str">
        <f>IF(Table1[Start Date]="","",IF(Table1[Start Date]&gt;42369,"",IF(AND(Table1[Leaving Date]&gt;1,Table1[Leaving Date]&lt;42278),"",1)))</f>
        <v/>
      </c>
      <c r="DS505" s="92" t="str">
        <f>IF(Table1[Start Date]="","",IF(Table1[Start Date]&gt;42460,"",IF(AND(Table1[Leaving Date]&gt;1,Table1[Leaving Date]&lt;42370),"",1)))</f>
        <v/>
      </c>
      <c r="DT505" s="92" t="str">
        <f>IF(Table1[Start Date]="","",IF(Table1[Start Date]&gt;42551,"",IF(AND(Table1[Leaving Date]&gt;1,Table1[Leaving Date]&lt;42461),"",1)))</f>
        <v/>
      </c>
      <c r="DU505" s="92" t="str">
        <f>IF(Table1[Start Date]="","",IF(Table1[Start Date]&gt;42643,"",IF(AND(Table1[Leaving Date]&gt;1,Table1[Leaving Date]&lt;42552),"",1)))</f>
        <v/>
      </c>
      <c r="DV505" s="92" t="str">
        <f>IF(Table1[Start Date]="","",IF(Table1[Start Date]&gt;42735,"",IF(AND(Table1[Leaving Date]&gt;1,Table1[Leaving Date]&lt;42644),"",1)))</f>
        <v/>
      </c>
      <c r="DW505" s="92" t="str">
        <f>IF(Table1[Start Date]="","",IF(Table1[Start Date]&gt;42825,"",IF(AND(Table1[Leaving Date]&gt;1,Table1[Leaving Date]&lt;42736),"",1)))</f>
        <v/>
      </c>
      <c r="DX505"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505" s="44" t="e">
        <f>VLOOKUP(Table1[Referral Source],Lists!$G$2:$H$20,2,FALSE)</f>
        <v>#N/A</v>
      </c>
      <c r="DZ505" s="93" t="e">
        <f>SUM(Table1[Data Referral Quarter]+Table1[Data Referral Source])</f>
        <v>#N/A</v>
      </c>
      <c r="EA505" s="44" t="b">
        <f>IF(Table1[Referral Decision]="Accepted",100,IF(Table1[Referral Decision]="Rejected by Provider",200,IF(Table1[Referral Decision]="Rejected by Applicant",300)))</f>
        <v>0</v>
      </c>
      <c r="EB505" s="44">
        <f>SUM(Table1[Data Referral Quarter]+Table1[Data Referral Decision])</f>
        <v>0</v>
      </c>
      <c r="EC505" s="44" t="b">
        <f>IF(Table1[Start Date]&gt;42735,8000,IF(Table1[Start Date]&gt;42643,7000,IF(Table1[Start Date]&gt;42551,6000,IF(Table1[Start Date]&gt;42460,5000,IF(Table1[Start Date]&gt;42369,4000,IF(Table1[Start Date]&gt;42277,3000,IF(Table1[Start Date]&gt;42185,2000,IF(Table1[Start Date]&gt;42094,1000))))))))</f>
        <v>0</v>
      </c>
      <c r="ED505" s="44" t="str">
        <f>IF(Table1[Start Date]="","",IF(Table1[Current Local Authority]="Swindon",1,"2"))</f>
        <v/>
      </c>
      <c r="EE505" s="44" t="e">
        <f>SUM(Table1[Data Start Date]+Table1[Data Local Authority])</f>
        <v>#VALUE!</v>
      </c>
      <c r="EF505" s="44">
        <f>IF(Table1[Registered with GP]="Yes",1,0)</f>
        <v>0</v>
      </c>
      <c r="EG505" s="44">
        <f>SUM(Table1[Data Start Date]+Table1[Data GP Start])</f>
        <v>0</v>
      </c>
      <c r="EH505" s="44" t="str">
        <f>IF(Table1[EET]="NEET",1,IF(Table1[EET]="Education",2,IF(Table1[EET]="Employment",2,IF(Table1[EET]="Training",2,IF(Table1[EET]="Retired",3,"")))))</f>
        <v/>
      </c>
      <c r="EI505" s="44" t="e">
        <f>Table1[Data Start Date]+Table1[Data EET Start]</f>
        <v>#VALUE!</v>
      </c>
      <c r="EJ505" s="44" t="b">
        <f>IF(Table1[Leaving Date]&gt;42735,8000,IF(Table1[Leaving Date]&gt;42643,7000,IF(Table1[Leaving Date]&gt;42551,6000,IF(Table1[Leaving Date]&gt;42460,5000,IF(Table1[Leaving Date]&gt;42369,4000,IF(Table1[Leaving Date]&gt;42277,3000,IF(Table1[Leaving Date]&gt;42185,2000,IF(Table1[Leaving Date]&gt;42094,1000))))))))</f>
        <v>0</v>
      </c>
      <c r="EK505" s="44" t="e">
        <f>VLOOKUP(Table1[Reason for Leaving],Lists!$T$2:$U$15,2,FALSE)</f>
        <v>#N/A</v>
      </c>
      <c r="EL505" s="44" t="e">
        <f>SUM(Table1[Data Leavers Date]+Table1[Data Move On])</f>
        <v>#N/A</v>
      </c>
      <c r="EM505" s="44" t="b">
        <f>IF(Table1[Registered with GP2]="Yes",1,IF(Table1[Registered with GP2]="No",0,IF(Table1[Registered with GP]="Yes",1,IF(Table1[Registered with GP]="No",0))))</f>
        <v>0</v>
      </c>
      <c r="EN505" s="44">
        <f>SUM(Table1[Data Leavers Date]+Table1[Data GP End])</f>
        <v>0</v>
      </c>
      <c r="EO505" s="44" t="str">
        <f>IF(Table1[EET2]="NEET",1,IF(Table1[EET2]="Employment",2,IF(Table1[EET2]="Education",2,IF(Table1[EET2]="Training",2,IF(Table1[EET2]="Retired",3,IF(Table1[EET]="NEET",1,IF(Table1[EET]="Employment",2,IF(Table1[EET]="Education",2,IF(Table1[EET]="Training",2,IF(Table1[EET]="Retired",3,""))))))))))</f>
        <v/>
      </c>
      <c r="EP505" s="44" t="e">
        <f>+Table1[[#This Row],[Data Leavers Date]]+Table1[[#This Row],[Data EET End]]</f>
        <v>#VALUE!</v>
      </c>
      <c r="EQ505" s="44">
        <f>IF(Table1[Exit Form Received]="Yes",1,0)</f>
        <v>0</v>
      </c>
      <c r="ER505" s="44">
        <f>+Table1[[#This Row],[Data Leavers Date]]+Table1[[#This Row],[Data Exit Forms]]</f>
        <v>0</v>
      </c>
      <c r="ES505" s="44" t="str">
        <f>IF(Table1[Data Leavers Date]=1000,SUM(Table1[Leaving Date]-Table1[Start Date]),"")</f>
        <v/>
      </c>
      <c r="ET505" s="44" t="str">
        <f>IF(Table1[Data Leavers Date]=2000,SUM(Table1[Leaving Date]-Table1[Start Date]),"")</f>
        <v/>
      </c>
      <c r="EU505" s="44" t="str">
        <f>IF(Table1[Data Leavers Date]=3000,SUM(Table1[Leaving Date]-Table1[Start Date]),"")</f>
        <v/>
      </c>
      <c r="EV505" s="44" t="str">
        <f>IF(Table1[Data Leavers Date]=4000,SUM(Table1[Leaving Date]-Table1[Start Date]),"")</f>
        <v/>
      </c>
      <c r="EW505" s="44" t="str">
        <f>IF(Table1[Data Leavers Date]=5000,SUM(Table1[Leaving Date]-Table1[Start Date]),"")</f>
        <v/>
      </c>
      <c r="EX505" s="44" t="str">
        <f>IF(Table1[Data Leavers Date]=6000,SUM(Table1[Leaving Date]-Table1[Start Date]),"")</f>
        <v/>
      </c>
      <c r="EY505" s="44" t="str">
        <f>IF(Table1[Data Leavers Date]=7000,SUM(Table1[Leaving Date]-Table1[Start Date]),"")</f>
        <v/>
      </c>
      <c r="EZ505" s="44" t="str">
        <f>IF(Table1[Data Leavers Date]=8000,SUM(Table1[Leaving Date]-Table1[Start Date]),"")</f>
        <v/>
      </c>
      <c r="FA505" s="44" t="str">
        <f>IF(Table1[Date of Initial Assessment]="","",IF(AND(Table1[Start Date]&gt;42094,Table1[Start Date]&lt;42461),Table1[Motivation and Taking Responsibility],""))</f>
        <v/>
      </c>
      <c r="FB505" s="44" t="str">
        <f>IF(Table1[Date of Initial Assessment]="","",IF(AND(Table1[Start Date]&gt;42094,Table1[Start Date]&lt;42461),Table1[Self-Care and Living Skills],""))</f>
        <v/>
      </c>
      <c r="FC505" s="44" t="str">
        <f>IF(Table1[Date of Initial Assessment]="","",IF(AND(Table1[Start Date]&gt;42094,Table1[Start Date]&lt;42461),Table1[Managing Money and Personal Administration],""))</f>
        <v/>
      </c>
      <c r="FD505" s="44" t="str">
        <f>IF(Table1[Date of Initial Assessment]="","",IF(AND(Table1[Start Date]&gt;42094,Table1[Start Date]&lt;42461),Table1[Social Networks and Relationships],""))</f>
        <v/>
      </c>
      <c r="FE505" s="44" t="str">
        <f>IF(Table1[Date of Initial Assessment]="","",IF(AND(Table1[Start Date]&gt;42094,Table1[Start Date]&lt;42461),Table1[Drug and Alcohol Misuse],""))</f>
        <v/>
      </c>
      <c r="FF505" s="44" t="str">
        <f>IF(Table1[Date of Initial Assessment]="","",IF(AND(Table1[Start Date]&gt;42094,Table1[Start Date]&lt;42461),Table1[Physical Health],""))</f>
        <v/>
      </c>
      <c r="FG505" s="44" t="str">
        <f>IF(Table1[Date of Initial Assessment]="","",IF(AND(Table1[Start Date]&gt;42094,Table1[Start Date]&lt;42461),Table1[Emotional and Mental Health],""))</f>
        <v/>
      </c>
      <c r="FH505" s="44" t="str">
        <f>IF(Table1[Date of Initial Assessment]="","",IF(AND(Table1[Start Date]&gt;42094,Table1[Start Date]&lt;42461),Table1[Meaningful Use of Time],""))</f>
        <v/>
      </c>
      <c r="FI505" s="44" t="str">
        <f>IF(Table1[Date of Initial Assessment]="","",IF(AND(Table1[Start Date]&gt;42094,Table1[Start Date]&lt;42461),Table1[Managing Tenancy and Accommodation],""))</f>
        <v/>
      </c>
      <c r="FJ505" s="44" t="str">
        <f>IF(Table1[Date of Initial Assessment]="","",IF(AND(Table1[Start Date]&gt;42094,Table1[Start Date]&lt;42461),Table1[Offending],""))</f>
        <v/>
      </c>
      <c r="FK505" s="44" t="str">
        <f>IF(Table1[Leaving Date]="","",IF(Table1[Date of Initial Assessment]="","",IF(AND(Table1[Leaving Date]&gt;42094,Table1[Leaving Date]&lt;42461),IF(Table1[Date of Last Assessment]="",Table1[Motivation and Taking Responsibility],Table1[Motivation and Taking Responsibility2]),"")))</f>
        <v/>
      </c>
      <c r="FL505" s="44" t="str">
        <f>IF(Table1[Leaving Date]="","",IF(Table1[Date of Initial Assessment]="","",IF(AND(Table1[Leaving Date]&gt;42094,Table1[Leaving Date]&lt;42461),IF(Table1[Date of Last Assessment]="",Table1[Self-Care and Living Skills],Table1[Self-Care and Living Skills2]),"")))</f>
        <v/>
      </c>
      <c r="FM505" s="44" t="str">
        <f>IF(Table1[Leaving Date]="","",IF(Table1[Date of Initial Assessment]="","",IF(AND(Table1[Leaving Date]&gt;42094,Table1[Leaving Date]&lt;42461),IF(Table1[Date of Last Assessment]="",Table1[Managing Money and Personal Administration],Table1[Managing Money and Personal Administration2]),"")))</f>
        <v/>
      </c>
      <c r="FN505" s="44" t="str">
        <f>IF(Table1[Leaving Date]="","",IF(Table1[Date of Initial Assessment]="","",IF(AND(Table1[Leaving Date]&gt;42094,Table1[Leaving Date]&lt;42461),IF(Table1[Date of Last Assessment]="",Table1[Social Networks and Relationships],Table1[Social Networks and Relationships2]),"")))</f>
        <v/>
      </c>
      <c r="FO505" s="44" t="str">
        <f>IF(Table1[Leaving Date]="","",IF(Table1[Date of Initial Assessment]="","",IF(AND(Table1[Leaving Date]&gt;42094,Table1[Leaving Date]&lt;42461),IF(Table1[Date of Last Assessment]="",Table1[Drug and Alcohol Misuse],Table1[Drug and Alcohol Misuse2]),"")))</f>
        <v/>
      </c>
      <c r="FP505" s="44" t="str">
        <f>IF(Table1[Leaving Date]="","",IF(Table1[Date of Initial Assessment]="","",IF(AND(Table1[Leaving Date]&gt;42094,Table1[Leaving Date]&lt;42461),IF(Table1[Date of Last Assessment]="",Table1[Physical Health],Table1[Physical Health2]),"")))</f>
        <v/>
      </c>
      <c r="FQ505" s="44" t="str">
        <f>IF(Table1[Leaving Date]="","",IF(Table1[Date of Initial Assessment]="","",IF(AND(Table1[Leaving Date]&gt;42094,Table1[Leaving Date]&lt;42461),IF(Table1[Date of Last Assessment]="",Table1[Emotional and Mental Health],Table1[Emotional and Mental Health2]),"")))</f>
        <v/>
      </c>
      <c r="FR505" s="44" t="str">
        <f>IF(Table1[Leaving Date]="","",IF(Table1[Date of Initial Assessment]="","",IF(AND(Table1[Leaving Date]&gt;42094,Table1[Leaving Date]&lt;42461),IF(Table1[Date of Last Assessment]="",Table1[Meaningful Use of Time],Table1[Meaningful Use of Time2]),"")))</f>
        <v/>
      </c>
      <c r="FS505" s="44" t="str">
        <f>IF(Table1[Leaving Date]="","",IF(Table1[Date of Initial Assessment]="","",IF(AND(Table1[Leaving Date]&gt;42094,Table1[Leaving Date]&lt;42461),IF(Table1[Date of Last Assessment]="",Table1[Managing Tenancy and Accommodation],Table1[Managing Tenancy and Accommodation2]),"")))</f>
        <v/>
      </c>
      <c r="FT505" s="44" t="str">
        <f>IF(Table1[Leaving Date]="","",IF(Table1[Date of Initial Assessment]="","",IF(AND(Table1[Leaving Date]&gt;42094,Table1[Leaving Date]&lt;42461),IF(Table1[Date of Last Assessment]="",Table1[Offending],Table1[Offending2]),"")))</f>
        <v/>
      </c>
      <c r="FU505" s="44" t="str">
        <f>IF(Table1[Date of Initial Assessment]="","",IF(AND(Table1[Start Date]&gt;42460,Table1[Start Date]&lt;42826),Table1[Motivation and Taking Responsibility],""))</f>
        <v/>
      </c>
      <c r="FV505" s="44" t="str">
        <f>IF(Table1[Date of Initial Assessment]="","",IF(AND(Table1[Start Date]&gt;42460,Table1[Start Date]&lt;42826),Table1[Self-Care and Living Skills],""))</f>
        <v/>
      </c>
      <c r="FW505" s="44" t="str">
        <f>IF(Table1[Date of Initial Assessment]="","",IF(AND(Table1[Start Date]&gt;42460,Table1[Start Date]&lt;42826),Table1[Managing Money and Personal Administration],""))</f>
        <v/>
      </c>
      <c r="FX505" s="44" t="str">
        <f>IF(Table1[Date of Initial Assessment]="","",IF(AND(Table1[Start Date]&gt;42460,Table1[Start Date]&lt;42826),Table1[Social Networks and Relationships],""))</f>
        <v/>
      </c>
      <c r="FY505" s="44" t="str">
        <f>IF(Table1[Date of Initial Assessment]="","",IF(AND(Table1[Start Date]&gt;42460,Table1[Start Date]&lt;42826),Table1[Drug and Alcohol Misuse],""))</f>
        <v/>
      </c>
      <c r="FZ505" s="44" t="str">
        <f>IF(Table1[Date of Initial Assessment]="","",IF(AND(Table1[Start Date]&gt;42460,Table1[Start Date]&lt;42826),Table1[Physical Health],""))</f>
        <v/>
      </c>
      <c r="GA505" s="44" t="str">
        <f>IF(Table1[Date of Initial Assessment]="","",IF(AND(Table1[Start Date]&gt;42460,Table1[Start Date]&lt;42826),Table1[Emotional and Mental Health],""))</f>
        <v/>
      </c>
      <c r="GB505" s="44" t="str">
        <f>IF(Table1[Date of Initial Assessment]="","",IF(AND(Table1[Start Date]&gt;42460,Table1[Start Date]&lt;42826),Table1[Meaningful Use of Time],""))</f>
        <v/>
      </c>
      <c r="GC505" s="44" t="str">
        <f>IF(Table1[Date of Initial Assessment]="","",IF(AND(Table1[Start Date]&gt;42460,Table1[Start Date]&lt;42826),Table1[Managing Tenancy and Accommodation],""))</f>
        <v/>
      </c>
      <c r="GD505" s="44" t="str">
        <f>IF(Table1[Date of Initial Assessment]="","",IF(AND(Table1[Start Date]&gt;42460,Table1[Start Date]&lt;42826),Table1[Offending],""))</f>
        <v/>
      </c>
      <c r="GE505" s="44" t="str">
        <f>IF(Table1[Leaving Date]="","",IF(AND(Table1[Leaving Date]&gt;42460,Table1[Leaving Date]&lt;42826),IF(Table1[Date of Last Assessment]="",Table1[Motivation and Taking Responsibility],Table1[Motivation and Taking Responsibility2]),""))</f>
        <v/>
      </c>
      <c r="GF505" s="44" t="str">
        <f>IF(Table1[Leaving Date]="","",IF(AND(Table1[Leaving Date]&gt;42460,Table1[Leaving Date]&lt;42826),IF(Table1[Date of Last Assessment]="",Table1[Self-Care and Living Skills],Table1[Self-Care and Living Skills2]),""))</f>
        <v/>
      </c>
      <c r="GG505" s="44" t="str">
        <f>IF(Table1[Leaving Date]="","",IF(AND(Table1[Leaving Date]&gt;42460,Table1[Leaving Date]&lt;42826),IF(Table1[Date of Last Assessment]="",Table1[Managing Money and Personal Administration],Table1[Managing Money and Personal Administration2]),""))</f>
        <v/>
      </c>
      <c r="GH505" s="44" t="str">
        <f>IF(Table1[Leaving Date]="","",IF(AND(Table1[Leaving Date]&gt;42460,Table1[Leaving Date]&lt;42826),IF(Table1[Date of Last Assessment]="",Table1[Social Networks and Relationships],Table1[Social Networks and Relationships2]),""))</f>
        <v/>
      </c>
      <c r="GI505" s="44" t="str">
        <f>IF(Table1[Leaving Date]="","",IF(AND(Table1[Leaving Date]&gt;42460,Table1[Leaving Date]&lt;42826),IF(Table1[Date of Last Assessment]="",Table1[Drug and Alcohol Misuse],Table1[Drug and Alcohol Misuse2]),""))</f>
        <v/>
      </c>
      <c r="GJ505" s="44" t="str">
        <f>IF(Table1[Leaving Date]="","",IF(AND(Table1[Leaving Date]&gt;42460,Table1[Leaving Date]&lt;42826),IF(Table1[Date of Last Assessment]="",Table1[Physical Health],Table1[Physical Health2]),""))</f>
        <v/>
      </c>
      <c r="GK505" s="44" t="str">
        <f>IF(Table1[Leaving Date]="","",IF(AND(Table1[Leaving Date]&gt;42460,Table1[Leaving Date]&lt;42826),IF(Table1[Date of Last Assessment]="",Table1[Emotional and Mental Health],Table1[Emotional and Mental Health2]),""))</f>
        <v/>
      </c>
      <c r="GL505" s="44" t="str">
        <f>IF(Table1[Leaving Date]="","",IF(AND(Table1[Leaving Date]&gt;42460,Table1[Leaving Date]&lt;42826),IF(Table1[Date of Last Assessment]="",Table1[Meaningful Use of Time],Table1[Meaningful Use of Time2]),""))</f>
        <v/>
      </c>
      <c r="GM505" s="44" t="str">
        <f>IF(Table1[Leaving Date]="","",IF(AND(Table1[Leaving Date]&gt;42460,Table1[Leaving Date]&lt;42826),IF(Table1[Date of Last Assessment]="",Table1[Managing Tenancy and Accommodation],Table1[Managing Tenancy and Accommodation2]),""))</f>
        <v/>
      </c>
      <c r="GN505" s="44" t="str">
        <f>IF(Table1[Leaving Date]="","",IF(AND(Table1[Leaving Date]&gt;42460,Table1[Leaving Date]&lt;42826),IF(Table1[Date of Last Assessment]="",Table1[Offending],Table1[Offending2]),""))</f>
        <v/>
      </c>
    </row>
    <row r="506" spans="2:196" ht="20.100000000000001" customHeight="1" x14ac:dyDescent="0.2">
      <c r="B506" s="86">
        <f>+'Service Data'!$C$5:$C$5</f>
        <v>0</v>
      </c>
      <c r="C506" s="86"/>
      <c r="D506" s="86"/>
      <c r="E506" s="86"/>
      <c r="F506" s="86"/>
      <c r="G506" s="86"/>
      <c r="H506" s="6"/>
      <c r="I506" s="99" t="str">
        <f ca="1">IF(Table1[[#This Row],[Date of Birth]]="","",SUM(TODAY()-Table1[[#This Row],[Date of Birth]])/365)</f>
        <v/>
      </c>
      <c r="L506" s="86"/>
      <c r="M506" s="77"/>
      <c r="N506" s="86"/>
      <c r="O506" s="86"/>
      <c r="P506" s="91"/>
      <c r="Q506" s="86"/>
      <c r="R506" s="77"/>
      <c r="S506" s="77"/>
      <c r="T506" s="68"/>
      <c r="U506" s="68"/>
      <c r="V506" s="67"/>
      <c r="W506" s="67"/>
      <c r="X506" s="67"/>
      <c r="Y506" s="67"/>
      <c r="Z506" s="67"/>
      <c r="AA506" s="67"/>
      <c r="AB506" s="67"/>
      <c r="AC506" s="67"/>
      <c r="AD506" s="67"/>
      <c r="AE506" s="67"/>
      <c r="AF506" s="67"/>
      <c r="AG506" s="67"/>
      <c r="AH506" s="67"/>
      <c r="AI506" s="67"/>
      <c r="AJ506" s="67"/>
      <c r="AK506" s="67"/>
      <c r="AL506" s="67"/>
      <c r="AM506" s="67"/>
      <c r="AN506" s="77"/>
      <c r="AO506" s="76"/>
      <c r="AP506" s="77"/>
      <c r="AQ506" s="76"/>
      <c r="AR506" s="76"/>
      <c r="AS506" s="76"/>
      <c r="AT506" s="76"/>
      <c r="AU506" s="76"/>
      <c r="AV506" s="77"/>
      <c r="AW506" s="76"/>
      <c r="AX506" s="77"/>
      <c r="AY506" s="76"/>
      <c r="AZ506" s="76"/>
      <c r="BA506" s="76"/>
      <c r="BB506" s="76"/>
      <c r="BC506" s="76"/>
      <c r="BD506" s="77"/>
      <c r="BE506" s="76"/>
      <c r="BF506" s="77"/>
      <c r="BG506" s="76"/>
      <c r="BH506" s="76"/>
      <c r="BI506" s="76"/>
      <c r="BJ506" s="76"/>
      <c r="BK506" s="76"/>
      <c r="BL506" s="77"/>
      <c r="BM506" s="76"/>
      <c r="BN506" s="77"/>
      <c r="BO506" s="76"/>
      <c r="BP506" s="76"/>
      <c r="BQ506" s="76"/>
      <c r="BR506" s="76"/>
      <c r="BS506" s="76"/>
      <c r="BT506" s="77"/>
      <c r="BU506" s="76"/>
      <c r="BV506" s="77"/>
      <c r="BW506" s="76"/>
      <c r="BX506" s="76"/>
      <c r="BY506" s="76"/>
      <c r="BZ506" s="76"/>
      <c r="CA506" s="76"/>
      <c r="CB506" s="77"/>
      <c r="CC506" s="76"/>
      <c r="CD506" s="77"/>
      <c r="CE506" s="76"/>
      <c r="CF506" s="76"/>
      <c r="CG506" s="76"/>
      <c r="CH506" s="76"/>
      <c r="CI506" s="76"/>
      <c r="CJ506" s="77"/>
      <c r="CK506" s="76"/>
      <c r="CL506" s="77"/>
      <c r="CM506" s="76"/>
      <c r="CN506" s="76"/>
      <c r="CO506" s="76"/>
      <c r="CP506" s="76"/>
      <c r="CQ506" s="76"/>
      <c r="CR506" s="78" t="str">
        <f t="shared" si="127"/>
        <v/>
      </c>
      <c r="CS506" s="79" t="str">
        <f t="shared" si="128"/>
        <v/>
      </c>
      <c r="CT506" s="79" t="str">
        <f t="shared" si="129"/>
        <v/>
      </c>
      <c r="CU506" s="79" t="str">
        <f t="shared" si="130"/>
        <v/>
      </c>
      <c r="CV506" s="79" t="str">
        <f t="shared" si="131"/>
        <v/>
      </c>
      <c r="CW506" s="79" t="str">
        <f t="shared" si="132"/>
        <v/>
      </c>
      <c r="CX506" s="79" t="str">
        <f t="shared" si="133"/>
        <v/>
      </c>
      <c r="CY506" s="79" t="str">
        <f t="shared" si="134"/>
        <v/>
      </c>
      <c r="CZ506" s="79" t="str">
        <f t="shared" si="135"/>
        <v/>
      </c>
      <c r="DA506" s="79" t="str">
        <f t="shared" si="136"/>
        <v/>
      </c>
      <c r="DB506" s="79" t="str">
        <f t="shared" si="137"/>
        <v/>
      </c>
      <c r="DC506" s="79" t="str">
        <f t="shared" si="138"/>
        <v/>
      </c>
      <c r="DD506" s="79" t="str">
        <f t="shared" si="139"/>
        <v/>
      </c>
      <c r="DE506" s="79" t="str">
        <f t="shared" si="140"/>
        <v/>
      </c>
      <c r="DF506" s="79" t="str">
        <f t="shared" si="141"/>
        <v/>
      </c>
      <c r="DG506" s="79" t="str">
        <f t="shared" si="142"/>
        <v/>
      </c>
      <c r="DH506" s="76"/>
      <c r="DI506" s="78"/>
      <c r="DJ506" s="76"/>
      <c r="DK506" s="77"/>
      <c r="DL506" s="77"/>
      <c r="DM506" s="77"/>
      <c r="DN506" s="80"/>
      <c r="DO506" s="80"/>
      <c r="DP506" s="92" t="str">
        <f>IF(Table1[Start Date]="","",IF(Table1[Start Date]&gt;42185,"",IF(AND(Table1[Leaving Date]&gt;1,Table1[Leaving Date]&lt;42095),"",1)))</f>
        <v/>
      </c>
      <c r="DQ506" s="92" t="str">
        <f>IF(Table1[Start Date]="","",IF(Table1[Start Date]&gt;42277,"",IF(AND(Table1[Leaving Date]&gt;1,Table1[Leaving Date]&lt;42186),"",1)))</f>
        <v/>
      </c>
      <c r="DR506" s="92" t="str">
        <f>IF(Table1[Start Date]="","",IF(Table1[Start Date]&gt;42369,"",IF(AND(Table1[Leaving Date]&gt;1,Table1[Leaving Date]&lt;42278),"",1)))</f>
        <v/>
      </c>
      <c r="DS506" s="92" t="str">
        <f>IF(Table1[Start Date]="","",IF(Table1[Start Date]&gt;42460,"",IF(AND(Table1[Leaving Date]&gt;1,Table1[Leaving Date]&lt;42370),"",1)))</f>
        <v/>
      </c>
      <c r="DT506" s="92" t="str">
        <f>IF(Table1[Start Date]="","",IF(Table1[Start Date]&gt;42551,"",IF(AND(Table1[Leaving Date]&gt;1,Table1[Leaving Date]&lt;42461),"",1)))</f>
        <v/>
      </c>
      <c r="DU506" s="92" t="str">
        <f>IF(Table1[Start Date]="","",IF(Table1[Start Date]&gt;42643,"",IF(AND(Table1[Leaving Date]&gt;1,Table1[Leaving Date]&lt;42552),"",1)))</f>
        <v/>
      </c>
      <c r="DV506" s="92" t="str">
        <f>IF(Table1[Start Date]="","",IF(Table1[Start Date]&gt;42735,"",IF(AND(Table1[Leaving Date]&gt;1,Table1[Leaving Date]&lt;42644),"",1)))</f>
        <v/>
      </c>
      <c r="DW506" s="92" t="str">
        <f>IF(Table1[Start Date]="","",IF(Table1[Start Date]&gt;42825,"",IF(AND(Table1[Leaving Date]&gt;1,Table1[Leaving Date]&lt;42736),"",1)))</f>
        <v/>
      </c>
      <c r="DX506"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506" s="44" t="e">
        <f>VLOOKUP(Table1[Referral Source],Lists!$G$2:$H$20,2,FALSE)</f>
        <v>#N/A</v>
      </c>
      <c r="DZ506" s="93" t="e">
        <f>SUM(Table1[Data Referral Quarter]+Table1[Data Referral Source])</f>
        <v>#N/A</v>
      </c>
      <c r="EA506" s="44" t="b">
        <f>IF(Table1[Referral Decision]="Accepted",100,IF(Table1[Referral Decision]="Rejected by Provider",200,IF(Table1[Referral Decision]="Rejected by Applicant",300)))</f>
        <v>0</v>
      </c>
      <c r="EB506" s="44">
        <f>SUM(Table1[Data Referral Quarter]+Table1[Data Referral Decision])</f>
        <v>0</v>
      </c>
      <c r="EC506" s="44" t="b">
        <f>IF(Table1[Start Date]&gt;42735,8000,IF(Table1[Start Date]&gt;42643,7000,IF(Table1[Start Date]&gt;42551,6000,IF(Table1[Start Date]&gt;42460,5000,IF(Table1[Start Date]&gt;42369,4000,IF(Table1[Start Date]&gt;42277,3000,IF(Table1[Start Date]&gt;42185,2000,IF(Table1[Start Date]&gt;42094,1000))))))))</f>
        <v>0</v>
      </c>
      <c r="ED506" s="44" t="str">
        <f>IF(Table1[Start Date]="","",IF(Table1[Current Local Authority]="Swindon",1,"2"))</f>
        <v/>
      </c>
      <c r="EE506" s="44" t="e">
        <f>SUM(Table1[Data Start Date]+Table1[Data Local Authority])</f>
        <v>#VALUE!</v>
      </c>
      <c r="EF506" s="44">
        <f>IF(Table1[Registered with GP]="Yes",1,0)</f>
        <v>0</v>
      </c>
      <c r="EG506" s="44">
        <f>SUM(Table1[Data Start Date]+Table1[Data GP Start])</f>
        <v>0</v>
      </c>
      <c r="EH506" s="44" t="str">
        <f>IF(Table1[EET]="NEET",1,IF(Table1[EET]="Education",2,IF(Table1[EET]="Employment",2,IF(Table1[EET]="Training",2,IF(Table1[EET]="Retired",3,"")))))</f>
        <v/>
      </c>
      <c r="EI506" s="44" t="e">
        <f>Table1[Data Start Date]+Table1[Data EET Start]</f>
        <v>#VALUE!</v>
      </c>
      <c r="EJ506" s="44" t="b">
        <f>IF(Table1[Leaving Date]&gt;42735,8000,IF(Table1[Leaving Date]&gt;42643,7000,IF(Table1[Leaving Date]&gt;42551,6000,IF(Table1[Leaving Date]&gt;42460,5000,IF(Table1[Leaving Date]&gt;42369,4000,IF(Table1[Leaving Date]&gt;42277,3000,IF(Table1[Leaving Date]&gt;42185,2000,IF(Table1[Leaving Date]&gt;42094,1000))))))))</f>
        <v>0</v>
      </c>
      <c r="EK506" s="44" t="e">
        <f>VLOOKUP(Table1[Reason for Leaving],Lists!$T$2:$U$15,2,FALSE)</f>
        <v>#N/A</v>
      </c>
      <c r="EL506" s="44" t="e">
        <f>SUM(Table1[Data Leavers Date]+Table1[Data Move On])</f>
        <v>#N/A</v>
      </c>
      <c r="EM506" s="44" t="b">
        <f>IF(Table1[Registered with GP2]="Yes",1,IF(Table1[Registered with GP2]="No",0,IF(Table1[Registered with GP]="Yes",1,IF(Table1[Registered with GP]="No",0))))</f>
        <v>0</v>
      </c>
      <c r="EN506" s="44">
        <f>SUM(Table1[Data Leavers Date]+Table1[Data GP End])</f>
        <v>0</v>
      </c>
      <c r="EO506" s="44" t="str">
        <f>IF(Table1[EET2]="NEET",1,IF(Table1[EET2]="Employment",2,IF(Table1[EET2]="Education",2,IF(Table1[EET2]="Training",2,IF(Table1[EET2]="Retired",3,IF(Table1[EET]="NEET",1,IF(Table1[EET]="Employment",2,IF(Table1[EET]="Education",2,IF(Table1[EET]="Training",2,IF(Table1[EET]="Retired",3,""))))))))))</f>
        <v/>
      </c>
      <c r="EP506" s="44" t="e">
        <f>+Table1[[#This Row],[Data Leavers Date]]+Table1[[#This Row],[Data EET End]]</f>
        <v>#VALUE!</v>
      </c>
      <c r="EQ506" s="44">
        <f>IF(Table1[Exit Form Received]="Yes",1,0)</f>
        <v>0</v>
      </c>
      <c r="ER506" s="44">
        <f>+Table1[[#This Row],[Data Leavers Date]]+Table1[[#This Row],[Data Exit Forms]]</f>
        <v>0</v>
      </c>
      <c r="ES506" s="44" t="str">
        <f>IF(Table1[Data Leavers Date]=1000,SUM(Table1[Leaving Date]-Table1[Start Date]),"")</f>
        <v/>
      </c>
      <c r="ET506" s="44" t="str">
        <f>IF(Table1[Data Leavers Date]=2000,SUM(Table1[Leaving Date]-Table1[Start Date]),"")</f>
        <v/>
      </c>
      <c r="EU506" s="44" t="str">
        <f>IF(Table1[Data Leavers Date]=3000,SUM(Table1[Leaving Date]-Table1[Start Date]),"")</f>
        <v/>
      </c>
      <c r="EV506" s="44" t="str">
        <f>IF(Table1[Data Leavers Date]=4000,SUM(Table1[Leaving Date]-Table1[Start Date]),"")</f>
        <v/>
      </c>
      <c r="EW506" s="44" t="str">
        <f>IF(Table1[Data Leavers Date]=5000,SUM(Table1[Leaving Date]-Table1[Start Date]),"")</f>
        <v/>
      </c>
      <c r="EX506" s="44" t="str">
        <f>IF(Table1[Data Leavers Date]=6000,SUM(Table1[Leaving Date]-Table1[Start Date]),"")</f>
        <v/>
      </c>
      <c r="EY506" s="44" t="str">
        <f>IF(Table1[Data Leavers Date]=7000,SUM(Table1[Leaving Date]-Table1[Start Date]),"")</f>
        <v/>
      </c>
      <c r="EZ506" s="44" t="str">
        <f>IF(Table1[Data Leavers Date]=8000,SUM(Table1[Leaving Date]-Table1[Start Date]),"")</f>
        <v/>
      </c>
      <c r="FA506" s="44" t="str">
        <f>IF(Table1[Date of Initial Assessment]="","",IF(AND(Table1[Start Date]&gt;42094,Table1[Start Date]&lt;42461),Table1[Motivation and Taking Responsibility],""))</f>
        <v/>
      </c>
      <c r="FB506" s="44" t="str">
        <f>IF(Table1[Date of Initial Assessment]="","",IF(AND(Table1[Start Date]&gt;42094,Table1[Start Date]&lt;42461),Table1[Self-Care and Living Skills],""))</f>
        <v/>
      </c>
      <c r="FC506" s="44" t="str">
        <f>IF(Table1[Date of Initial Assessment]="","",IF(AND(Table1[Start Date]&gt;42094,Table1[Start Date]&lt;42461),Table1[Managing Money and Personal Administration],""))</f>
        <v/>
      </c>
      <c r="FD506" s="44" t="str">
        <f>IF(Table1[Date of Initial Assessment]="","",IF(AND(Table1[Start Date]&gt;42094,Table1[Start Date]&lt;42461),Table1[Social Networks and Relationships],""))</f>
        <v/>
      </c>
      <c r="FE506" s="44" t="str">
        <f>IF(Table1[Date of Initial Assessment]="","",IF(AND(Table1[Start Date]&gt;42094,Table1[Start Date]&lt;42461),Table1[Drug and Alcohol Misuse],""))</f>
        <v/>
      </c>
      <c r="FF506" s="44" t="str">
        <f>IF(Table1[Date of Initial Assessment]="","",IF(AND(Table1[Start Date]&gt;42094,Table1[Start Date]&lt;42461),Table1[Physical Health],""))</f>
        <v/>
      </c>
      <c r="FG506" s="44" t="str">
        <f>IF(Table1[Date of Initial Assessment]="","",IF(AND(Table1[Start Date]&gt;42094,Table1[Start Date]&lt;42461),Table1[Emotional and Mental Health],""))</f>
        <v/>
      </c>
      <c r="FH506" s="44" t="str">
        <f>IF(Table1[Date of Initial Assessment]="","",IF(AND(Table1[Start Date]&gt;42094,Table1[Start Date]&lt;42461),Table1[Meaningful Use of Time],""))</f>
        <v/>
      </c>
      <c r="FI506" s="44" t="str">
        <f>IF(Table1[Date of Initial Assessment]="","",IF(AND(Table1[Start Date]&gt;42094,Table1[Start Date]&lt;42461),Table1[Managing Tenancy and Accommodation],""))</f>
        <v/>
      </c>
      <c r="FJ506" s="44" t="str">
        <f>IF(Table1[Date of Initial Assessment]="","",IF(AND(Table1[Start Date]&gt;42094,Table1[Start Date]&lt;42461),Table1[Offending],""))</f>
        <v/>
      </c>
      <c r="FK506" s="44" t="str">
        <f>IF(Table1[Leaving Date]="","",IF(Table1[Date of Initial Assessment]="","",IF(AND(Table1[Leaving Date]&gt;42094,Table1[Leaving Date]&lt;42461),IF(Table1[Date of Last Assessment]="",Table1[Motivation and Taking Responsibility],Table1[Motivation and Taking Responsibility2]),"")))</f>
        <v/>
      </c>
      <c r="FL506" s="44" t="str">
        <f>IF(Table1[Leaving Date]="","",IF(Table1[Date of Initial Assessment]="","",IF(AND(Table1[Leaving Date]&gt;42094,Table1[Leaving Date]&lt;42461),IF(Table1[Date of Last Assessment]="",Table1[Self-Care and Living Skills],Table1[Self-Care and Living Skills2]),"")))</f>
        <v/>
      </c>
      <c r="FM506" s="44" t="str">
        <f>IF(Table1[Leaving Date]="","",IF(Table1[Date of Initial Assessment]="","",IF(AND(Table1[Leaving Date]&gt;42094,Table1[Leaving Date]&lt;42461),IF(Table1[Date of Last Assessment]="",Table1[Managing Money and Personal Administration],Table1[Managing Money and Personal Administration2]),"")))</f>
        <v/>
      </c>
      <c r="FN506" s="44" t="str">
        <f>IF(Table1[Leaving Date]="","",IF(Table1[Date of Initial Assessment]="","",IF(AND(Table1[Leaving Date]&gt;42094,Table1[Leaving Date]&lt;42461),IF(Table1[Date of Last Assessment]="",Table1[Social Networks and Relationships],Table1[Social Networks and Relationships2]),"")))</f>
        <v/>
      </c>
      <c r="FO506" s="44" t="str">
        <f>IF(Table1[Leaving Date]="","",IF(Table1[Date of Initial Assessment]="","",IF(AND(Table1[Leaving Date]&gt;42094,Table1[Leaving Date]&lt;42461),IF(Table1[Date of Last Assessment]="",Table1[Drug and Alcohol Misuse],Table1[Drug and Alcohol Misuse2]),"")))</f>
        <v/>
      </c>
      <c r="FP506" s="44" t="str">
        <f>IF(Table1[Leaving Date]="","",IF(Table1[Date of Initial Assessment]="","",IF(AND(Table1[Leaving Date]&gt;42094,Table1[Leaving Date]&lt;42461),IF(Table1[Date of Last Assessment]="",Table1[Physical Health],Table1[Physical Health2]),"")))</f>
        <v/>
      </c>
      <c r="FQ506" s="44" t="str">
        <f>IF(Table1[Leaving Date]="","",IF(Table1[Date of Initial Assessment]="","",IF(AND(Table1[Leaving Date]&gt;42094,Table1[Leaving Date]&lt;42461),IF(Table1[Date of Last Assessment]="",Table1[Emotional and Mental Health],Table1[Emotional and Mental Health2]),"")))</f>
        <v/>
      </c>
      <c r="FR506" s="44" t="str">
        <f>IF(Table1[Leaving Date]="","",IF(Table1[Date of Initial Assessment]="","",IF(AND(Table1[Leaving Date]&gt;42094,Table1[Leaving Date]&lt;42461),IF(Table1[Date of Last Assessment]="",Table1[Meaningful Use of Time],Table1[Meaningful Use of Time2]),"")))</f>
        <v/>
      </c>
      <c r="FS506" s="44" t="str">
        <f>IF(Table1[Leaving Date]="","",IF(Table1[Date of Initial Assessment]="","",IF(AND(Table1[Leaving Date]&gt;42094,Table1[Leaving Date]&lt;42461),IF(Table1[Date of Last Assessment]="",Table1[Managing Tenancy and Accommodation],Table1[Managing Tenancy and Accommodation2]),"")))</f>
        <v/>
      </c>
      <c r="FT506" s="44" t="str">
        <f>IF(Table1[Leaving Date]="","",IF(Table1[Date of Initial Assessment]="","",IF(AND(Table1[Leaving Date]&gt;42094,Table1[Leaving Date]&lt;42461),IF(Table1[Date of Last Assessment]="",Table1[Offending],Table1[Offending2]),"")))</f>
        <v/>
      </c>
      <c r="FU506" s="44" t="str">
        <f>IF(Table1[Date of Initial Assessment]="","",IF(AND(Table1[Start Date]&gt;42460,Table1[Start Date]&lt;42826),Table1[Motivation and Taking Responsibility],""))</f>
        <v/>
      </c>
      <c r="FV506" s="44" t="str">
        <f>IF(Table1[Date of Initial Assessment]="","",IF(AND(Table1[Start Date]&gt;42460,Table1[Start Date]&lt;42826),Table1[Self-Care and Living Skills],""))</f>
        <v/>
      </c>
      <c r="FW506" s="44" t="str">
        <f>IF(Table1[Date of Initial Assessment]="","",IF(AND(Table1[Start Date]&gt;42460,Table1[Start Date]&lt;42826),Table1[Managing Money and Personal Administration],""))</f>
        <v/>
      </c>
      <c r="FX506" s="44" t="str">
        <f>IF(Table1[Date of Initial Assessment]="","",IF(AND(Table1[Start Date]&gt;42460,Table1[Start Date]&lt;42826),Table1[Social Networks and Relationships],""))</f>
        <v/>
      </c>
      <c r="FY506" s="44" t="str">
        <f>IF(Table1[Date of Initial Assessment]="","",IF(AND(Table1[Start Date]&gt;42460,Table1[Start Date]&lt;42826),Table1[Drug and Alcohol Misuse],""))</f>
        <v/>
      </c>
      <c r="FZ506" s="44" t="str">
        <f>IF(Table1[Date of Initial Assessment]="","",IF(AND(Table1[Start Date]&gt;42460,Table1[Start Date]&lt;42826),Table1[Physical Health],""))</f>
        <v/>
      </c>
      <c r="GA506" s="44" t="str">
        <f>IF(Table1[Date of Initial Assessment]="","",IF(AND(Table1[Start Date]&gt;42460,Table1[Start Date]&lt;42826),Table1[Emotional and Mental Health],""))</f>
        <v/>
      </c>
      <c r="GB506" s="44" t="str">
        <f>IF(Table1[Date of Initial Assessment]="","",IF(AND(Table1[Start Date]&gt;42460,Table1[Start Date]&lt;42826),Table1[Meaningful Use of Time],""))</f>
        <v/>
      </c>
      <c r="GC506" s="44" t="str">
        <f>IF(Table1[Date of Initial Assessment]="","",IF(AND(Table1[Start Date]&gt;42460,Table1[Start Date]&lt;42826),Table1[Managing Tenancy and Accommodation],""))</f>
        <v/>
      </c>
      <c r="GD506" s="44" t="str">
        <f>IF(Table1[Date of Initial Assessment]="","",IF(AND(Table1[Start Date]&gt;42460,Table1[Start Date]&lt;42826),Table1[Offending],""))</f>
        <v/>
      </c>
      <c r="GE506" s="44" t="str">
        <f>IF(Table1[Leaving Date]="","",IF(AND(Table1[Leaving Date]&gt;42460,Table1[Leaving Date]&lt;42826),IF(Table1[Date of Last Assessment]="",Table1[Motivation and Taking Responsibility],Table1[Motivation and Taking Responsibility2]),""))</f>
        <v/>
      </c>
      <c r="GF506" s="44" t="str">
        <f>IF(Table1[Leaving Date]="","",IF(AND(Table1[Leaving Date]&gt;42460,Table1[Leaving Date]&lt;42826),IF(Table1[Date of Last Assessment]="",Table1[Self-Care and Living Skills],Table1[Self-Care and Living Skills2]),""))</f>
        <v/>
      </c>
      <c r="GG506" s="44" t="str">
        <f>IF(Table1[Leaving Date]="","",IF(AND(Table1[Leaving Date]&gt;42460,Table1[Leaving Date]&lt;42826),IF(Table1[Date of Last Assessment]="",Table1[Managing Money and Personal Administration],Table1[Managing Money and Personal Administration2]),""))</f>
        <v/>
      </c>
      <c r="GH506" s="44" t="str">
        <f>IF(Table1[Leaving Date]="","",IF(AND(Table1[Leaving Date]&gt;42460,Table1[Leaving Date]&lt;42826),IF(Table1[Date of Last Assessment]="",Table1[Social Networks and Relationships],Table1[Social Networks and Relationships2]),""))</f>
        <v/>
      </c>
      <c r="GI506" s="44" t="str">
        <f>IF(Table1[Leaving Date]="","",IF(AND(Table1[Leaving Date]&gt;42460,Table1[Leaving Date]&lt;42826),IF(Table1[Date of Last Assessment]="",Table1[Drug and Alcohol Misuse],Table1[Drug and Alcohol Misuse2]),""))</f>
        <v/>
      </c>
      <c r="GJ506" s="44" t="str">
        <f>IF(Table1[Leaving Date]="","",IF(AND(Table1[Leaving Date]&gt;42460,Table1[Leaving Date]&lt;42826),IF(Table1[Date of Last Assessment]="",Table1[Physical Health],Table1[Physical Health2]),""))</f>
        <v/>
      </c>
      <c r="GK506" s="44" t="str">
        <f>IF(Table1[Leaving Date]="","",IF(AND(Table1[Leaving Date]&gt;42460,Table1[Leaving Date]&lt;42826),IF(Table1[Date of Last Assessment]="",Table1[Emotional and Mental Health],Table1[Emotional and Mental Health2]),""))</f>
        <v/>
      </c>
      <c r="GL506" s="44" t="str">
        <f>IF(Table1[Leaving Date]="","",IF(AND(Table1[Leaving Date]&gt;42460,Table1[Leaving Date]&lt;42826),IF(Table1[Date of Last Assessment]="",Table1[Meaningful Use of Time],Table1[Meaningful Use of Time2]),""))</f>
        <v/>
      </c>
      <c r="GM506" s="44" t="str">
        <f>IF(Table1[Leaving Date]="","",IF(AND(Table1[Leaving Date]&gt;42460,Table1[Leaving Date]&lt;42826),IF(Table1[Date of Last Assessment]="",Table1[Managing Tenancy and Accommodation],Table1[Managing Tenancy and Accommodation2]),""))</f>
        <v/>
      </c>
      <c r="GN506" s="44" t="str">
        <f>IF(Table1[Leaving Date]="","",IF(AND(Table1[Leaving Date]&gt;42460,Table1[Leaving Date]&lt;42826),IF(Table1[Date of Last Assessment]="",Table1[Offending],Table1[Offending2]),""))</f>
        <v/>
      </c>
    </row>
    <row r="507" spans="2:196" ht="20.100000000000001" customHeight="1" x14ac:dyDescent="0.2">
      <c r="B507" s="86">
        <f>+'Service Data'!$C$5:$C$5</f>
        <v>0</v>
      </c>
      <c r="C507" s="86"/>
      <c r="D507" s="86"/>
      <c r="E507" s="86"/>
      <c r="F507" s="86"/>
      <c r="G507" s="86"/>
      <c r="H507" s="6"/>
      <c r="I507" s="99" t="str">
        <f ca="1">IF(Table1[[#This Row],[Date of Birth]]="","",SUM(TODAY()-Table1[[#This Row],[Date of Birth]])/365)</f>
        <v/>
      </c>
      <c r="L507" s="86"/>
      <c r="M507" s="77"/>
      <c r="N507" s="86"/>
      <c r="O507" s="86"/>
      <c r="P507" s="91"/>
      <c r="Q507" s="86"/>
      <c r="R507" s="77"/>
      <c r="S507" s="77"/>
      <c r="T507" s="68"/>
      <c r="U507" s="68"/>
      <c r="V507" s="67"/>
      <c r="W507" s="67"/>
      <c r="X507" s="67"/>
      <c r="Y507" s="67"/>
      <c r="Z507" s="67"/>
      <c r="AA507" s="67"/>
      <c r="AB507" s="67"/>
      <c r="AC507" s="67"/>
      <c r="AD507" s="67"/>
      <c r="AE507" s="67"/>
      <c r="AF507" s="67"/>
      <c r="AG507" s="67"/>
      <c r="AH507" s="67"/>
      <c r="AI507" s="67"/>
      <c r="AJ507" s="67"/>
      <c r="AK507" s="67"/>
      <c r="AL507" s="67"/>
      <c r="AM507" s="67"/>
      <c r="AN507" s="77"/>
      <c r="AO507" s="76"/>
      <c r="AP507" s="77"/>
      <c r="AQ507" s="76"/>
      <c r="AR507" s="76"/>
      <c r="AS507" s="76"/>
      <c r="AT507" s="76"/>
      <c r="AU507" s="76"/>
      <c r="AV507" s="77"/>
      <c r="AW507" s="76"/>
      <c r="AX507" s="77"/>
      <c r="AY507" s="76"/>
      <c r="AZ507" s="76"/>
      <c r="BA507" s="76"/>
      <c r="BB507" s="76"/>
      <c r="BC507" s="76"/>
      <c r="BD507" s="77"/>
      <c r="BE507" s="76"/>
      <c r="BF507" s="77"/>
      <c r="BG507" s="76"/>
      <c r="BH507" s="76"/>
      <c r="BI507" s="76"/>
      <c r="BJ507" s="76"/>
      <c r="BK507" s="76"/>
      <c r="BL507" s="77"/>
      <c r="BM507" s="76"/>
      <c r="BN507" s="77"/>
      <c r="BO507" s="76"/>
      <c r="BP507" s="76"/>
      <c r="BQ507" s="76"/>
      <c r="BR507" s="76"/>
      <c r="BS507" s="76"/>
      <c r="BT507" s="77"/>
      <c r="BU507" s="76"/>
      <c r="BV507" s="77"/>
      <c r="BW507" s="76"/>
      <c r="BX507" s="76"/>
      <c r="BY507" s="76"/>
      <c r="BZ507" s="76"/>
      <c r="CA507" s="76"/>
      <c r="CB507" s="77"/>
      <c r="CC507" s="76"/>
      <c r="CD507" s="77"/>
      <c r="CE507" s="76"/>
      <c r="CF507" s="76"/>
      <c r="CG507" s="76"/>
      <c r="CH507" s="76"/>
      <c r="CI507" s="76"/>
      <c r="CJ507" s="77"/>
      <c r="CK507" s="76"/>
      <c r="CL507" s="77"/>
      <c r="CM507" s="76"/>
      <c r="CN507" s="76"/>
      <c r="CO507" s="76"/>
      <c r="CP507" s="76"/>
      <c r="CQ507" s="76"/>
      <c r="CR507" s="78" t="str">
        <f t="shared" si="127"/>
        <v/>
      </c>
      <c r="CS507" s="79" t="str">
        <f t="shared" si="128"/>
        <v/>
      </c>
      <c r="CT507" s="79" t="str">
        <f t="shared" si="129"/>
        <v/>
      </c>
      <c r="CU507" s="79" t="str">
        <f t="shared" si="130"/>
        <v/>
      </c>
      <c r="CV507" s="79" t="str">
        <f t="shared" si="131"/>
        <v/>
      </c>
      <c r="CW507" s="79" t="str">
        <f t="shared" si="132"/>
        <v/>
      </c>
      <c r="CX507" s="79" t="str">
        <f t="shared" si="133"/>
        <v/>
      </c>
      <c r="CY507" s="79" t="str">
        <f t="shared" si="134"/>
        <v/>
      </c>
      <c r="CZ507" s="79" t="str">
        <f t="shared" si="135"/>
        <v/>
      </c>
      <c r="DA507" s="79" t="str">
        <f t="shared" si="136"/>
        <v/>
      </c>
      <c r="DB507" s="79" t="str">
        <f t="shared" si="137"/>
        <v/>
      </c>
      <c r="DC507" s="79" t="str">
        <f t="shared" si="138"/>
        <v/>
      </c>
      <c r="DD507" s="79" t="str">
        <f t="shared" si="139"/>
        <v/>
      </c>
      <c r="DE507" s="79" t="str">
        <f t="shared" si="140"/>
        <v/>
      </c>
      <c r="DF507" s="79" t="str">
        <f t="shared" si="141"/>
        <v/>
      </c>
      <c r="DG507" s="79" t="str">
        <f t="shared" si="142"/>
        <v/>
      </c>
      <c r="DH507" s="76"/>
      <c r="DI507" s="78"/>
      <c r="DJ507" s="76"/>
      <c r="DK507" s="77"/>
      <c r="DL507" s="77"/>
      <c r="DM507" s="77"/>
      <c r="DN507" s="80"/>
      <c r="DO507" s="80"/>
      <c r="DP507" s="92" t="str">
        <f>IF(Table1[Start Date]="","",IF(Table1[Start Date]&gt;42185,"",IF(AND(Table1[Leaving Date]&gt;1,Table1[Leaving Date]&lt;42095),"",1)))</f>
        <v/>
      </c>
      <c r="DQ507" s="92" t="str">
        <f>IF(Table1[Start Date]="","",IF(Table1[Start Date]&gt;42277,"",IF(AND(Table1[Leaving Date]&gt;1,Table1[Leaving Date]&lt;42186),"",1)))</f>
        <v/>
      </c>
      <c r="DR507" s="92" t="str">
        <f>IF(Table1[Start Date]="","",IF(Table1[Start Date]&gt;42369,"",IF(AND(Table1[Leaving Date]&gt;1,Table1[Leaving Date]&lt;42278),"",1)))</f>
        <v/>
      </c>
      <c r="DS507" s="92" t="str">
        <f>IF(Table1[Start Date]="","",IF(Table1[Start Date]&gt;42460,"",IF(AND(Table1[Leaving Date]&gt;1,Table1[Leaving Date]&lt;42370),"",1)))</f>
        <v/>
      </c>
      <c r="DT507" s="92" t="str">
        <f>IF(Table1[Start Date]="","",IF(Table1[Start Date]&gt;42551,"",IF(AND(Table1[Leaving Date]&gt;1,Table1[Leaving Date]&lt;42461),"",1)))</f>
        <v/>
      </c>
      <c r="DU507" s="92" t="str">
        <f>IF(Table1[Start Date]="","",IF(Table1[Start Date]&gt;42643,"",IF(AND(Table1[Leaving Date]&gt;1,Table1[Leaving Date]&lt;42552),"",1)))</f>
        <v/>
      </c>
      <c r="DV507" s="92" t="str">
        <f>IF(Table1[Start Date]="","",IF(Table1[Start Date]&gt;42735,"",IF(AND(Table1[Leaving Date]&gt;1,Table1[Leaving Date]&lt;42644),"",1)))</f>
        <v/>
      </c>
      <c r="DW507" s="92" t="str">
        <f>IF(Table1[Start Date]="","",IF(Table1[Start Date]&gt;42825,"",IF(AND(Table1[Leaving Date]&gt;1,Table1[Leaving Date]&lt;42736),"",1)))</f>
        <v/>
      </c>
      <c r="DX507"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507" s="44" t="e">
        <f>VLOOKUP(Table1[Referral Source],Lists!$G$2:$H$20,2,FALSE)</f>
        <v>#N/A</v>
      </c>
      <c r="DZ507" s="93" t="e">
        <f>SUM(Table1[Data Referral Quarter]+Table1[Data Referral Source])</f>
        <v>#N/A</v>
      </c>
      <c r="EA507" s="44" t="b">
        <f>IF(Table1[Referral Decision]="Accepted",100,IF(Table1[Referral Decision]="Rejected by Provider",200,IF(Table1[Referral Decision]="Rejected by Applicant",300)))</f>
        <v>0</v>
      </c>
      <c r="EB507" s="44">
        <f>SUM(Table1[Data Referral Quarter]+Table1[Data Referral Decision])</f>
        <v>0</v>
      </c>
      <c r="EC507" s="44" t="b">
        <f>IF(Table1[Start Date]&gt;42735,8000,IF(Table1[Start Date]&gt;42643,7000,IF(Table1[Start Date]&gt;42551,6000,IF(Table1[Start Date]&gt;42460,5000,IF(Table1[Start Date]&gt;42369,4000,IF(Table1[Start Date]&gt;42277,3000,IF(Table1[Start Date]&gt;42185,2000,IF(Table1[Start Date]&gt;42094,1000))))))))</f>
        <v>0</v>
      </c>
      <c r="ED507" s="44" t="str">
        <f>IF(Table1[Start Date]="","",IF(Table1[Current Local Authority]="Swindon",1,"2"))</f>
        <v/>
      </c>
      <c r="EE507" s="44" t="e">
        <f>SUM(Table1[Data Start Date]+Table1[Data Local Authority])</f>
        <v>#VALUE!</v>
      </c>
      <c r="EF507" s="44">
        <f>IF(Table1[Registered with GP]="Yes",1,0)</f>
        <v>0</v>
      </c>
      <c r="EG507" s="44">
        <f>SUM(Table1[Data Start Date]+Table1[Data GP Start])</f>
        <v>0</v>
      </c>
      <c r="EH507" s="44" t="str">
        <f>IF(Table1[EET]="NEET",1,IF(Table1[EET]="Education",2,IF(Table1[EET]="Employment",2,IF(Table1[EET]="Training",2,IF(Table1[EET]="Retired",3,"")))))</f>
        <v/>
      </c>
      <c r="EI507" s="44" t="e">
        <f>Table1[Data Start Date]+Table1[Data EET Start]</f>
        <v>#VALUE!</v>
      </c>
      <c r="EJ507" s="44" t="b">
        <f>IF(Table1[Leaving Date]&gt;42735,8000,IF(Table1[Leaving Date]&gt;42643,7000,IF(Table1[Leaving Date]&gt;42551,6000,IF(Table1[Leaving Date]&gt;42460,5000,IF(Table1[Leaving Date]&gt;42369,4000,IF(Table1[Leaving Date]&gt;42277,3000,IF(Table1[Leaving Date]&gt;42185,2000,IF(Table1[Leaving Date]&gt;42094,1000))))))))</f>
        <v>0</v>
      </c>
      <c r="EK507" s="44" t="e">
        <f>VLOOKUP(Table1[Reason for Leaving],Lists!$T$2:$U$15,2,FALSE)</f>
        <v>#N/A</v>
      </c>
      <c r="EL507" s="44" t="e">
        <f>SUM(Table1[Data Leavers Date]+Table1[Data Move On])</f>
        <v>#N/A</v>
      </c>
      <c r="EM507" s="44" t="b">
        <f>IF(Table1[Registered with GP2]="Yes",1,IF(Table1[Registered with GP2]="No",0,IF(Table1[Registered with GP]="Yes",1,IF(Table1[Registered with GP]="No",0))))</f>
        <v>0</v>
      </c>
      <c r="EN507" s="44">
        <f>SUM(Table1[Data Leavers Date]+Table1[Data GP End])</f>
        <v>0</v>
      </c>
      <c r="EO507" s="44" t="str">
        <f>IF(Table1[EET2]="NEET",1,IF(Table1[EET2]="Employment",2,IF(Table1[EET2]="Education",2,IF(Table1[EET2]="Training",2,IF(Table1[EET2]="Retired",3,IF(Table1[EET]="NEET",1,IF(Table1[EET]="Employment",2,IF(Table1[EET]="Education",2,IF(Table1[EET]="Training",2,IF(Table1[EET]="Retired",3,""))))))))))</f>
        <v/>
      </c>
      <c r="EP507" s="44" t="e">
        <f>+Table1[[#This Row],[Data Leavers Date]]+Table1[[#This Row],[Data EET End]]</f>
        <v>#VALUE!</v>
      </c>
      <c r="EQ507" s="44">
        <f>IF(Table1[Exit Form Received]="Yes",1,0)</f>
        <v>0</v>
      </c>
      <c r="ER507" s="44">
        <f>+Table1[[#This Row],[Data Leavers Date]]+Table1[[#This Row],[Data Exit Forms]]</f>
        <v>0</v>
      </c>
      <c r="ES507" s="44" t="str">
        <f>IF(Table1[Data Leavers Date]=1000,SUM(Table1[Leaving Date]-Table1[Start Date]),"")</f>
        <v/>
      </c>
      <c r="ET507" s="44" t="str">
        <f>IF(Table1[Data Leavers Date]=2000,SUM(Table1[Leaving Date]-Table1[Start Date]),"")</f>
        <v/>
      </c>
      <c r="EU507" s="44" t="str">
        <f>IF(Table1[Data Leavers Date]=3000,SUM(Table1[Leaving Date]-Table1[Start Date]),"")</f>
        <v/>
      </c>
      <c r="EV507" s="44" t="str">
        <f>IF(Table1[Data Leavers Date]=4000,SUM(Table1[Leaving Date]-Table1[Start Date]),"")</f>
        <v/>
      </c>
      <c r="EW507" s="44" t="str">
        <f>IF(Table1[Data Leavers Date]=5000,SUM(Table1[Leaving Date]-Table1[Start Date]),"")</f>
        <v/>
      </c>
      <c r="EX507" s="44" t="str">
        <f>IF(Table1[Data Leavers Date]=6000,SUM(Table1[Leaving Date]-Table1[Start Date]),"")</f>
        <v/>
      </c>
      <c r="EY507" s="44" t="str">
        <f>IF(Table1[Data Leavers Date]=7000,SUM(Table1[Leaving Date]-Table1[Start Date]),"")</f>
        <v/>
      </c>
      <c r="EZ507" s="44" t="str">
        <f>IF(Table1[Data Leavers Date]=8000,SUM(Table1[Leaving Date]-Table1[Start Date]),"")</f>
        <v/>
      </c>
      <c r="FA507" s="44" t="str">
        <f>IF(Table1[Date of Initial Assessment]="","",IF(AND(Table1[Start Date]&gt;42094,Table1[Start Date]&lt;42461),Table1[Motivation and Taking Responsibility],""))</f>
        <v/>
      </c>
      <c r="FB507" s="44" t="str">
        <f>IF(Table1[Date of Initial Assessment]="","",IF(AND(Table1[Start Date]&gt;42094,Table1[Start Date]&lt;42461),Table1[Self-Care and Living Skills],""))</f>
        <v/>
      </c>
      <c r="FC507" s="44" t="str">
        <f>IF(Table1[Date of Initial Assessment]="","",IF(AND(Table1[Start Date]&gt;42094,Table1[Start Date]&lt;42461),Table1[Managing Money and Personal Administration],""))</f>
        <v/>
      </c>
      <c r="FD507" s="44" t="str">
        <f>IF(Table1[Date of Initial Assessment]="","",IF(AND(Table1[Start Date]&gt;42094,Table1[Start Date]&lt;42461),Table1[Social Networks and Relationships],""))</f>
        <v/>
      </c>
      <c r="FE507" s="44" t="str">
        <f>IF(Table1[Date of Initial Assessment]="","",IF(AND(Table1[Start Date]&gt;42094,Table1[Start Date]&lt;42461),Table1[Drug and Alcohol Misuse],""))</f>
        <v/>
      </c>
      <c r="FF507" s="44" t="str">
        <f>IF(Table1[Date of Initial Assessment]="","",IF(AND(Table1[Start Date]&gt;42094,Table1[Start Date]&lt;42461),Table1[Physical Health],""))</f>
        <v/>
      </c>
      <c r="FG507" s="44" t="str">
        <f>IF(Table1[Date of Initial Assessment]="","",IF(AND(Table1[Start Date]&gt;42094,Table1[Start Date]&lt;42461),Table1[Emotional and Mental Health],""))</f>
        <v/>
      </c>
      <c r="FH507" s="44" t="str">
        <f>IF(Table1[Date of Initial Assessment]="","",IF(AND(Table1[Start Date]&gt;42094,Table1[Start Date]&lt;42461),Table1[Meaningful Use of Time],""))</f>
        <v/>
      </c>
      <c r="FI507" s="44" t="str">
        <f>IF(Table1[Date of Initial Assessment]="","",IF(AND(Table1[Start Date]&gt;42094,Table1[Start Date]&lt;42461),Table1[Managing Tenancy and Accommodation],""))</f>
        <v/>
      </c>
      <c r="FJ507" s="44" t="str">
        <f>IF(Table1[Date of Initial Assessment]="","",IF(AND(Table1[Start Date]&gt;42094,Table1[Start Date]&lt;42461),Table1[Offending],""))</f>
        <v/>
      </c>
      <c r="FK507" s="44" t="str">
        <f>IF(Table1[Leaving Date]="","",IF(Table1[Date of Initial Assessment]="","",IF(AND(Table1[Leaving Date]&gt;42094,Table1[Leaving Date]&lt;42461),IF(Table1[Date of Last Assessment]="",Table1[Motivation and Taking Responsibility],Table1[Motivation and Taking Responsibility2]),"")))</f>
        <v/>
      </c>
      <c r="FL507" s="44" t="str">
        <f>IF(Table1[Leaving Date]="","",IF(Table1[Date of Initial Assessment]="","",IF(AND(Table1[Leaving Date]&gt;42094,Table1[Leaving Date]&lt;42461),IF(Table1[Date of Last Assessment]="",Table1[Self-Care and Living Skills],Table1[Self-Care and Living Skills2]),"")))</f>
        <v/>
      </c>
      <c r="FM507" s="44" t="str">
        <f>IF(Table1[Leaving Date]="","",IF(Table1[Date of Initial Assessment]="","",IF(AND(Table1[Leaving Date]&gt;42094,Table1[Leaving Date]&lt;42461),IF(Table1[Date of Last Assessment]="",Table1[Managing Money and Personal Administration],Table1[Managing Money and Personal Administration2]),"")))</f>
        <v/>
      </c>
      <c r="FN507" s="44" t="str">
        <f>IF(Table1[Leaving Date]="","",IF(Table1[Date of Initial Assessment]="","",IF(AND(Table1[Leaving Date]&gt;42094,Table1[Leaving Date]&lt;42461),IF(Table1[Date of Last Assessment]="",Table1[Social Networks and Relationships],Table1[Social Networks and Relationships2]),"")))</f>
        <v/>
      </c>
      <c r="FO507" s="44" t="str">
        <f>IF(Table1[Leaving Date]="","",IF(Table1[Date of Initial Assessment]="","",IF(AND(Table1[Leaving Date]&gt;42094,Table1[Leaving Date]&lt;42461),IF(Table1[Date of Last Assessment]="",Table1[Drug and Alcohol Misuse],Table1[Drug and Alcohol Misuse2]),"")))</f>
        <v/>
      </c>
      <c r="FP507" s="44" t="str">
        <f>IF(Table1[Leaving Date]="","",IF(Table1[Date of Initial Assessment]="","",IF(AND(Table1[Leaving Date]&gt;42094,Table1[Leaving Date]&lt;42461),IF(Table1[Date of Last Assessment]="",Table1[Physical Health],Table1[Physical Health2]),"")))</f>
        <v/>
      </c>
      <c r="FQ507" s="44" t="str">
        <f>IF(Table1[Leaving Date]="","",IF(Table1[Date of Initial Assessment]="","",IF(AND(Table1[Leaving Date]&gt;42094,Table1[Leaving Date]&lt;42461),IF(Table1[Date of Last Assessment]="",Table1[Emotional and Mental Health],Table1[Emotional and Mental Health2]),"")))</f>
        <v/>
      </c>
      <c r="FR507" s="44" t="str">
        <f>IF(Table1[Leaving Date]="","",IF(Table1[Date of Initial Assessment]="","",IF(AND(Table1[Leaving Date]&gt;42094,Table1[Leaving Date]&lt;42461),IF(Table1[Date of Last Assessment]="",Table1[Meaningful Use of Time],Table1[Meaningful Use of Time2]),"")))</f>
        <v/>
      </c>
      <c r="FS507" s="44" t="str">
        <f>IF(Table1[Leaving Date]="","",IF(Table1[Date of Initial Assessment]="","",IF(AND(Table1[Leaving Date]&gt;42094,Table1[Leaving Date]&lt;42461),IF(Table1[Date of Last Assessment]="",Table1[Managing Tenancy and Accommodation],Table1[Managing Tenancy and Accommodation2]),"")))</f>
        <v/>
      </c>
      <c r="FT507" s="44" t="str">
        <f>IF(Table1[Leaving Date]="","",IF(Table1[Date of Initial Assessment]="","",IF(AND(Table1[Leaving Date]&gt;42094,Table1[Leaving Date]&lt;42461),IF(Table1[Date of Last Assessment]="",Table1[Offending],Table1[Offending2]),"")))</f>
        <v/>
      </c>
      <c r="FU507" s="44" t="str">
        <f>IF(Table1[Date of Initial Assessment]="","",IF(AND(Table1[Start Date]&gt;42460,Table1[Start Date]&lt;42826),Table1[Motivation and Taking Responsibility],""))</f>
        <v/>
      </c>
      <c r="FV507" s="44" t="str">
        <f>IF(Table1[Date of Initial Assessment]="","",IF(AND(Table1[Start Date]&gt;42460,Table1[Start Date]&lt;42826),Table1[Self-Care and Living Skills],""))</f>
        <v/>
      </c>
      <c r="FW507" s="44" t="str">
        <f>IF(Table1[Date of Initial Assessment]="","",IF(AND(Table1[Start Date]&gt;42460,Table1[Start Date]&lt;42826),Table1[Managing Money and Personal Administration],""))</f>
        <v/>
      </c>
      <c r="FX507" s="44" t="str">
        <f>IF(Table1[Date of Initial Assessment]="","",IF(AND(Table1[Start Date]&gt;42460,Table1[Start Date]&lt;42826),Table1[Social Networks and Relationships],""))</f>
        <v/>
      </c>
      <c r="FY507" s="44" t="str">
        <f>IF(Table1[Date of Initial Assessment]="","",IF(AND(Table1[Start Date]&gt;42460,Table1[Start Date]&lt;42826),Table1[Drug and Alcohol Misuse],""))</f>
        <v/>
      </c>
      <c r="FZ507" s="44" t="str">
        <f>IF(Table1[Date of Initial Assessment]="","",IF(AND(Table1[Start Date]&gt;42460,Table1[Start Date]&lt;42826),Table1[Physical Health],""))</f>
        <v/>
      </c>
      <c r="GA507" s="44" t="str">
        <f>IF(Table1[Date of Initial Assessment]="","",IF(AND(Table1[Start Date]&gt;42460,Table1[Start Date]&lt;42826),Table1[Emotional and Mental Health],""))</f>
        <v/>
      </c>
      <c r="GB507" s="44" t="str">
        <f>IF(Table1[Date of Initial Assessment]="","",IF(AND(Table1[Start Date]&gt;42460,Table1[Start Date]&lt;42826),Table1[Meaningful Use of Time],""))</f>
        <v/>
      </c>
      <c r="GC507" s="44" t="str">
        <f>IF(Table1[Date of Initial Assessment]="","",IF(AND(Table1[Start Date]&gt;42460,Table1[Start Date]&lt;42826),Table1[Managing Tenancy and Accommodation],""))</f>
        <v/>
      </c>
      <c r="GD507" s="44" t="str">
        <f>IF(Table1[Date of Initial Assessment]="","",IF(AND(Table1[Start Date]&gt;42460,Table1[Start Date]&lt;42826),Table1[Offending],""))</f>
        <v/>
      </c>
      <c r="GE507" s="44" t="str">
        <f>IF(Table1[Leaving Date]="","",IF(AND(Table1[Leaving Date]&gt;42460,Table1[Leaving Date]&lt;42826),IF(Table1[Date of Last Assessment]="",Table1[Motivation and Taking Responsibility],Table1[Motivation and Taking Responsibility2]),""))</f>
        <v/>
      </c>
      <c r="GF507" s="44" t="str">
        <f>IF(Table1[Leaving Date]="","",IF(AND(Table1[Leaving Date]&gt;42460,Table1[Leaving Date]&lt;42826),IF(Table1[Date of Last Assessment]="",Table1[Self-Care and Living Skills],Table1[Self-Care and Living Skills2]),""))</f>
        <v/>
      </c>
      <c r="GG507" s="44" t="str">
        <f>IF(Table1[Leaving Date]="","",IF(AND(Table1[Leaving Date]&gt;42460,Table1[Leaving Date]&lt;42826),IF(Table1[Date of Last Assessment]="",Table1[Managing Money and Personal Administration],Table1[Managing Money and Personal Administration2]),""))</f>
        <v/>
      </c>
      <c r="GH507" s="44" t="str">
        <f>IF(Table1[Leaving Date]="","",IF(AND(Table1[Leaving Date]&gt;42460,Table1[Leaving Date]&lt;42826),IF(Table1[Date of Last Assessment]="",Table1[Social Networks and Relationships],Table1[Social Networks and Relationships2]),""))</f>
        <v/>
      </c>
      <c r="GI507" s="44" t="str">
        <f>IF(Table1[Leaving Date]="","",IF(AND(Table1[Leaving Date]&gt;42460,Table1[Leaving Date]&lt;42826),IF(Table1[Date of Last Assessment]="",Table1[Drug and Alcohol Misuse],Table1[Drug and Alcohol Misuse2]),""))</f>
        <v/>
      </c>
      <c r="GJ507" s="44" t="str">
        <f>IF(Table1[Leaving Date]="","",IF(AND(Table1[Leaving Date]&gt;42460,Table1[Leaving Date]&lt;42826),IF(Table1[Date of Last Assessment]="",Table1[Physical Health],Table1[Physical Health2]),""))</f>
        <v/>
      </c>
      <c r="GK507" s="44" t="str">
        <f>IF(Table1[Leaving Date]="","",IF(AND(Table1[Leaving Date]&gt;42460,Table1[Leaving Date]&lt;42826),IF(Table1[Date of Last Assessment]="",Table1[Emotional and Mental Health],Table1[Emotional and Mental Health2]),""))</f>
        <v/>
      </c>
      <c r="GL507" s="44" t="str">
        <f>IF(Table1[Leaving Date]="","",IF(AND(Table1[Leaving Date]&gt;42460,Table1[Leaving Date]&lt;42826),IF(Table1[Date of Last Assessment]="",Table1[Meaningful Use of Time],Table1[Meaningful Use of Time2]),""))</f>
        <v/>
      </c>
      <c r="GM507" s="44" t="str">
        <f>IF(Table1[Leaving Date]="","",IF(AND(Table1[Leaving Date]&gt;42460,Table1[Leaving Date]&lt;42826),IF(Table1[Date of Last Assessment]="",Table1[Managing Tenancy and Accommodation],Table1[Managing Tenancy and Accommodation2]),""))</f>
        <v/>
      </c>
      <c r="GN507" s="44" t="str">
        <f>IF(Table1[Leaving Date]="","",IF(AND(Table1[Leaving Date]&gt;42460,Table1[Leaving Date]&lt;42826),IF(Table1[Date of Last Assessment]="",Table1[Offending],Table1[Offending2]),""))</f>
        <v/>
      </c>
    </row>
    <row r="508" spans="2:196" ht="20.100000000000001" customHeight="1" x14ac:dyDescent="0.2">
      <c r="B508" s="86">
        <f>+'Service Data'!$C$5:$C$5</f>
        <v>0</v>
      </c>
      <c r="C508" s="86"/>
      <c r="D508" s="86"/>
      <c r="E508" s="86"/>
      <c r="F508" s="86"/>
      <c r="G508" s="86"/>
      <c r="H508" s="6"/>
      <c r="I508" s="99" t="str">
        <f ca="1">IF(Table1[[#This Row],[Date of Birth]]="","",SUM(TODAY()-Table1[[#This Row],[Date of Birth]])/365)</f>
        <v/>
      </c>
      <c r="L508" s="86"/>
      <c r="M508" s="77"/>
      <c r="N508" s="86"/>
      <c r="O508" s="86"/>
      <c r="P508" s="91"/>
      <c r="Q508" s="86"/>
      <c r="R508" s="77"/>
      <c r="S508" s="77"/>
      <c r="T508" s="68"/>
      <c r="U508" s="68"/>
      <c r="V508" s="67"/>
      <c r="W508" s="67"/>
      <c r="X508" s="67"/>
      <c r="Y508" s="67"/>
      <c r="Z508" s="67"/>
      <c r="AA508" s="67"/>
      <c r="AB508" s="67"/>
      <c r="AC508" s="67"/>
      <c r="AD508" s="67"/>
      <c r="AE508" s="67"/>
      <c r="AF508" s="67"/>
      <c r="AG508" s="67"/>
      <c r="AH508" s="67"/>
      <c r="AI508" s="67"/>
      <c r="AJ508" s="67"/>
      <c r="AK508" s="67"/>
      <c r="AL508" s="67"/>
      <c r="AM508" s="67"/>
      <c r="AN508" s="77"/>
      <c r="AO508" s="76"/>
      <c r="AP508" s="77"/>
      <c r="AQ508" s="76"/>
      <c r="AR508" s="76"/>
      <c r="AS508" s="76"/>
      <c r="AT508" s="76"/>
      <c r="AU508" s="76"/>
      <c r="AV508" s="77"/>
      <c r="AW508" s="76"/>
      <c r="AX508" s="77"/>
      <c r="AY508" s="76"/>
      <c r="AZ508" s="76"/>
      <c r="BA508" s="76"/>
      <c r="BB508" s="76"/>
      <c r="BC508" s="76"/>
      <c r="BD508" s="77"/>
      <c r="BE508" s="76"/>
      <c r="BF508" s="77"/>
      <c r="BG508" s="76"/>
      <c r="BH508" s="76"/>
      <c r="BI508" s="76"/>
      <c r="BJ508" s="76"/>
      <c r="BK508" s="76"/>
      <c r="BL508" s="77"/>
      <c r="BM508" s="76"/>
      <c r="BN508" s="77"/>
      <c r="BO508" s="76"/>
      <c r="BP508" s="76"/>
      <c r="BQ508" s="76"/>
      <c r="BR508" s="76"/>
      <c r="BS508" s="76"/>
      <c r="BT508" s="77"/>
      <c r="BU508" s="76"/>
      <c r="BV508" s="77"/>
      <c r="BW508" s="76"/>
      <c r="BX508" s="76"/>
      <c r="BY508" s="76"/>
      <c r="BZ508" s="76"/>
      <c r="CA508" s="76"/>
      <c r="CB508" s="77"/>
      <c r="CC508" s="76"/>
      <c r="CD508" s="77"/>
      <c r="CE508" s="76"/>
      <c r="CF508" s="76"/>
      <c r="CG508" s="76"/>
      <c r="CH508" s="76"/>
      <c r="CI508" s="76"/>
      <c r="CJ508" s="77"/>
      <c r="CK508" s="76"/>
      <c r="CL508" s="77"/>
      <c r="CM508" s="76"/>
      <c r="CN508" s="76"/>
      <c r="CO508" s="76"/>
      <c r="CP508" s="76"/>
      <c r="CQ508" s="76"/>
      <c r="CR508" s="78" t="str">
        <f t="shared" si="127"/>
        <v/>
      </c>
      <c r="CS508" s="79" t="str">
        <f t="shared" si="128"/>
        <v/>
      </c>
      <c r="CT508" s="79" t="str">
        <f t="shared" si="129"/>
        <v/>
      </c>
      <c r="CU508" s="79" t="str">
        <f t="shared" si="130"/>
        <v/>
      </c>
      <c r="CV508" s="79" t="str">
        <f t="shared" si="131"/>
        <v/>
      </c>
      <c r="CW508" s="79" t="str">
        <f t="shared" si="132"/>
        <v/>
      </c>
      <c r="CX508" s="79" t="str">
        <f t="shared" si="133"/>
        <v/>
      </c>
      <c r="CY508" s="79" t="str">
        <f t="shared" si="134"/>
        <v/>
      </c>
      <c r="CZ508" s="79" t="str">
        <f t="shared" si="135"/>
        <v/>
      </c>
      <c r="DA508" s="79" t="str">
        <f t="shared" si="136"/>
        <v/>
      </c>
      <c r="DB508" s="79" t="str">
        <f t="shared" si="137"/>
        <v/>
      </c>
      <c r="DC508" s="79" t="str">
        <f t="shared" si="138"/>
        <v/>
      </c>
      <c r="DD508" s="79" t="str">
        <f t="shared" si="139"/>
        <v/>
      </c>
      <c r="DE508" s="79" t="str">
        <f t="shared" si="140"/>
        <v/>
      </c>
      <c r="DF508" s="79" t="str">
        <f t="shared" si="141"/>
        <v/>
      </c>
      <c r="DG508" s="79" t="str">
        <f t="shared" si="142"/>
        <v/>
      </c>
      <c r="DH508" s="76"/>
      <c r="DI508" s="78"/>
      <c r="DJ508" s="76"/>
      <c r="DK508" s="77"/>
      <c r="DL508" s="77"/>
      <c r="DM508" s="77"/>
      <c r="DN508" s="80"/>
      <c r="DO508" s="80"/>
      <c r="DP508" s="92" t="str">
        <f>IF(Table1[Start Date]="","",IF(Table1[Start Date]&gt;42185,"",IF(AND(Table1[Leaving Date]&gt;1,Table1[Leaving Date]&lt;42095),"",1)))</f>
        <v/>
      </c>
      <c r="DQ508" s="92" t="str">
        <f>IF(Table1[Start Date]="","",IF(Table1[Start Date]&gt;42277,"",IF(AND(Table1[Leaving Date]&gt;1,Table1[Leaving Date]&lt;42186),"",1)))</f>
        <v/>
      </c>
      <c r="DR508" s="92" t="str">
        <f>IF(Table1[Start Date]="","",IF(Table1[Start Date]&gt;42369,"",IF(AND(Table1[Leaving Date]&gt;1,Table1[Leaving Date]&lt;42278),"",1)))</f>
        <v/>
      </c>
      <c r="DS508" s="92" t="str">
        <f>IF(Table1[Start Date]="","",IF(Table1[Start Date]&gt;42460,"",IF(AND(Table1[Leaving Date]&gt;1,Table1[Leaving Date]&lt;42370),"",1)))</f>
        <v/>
      </c>
      <c r="DT508" s="92" t="str">
        <f>IF(Table1[Start Date]="","",IF(Table1[Start Date]&gt;42551,"",IF(AND(Table1[Leaving Date]&gt;1,Table1[Leaving Date]&lt;42461),"",1)))</f>
        <v/>
      </c>
      <c r="DU508" s="92" t="str">
        <f>IF(Table1[Start Date]="","",IF(Table1[Start Date]&gt;42643,"",IF(AND(Table1[Leaving Date]&gt;1,Table1[Leaving Date]&lt;42552),"",1)))</f>
        <v/>
      </c>
      <c r="DV508" s="92" t="str">
        <f>IF(Table1[Start Date]="","",IF(Table1[Start Date]&gt;42735,"",IF(AND(Table1[Leaving Date]&gt;1,Table1[Leaving Date]&lt;42644),"",1)))</f>
        <v/>
      </c>
      <c r="DW508" s="92" t="str">
        <f>IF(Table1[Start Date]="","",IF(Table1[Start Date]&gt;42825,"",IF(AND(Table1[Leaving Date]&gt;1,Table1[Leaving Date]&lt;42736),"",1)))</f>
        <v/>
      </c>
      <c r="DX508"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508" s="44" t="e">
        <f>VLOOKUP(Table1[Referral Source],Lists!$G$2:$H$20,2,FALSE)</f>
        <v>#N/A</v>
      </c>
      <c r="DZ508" s="93" t="e">
        <f>SUM(Table1[Data Referral Quarter]+Table1[Data Referral Source])</f>
        <v>#N/A</v>
      </c>
      <c r="EA508" s="44" t="b">
        <f>IF(Table1[Referral Decision]="Accepted",100,IF(Table1[Referral Decision]="Rejected by Provider",200,IF(Table1[Referral Decision]="Rejected by Applicant",300)))</f>
        <v>0</v>
      </c>
      <c r="EB508" s="44">
        <f>SUM(Table1[Data Referral Quarter]+Table1[Data Referral Decision])</f>
        <v>0</v>
      </c>
      <c r="EC508" s="44" t="b">
        <f>IF(Table1[Start Date]&gt;42735,8000,IF(Table1[Start Date]&gt;42643,7000,IF(Table1[Start Date]&gt;42551,6000,IF(Table1[Start Date]&gt;42460,5000,IF(Table1[Start Date]&gt;42369,4000,IF(Table1[Start Date]&gt;42277,3000,IF(Table1[Start Date]&gt;42185,2000,IF(Table1[Start Date]&gt;42094,1000))))))))</f>
        <v>0</v>
      </c>
      <c r="ED508" s="44" t="str">
        <f>IF(Table1[Start Date]="","",IF(Table1[Current Local Authority]="Swindon",1,"2"))</f>
        <v/>
      </c>
      <c r="EE508" s="44" t="e">
        <f>SUM(Table1[Data Start Date]+Table1[Data Local Authority])</f>
        <v>#VALUE!</v>
      </c>
      <c r="EF508" s="44">
        <f>IF(Table1[Registered with GP]="Yes",1,0)</f>
        <v>0</v>
      </c>
      <c r="EG508" s="44">
        <f>SUM(Table1[Data Start Date]+Table1[Data GP Start])</f>
        <v>0</v>
      </c>
      <c r="EH508" s="44" t="str">
        <f>IF(Table1[EET]="NEET",1,IF(Table1[EET]="Education",2,IF(Table1[EET]="Employment",2,IF(Table1[EET]="Training",2,IF(Table1[EET]="Retired",3,"")))))</f>
        <v/>
      </c>
      <c r="EI508" s="44" t="e">
        <f>Table1[Data Start Date]+Table1[Data EET Start]</f>
        <v>#VALUE!</v>
      </c>
      <c r="EJ508" s="44" t="b">
        <f>IF(Table1[Leaving Date]&gt;42735,8000,IF(Table1[Leaving Date]&gt;42643,7000,IF(Table1[Leaving Date]&gt;42551,6000,IF(Table1[Leaving Date]&gt;42460,5000,IF(Table1[Leaving Date]&gt;42369,4000,IF(Table1[Leaving Date]&gt;42277,3000,IF(Table1[Leaving Date]&gt;42185,2000,IF(Table1[Leaving Date]&gt;42094,1000))))))))</f>
        <v>0</v>
      </c>
      <c r="EK508" s="44" t="e">
        <f>VLOOKUP(Table1[Reason for Leaving],Lists!$T$2:$U$15,2,FALSE)</f>
        <v>#N/A</v>
      </c>
      <c r="EL508" s="44" t="e">
        <f>SUM(Table1[Data Leavers Date]+Table1[Data Move On])</f>
        <v>#N/A</v>
      </c>
      <c r="EM508" s="44" t="b">
        <f>IF(Table1[Registered with GP2]="Yes",1,IF(Table1[Registered with GP2]="No",0,IF(Table1[Registered with GP]="Yes",1,IF(Table1[Registered with GP]="No",0))))</f>
        <v>0</v>
      </c>
      <c r="EN508" s="44">
        <f>SUM(Table1[Data Leavers Date]+Table1[Data GP End])</f>
        <v>0</v>
      </c>
      <c r="EO508" s="44" t="str">
        <f>IF(Table1[EET2]="NEET",1,IF(Table1[EET2]="Employment",2,IF(Table1[EET2]="Education",2,IF(Table1[EET2]="Training",2,IF(Table1[EET2]="Retired",3,IF(Table1[EET]="NEET",1,IF(Table1[EET]="Employment",2,IF(Table1[EET]="Education",2,IF(Table1[EET]="Training",2,IF(Table1[EET]="Retired",3,""))))))))))</f>
        <v/>
      </c>
      <c r="EP508" s="44" t="e">
        <f>+Table1[[#This Row],[Data Leavers Date]]+Table1[[#This Row],[Data EET End]]</f>
        <v>#VALUE!</v>
      </c>
      <c r="EQ508" s="44">
        <f>IF(Table1[Exit Form Received]="Yes",1,0)</f>
        <v>0</v>
      </c>
      <c r="ER508" s="44">
        <f>+Table1[[#This Row],[Data Leavers Date]]+Table1[[#This Row],[Data Exit Forms]]</f>
        <v>0</v>
      </c>
      <c r="ES508" s="44" t="str">
        <f>IF(Table1[Data Leavers Date]=1000,SUM(Table1[Leaving Date]-Table1[Start Date]),"")</f>
        <v/>
      </c>
      <c r="ET508" s="44" t="str">
        <f>IF(Table1[Data Leavers Date]=2000,SUM(Table1[Leaving Date]-Table1[Start Date]),"")</f>
        <v/>
      </c>
      <c r="EU508" s="44" t="str">
        <f>IF(Table1[Data Leavers Date]=3000,SUM(Table1[Leaving Date]-Table1[Start Date]),"")</f>
        <v/>
      </c>
      <c r="EV508" s="44" t="str">
        <f>IF(Table1[Data Leavers Date]=4000,SUM(Table1[Leaving Date]-Table1[Start Date]),"")</f>
        <v/>
      </c>
      <c r="EW508" s="44" t="str">
        <f>IF(Table1[Data Leavers Date]=5000,SUM(Table1[Leaving Date]-Table1[Start Date]),"")</f>
        <v/>
      </c>
      <c r="EX508" s="44" t="str">
        <f>IF(Table1[Data Leavers Date]=6000,SUM(Table1[Leaving Date]-Table1[Start Date]),"")</f>
        <v/>
      </c>
      <c r="EY508" s="44" t="str">
        <f>IF(Table1[Data Leavers Date]=7000,SUM(Table1[Leaving Date]-Table1[Start Date]),"")</f>
        <v/>
      </c>
      <c r="EZ508" s="44" t="str">
        <f>IF(Table1[Data Leavers Date]=8000,SUM(Table1[Leaving Date]-Table1[Start Date]),"")</f>
        <v/>
      </c>
      <c r="FA508" s="44" t="str">
        <f>IF(Table1[Date of Initial Assessment]="","",IF(AND(Table1[Start Date]&gt;42094,Table1[Start Date]&lt;42461),Table1[Motivation and Taking Responsibility],""))</f>
        <v/>
      </c>
      <c r="FB508" s="44" t="str">
        <f>IF(Table1[Date of Initial Assessment]="","",IF(AND(Table1[Start Date]&gt;42094,Table1[Start Date]&lt;42461),Table1[Self-Care and Living Skills],""))</f>
        <v/>
      </c>
      <c r="FC508" s="44" t="str">
        <f>IF(Table1[Date of Initial Assessment]="","",IF(AND(Table1[Start Date]&gt;42094,Table1[Start Date]&lt;42461),Table1[Managing Money and Personal Administration],""))</f>
        <v/>
      </c>
      <c r="FD508" s="44" t="str">
        <f>IF(Table1[Date of Initial Assessment]="","",IF(AND(Table1[Start Date]&gt;42094,Table1[Start Date]&lt;42461),Table1[Social Networks and Relationships],""))</f>
        <v/>
      </c>
      <c r="FE508" s="44" t="str">
        <f>IF(Table1[Date of Initial Assessment]="","",IF(AND(Table1[Start Date]&gt;42094,Table1[Start Date]&lt;42461),Table1[Drug and Alcohol Misuse],""))</f>
        <v/>
      </c>
      <c r="FF508" s="44" t="str">
        <f>IF(Table1[Date of Initial Assessment]="","",IF(AND(Table1[Start Date]&gt;42094,Table1[Start Date]&lt;42461),Table1[Physical Health],""))</f>
        <v/>
      </c>
      <c r="FG508" s="44" t="str">
        <f>IF(Table1[Date of Initial Assessment]="","",IF(AND(Table1[Start Date]&gt;42094,Table1[Start Date]&lt;42461),Table1[Emotional and Mental Health],""))</f>
        <v/>
      </c>
      <c r="FH508" s="44" t="str">
        <f>IF(Table1[Date of Initial Assessment]="","",IF(AND(Table1[Start Date]&gt;42094,Table1[Start Date]&lt;42461),Table1[Meaningful Use of Time],""))</f>
        <v/>
      </c>
      <c r="FI508" s="44" t="str">
        <f>IF(Table1[Date of Initial Assessment]="","",IF(AND(Table1[Start Date]&gt;42094,Table1[Start Date]&lt;42461),Table1[Managing Tenancy and Accommodation],""))</f>
        <v/>
      </c>
      <c r="FJ508" s="44" t="str">
        <f>IF(Table1[Date of Initial Assessment]="","",IF(AND(Table1[Start Date]&gt;42094,Table1[Start Date]&lt;42461),Table1[Offending],""))</f>
        <v/>
      </c>
      <c r="FK508" s="44" t="str">
        <f>IF(Table1[Leaving Date]="","",IF(Table1[Date of Initial Assessment]="","",IF(AND(Table1[Leaving Date]&gt;42094,Table1[Leaving Date]&lt;42461),IF(Table1[Date of Last Assessment]="",Table1[Motivation and Taking Responsibility],Table1[Motivation and Taking Responsibility2]),"")))</f>
        <v/>
      </c>
      <c r="FL508" s="44" t="str">
        <f>IF(Table1[Leaving Date]="","",IF(Table1[Date of Initial Assessment]="","",IF(AND(Table1[Leaving Date]&gt;42094,Table1[Leaving Date]&lt;42461),IF(Table1[Date of Last Assessment]="",Table1[Self-Care and Living Skills],Table1[Self-Care and Living Skills2]),"")))</f>
        <v/>
      </c>
      <c r="FM508" s="44" t="str">
        <f>IF(Table1[Leaving Date]="","",IF(Table1[Date of Initial Assessment]="","",IF(AND(Table1[Leaving Date]&gt;42094,Table1[Leaving Date]&lt;42461),IF(Table1[Date of Last Assessment]="",Table1[Managing Money and Personal Administration],Table1[Managing Money and Personal Administration2]),"")))</f>
        <v/>
      </c>
      <c r="FN508" s="44" t="str">
        <f>IF(Table1[Leaving Date]="","",IF(Table1[Date of Initial Assessment]="","",IF(AND(Table1[Leaving Date]&gt;42094,Table1[Leaving Date]&lt;42461),IF(Table1[Date of Last Assessment]="",Table1[Social Networks and Relationships],Table1[Social Networks and Relationships2]),"")))</f>
        <v/>
      </c>
      <c r="FO508" s="44" t="str">
        <f>IF(Table1[Leaving Date]="","",IF(Table1[Date of Initial Assessment]="","",IF(AND(Table1[Leaving Date]&gt;42094,Table1[Leaving Date]&lt;42461),IF(Table1[Date of Last Assessment]="",Table1[Drug and Alcohol Misuse],Table1[Drug and Alcohol Misuse2]),"")))</f>
        <v/>
      </c>
      <c r="FP508" s="44" t="str">
        <f>IF(Table1[Leaving Date]="","",IF(Table1[Date of Initial Assessment]="","",IF(AND(Table1[Leaving Date]&gt;42094,Table1[Leaving Date]&lt;42461),IF(Table1[Date of Last Assessment]="",Table1[Physical Health],Table1[Physical Health2]),"")))</f>
        <v/>
      </c>
      <c r="FQ508" s="44" t="str">
        <f>IF(Table1[Leaving Date]="","",IF(Table1[Date of Initial Assessment]="","",IF(AND(Table1[Leaving Date]&gt;42094,Table1[Leaving Date]&lt;42461),IF(Table1[Date of Last Assessment]="",Table1[Emotional and Mental Health],Table1[Emotional and Mental Health2]),"")))</f>
        <v/>
      </c>
      <c r="FR508" s="44" t="str">
        <f>IF(Table1[Leaving Date]="","",IF(Table1[Date of Initial Assessment]="","",IF(AND(Table1[Leaving Date]&gt;42094,Table1[Leaving Date]&lt;42461),IF(Table1[Date of Last Assessment]="",Table1[Meaningful Use of Time],Table1[Meaningful Use of Time2]),"")))</f>
        <v/>
      </c>
      <c r="FS508" s="44" t="str">
        <f>IF(Table1[Leaving Date]="","",IF(Table1[Date of Initial Assessment]="","",IF(AND(Table1[Leaving Date]&gt;42094,Table1[Leaving Date]&lt;42461),IF(Table1[Date of Last Assessment]="",Table1[Managing Tenancy and Accommodation],Table1[Managing Tenancy and Accommodation2]),"")))</f>
        <v/>
      </c>
      <c r="FT508" s="44" t="str">
        <f>IF(Table1[Leaving Date]="","",IF(Table1[Date of Initial Assessment]="","",IF(AND(Table1[Leaving Date]&gt;42094,Table1[Leaving Date]&lt;42461),IF(Table1[Date of Last Assessment]="",Table1[Offending],Table1[Offending2]),"")))</f>
        <v/>
      </c>
      <c r="FU508" s="44" t="str">
        <f>IF(Table1[Date of Initial Assessment]="","",IF(AND(Table1[Start Date]&gt;42460,Table1[Start Date]&lt;42826),Table1[Motivation and Taking Responsibility],""))</f>
        <v/>
      </c>
      <c r="FV508" s="44" t="str">
        <f>IF(Table1[Date of Initial Assessment]="","",IF(AND(Table1[Start Date]&gt;42460,Table1[Start Date]&lt;42826),Table1[Self-Care and Living Skills],""))</f>
        <v/>
      </c>
      <c r="FW508" s="44" t="str">
        <f>IF(Table1[Date of Initial Assessment]="","",IF(AND(Table1[Start Date]&gt;42460,Table1[Start Date]&lt;42826),Table1[Managing Money and Personal Administration],""))</f>
        <v/>
      </c>
      <c r="FX508" s="44" t="str">
        <f>IF(Table1[Date of Initial Assessment]="","",IF(AND(Table1[Start Date]&gt;42460,Table1[Start Date]&lt;42826),Table1[Social Networks and Relationships],""))</f>
        <v/>
      </c>
      <c r="FY508" s="44" t="str">
        <f>IF(Table1[Date of Initial Assessment]="","",IF(AND(Table1[Start Date]&gt;42460,Table1[Start Date]&lt;42826),Table1[Drug and Alcohol Misuse],""))</f>
        <v/>
      </c>
      <c r="FZ508" s="44" t="str">
        <f>IF(Table1[Date of Initial Assessment]="","",IF(AND(Table1[Start Date]&gt;42460,Table1[Start Date]&lt;42826),Table1[Physical Health],""))</f>
        <v/>
      </c>
      <c r="GA508" s="44" t="str">
        <f>IF(Table1[Date of Initial Assessment]="","",IF(AND(Table1[Start Date]&gt;42460,Table1[Start Date]&lt;42826),Table1[Emotional and Mental Health],""))</f>
        <v/>
      </c>
      <c r="GB508" s="44" t="str">
        <f>IF(Table1[Date of Initial Assessment]="","",IF(AND(Table1[Start Date]&gt;42460,Table1[Start Date]&lt;42826),Table1[Meaningful Use of Time],""))</f>
        <v/>
      </c>
      <c r="GC508" s="44" t="str">
        <f>IF(Table1[Date of Initial Assessment]="","",IF(AND(Table1[Start Date]&gt;42460,Table1[Start Date]&lt;42826),Table1[Managing Tenancy and Accommodation],""))</f>
        <v/>
      </c>
      <c r="GD508" s="44" t="str">
        <f>IF(Table1[Date of Initial Assessment]="","",IF(AND(Table1[Start Date]&gt;42460,Table1[Start Date]&lt;42826),Table1[Offending],""))</f>
        <v/>
      </c>
      <c r="GE508" s="44" t="str">
        <f>IF(Table1[Leaving Date]="","",IF(AND(Table1[Leaving Date]&gt;42460,Table1[Leaving Date]&lt;42826),IF(Table1[Date of Last Assessment]="",Table1[Motivation and Taking Responsibility],Table1[Motivation and Taking Responsibility2]),""))</f>
        <v/>
      </c>
      <c r="GF508" s="44" t="str">
        <f>IF(Table1[Leaving Date]="","",IF(AND(Table1[Leaving Date]&gt;42460,Table1[Leaving Date]&lt;42826),IF(Table1[Date of Last Assessment]="",Table1[Self-Care and Living Skills],Table1[Self-Care and Living Skills2]),""))</f>
        <v/>
      </c>
      <c r="GG508" s="44" t="str">
        <f>IF(Table1[Leaving Date]="","",IF(AND(Table1[Leaving Date]&gt;42460,Table1[Leaving Date]&lt;42826),IF(Table1[Date of Last Assessment]="",Table1[Managing Money and Personal Administration],Table1[Managing Money and Personal Administration2]),""))</f>
        <v/>
      </c>
      <c r="GH508" s="44" t="str">
        <f>IF(Table1[Leaving Date]="","",IF(AND(Table1[Leaving Date]&gt;42460,Table1[Leaving Date]&lt;42826),IF(Table1[Date of Last Assessment]="",Table1[Social Networks and Relationships],Table1[Social Networks and Relationships2]),""))</f>
        <v/>
      </c>
      <c r="GI508" s="44" t="str">
        <f>IF(Table1[Leaving Date]="","",IF(AND(Table1[Leaving Date]&gt;42460,Table1[Leaving Date]&lt;42826),IF(Table1[Date of Last Assessment]="",Table1[Drug and Alcohol Misuse],Table1[Drug and Alcohol Misuse2]),""))</f>
        <v/>
      </c>
      <c r="GJ508" s="44" t="str">
        <f>IF(Table1[Leaving Date]="","",IF(AND(Table1[Leaving Date]&gt;42460,Table1[Leaving Date]&lt;42826),IF(Table1[Date of Last Assessment]="",Table1[Physical Health],Table1[Physical Health2]),""))</f>
        <v/>
      </c>
      <c r="GK508" s="44" t="str">
        <f>IF(Table1[Leaving Date]="","",IF(AND(Table1[Leaving Date]&gt;42460,Table1[Leaving Date]&lt;42826),IF(Table1[Date of Last Assessment]="",Table1[Emotional and Mental Health],Table1[Emotional and Mental Health2]),""))</f>
        <v/>
      </c>
      <c r="GL508" s="44" t="str">
        <f>IF(Table1[Leaving Date]="","",IF(AND(Table1[Leaving Date]&gt;42460,Table1[Leaving Date]&lt;42826),IF(Table1[Date of Last Assessment]="",Table1[Meaningful Use of Time],Table1[Meaningful Use of Time2]),""))</f>
        <v/>
      </c>
      <c r="GM508" s="44" t="str">
        <f>IF(Table1[Leaving Date]="","",IF(AND(Table1[Leaving Date]&gt;42460,Table1[Leaving Date]&lt;42826),IF(Table1[Date of Last Assessment]="",Table1[Managing Tenancy and Accommodation],Table1[Managing Tenancy and Accommodation2]),""))</f>
        <v/>
      </c>
      <c r="GN508" s="44" t="str">
        <f>IF(Table1[Leaving Date]="","",IF(AND(Table1[Leaving Date]&gt;42460,Table1[Leaving Date]&lt;42826),IF(Table1[Date of Last Assessment]="",Table1[Offending],Table1[Offending2]),""))</f>
        <v/>
      </c>
    </row>
    <row r="509" spans="2:196" ht="20.100000000000001" customHeight="1" x14ac:dyDescent="0.2">
      <c r="B509" s="86">
        <f>+'Service Data'!$C$5:$C$5</f>
        <v>0</v>
      </c>
      <c r="C509" s="86"/>
      <c r="D509" s="86"/>
      <c r="E509" s="86"/>
      <c r="F509" s="86"/>
      <c r="G509" s="86"/>
      <c r="H509" s="6"/>
      <c r="I509" s="99" t="str">
        <f ca="1">IF(Table1[[#This Row],[Date of Birth]]="","",SUM(TODAY()-Table1[[#This Row],[Date of Birth]])/365)</f>
        <v/>
      </c>
      <c r="L509" s="86"/>
      <c r="M509" s="77"/>
      <c r="N509" s="86"/>
      <c r="O509" s="86"/>
      <c r="P509" s="91"/>
      <c r="Q509" s="86"/>
      <c r="R509" s="77"/>
      <c r="S509" s="77"/>
      <c r="T509" s="68"/>
      <c r="U509" s="68"/>
      <c r="V509" s="67"/>
      <c r="W509" s="67"/>
      <c r="X509" s="67"/>
      <c r="Y509" s="67"/>
      <c r="Z509" s="67"/>
      <c r="AA509" s="67"/>
      <c r="AB509" s="67"/>
      <c r="AC509" s="67"/>
      <c r="AD509" s="67"/>
      <c r="AE509" s="67"/>
      <c r="AF509" s="67"/>
      <c r="AG509" s="67"/>
      <c r="AH509" s="67"/>
      <c r="AI509" s="67"/>
      <c r="AJ509" s="67"/>
      <c r="AK509" s="67"/>
      <c r="AL509" s="67"/>
      <c r="AM509" s="67"/>
      <c r="AN509" s="77"/>
      <c r="AO509" s="76"/>
      <c r="AP509" s="77"/>
      <c r="AQ509" s="76"/>
      <c r="AR509" s="76"/>
      <c r="AS509" s="76"/>
      <c r="AT509" s="76"/>
      <c r="AU509" s="76"/>
      <c r="AV509" s="77"/>
      <c r="AW509" s="76"/>
      <c r="AX509" s="77"/>
      <c r="AY509" s="76"/>
      <c r="AZ509" s="76"/>
      <c r="BA509" s="76"/>
      <c r="BB509" s="76"/>
      <c r="BC509" s="76"/>
      <c r="BD509" s="77"/>
      <c r="BE509" s="76"/>
      <c r="BF509" s="77"/>
      <c r="BG509" s="76"/>
      <c r="BH509" s="76"/>
      <c r="BI509" s="76"/>
      <c r="BJ509" s="76"/>
      <c r="BK509" s="76"/>
      <c r="BL509" s="77"/>
      <c r="BM509" s="76"/>
      <c r="BN509" s="77"/>
      <c r="BO509" s="76"/>
      <c r="BP509" s="76"/>
      <c r="BQ509" s="76"/>
      <c r="BR509" s="76"/>
      <c r="BS509" s="76"/>
      <c r="BT509" s="77"/>
      <c r="BU509" s="76"/>
      <c r="BV509" s="77"/>
      <c r="BW509" s="76"/>
      <c r="BX509" s="76"/>
      <c r="BY509" s="76"/>
      <c r="BZ509" s="76"/>
      <c r="CA509" s="76"/>
      <c r="CB509" s="77"/>
      <c r="CC509" s="76"/>
      <c r="CD509" s="77"/>
      <c r="CE509" s="76"/>
      <c r="CF509" s="76"/>
      <c r="CG509" s="76"/>
      <c r="CH509" s="76"/>
      <c r="CI509" s="76"/>
      <c r="CJ509" s="77"/>
      <c r="CK509" s="76"/>
      <c r="CL509" s="77"/>
      <c r="CM509" s="76"/>
      <c r="CN509" s="76"/>
      <c r="CO509" s="76"/>
      <c r="CP509" s="76"/>
      <c r="CQ509" s="76"/>
      <c r="CR509" s="78" t="str">
        <f t="shared" si="127"/>
        <v/>
      </c>
      <c r="CS509" s="79" t="str">
        <f t="shared" si="128"/>
        <v/>
      </c>
      <c r="CT509" s="79" t="str">
        <f t="shared" si="129"/>
        <v/>
      </c>
      <c r="CU509" s="79" t="str">
        <f t="shared" si="130"/>
        <v/>
      </c>
      <c r="CV509" s="79" t="str">
        <f t="shared" si="131"/>
        <v/>
      </c>
      <c r="CW509" s="79" t="str">
        <f t="shared" si="132"/>
        <v/>
      </c>
      <c r="CX509" s="79" t="str">
        <f t="shared" si="133"/>
        <v/>
      </c>
      <c r="CY509" s="79" t="str">
        <f t="shared" si="134"/>
        <v/>
      </c>
      <c r="CZ509" s="79" t="str">
        <f t="shared" si="135"/>
        <v/>
      </c>
      <c r="DA509" s="79" t="str">
        <f t="shared" si="136"/>
        <v/>
      </c>
      <c r="DB509" s="79" t="str">
        <f t="shared" si="137"/>
        <v/>
      </c>
      <c r="DC509" s="79" t="str">
        <f t="shared" si="138"/>
        <v/>
      </c>
      <c r="DD509" s="79" t="str">
        <f t="shared" si="139"/>
        <v/>
      </c>
      <c r="DE509" s="79" t="str">
        <f t="shared" si="140"/>
        <v/>
      </c>
      <c r="DF509" s="79" t="str">
        <f t="shared" si="141"/>
        <v/>
      </c>
      <c r="DG509" s="79" t="str">
        <f t="shared" si="142"/>
        <v/>
      </c>
      <c r="DH509" s="76"/>
      <c r="DI509" s="78"/>
      <c r="DJ509" s="76"/>
      <c r="DK509" s="77"/>
      <c r="DL509" s="77"/>
      <c r="DM509" s="77"/>
      <c r="DN509" s="80"/>
      <c r="DO509" s="80"/>
      <c r="DP509" s="92" t="str">
        <f>IF(Table1[Start Date]="","",IF(Table1[Start Date]&gt;42185,"",IF(AND(Table1[Leaving Date]&gt;1,Table1[Leaving Date]&lt;42095),"",1)))</f>
        <v/>
      </c>
      <c r="DQ509" s="92" t="str">
        <f>IF(Table1[Start Date]="","",IF(Table1[Start Date]&gt;42277,"",IF(AND(Table1[Leaving Date]&gt;1,Table1[Leaving Date]&lt;42186),"",1)))</f>
        <v/>
      </c>
      <c r="DR509" s="92" t="str">
        <f>IF(Table1[Start Date]="","",IF(Table1[Start Date]&gt;42369,"",IF(AND(Table1[Leaving Date]&gt;1,Table1[Leaving Date]&lt;42278),"",1)))</f>
        <v/>
      </c>
      <c r="DS509" s="92" t="str">
        <f>IF(Table1[Start Date]="","",IF(Table1[Start Date]&gt;42460,"",IF(AND(Table1[Leaving Date]&gt;1,Table1[Leaving Date]&lt;42370),"",1)))</f>
        <v/>
      </c>
      <c r="DT509" s="92" t="str">
        <f>IF(Table1[Start Date]="","",IF(Table1[Start Date]&gt;42551,"",IF(AND(Table1[Leaving Date]&gt;1,Table1[Leaving Date]&lt;42461),"",1)))</f>
        <v/>
      </c>
      <c r="DU509" s="92" t="str">
        <f>IF(Table1[Start Date]="","",IF(Table1[Start Date]&gt;42643,"",IF(AND(Table1[Leaving Date]&gt;1,Table1[Leaving Date]&lt;42552),"",1)))</f>
        <v/>
      </c>
      <c r="DV509" s="92" t="str">
        <f>IF(Table1[Start Date]="","",IF(Table1[Start Date]&gt;42735,"",IF(AND(Table1[Leaving Date]&gt;1,Table1[Leaving Date]&lt;42644),"",1)))</f>
        <v/>
      </c>
      <c r="DW509" s="92" t="str">
        <f>IF(Table1[Start Date]="","",IF(Table1[Start Date]&gt;42825,"",IF(AND(Table1[Leaving Date]&gt;1,Table1[Leaving Date]&lt;42736),"",1)))</f>
        <v/>
      </c>
      <c r="DX509"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509" s="44" t="e">
        <f>VLOOKUP(Table1[Referral Source],Lists!$G$2:$H$20,2,FALSE)</f>
        <v>#N/A</v>
      </c>
      <c r="DZ509" s="93" t="e">
        <f>SUM(Table1[Data Referral Quarter]+Table1[Data Referral Source])</f>
        <v>#N/A</v>
      </c>
      <c r="EA509" s="44" t="b">
        <f>IF(Table1[Referral Decision]="Accepted",100,IF(Table1[Referral Decision]="Rejected by Provider",200,IF(Table1[Referral Decision]="Rejected by Applicant",300)))</f>
        <v>0</v>
      </c>
      <c r="EB509" s="44">
        <f>SUM(Table1[Data Referral Quarter]+Table1[Data Referral Decision])</f>
        <v>0</v>
      </c>
      <c r="EC509" s="44" t="b">
        <f>IF(Table1[Start Date]&gt;42735,8000,IF(Table1[Start Date]&gt;42643,7000,IF(Table1[Start Date]&gt;42551,6000,IF(Table1[Start Date]&gt;42460,5000,IF(Table1[Start Date]&gt;42369,4000,IF(Table1[Start Date]&gt;42277,3000,IF(Table1[Start Date]&gt;42185,2000,IF(Table1[Start Date]&gt;42094,1000))))))))</f>
        <v>0</v>
      </c>
      <c r="ED509" s="44" t="str">
        <f>IF(Table1[Start Date]="","",IF(Table1[Current Local Authority]="Swindon",1,"2"))</f>
        <v/>
      </c>
      <c r="EE509" s="44" t="e">
        <f>SUM(Table1[Data Start Date]+Table1[Data Local Authority])</f>
        <v>#VALUE!</v>
      </c>
      <c r="EF509" s="44">
        <f>IF(Table1[Registered with GP]="Yes",1,0)</f>
        <v>0</v>
      </c>
      <c r="EG509" s="44">
        <f>SUM(Table1[Data Start Date]+Table1[Data GP Start])</f>
        <v>0</v>
      </c>
      <c r="EH509" s="44" t="str">
        <f>IF(Table1[EET]="NEET",1,IF(Table1[EET]="Education",2,IF(Table1[EET]="Employment",2,IF(Table1[EET]="Training",2,IF(Table1[EET]="Retired",3,"")))))</f>
        <v/>
      </c>
      <c r="EI509" s="44" t="e">
        <f>Table1[Data Start Date]+Table1[Data EET Start]</f>
        <v>#VALUE!</v>
      </c>
      <c r="EJ509" s="44" t="b">
        <f>IF(Table1[Leaving Date]&gt;42735,8000,IF(Table1[Leaving Date]&gt;42643,7000,IF(Table1[Leaving Date]&gt;42551,6000,IF(Table1[Leaving Date]&gt;42460,5000,IF(Table1[Leaving Date]&gt;42369,4000,IF(Table1[Leaving Date]&gt;42277,3000,IF(Table1[Leaving Date]&gt;42185,2000,IF(Table1[Leaving Date]&gt;42094,1000))))))))</f>
        <v>0</v>
      </c>
      <c r="EK509" s="44" t="e">
        <f>VLOOKUP(Table1[Reason for Leaving],Lists!$T$2:$U$15,2,FALSE)</f>
        <v>#N/A</v>
      </c>
      <c r="EL509" s="44" t="e">
        <f>SUM(Table1[Data Leavers Date]+Table1[Data Move On])</f>
        <v>#N/A</v>
      </c>
      <c r="EM509" s="44" t="b">
        <f>IF(Table1[Registered with GP2]="Yes",1,IF(Table1[Registered with GP2]="No",0,IF(Table1[Registered with GP]="Yes",1,IF(Table1[Registered with GP]="No",0))))</f>
        <v>0</v>
      </c>
      <c r="EN509" s="44">
        <f>SUM(Table1[Data Leavers Date]+Table1[Data GP End])</f>
        <v>0</v>
      </c>
      <c r="EO509" s="44" t="str">
        <f>IF(Table1[EET2]="NEET",1,IF(Table1[EET2]="Employment",2,IF(Table1[EET2]="Education",2,IF(Table1[EET2]="Training",2,IF(Table1[EET2]="Retired",3,IF(Table1[EET]="NEET",1,IF(Table1[EET]="Employment",2,IF(Table1[EET]="Education",2,IF(Table1[EET]="Training",2,IF(Table1[EET]="Retired",3,""))))))))))</f>
        <v/>
      </c>
      <c r="EP509" s="44" t="e">
        <f>+Table1[[#This Row],[Data Leavers Date]]+Table1[[#This Row],[Data EET End]]</f>
        <v>#VALUE!</v>
      </c>
      <c r="EQ509" s="44">
        <f>IF(Table1[Exit Form Received]="Yes",1,0)</f>
        <v>0</v>
      </c>
      <c r="ER509" s="44">
        <f>+Table1[[#This Row],[Data Leavers Date]]+Table1[[#This Row],[Data Exit Forms]]</f>
        <v>0</v>
      </c>
      <c r="ES509" s="44" t="str">
        <f>IF(Table1[Data Leavers Date]=1000,SUM(Table1[Leaving Date]-Table1[Start Date]),"")</f>
        <v/>
      </c>
      <c r="ET509" s="44" t="str">
        <f>IF(Table1[Data Leavers Date]=2000,SUM(Table1[Leaving Date]-Table1[Start Date]),"")</f>
        <v/>
      </c>
      <c r="EU509" s="44" t="str">
        <f>IF(Table1[Data Leavers Date]=3000,SUM(Table1[Leaving Date]-Table1[Start Date]),"")</f>
        <v/>
      </c>
      <c r="EV509" s="44" t="str">
        <f>IF(Table1[Data Leavers Date]=4000,SUM(Table1[Leaving Date]-Table1[Start Date]),"")</f>
        <v/>
      </c>
      <c r="EW509" s="44" t="str">
        <f>IF(Table1[Data Leavers Date]=5000,SUM(Table1[Leaving Date]-Table1[Start Date]),"")</f>
        <v/>
      </c>
      <c r="EX509" s="44" t="str">
        <f>IF(Table1[Data Leavers Date]=6000,SUM(Table1[Leaving Date]-Table1[Start Date]),"")</f>
        <v/>
      </c>
      <c r="EY509" s="44" t="str">
        <f>IF(Table1[Data Leavers Date]=7000,SUM(Table1[Leaving Date]-Table1[Start Date]),"")</f>
        <v/>
      </c>
      <c r="EZ509" s="44" t="str">
        <f>IF(Table1[Data Leavers Date]=8000,SUM(Table1[Leaving Date]-Table1[Start Date]),"")</f>
        <v/>
      </c>
      <c r="FA509" s="44" t="str">
        <f>IF(Table1[Date of Initial Assessment]="","",IF(AND(Table1[Start Date]&gt;42094,Table1[Start Date]&lt;42461),Table1[Motivation and Taking Responsibility],""))</f>
        <v/>
      </c>
      <c r="FB509" s="44" t="str">
        <f>IF(Table1[Date of Initial Assessment]="","",IF(AND(Table1[Start Date]&gt;42094,Table1[Start Date]&lt;42461),Table1[Self-Care and Living Skills],""))</f>
        <v/>
      </c>
      <c r="FC509" s="44" t="str">
        <f>IF(Table1[Date of Initial Assessment]="","",IF(AND(Table1[Start Date]&gt;42094,Table1[Start Date]&lt;42461),Table1[Managing Money and Personal Administration],""))</f>
        <v/>
      </c>
      <c r="FD509" s="44" t="str">
        <f>IF(Table1[Date of Initial Assessment]="","",IF(AND(Table1[Start Date]&gt;42094,Table1[Start Date]&lt;42461),Table1[Social Networks and Relationships],""))</f>
        <v/>
      </c>
      <c r="FE509" s="44" t="str">
        <f>IF(Table1[Date of Initial Assessment]="","",IF(AND(Table1[Start Date]&gt;42094,Table1[Start Date]&lt;42461),Table1[Drug and Alcohol Misuse],""))</f>
        <v/>
      </c>
      <c r="FF509" s="44" t="str">
        <f>IF(Table1[Date of Initial Assessment]="","",IF(AND(Table1[Start Date]&gt;42094,Table1[Start Date]&lt;42461),Table1[Physical Health],""))</f>
        <v/>
      </c>
      <c r="FG509" s="44" t="str">
        <f>IF(Table1[Date of Initial Assessment]="","",IF(AND(Table1[Start Date]&gt;42094,Table1[Start Date]&lt;42461),Table1[Emotional and Mental Health],""))</f>
        <v/>
      </c>
      <c r="FH509" s="44" t="str">
        <f>IF(Table1[Date of Initial Assessment]="","",IF(AND(Table1[Start Date]&gt;42094,Table1[Start Date]&lt;42461),Table1[Meaningful Use of Time],""))</f>
        <v/>
      </c>
      <c r="FI509" s="44" t="str">
        <f>IF(Table1[Date of Initial Assessment]="","",IF(AND(Table1[Start Date]&gt;42094,Table1[Start Date]&lt;42461),Table1[Managing Tenancy and Accommodation],""))</f>
        <v/>
      </c>
      <c r="FJ509" s="44" t="str">
        <f>IF(Table1[Date of Initial Assessment]="","",IF(AND(Table1[Start Date]&gt;42094,Table1[Start Date]&lt;42461),Table1[Offending],""))</f>
        <v/>
      </c>
      <c r="FK509" s="44" t="str">
        <f>IF(Table1[Leaving Date]="","",IF(Table1[Date of Initial Assessment]="","",IF(AND(Table1[Leaving Date]&gt;42094,Table1[Leaving Date]&lt;42461),IF(Table1[Date of Last Assessment]="",Table1[Motivation and Taking Responsibility],Table1[Motivation and Taking Responsibility2]),"")))</f>
        <v/>
      </c>
      <c r="FL509" s="44" t="str">
        <f>IF(Table1[Leaving Date]="","",IF(Table1[Date of Initial Assessment]="","",IF(AND(Table1[Leaving Date]&gt;42094,Table1[Leaving Date]&lt;42461),IF(Table1[Date of Last Assessment]="",Table1[Self-Care and Living Skills],Table1[Self-Care and Living Skills2]),"")))</f>
        <v/>
      </c>
      <c r="FM509" s="44" t="str">
        <f>IF(Table1[Leaving Date]="","",IF(Table1[Date of Initial Assessment]="","",IF(AND(Table1[Leaving Date]&gt;42094,Table1[Leaving Date]&lt;42461),IF(Table1[Date of Last Assessment]="",Table1[Managing Money and Personal Administration],Table1[Managing Money and Personal Administration2]),"")))</f>
        <v/>
      </c>
      <c r="FN509" s="44" t="str">
        <f>IF(Table1[Leaving Date]="","",IF(Table1[Date of Initial Assessment]="","",IF(AND(Table1[Leaving Date]&gt;42094,Table1[Leaving Date]&lt;42461),IF(Table1[Date of Last Assessment]="",Table1[Social Networks and Relationships],Table1[Social Networks and Relationships2]),"")))</f>
        <v/>
      </c>
      <c r="FO509" s="44" t="str">
        <f>IF(Table1[Leaving Date]="","",IF(Table1[Date of Initial Assessment]="","",IF(AND(Table1[Leaving Date]&gt;42094,Table1[Leaving Date]&lt;42461),IF(Table1[Date of Last Assessment]="",Table1[Drug and Alcohol Misuse],Table1[Drug and Alcohol Misuse2]),"")))</f>
        <v/>
      </c>
      <c r="FP509" s="44" t="str">
        <f>IF(Table1[Leaving Date]="","",IF(Table1[Date of Initial Assessment]="","",IF(AND(Table1[Leaving Date]&gt;42094,Table1[Leaving Date]&lt;42461),IF(Table1[Date of Last Assessment]="",Table1[Physical Health],Table1[Physical Health2]),"")))</f>
        <v/>
      </c>
      <c r="FQ509" s="44" t="str">
        <f>IF(Table1[Leaving Date]="","",IF(Table1[Date of Initial Assessment]="","",IF(AND(Table1[Leaving Date]&gt;42094,Table1[Leaving Date]&lt;42461),IF(Table1[Date of Last Assessment]="",Table1[Emotional and Mental Health],Table1[Emotional and Mental Health2]),"")))</f>
        <v/>
      </c>
      <c r="FR509" s="44" t="str">
        <f>IF(Table1[Leaving Date]="","",IF(Table1[Date of Initial Assessment]="","",IF(AND(Table1[Leaving Date]&gt;42094,Table1[Leaving Date]&lt;42461),IF(Table1[Date of Last Assessment]="",Table1[Meaningful Use of Time],Table1[Meaningful Use of Time2]),"")))</f>
        <v/>
      </c>
      <c r="FS509" s="44" t="str">
        <f>IF(Table1[Leaving Date]="","",IF(Table1[Date of Initial Assessment]="","",IF(AND(Table1[Leaving Date]&gt;42094,Table1[Leaving Date]&lt;42461),IF(Table1[Date of Last Assessment]="",Table1[Managing Tenancy and Accommodation],Table1[Managing Tenancy and Accommodation2]),"")))</f>
        <v/>
      </c>
      <c r="FT509" s="44" t="str">
        <f>IF(Table1[Leaving Date]="","",IF(Table1[Date of Initial Assessment]="","",IF(AND(Table1[Leaving Date]&gt;42094,Table1[Leaving Date]&lt;42461),IF(Table1[Date of Last Assessment]="",Table1[Offending],Table1[Offending2]),"")))</f>
        <v/>
      </c>
      <c r="FU509" s="44" t="str">
        <f>IF(Table1[Date of Initial Assessment]="","",IF(AND(Table1[Start Date]&gt;42460,Table1[Start Date]&lt;42826),Table1[Motivation and Taking Responsibility],""))</f>
        <v/>
      </c>
      <c r="FV509" s="44" t="str">
        <f>IF(Table1[Date of Initial Assessment]="","",IF(AND(Table1[Start Date]&gt;42460,Table1[Start Date]&lt;42826),Table1[Self-Care and Living Skills],""))</f>
        <v/>
      </c>
      <c r="FW509" s="44" t="str">
        <f>IF(Table1[Date of Initial Assessment]="","",IF(AND(Table1[Start Date]&gt;42460,Table1[Start Date]&lt;42826),Table1[Managing Money and Personal Administration],""))</f>
        <v/>
      </c>
      <c r="FX509" s="44" t="str">
        <f>IF(Table1[Date of Initial Assessment]="","",IF(AND(Table1[Start Date]&gt;42460,Table1[Start Date]&lt;42826),Table1[Social Networks and Relationships],""))</f>
        <v/>
      </c>
      <c r="FY509" s="44" t="str">
        <f>IF(Table1[Date of Initial Assessment]="","",IF(AND(Table1[Start Date]&gt;42460,Table1[Start Date]&lt;42826),Table1[Drug and Alcohol Misuse],""))</f>
        <v/>
      </c>
      <c r="FZ509" s="44" t="str">
        <f>IF(Table1[Date of Initial Assessment]="","",IF(AND(Table1[Start Date]&gt;42460,Table1[Start Date]&lt;42826),Table1[Physical Health],""))</f>
        <v/>
      </c>
      <c r="GA509" s="44" t="str">
        <f>IF(Table1[Date of Initial Assessment]="","",IF(AND(Table1[Start Date]&gt;42460,Table1[Start Date]&lt;42826),Table1[Emotional and Mental Health],""))</f>
        <v/>
      </c>
      <c r="GB509" s="44" t="str">
        <f>IF(Table1[Date of Initial Assessment]="","",IF(AND(Table1[Start Date]&gt;42460,Table1[Start Date]&lt;42826),Table1[Meaningful Use of Time],""))</f>
        <v/>
      </c>
      <c r="GC509" s="44" t="str">
        <f>IF(Table1[Date of Initial Assessment]="","",IF(AND(Table1[Start Date]&gt;42460,Table1[Start Date]&lt;42826),Table1[Managing Tenancy and Accommodation],""))</f>
        <v/>
      </c>
      <c r="GD509" s="44" t="str">
        <f>IF(Table1[Date of Initial Assessment]="","",IF(AND(Table1[Start Date]&gt;42460,Table1[Start Date]&lt;42826),Table1[Offending],""))</f>
        <v/>
      </c>
      <c r="GE509" s="44" t="str">
        <f>IF(Table1[Leaving Date]="","",IF(AND(Table1[Leaving Date]&gt;42460,Table1[Leaving Date]&lt;42826),IF(Table1[Date of Last Assessment]="",Table1[Motivation and Taking Responsibility],Table1[Motivation and Taking Responsibility2]),""))</f>
        <v/>
      </c>
      <c r="GF509" s="44" t="str">
        <f>IF(Table1[Leaving Date]="","",IF(AND(Table1[Leaving Date]&gt;42460,Table1[Leaving Date]&lt;42826),IF(Table1[Date of Last Assessment]="",Table1[Self-Care and Living Skills],Table1[Self-Care and Living Skills2]),""))</f>
        <v/>
      </c>
      <c r="GG509" s="44" t="str">
        <f>IF(Table1[Leaving Date]="","",IF(AND(Table1[Leaving Date]&gt;42460,Table1[Leaving Date]&lt;42826),IF(Table1[Date of Last Assessment]="",Table1[Managing Money and Personal Administration],Table1[Managing Money and Personal Administration2]),""))</f>
        <v/>
      </c>
      <c r="GH509" s="44" t="str">
        <f>IF(Table1[Leaving Date]="","",IF(AND(Table1[Leaving Date]&gt;42460,Table1[Leaving Date]&lt;42826),IF(Table1[Date of Last Assessment]="",Table1[Social Networks and Relationships],Table1[Social Networks and Relationships2]),""))</f>
        <v/>
      </c>
      <c r="GI509" s="44" t="str">
        <f>IF(Table1[Leaving Date]="","",IF(AND(Table1[Leaving Date]&gt;42460,Table1[Leaving Date]&lt;42826),IF(Table1[Date of Last Assessment]="",Table1[Drug and Alcohol Misuse],Table1[Drug and Alcohol Misuse2]),""))</f>
        <v/>
      </c>
      <c r="GJ509" s="44" t="str">
        <f>IF(Table1[Leaving Date]="","",IF(AND(Table1[Leaving Date]&gt;42460,Table1[Leaving Date]&lt;42826),IF(Table1[Date of Last Assessment]="",Table1[Physical Health],Table1[Physical Health2]),""))</f>
        <v/>
      </c>
      <c r="GK509" s="44" t="str">
        <f>IF(Table1[Leaving Date]="","",IF(AND(Table1[Leaving Date]&gt;42460,Table1[Leaving Date]&lt;42826),IF(Table1[Date of Last Assessment]="",Table1[Emotional and Mental Health],Table1[Emotional and Mental Health2]),""))</f>
        <v/>
      </c>
      <c r="GL509" s="44" t="str">
        <f>IF(Table1[Leaving Date]="","",IF(AND(Table1[Leaving Date]&gt;42460,Table1[Leaving Date]&lt;42826),IF(Table1[Date of Last Assessment]="",Table1[Meaningful Use of Time],Table1[Meaningful Use of Time2]),""))</f>
        <v/>
      </c>
      <c r="GM509" s="44" t="str">
        <f>IF(Table1[Leaving Date]="","",IF(AND(Table1[Leaving Date]&gt;42460,Table1[Leaving Date]&lt;42826),IF(Table1[Date of Last Assessment]="",Table1[Managing Tenancy and Accommodation],Table1[Managing Tenancy and Accommodation2]),""))</f>
        <v/>
      </c>
      <c r="GN509" s="44" t="str">
        <f>IF(Table1[Leaving Date]="","",IF(AND(Table1[Leaving Date]&gt;42460,Table1[Leaving Date]&lt;42826),IF(Table1[Date of Last Assessment]="",Table1[Offending],Table1[Offending2]),""))</f>
        <v/>
      </c>
    </row>
    <row r="510" spans="2:196" ht="20.100000000000001" customHeight="1" x14ac:dyDescent="0.2">
      <c r="B510" s="86">
        <f>+'Service Data'!$C$5:$C$5</f>
        <v>0</v>
      </c>
      <c r="C510" s="86"/>
      <c r="D510" s="86"/>
      <c r="E510" s="86"/>
      <c r="F510" s="86"/>
      <c r="G510" s="86"/>
      <c r="H510" s="6"/>
      <c r="I510" s="99" t="str">
        <f ca="1">IF(Table1[[#This Row],[Date of Birth]]="","",SUM(TODAY()-Table1[[#This Row],[Date of Birth]])/365)</f>
        <v/>
      </c>
      <c r="L510" s="86"/>
      <c r="M510" s="77"/>
      <c r="N510" s="86"/>
      <c r="O510" s="86"/>
      <c r="P510" s="91"/>
      <c r="Q510" s="86"/>
      <c r="R510" s="77"/>
      <c r="S510" s="77"/>
      <c r="T510" s="68"/>
      <c r="U510" s="68"/>
      <c r="V510" s="67"/>
      <c r="W510" s="67"/>
      <c r="X510" s="67"/>
      <c r="Y510" s="67"/>
      <c r="Z510" s="67"/>
      <c r="AA510" s="67"/>
      <c r="AB510" s="67"/>
      <c r="AC510" s="67"/>
      <c r="AD510" s="67"/>
      <c r="AE510" s="67"/>
      <c r="AF510" s="67"/>
      <c r="AG510" s="67"/>
      <c r="AH510" s="67"/>
      <c r="AI510" s="67"/>
      <c r="AJ510" s="67"/>
      <c r="AK510" s="67"/>
      <c r="AL510" s="67"/>
      <c r="AM510" s="67"/>
      <c r="AN510" s="77"/>
      <c r="AO510" s="76"/>
      <c r="AP510" s="77"/>
      <c r="AQ510" s="76"/>
      <c r="AR510" s="76"/>
      <c r="AS510" s="76"/>
      <c r="AT510" s="76"/>
      <c r="AU510" s="76"/>
      <c r="AV510" s="77"/>
      <c r="AW510" s="76"/>
      <c r="AX510" s="77"/>
      <c r="AY510" s="76"/>
      <c r="AZ510" s="76"/>
      <c r="BA510" s="76"/>
      <c r="BB510" s="76"/>
      <c r="BC510" s="76"/>
      <c r="BD510" s="77"/>
      <c r="BE510" s="76"/>
      <c r="BF510" s="77"/>
      <c r="BG510" s="76"/>
      <c r="BH510" s="76"/>
      <c r="BI510" s="76"/>
      <c r="BJ510" s="76"/>
      <c r="BK510" s="76"/>
      <c r="BL510" s="77"/>
      <c r="BM510" s="76"/>
      <c r="BN510" s="77"/>
      <c r="BO510" s="76"/>
      <c r="BP510" s="76"/>
      <c r="BQ510" s="76"/>
      <c r="BR510" s="76"/>
      <c r="BS510" s="76"/>
      <c r="BT510" s="77"/>
      <c r="BU510" s="76"/>
      <c r="BV510" s="77"/>
      <c r="BW510" s="76"/>
      <c r="BX510" s="76"/>
      <c r="BY510" s="76"/>
      <c r="BZ510" s="76"/>
      <c r="CA510" s="76"/>
      <c r="CB510" s="77"/>
      <c r="CC510" s="76"/>
      <c r="CD510" s="77"/>
      <c r="CE510" s="76"/>
      <c r="CF510" s="76"/>
      <c r="CG510" s="76"/>
      <c r="CH510" s="76"/>
      <c r="CI510" s="76"/>
      <c r="CJ510" s="77"/>
      <c r="CK510" s="76"/>
      <c r="CL510" s="77"/>
      <c r="CM510" s="76"/>
      <c r="CN510" s="76"/>
      <c r="CO510" s="76"/>
      <c r="CP510" s="76"/>
      <c r="CQ510" s="76"/>
      <c r="CR510" s="78" t="str">
        <f t="shared" si="127"/>
        <v/>
      </c>
      <c r="CS510" s="79" t="str">
        <f t="shared" si="128"/>
        <v/>
      </c>
      <c r="CT510" s="79" t="str">
        <f t="shared" si="129"/>
        <v/>
      </c>
      <c r="CU510" s="79" t="str">
        <f t="shared" si="130"/>
        <v/>
      </c>
      <c r="CV510" s="79" t="str">
        <f t="shared" si="131"/>
        <v/>
      </c>
      <c r="CW510" s="79" t="str">
        <f t="shared" si="132"/>
        <v/>
      </c>
      <c r="CX510" s="79" t="str">
        <f t="shared" si="133"/>
        <v/>
      </c>
      <c r="CY510" s="79" t="str">
        <f t="shared" si="134"/>
        <v/>
      </c>
      <c r="CZ510" s="79" t="str">
        <f t="shared" si="135"/>
        <v/>
      </c>
      <c r="DA510" s="79" t="str">
        <f t="shared" si="136"/>
        <v/>
      </c>
      <c r="DB510" s="79" t="str">
        <f t="shared" si="137"/>
        <v/>
      </c>
      <c r="DC510" s="79" t="str">
        <f t="shared" si="138"/>
        <v/>
      </c>
      <c r="DD510" s="79" t="str">
        <f t="shared" si="139"/>
        <v/>
      </c>
      <c r="DE510" s="79" t="str">
        <f t="shared" si="140"/>
        <v/>
      </c>
      <c r="DF510" s="79" t="str">
        <f t="shared" si="141"/>
        <v/>
      </c>
      <c r="DG510" s="79" t="str">
        <f t="shared" si="142"/>
        <v/>
      </c>
      <c r="DH510" s="76"/>
      <c r="DI510" s="78"/>
      <c r="DJ510" s="76"/>
      <c r="DK510" s="77"/>
      <c r="DL510" s="77"/>
      <c r="DM510" s="77"/>
      <c r="DN510" s="80"/>
      <c r="DO510" s="80"/>
      <c r="DP510" s="92" t="str">
        <f>IF(Table1[Start Date]="","",IF(Table1[Start Date]&gt;42185,"",IF(AND(Table1[Leaving Date]&gt;1,Table1[Leaving Date]&lt;42095),"",1)))</f>
        <v/>
      </c>
      <c r="DQ510" s="92" t="str">
        <f>IF(Table1[Start Date]="","",IF(Table1[Start Date]&gt;42277,"",IF(AND(Table1[Leaving Date]&gt;1,Table1[Leaving Date]&lt;42186),"",1)))</f>
        <v/>
      </c>
      <c r="DR510" s="92" t="str">
        <f>IF(Table1[Start Date]="","",IF(Table1[Start Date]&gt;42369,"",IF(AND(Table1[Leaving Date]&gt;1,Table1[Leaving Date]&lt;42278),"",1)))</f>
        <v/>
      </c>
      <c r="DS510" s="92" t="str">
        <f>IF(Table1[Start Date]="","",IF(Table1[Start Date]&gt;42460,"",IF(AND(Table1[Leaving Date]&gt;1,Table1[Leaving Date]&lt;42370),"",1)))</f>
        <v/>
      </c>
      <c r="DT510" s="92" t="str">
        <f>IF(Table1[Start Date]="","",IF(Table1[Start Date]&gt;42551,"",IF(AND(Table1[Leaving Date]&gt;1,Table1[Leaving Date]&lt;42461),"",1)))</f>
        <v/>
      </c>
      <c r="DU510" s="92" t="str">
        <f>IF(Table1[Start Date]="","",IF(Table1[Start Date]&gt;42643,"",IF(AND(Table1[Leaving Date]&gt;1,Table1[Leaving Date]&lt;42552),"",1)))</f>
        <v/>
      </c>
      <c r="DV510" s="92" t="str">
        <f>IF(Table1[Start Date]="","",IF(Table1[Start Date]&gt;42735,"",IF(AND(Table1[Leaving Date]&gt;1,Table1[Leaving Date]&lt;42644),"",1)))</f>
        <v/>
      </c>
      <c r="DW510" s="92" t="str">
        <f>IF(Table1[Start Date]="","",IF(Table1[Start Date]&gt;42825,"",IF(AND(Table1[Leaving Date]&gt;1,Table1[Leaving Date]&lt;42736),"",1)))</f>
        <v/>
      </c>
      <c r="DX510"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510" s="44" t="e">
        <f>VLOOKUP(Table1[Referral Source],Lists!$G$2:$H$20,2,FALSE)</f>
        <v>#N/A</v>
      </c>
      <c r="DZ510" s="93" t="e">
        <f>SUM(Table1[Data Referral Quarter]+Table1[Data Referral Source])</f>
        <v>#N/A</v>
      </c>
      <c r="EA510" s="44" t="b">
        <f>IF(Table1[Referral Decision]="Accepted",100,IF(Table1[Referral Decision]="Rejected by Provider",200,IF(Table1[Referral Decision]="Rejected by Applicant",300)))</f>
        <v>0</v>
      </c>
      <c r="EB510" s="44">
        <f>SUM(Table1[Data Referral Quarter]+Table1[Data Referral Decision])</f>
        <v>0</v>
      </c>
      <c r="EC510" s="44" t="b">
        <f>IF(Table1[Start Date]&gt;42735,8000,IF(Table1[Start Date]&gt;42643,7000,IF(Table1[Start Date]&gt;42551,6000,IF(Table1[Start Date]&gt;42460,5000,IF(Table1[Start Date]&gt;42369,4000,IF(Table1[Start Date]&gt;42277,3000,IF(Table1[Start Date]&gt;42185,2000,IF(Table1[Start Date]&gt;42094,1000))))))))</f>
        <v>0</v>
      </c>
      <c r="ED510" s="44" t="str">
        <f>IF(Table1[Start Date]="","",IF(Table1[Current Local Authority]="Swindon",1,"2"))</f>
        <v/>
      </c>
      <c r="EE510" s="44" t="e">
        <f>SUM(Table1[Data Start Date]+Table1[Data Local Authority])</f>
        <v>#VALUE!</v>
      </c>
      <c r="EF510" s="44">
        <f>IF(Table1[Registered with GP]="Yes",1,0)</f>
        <v>0</v>
      </c>
      <c r="EG510" s="44">
        <f>SUM(Table1[Data Start Date]+Table1[Data GP Start])</f>
        <v>0</v>
      </c>
      <c r="EH510" s="44" t="str">
        <f>IF(Table1[EET]="NEET",1,IF(Table1[EET]="Education",2,IF(Table1[EET]="Employment",2,IF(Table1[EET]="Training",2,IF(Table1[EET]="Retired",3,"")))))</f>
        <v/>
      </c>
      <c r="EI510" s="44" t="e">
        <f>Table1[Data Start Date]+Table1[Data EET Start]</f>
        <v>#VALUE!</v>
      </c>
      <c r="EJ510" s="44" t="b">
        <f>IF(Table1[Leaving Date]&gt;42735,8000,IF(Table1[Leaving Date]&gt;42643,7000,IF(Table1[Leaving Date]&gt;42551,6000,IF(Table1[Leaving Date]&gt;42460,5000,IF(Table1[Leaving Date]&gt;42369,4000,IF(Table1[Leaving Date]&gt;42277,3000,IF(Table1[Leaving Date]&gt;42185,2000,IF(Table1[Leaving Date]&gt;42094,1000))))))))</f>
        <v>0</v>
      </c>
      <c r="EK510" s="44" t="e">
        <f>VLOOKUP(Table1[Reason for Leaving],Lists!$T$2:$U$15,2,FALSE)</f>
        <v>#N/A</v>
      </c>
      <c r="EL510" s="44" t="e">
        <f>SUM(Table1[Data Leavers Date]+Table1[Data Move On])</f>
        <v>#N/A</v>
      </c>
      <c r="EM510" s="44" t="b">
        <f>IF(Table1[Registered with GP2]="Yes",1,IF(Table1[Registered with GP2]="No",0,IF(Table1[Registered with GP]="Yes",1,IF(Table1[Registered with GP]="No",0))))</f>
        <v>0</v>
      </c>
      <c r="EN510" s="44">
        <f>SUM(Table1[Data Leavers Date]+Table1[Data GP End])</f>
        <v>0</v>
      </c>
      <c r="EO510" s="44" t="str">
        <f>IF(Table1[EET2]="NEET",1,IF(Table1[EET2]="Employment",2,IF(Table1[EET2]="Education",2,IF(Table1[EET2]="Training",2,IF(Table1[EET2]="Retired",3,IF(Table1[EET]="NEET",1,IF(Table1[EET]="Employment",2,IF(Table1[EET]="Education",2,IF(Table1[EET]="Training",2,IF(Table1[EET]="Retired",3,""))))))))))</f>
        <v/>
      </c>
      <c r="EP510" s="44" t="e">
        <f>+Table1[[#This Row],[Data Leavers Date]]+Table1[[#This Row],[Data EET End]]</f>
        <v>#VALUE!</v>
      </c>
      <c r="EQ510" s="44">
        <f>IF(Table1[Exit Form Received]="Yes",1,0)</f>
        <v>0</v>
      </c>
      <c r="ER510" s="44">
        <f>+Table1[[#This Row],[Data Leavers Date]]+Table1[[#This Row],[Data Exit Forms]]</f>
        <v>0</v>
      </c>
      <c r="ES510" s="44" t="str">
        <f>IF(Table1[Data Leavers Date]=1000,SUM(Table1[Leaving Date]-Table1[Start Date]),"")</f>
        <v/>
      </c>
      <c r="ET510" s="44" t="str">
        <f>IF(Table1[Data Leavers Date]=2000,SUM(Table1[Leaving Date]-Table1[Start Date]),"")</f>
        <v/>
      </c>
      <c r="EU510" s="44" t="str">
        <f>IF(Table1[Data Leavers Date]=3000,SUM(Table1[Leaving Date]-Table1[Start Date]),"")</f>
        <v/>
      </c>
      <c r="EV510" s="44" t="str">
        <f>IF(Table1[Data Leavers Date]=4000,SUM(Table1[Leaving Date]-Table1[Start Date]),"")</f>
        <v/>
      </c>
      <c r="EW510" s="44" t="str">
        <f>IF(Table1[Data Leavers Date]=5000,SUM(Table1[Leaving Date]-Table1[Start Date]),"")</f>
        <v/>
      </c>
      <c r="EX510" s="44" t="str">
        <f>IF(Table1[Data Leavers Date]=6000,SUM(Table1[Leaving Date]-Table1[Start Date]),"")</f>
        <v/>
      </c>
      <c r="EY510" s="44" t="str">
        <f>IF(Table1[Data Leavers Date]=7000,SUM(Table1[Leaving Date]-Table1[Start Date]),"")</f>
        <v/>
      </c>
      <c r="EZ510" s="44" t="str">
        <f>IF(Table1[Data Leavers Date]=8000,SUM(Table1[Leaving Date]-Table1[Start Date]),"")</f>
        <v/>
      </c>
      <c r="FA510" s="44" t="str">
        <f>IF(Table1[Date of Initial Assessment]="","",IF(AND(Table1[Start Date]&gt;42094,Table1[Start Date]&lt;42461),Table1[Motivation and Taking Responsibility],""))</f>
        <v/>
      </c>
      <c r="FB510" s="44" t="str">
        <f>IF(Table1[Date of Initial Assessment]="","",IF(AND(Table1[Start Date]&gt;42094,Table1[Start Date]&lt;42461),Table1[Self-Care and Living Skills],""))</f>
        <v/>
      </c>
      <c r="FC510" s="44" t="str">
        <f>IF(Table1[Date of Initial Assessment]="","",IF(AND(Table1[Start Date]&gt;42094,Table1[Start Date]&lt;42461),Table1[Managing Money and Personal Administration],""))</f>
        <v/>
      </c>
      <c r="FD510" s="44" t="str">
        <f>IF(Table1[Date of Initial Assessment]="","",IF(AND(Table1[Start Date]&gt;42094,Table1[Start Date]&lt;42461),Table1[Social Networks and Relationships],""))</f>
        <v/>
      </c>
      <c r="FE510" s="44" t="str">
        <f>IF(Table1[Date of Initial Assessment]="","",IF(AND(Table1[Start Date]&gt;42094,Table1[Start Date]&lt;42461),Table1[Drug and Alcohol Misuse],""))</f>
        <v/>
      </c>
      <c r="FF510" s="44" t="str">
        <f>IF(Table1[Date of Initial Assessment]="","",IF(AND(Table1[Start Date]&gt;42094,Table1[Start Date]&lt;42461),Table1[Physical Health],""))</f>
        <v/>
      </c>
      <c r="FG510" s="44" t="str">
        <f>IF(Table1[Date of Initial Assessment]="","",IF(AND(Table1[Start Date]&gt;42094,Table1[Start Date]&lt;42461),Table1[Emotional and Mental Health],""))</f>
        <v/>
      </c>
      <c r="FH510" s="44" t="str">
        <f>IF(Table1[Date of Initial Assessment]="","",IF(AND(Table1[Start Date]&gt;42094,Table1[Start Date]&lt;42461),Table1[Meaningful Use of Time],""))</f>
        <v/>
      </c>
      <c r="FI510" s="44" t="str">
        <f>IF(Table1[Date of Initial Assessment]="","",IF(AND(Table1[Start Date]&gt;42094,Table1[Start Date]&lt;42461),Table1[Managing Tenancy and Accommodation],""))</f>
        <v/>
      </c>
      <c r="FJ510" s="44" t="str">
        <f>IF(Table1[Date of Initial Assessment]="","",IF(AND(Table1[Start Date]&gt;42094,Table1[Start Date]&lt;42461),Table1[Offending],""))</f>
        <v/>
      </c>
      <c r="FK510" s="44" t="str">
        <f>IF(Table1[Leaving Date]="","",IF(Table1[Date of Initial Assessment]="","",IF(AND(Table1[Leaving Date]&gt;42094,Table1[Leaving Date]&lt;42461),IF(Table1[Date of Last Assessment]="",Table1[Motivation and Taking Responsibility],Table1[Motivation and Taking Responsibility2]),"")))</f>
        <v/>
      </c>
      <c r="FL510" s="44" t="str">
        <f>IF(Table1[Leaving Date]="","",IF(Table1[Date of Initial Assessment]="","",IF(AND(Table1[Leaving Date]&gt;42094,Table1[Leaving Date]&lt;42461),IF(Table1[Date of Last Assessment]="",Table1[Self-Care and Living Skills],Table1[Self-Care and Living Skills2]),"")))</f>
        <v/>
      </c>
      <c r="FM510" s="44" t="str">
        <f>IF(Table1[Leaving Date]="","",IF(Table1[Date of Initial Assessment]="","",IF(AND(Table1[Leaving Date]&gt;42094,Table1[Leaving Date]&lt;42461),IF(Table1[Date of Last Assessment]="",Table1[Managing Money and Personal Administration],Table1[Managing Money and Personal Administration2]),"")))</f>
        <v/>
      </c>
      <c r="FN510" s="44" t="str">
        <f>IF(Table1[Leaving Date]="","",IF(Table1[Date of Initial Assessment]="","",IF(AND(Table1[Leaving Date]&gt;42094,Table1[Leaving Date]&lt;42461),IF(Table1[Date of Last Assessment]="",Table1[Social Networks and Relationships],Table1[Social Networks and Relationships2]),"")))</f>
        <v/>
      </c>
      <c r="FO510" s="44" t="str">
        <f>IF(Table1[Leaving Date]="","",IF(Table1[Date of Initial Assessment]="","",IF(AND(Table1[Leaving Date]&gt;42094,Table1[Leaving Date]&lt;42461),IF(Table1[Date of Last Assessment]="",Table1[Drug and Alcohol Misuse],Table1[Drug and Alcohol Misuse2]),"")))</f>
        <v/>
      </c>
      <c r="FP510" s="44" t="str">
        <f>IF(Table1[Leaving Date]="","",IF(Table1[Date of Initial Assessment]="","",IF(AND(Table1[Leaving Date]&gt;42094,Table1[Leaving Date]&lt;42461),IF(Table1[Date of Last Assessment]="",Table1[Physical Health],Table1[Physical Health2]),"")))</f>
        <v/>
      </c>
      <c r="FQ510" s="44" t="str">
        <f>IF(Table1[Leaving Date]="","",IF(Table1[Date of Initial Assessment]="","",IF(AND(Table1[Leaving Date]&gt;42094,Table1[Leaving Date]&lt;42461),IF(Table1[Date of Last Assessment]="",Table1[Emotional and Mental Health],Table1[Emotional and Mental Health2]),"")))</f>
        <v/>
      </c>
      <c r="FR510" s="44" t="str">
        <f>IF(Table1[Leaving Date]="","",IF(Table1[Date of Initial Assessment]="","",IF(AND(Table1[Leaving Date]&gt;42094,Table1[Leaving Date]&lt;42461),IF(Table1[Date of Last Assessment]="",Table1[Meaningful Use of Time],Table1[Meaningful Use of Time2]),"")))</f>
        <v/>
      </c>
      <c r="FS510" s="44" t="str">
        <f>IF(Table1[Leaving Date]="","",IF(Table1[Date of Initial Assessment]="","",IF(AND(Table1[Leaving Date]&gt;42094,Table1[Leaving Date]&lt;42461),IF(Table1[Date of Last Assessment]="",Table1[Managing Tenancy and Accommodation],Table1[Managing Tenancy and Accommodation2]),"")))</f>
        <v/>
      </c>
      <c r="FT510" s="44" t="str">
        <f>IF(Table1[Leaving Date]="","",IF(Table1[Date of Initial Assessment]="","",IF(AND(Table1[Leaving Date]&gt;42094,Table1[Leaving Date]&lt;42461),IF(Table1[Date of Last Assessment]="",Table1[Offending],Table1[Offending2]),"")))</f>
        <v/>
      </c>
      <c r="FU510" s="44" t="str">
        <f>IF(Table1[Date of Initial Assessment]="","",IF(AND(Table1[Start Date]&gt;42460,Table1[Start Date]&lt;42826),Table1[Motivation and Taking Responsibility],""))</f>
        <v/>
      </c>
      <c r="FV510" s="44" t="str">
        <f>IF(Table1[Date of Initial Assessment]="","",IF(AND(Table1[Start Date]&gt;42460,Table1[Start Date]&lt;42826),Table1[Self-Care and Living Skills],""))</f>
        <v/>
      </c>
      <c r="FW510" s="44" t="str">
        <f>IF(Table1[Date of Initial Assessment]="","",IF(AND(Table1[Start Date]&gt;42460,Table1[Start Date]&lt;42826),Table1[Managing Money and Personal Administration],""))</f>
        <v/>
      </c>
      <c r="FX510" s="44" t="str">
        <f>IF(Table1[Date of Initial Assessment]="","",IF(AND(Table1[Start Date]&gt;42460,Table1[Start Date]&lt;42826),Table1[Social Networks and Relationships],""))</f>
        <v/>
      </c>
      <c r="FY510" s="44" t="str">
        <f>IF(Table1[Date of Initial Assessment]="","",IF(AND(Table1[Start Date]&gt;42460,Table1[Start Date]&lt;42826),Table1[Drug and Alcohol Misuse],""))</f>
        <v/>
      </c>
      <c r="FZ510" s="44" t="str">
        <f>IF(Table1[Date of Initial Assessment]="","",IF(AND(Table1[Start Date]&gt;42460,Table1[Start Date]&lt;42826),Table1[Physical Health],""))</f>
        <v/>
      </c>
      <c r="GA510" s="44" t="str">
        <f>IF(Table1[Date of Initial Assessment]="","",IF(AND(Table1[Start Date]&gt;42460,Table1[Start Date]&lt;42826),Table1[Emotional and Mental Health],""))</f>
        <v/>
      </c>
      <c r="GB510" s="44" t="str">
        <f>IF(Table1[Date of Initial Assessment]="","",IF(AND(Table1[Start Date]&gt;42460,Table1[Start Date]&lt;42826),Table1[Meaningful Use of Time],""))</f>
        <v/>
      </c>
      <c r="GC510" s="44" t="str">
        <f>IF(Table1[Date of Initial Assessment]="","",IF(AND(Table1[Start Date]&gt;42460,Table1[Start Date]&lt;42826),Table1[Managing Tenancy and Accommodation],""))</f>
        <v/>
      </c>
      <c r="GD510" s="44" t="str">
        <f>IF(Table1[Date of Initial Assessment]="","",IF(AND(Table1[Start Date]&gt;42460,Table1[Start Date]&lt;42826),Table1[Offending],""))</f>
        <v/>
      </c>
      <c r="GE510" s="44" t="str">
        <f>IF(Table1[Leaving Date]="","",IF(AND(Table1[Leaving Date]&gt;42460,Table1[Leaving Date]&lt;42826),IF(Table1[Date of Last Assessment]="",Table1[Motivation and Taking Responsibility],Table1[Motivation and Taking Responsibility2]),""))</f>
        <v/>
      </c>
      <c r="GF510" s="44" t="str">
        <f>IF(Table1[Leaving Date]="","",IF(AND(Table1[Leaving Date]&gt;42460,Table1[Leaving Date]&lt;42826),IF(Table1[Date of Last Assessment]="",Table1[Self-Care and Living Skills],Table1[Self-Care and Living Skills2]),""))</f>
        <v/>
      </c>
      <c r="GG510" s="44" t="str">
        <f>IF(Table1[Leaving Date]="","",IF(AND(Table1[Leaving Date]&gt;42460,Table1[Leaving Date]&lt;42826),IF(Table1[Date of Last Assessment]="",Table1[Managing Money and Personal Administration],Table1[Managing Money and Personal Administration2]),""))</f>
        <v/>
      </c>
      <c r="GH510" s="44" t="str">
        <f>IF(Table1[Leaving Date]="","",IF(AND(Table1[Leaving Date]&gt;42460,Table1[Leaving Date]&lt;42826),IF(Table1[Date of Last Assessment]="",Table1[Social Networks and Relationships],Table1[Social Networks and Relationships2]),""))</f>
        <v/>
      </c>
      <c r="GI510" s="44" t="str">
        <f>IF(Table1[Leaving Date]="","",IF(AND(Table1[Leaving Date]&gt;42460,Table1[Leaving Date]&lt;42826),IF(Table1[Date of Last Assessment]="",Table1[Drug and Alcohol Misuse],Table1[Drug and Alcohol Misuse2]),""))</f>
        <v/>
      </c>
      <c r="GJ510" s="44" t="str">
        <f>IF(Table1[Leaving Date]="","",IF(AND(Table1[Leaving Date]&gt;42460,Table1[Leaving Date]&lt;42826),IF(Table1[Date of Last Assessment]="",Table1[Physical Health],Table1[Physical Health2]),""))</f>
        <v/>
      </c>
      <c r="GK510" s="44" t="str">
        <f>IF(Table1[Leaving Date]="","",IF(AND(Table1[Leaving Date]&gt;42460,Table1[Leaving Date]&lt;42826),IF(Table1[Date of Last Assessment]="",Table1[Emotional and Mental Health],Table1[Emotional and Mental Health2]),""))</f>
        <v/>
      </c>
      <c r="GL510" s="44" t="str">
        <f>IF(Table1[Leaving Date]="","",IF(AND(Table1[Leaving Date]&gt;42460,Table1[Leaving Date]&lt;42826),IF(Table1[Date of Last Assessment]="",Table1[Meaningful Use of Time],Table1[Meaningful Use of Time2]),""))</f>
        <v/>
      </c>
      <c r="GM510" s="44" t="str">
        <f>IF(Table1[Leaving Date]="","",IF(AND(Table1[Leaving Date]&gt;42460,Table1[Leaving Date]&lt;42826),IF(Table1[Date of Last Assessment]="",Table1[Managing Tenancy and Accommodation],Table1[Managing Tenancy and Accommodation2]),""))</f>
        <v/>
      </c>
      <c r="GN510" s="44" t="str">
        <f>IF(Table1[Leaving Date]="","",IF(AND(Table1[Leaving Date]&gt;42460,Table1[Leaving Date]&lt;42826),IF(Table1[Date of Last Assessment]="",Table1[Offending],Table1[Offending2]),""))</f>
        <v/>
      </c>
    </row>
    <row r="511" spans="2:196" ht="20.100000000000001" customHeight="1" x14ac:dyDescent="0.2">
      <c r="B511" s="86">
        <f>+'Service Data'!$C$5:$C$5</f>
        <v>0</v>
      </c>
      <c r="C511" s="86"/>
      <c r="D511" s="86"/>
      <c r="E511" s="86"/>
      <c r="F511" s="86"/>
      <c r="G511" s="86"/>
      <c r="H511" s="6"/>
      <c r="I511" s="99" t="str">
        <f ca="1">IF(Table1[[#This Row],[Date of Birth]]="","",SUM(TODAY()-Table1[[#This Row],[Date of Birth]])/365)</f>
        <v/>
      </c>
      <c r="L511" s="86"/>
      <c r="M511" s="77"/>
      <c r="N511" s="86"/>
      <c r="O511" s="86"/>
      <c r="P511" s="91"/>
      <c r="Q511" s="86"/>
      <c r="R511" s="77"/>
      <c r="S511" s="77"/>
      <c r="T511" s="68"/>
      <c r="U511" s="68"/>
      <c r="V511" s="67"/>
      <c r="W511" s="67"/>
      <c r="X511" s="67"/>
      <c r="Y511" s="67"/>
      <c r="Z511" s="67"/>
      <c r="AA511" s="67"/>
      <c r="AB511" s="67"/>
      <c r="AC511" s="67"/>
      <c r="AD511" s="67"/>
      <c r="AE511" s="67"/>
      <c r="AF511" s="67"/>
      <c r="AG511" s="67"/>
      <c r="AH511" s="67"/>
      <c r="AI511" s="67"/>
      <c r="AJ511" s="67"/>
      <c r="AK511" s="67"/>
      <c r="AL511" s="67"/>
      <c r="AM511" s="67"/>
      <c r="AN511" s="77"/>
      <c r="AO511" s="76"/>
      <c r="AP511" s="77"/>
      <c r="AQ511" s="76"/>
      <c r="AR511" s="76"/>
      <c r="AS511" s="76"/>
      <c r="AT511" s="76"/>
      <c r="AU511" s="76"/>
      <c r="AV511" s="77"/>
      <c r="AW511" s="76"/>
      <c r="AX511" s="77"/>
      <c r="AY511" s="76"/>
      <c r="AZ511" s="76"/>
      <c r="BA511" s="76"/>
      <c r="BB511" s="76"/>
      <c r="BC511" s="76"/>
      <c r="BD511" s="77"/>
      <c r="BE511" s="76"/>
      <c r="BF511" s="77"/>
      <c r="BG511" s="76"/>
      <c r="BH511" s="76"/>
      <c r="BI511" s="76"/>
      <c r="BJ511" s="76"/>
      <c r="BK511" s="76"/>
      <c r="BL511" s="77"/>
      <c r="BM511" s="76"/>
      <c r="BN511" s="77"/>
      <c r="BO511" s="76"/>
      <c r="BP511" s="76"/>
      <c r="BQ511" s="76"/>
      <c r="BR511" s="76"/>
      <c r="BS511" s="76"/>
      <c r="BT511" s="77"/>
      <c r="BU511" s="76"/>
      <c r="BV511" s="77"/>
      <c r="BW511" s="76"/>
      <c r="BX511" s="76"/>
      <c r="BY511" s="76"/>
      <c r="BZ511" s="76"/>
      <c r="CA511" s="76"/>
      <c r="CB511" s="77"/>
      <c r="CC511" s="76"/>
      <c r="CD511" s="77"/>
      <c r="CE511" s="76"/>
      <c r="CF511" s="76"/>
      <c r="CG511" s="76"/>
      <c r="CH511" s="76"/>
      <c r="CI511" s="76"/>
      <c r="CJ511" s="77"/>
      <c r="CK511" s="76"/>
      <c r="CL511" s="77"/>
      <c r="CM511" s="76"/>
      <c r="CN511" s="76"/>
      <c r="CO511" s="76"/>
      <c r="CP511" s="76"/>
      <c r="CQ511" s="76"/>
      <c r="CR511" s="78" t="str">
        <f t="shared" si="127"/>
        <v/>
      </c>
      <c r="CS511" s="79" t="str">
        <f t="shared" si="128"/>
        <v/>
      </c>
      <c r="CT511" s="79" t="str">
        <f t="shared" si="129"/>
        <v/>
      </c>
      <c r="CU511" s="79" t="str">
        <f t="shared" si="130"/>
        <v/>
      </c>
      <c r="CV511" s="79" t="str">
        <f t="shared" si="131"/>
        <v/>
      </c>
      <c r="CW511" s="79" t="str">
        <f t="shared" si="132"/>
        <v/>
      </c>
      <c r="CX511" s="79" t="str">
        <f t="shared" si="133"/>
        <v/>
      </c>
      <c r="CY511" s="79" t="str">
        <f t="shared" si="134"/>
        <v/>
      </c>
      <c r="CZ511" s="79" t="str">
        <f t="shared" si="135"/>
        <v/>
      </c>
      <c r="DA511" s="79" t="str">
        <f t="shared" si="136"/>
        <v/>
      </c>
      <c r="DB511" s="79" t="str">
        <f t="shared" si="137"/>
        <v/>
      </c>
      <c r="DC511" s="79" t="str">
        <f t="shared" si="138"/>
        <v/>
      </c>
      <c r="DD511" s="79" t="str">
        <f t="shared" si="139"/>
        <v/>
      </c>
      <c r="DE511" s="79" t="str">
        <f t="shared" si="140"/>
        <v/>
      </c>
      <c r="DF511" s="79" t="str">
        <f t="shared" si="141"/>
        <v/>
      </c>
      <c r="DG511" s="79" t="str">
        <f t="shared" si="142"/>
        <v/>
      </c>
      <c r="DH511" s="76"/>
      <c r="DI511" s="78"/>
      <c r="DJ511" s="76"/>
      <c r="DK511" s="77"/>
      <c r="DL511" s="77"/>
      <c r="DM511" s="77"/>
      <c r="DN511" s="80"/>
      <c r="DO511" s="80"/>
      <c r="DP511" s="92" t="str">
        <f>IF(Table1[Start Date]="","",IF(Table1[Start Date]&gt;42185,"",IF(AND(Table1[Leaving Date]&gt;1,Table1[Leaving Date]&lt;42095),"",1)))</f>
        <v/>
      </c>
      <c r="DQ511" s="92" t="str">
        <f>IF(Table1[Start Date]="","",IF(Table1[Start Date]&gt;42277,"",IF(AND(Table1[Leaving Date]&gt;1,Table1[Leaving Date]&lt;42186),"",1)))</f>
        <v/>
      </c>
      <c r="DR511" s="92" t="str">
        <f>IF(Table1[Start Date]="","",IF(Table1[Start Date]&gt;42369,"",IF(AND(Table1[Leaving Date]&gt;1,Table1[Leaving Date]&lt;42278),"",1)))</f>
        <v/>
      </c>
      <c r="DS511" s="92" t="str">
        <f>IF(Table1[Start Date]="","",IF(Table1[Start Date]&gt;42460,"",IF(AND(Table1[Leaving Date]&gt;1,Table1[Leaving Date]&lt;42370),"",1)))</f>
        <v/>
      </c>
      <c r="DT511" s="92" t="str">
        <f>IF(Table1[Start Date]="","",IF(Table1[Start Date]&gt;42551,"",IF(AND(Table1[Leaving Date]&gt;1,Table1[Leaving Date]&lt;42461),"",1)))</f>
        <v/>
      </c>
      <c r="DU511" s="92" t="str">
        <f>IF(Table1[Start Date]="","",IF(Table1[Start Date]&gt;42643,"",IF(AND(Table1[Leaving Date]&gt;1,Table1[Leaving Date]&lt;42552),"",1)))</f>
        <v/>
      </c>
      <c r="DV511" s="92" t="str">
        <f>IF(Table1[Start Date]="","",IF(Table1[Start Date]&gt;42735,"",IF(AND(Table1[Leaving Date]&gt;1,Table1[Leaving Date]&lt;42644),"",1)))</f>
        <v/>
      </c>
      <c r="DW511" s="92" t="str">
        <f>IF(Table1[Start Date]="","",IF(Table1[Start Date]&gt;42825,"",IF(AND(Table1[Leaving Date]&gt;1,Table1[Leaving Date]&lt;42736),"",1)))</f>
        <v/>
      </c>
      <c r="DX511"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511" s="44" t="e">
        <f>VLOOKUP(Table1[Referral Source],Lists!$G$2:$H$20,2,FALSE)</f>
        <v>#N/A</v>
      </c>
      <c r="DZ511" s="93" t="e">
        <f>SUM(Table1[Data Referral Quarter]+Table1[Data Referral Source])</f>
        <v>#N/A</v>
      </c>
      <c r="EA511" s="44" t="b">
        <f>IF(Table1[Referral Decision]="Accepted",100,IF(Table1[Referral Decision]="Rejected by Provider",200,IF(Table1[Referral Decision]="Rejected by Applicant",300)))</f>
        <v>0</v>
      </c>
      <c r="EB511" s="44">
        <f>SUM(Table1[Data Referral Quarter]+Table1[Data Referral Decision])</f>
        <v>0</v>
      </c>
      <c r="EC511" s="44" t="b">
        <f>IF(Table1[Start Date]&gt;42735,8000,IF(Table1[Start Date]&gt;42643,7000,IF(Table1[Start Date]&gt;42551,6000,IF(Table1[Start Date]&gt;42460,5000,IF(Table1[Start Date]&gt;42369,4000,IF(Table1[Start Date]&gt;42277,3000,IF(Table1[Start Date]&gt;42185,2000,IF(Table1[Start Date]&gt;42094,1000))))))))</f>
        <v>0</v>
      </c>
      <c r="ED511" s="44" t="str">
        <f>IF(Table1[Start Date]="","",IF(Table1[Current Local Authority]="Swindon",1,"2"))</f>
        <v/>
      </c>
      <c r="EE511" s="44" t="e">
        <f>SUM(Table1[Data Start Date]+Table1[Data Local Authority])</f>
        <v>#VALUE!</v>
      </c>
      <c r="EF511" s="44">
        <f>IF(Table1[Registered with GP]="Yes",1,0)</f>
        <v>0</v>
      </c>
      <c r="EG511" s="44">
        <f>SUM(Table1[Data Start Date]+Table1[Data GP Start])</f>
        <v>0</v>
      </c>
      <c r="EH511" s="44" t="str">
        <f>IF(Table1[EET]="NEET",1,IF(Table1[EET]="Education",2,IF(Table1[EET]="Employment",2,IF(Table1[EET]="Training",2,IF(Table1[EET]="Retired",3,"")))))</f>
        <v/>
      </c>
      <c r="EI511" s="44" t="e">
        <f>Table1[Data Start Date]+Table1[Data EET Start]</f>
        <v>#VALUE!</v>
      </c>
      <c r="EJ511" s="44" t="b">
        <f>IF(Table1[Leaving Date]&gt;42735,8000,IF(Table1[Leaving Date]&gt;42643,7000,IF(Table1[Leaving Date]&gt;42551,6000,IF(Table1[Leaving Date]&gt;42460,5000,IF(Table1[Leaving Date]&gt;42369,4000,IF(Table1[Leaving Date]&gt;42277,3000,IF(Table1[Leaving Date]&gt;42185,2000,IF(Table1[Leaving Date]&gt;42094,1000))))))))</f>
        <v>0</v>
      </c>
      <c r="EK511" s="44" t="e">
        <f>VLOOKUP(Table1[Reason for Leaving],Lists!$T$2:$U$15,2,FALSE)</f>
        <v>#N/A</v>
      </c>
      <c r="EL511" s="44" t="e">
        <f>SUM(Table1[Data Leavers Date]+Table1[Data Move On])</f>
        <v>#N/A</v>
      </c>
      <c r="EM511" s="44" t="b">
        <f>IF(Table1[Registered with GP2]="Yes",1,IF(Table1[Registered with GP2]="No",0,IF(Table1[Registered with GP]="Yes",1,IF(Table1[Registered with GP]="No",0))))</f>
        <v>0</v>
      </c>
      <c r="EN511" s="44">
        <f>SUM(Table1[Data Leavers Date]+Table1[Data GP End])</f>
        <v>0</v>
      </c>
      <c r="EO511" s="44" t="str">
        <f>IF(Table1[EET2]="NEET",1,IF(Table1[EET2]="Employment",2,IF(Table1[EET2]="Education",2,IF(Table1[EET2]="Training",2,IF(Table1[EET2]="Retired",3,IF(Table1[EET]="NEET",1,IF(Table1[EET]="Employment",2,IF(Table1[EET]="Education",2,IF(Table1[EET]="Training",2,IF(Table1[EET]="Retired",3,""))))))))))</f>
        <v/>
      </c>
      <c r="EP511" s="44" t="e">
        <f>+Table1[[#This Row],[Data Leavers Date]]+Table1[[#This Row],[Data EET End]]</f>
        <v>#VALUE!</v>
      </c>
      <c r="EQ511" s="44">
        <f>IF(Table1[Exit Form Received]="Yes",1,0)</f>
        <v>0</v>
      </c>
      <c r="ER511" s="44">
        <f>+Table1[[#This Row],[Data Leavers Date]]+Table1[[#This Row],[Data Exit Forms]]</f>
        <v>0</v>
      </c>
      <c r="ES511" s="44" t="str">
        <f>IF(Table1[Data Leavers Date]=1000,SUM(Table1[Leaving Date]-Table1[Start Date]),"")</f>
        <v/>
      </c>
      <c r="ET511" s="44" t="str">
        <f>IF(Table1[Data Leavers Date]=2000,SUM(Table1[Leaving Date]-Table1[Start Date]),"")</f>
        <v/>
      </c>
      <c r="EU511" s="44" t="str">
        <f>IF(Table1[Data Leavers Date]=3000,SUM(Table1[Leaving Date]-Table1[Start Date]),"")</f>
        <v/>
      </c>
      <c r="EV511" s="44" t="str">
        <f>IF(Table1[Data Leavers Date]=4000,SUM(Table1[Leaving Date]-Table1[Start Date]),"")</f>
        <v/>
      </c>
      <c r="EW511" s="44" t="str">
        <f>IF(Table1[Data Leavers Date]=5000,SUM(Table1[Leaving Date]-Table1[Start Date]),"")</f>
        <v/>
      </c>
      <c r="EX511" s="44" t="str">
        <f>IF(Table1[Data Leavers Date]=6000,SUM(Table1[Leaving Date]-Table1[Start Date]),"")</f>
        <v/>
      </c>
      <c r="EY511" s="44" t="str">
        <f>IF(Table1[Data Leavers Date]=7000,SUM(Table1[Leaving Date]-Table1[Start Date]),"")</f>
        <v/>
      </c>
      <c r="EZ511" s="44" t="str">
        <f>IF(Table1[Data Leavers Date]=8000,SUM(Table1[Leaving Date]-Table1[Start Date]),"")</f>
        <v/>
      </c>
      <c r="FA511" s="44" t="str">
        <f>IF(Table1[Date of Initial Assessment]="","",IF(AND(Table1[Start Date]&gt;42094,Table1[Start Date]&lt;42461),Table1[Motivation and Taking Responsibility],""))</f>
        <v/>
      </c>
      <c r="FB511" s="44" t="str">
        <f>IF(Table1[Date of Initial Assessment]="","",IF(AND(Table1[Start Date]&gt;42094,Table1[Start Date]&lt;42461),Table1[Self-Care and Living Skills],""))</f>
        <v/>
      </c>
      <c r="FC511" s="44" t="str">
        <f>IF(Table1[Date of Initial Assessment]="","",IF(AND(Table1[Start Date]&gt;42094,Table1[Start Date]&lt;42461),Table1[Managing Money and Personal Administration],""))</f>
        <v/>
      </c>
      <c r="FD511" s="44" t="str">
        <f>IF(Table1[Date of Initial Assessment]="","",IF(AND(Table1[Start Date]&gt;42094,Table1[Start Date]&lt;42461),Table1[Social Networks and Relationships],""))</f>
        <v/>
      </c>
      <c r="FE511" s="44" t="str">
        <f>IF(Table1[Date of Initial Assessment]="","",IF(AND(Table1[Start Date]&gt;42094,Table1[Start Date]&lt;42461),Table1[Drug and Alcohol Misuse],""))</f>
        <v/>
      </c>
      <c r="FF511" s="44" t="str">
        <f>IF(Table1[Date of Initial Assessment]="","",IF(AND(Table1[Start Date]&gt;42094,Table1[Start Date]&lt;42461),Table1[Physical Health],""))</f>
        <v/>
      </c>
      <c r="FG511" s="44" t="str">
        <f>IF(Table1[Date of Initial Assessment]="","",IF(AND(Table1[Start Date]&gt;42094,Table1[Start Date]&lt;42461),Table1[Emotional and Mental Health],""))</f>
        <v/>
      </c>
      <c r="FH511" s="44" t="str">
        <f>IF(Table1[Date of Initial Assessment]="","",IF(AND(Table1[Start Date]&gt;42094,Table1[Start Date]&lt;42461),Table1[Meaningful Use of Time],""))</f>
        <v/>
      </c>
      <c r="FI511" s="44" t="str">
        <f>IF(Table1[Date of Initial Assessment]="","",IF(AND(Table1[Start Date]&gt;42094,Table1[Start Date]&lt;42461),Table1[Managing Tenancy and Accommodation],""))</f>
        <v/>
      </c>
      <c r="FJ511" s="44" t="str">
        <f>IF(Table1[Date of Initial Assessment]="","",IF(AND(Table1[Start Date]&gt;42094,Table1[Start Date]&lt;42461),Table1[Offending],""))</f>
        <v/>
      </c>
      <c r="FK511" s="44" t="str">
        <f>IF(Table1[Leaving Date]="","",IF(Table1[Date of Initial Assessment]="","",IF(AND(Table1[Leaving Date]&gt;42094,Table1[Leaving Date]&lt;42461),IF(Table1[Date of Last Assessment]="",Table1[Motivation and Taking Responsibility],Table1[Motivation and Taking Responsibility2]),"")))</f>
        <v/>
      </c>
      <c r="FL511" s="44" t="str">
        <f>IF(Table1[Leaving Date]="","",IF(Table1[Date of Initial Assessment]="","",IF(AND(Table1[Leaving Date]&gt;42094,Table1[Leaving Date]&lt;42461),IF(Table1[Date of Last Assessment]="",Table1[Self-Care and Living Skills],Table1[Self-Care and Living Skills2]),"")))</f>
        <v/>
      </c>
      <c r="FM511" s="44" t="str">
        <f>IF(Table1[Leaving Date]="","",IF(Table1[Date of Initial Assessment]="","",IF(AND(Table1[Leaving Date]&gt;42094,Table1[Leaving Date]&lt;42461),IF(Table1[Date of Last Assessment]="",Table1[Managing Money and Personal Administration],Table1[Managing Money and Personal Administration2]),"")))</f>
        <v/>
      </c>
      <c r="FN511" s="44" t="str">
        <f>IF(Table1[Leaving Date]="","",IF(Table1[Date of Initial Assessment]="","",IF(AND(Table1[Leaving Date]&gt;42094,Table1[Leaving Date]&lt;42461),IF(Table1[Date of Last Assessment]="",Table1[Social Networks and Relationships],Table1[Social Networks and Relationships2]),"")))</f>
        <v/>
      </c>
      <c r="FO511" s="44" t="str">
        <f>IF(Table1[Leaving Date]="","",IF(Table1[Date of Initial Assessment]="","",IF(AND(Table1[Leaving Date]&gt;42094,Table1[Leaving Date]&lt;42461),IF(Table1[Date of Last Assessment]="",Table1[Drug and Alcohol Misuse],Table1[Drug and Alcohol Misuse2]),"")))</f>
        <v/>
      </c>
      <c r="FP511" s="44" t="str">
        <f>IF(Table1[Leaving Date]="","",IF(Table1[Date of Initial Assessment]="","",IF(AND(Table1[Leaving Date]&gt;42094,Table1[Leaving Date]&lt;42461),IF(Table1[Date of Last Assessment]="",Table1[Physical Health],Table1[Physical Health2]),"")))</f>
        <v/>
      </c>
      <c r="FQ511" s="44" t="str">
        <f>IF(Table1[Leaving Date]="","",IF(Table1[Date of Initial Assessment]="","",IF(AND(Table1[Leaving Date]&gt;42094,Table1[Leaving Date]&lt;42461),IF(Table1[Date of Last Assessment]="",Table1[Emotional and Mental Health],Table1[Emotional and Mental Health2]),"")))</f>
        <v/>
      </c>
      <c r="FR511" s="44" t="str">
        <f>IF(Table1[Leaving Date]="","",IF(Table1[Date of Initial Assessment]="","",IF(AND(Table1[Leaving Date]&gt;42094,Table1[Leaving Date]&lt;42461),IF(Table1[Date of Last Assessment]="",Table1[Meaningful Use of Time],Table1[Meaningful Use of Time2]),"")))</f>
        <v/>
      </c>
      <c r="FS511" s="44" t="str">
        <f>IF(Table1[Leaving Date]="","",IF(Table1[Date of Initial Assessment]="","",IF(AND(Table1[Leaving Date]&gt;42094,Table1[Leaving Date]&lt;42461),IF(Table1[Date of Last Assessment]="",Table1[Managing Tenancy and Accommodation],Table1[Managing Tenancy and Accommodation2]),"")))</f>
        <v/>
      </c>
      <c r="FT511" s="44" t="str">
        <f>IF(Table1[Leaving Date]="","",IF(Table1[Date of Initial Assessment]="","",IF(AND(Table1[Leaving Date]&gt;42094,Table1[Leaving Date]&lt;42461),IF(Table1[Date of Last Assessment]="",Table1[Offending],Table1[Offending2]),"")))</f>
        <v/>
      </c>
      <c r="FU511" s="44" t="str">
        <f>IF(Table1[Date of Initial Assessment]="","",IF(AND(Table1[Start Date]&gt;42460,Table1[Start Date]&lt;42826),Table1[Motivation and Taking Responsibility],""))</f>
        <v/>
      </c>
      <c r="FV511" s="44" t="str">
        <f>IF(Table1[Date of Initial Assessment]="","",IF(AND(Table1[Start Date]&gt;42460,Table1[Start Date]&lt;42826),Table1[Self-Care and Living Skills],""))</f>
        <v/>
      </c>
      <c r="FW511" s="44" t="str">
        <f>IF(Table1[Date of Initial Assessment]="","",IF(AND(Table1[Start Date]&gt;42460,Table1[Start Date]&lt;42826),Table1[Managing Money and Personal Administration],""))</f>
        <v/>
      </c>
      <c r="FX511" s="44" t="str">
        <f>IF(Table1[Date of Initial Assessment]="","",IF(AND(Table1[Start Date]&gt;42460,Table1[Start Date]&lt;42826),Table1[Social Networks and Relationships],""))</f>
        <v/>
      </c>
      <c r="FY511" s="44" t="str">
        <f>IF(Table1[Date of Initial Assessment]="","",IF(AND(Table1[Start Date]&gt;42460,Table1[Start Date]&lt;42826),Table1[Drug and Alcohol Misuse],""))</f>
        <v/>
      </c>
      <c r="FZ511" s="44" t="str">
        <f>IF(Table1[Date of Initial Assessment]="","",IF(AND(Table1[Start Date]&gt;42460,Table1[Start Date]&lt;42826),Table1[Physical Health],""))</f>
        <v/>
      </c>
      <c r="GA511" s="44" t="str">
        <f>IF(Table1[Date of Initial Assessment]="","",IF(AND(Table1[Start Date]&gt;42460,Table1[Start Date]&lt;42826),Table1[Emotional and Mental Health],""))</f>
        <v/>
      </c>
      <c r="GB511" s="44" t="str">
        <f>IF(Table1[Date of Initial Assessment]="","",IF(AND(Table1[Start Date]&gt;42460,Table1[Start Date]&lt;42826),Table1[Meaningful Use of Time],""))</f>
        <v/>
      </c>
      <c r="GC511" s="44" t="str">
        <f>IF(Table1[Date of Initial Assessment]="","",IF(AND(Table1[Start Date]&gt;42460,Table1[Start Date]&lt;42826),Table1[Managing Tenancy and Accommodation],""))</f>
        <v/>
      </c>
      <c r="GD511" s="44" t="str">
        <f>IF(Table1[Date of Initial Assessment]="","",IF(AND(Table1[Start Date]&gt;42460,Table1[Start Date]&lt;42826),Table1[Offending],""))</f>
        <v/>
      </c>
      <c r="GE511" s="44" t="str">
        <f>IF(Table1[Leaving Date]="","",IF(AND(Table1[Leaving Date]&gt;42460,Table1[Leaving Date]&lt;42826),IF(Table1[Date of Last Assessment]="",Table1[Motivation and Taking Responsibility],Table1[Motivation and Taking Responsibility2]),""))</f>
        <v/>
      </c>
      <c r="GF511" s="44" t="str">
        <f>IF(Table1[Leaving Date]="","",IF(AND(Table1[Leaving Date]&gt;42460,Table1[Leaving Date]&lt;42826),IF(Table1[Date of Last Assessment]="",Table1[Self-Care and Living Skills],Table1[Self-Care and Living Skills2]),""))</f>
        <v/>
      </c>
      <c r="GG511" s="44" t="str">
        <f>IF(Table1[Leaving Date]="","",IF(AND(Table1[Leaving Date]&gt;42460,Table1[Leaving Date]&lt;42826),IF(Table1[Date of Last Assessment]="",Table1[Managing Money and Personal Administration],Table1[Managing Money and Personal Administration2]),""))</f>
        <v/>
      </c>
      <c r="GH511" s="44" t="str">
        <f>IF(Table1[Leaving Date]="","",IF(AND(Table1[Leaving Date]&gt;42460,Table1[Leaving Date]&lt;42826),IF(Table1[Date of Last Assessment]="",Table1[Social Networks and Relationships],Table1[Social Networks and Relationships2]),""))</f>
        <v/>
      </c>
      <c r="GI511" s="44" t="str">
        <f>IF(Table1[Leaving Date]="","",IF(AND(Table1[Leaving Date]&gt;42460,Table1[Leaving Date]&lt;42826),IF(Table1[Date of Last Assessment]="",Table1[Drug and Alcohol Misuse],Table1[Drug and Alcohol Misuse2]),""))</f>
        <v/>
      </c>
      <c r="GJ511" s="44" t="str">
        <f>IF(Table1[Leaving Date]="","",IF(AND(Table1[Leaving Date]&gt;42460,Table1[Leaving Date]&lt;42826),IF(Table1[Date of Last Assessment]="",Table1[Physical Health],Table1[Physical Health2]),""))</f>
        <v/>
      </c>
      <c r="GK511" s="44" t="str">
        <f>IF(Table1[Leaving Date]="","",IF(AND(Table1[Leaving Date]&gt;42460,Table1[Leaving Date]&lt;42826),IF(Table1[Date of Last Assessment]="",Table1[Emotional and Mental Health],Table1[Emotional and Mental Health2]),""))</f>
        <v/>
      </c>
      <c r="GL511" s="44" t="str">
        <f>IF(Table1[Leaving Date]="","",IF(AND(Table1[Leaving Date]&gt;42460,Table1[Leaving Date]&lt;42826),IF(Table1[Date of Last Assessment]="",Table1[Meaningful Use of Time],Table1[Meaningful Use of Time2]),""))</f>
        <v/>
      </c>
      <c r="GM511" s="44" t="str">
        <f>IF(Table1[Leaving Date]="","",IF(AND(Table1[Leaving Date]&gt;42460,Table1[Leaving Date]&lt;42826),IF(Table1[Date of Last Assessment]="",Table1[Managing Tenancy and Accommodation],Table1[Managing Tenancy and Accommodation2]),""))</f>
        <v/>
      </c>
      <c r="GN511" s="44" t="str">
        <f>IF(Table1[Leaving Date]="","",IF(AND(Table1[Leaving Date]&gt;42460,Table1[Leaving Date]&lt;42826),IF(Table1[Date of Last Assessment]="",Table1[Offending],Table1[Offending2]),""))</f>
        <v/>
      </c>
    </row>
    <row r="512" spans="2:196" ht="20.100000000000001" customHeight="1" x14ac:dyDescent="0.2">
      <c r="B512" s="86">
        <f>+'Service Data'!$C$5:$C$5</f>
        <v>0</v>
      </c>
      <c r="C512" s="86"/>
      <c r="D512" s="86"/>
      <c r="E512" s="86"/>
      <c r="F512" s="86"/>
      <c r="G512" s="86"/>
      <c r="H512" s="6"/>
      <c r="I512" s="99" t="str">
        <f ca="1">IF(Table1[[#This Row],[Date of Birth]]="","",SUM(TODAY()-Table1[[#This Row],[Date of Birth]])/365)</f>
        <v/>
      </c>
      <c r="L512" s="86"/>
      <c r="M512" s="77"/>
      <c r="N512" s="86"/>
      <c r="O512" s="86"/>
      <c r="P512" s="91"/>
      <c r="Q512" s="86"/>
      <c r="R512" s="77"/>
      <c r="S512" s="77"/>
      <c r="T512" s="68"/>
      <c r="U512" s="68"/>
      <c r="V512" s="67"/>
      <c r="W512" s="67"/>
      <c r="X512" s="67"/>
      <c r="Y512" s="67"/>
      <c r="Z512" s="67"/>
      <c r="AA512" s="67"/>
      <c r="AB512" s="67"/>
      <c r="AC512" s="67"/>
      <c r="AD512" s="67"/>
      <c r="AE512" s="67"/>
      <c r="AF512" s="67"/>
      <c r="AG512" s="67"/>
      <c r="AH512" s="67"/>
      <c r="AI512" s="67"/>
      <c r="AJ512" s="67"/>
      <c r="AK512" s="67"/>
      <c r="AL512" s="67"/>
      <c r="AM512" s="67"/>
      <c r="AN512" s="77"/>
      <c r="AO512" s="76"/>
      <c r="AP512" s="77"/>
      <c r="AQ512" s="76"/>
      <c r="AR512" s="76"/>
      <c r="AS512" s="76"/>
      <c r="AT512" s="76"/>
      <c r="AU512" s="76"/>
      <c r="AV512" s="77"/>
      <c r="AW512" s="76"/>
      <c r="AX512" s="77"/>
      <c r="AY512" s="76"/>
      <c r="AZ512" s="76"/>
      <c r="BA512" s="76"/>
      <c r="BB512" s="76"/>
      <c r="BC512" s="76"/>
      <c r="BD512" s="77"/>
      <c r="BE512" s="76"/>
      <c r="BF512" s="77"/>
      <c r="BG512" s="76"/>
      <c r="BH512" s="76"/>
      <c r="BI512" s="76"/>
      <c r="BJ512" s="76"/>
      <c r="BK512" s="76"/>
      <c r="BL512" s="77"/>
      <c r="BM512" s="76"/>
      <c r="BN512" s="77"/>
      <c r="BO512" s="76"/>
      <c r="BP512" s="76"/>
      <c r="BQ512" s="76"/>
      <c r="BR512" s="76"/>
      <c r="BS512" s="76"/>
      <c r="BT512" s="77"/>
      <c r="BU512" s="76"/>
      <c r="BV512" s="77"/>
      <c r="BW512" s="76"/>
      <c r="BX512" s="76"/>
      <c r="BY512" s="76"/>
      <c r="BZ512" s="76"/>
      <c r="CA512" s="76"/>
      <c r="CB512" s="77"/>
      <c r="CC512" s="76"/>
      <c r="CD512" s="77"/>
      <c r="CE512" s="76"/>
      <c r="CF512" s="76"/>
      <c r="CG512" s="76"/>
      <c r="CH512" s="76"/>
      <c r="CI512" s="76"/>
      <c r="CJ512" s="77"/>
      <c r="CK512" s="76"/>
      <c r="CL512" s="77"/>
      <c r="CM512" s="76"/>
      <c r="CN512" s="76"/>
      <c r="CO512" s="76"/>
      <c r="CP512" s="76"/>
      <c r="CQ512" s="76"/>
      <c r="CR512" s="78" t="str">
        <f t="shared" si="127"/>
        <v/>
      </c>
      <c r="CS512" s="79" t="str">
        <f t="shared" si="128"/>
        <v/>
      </c>
      <c r="CT512" s="79" t="str">
        <f t="shared" si="129"/>
        <v/>
      </c>
      <c r="CU512" s="79" t="str">
        <f t="shared" si="130"/>
        <v/>
      </c>
      <c r="CV512" s="79" t="str">
        <f t="shared" si="131"/>
        <v/>
      </c>
      <c r="CW512" s="79" t="str">
        <f t="shared" si="132"/>
        <v/>
      </c>
      <c r="CX512" s="79" t="str">
        <f t="shared" si="133"/>
        <v/>
      </c>
      <c r="CY512" s="79" t="str">
        <f t="shared" si="134"/>
        <v/>
      </c>
      <c r="CZ512" s="79" t="str">
        <f t="shared" si="135"/>
        <v/>
      </c>
      <c r="DA512" s="79" t="str">
        <f t="shared" si="136"/>
        <v/>
      </c>
      <c r="DB512" s="79" t="str">
        <f t="shared" si="137"/>
        <v/>
      </c>
      <c r="DC512" s="79" t="str">
        <f t="shared" si="138"/>
        <v/>
      </c>
      <c r="DD512" s="79" t="str">
        <f t="shared" si="139"/>
        <v/>
      </c>
      <c r="DE512" s="79" t="str">
        <f t="shared" si="140"/>
        <v/>
      </c>
      <c r="DF512" s="79" t="str">
        <f t="shared" si="141"/>
        <v/>
      </c>
      <c r="DG512" s="79" t="str">
        <f t="shared" si="142"/>
        <v/>
      </c>
      <c r="DH512" s="76"/>
      <c r="DI512" s="78"/>
      <c r="DJ512" s="76"/>
      <c r="DK512" s="77"/>
      <c r="DL512" s="77"/>
      <c r="DM512" s="77"/>
      <c r="DN512" s="80"/>
      <c r="DO512" s="80"/>
      <c r="DP512" s="92" t="str">
        <f>IF(Table1[Start Date]="","",IF(Table1[Start Date]&gt;42185,"",IF(AND(Table1[Leaving Date]&gt;1,Table1[Leaving Date]&lt;42095),"",1)))</f>
        <v/>
      </c>
      <c r="DQ512" s="92" t="str">
        <f>IF(Table1[Start Date]="","",IF(Table1[Start Date]&gt;42277,"",IF(AND(Table1[Leaving Date]&gt;1,Table1[Leaving Date]&lt;42186),"",1)))</f>
        <v/>
      </c>
      <c r="DR512" s="92" t="str">
        <f>IF(Table1[Start Date]="","",IF(Table1[Start Date]&gt;42369,"",IF(AND(Table1[Leaving Date]&gt;1,Table1[Leaving Date]&lt;42278),"",1)))</f>
        <v/>
      </c>
      <c r="DS512" s="92" t="str">
        <f>IF(Table1[Start Date]="","",IF(Table1[Start Date]&gt;42460,"",IF(AND(Table1[Leaving Date]&gt;1,Table1[Leaving Date]&lt;42370),"",1)))</f>
        <v/>
      </c>
      <c r="DT512" s="92" t="str">
        <f>IF(Table1[Start Date]="","",IF(Table1[Start Date]&gt;42551,"",IF(AND(Table1[Leaving Date]&gt;1,Table1[Leaving Date]&lt;42461),"",1)))</f>
        <v/>
      </c>
      <c r="DU512" s="92" t="str">
        <f>IF(Table1[Start Date]="","",IF(Table1[Start Date]&gt;42643,"",IF(AND(Table1[Leaving Date]&gt;1,Table1[Leaving Date]&lt;42552),"",1)))</f>
        <v/>
      </c>
      <c r="DV512" s="92" t="str">
        <f>IF(Table1[Start Date]="","",IF(Table1[Start Date]&gt;42735,"",IF(AND(Table1[Leaving Date]&gt;1,Table1[Leaving Date]&lt;42644),"",1)))</f>
        <v/>
      </c>
      <c r="DW512" s="92" t="str">
        <f>IF(Table1[Start Date]="","",IF(Table1[Start Date]&gt;42825,"",IF(AND(Table1[Leaving Date]&gt;1,Table1[Leaving Date]&lt;42736),"",1)))</f>
        <v/>
      </c>
      <c r="DX512"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512" s="44" t="e">
        <f>VLOOKUP(Table1[Referral Source],Lists!$G$2:$H$20,2,FALSE)</f>
        <v>#N/A</v>
      </c>
      <c r="DZ512" s="93" t="e">
        <f>SUM(Table1[Data Referral Quarter]+Table1[Data Referral Source])</f>
        <v>#N/A</v>
      </c>
      <c r="EA512" s="44" t="b">
        <f>IF(Table1[Referral Decision]="Accepted",100,IF(Table1[Referral Decision]="Rejected by Provider",200,IF(Table1[Referral Decision]="Rejected by Applicant",300)))</f>
        <v>0</v>
      </c>
      <c r="EB512" s="44">
        <f>SUM(Table1[Data Referral Quarter]+Table1[Data Referral Decision])</f>
        <v>0</v>
      </c>
      <c r="EC512" s="44" t="b">
        <f>IF(Table1[Start Date]&gt;42735,8000,IF(Table1[Start Date]&gt;42643,7000,IF(Table1[Start Date]&gt;42551,6000,IF(Table1[Start Date]&gt;42460,5000,IF(Table1[Start Date]&gt;42369,4000,IF(Table1[Start Date]&gt;42277,3000,IF(Table1[Start Date]&gt;42185,2000,IF(Table1[Start Date]&gt;42094,1000))))))))</f>
        <v>0</v>
      </c>
      <c r="ED512" s="44" t="str">
        <f>IF(Table1[Start Date]="","",IF(Table1[Current Local Authority]="Swindon",1,"2"))</f>
        <v/>
      </c>
      <c r="EE512" s="44" t="e">
        <f>SUM(Table1[Data Start Date]+Table1[Data Local Authority])</f>
        <v>#VALUE!</v>
      </c>
      <c r="EF512" s="44">
        <f>IF(Table1[Registered with GP]="Yes",1,0)</f>
        <v>0</v>
      </c>
      <c r="EG512" s="44">
        <f>SUM(Table1[Data Start Date]+Table1[Data GP Start])</f>
        <v>0</v>
      </c>
      <c r="EH512" s="44" t="str">
        <f>IF(Table1[EET]="NEET",1,IF(Table1[EET]="Education",2,IF(Table1[EET]="Employment",2,IF(Table1[EET]="Training",2,IF(Table1[EET]="Retired",3,"")))))</f>
        <v/>
      </c>
      <c r="EI512" s="44" t="e">
        <f>Table1[Data Start Date]+Table1[Data EET Start]</f>
        <v>#VALUE!</v>
      </c>
      <c r="EJ512" s="44" t="b">
        <f>IF(Table1[Leaving Date]&gt;42735,8000,IF(Table1[Leaving Date]&gt;42643,7000,IF(Table1[Leaving Date]&gt;42551,6000,IF(Table1[Leaving Date]&gt;42460,5000,IF(Table1[Leaving Date]&gt;42369,4000,IF(Table1[Leaving Date]&gt;42277,3000,IF(Table1[Leaving Date]&gt;42185,2000,IF(Table1[Leaving Date]&gt;42094,1000))))))))</f>
        <v>0</v>
      </c>
      <c r="EK512" s="44" t="e">
        <f>VLOOKUP(Table1[Reason for Leaving],Lists!$T$2:$U$15,2,FALSE)</f>
        <v>#N/A</v>
      </c>
      <c r="EL512" s="44" t="e">
        <f>SUM(Table1[Data Leavers Date]+Table1[Data Move On])</f>
        <v>#N/A</v>
      </c>
      <c r="EM512" s="44" t="b">
        <f>IF(Table1[Registered with GP2]="Yes",1,IF(Table1[Registered with GP2]="No",0,IF(Table1[Registered with GP]="Yes",1,IF(Table1[Registered with GP]="No",0))))</f>
        <v>0</v>
      </c>
      <c r="EN512" s="44">
        <f>SUM(Table1[Data Leavers Date]+Table1[Data GP End])</f>
        <v>0</v>
      </c>
      <c r="EO512" s="44" t="str">
        <f>IF(Table1[EET2]="NEET",1,IF(Table1[EET2]="Employment",2,IF(Table1[EET2]="Education",2,IF(Table1[EET2]="Training",2,IF(Table1[EET2]="Retired",3,IF(Table1[EET]="NEET",1,IF(Table1[EET]="Employment",2,IF(Table1[EET]="Education",2,IF(Table1[EET]="Training",2,IF(Table1[EET]="Retired",3,""))))))))))</f>
        <v/>
      </c>
      <c r="EP512" s="44" t="e">
        <f>+Table1[[#This Row],[Data Leavers Date]]+Table1[[#This Row],[Data EET End]]</f>
        <v>#VALUE!</v>
      </c>
      <c r="EQ512" s="44">
        <f>IF(Table1[Exit Form Received]="Yes",1,0)</f>
        <v>0</v>
      </c>
      <c r="ER512" s="44">
        <f>+Table1[[#This Row],[Data Leavers Date]]+Table1[[#This Row],[Data Exit Forms]]</f>
        <v>0</v>
      </c>
      <c r="ES512" s="44" t="str">
        <f>IF(Table1[Data Leavers Date]=1000,SUM(Table1[Leaving Date]-Table1[Start Date]),"")</f>
        <v/>
      </c>
      <c r="ET512" s="44" t="str">
        <f>IF(Table1[Data Leavers Date]=2000,SUM(Table1[Leaving Date]-Table1[Start Date]),"")</f>
        <v/>
      </c>
      <c r="EU512" s="44" t="str">
        <f>IF(Table1[Data Leavers Date]=3000,SUM(Table1[Leaving Date]-Table1[Start Date]),"")</f>
        <v/>
      </c>
      <c r="EV512" s="44" t="str">
        <f>IF(Table1[Data Leavers Date]=4000,SUM(Table1[Leaving Date]-Table1[Start Date]),"")</f>
        <v/>
      </c>
      <c r="EW512" s="44" t="str">
        <f>IF(Table1[Data Leavers Date]=5000,SUM(Table1[Leaving Date]-Table1[Start Date]),"")</f>
        <v/>
      </c>
      <c r="EX512" s="44" t="str">
        <f>IF(Table1[Data Leavers Date]=6000,SUM(Table1[Leaving Date]-Table1[Start Date]),"")</f>
        <v/>
      </c>
      <c r="EY512" s="44" t="str">
        <f>IF(Table1[Data Leavers Date]=7000,SUM(Table1[Leaving Date]-Table1[Start Date]),"")</f>
        <v/>
      </c>
      <c r="EZ512" s="44" t="str">
        <f>IF(Table1[Data Leavers Date]=8000,SUM(Table1[Leaving Date]-Table1[Start Date]),"")</f>
        <v/>
      </c>
      <c r="FA512" s="44" t="str">
        <f>IF(Table1[Date of Initial Assessment]="","",IF(AND(Table1[Start Date]&gt;42094,Table1[Start Date]&lt;42461),Table1[Motivation and Taking Responsibility],""))</f>
        <v/>
      </c>
      <c r="FB512" s="44" t="str">
        <f>IF(Table1[Date of Initial Assessment]="","",IF(AND(Table1[Start Date]&gt;42094,Table1[Start Date]&lt;42461),Table1[Self-Care and Living Skills],""))</f>
        <v/>
      </c>
      <c r="FC512" s="44" t="str">
        <f>IF(Table1[Date of Initial Assessment]="","",IF(AND(Table1[Start Date]&gt;42094,Table1[Start Date]&lt;42461),Table1[Managing Money and Personal Administration],""))</f>
        <v/>
      </c>
      <c r="FD512" s="44" t="str">
        <f>IF(Table1[Date of Initial Assessment]="","",IF(AND(Table1[Start Date]&gt;42094,Table1[Start Date]&lt;42461),Table1[Social Networks and Relationships],""))</f>
        <v/>
      </c>
      <c r="FE512" s="44" t="str">
        <f>IF(Table1[Date of Initial Assessment]="","",IF(AND(Table1[Start Date]&gt;42094,Table1[Start Date]&lt;42461),Table1[Drug and Alcohol Misuse],""))</f>
        <v/>
      </c>
      <c r="FF512" s="44" t="str">
        <f>IF(Table1[Date of Initial Assessment]="","",IF(AND(Table1[Start Date]&gt;42094,Table1[Start Date]&lt;42461),Table1[Physical Health],""))</f>
        <v/>
      </c>
      <c r="FG512" s="44" t="str">
        <f>IF(Table1[Date of Initial Assessment]="","",IF(AND(Table1[Start Date]&gt;42094,Table1[Start Date]&lt;42461),Table1[Emotional and Mental Health],""))</f>
        <v/>
      </c>
      <c r="FH512" s="44" t="str">
        <f>IF(Table1[Date of Initial Assessment]="","",IF(AND(Table1[Start Date]&gt;42094,Table1[Start Date]&lt;42461),Table1[Meaningful Use of Time],""))</f>
        <v/>
      </c>
      <c r="FI512" s="44" t="str">
        <f>IF(Table1[Date of Initial Assessment]="","",IF(AND(Table1[Start Date]&gt;42094,Table1[Start Date]&lt;42461),Table1[Managing Tenancy and Accommodation],""))</f>
        <v/>
      </c>
      <c r="FJ512" s="44" t="str">
        <f>IF(Table1[Date of Initial Assessment]="","",IF(AND(Table1[Start Date]&gt;42094,Table1[Start Date]&lt;42461),Table1[Offending],""))</f>
        <v/>
      </c>
      <c r="FK512" s="44" t="str">
        <f>IF(Table1[Leaving Date]="","",IF(Table1[Date of Initial Assessment]="","",IF(AND(Table1[Leaving Date]&gt;42094,Table1[Leaving Date]&lt;42461),IF(Table1[Date of Last Assessment]="",Table1[Motivation and Taking Responsibility],Table1[Motivation and Taking Responsibility2]),"")))</f>
        <v/>
      </c>
      <c r="FL512" s="44" t="str">
        <f>IF(Table1[Leaving Date]="","",IF(Table1[Date of Initial Assessment]="","",IF(AND(Table1[Leaving Date]&gt;42094,Table1[Leaving Date]&lt;42461),IF(Table1[Date of Last Assessment]="",Table1[Self-Care and Living Skills],Table1[Self-Care and Living Skills2]),"")))</f>
        <v/>
      </c>
      <c r="FM512" s="44" t="str">
        <f>IF(Table1[Leaving Date]="","",IF(Table1[Date of Initial Assessment]="","",IF(AND(Table1[Leaving Date]&gt;42094,Table1[Leaving Date]&lt;42461),IF(Table1[Date of Last Assessment]="",Table1[Managing Money and Personal Administration],Table1[Managing Money and Personal Administration2]),"")))</f>
        <v/>
      </c>
      <c r="FN512" s="44" t="str">
        <f>IF(Table1[Leaving Date]="","",IF(Table1[Date of Initial Assessment]="","",IF(AND(Table1[Leaving Date]&gt;42094,Table1[Leaving Date]&lt;42461),IF(Table1[Date of Last Assessment]="",Table1[Social Networks and Relationships],Table1[Social Networks and Relationships2]),"")))</f>
        <v/>
      </c>
      <c r="FO512" s="44" t="str">
        <f>IF(Table1[Leaving Date]="","",IF(Table1[Date of Initial Assessment]="","",IF(AND(Table1[Leaving Date]&gt;42094,Table1[Leaving Date]&lt;42461),IF(Table1[Date of Last Assessment]="",Table1[Drug and Alcohol Misuse],Table1[Drug and Alcohol Misuse2]),"")))</f>
        <v/>
      </c>
      <c r="FP512" s="44" t="str">
        <f>IF(Table1[Leaving Date]="","",IF(Table1[Date of Initial Assessment]="","",IF(AND(Table1[Leaving Date]&gt;42094,Table1[Leaving Date]&lt;42461),IF(Table1[Date of Last Assessment]="",Table1[Physical Health],Table1[Physical Health2]),"")))</f>
        <v/>
      </c>
      <c r="FQ512" s="44" t="str">
        <f>IF(Table1[Leaving Date]="","",IF(Table1[Date of Initial Assessment]="","",IF(AND(Table1[Leaving Date]&gt;42094,Table1[Leaving Date]&lt;42461),IF(Table1[Date of Last Assessment]="",Table1[Emotional and Mental Health],Table1[Emotional and Mental Health2]),"")))</f>
        <v/>
      </c>
      <c r="FR512" s="44" t="str">
        <f>IF(Table1[Leaving Date]="","",IF(Table1[Date of Initial Assessment]="","",IF(AND(Table1[Leaving Date]&gt;42094,Table1[Leaving Date]&lt;42461),IF(Table1[Date of Last Assessment]="",Table1[Meaningful Use of Time],Table1[Meaningful Use of Time2]),"")))</f>
        <v/>
      </c>
      <c r="FS512" s="44" t="str">
        <f>IF(Table1[Leaving Date]="","",IF(Table1[Date of Initial Assessment]="","",IF(AND(Table1[Leaving Date]&gt;42094,Table1[Leaving Date]&lt;42461),IF(Table1[Date of Last Assessment]="",Table1[Managing Tenancy and Accommodation],Table1[Managing Tenancy and Accommodation2]),"")))</f>
        <v/>
      </c>
      <c r="FT512" s="44" t="str">
        <f>IF(Table1[Leaving Date]="","",IF(Table1[Date of Initial Assessment]="","",IF(AND(Table1[Leaving Date]&gt;42094,Table1[Leaving Date]&lt;42461),IF(Table1[Date of Last Assessment]="",Table1[Offending],Table1[Offending2]),"")))</f>
        <v/>
      </c>
      <c r="FU512" s="44" t="str">
        <f>IF(Table1[Date of Initial Assessment]="","",IF(AND(Table1[Start Date]&gt;42460,Table1[Start Date]&lt;42826),Table1[Motivation and Taking Responsibility],""))</f>
        <v/>
      </c>
      <c r="FV512" s="44" t="str">
        <f>IF(Table1[Date of Initial Assessment]="","",IF(AND(Table1[Start Date]&gt;42460,Table1[Start Date]&lt;42826),Table1[Self-Care and Living Skills],""))</f>
        <v/>
      </c>
      <c r="FW512" s="44" t="str">
        <f>IF(Table1[Date of Initial Assessment]="","",IF(AND(Table1[Start Date]&gt;42460,Table1[Start Date]&lt;42826),Table1[Managing Money and Personal Administration],""))</f>
        <v/>
      </c>
      <c r="FX512" s="44" t="str">
        <f>IF(Table1[Date of Initial Assessment]="","",IF(AND(Table1[Start Date]&gt;42460,Table1[Start Date]&lt;42826),Table1[Social Networks and Relationships],""))</f>
        <v/>
      </c>
      <c r="FY512" s="44" t="str">
        <f>IF(Table1[Date of Initial Assessment]="","",IF(AND(Table1[Start Date]&gt;42460,Table1[Start Date]&lt;42826),Table1[Drug and Alcohol Misuse],""))</f>
        <v/>
      </c>
      <c r="FZ512" s="44" t="str">
        <f>IF(Table1[Date of Initial Assessment]="","",IF(AND(Table1[Start Date]&gt;42460,Table1[Start Date]&lt;42826),Table1[Physical Health],""))</f>
        <v/>
      </c>
      <c r="GA512" s="44" t="str">
        <f>IF(Table1[Date of Initial Assessment]="","",IF(AND(Table1[Start Date]&gt;42460,Table1[Start Date]&lt;42826),Table1[Emotional and Mental Health],""))</f>
        <v/>
      </c>
      <c r="GB512" s="44" t="str">
        <f>IF(Table1[Date of Initial Assessment]="","",IF(AND(Table1[Start Date]&gt;42460,Table1[Start Date]&lt;42826),Table1[Meaningful Use of Time],""))</f>
        <v/>
      </c>
      <c r="GC512" s="44" t="str">
        <f>IF(Table1[Date of Initial Assessment]="","",IF(AND(Table1[Start Date]&gt;42460,Table1[Start Date]&lt;42826),Table1[Managing Tenancy and Accommodation],""))</f>
        <v/>
      </c>
      <c r="GD512" s="44" t="str">
        <f>IF(Table1[Date of Initial Assessment]="","",IF(AND(Table1[Start Date]&gt;42460,Table1[Start Date]&lt;42826),Table1[Offending],""))</f>
        <v/>
      </c>
      <c r="GE512" s="44" t="str">
        <f>IF(Table1[Leaving Date]="","",IF(AND(Table1[Leaving Date]&gt;42460,Table1[Leaving Date]&lt;42826),IF(Table1[Date of Last Assessment]="",Table1[Motivation and Taking Responsibility],Table1[Motivation and Taking Responsibility2]),""))</f>
        <v/>
      </c>
      <c r="GF512" s="44" t="str">
        <f>IF(Table1[Leaving Date]="","",IF(AND(Table1[Leaving Date]&gt;42460,Table1[Leaving Date]&lt;42826),IF(Table1[Date of Last Assessment]="",Table1[Self-Care and Living Skills],Table1[Self-Care and Living Skills2]),""))</f>
        <v/>
      </c>
      <c r="GG512" s="44" t="str">
        <f>IF(Table1[Leaving Date]="","",IF(AND(Table1[Leaving Date]&gt;42460,Table1[Leaving Date]&lt;42826),IF(Table1[Date of Last Assessment]="",Table1[Managing Money and Personal Administration],Table1[Managing Money and Personal Administration2]),""))</f>
        <v/>
      </c>
      <c r="GH512" s="44" t="str">
        <f>IF(Table1[Leaving Date]="","",IF(AND(Table1[Leaving Date]&gt;42460,Table1[Leaving Date]&lt;42826),IF(Table1[Date of Last Assessment]="",Table1[Social Networks and Relationships],Table1[Social Networks and Relationships2]),""))</f>
        <v/>
      </c>
      <c r="GI512" s="44" t="str">
        <f>IF(Table1[Leaving Date]="","",IF(AND(Table1[Leaving Date]&gt;42460,Table1[Leaving Date]&lt;42826),IF(Table1[Date of Last Assessment]="",Table1[Drug and Alcohol Misuse],Table1[Drug and Alcohol Misuse2]),""))</f>
        <v/>
      </c>
      <c r="GJ512" s="44" t="str">
        <f>IF(Table1[Leaving Date]="","",IF(AND(Table1[Leaving Date]&gt;42460,Table1[Leaving Date]&lt;42826),IF(Table1[Date of Last Assessment]="",Table1[Physical Health],Table1[Physical Health2]),""))</f>
        <v/>
      </c>
      <c r="GK512" s="44" t="str">
        <f>IF(Table1[Leaving Date]="","",IF(AND(Table1[Leaving Date]&gt;42460,Table1[Leaving Date]&lt;42826),IF(Table1[Date of Last Assessment]="",Table1[Emotional and Mental Health],Table1[Emotional and Mental Health2]),""))</f>
        <v/>
      </c>
      <c r="GL512" s="44" t="str">
        <f>IF(Table1[Leaving Date]="","",IF(AND(Table1[Leaving Date]&gt;42460,Table1[Leaving Date]&lt;42826),IF(Table1[Date of Last Assessment]="",Table1[Meaningful Use of Time],Table1[Meaningful Use of Time2]),""))</f>
        <v/>
      </c>
      <c r="GM512" s="44" t="str">
        <f>IF(Table1[Leaving Date]="","",IF(AND(Table1[Leaving Date]&gt;42460,Table1[Leaving Date]&lt;42826),IF(Table1[Date of Last Assessment]="",Table1[Managing Tenancy and Accommodation],Table1[Managing Tenancy and Accommodation2]),""))</f>
        <v/>
      </c>
      <c r="GN512" s="44" t="str">
        <f>IF(Table1[Leaving Date]="","",IF(AND(Table1[Leaving Date]&gt;42460,Table1[Leaving Date]&lt;42826),IF(Table1[Date of Last Assessment]="",Table1[Offending],Table1[Offending2]),""))</f>
        <v/>
      </c>
    </row>
    <row r="513" spans="2:196" ht="20.100000000000001" customHeight="1" x14ac:dyDescent="0.2">
      <c r="B513" s="86">
        <f>+'Service Data'!$C$5:$C$5</f>
        <v>0</v>
      </c>
      <c r="C513" s="86"/>
      <c r="D513" s="86"/>
      <c r="E513" s="86"/>
      <c r="F513" s="86"/>
      <c r="G513" s="86"/>
      <c r="H513" s="6"/>
      <c r="I513" s="99" t="str">
        <f ca="1">IF(Table1[[#This Row],[Date of Birth]]="","",SUM(TODAY()-Table1[[#This Row],[Date of Birth]])/365)</f>
        <v/>
      </c>
      <c r="L513" s="86"/>
      <c r="M513" s="77"/>
      <c r="N513" s="86"/>
      <c r="O513" s="86"/>
      <c r="P513" s="91"/>
      <c r="Q513" s="86"/>
      <c r="R513" s="77"/>
      <c r="S513" s="77"/>
      <c r="T513" s="68"/>
      <c r="U513" s="68"/>
      <c r="V513" s="67"/>
      <c r="W513" s="67"/>
      <c r="X513" s="67"/>
      <c r="Y513" s="67"/>
      <c r="Z513" s="67"/>
      <c r="AA513" s="67"/>
      <c r="AB513" s="67"/>
      <c r="AC513" s="67"/>
      <c r="AD513" s="67"/>
      <c r="AE513" s="67"/>
      <c r="AF513" s="67"/>
      <c r="AG513" s="67"/>
      <c r="AH513" s="67"/>
      <c r="AI513" s="67"/>
      <c r="AJ513" s="67"/>
      <c r="AK513" s="67"/>
      <c r="AL513" s="67"/>
      <c r="AM513" s="67"/>
      <c r="AN513" s="77"/>
      <c r="AO513" s="76"/>
      <c r="AP513" s="77"/>
      <c r="AQ513" s="76"/>
      <c r="AR513" s="76"/>
      <c r="AS513" s="76"/>
      <c r="AT513" s="76"/>
      <c r="AU513" s="76"/>
      <c r="AV513" s="77"/>
      <c r="AW513" s="76"/>
      <c r="AX513" s="77"/>
      <c r="AY513" s="76"/>
      <c r="AZ513" s="76"/>
      <c r="BA513" s="76"/>
      <c r="BB513" s="76"/>
      <c r="BC513" s="76"/>
      <c r="BD513" s="77"/>
      <c r="BE513" s="76"/>
      <c r="BF513" s="77"/>
      <c r="BG513" s="76"/>
      <c r="BH513" s="76"/>
      <c r="BI513" s="76"/>
      <c r="BJ513" s="76"/>
      <c r="BK513" s="76"/>
      <c r="BL513" s="77"/>
      <c r="BM513" s="76"/>
      <c r="BN513" s="77"/>
      <c r="BO513" s="76"/>
      <c r="BP513" s="76"/>
      <c r="BQ513" s="76"/>
      <c r="BR513" s="76"/>
      <c r="BS513" s="76"/>
      <c r="BT513" s="77"/>
      <c r="BU513" s="76"/>
      <c r="BV513" s="77"/>
      <c r="BW513" s="76"/>
      <c r="BX513" s="76"/>
      <c r="BY513" s="76"/>
      <c r="BZ513" s="76"/>
      <c r="CA513" s="76"/>
      <c r="CB513" s="77"/>
      <c r="CC513" s="76"/>
      <c r="CD513" s="77"/>
      <c r="CE513" s="76"/>
      <c r="CF513" s="76"/>
      <c r="CG513" s="76"/>
      <c r="CH513" s="76"/>
      <c r="CI513" s="76"/>
      <c r="CJ513" s="77"/>
      <c r="CK513" s="76"/>
      <c r="CL513" s="77"/>
      <c r="CM513" s="76"/>
      <c r="CN513" s="76"/>
      <c r="CO513" s="76"/>
      <c r="CP513" s="76"/>
      <c r="CQ513" s="76"/>
      <c r="CR513" s="78" t="str">
        <f t="shared" si="127"/>
        <v/>
      </c>
      <c r="CS513" s="79" t="str">
        <f t="shared" si="128"/>
        <v/>
      </c>
      <c r="CT513" s="79" t="str">
        <f t="shared" si="129"/>
        <v/>
      </c>
      <c r="CU513" s="79" t="str">
        <f t="shared" si="130"/>
        <v/>
      </c>
      <c r="CV513" s="79" t="str">
        <f t="shared" si="131"/>
        <v/>
      </c>
      <c r="CW513" s="79" t="str">
        <f t="shared" si="132"/>
        <v/>
      </c>
      <c r="CX513" s="79" t="str">
        <f t="shared" si="133"/>
        <v/>
      </c>
      <c r="CY513" s="79" t="str">
        <f t="shared" si="134"/>
        <v/>
      </c>
      <c r="CZ513" s="79" t="str">
        <f t="shared" si="135"/>
        <v/>
      </c>
      <c r="DA513" s="79" t="str">
        <f t="shared" si="136"/>
        <v/>
      </c>
      <c r="DB513" s="79" t="str">
        <f t="shared" si="137"/>
        <v/>
      </c>
      <c r="DC513" s="79" t="str">
        <f t="shared" si="138"/>
        <v/>
      </c>
      <c r="DD513" s="79" t="str">
        <f t="shared" si="139"/>
        <v/>
      </c>
      <c r="DE513" s="79" t="str">
        <f t="shared" si="140"/>
        <v/>
      </c>
      <c r="DF513" s="79" t="str">
        <f t="shared" si="141"/>
        <v/>
      </c>
      <c r="DG513" s="79" t="str">
        <f t="shared" si="142"/>
        <v/>
      </c>
      <c r="DH513" s="76"/>
      <c r="DI513" s="78"/>
      <c r="DJ513" s="76"/>
      <c r="DK513" s="77"/>
      <c r="DL513" s="77"/>
      <c r="DM513" s="77"/>
      <c r="DN513" s="80"/>
      <c r="DO513" s="80"/>
      <c r="DP513" s="92" t="str">
        <f>IF(Table1[Start Date]="","",IF(Table1[Start Date]&gt;42185,"",IF(AND(Table1[Leaving Date]&gt;1,Table1[Leaving Date]&lt;42095),"",1)))</f>
        <v/>
      </c>
      <c r="DQ513" s="92" t="str">
        <f>IF(Table1[Start Date]="","",IF(Table1[Start Date]&gt;42277,"",IF(AND(Table1[Leaving Date]&gt;1,Table1[Leaving Date]&lt;42186),"",1)))</f>
        <v/>
      </c>
      <c r="DR513" s="92" t="str">
        <f>IF(Table1[Start Date]="","",IF(Table1[Start Date]&gt;42369,"",IF(AND(Table1[Leaving Date]&gt;1,Table1[Leaving Date]&lt;42278),"",1)))</f>
        <v/>
      </c>
      <c r="DS513" s="92" t="str">
        <f>IF(Table1[Start Date]="","",IF(Table1[Start Date]&gt;42460,"",IF(AND(Table1[Leaving Date]&gt;1,Table1[Leaving Date]&lt;42370),"",1)))</f>
        <v/>
      </c>
      <c r="DT513" s="92" t="str">
        <f>IF(Table1[Start Date]="","",IF(Table1[Start Date]&gt;42551,"",IF(AND(Table1[Leaving Date]&gt;1,Table1[Leaving Date]&lt;42461),"",1)))</f>
        <v/>
      </c>
      <c r="DU513" s="92" t="str">
        <f>IF(Table1[Start Date]="","",IF(Table1[Start Date]&gt;42643,"",IF(AND(Table1[Leaving Date]&gt;1,Table1[Leaving Date]&lt;42552),"",1)))</f>
        <v/>
      </c>
      <c r="DV513" s="92" t="str">
        <f>IF(Table1[Start Date]="","",IF(Table1[Start Date]&gt;42735,"",IF(AND(Table1[Leaving Date]&gt;1,Table1[Leaving Date]&lt;42644),"",1)))</f>
        <v/>
      </c>
      <c r="DW513" s="92" t="str">
        <f>IF(Table1[Start Date]="","",IF(Table1[Start Date]&gt;42825,"",IF(AND(Table1[Leaving Date]&gt;1,Table1[Leaving Date]&lt;42736),"",1)))</f>
        <v/>
      </c>
      <c r="DX513"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513" s="44" t="e">
        <f>VLOOKUP(Table1[Referral Source],Lists!$G$2:$H$20,2,FALSE)</f>
        <v>#N/A</v>
      </c>
      <c r="DZ513" s="93" t="e">
        <f>SUM(Table1[Data Referral Quarter]+Table1[Data Referral Source])</f>
        <v>#N/A</v>
      </c>
      <c r="EA513" s="44" t="b">
        <f>IF(Table1[Referral Decision]="Accepted",100,IF(Table1[Referral Decision]="Rejected by Provider",200,IF(Table1[Referral Decision]="Rejected by Applicant",300)))</f>
        <v>0</v>
      </c>
      <c r="EB513" s="44">
        <f>SUM(Table1[Data Referral Quarter]+Table1[Data Referral Decision])</f>
        <v>0</v>
      </c>
      <c r="EC513" s="44" t="b">
        <f>IF(Table1[Start Date]&gt;42735,8000,IF(Table1[Start Date]&gt;42643,7000,IF(Table1[Start Date]&gt;42551,6000,IF(Table1[Start Date]&gt;42460,5000,IF(Table1[Start Date]&gt;42369,4000,IF(Table1[Start Date]&gt;42277,3000,IF(Table1[Start Date]&gt;42185,2000,IF(Table1[Start Date]&gt;42094,1000))))))))</f>
        <v>0</v>
      </c>
      <c r="ED513" s="44" t="str">
        <f>IF(Table1[Start Date]="","",IF(Table1[Current Local Authority]="Swindon",1,"2"))</f>
        <v/>
      </c>
      <c r="EE513" s="44" t="e">
        <f>SUM(Table1[Data Start Date]+Table1[Data Local Authority])</f>
        <v>#VALUE!</v>
      </c>
      <c r="EF513" s="44">
        <f>IF(Table1[Registered with GP]="Yes",1,0)</f>
        <v>0</v>
      </c>
      <c r="EG513" s="44">
        <f>SUM(Table1[Data Start Date]+Table1[Data GP Start])</f>
        <v>0</v>
      </c>
      <c r="EH513" s="44" t="str">
        <f>IF(Table1[EET]="NEET",1,IF(Table1[EET]="Education",2,IF(Table1[EET]="Employment",2,IF(Table1[EET]="Training",2,IF(Table1[EET]="Retired",3,"")))))</f>
        <v/>
      </c>
      <c r="EI513" s="44" t="e">
        <f>Table1[Data Start Date]+Table1[Data EET Start]</f>
        <v>#VALUE!</v>
      </c>
      <c r="EJ513" s="44" t="b">
        <f>IF(Table1[Leaving Date]&gt;42735,8000,IF(Table1[Leaving Date]&gt;42643,7000,IF(Table1[Leaving Date]&gt;42551,6000,IF(Table1[Leaving Date]&gt;42460,5000,IF(Table1[Leaving Date]&gt;42369,4000,IF(Table1[Leaving Date]&gt;42277,3000,IF(Table1[Leaving Date]&gt;42185,2000,IF(Table1[Leaving Date]&gt;42094,1000))))))))</f>
        <v>0</v>
      </c>
      <c r="EK513" s="44" t="e">
        <f>VLOOKUP(Table1[Reason for Leaving],Lists!$T$2:$U$15,2,FALSE)</f>
        <v>#N/A</v>
      </c>
      <c r="EL513" s="44" t="e">
        <f>SUM(Table1[Data Leavers Date]+Table1[Data Move On])</f>
        <v>#N/A</v>
      </c>
      <c r="EM513" s="44" t="b">
        <f>IF(Table1[Registered with GP2]="Yes",1,IF(Table1[Registered with GP2]="No",0,IF(Table1[Registered with GP]="Yes",1,IF(Table1[Registered with GP]="No",0))))</f>
        <v>0</v>
      </c>
      <c r="EN513" s="44">
        <f>SUM(Table1[Data Leavers Date]+Table1[Data GP End])</f>
        <v>0</v>
      </c>
      <c r="EO513" s="44" t="str">
        <f>IF(Table1[EET2]="NEET",1,IF(Table1[EET2]="Employment",2,IF(Table1[EET2]="Education",2,IF(Table1[EET2]="Training",2,IF(Table1[EET2]="Retired",3,IF(Table1[EET]="NEET",1,IF(Table1[EET]="Employment",2,IF(Table1[EET]="Education",2,IF(Table1[EET]="Training",2,IF(Table1[EET]="Retired",3,""))))))))))</f>
        <v/>
      </c>
      <c r="EP513" s="44" t="e">
        <f>+Table1[[#This Row],[Data Leavers Date]]+Table1[[#This Row],[Data EET End]]</f>
        <v>#VALUE!</v>
      </c>
      <c r="EQ513" s="44">
        <f>IF(Table1[Exit Form Received]="Yes",1,0)</f>
        <v>0</v>
      </c>
      <c r="ER513" s="44">
        <f>+Table1[[#This Row],[Data Leavers Date]]+Table1[[#This Row],[Data Exit Forms]]</f>
        <v>0</v>
      </c>
      <c r="ES513" s="44" t="str">
        <f>IF(Table1[Data Leavers Date]=1000,SUM(Table1[Leaving Date]-Table1[Start Date]),"")</f>
        <v/>
      </c>
      <c r="ET513" s="44" t="str">
        <f>IF(Table1[Data Leavers Date]=2000,SUM(Table1[Leaving Date]-Table1[Start Date]),"")</f>
        <v/>
      </c>
      <c r="EU513" s="44" t="str">
        <f>IF(Table1[Data Leavers Date]=3000,SUM(Table1[Leaving Date]-Table1[Start Date]),"")</f>
        <v/>
      </c>
      <c r="EV513" s="44" t="str">
        <f>IF(Table1[Data Leavers Date]=4000,SUM(Table1[Leaving Date]-Table1[Start Date]),"")</f>
        <v/>
      </c>
      <c r="EW513" s="44" t="str">
        <f>IF(Table1[Data Leavers Date]=5000,SUM(Table1[Leaving Date]-Table1[Start Date]),"")</f>
        <v/>
      </c>
      <c r="EX513" s="44" t="str">
        <f>IF(Table1[Data Leavers Date]=6000,SUM(Table1[Leaving Date]-Table1[Start Date]),"")</f>
        <v/>
      </c>
      <c r="EY513" s="44" t="str">
        <f>IF(Table1[Data Leavers Date]=7000,SUM(Table1[Leaving Date]-Table1[Start Date]),"")</f>
        <v/>
      </c>
      <c r="EZ513" s="44" t="str">
        <f>IF(Table1[Data Leavers Date]=8000,SUM(Table1[Leaving Date]-Table1[Start Date]),"")</f>
        <v/>
      </c>
      <c r="FA513" s="44" t="str">
        <f>IF(Table1[Date of Initial Assessment]="","",IF(AND(Table1[Start Date]&gt;42094,Table1[Start Date]&lt;42461),Table1[Motivation and Taking Responsibility],""))</f>
        <v/>
      </c>
      <c r="FB513" s="44" t="str">
        <f>IF(Table1[Date of Initial Assessment]="","",IF(AND(Table1[Start Date]&gt;42094,Table1[Start Date]&lt;42461),Table1[Self-Care and Living Skills],""))</f>
        <v/>
      </c>
      <c r="FC513" s="44" t="str">
        <f>IF(Table1[Date of Initial Assessment]="","",IF(AND(Table1[Start Date]&gt;42094,Table1[Start Date]&lt;42461),Table1[Managing Money and Personal Administration],""))</f>
        <v/>
      </c>
      <c r="FD513" s="44" t="str">
        <f>IF(Table1[Date of Initial Assessment]="","",IF(AND(Table1[Start Date]&gt;42094,Table1[Start Date]&lt;42461),Table1[Social Networks and Relationships],""))</f>
        <v/>
      </c>
      <c r="FE513" s="44" t="str">
        <f>IF(Table1[Date of Initial Assessment]="","",IF(AND(Table1[Start Date]&gt;42094,Table1[Start Date]&lt;42461),Table1[Drug and Alcohol Misuse],""))</f>
        <v/>
      </c>
      <c r="FF513" s="44" t="str">
        <f>IF(Table1[Date of Initial Assessment]="","",IF(AND(Table1[Start Date]&gt;42094,Table1[Start Date]&lt;42461),Table1[Physical Health],""))</f>
        <v/>
      </c>
      <c r="FG513" s="44" t="str">
        <f>IF(Table1[Date of Initial Assessment]="","",IF(AND(Table1[Start Date]&gt;42094,Table1[Start Date]&lt;42461),Table1[Emotional and Mental Health],""))</f>
        <v/>
      </c>
      <c r="FH513" s="44" t="str">
        <f>IF(Table1[Date of Initial Assessment]="","",IF(AND(Table1[Start Date]&gt;42094,Table1[Start Date]&lt;42461),Table1[Meaningful Use of Time],""))</f>
        <v/>
      </c>
      <c r="FI513" s="44" t="str">
        <f>IF(Table1[Date of Initial Assessment]="","",IF(AND(Table1[Start Date]&gt;42094,Table1[Start Date]&lt;42461),Table1[Managing Tenancy and Accommodation],""))</f>
        <v/>
      </c>
      <c r="FJ513" s="44" t="str">
        <f>IF(Table1[Date of Initial Assessment]="","",IF(AND(Table1[Start Date]&gt;42094,Table1[Start Date]&lt;42461),Table1[Offending],""))</f>
        <v/>
      </c>
      <c r="FK513" s="44" t="str">
        <f>IF(Table1[Leaving Date]="","",IF(Table1[Date of Initial Assessment]="","",IF(AND(Table1[Leaving Date]&gt;42094,Table1[Leaving Date]&lt;42461),IF(Table1[Date of Last Assessment]="",Table1[Motivation and Taking Responsibility],Table1[Motivation and Taking Responsibility2]),"")))</f>
        <v/>
      </c>
      <c r="FL513" s="44" t="str">
        <f>IF(Table1[Leaving Date]="","",IF(Table1[Date of Initial Assessment]="","",IF(AND(Table1[Leaving Date]&gt;42094,Table1[Leaving Date]&lt;42461),IF(Table1[Date of Last Assessment]="",Table1[Self-Care and Living Skills],Table1[Self-Care and Living Skills2]),"")))</f>
        <v/>
      </c>
      <c r="FM513" s="44" t="str">
        <f>IF(Table1[Leaving Date]="","",IF(Table1[Date of Initial Assessment]="","",IF(AND(Table1[Leaving Date]&gt;42094,Table1[Leaving Date]&lt;42461),IF(Table1[Date of Last Assessment]="",Table1[Managing Money and Personal Administration],Table1[Managing Money and Personal Administration2]),"")))</f>
        <v/>
      </c>
      <c r="FN513" s="44" t="str">
        <f>IF(Table1[Leaving Date]="","",IF(Table1[Date of Initial Assessment]="","",IF(AND(Table1[Leaving Date]&gt;42094,Table1[Leaving Date]&lt;42461),IF(Table1[Date of Last Assessment]="",Table1[Social Networks and Relationships],Table1[Social Networks and Relationships2]),"")))</f>
        <v/>
      </c>
      <c r="FO513" s="44" t="str">
        <f>IF(Table1[Leaving Date]="","",IF(Table1[Date of Initial Assessment]="","",IF(AND(Table1[Leaving Date]&gt;42094,Table1[Leaving Date]&lt;42461),IF(Table1[Date of Last Assessment]="",Table1[Drug and Alcohol Misuse],Table1[Drug and Alcohol Misuse2]),"")))</f>
        <v/>
      </c>
      <c r="FP513" s="44" t="str">
        <f>IF(Table1[Leaving Date]="","",IF(Table1[Date of Initial Assessment]="","",IF(AND(Table1[Leaving Date]&gt;42094,Table1[Leaving Date]&lt;42461),IF(Table1[Date of Last Assessment]="",Table1[Physical Health],Table1[Physical Health2]),"")))</f>
        <v/>
      </c>
      <c r="FQ513" s="44" t="str">
        <f>IF(Table1[Leaving Date]="","",IF(Table1[Date of Initial Assessment]="","",IF(AND(Table1[Leaving Date]&gt;42094,Table1[Leaving Date]&lt;42461),IF(Table1[Date of Last Assessment]="",Table1[Emotional and Mental Health],Table1[Emotional and Mental Health2]),"")))</f>
        <v/>
      </c>
      <c r="FR513" s="44" t="str">
        <f>IF(Table1[Leaving Date]="","",IF(Table1[Date of Initial Assessment]="","",IF(AND(Table1[Leaving Date]&gt;42094,Table1[Leaving Date]&lt;42461),IF(Table1[Date of Last Assessment]="",Table1[Meaningful Use of Time],Table1[Meaningful Use of Time2]),"")))</f>
        <v/>
      </c>
      <c r="FS513" s="44" t="str">
        <f>IF(Table1[Leaving Date]="","",IF(Table1[Date of Initial Assessment]="","",IF(AND(Table1[Leaving Date]&gt;42094,Table1[Leaving Date]&lt;42461),IF(Table1[Date of Last Assessment]="",Table1[Managing Tenancy and Accommodation],Table1[Managing Tenancy and Accommodation2]),"")))</f>
        <v/>
      </c>
      <c r="FT513" s="44" t="str">
        <f>IF(Table1[Leaving Date]="","",IF(Table1[Date of Initial Assessment]="","",IF(AND(Table1[Leaving Date]&gt;42094,Table1[Leaving Date]&lt;42461),IF(Table1[Date of Last Assessment]="",Table1[Offending],Table1[Offending2]),"")))</f>
        <v/>
      </c>
      <c r="FU513" s="44" t="str">
        <f>IF(Table1[Date of Initial Assessment]="","",IF(AND(Table1[Start Date]&gt;42460,Table1[Start Date]&lt;42826),Table1[Motivation and Taking Responsibility],""))</f>
        <v/>
      </c>
      <c r="FV513" s="44" t="str">
        <f>IF(Table1[Date of Initial Assessment]="","",IF(AND(Table1[Start Date]&gt;42460,Table1[Start Date]&lt;42826),Table1[Self-Care and Living Skills],""))</f>
        <v/>
      </c>
      <c r="FW513" s="44" t="str">
        <f>IF(Table1[Date of Initial Assessment]="","",IF(AND(Table1[Start Date]&gt;42460,Table1[Start Date]&lt;42826),Table1[Managing Money and Personal Administration],""))</f>
        <v/>
      </c>
      <c r="FX513" s="44" t="str">
        <f>IF(Table1[Date of Initial Assessment]="","",IF(AND(Table1[Start Date]&gt;42460,Table1[Start Date]&lt;42826),Table1[Social Networks and Relationships],""))</f>
        <v/>
      </c>
      <c r="FY513" s="44" t="str">
        <f>IF(Table1[Date of Initial Assessment]="","",IF(AND(Table1[Start Date]&gt;42460,Table1[Start Date]&lt;42826),Table1[Drug and Alcohol Misuse],""))</f>
        <v/>
      </c>
      <c r="FZ513" s="44" t="str">
        <f>IF(Table1[Date of Initial Assessment]="","",IF(AND(Table1[Start Date]&gt;42460,Table1[Start Date]&lt;42826),Table1[Physical Health],""))</f>
        <v/>
      </c>
      <c r="GA513" s="44" t="str">
        <f>IF(Table1[Date of Initial Assessment]="","",IF(AND(Table1[Start Date]&gt;42460,Table1[Start Date]&lt;42826),Table1[Emotional and Mental Health],""))</f>
        <v/>
      </c>
      <c r="GB513" s="44" t="str">
        <f>IF(Table1[Date of Initial Assessment]="","",IF(AND(Table1[Start Date]&gt;42460,Table1[Start Date]&lt;42826),Table1[Meaningful Use of Time],""))</f>
        <v/>
      </c>
      <c r="GC513" s="44" t="str">
        <f>IF(Table1[Date of Initial Assessment]="","",IF(AND(Table1[Start Date]&gt;42460,Table1[Start Date]&lt;42826),Table1[Managing Tenancy and Accommodation],""))</f>
        <v/>
      </c>
      <c r="GD513" s="44" t="str">
        <f>IF(Table1[Date of Initial Assessment]="","",IF(AND(Table1[Start Date]&gt;42460,Table1[Start Date]&lt;42826),Table1[Offending],""))</f>
        <v/>
      </c>
      <c r="GE513" s="44" t="str">
        <f>IF(Table1[Leaving Date]="","",IF(AND(Table1[Leaving Date]&gt;42460,Table1[Leaving Date]&lt;42826),IF(Table1[Date of Last Assessment]="",Table1[Motivation and Taking Responsibility],Table1[Motivation and Taking Responsibility2]),""))</f>
        <v/>
      </c>
      <c r="GF513" s="44" t="str">
        <f>IF(Table1[Leaving Date]="","",IF(AND(Table1[Leaving Date]&gt;42460,Table1[Leaving Date]&lt;42826),IF(Table1[Date of Last Assessment]="",Table1[Self-Care and Living Skills],Table1[Self-Care and Living Skills2]),""))</f>
        <v/>
      </c>
      <c r="GG513" s="44" t="str">
        <f>IF(Table1[Leaving Date]="","",IF(AND(Table1[Leaving Date]&gt;42460,Table1[Leaving Date]&lt;42826),IF(Table1[Date of Last Assessment]="",Table1[Managing Money and Personal Administration],Table1[Managing Money and Personal Administration2]),""))</f>
        <v/>
      </c>
      <c r="GH513" s="44" t="str">
        <f>IF(Table1[Leaving Date]="","",IF(AND(Table1[Leaving Date]&gt;42460,Table1[Leaving Date]&lt;42826),IF(Table1[Date of Last Assessment]="",Table1[Social Networks and Relationships],Table1[Social Networks and Relationships2]),""))</f>
        <v/>
      </c>
      <c r="GI513" s="44" t="str">
        <f>IF(Table1[Leaving Date]="","",IF(AND(Table1[Leaving Date]&gt;42460,Table1[Leaving Date]&lt;42826),IF(Table1[Date of Last Assessment]="",Table1[Drug and Alcohol Misuse],Table1[Drug and Alcohol Misuse2]),""))</f>
        <v/>
      </c>
      <c r="GJ513" s="44" t="str">
        <f>IF(Table1[Leaving Date]="","",IF(AND(Table1[Leaving Date]&gt;42460,Table1[Leaving Date]&lt;42826),IF(Table1[Date of Last Assessment]="",Table1[Physical Health],Table1[Physical Health2]),""))</f>
        <v/>
      </c>
      <c r="GK513" s="44" t="str">
        <f>IF(Table1[Leaving Date]="","",IF(AND(Table1[Leaving Date]&gt;42460,Table1[Leaving Date]&lt;42826),IF(Table1[Date of Last Assessment]="",Table1[Emotional and Mental Health],Table1[Emotional and Mental Health2]),""))</f>
        <v/>
      </c>
      <c r="GL513" s="44" t="str">
        <f>IF(Table1[Leaving Date]="","",IF(AND(Table1[Leaving Date]&gt;42460,Table1[Leaving Date]&lt;42826),IF(Table1[Date of Last Assessment]="",Table1[Meaningful Use of Time],Table1[Meaningful Use of Time2]),""))</f>
        <v/>
      </c>
      <c r="GM513" s="44" t="str">
        <f>IF(Table1[Leaving Date]="","",IF(AND(Table1[Leaving Date]&gt;42460,Table1[Leaving Date]&lt;42826),IF(Table1[Date of Last Assessment]="",Table1[Managing Tenancy and Accommodation],Table1[Managing Tenancy and Accommodation2]),""))</f>
        <v/>
      </c>
      <c r="GN513" s="44" t="str">
        <f>IF(Table1[Leaving Date]="","",IF(AND(Table1[Leaving Date]&gt;42460,Table1[Leaving Date]&lt;42826),IF(Table1[Date of Last Assessment]="",Table1[Offending],Table1[Offending2]),""))</f>
        <v/>
      </c>
    </row>
    <row r="514" spans="2:196" ht="20.100000000000001" customHeight="1" x14ac:dyDescent="0.2">
      <c r="B514" s="86">
        <f>+'Service Data'!$C$5:$C$5</f>
        <v>0</v>
      </c>
      <c r="C514" s="86"/>
      <c r="D514" s="86"/>
      <c r="E514" s="86"/>
      <c r="F514" s="86"/>
      <c r="G514" s="86"/>
      <c r="H514" s="6"/>
      <c r="I514" s="99" t="str">
        <f ca="1">IF(Table1[[#This Row],[Date of Birth]]="","",SUM(TODAY()-Table1[[#This Row],[Date of Birth]])/365)</f>
        <v/>
      </c>
      <c r="L514" s="86"/>
      <c r="M514" s="77"/>
      <c r="N514" s="86"/>
      <c r="O514" s="86"/>
      <c r="P514" s="91"/>
      <c r="Q514" s="86"/>
      <c r="R514" s="77"/>
      <c r="S514" s="77"/>
      <c r="T514" s="68"/>
      <c r="U514" s="68"/>
      <c r="V514" s="67"/>
      <c r="W514" s="67"/>
      <c r="X514" s="67"/>
      <c r="Y514" s="67"/>
      <c r="Z514" s="67"/>
      <c r="AA514" s="67"/>
      <c r="AB514" s="67"/>
      <c r="AC514" s="67"/>
      <c r="AD514" s="67"/>
      <c r="AE514" s="67"/>
      <c r="AF514" s="67"/>
      <c r="AG514" s="67"/>
      <c r="AH514" s="67"/>
      <c r="AI514" s="67"/>
      <c r="AJ514" s="67"/>
      <c r="AK514" s="67"/>
      <c r="AL514" s="67"/>
      <c r="AM514" s="67"/>
      <c r="AN514" s="77"/>
      <c r="AO514" s="76"/>
      <c r="AP514" s="77"/>
      <c r="AQ514" s="76"/>
      <c r="AR514" s="76"/>
      <c r="AS514" s="76"/>
      <c r="AT514" s="76"/>
      <c r="AU514" s="76"/>
      <c r="AV514" s="77"/>
      <c r="AW514" s="76"/>
      <c r="AX514" s="77"/>
      <c r="AY514" s="76"/>
      <c r="AZ514" s="76"/>
      <c r="BA514" s="76"/>
      <c r="BB514" s="76"/>
      <c r="BC514" s="76"/>
      <c r="BD514" s="77"/>
      <c r="BE514" s="76"/>
      <c r="BF514" s="77"/>
      <c r="BG514" s="76"/>
      <c r="BH514" s="76"/>
      <c r="BI514" s="76"/>
      <c r="BJ514" s="76"/>
      <c r="BK514" s="76"/>
      <c r="BL514" s="77"/>
      <c r="BM514" s="76"/>
      <c r="BN514" s="77"/>
      <c r="BO514" s="76"/>
      <c r="BP514" s="76"/>
      <c r="BQ514" s="76"/>
      <c r="BR514" s="76"/>
      <c r="BS514" s="76"/>
      <c r="BT514" s="77"/>
      <c r="BU514" s="76"/>
      <c r="BV514" s="77"/>
      <c r="BW514" s="76"/>
      <c r="BX514" s="76"/>
      <c r="BY514" s="76"/>
      <c r="BZ514" s="76"/>
      <c r="CA514" s="76"/>
      <c r="CB514" s="77"/>
      <c r="CC514" s="76"/>
      <c r="CD514" s="77"/>
      <c r="CE514" s="76"/>
      <c r="CF514" s="76"/>
      <c r="CG514" s="76"/>
      <c r="CH514" s="76"/>
      <c r="CI514" s="76"/>
      <c r="CJ514" s="77"/>
      <c r="CK514" s="76"/>
      <c r="CL514" s="77"/>
      <c r="CM514" s="76"/>
      <c r="CN514" s="76"/>
      <c r="CO514" s="76"/>
      <c r="CP514" s="76"/>
      <c r="CQ514" s="76"/>
      <c r="CR514" s="78" t="str">
        <f t="shared" si="127"/>
        <v/>
      </c>
      <c r="CS514" s="79" t="str">
        <f t="shared" si="128"/>
        <v/>
      </c>
      <c r="CT514" s="79" t="str">
        <f t="shared" si="129"/>
        <v/>
      </c>
      <c r="CU514" s="79" t="str">
        <f t="shared" si="130"/>
        <v/>
      </c>
      <c r="CV514" s="79" t="str">
        <f t="shared" si="131"/>
        <v/>
      </c>
      <c r="CW514" s="79" t="str">
        <f t="shared" si="132"/>
        <v/>
      </c>
      <c r="CX514" s="79" t="str">
        <f t="shared" si="133"/>
        <v/>
      </c>
      <c r="CY514" s="79" t="str">
        <f t="shared" si="134"/>
        <v/>
      </c>
      <c r="CZ514" s="79" t="str">
        <f t="shared" si="135"/>
        <v/>
      </c>
      <c r="DA514" s="79" t="str">
        <f t="shared" si="136"/>
        <v/>
      </c>
      <c r="DB514" s="79" t="str">
        <f t="shared" si="137"/>
        <v/>
      </c>
      <c r="DC514" s="79" t="str">
        <f t="shared" si="138"/>
        <v/>
      </c>
      <c r="DD514" s="79" t="str">
        <f t="shared" si="139"/>
        <v/>
      </c>
      <c r="DE514" s="79" t="str">
        <f t="shared" si="140"/>
        <v/>
      </c>
      <c r="DF514" s="79" t="str">
        <f t="shared" si="141"/>
        <v/>
      </c>
      <c r="DG514" s="79" t="str">
        <f t="shared" si="142"/>
        <v/>
      </c>
      <c r="DH514" s="76"/>
      <c r="DI514" s="78"/>
      <c r="DJ514" s="76"/>
      <c r="DK514" s="77"/>
      <c r="DL514" s="77"/>
      <c r="DM514" s="77"/>
      <c r="DN514" s="80"/>
      <c r="DO514" s="80"/>
      <c r="DP514" s="92" t="str">
        <f>IF(Table1[Start Date]="","",IF(Table1[Start Date]&gt;42185,"",IF(AND(Table1[Leaving Date]&gt;1,Table1[Leaving Date]&lt;42095),"",1)))</f>
        <v/>
      </c>
      <c r="DQ514" s="92" t="str">
        <f>IF(Table1[Start Date]="","",IF(Table1[Start Date]&gt;42277,"",IF(AND(Table1[Leaving Date]&gt;1,Table1[Leaving Date]&lt;42186),"",1)))</f>
        <v/>
      </c>
      <c r="DR514" s="92" t="str">
        <f>IF(Table1[Start Date]="","",IF(Table1[Start Date]&gt;42369,"",IF(AND(Table1[Leaving Date]&gt;1,Table1[Leaving Date]&lt;42278),"",1)))</f>
        <v/>
      </c>
      <c r="DS514" s="92" t="str">
        <f>IF(Table1[Start Date]="","",IF(Table1[Start Date]&gt;42460,"",IF(AND(Table1[Leaving Date]&gt;1,Table1[Leaving Date]&lt;42370),"",1)))</f>
        <v/>
      </c>
      <c r="DT514" s="92" t="str">
        <f>IF(Table1[Start Date]="","",IF(Table1[Start Date]&gt;42551,"",IF(AND(Table1[Leaving Date]&gt;1,Table1[Leaving Date]&lt;42461),"",1)))</f>
        <v/>
      </c>
      <c r="DU514" s="92" t="str">
        <f>IF(Table1[Start Date]="","",IF(Table1[Start Date]&gt;42643,"",IF(AND(Table1[Leaving Date]&gt;1,Table1[Leaving Date]&lt;42552),"",1)))</f>
        <v/>
      </c>
      <c r="DV514" s="92" t="str">
        <f>IF(Table1[Start Date]="","",IF(Table1[Start Date]&gt;42735,"",IF(AND(Table1[Leaving Date]&gt;1,Table1[Leaving Date]&lt;42644),"",1)))</f>
        <v/>
      </c>
      <c r="DW514" s="92" t="str">
        <f>IF(Table1[Start Date]="","",IF(Table1[Start Date]&gt;42825,"",IF(AND(Table1[Leaving Date]&gt;1,Table1[Leaving Date]&lt;42736),"",1)))</f>
        <v/>
      </c>
      <c r="DX514"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514" s="44" t="e">
        <f>VLOOKUP(Table1[Referral Source],Lists!$G$2:$H$20,2,FALSE)</f>
        <v>#N/A</v>
      </c>
      <c r="DZ514" s="93" t="e">
        <f>SUM(Table1[Data Referral Quarter]+Table1[Data Referral Source])</f>
        <v>#N/A</v>
      </c>
      <c r="EA514" s="44" t="b">
        <f>IF(Table1[Referral Decision]="Accepted",100,IF(Table1[Referral Decision]="Rejected by Provider",200,IF(Table1[Referral Decision]="Rejected by Applicant",300)))</f>
        <v>0</v>
      </c>
      <c r="EB514" s="44">
        <f>SUM(Table1[Data Referral Quarter]+Table1[Data Referral Decision])</f>
        <v>0</v>
      </c>
      <c r="EC514" s="44" t="b">
        <f>IF(Table1[Start Date]&gt;42735,8000,IF(Table1[Start Date]&gt;42643,7000,IF(Table1[Start Date]&gt;42551,6000,IF(Table1[Start Date]&gt;42460,5000,IF(Table1[Start Date]&gt;42369,4000,IF(Table1[Start Date]&gt;42277,3000,IF(Table1[Start Date]&gt;42185,2000,IF(Table1[Start Date]&gt;42094,1000))))))))</f>
        <v>0</v>
      </c>
      <c r="ED514" s="44" t="str">
        <f>IF(Table1[Start Date]="","",IF(Table1[Current Local Authority]="Swindon",1,"2"))</f>
        <v/>
      </c>
      <c r="EE514" s="44" t="e">
        <f>SUM(Table1[Data Start Date]+Table1[Data Local Authority])</f>
        <v>#VALUE!</v>
      </c>
      <c r="EF514" s="44">
        <f>IF(Table1[Registered with GP]="Yes",1,0)</f>
        <v>0</v>
      </c>
      <c r="EG514" s="44">
        <f>SUM(Table1[Data Start Date]+Table1[Data GP Start])</f>
        <v>0</v>
      </c>
      <c r="EH514" s="44" t="str">
        <f>IF(Table1[EET]="NEET",1,IF(Table1[EET]="Education",2,IF(Table1[EET]="Employment",2,IF(Table1[EET]="Training",2,IF(Table1[EET]="Retired",3,"")))))</f>
        <v/>
      </c>
      <c r="EI514" s="44" t="e">
        <f>Table1[Data Start Date]+Table1[Data EET Start]</f>
        <v>#VALUE!</v>
      </c>
      <c r="EJ514" s="44" t="b">
        <f>IF(Table1[Leaving Date]&gt;42735,8000,IF(Table1[Leaving Date]&gt;42643,7000,IF(Table1[Leaving Date]&gt;42551,6000,IF(Table1[Leaving Date]&gt;42460,5000,IF(Table1[Leaving Date]&gt;42369,4000,IF(Table1[Leaving Date]&gt;42277,3000,IF(Table1[Leaving Date]&gt;42185,2000,IF(Table1[Leaving Date]&gt;42094,1000))))))))</f>
        <v>0</v>
      </c>
      <c r="EK514" s="44" t="e">
        <f>VLOOKUP(Table1[Reason for Leaving],Lists!$T$2:$U$15,2,FALSE)</f>
        <v>#N/A</v>
      </c>
      <c r="EL514" s="44" t="e">
        <f>SUM(Table1[Data Leavers Date]+Table1[Data Move On])</f>
        <v>#N/A</v>
      </c>
      <c r="EM514" s="44" t="b">
        <f>IF(Table1[Registered with GP2]="Yes",1,IF(Table1[Registered with GP2]="No",0,IF(Table1[Registered with GP]="Yes",1,IF(Table1[Registered with GP]="No",0))))</f>
        <v>0</v>
      </c>
      <c r="EN514" s="44">
        <f>SUM(Table1[Data Leavers Date]+Table1[Data GP End])</f>
        <v>0</v>
      </c>
      <c r="EO514" s="44" t="str">
        <f>IF(Table1[EET2]="NEET",1,IF(Table1[EET2]="Employment",2,IF(Table1[EET2]="Education",2,IF(Table1[EET2]="Training",2,IF(Table1[EET2]="Retired",3,IF(Table1[EET]="NEET",1,IF(Table1[EET]="Employment",2,IF(Table1[EET]="Education",2,IF(Table1[EET]="Training",2,IF(Table1[EET]="Retired",3,""))))))))))</f>
        <v/>
      </c>
      <c r="EP514" s="44" t="e">
        <f>+Table1[[#This Row],[Data Leavers Date]]+Table1[[#This Row],[Data EET End]]</f>
        <v>#VALUE!</v>
      </c>
      <c r="EQ514" s="44">
        <f>IF(Table1[Exit Form Received]="Yes",1,0)</f>
        <v>0</v>
      </c>
      <c r="ER514" s="44">
        <f>+Table1[[#This Row],[Data Leavers Date]]+Table1[[#This Row],[Data Exit Forms]]</f>
        <v>0</v>
      </c>
      <c r="ES514" s="44" t="str">
        <f>IF(Table1[Data Leavers Date]=1000,SUM(Table1[Leaving Date]-Table1[Start Date]),"")</f>
        <v/>
      </c>
      <c r="ET514" s="44" t="str">
        <f>IF(Table1[Data Leavers Date]=2000,SUM(Table1[Leaving Date]-Table1[Start Date]),"")</f>
        <v/>
      </c>
      <c r="EU514" s="44" t="str">
        <f>IF(Table1[Data Leavers Date]=3000,SUM(Table1[Leaving Date]-Table1[Start Date]),"")</f>
        <v/>
      </c>
      <c r="EV514" s="44" t="str">
        <f>IF(Table1[Data Leavers Date]=4000,SUM(Table1[Leaving Date]-Table1[Start Date]),"")</f>
        <v/>
      </c>
      <c r="EW514" s="44" t="str">
        <f>IF(Table1[Data Leavers Date]=5000,SUM(Table1[Leaving Date]-Table1[Start Date]),"")</f>
        <v/>
      </c>
      <c r="EX514" s="44" t="str">
        <f>IF(Table1[Data Leavers Date]=6000,SUM(Table1[Leaving Date]-Table1[Start Date]),"")</f>
        <v/>
      </c>
      <c r="EY514" s="44" t="str">
        <f>IF(Table1[Data Leavers Date]=7000,SUM(Table1[Leaving Date]-Table1[Start Date]),"")</f>
        <v/>
      </c>
      <c r="EZ514" s="44" t="str">
        <f>IF(Table1[Data Leavers Date]=8000,SUM(Table1[Leaving Date]-Table1[Start Date]),"")</f>
        <v/>
      </c>
      <c r="FA514" s="44" t="str">
        <f>IF(Table1[Date of Initial Assessment]="","",IF(AND(Table1[Start Date]&gt;42094,Table1[Start Date]&lt;42461),Table1[Motivation and Taking Responsibility],""))</f>
        <v/>
      </c>
      <c r="FB514" s="44" t="str">
        <f>IF(Table1[Date of Initial Assessment]="","",IF(AND(Table1[Start Date]&gt;42094,Table1[Start Date]&lt;42461),Table1[Self-Care and Living Skills],""))</f>
        <v/>
      </c>
      <c r="FC514" s="44" t="str">
        <f>IF(Table1[Date of Initial Assessment]="","",IF(AND(Table1[Start Date]&gt;42094,Table1[Start Date]&lt;42461),Table1[Managing Money and Personal Administration],""))</f>
        <v/>
      </c>
      <c r="FD514" s="44" t="str">
        <f>IF(Table1[Date of Initial Assessment]="","",IF(AND(Table1[Start Date]&gt;42094,Table1[Start Date]&lt;42461),Table1[Social Networks and Relationships],""))</f>
        <v/>
      </c>
      <c r="FE514" s="44" t="str">
        <f>IF(Table1[Date of Initial Assessment]="","",IF(AND(Table1[Start Date]&gt;42094,Table1[Start Date]&lt;42461),Table1[Drug and Alcohol Misuse],""))</f>
        <v/>
      </c>
      <c r="FF514" s="44" t="str">
        <f>IF(Table1[Date of Initial Assessment]="","",IF(AND(Table1[Start Date]&gt;42094,Table1[Start Date]&lt;42461),Table1[Physical Health],""))</f>
        <v/>
      </c>
      <c r="FG514" s="44" t="str">
        <f>IF(Table1[Date of Initial Assessment]="","",IF(AND(Table1[Start Date]&gt;42094,Table1[Start Date]&lt;42461),Table1[Emotional and Mental Health],""))</f>
        <v/>
      </c>
      <c r="FH514" s="44" t="str">
        <f>IF(Table1[Date of Initial Assessment]="","",IF(AND(Table1[Start Date]&gt;42094,Table1[Start Date]&lt;42461),Table1[Meaningful Use of Time],""))</f>
        <v/>
      </c>
      <c r="FI514" s="44" t="str">
        <f>IF(Table1[Date of Initial Assessment]="","",IF(AND(Table1[Start Date]&gt;42094,Table1[Start Date]&lt;42461),Table1[Managing Tenancy and Accommodation],""))</f>
        <v/>
      </c>
      <c r="FJ514" s="44" t="str">
        <f>IF(Table1[Date of Initial Assessment]="","",IF(AND(Table1[Start Date]&gt;42094,Table1[Start Date]&lt;42461),Table1[Offending],""))</f>
        <v/>
      </c>
      <c r="FK514" s="44" t="str">
        <f>IF(Table1[Leaving Date]="","",IF(Table1[Date of Initial Assessment]="","",IF(AND(Table1[Leaving Date]&gt;42094,Table1[Leaving Date]&lt;42461),IF(Table1[Date of Last Assessment]="",Table1[Motivation and Taking Responsibility],Table1[Motivation and Taking Responsibility2]),"")))</f>
        <v/>
      </c>
      <c r="FL514" s="44" t="str">
        <f>IF(Table1[Leaving Date]="","",IF(Table1[Date of Initial Assessment]="","",IF(AND(Table1[Leaving Date]&gt;42094,Table1[Leaving Date]&lt;42461),IF(Table1[Date of Last Assessment]="",Table1[Self-Care and Living Skills],Table1[Self-Care and Living Skills2]),"")))</f>
        <v/>
      </c>
      <c r="FM514" s="44" t="str">
        <f>IF(Table1[Leaving Date]="","",IF(Table1[Date of Initial Assessment]="","",IF(AND(Table1[Leaving Date]&gt;42094,Table1[Leaving Date]&lt;42461),IF(Table1[Date of Last Assessment]="",Table1[Managing Money and Personal Administration],Table1[Managing Money and Personal Administration2]),"")))</f>
        <v/>
      </c>
      <c r="FN514" s="44" t="str">
        <f>IF(Table1[Leaving Date]="","",IF(Table1[Date of Initial Assessment]="","",IF(AND(Table1[Leaving Date]&gt;42094,Table1[Leaving Date]&lt;42461),IF(Table1[Date of Last Assessment]="",Table1[Social Networks and Relationships],Table1[Social Networks and Relationships2]),"")))</f>
        <v/>
      </c>
      <c r="FO514" s="44" t="str">
        <f>IF(Table1[Leaving Date]="","",IF(Table1[Date of Initial Assessment]="","",IF(AND(Table1[Leaving Date]&gt;42094,Table1[Leaving Date]&lt;42461),IF(Table1[Date of Last Assessment]="",Table1[Drug and Alcohol Misuse],Table1[Drug and Alcohol Misuse2]),"")))</f>
        <v/>
      </c>
      <c r="FP514" s="44" t="str">
        <f>IF(Table1[Leaving Date]="","",IF(Table1[Date of Initial Assessment]="","",IF(AND(Table1[Leaving Date]&gt;42094,Table1[Leaving Date]&lt;42461),IF(Table1[Date of Last Assessment]="",Table1[Physical Health],Table1[Physical Health2]),"")))</f>
        <v/>
      </c>
      <c r="FQ514" s="44" t="str">
        <f>IF(Table1[Leaving Date]="","",IF(Table1[Date of Initial Assessment]="","",IF(AND(Table1[Leaving Date]&gt;42094,Table1[Leaving Date]&lt;42461),IF(Table1[Date of Last Assessment]="",Table1[Emotional and Mental Health],Table1[Emotional and Mental Health2]),"")))</f>
        <v/>
      </c>
      <c r="FR514" s="44" t="str">
        <f>IF(Table1[Leaving Date]="","",IF(Table1[Date of Initial Assessment]="","",IF(AND(Table1[Leaving Date]&gt;42094,Table1[Leaving Date]&lt;42461),IF(Table1[Date of Last Assessment]="",Table1[Meaningful Use of Time],Table1[Meaningful Use of Time2]),"")))</f>
        <v/>
      </c>
      <c r="FS514" s="44" t="str">
        <f>IF(Table1[Leaving Date]="","",IF(Table1[Date of Initial Assessment]="","",IF(AND(Table1[Leaving Date]&gt;42094,Table1[Leaving Date]&lt;42461),IF(Table1[Date of Last Assessment]="",Table1[Managing Tenancy and Accommodation],Table1[Managing Tenancy and Accommodation2]),"")))</f>
        <v/>
      </c>
      <c r="FT514" s="44" t="str">
        <f>IF(Table1[Leaving Date]="","",IF(Table1[Date of Initial Assessment]="","",IF(AND(Table1[Leaving Date]&gt;42094,Table1[Leaving Date]&lt;42461),IF(Table1[Date of Last Assessment]="",Table1[Offending],Table1[Offending2]),"")))</f>
        <v/>
      </c>
      <c r="FU514" s="44" t="str">
        <f>IF(Table1[Date of Initial Assessment]="","",IF(AND(Table1[Start Date]&gt;42460,Table1[Start Date]&lt;42826),Table1[Motivation and Taking Responsibility],""))</f>
        <v/>
      </c>
      <c r="FV514" s="44" t="str">
        <f>IF(Table1[Date of Initial Assessment]="","",IF(AND(Table1[Start Date]&gt;42460,Table1[Start Date]&lt;42826),Table1[Self-Care and Living Skills],""))</f>
        <v/>
      </c>
      <c r="FW514" s="44" t="str">
        <f>IF(Table1[Date of Initial Assessment]="","",IF(AND(Table1[Start Date]&gt;42460,Table1[Start Date]&lt;42826),Table1[Managing Money and Personal Administration],""))</f>
        <v/>
      </c>
      <c r="FX514" s="44" t="str">
        <f>IF(Table1[Date of Initial Assessment]="","",IF(AND(Table1[Start Date]&gt;42460,Table1[Start Date]&lt;42826),Table1[Social Networks and Relationships],""))</f>
        <v/>
      </c>
      <c r="FY514" s="44" t="str">
        <f>IF(Table1[Date of Initial Assessment]="","",IF(AND(Table1[Start Date]&gt;42460,Table1[Start Date]&lt;42826),Table1[Drug and Alcohol Misuse],""))</f>
        <v/>
      </c>
      <c r="FZ514" s="44" t="str">
        <f>IF(Table1[Date of Initial Assessment]="","",IF(AND(Table1[Start Date]&gt;42460,Table1[Start Date]&lt;42826),Table1[Physical Health],""))</f>
        <v/>
      </c>
      <c r="GA514" s="44" t="str">
        <f>IF(Table1[Date of Initial Assessment]="","",IF(AND(Table1[Start Date]&gt;42460,Table1[Start Date]&lt;42826),Table1[Emotional and Mental Health],""))</f>
        <v/>
      </c>
      <c r="GB514" s="44" t="str">
        <f>IF(Table1[Date of Initial Assessment]="","",IF(AND(Table1[Start Date]&gt;42460,Table1[Start Date]&lt;42826),Table1[Meaningful Use of Time],""))</f>
        <v/>
      </c>
      <c r="GC514" s="44" t="str">
        <f>IF(Table1[Date of Initial Assessment]="","",IF(AND(Table1[Start Date]&gt;42460,Table1[Start Date]&lt;42826),Table1[Managing Tenancy and Accommodation],""))</f>
        <v/>
      </c>
      <c r="GD514" s="44" t="str">
        <f>IF(Table1[Date of Initial Assessment]="","",IF(AND(Table1[Start Date]&gt;42460,Table1[Start Date]&lt;42826),Table1[Offending],""))</f>
        <v/>
      </c>
      <c r="GE514" s="44" t="str">
        <f>IF(Table1[Leaving Date]="","",IF(AND(Table1[Leaving Date]&gt;42460,Table1[Leaving Date]&lt;42826),IF(Table1[Date of Last Assessment]="",Table1[Motivation and Taking Responsibility],Table1[Motivation and Taking Responsibility2]),""))</f>
        <v/>
      </c>
      <c r="GF514" s="44" t="str">
        <f>IF(Table1[Leaving Date]="","",IF(AND(Table1[Leaving Date]&gt;42460,Table1[Leaving Date]&lt;42826),IF(Table1[Date of Last Assessment]="",Table1[Self-Care and Living Skills],Table1[Self-Care and Living Skills2]),""))</f>
        <v/>
      </c>
      <c r="GG514" s="44" t="str">
        <f>IF(Table1[Leaving Date]="","",IF(AND(Table1[Leaving Date]&gt;42460,Table1[Leaving Date]&lt;42826),IF(Table1[Date of Last Assessment]="",Table1[Managing Money and Personal Administration],Table1[Managing Money and Personal Administration2]),""))</f>
        <v/>
      </c>
      <c r="GH514" s="44" t="str">
        <f>IF(Table1[Leaving Date]="","",IF(AND(Table1[Leaving Date]&gt;42460,Table1[Leaving Date]&lt;42826),IF(Table1[Date of Last Assessment]="",Table1[Social Networks and Relationships],Table1[Social Networks and Relationships2]),""))</f>
        <v/>
      </c>
      <c r="GI514" s="44" t="str">
        <f>IF(Table1[Leaving Date]="","",IF(AND(Table1[Leaving Date]&gt;42460,Table1[Leaving Date]&lt;42826),IF(Table1[Date of Last Assessment]="",Table1[Drug and Alcohol Misuse],Table1[Drug and Alcohol Misuse2]),""))</f>
        <v/>
      </c>
      <c r="GJ514" s="44" t="str">
        <f>IF(Table1[Leaving Date]="","",IF(AND(Table1[Leaving Date]&gt;42460,Table1[Leaving Date]&lt;42826),IF(Table1[Date of Last Assessment]="",Table1[Physical Health],Table1[Physical Health2]),""))</f>
        <v/>
      </c>
      <c r="GK514" s="44" t="str">
        <f>IF(Table1[Leaving Date]="","",IF(AND(Table1[Leaving Date]&gt;42460,Table1[Leaving Date]&lt;42826),IF(Table1[Date of Last Assessment]="",Table1[Emotional and Mental Health],Table1[Emotional and Mental Health2]),""))</f>
        <v/>
      </c>
      <c r="GL514" s="44" t="str">
        <f>IF(Table1[Leaving Date]="","",IF(AND(Table1[Leaving Date]&gt;42460,Table1[Leaving Date]&lt;42826),IF(Table1[Date of Last Assessment]="",Table1[Meaningful Use of Time],Table1[Meaningful Use of Time2]),""))</f>
        <v/>
      </c>
      <c r="GM514" s="44" t="str">
        <f>IF(Table1[Leaving Date]="","",IF(AND(Table1[Leaving Date]&gt;42460,Table1[Leaving Date]&lt;42826),IF(Table1[Date of Last Assessment]="",Table1[Managing Tenancy and Accommodation],Table1[Managing Tenancy and Accommodation2]),""))</f>
        <v/>
      </c>
      <c r="GN514" s="44" t="str">
        <f>IF(Table1[Leaving Date]="","",IF(AND(Table1[Leaving Date]&gt;42460,Table1[Leaving Date]&lt;42826),IF(Table1[Date of Last Assessment]="",Table1[Offending],Table1[Offending2]),""))</f>
        <v/>
      </c>
    </row>
    <row r="515" spans="2:196" ht="20.100000000000001" customHeight="1" x14ac:dyDescent="0.2">
      <c r="B515" s="86">
        <f>+'Service Data'!$C$5:$C$5</f>
        <v>0</v>
      </c>
      <c r="C515" s="86"/>
      <c r="D515" s="86"/>
      <c r="E515" s="86"/>
      <c r="F515" s="86"/>
      <c r="G515" s="86"/>
      <c r="H515" s="6"/>
      <c r="I515" s="99" t="str">
        <f ca="1">IF(Table1[[#This Row],[Date of Birth]]="","",SUM(TODAY()-Table1[[#This Row],[Date of Birth]])/365)</f>
        <v/>
      </c>
      <c r="L515" s="86"/>
      <c r="M515" s="77"/>
      <c r="N515" s="86"/>
      <c r="O515" s="86"/>
      <c r="P515" s="91"/>
      <c r="Q515" s="86"/>
      <c r="R515" s="77"/>
      <c r="S515" s="77"/>
      <c r="T515" s="68"/>
      <c r="U515" s="68"/>
      <c r="V515" s="67"/>
      <c r="W515" s="67"/>
      <c r="X515" s="67"/>
      <c r="Y515" s="67"/>
      <c r="Z515" s="67"/>
      <c r="AA515" s="67"/>
      <c r="AB515" s="67"/>
      <c r="AC515" s="67"/>
      <c r="AD515" s="67"/>
      <c r="AE515" s="67"/>
      <c r="AF515" s="67"/>
      <c r="AG515" s="67"/>
      <c r="AH515" s="67"/>
      <c r="AI515" s="67"/>
      <c r="AJ515" s="67"/>
      <c r="AK515" s="67"/>
      <c r="AL515" s="67"/>
      <c r="AM515" s="67"/>
      <c r="AN515" s="77"/>
      <c r="AO515" s="76"/>
      <c r="AP515" s="77"/>
      <c r="AQ515" s="76"/>
      <c r="AR515" s="76"/>
      <c r="AS515" s="76"/>
      <c r="AT515" s="76"/>
      <c r="AU515" s="76"/>
      <c r="AV515" s="77"/>
      <c r="AW515" s="76"/>
      <c r="AX515" s="77"/>
      <c r="AY515" s="76"/>
      <c r="AZ515" s="76"/>
      <c r="BA515" s="76"/>
      <c r="BB515" s="76"/>
      <c r="BC515" s="76"/>
      <c r="BD515" s="77"/>
      <c r="BE515" s="76"/>
      <c r="BF515" s="77"/>
      <c r="BG515" s="76"/>
      <c r="BH515" s="76"/>
      <c r="BI515" s="76"/>
      <c r="BJ515" s="76"/>
      <c r="BK515" s="76"/>
      <c r="BL515" s="77"/>
      <c r="BM515" s="76"/>
      <c r="BN515" s="77"/>
      <c r="BO515" s="76"/>
      <c r="BP515" s="76"/>
      <c r="BQ515" s="76"/>
      <c r="BR515" s="76"/>
      <c r="BS515" s="76"/>
      <c r="BT515" s="77"/>
      <c r="BU515" s="76"/>
      <c r="BV515" s="77"/>
      <c r="BW515" s="76"/>
      <c r="BX515" s="76"/>
      <c r="BY515" s="76"/>
      <c r="BZ515" s="76"/>
      <c r="CA515" s="76"/>
      <c r="CB515" s="77"/>
      <c r="CC515" s="76"/>
      <c r="CD515" s="77"/>
      <c r="CE515" s="76"/>
      <c r="CF515" s="76"/>
      <c r="CG515" s="76"/>
      <c r="CH515" s="76"/>
      <c r="CI515" s="76"/>
      <c r="CJ515" s="77"/>
      <c r="CK515" s="76"/>
      <c r="CL515" s="77"/>
      <c r="CM515" s="76"/>
      <c r="CN515" s="76"/>
      <c r="CO515" s="76"/>
      <c r="CP515" s="76"/>
      <c r="CQ515" s="76"/>
      <c r="CR515" s="78" t="str">
        <f t="shared" si="127"/>
        <v/>
      </c>
      <c r="CS515" s="79" t="str">
        <f t="shared" si="128"/>
        <v/>
      </c>
      <c r="CT515" s="79" t="str">
        <f t="shared" si="129"/>
        <v/>
      </c>
      <c r="CU515" s="79" t="str">
        <f t="shared" si="130"/>
        <v/>
      </c>
      <c r="CV515" s="79" t="str">
        <f t="shared" si="131"/>
        <v/>
      </c>
      <c r="CW515" s="79" t="str">
        <f t="shared" si="132"/>
        <v/>
      </c>
      <c r="CX515" s="79" t="str">
        <f t="shared" si="133"/>
        <v/>
      </c>
      <c r="CY515" s="79" t="str">
        <f t="shared" si="134"/>
        <v/>
      </c>
      <c r="CZ515" s="79" t="str">
        <f t="shared" si="135"/>
        <v/>
      </c>
      <c r="DA515" s="79" t="str">
        <f t="shared" si="136"/>
        <v/>
      </c>
      <c r="DB515" s="79" t="str">
        <f t="shared" si="137"/>
        <v/>
      </c>
      <c r="DC515" s="79" t="str">
        <f t="shared" si="138"/>
        <v/>
      </c>
      <c r="DD515" s="79" t="str">
        <f t="shared" si="139"/>
        <v/>
      </c>
      <c r="DE515" s="79" t="str">
        <f t="shared" si="140"/>
        <v/>
      </c>
      <c r="DF515" s="79" t="str">
        <f t="shared" si="141"/>
        <v/>
      </c>
      <c r="DG515" s="79" t="str">
        <f t="shared" si="142"/>
        <v/>
      </c>
      <c r="DH515" s="76"/>
      <c r="DI515" s="78"/>
      <c r="DJ515" s="76"/>
      <c r="DK515" s="77"/>
      <c r="DL515" s="77"/>
      <c r="DM515" s="77"/>
      <c r="DN515" s="80"/>
      <c r="DO515" s="80"/>
      <c r="DP515" s="92" t="str">
        <f>IF(Table1[Start Date]="","",IF(Table1[Start Date]&gt;42185,"",IF(AND(Table1[Leaving Date]&gt;1,Table1[Leaving Date]&lt;42095),"",1)))</f>
        <v/>
      </c>
      <c r="DQ515" s="92" t="str">
        <f>IF(Table1[Start Date]="","",IF(Table1[Start Date]&gt;42277,"",IF(AND(Table1[Leaving Date]&gt;1,Table1[Leaving Date]&lt;42186),"",1)))</f>
        <v/>
      </c>
      <c r="DR515" s="92" t="str">
        <f>IF(Table1[Start Date]="","",IF(Table1[Start Date]&gt;42369,"",IF(AND(Table1[Leaving Date]&gt;1,Table1[Leaving Date]&lt;42278),"",1)))</f>
        <v/>
      </c>
      <c r="DS515" s="92" t="str">
        <f>IF(Table1[Start Date]="","",IF(Table1[Start Date]&gt;42460,"",IF(AND(Table1[Leaving Date]&gt;1,Table1[Leaving Date]&lt;42370),"",1)))</f>
        <v/>
      </c>
      <c r="DT515" s="92" t="str">
        <f>IF(Table1[Start Date]="","",IF(Table1[Start Date]&gt;42551,"",IF(AND(Table1[Leaving Date]&gt;1,Table1[Leaving Date]&lt;42461),"",1)))</f>
        <v/>
      </c>
      <c r="DU515" s="92" t="str">
        <f>IF(Table1[Start Date]="","",IF(Table1[Start Date]&gt;42643,"",IF(AND(Table1[Leaving Date]&gt;1,Table1[Leaving Date]&lt;42552),"",1)))</f>
        <v/>
      </c>
      <c r="DV515" s="92" t="str">
        <f>IF(Table1[Start Date]="","",IF(Table1[Start Date]&gt;42735,"",IF(AND(Table1[Leaving Date]&gt;1,Table1[Leaving Date]&lt;42644),"",1)))</f>
        <v/>
      </c>
      <c r="DW515" s="92" t="str">
        <f>IF(Table1[Start Date]="","",IF(Table1[Start Date]&gt;42825,"",IF(AND(Table1[Leaving Date]&gt;1,Table1[Leaving Date]&lt;42736),"",1)))</f>
        <v/>
      </c>
      <c r="DX515"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515" s="44" t="e">
        <f>VLOOKUP(Table1[Referral Source],Lists!$G$2:$H$20,2,FALSE)</f>
        <v>#N/A</v>
      </c>
      <c r="DZ515" s="93" t="e">
        <f>SUM(Table1[Data Referral Quarter]+Table1[Data Referral Source])</f>
        <v>#N/A</v>
      </c>
      <c r="EA515" s="44" t="b">
        <f>IF(Table1[Referral Decision]="Accepted",100,IF(Table1[Referral Decision]="Rejected by Provider",200,IF(Table1[Referral Decision]="Rejected by Applicant",300)))</f>
        <v>0</v>
      </c>
      <c r="EB515" s="44">
        <f>SUM(Table1[Data Referral Quarter]+Table1[Data Referral Decision])</f>
        <v>0</v>
      </c>
      <c r="EC515" s="44" t="b">
        <f>IF(Table1[Start Date]&gt;42735,8000,IF(Table1[Start Date]&gt;42643,7000,IF(Table1[Start Date]&gt;42551,6000,IF(Table1[Start Date]&gt;42460,5000,IF(Table1[Start Date]&gt;42369,4000,IF(Table1[Start Date]&gt;42277,3000,IF(Table1[Start Date]&gt;42185,2000,IF(Table1[Start Date]&gt;42094,1000))))))))</f>
        <v>0</v>
      </c>
      <c r="ED515" s="44" t="str">
        <f>IF(Table1[Start Date]="","",IF(Table1[Current Local Authority]="Swindon",1,"2"))</f>
        <v/>
      </c>
      <c r="EE515" s="44" t="e">
        <f>SUM(Table1[Data Start Date]+Table1[Data Local Authority])</f>
        <v>#VALUE!</v>
      </c>
      <c r="EF515" s="44">
        <f>IF(Table1[Registered with GP]="Yes",1,0)</f>
        <v>0</v>
      </c>
      <c r="EG515" s="44">
        <f>SUM(Table1[Data Start Date]+Table1[Data GP Start])</f>
        <v>0</v>
      </c>
      <c r="EH515" s="44" t="str">
        <f>IF(Table1[EET]="NEET",1,IF(Table1[EET]="Education",2,IF(Table1[EET]="Employment",2,IF(Table1[EET]="Training",2,IF(Table1[EET]="Retired",3,"")))))</f>
        <v/>
      </c>
      <c r="EI515" s="44" t="e">
        <f>Table1[Data Start Date]+Table1[Data EET Start]</f>
        <v>#VALUE!</v>
      </c>
      <c r="EJ515" s="44" t="b">
        <f>IF(Table1[Leaving Date]&gt;42735,8000,IF(Table1[Leaving Date]&gt;42643,7000,IF(Table1[Leaving Date]&gt;42551,6000,IF(Table1[Leaving Date]&gt;42460,5000,IF(Table1[Leaving Date]&gt;42369,4000,IF(Table1[Leaving Date]&gt;42277,3000,IF(Table1[Leaving Date]&gt;42185,2000,IF(Table1[Leaving Date]&gt;42094,1000))))))))</f>
        <v>0</v>
      </c>
      <c r="EK515" s="44" t="e">
        <f>VLOOKUP(Table1[Reason for Leaving],Lists!$T$2:$U$15,2,FALSE)</f>
        <v>#N/A</v>
      </c>
      <c r="EL515" s="44" t="e">
        <f>SUM(Table1[Data Leavers Date]+Table1[Data Move On])</f>
        <v>#N/A</v>
      </c>
      <c r="EM515" s="44" t="b">
        <f>IF(Table1[Registered with GP2]="Yes",1,IF(Table1[Registered with GP2]="No",0,IF(Table1[Registered with GP]="Yes",1,IF(Table1[Registered with GP]="No",0))))</f>
        <v>0</v>
      </c>
      <c r="EN515" s="44">
        <f>SUM(Table1[Data Leavers Date]+Table1[Data GP End])</f>
        <v>0</v>
      </c>
      <c r="EO515" s="44" t="str">
        <f>IF(Table1[EET2]="NEET",1,IF(Table1[EET2]="Employment",2,IF(Table1[EET2]="Education",2,IF(Table1[EET2]="Training",2,IF(Table1[EET2]="Retired",3,IF(Table1[EET]="NEET",1,IF(Table1[EET]="Employment",2,IF(Table1[EET]="Education",2,IF(Table1[EET]="Training",2,IF(Table1[EET]="Retired",3,""))))))))))</f>
        <v/>
      </c>
      <c r="EP515" s="44" t="e">
        <f>+Table1[[#This Row],[Data Leavers Date]]+Table1[[#This Row],[Data EET End]]</f>
        <v>#VALUE!</v>
      </c>
      <c r="EQ515" s="44">
        <f>IF(Table1[Exit Form Received]="Yes",1,0)</f>
        <v>0</v>
      </c>
      <c r="ER515" s="44">
        <f>+Table1[[#This Row],[Data Leavers Date]]+Table1[[#This Row],[Data Exit Forms]]</f>
        <v>0</v>
      </c>
      <c r="ES515" s="44" t="str">
        <f>IF(Table1[Data Leavers Date]=1000,SUM(Table1[Leaving Date]-Table1[Start Date]),"")</f>
        <v/>
      </c>
      <c r="ET515" s="44" t="str">
        <f>IF(Table1[Data Leavers Date]=2000,SUM(Table1[Leaving Date]-Table1[Start Date]),"")</f>
        <v/>
      </c>
      <c r="EU515" s="44" t="str">
        <f>IF(Table1[Data Leavers Date]=3000,SUM(Table1[Leaving Date]-Table1[Start Date]),"")</f>
        <v/>
      </c>
      <c r="EV515" s="44" t="str">
        <f>IF(Table1[Data Leavers Date]=4000,SUM(Table1[Leaving Date]-Table1[Start Date]),"")</f>
        <v/>
      </c>
      <c r="EW515" s="44" t="str">
        <f>IF(Table1[Data Leavers Date]=5000,SUM(Table1[Leaving Date]-Table1[Start Date]),"")</f>
        <v/>
      </c>
      <c r="EX515" s="44" t="str">
        <f>IF(Table1[Data Leavers Date]=6000,SUM(Table1[Leaving Date]-Table1[Start Date]),"")</f>
        <v/>
      </c>
      <c r="EY515" s="44" t="str">
        <f>IF(Table1[Data Leavers Date]=7000,SUM(Table1[Leaving Date]-Table1[Start Date]),"")</f>
        <v/>
      </c>
      <c r="EZ515" s="44" t="str">
        <f>IF(Table1[Data Leavers Date]=8000,SUM(Table1[Leaving Date]-Table1[Start Date]),"")</f>
        <v/>
      </c>
      <c r="FA515" s="44" t="str">
        <f>IF(Table1[Date of Initial Assessment]="","",IF(AND(Table1[Start Date]&gt;42094,Table1[Start Date]&lt;42461),Table1[Motivation and Taking Responsibility],""))</f>
        <v/>
      </c>
      <c r="FB515" s="44" t="str">
        <f>IF(Table1[Date of Initial Assessment]="","",IF(AND(Table1[Start Date]&gt;42094,Table1[Start Date]&lt;42461),Table1[Self-Care and Living Skills],""))</f>
        <v/>
      </c>
      <c r="FC515" s="44" t="str">
        <f>IF(Table1[Date of Initial Assessment]="","",IF(AND(Table1[Start Date]&gt;42094,Table1[Start Date]&lt;42461),Table1[Managing Money and Personal Administration],""))</f>
        <v/>
      </c>
      <c r="FD515" s="44" t="str">
        <f>IF(Table1[Date of Initial Assessment]="","",IF(AND(Table1[Start Date]&gt;42094,Table1[Start Date]&lt;42461),Table1[Social Networks and Relationships],""))</f>
        <v/>
      </c>
      <c r="FE515" s="44" t="str">
        <f>IF(Table1[Date of Initial Assessment]="","",IF(AND(Table1[Start Date]&gt;42094,Table1[Start Date]&lt;42461),Table1[Drug and Alcohol Misuse],""))</f>
        <v/>
      </c>
      <c r="FF515" s="44" t="str">
        <f>IF(Table1[Date of Initial Assessment]="","",IF(AND(Table1[Start Date]&gt;42094,Table1[Start Date]&lt;42461),Table1[Physical Health],""))</f>
        <v/>
      </c>
      <c r="FG515" s="44" t="str">
        <f>IF(Table1[Date of Initial Assessment]="","",IF(AND(Table1[Start Date]&gt;42094,Table1[Start Date]&lt;42461),Table1[Emotional and Mental Health],""))</f>
        <v/>
      </c>
      <c r="FH515" s="44" t="str">
        <f>IF(Table1[Date of Initial Assessment]="","",IF(AND(Table1[Start Date]&gt;42094,Table1[Start Date]&lt;42461),Table1[Meaningful Use of Time],""))</f>
        <v/>
      </c>
      <c r="FI515" s="44" t="str">
        <f>IF(Table1[Date of Initial Assessment]="","",IF(AND(Table1[Start Date]&gt;42094,Table1[Start Date]&lt;42461),Table1[Managing Tenancy and Accommodation],""))</f>
        <v/>
      </c>
      <c r="FJ515" s="44" t="str">
        <f>IF(Table1[Date of Initial Assessment]="","",IF(AND(Table1[Start Date]&gt;42094,Table1[Start Date]&lt;42461),Table1[Offending],""))</f>
        <v/>
      </c>
      <c r="FK515" s="44" t="str">
        <f>IF(Table1[Leaving Date]="","",IF(Table1[Date of Initial Assessment]="","",IF(AND(Table1[Leaving Date]&gt;42094,Table1[Leaving Date]&lt;42461),IF(Table1[Date of Last Assessment]="",Table1[Motivation and Taking Responsibility],Table1[Motivation and Taking Responsibility2]),"")))</f>
        <v/>
      </c>
      <c r="FL515" s="44" t="str">
        <f>IF(Table1[Leaving Date]="","",IF(Table1[Date of Initial Assessment]="","",IF(AND(Table1[Leaving Date]&gt;42094,Table1[Leaving Date]&lt;42461),IF(Table1[Date of Last Assessment]="",Table1[Self-Care and Living Skills],Table1[Self-Care and Living Skills2]),"")))</f>
        <v/>
      </c>
      <c r="FM515" s="44" t="str">
        <f>IF(Table1[Leaving Date]="","",IF(Table1[Date of Initial Assessment]="","",IF(AND(Table1[Leaving Date]&gt;42094,Table1[Leaving Date]&lt;42461),IF(Table1[Date of Last Assessment]="",Table1[Managing Money and Personal Administration],Table1[Managing Money and Personal Administration2]),"")))</f>
        <v/>
      </c>
      <c r="FN515" s="44" t="str">
        <f>IF(Table1[Leaving Date]="","",IF(Table1[Date of Initial Assessment]="","",IF(AND(Table1[Leaving Date]&gt;42094,Table1[Leaving Date]&lt;42461),IF(Table1[Date of Last Assessment]="",Table1[Social Networks and Relationships],Table1[Social Networks and Relationships2]),"")))</f>
        <v/>
      </c>
      <c r="FO515" s="44" t="str">
        <f>IF(Table1[Leaving Date]="","",IF(Table1[Date of Initial Assessment]="","",IF(AND(Table1[Leaving Date]&gt;42094,Table1[Leaving Date]&lt;42461),IF(Table1[Date of Last Assessment]="",Table1[Drug and Alcohol Misuse],Table1[Drug and Alcohol Misuse2]),"")))</f>
        <v/>
      </c>
      <c r="FP515" s="44" t="str">
        <f>IF(Table1[Leaving Date]="","",IF(Table1[Date of Initial Assessment]="","",IF(AND(Table1[Leaving Date]&gt;42094,Table1[Leaving Date]&lt;42461),IF(Table1[Date of Last Assessment]="",Table1[Physical Health],Table1[Physical Health2]),"")))</f>
        <v/>
      </c>
      <c r="FQ515" s="44" t="str">
        <f>IF(Table1[Leaving Date]="","",IF(Table1[Date of Initial Assessment]="","",IF(AND(Table1[Leaving Date]&gt;42094,Table1[Leaving Date]&lt;42461),IF(Table1[Date of Last Assessment]="",Table1[Emotional and Mental Health],Table1[Emotional and Mental Health2]),"")))</f>
        <v/>
      </c>
      <c r="FR515" s="44" t="str">
        <f>IF(Table1[Leaving Date]="","",IF(Table1[Date of Initial Assessment]="","",IF(AND(Table1[Leaving Date]&gt;42094,Table1[Leaving Date]&lt;42461),IF(Table1[Date of Last Assessment]="",Table1[Meaningful Use of Time],Table1[Meaningful Use of Time2]),"")))</f>
        <v/>
      </c>
      <c r="FS515" s="44" t="str">
        <f>IF(Table1[Leaving Date]="","",IF(Table1[Date of Initial Assessment]="","",IF(AND(Table1[Leaving Date]&gt;42094,Table1[Leaving Date]&lt;42461),IF(Table1[Date of Last Assessment]="",Table1[Managing Tenancy and Accommodation],Table1[Managing Tenancy and Accommodation2]),"")))</f>
        <v/>
      </c>
      <c r="FT515" s="44" t="str">
        <f>IF(Table1[Leaving Date]="","",IF(Table1[Date of Initial Assessment]="","",IF(AND(Table1[Leaving Date]&gt;42094,Table1[Leaving Date]&lt;42461),IF(Table1[Date of Last Assessment]="",Table1[Offending],Table1[Offending2]),"")))</f>
        <v/>
      </c>
      <c r="FU515" s="44" t="str">
        <f>IF(Table1[Date of Initial Assessment]="","",IF(AND(Table1[Start Date]&gt;42460,Table1[Start Date]&lt;42826),Table1[Motivation and Taking Responsibility],""))</f>
        <v/>
      </c>
      <c r="FV515" s="44" t="str">
        <f>IF(Table1[Date of Initial Assessment]="","",IF(AND(Table1[Start Date]&gt;42460,Table1[Start Date]&lt;42826),Table1[Self-Care and Living Skills],""))</f>
        <v/>
      </c>
      <c r="FW515" s="44" t="str">
        <f>IF(Table1[Date of Initial Assessment]="","",IF(AND(Table1[Start Date]&gt;42460,Table1[Start Date]&lt;42826),Table1[Managing Money and Personal Administration],""))</f>
        <v/>
      </c>
      <c r="FX515" s="44" t="str">
        <f>IF(Table1[Date of Initial Assessment]="","",IF(AND(Table1[Start Date]&gt;42460,Table1[Start Date]&lt;42826),Table1[Social Networks and Relationships],""))</f>
        <v/>
      </c>
      <c r="FY515" s="44" t="str">
        <f>IF(Table1[Date of Initial Assessment]="","",IF(AND(Table1[Start Date]&gt;42460,Table1[Start Date]&lt;42826),Table1[Drug and Alcohol Misuse],""))</f>
        <v/>
      </c>
      <c r="FZ515" s="44" t="str">
        <f>IF(Table1[Date of Initial Assessment]="","",IF(AND(Table1[Start Date]&gt;42460,Table1[Start Date]&lt;42826),Table1[Physical Health],""))</f>
        <v/>
      </c>
      <c r="GA515" s="44" t="str">
        <f>IF(Table1[Date of Initial Assessment]="","",IF(AND(Table1[Start Date]&gt;42460,Table1[Start Date]&lt;42826),Table1[Emotional and Mental Health],""))</f>
        <v/>
      </c>
      <c r="GB515" s="44" t="str">
        <f>IF(Table1[Date of Initial Assessment]="","",IF(AND(Table1[Start Date]&gt;42460,Table1[Start Date]&lt;42826),Table1[Meaningful Use of Time],""))</f>
        <v/>
      </c>
      <c r="GC515" s="44" t="str">
        <f>IF(Table1[Date of Initial Assessment]="","",IF(AND(Table1[Start Date]&gt;42460,Table1[Start Date]&lt;42826),Table1[Managing Tenancy and Accommodation],""))</f>
        <v/>
      </c>
      <c r="GD515" s="44" t="str">
        <f>IF(Table1[Date of Initial Assessment]="","",IF(AND(Table1[Start Date]&gt;42460,Table1[Start Date]&lt;42826),Table1[Offending],""))</f>
        <v/>
      </c>
      <c r="GE515" s="44" t="str">
        <f>IF(Table1[Leaving Date]="","",IF(AND(Table1[Leaving Date]&gt;42460,Table1[Leaving Date]&lt;42826),IF(Table1[Date of Last Assessment]="",Table1[Motivation and Taking Responsibility],Table1[Motivation and Taking Responsibility2]),""))</f>
        <v/>
      </c>
      <c r="GF515" s="44" t="str">
        <f>IF(Table1[Leaving Date]="","",IF(AND(Table1[Leaving Date]&gt;42460,Table1[Leaving Date]&lt;42826),IF(Table1[Date of Last Assessment]="",Table1[Self-Care and Living Skills],Table1[Self-Care and Living Skills2]),""))</f>
        <v/>
      </c>
      <c r="GG515" s="44" t="str">
        <f>IF(Table1[Leaving Date]="","",IF(AND(Table1[Leaving Date]&gt;42460,Table1[Leaving Date]&lt;42826),IF(Table1[Date of Last Assessment]="",Table1[Managing Money and Personal Administration],Table1[Managing Money and Personal Administration2]),""))</f>
        <v/>
      </c>
      <c r="GH515" s="44" t="str">
        <f>IF(Table1[Leaving Date]="","",IF(AND(Table1[Leaving Date]&gt;42460,Table1[Leaving Date]&lt;42826),IF(Table1[Date of Last Assessment]="",Table1[Social Networks and Relationships],Table1[Social Networks and Relationships2]),""))</f>
        <v/>
      </c>
      <c r="GI515" s="44" t="str">
        <f>IF(Table1[Leaving Date]="","",IF(AND(Table1[Leaving Date]&gt;42460,Table1[Leaving Date]&lt;42826),IF(Table1[Date of Last Assessment]="",Table1[Drug and Alcohol Misuse],Table1[Drug and Alcohol Misuse2]),""))</f>
        <v/>
      </c>
      <c r="GJ515" s="44" t="str">
        <f>IF(Table1[Leaving Date]="","",IF(AND(Table1[Leaving Date]&gt;42460,Table1[Leaving Date]&lt;42826),IF(Table1[Date of Last Assessment]="",Table1[Physical Health],Table1[Physical Health2]),""))</f>
        <v/>
      </c>
      <c r="GK515" s="44" t="str">
        <f>IF(Table1[Leaving Date]="","",IF(AND(Table1[Leaving Date]&gt;42460,Table1[Leaving Date]&lt;42826),IF(Table1[Date of Last Assessment]="",Table1[Emotional and Mental Health],Table1[Emotional and Mental Health2]),""))</f>
        <v/>
      </c>
      <c r="GL515" s="44" t="str">
        <f>IF(Table1[Leaving Date]="","",IF(AND(Table1[Leaving Date]&gt;42460,Table1[Leaving Date]&lt;42826),IF(Table1[Date of Last Assessment]="",Table1[Meaningful Use of Time],Table1[Meaningful Use of Time2]),""))</f>
        <v/>
      </c>
      <c r="GM515" s="44" t="str">
        <f>IF(Table1[Leaving Date]="","",IF(AND(Table1[Leaving Date]&gt;42460,Table1[Leaving Date]&lt;42826),IF(Table1[Date of Last Assessment]="",Table1[Managing Tenancy and Accommodation],Table1[Managing Tenancy and Accommodation2]),""))</f>
        <v/>
      </c>
      <c r="GN515" s="44" t="str">
        <f>IF(Table1[Leaving Date]="","",IF(AND(Table1[Leaving Date]&gt;42460,Table1[Leaving Date]&lt;42826),IF(Table1[Date of Last Assessment]="",Table1[Offending],Table1[Offending2]),""))</f>
        <v/>
      </c>
    </row>
    <row r="516" spans="2:196" ht="20.100000000000001" customHeight="1" x14ac:dyDescent="0.2">
      <c r="B516" s="86">
        <f>+'Service Data'!$C$5:$C$5</f>
        <v>0</v>
      </c>
      <c r="C516" s="86"/>
      <c r="D516" s="86"/>
      <c r="E516" s="86"/>
      <c r="F516" s="86"/>
      <c r="G516" s="86"/>
      <c r="H516" s="6"/>
      <c r="I516" s="99" t="str">
        <f ca="1">IF(Table1[[#This Row],[Date of Birth]]="","",SUM(TODAY()-Table1[[#This Row],[Date of Birth]])/365)</f>
        <v/>
      </c>
      <c r="L516" s="86"/>
      <c r="M516" s="77"/>
      <c r="N516" s="86"/>
      <c r="O516" s="86"/>
      <c r="P516" s="91"/>
      <c r="Q516" s="86"/>
      <c r="R516" s="77"/>
      <c r="S516" s="77"/>
      <c r="T516" s="68"/>
      <c r="U516" s="68"/>
      <c r="V516" s="67"/>
      <c r="W516" s="67"/>
      <c r="X516" s="67"/>
      <c r="Y516" s="67"/>
      <c r="Z516" s="67"/>
      <c r="AA516" s="67"/>
      <c r="AB516" s="67"/>
      <c r="AC516" s="67"/>
      <c r="AD516" s="67"/>
      <c r="AE516" s="67"/>
      <c r="AF516" s="67"/>
      <c r="AG516" s="67"/>
      <c r="AH516" s="67"/>
      <c r="AI516" s="67"/>
      <c r="AJ516" s="67"/>
      <c r="AK516" s="67"/>
      <c r="AL516" s="67"/>
      <c r="AM516" s="67"/>
      <c r="AN516" s="77"/>
      <c r="AO516" s="76"/>
      <c r="AP516" s="77"/>
      <c r="AQ516" s="76"/>
      <c r="AR516" s="76"/>
      <c r="AS516" s="76"/>
      <c r="AT516" s="76"/>
      <c r="AU516" s="76"/>
      <c r="AV516" s="77"/>
      <c r="AW516" s="76"/>
      <c r="AX516" s="77"/>
      <c r="AY516" s="76"/>
      <c r="AZ516" s="76"/>
      <c r="BA516" s="76"/>
      <c r="BB516" s="76"/>
      <c r="BC516" s="76"/>
      <c r="BD516" s="77"/>
      <c r="BE516" s="76"/>
      <c r="BF516" s="77"/>
      <c r="BG516" s="76"/>
      <c r="BH516" s="76"/>
      <c r="BI516" s="76"/>
      <c r="BJ516" s="76"/>
      <c r="BK516" s="76"/>
      <c r="BL516" s="77"/>
      <c r="BM516" s="76"/>
      <c r="BN516" s="77"/>
      <c r="BO516" s="76"/>
      <c r="BP516" s="76"/>
      <c r="BQ516" s="76"/>
      <c r="BR516" s="76"/>
      <c r="BS516" s="76"/>
      <c r="BT516" s="77"/>
      <c r="BU516" s="76"/>
      <c r="BV516" s="77"/>
      <c r="BW516" s="76"/>
      <c r="BX516" s="76"/>
      <c r="BY516" s="76"/>
      <c r="BZ516" s="76"/>
      <c r="CA516" s="76"/>
      <c r="CB516" s="77"/>
      <c r="CC516" s="76"/>
      <c r="CD516" s="77"/>
      <c r="CE516" s="76"/>
      <c r="CF516" s="76"/>
      <c r="CG516" s="76"/>
      <c r="CH516" s="76"/>
      <c r="CI516" s="76"/>
      <c r="CJ516" s="77"/>
      <c r="CK516" s="76"/>
      <c r="CL516" s="77"/>
      <c r="CM516" s="76"/>
      <c r="CN516" s="76"/>
      <c r="CO516" s="76"/>
      <c r="CP516" s="76"/>
      <c r="CQ516" s="76"/>
      <c r="CR516" s="78" t="str">
        <f t="shared" ref="CR516:CR579" si="143">IF(U516="","",U516)</f>
        <v/>
      </c>
      <c r="CS516" s="79" t="str">
        <f t="shared" ref="CS516:CS579" si="144">IF(V516="","",V516)</f>
        <v/>
      </c>
      <c r="CT516" s="79" t="str">
        <f t="shared" ref="CT516:CT579" si="145">IF(W516="","",W516)</f>
        <v/>
      </c>
      <c r="CU516" s="79" t="str">
        <f t="shared" ref="CU516:CU579" si="146">IF(X516="","",X516)</f>
        <v/>
      </c>
      <c r="CV516" s="79" t="str">
        <f t="shared" ref="CV516:CV579" si="147">IF(Y516="","",Y516)</f>
        <v/>
      </c>
      <c r="CW516" s="79" t="str">
        <f t="shared" ref="CW516:CW579" si="148">IF(Z516="","",Z516)</f>
        <v/>
      </c>
      <c r="CX516" s="79" t="str">
        <f t="shared" ref="CX516:CX579" si="149">IF(AA516="","",AA516)</f>
        <v/>
      </c>
      <c r="CY516" s="79" t="str">
        <f t="shared" ref="CY516:CY579" si="150">IF(AB516="","",AB516)</f>
        <v/>
      </c>
      <c r="CZ516" s="79" t="str">
        <f t="shared" ref="CZ516:CZ579" si="151">IF(AC516="","",AC516)</f>
        <v/>
      </c>
      <c r="DA516" s="79" t="str">
        <f t="shared" ref="DA516:DA579" si="152">IF(AD516="","",AD516)</f>
        <v/>
      </c>
      <c r="DB516" s="79" t="str">
        <f t="shared" ref="DB516:DB579" si="153">IF(AE516="","",AE516)</f>
        <v/>
      </c>
      <c r="DC516" s="79" t="str">
        <f t="shared" ref="DC516:DC579" si="154">IF(AF516="","",AF516)</f>
        <v/>
      </c>
      <c r="DD516" s="79" t="str">
        <f t="shared" ref="DD516:DD579" si="155">IF(AG516="","",AG516)</f>
        <v/>
      </c>
      <c r="DE516" s="79" t="str">
        <f t="shared" ref="DE516:DE579" si="156">IF(AK516="","",AK516)</f>
        <v/>
      </c>
      <c r="DF516" s="79" t="str">
        <f t="shared" ref="DF516:DF579" si="157">IF(AL516="","",AL516)</f>
        <v/>
      </c>
      <c r="DG516" s="79" t="str">
        <f t="shared" ref="DG516:DG579" si="158">IF(AM516="","",AM516)</f>
        <v/>
      </c>
      <c r="DH516" s="76"/>
      <c r="DI516" s="78"/>
      <c r="DJ516" s="76"/>
      <c r="DK516" s="77"/>
      <c r="DL516" s="77"/>
      <c r="DM516" s="77"/>
      <c r="DN516" s="80"/>
      <c r="DO516" s="80"/>
      <c r="DP516" s="92" t="str">
        <f>IF(Table1[Start Date]="","",IF(Table1[Start Date]&gt;42185,"",IF(AND(Table1[Leaving Date]&gt;1,Table1[Leaving Date]&lt;42095),"",1)))</f>
        <v/>
      </c>
      <c r="DQ516" s="92" t="str">
        <f>IF(Table1[Start Date]="","",IF(Table1[Start Date]&gt;42277,"",IF(AND(Table1[Leaving Date]&gt;1,Table1[Leaving Date]&lt;42186),"",1)))</f>
        <v/>
      </c>
      <c r="DR516" s="92" t="str">
        <f>IF(Table1[Start Date]="","",IF(Table1[Start Date]&gt;42369,"",IF(AND(Table1[Leaving Date]&gt;1,Table1[Leaving Date]&lt;42278),"",1)))</f>
        <v/>
      </c>
      <c r="DS516" s="92" t="str">
        <f>IF(Table1[Start Date]="","",IF(Table1[Start Date]&gt;42460,"",IF(AND(Table1[Leaving Date]&gt;1,Table1[Leaving Date]&lt;42370),"",1)))</f>
        <v/>
      </c>
      <c r="DT516" s="92" t="str">
        <f>IF(Table1[Start Date]="","",IF(Table1[Start Date]&gt;42551,"",IF(AND(Table1[Leaving Date]&gt;1,Table1[Leaving Date]&lt;42461),"",1)))</f>
        <v/>
      </c>
      <c r="DU516" s="92" t="str">
        <f>IF(Table1[Start Date]="","",IF(Table1[Start Date]&gt;42643,"",IF(AND(Table1[Leaving Date]&gt;1,Table1[Leaving Date]&lt;42552),"",1)))</f>
        <v/>
      </c>
      <c r="DV516" s="92" t="str">
        <f>IF(Table1[Start Date]="","",IF(Table1[Start Date]&gt;42735,"",IF(AND(Table1[Leaving Date]&gt;1,Table1[Leaving Date]&lt;42644),"",1)))</f>
        <v/>
      </c>
      <c r="DW516" s="92" t="str">
        <f>IF(Table1[Start Date]="","",IF(Table1[Start Date]&gt;42825,"",IF(AND(Table1[Leaving Date]&gt;1,Table1[Leaving Date]&lt;42736),"",1)))</f>
        <v/>
      </c>
      <c r="DX516"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516" s="44" t="e">
        <f>VLOOKUP(Table1[Referral Source],Lists!$G$2:$H$20,2,FALSE)</f>
        <v>#N/A</v>
      </c>
      <c r="DZ516" s="93" t="e">
        <f>SUM(Table1[Data Referral Quarter]+Table1[Data Referral Source])</f>
        <v>#N/A</v>
      </c>
      <c r="EA516" s="44" t="b">
        <f>IF(Table1[Referral Decision]="Accepted",100,IF(Table1[Referral Decision]="Rejected by Provider",200,IF(Table1[Referral Decision]="Rejected by Applicant",300)))</f>
        <v>0</v>
      </c>
      <c r="EB516" s="44">
        <f>SUM(Table1[Data Referral Quarter]+Table1[Data Referral Decision])</f>
        <v>0</v>
      </c>
      <c r="EC516" s="44" t="b">
        <f>IF(Table1[Start Date]&gt;42735,8000,IF(Table1[Start Date]&gt;42643,7000,IF(Table1[Start Date]&gt;42551,6000,IF(Table1[Start Date]&gt;42460,5000,IF(Table1[Start Date]&gt;42369,4000,IF(Table1[Start Date]&gt;42277,3000,IF(Table1[Start Date]&gt;42185,2000,IF(Table1[Start Date]&gt;42094,1000))))))))</f>
        <v>0</v>
      </c>
      <c r="ED516" s="44" t="str">
        <f>IF(Table1[Start Date]="","",IF(Table1[Current Local Authority]="Swindon",1,"2"))</f>
        <v/>
      </c>
      <c r="EE516" s="44" t="e">
        <f>SUM(Table1[Data Start Date]+Table1[Data Local Authority])</f>
        <v>#VALUE!</v>
      </c>
      <c r="EF516" s="44">
        <f>IF(Table1[Registered with GP]="Yes",1,0)</f>
        <v>0</v>
      </c>
      <c r="EG516" s="44">
        <f>SUM(Table1[Data Start Date]+Table1[Data GP Start])</f>
        <v>0</v>
      </c>
      <c r="EH516" s="44" t="str">
        <f>IF(Table1[EET]="NEET",1,IF(Table1[EET]="Education",2,IF(Table1[EET]="Employment",2,IF(Table1[EET]="Training",2,IF(Table1[EET]="Retired",3,"")))))</f>
        <v/>
      </c>
      <c r="EI516" s="44" t="e">
        <f>Table1[Data Start Date]+Table1[Data EET Start]</f>
        <v>#VALUE!</v>
      </c>
      <c r="EJ516" s="44" t="b">
        <f>IF(Table1[Leaving Date]&gt;42735,8000,IF(Table1[Leaving Date]&gt;42643,7000,IF(Table1[Leaving Date]&gt;42551,6000,IF(Table1[Leaving Date]&gt;42460,5000,IF(Table1[Leaving Date]&gt;42369,4000,IF(Table1[Leaving Date]&gt;42277,3000,IF(Table1[Leaving Date]&gt;42185,2000,IF(Table1[Leaving Date]&gt;42094,1000))))))))</f>
        <v>0</v>
      </c>
      <c r="EK516" s="44" t="e">
        <f>VLOOKUP(Table1[Reason for Leaving],Lists!$T$2:$U$15,2,FALSE)</f>
        <v>#N/A</v>
      </c>
      <c r="EL516" s="44" t="e">
        <f>SUM(Table1[Data Leavers Date]+Table1[Data Move On])</f>
        <v>#N/A</v>
      </c>
      <c r="EM516" s="44" t="b">
        <f>IF(Table1[Registered with GP2]="Yes",1,IF(Table1[Registered with GP2]="No",0,IF(Table1[Registered with GP]="Yes",1,IF(Table1[Registered with GP]="No",0))))</f>
        <v>0</v>
      </c>
      <c r="EN516" s="44">
        <f>SUM(Table1[Data Leavers Date]+Table1[Data GP End])</f>
        <v>0</v>
      </c>
      <c r="EO516" s="44" t="str">
        <f>IF(Table1[EET2]="NEET",1,IF(Table1[EET2]="Employment",2,IF(Table1[EET2]="Education",2,IF(Table1[EET2]="Training",2,IF(Table1[EET2]="Retired",3,IF(Table1[EET]="NEET",1,IF(Table1[EET]="Employment",2,IF(Table1[EET]="Education",2,IF(Table1[EET]="Training",2,IF(Table1[EET]="Retired",3,""))))))))))</f>
        <v/>
      </c>
      <c r="EP516" s="44" t="e">
        <f>+Table1[[#This Row],[Data Leavers Date]]+Table1[[#This Row],[Data EET End]]</f>
        <v>#VALUE!</v>
      </c>
      <c r="EQ516" s="44">
        <f>IF(Table1[Exit Form Received]="Yes",1,0)</f>
        <v>0</v>
      </c>
      <c r="ER516" s="44">
        <f>+Table1[[#This Row],[Data Leavers Date]]+Table1[[#This Row],[Data Exit Forms]]</f>
        <v>0</v>
      </c>
      <c r="ES516" s="44" t="str">
        <f>IF(Table1[Data Leavers Date]=1000,SUM(Table1[Leaving Date]-Table1[Start Date]),"")</f>
        <v/>
      </c>
      <c r="ET516" s="44" t="str">
        <f>IF(Table1[Data Leavers Date]=2000,SUM(Table1[Leaving Date]-Table1[Start Date]),"")</f>
        <v/>
      </c>
      <c r="EU516" s="44" t="str">
        <f>IF(Table1[Data Leavers Date]=3000,SUM(Table1[Leaving Date]-Table1[Start Date]),"")</f>
        <v/>
      </c>
      <c r="EV516" s="44" t="str">
        <f>IF(Table1[Data Leavers Date]=4000,SUM(Table1[Leaving Date]-Table1[Start Date]),"")</f>
        <v/>
      </c>
      <c r="EW516" s="44" t="str">
        <f>IF(Table1[Data Leavers Date]=5000,SUM(Table1[Leaving Date]-Table1[Start Date]),"")</f>
        <v/>
      </c>
      <c r="EX516" s="44" t="str">
        <f>IF(Table1[Data Leavers Date]=6000,SUM(Table1[Leaving Date]-Table1[Start Date]),"")</f>
        <v/>
      </c>
      <c r="EY516" s="44" t="str">
        <f>IF(Table1[Data Leavers Date]=7000,SUM(Table1[Leaving Date]-Table1[Start Date]),"")</f>
        <v/>
      </c>
      <c r="EZ516" s="44" t="str">
        <f>IF(Table1[Data Leavers Date]=8000,SUM(Table1[Leaving Date]-Table1[Start Date]),"")</f>
        <v/>
      </c>
      <c r="FA516" s="44" t="str">
        <f>IF(Table1[Date of Initial Assessment]="","",IF(AND(Table1[Start Date]&gt;42094,Table1[Start Date]&lt;42461),Table1[Motivation and Taking Responsibility],""))</f>
        <v/>
      </c>
      <c r="FB516" s="44" t="str">
        <f>IF(Table1[Date of Initial Assessment]="","",IF(AND(Table1[Start Date]&gt;42094,Table1[Start Date]&lt;42461),Table1[Self-Care and Living Skills],""))</f>
        <v/>
      </c>
      <c r="FC516" s="44" t="str">
        <f>IF(Table1[Date of Initial Assessment]="","",IF(AND(Table1[Start Date]&gt;42094,Table1[Start Date]&lt;42461),Table1[Managing Money and Personal Administration],""))</f>
        <v/>
      </c>
      <c r="FD516" s="44" t="str">
        <f>IF(Table1[Date of Initial Assessment]="","",IF(AND(Table1[Start Date]&gt;42094,Table1[Start Date]&lt;42461),Table1[Social Networks and Relationships],""))</f>
        <v/>
      </c>
      <c r="FE516" s="44" t="str">
        <f>IF(Table1[Date of Initial Assessment]="","",IF(AND(Table1[Start Date]&gt;42094,Table1[Start Date]&lt;42461),Table1[Drug and Alcohol Misuse],""))</f>
        <v/>
      </c>
      <c r="FF516" s="44" t="str">
        <f>IF(Table1[Date of Initial Assessment]="","",IF(AND(Table1[Start Date]&gt;42094,Table1[Start Date]&lt;42461),Table1[Physical Health],""))</f>
        <v/>
      </c>
      <c r="FG516" s="44" t="str">
        <f>IF(Table1[Date of Initial Assessment]="","",IF(AND(Table1[Start Date]&gt;42094,Table1[Start Date]&lt;42461),Table1[Emotional and Mental Health],""))</f>
        <v/>
      </c>
      <c r="FH516" s="44" t="str">
        <f>IF(Table1[Date of Initial Assessment]="","",IF(AND(Table1[Start Date]&gt;42094,Table1[Start Date]&lt;42461),Table1[Meaningful Use of Time],""))</f>
        <v/>
      </c>
      <c r="FI516" s="44" t="str">
        <f>IF(Table1[Date of Initial Assessment]="","",IF(AND(Table1[Start Date]&gt;42094,Table1[Start Date]&lt;42461),Table1[Managing Tenancy and Accommodation],""))</f>
        <v/>
      </c>
      <c r="FJ516" s="44" t="str">
        <f>IF(Table1[Date of Initial Assessment]="","",IF(AND(Table1[Start Date]&gt;42094,Table1[Start Date]&lt;42461),Table1[Offending],""))</f>
        <v/>
      </c>
      <c r="FK516" s="44" t="str">
        <f>IF(Table1[Leaving Date]="","",IF(Table1[Date of Initial Assessment]="","",IF(AND(Table1[Leaving Date]&gt;42094,Table1[Leaving Date]&lt;42461),IF(Table1[Date of Last Assessment]="",Table1[Motivation and Taking Responsibility],Table1[Motivation and Taking Responsibility2]),"")))</f>
        <v/>
      </c>
      <c r="FL516" s="44" t="str">
        <f>IF(Table1[Leaving Date]="","",IF(Table1[Date of Initial Assessment]="","",IF(AND(Table1[Leaving Date]&gt;42094,Table1[Leaving Date]&lt;42461),IF(Table1[Date of Last Assessment]="",Table1[Self-Care and Living Skills],Table1[Self-Care and Living Skills2]),"")))</f>
        <v/>
      </c>
      <c r="FM516" s="44" t="str">
        <f>IF(Table1[Leaving Date]="","",IF(Table1[Date of Initial Assessment]="","",IF(AND(Table1[Leaving Date]&gt;42094,Table1[Leaving Date]&lt;42461),IF(Table1[Date of Last Assessment]="",Table1[Managing Money and Personal Administration],Table1[Managing Money and Personal Administration2]),"")))</f>
        <v/>
      </c>
      <c r="FN516" s="44" t="str">
        <f>IF(Table1[Leaving Date]="","",IF(Table1[Date of Initial Assessment]="","",IF(AND(Table1[Leaving Date]&gt;42094,Table1[Leaving Date]&lt;42461),IF(Table1[Date of Last Assessment]="",Table1[Social Networks and Relationships],Table1[Social Networks and Relationships2]),"")))</f>
        <v/>
      </c>
      <c r="FO516" s="44" t="str">
        <f>IF(Table1[Leaving Date]="","",IF(Table1[Date of Initial Assessment]="","",IF(AND(Table1[Leaving Date]&gt;42094,Table1[Leaving Date]&lt;42461),IF(Table1[Date of Last Assessment]="",Table1[Drug and Alcohol Misuse],Table1[Drug and Alcohol Misuse2]),"")))</f>
        <v/>
      </c>
      <c r="FP516" s="44" t="str">
        <f>IF(Table1[Leaving Date]="","",IF(Table1[Date of Initial Assessment]="","",IF(AND(Table1[Leaving Date]&gt;42094,Table1[Leaving Date]&lt;42461),IF(Table1[Date of Last Assessment]="",Table1[Physical Health],Table1[Physical Health2]),"")))</f>
        <v/>
      </c>
      <c r="FQ516" s="44" t="str">
        <f>IF(Table1[Leaving Date]="","",IF(Table1[Date of Initial Assessment]="","",IF(AND(Table1[Leaving Date]&gt;42094,Table1[Leaving Date]&lt;42461),IF(Table1[Date of Last Assessment]="",Table1[Emotional and Mental Health],Table1[Emotional and Mental Health2]),"")))</f>
        <v/>
      </c>
      <c r="FR516" s="44" t="str">
        <f>IF(Table1[Leaving Date]="","",IF(Table1[Date of Initial Assessment]="","",IF(AND(Table1[Leaving Date]&gt;42094,Table1[Leaving Date]&lt;42461),IF(Table1[Date of Last Assessment]="",Table1[Meaningful Use of Time],Table1[Meaningful Use of Time2]),"")))</f>
        <v/>
      </c>
      <c r="FS516" s="44" t="str">
        <f>IF(Table1[Leaving Date]="","",IF(Table1[Date of Initial Assessment]="","",IF(AND(Table1[Leaving Date]&gt;42094,Table1[Leaving Date]&lt;42461),IF(Table1[Date of Last Assessment]="",Table1[Managing Tenancy and Accommodation],Table1[Managing Tenancy and Accommodation2]),"")))</f>
        <v/>
      </c>
      <c r="FT516" s="44" t="str">
        <f>IF(Table1[Leaving Date]="","",IF(Table1[Date of Initial Assessment]="","",IF(AND(Table1[Leaving Date]&gt;42094,Table1[Leaving Date]&lt;42461),IF(Table1[Date of Last Assessment]="",Table1[Offending],Table1[Offending2]),"")))</f>
        <v/>
      </c>
      <c r="FU516" s="44" t="str">
        <f>IF(Table1[Date of Initial Assessment]="","",IF(AND(Table1[Start Date]&gt;42460,Table1[Start Date]&lt;42826),Table1[Motivation and Taking Responsibility],""))</f>
        <v/>
      </c>
      <c r="FV516" s="44" t="str">
        <f>IF(Table1[Date of Initial Assessment]="","",IF(AND(Table1[Start Date]&gt;42460,Table1[Start Date]&lt;42826),Table1[Self-Care and Living Skills],""))</f>
        <v/>
      </c>
      <c r="FW516" s="44" t="str">
        <f>IF(Table1[Date of Initial Assessment]="","",IF(AND(Table1[Start Date]&gt;42460,Table1[Start Date]&lt;42826),Table1[Managing Money and Personal Administration],""))</f>
        <v/>
      </c>
      <c r="FX516" s="44" t="str">
        <f>IF(Table1[Date of Initial Assessment]="","",IF(AND(Table1[Start Date]&gt;42460,Table1[Start Date]&lt;42826),Table1[Social Networks and Relationships],""))</f>
        <v/>
      </c>
      <c r="FY516" s="44" t="str">
        <f>IF(Table1[Date of Initial Assessment]="","",IF(AND(Table1[Start Date]&gt;42460,Table1[Start Date]&lt;42826),Table1[Drug and Alcohol Misuse],""))</f>
        <v/>
      </c>
      <c r="FZ516" s="44" t="str">
        <f>IF(Table1[Date of Initial Assessment]="","",IF(AND(Table1[Start Date]&gt;42460,Table1[Start Date]&lt;42826),Table1[Physical Health],""))</f>
        <v/>
      </c>
      <c r="GA516" s="44" t="str">
        <f>IF(Table1[Date of Initial Assessment]="","",IF(AND(Table1[Start Date]&gt;42460,Table1[Start Date]&lt;42826),Table1[Emotional and Mental Health],""))</f>
        <v/>
      </c>
      <c r="GB516" s="44" t="str">
        <f>IF(Table1[Date of Initial Assessment]="","",IF(AND(Table1[Start Date]&gt;42460,Table1[Start Date]&lt;42826),Table1[Meaningful Use of Time],""))</f>
        <v/>
      </c>
      <c r="GC516" s="44" t="str">
        <f>IF(Table1[Date of Initial Assessment]="","",IF(AND(Table1[Start Date]&gt;42460,Table1[Start Date]&lt;42826),Table1[Managing Tenancy and Accommodation],""))</f>
        <v/>
      </c>
      <c r="GD516" s="44" t="str">
        <f>IF(Table1[Date of Initial Assessment]="","",IF(AND(Table1[Start Date]&gt;42460,Table1[Start Date]&lt;42826),Table1[Offending],""))</f>
        <v/>
      </c>
      <c r="GE516" s="44" t="str">
        <f>IF(Table1[Leaving Date]="","",IF(AND(Table1[Leaving Date]&gt;42460,Table1[Leaving Date]&lt;42826),IF(Table1[Date of Last Assessment]="",Table1[Motivation and Taking Responsibility],Table1[Motivation and Taking Responsibility2]),""))</f>
        <v/>
      </c>
      <c r="GF516" s="44" t="str">
        <f>IF(Table1[Leaving Date]="","",IF(AND(Table1[Leaving Date]&gt;42460,Table1[Leaving Date]&lt;42826),IF(Table1[Date of Last Assessment]="",Table1[Self-Care and Living Skills],Table1[Self-Care and Living Skills2]),""))</f>
        <v/>
      </c>
      <c r="GG516" s="44" t="str">
        <f>IF(Table1[Leaving Date]="","",IF(AND(Table1[Leaving Date]&gt;42460,Table1[Leaving Date]&lt;42826),IF(Table1[Date of Last Assessment]="",Table1[Managing Money and Personal Administration],Table1[Managing Money and Personal Administration2]),""))</f>
        <v/>
      </c>
      <c r="GH516" s="44" t="str">
        <f>IF(Table1[Leaving Date]="","",IF(AND(Table1[Leaving Date]&gt;42460,Table1[Leaving Date]&lt;42826),IF(Table1[Date of Last Assessment]="",Table1[Social Networks and Relationships],Table1[Social Networks and Relationships2]),""))</f>
        <v/>
      </c>
      <c r="GI516" s="44" t="str">
        <f>IF(Table1[Leaving Date]="","",IF(AND(Table1[Leaving Date]&gt;42460,Table1[Leaving Date]&lt;42826),IF(Table1[Date of Last Assessment]="",Table1[Drug and Alcohol Misuse],Table1[Drug and Alcohol Misuse2]),""))</f>
        <v/>
      </c>
      <c r="GJ516" s="44" t="str">
        <f>IF(Table1[Leaving Date]="","",IF(AND(Table1[Leaving Date]&gt;42460,Table1[Leaving Date]&lt;42826),IF(Table1[Date of Last Assessment]="",Table1[Physical Health],Table1[Physical Health2]),""))</f>
        <v/>
      </c>
      <c r="GK516" s="44" t="str">
        <f>IF(Table1[Leaving Date]="","",IF(AND(Table1[Leaving Date]&gt;42460,Table1[Leaving Date]&lt;42826),IF(Table1[Date of Last Assessment]="",Table1[Emotional and Mental Health],Table1[Emotional and Mental Health2]),""))</f>
        <v/>
      </c>
      <c r="GL516" s="44" t="str">
        <f>IF(Table1[Leaving Date]="","",IF(AND(Table1[Leaving Date]&gt;42460,Table1[Leaving Date]&lt;42826),IF(Table1[Date of Last Assessment]="",Table1[Meaningful Use of Time],Table1[Meaningful Use of Time2]),""))</f>
        <v/>
      </c>
      <c r="GM516" s="44" t="str">
        <f>IF(Table1[Leaving Date]="","",IF(AND(Table1[Leaving Date]&gt;42460,Table1[Leaving Date]&lt;42826),IF(Table1[Date of Last Assessment]="",Table1[Managing Tenancy and Accommodation],Table1[Managing Tenancy and Accommodation2]),""))</f>
        <v/>
      </c>
      <c r="GN516" s="44" t="str">
        <f>IF(Table1[Leaving Date]="","",IF(AND(Table1[Leaving Date]&gt;42460,Table1[Leaving Date]&lt;42826),IF(Table1[Date of Last Assessment]="",Table1[Offending],Table1[Offending2]),""))</f>
        <v/>
      </c>
    </row>
    <row r="517" spans="2:196" ht="20.100000000000001" customHeight="1" x14ac:dyDescent="0.2">
      <c r="B517" s="86">
        <f>+'Service Data'!$C$5:$C$5</f>
        <v>0</v>
      </c>
      <c r="C517" s="86"/>
      <c r="D517" s="86"/>
      <c r="E517" s="86"/>
      <c r="F517" s="86"/>
      <c r="G517" s="86"/>
      <c r="H517" s="6"/>
      <c r="I517" s="99" t="str">
        <f ca="1">IF(Table1[[#This Row],[Date of Birth]]="","",SUM(TODAY()-Table1[[#This Row],[Date of Birth]])/365)</f>
        <v/>
      </c>
      <c r="L517" s="86"/>
      <c r="M517" s="77"/>
      <c r="N517" s="86"/>
      <c r="O517" s="86"/>
      <c r="P517" s="91"/>
      <c r="Q517" s="86"/>
      <c r="R517" s="77"/>
      <c r="S517" s="77"/>
      <c r="T517" s="68"/>
      <c r="U517" s="68"/>
      <c r="V517" s="67"/>
      <c r="W517" s="67"/>
      <c r="X517" s="67"/>
      <c r="Y517" s="67"/>
      <c r="Z517" s="67"/>
      <c r="AA517" s="67"/>
      <c r="AB517" s="67"/>
      <c r="AC517" s="67"/>
      <c r="AD517" s="67"/>
      <c r="AE517" s="67"/>
      <c r="AF517" s="67"/>
      <c r="AG517" s="67"/>
      <c r="AH517" s="67"/>
      <c r="AI517" s="67"/>
      <c r="AJ517" s="67"/>
      <c r="AK517" s="67"/>
      <c r="AL517" s="67"/>
      <c r="AM517" s="67"/>
      <c r="AN517" s="77"/>
      <c r="AO517" s="76"/>
      <c r="AP517" s="77"/>
      <c r="AQ517" s="76"/>
      <c r="AR517" s="76"/>
      <c r="AS517" s="76"/>
      <c r="AT517" s="76"/>
      <c r="AU517" s="76"/>
      <c r="AV517" s="77"/>
      <c r="AW517" s="76"/>
      <c r="AX517" s="77"/>
      <c r="AY517" s="76"/>
      <c r="AZ517" s="76"/>
      <c r="BA517" s="76"/>
      <c r="BB517" s="76"/>
      <c r="BC517" s="76"/>
      <c r="BD517" s="77"/>
      <c r="BE517" s="76"/>
      <c r="BF517" s="77"/>
      <c r="BG517" s="76"/>
      <c r="BH517" s="76"/>
      <c r="BI517" s="76"/>
      <c r="BJ517" s="76"/>
      <c r="BK517" s="76"/>
      <c r="BL517" s="77"/>
      <c r="BM517" s="76"/>
      <c r="BN517" s="77"/>
      <c r="BO517" s="76"/>
      <c r="BP517" s="76"/>
      <c r="BQ517" s="76"/>
      <c r="BR517" s="76"/>
      <c r="BS517" s="76"/>
      <c r="BT517" s="77"/>
      <c r="BU517" s="76"/>
      <c r="BV517" s="77"/>
      <c r="BW517" s="76"/>
      <c r="BX517" s="76"/>
      <c r="BY517" s="76"/>
      <c r="BZ517" s="76"/>
      <c r="CA517" s="76"/>
      <c r="CB517" s="77"/>
      <c r="CC517" s="76"/>
      <c r="CD517" s="77"/>
      <c r="CE517" s="76"/>
      <c r="CF517" s="76"/>
      <c r="CG517" s="76"/>
      <c r="CH517" s="76"/>
      <c r="CI517" s="76"/>
      <c r="CJ517" s="77"/>
      <c r="CK517" s="76"/>
      <c r="CL517" s="77"/>
      <c r="CM517" s="76"/>
      <c r="CN517" s="76"/>
      <c r="CO517" s="76"/>
      <c r="CP517" s="76"/>
      <c r="CQ517" s="76"/>
      <c r="CR517" s="78" t="str">
        <f t="shared" si="143"/>
        <v/>
      </c>
      <c r="CS517" s="79" t="str">
        <f t="shared" si="144"/>
        <v/>
      </c>
      <c r="CT517" s="79" t="str">
        <f t="shared" si="145"/>
        <v/>
      </c>
      <c r="CU517" s="79" t="str">
        <f t="shared" si="146"/>
        <v/>
      </c>
      <c r="CV517" s="79" t="str">
        <f t="shared" si="147"/>
        <v/>
      </c>
      <c r="CW517" s="79" t="str">
        <f t="shared" si="148"/>
        <v/>
      </c>
      <c r="CX517" s="79" t="str">
        <f t="shared" si="149"/>
        <v/>
      </c>
      <c r="CY517" s="79" t="str">
        <f t="shared" si="150"/>
        <v/>
      </c>
      <c r="CZ517" s="79" t="str">
        <f t="shared" si="151"/>
        <v/>
      </c>
      <c r="DA517" s="79" t="str">
        <f t="shared" si="152"/>
        <v/>
      </c>
      <c r="DB517" s="79" t="str">
        <f t="shared" si="153"/>
        <v/>
      </c>
      <c r="DC517" s="79" t="str">
        <f t="shared" si="154"/>
        <v/>
      </c>
      <c r="DD517" s="79" t="str">
        <f t="shared" si="155"/>
        <v/>
      </c>
      <c r="DE517" s="79" t="str">
        <f t="shared" si="156"/>
        <v/>
      </c>
      <c r="DF517" s="79" t="str">
        <f t="shared" si="157"/>
        <v/>
      </c>
      <c r="DG517" s="79" t="str">
        <f t="shared" si="158"/>
        <v/>
      </c>
      <c r="DH517" s="76"/>
      <c r="DI517" s="78"/>
      <c r="DJ517" s="76"/>
      <c r="DK517" s="77"/>
      <c r="DL517" s="77"/>
      <c r="DM517" s="77"/>
      <c r="DN517" s="80"/>
      <c r="DO517" s="80"/>
      <c r="DP517" s="92" t="str">
        <f>IF(Table1[Start Date]="","",IF(Table1[Start Date]&gt;42185,"",IF(AND(Table1[Leaving Date]&gt;1,Table1[Leaving Date]&lt;42095),"",1)))</f>
        <v/>
      </c>
      <c r="DQ517" s="92" t="str">
        <f>IF(Table1[Start Date]="","",IF(Table1[Start Date]&gt;42277,"",IF(AND(Table1[Leaving Date]&gt;1,Table1[Leaving Date]&lt;42186),"",1)))</f>
        <v/>
      </c>
      <c r="DR517" s="92" t="str">
        <f>IF(Table1[Start Date]="","",IF(Table1[Start Date]&gt;42369,"",IF(AND(Table1[Leaving Date]&gt;1,Table1[Leaving Date]&lt;42278),"",1)))</f>
        <v/>
      </c>
      <c r="DS517" s="92" t="str">
        <f>IF(Table1[Start Date]="","",IF(Table1[Start Date]&gt;42460,"",IF(AND(Table1[Leaving Date]&gt;1,Table1[Leaving Date]&lt;42370),"",1)))</f>
        <v/>
      </c>
      <c r="DT517" s="92" t="str">
        <f>IF(Table1[Start Date]="","",IF(Table1[Start Date]&gt;42551,"",IF(AND(Table1[Leaving Date]&gt;1,Table1[Leaving Date]&lt;42461),"",1)))</f>
        <v/>
      </c>
      <c r="DU517" s="92" t="str">
        <f>IF(Table1[Start Date]="","",IF(Table1[Start Date]&gt;42643,"",IF(AND(Table1[Leaving Date]&gt;1,Table1[Leaving Date]&lt;42552),"",1)))</f>
        <v/>
      </c>
      <c r="DV517" s="92" t="str">
        <f>IF(Table1[Start Date]="","",IF(Table1[Start Date]&gt;42735,"",IF(AND(Table1[Leaving Date]&gt;1,Table1[Leaving Date]&lt;42644),"",1)))</f>
        <v/>
      </c>
      <c r="DW517" s="92" t="str">
        <f>IF(Table1[Start Date]="","",IF(Table1[Start Date]&gt;42825,"",IF(AND(Table1[Leaving Date]&gt;1,Table1[Leaving Date]&lt;42736),"",1)))</f>
        <v/>
      </c>
      <c r="DX517"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517" s="44" t="e">
        <f>VLOOKUP(Table1[Referral Source],Lists!$G$2:$H$20,2,FALSE)</f>
        <v>#N/A</v>
      </c>
      <c r="DZ517" s="93" t="e">
        <f>SUM(Table1[Data Referral Quarter]+Table1[Data Referral Source])</f>
        <v>#N/A</v>
      </c>
      <c r="EA517" s="44" t="b">
        <f>IF(Table1[Referral Decision]="Accepted",100,IF(Table1[Referral Decision]="Rejected by Provider",200,IF(Table1[Referral Decision]="Rejected by Applicant",300)))</f>
        <v>0</v>
      </c>
      <c r="EB517" s="44">
        <f>SUM(Table1[Data Referral Quarter]+Table1[Data Referral Decision])</f>
        <v>0</v>
      </c>
      <c r="EC517" s="44" t="b">
        <f>IF(Table1[Start Date]&gt;42735,8000,IF(Table1[Start Date]&gt;42643,7000,IF(Table1[Start Date]&gt;42551,6000,IF(Table1[Start Date]&gt;42460,5000,IF(Table1[Start Date]&gt;42369,4000,IF(Table1[Start Date]&gt;42277,3000,IF(Table1[Start Date]&gt;42185,2000,IF(Table1[Start Date]&gt;42094,1000))))))))</f>
        <v>0</v>
      </c>
      <c r="ED517" s="44" t="str">
        <f>IF(Table1[Start Date]="","",IF(Table1[Current Local Authority]="Swindon",1,"2"))</f>
        <v/>
      </c>
      <c r="EE517" s="44" t="e">
        <f>SUM(Table1[Data Start Date]+Table1[Data Local Authority])</f>
        <v>#VALUE!</v>
      </c>
      <c r="EF517" s="44">
        <f>IF(Table1[Registered with GP]="Yes",1,0)</f>
        <v>0</v>
      </c>
      <c r="EG517" s="44">
        <f>SUM(Table1[Data Start Date]+Table1[Data GP Start])</f>
        <v>0</v>
      </c>
      <c r="EH517" s="44" t="str">
        <f>IF(Table1[EET]="NEET",1,IF(Table1[EET]="Education",2,IF(Table1[EET]="Employment",2,IF(Table1[EET]="Training",2,IF(Table1[EET]="Retired",3,"")))))</f>
        <v/>
      </c>
      <c r="EI517" s="44" t="e">
        <f>Table1[Data Start Date]+Table1[Data EET Start]</f>
        <v>#VALUE!</v>
      </c>
      <c r="EJ517" s="44" t="b">
        <f>IF(Table1[Leaving Date]&gt;42735,8000,IF(Table1[Leaving Date]&gt;42643,7000,IF(Table1[Leaving Date]&gt;42551,6000,IF(Table1[Leaving Date]&gt;42460,5000,IF(Table1[Leaving Date]&gt;42369,4000,IF(Table1[Leaving Date]&gt;42277,3000,IF(Table1[Leaving Date]&gt;42185,2000,IF(Table1[Leaving Date]&gt;42094,1000))))))))</f>
        <v>0</v>
      </c>
      <c r="EK517" s="44" t="e">
        <f>VLOOKUP(Table1[Reason for Leaving],Lists!$T$2:$U$15,2,FALSE)</f>
        <v>#N/A</v>
      </c>
      <c r="EL517" s="44" t="e">
        <f>SUM(Table1[Data Leavers Date]+Table1[Data Move On])</f>
        <v>#N/A</v>
      </c>
      <c r="EM517" s="44" t="b">
        <f>IF(Table1[Registered with GP2]="Yes",1,IF(Table1[Registered with GP2]="No",0,IF(Table1[Registered with GP]="Yes",1,IF(Table1[Registered with GP]="No",0))))</f>
        <v>0</v>
      </c>
      <c r="EN517" s="44">
        <f>SUM(Table1[Data Leavers Date]+Table1[Data GP End])</f>
        <v>0</v>
      </c>
      <c r="EO517" s="44" t="str">
        <f>IF(Table1[EET2]="NEET",1,IF(Table1[EET2]="Employment",2,IF(Table1[EET2]="Education",2,IF(Table1[EET2]="Training",2,IF(Table1[EET2]="Retired",3,IF(Table1[EET]="NEET",1,IF(Table1[EET]="Employment",2,IF(Table1[EET]="Education",2,IF(Table1[EET]="Training",2,IF(Table1[EET]="Retired",3,""))))))))))</f>
        <v/>
      </c>
      <c r="EP517" s="44" t="e">
        <f>+Table1[[#This Row],[Data Leavers Date]]+Table1[[#This Row],[Data EET End]]</f>
        <v>#VALUE!</v>
      </c>
      <c r="EQ517" s="44">
        <f>IF(Table1[Exit Form Received]="Yes",1,0)</f>
        <v>0</v>
      </c>
      <c r="ER517" s="44">
        <f>+Table1[[#This Row],[Data Leavers Date]]+Table1[[#This Row],[Data Exit Forms]]</f>
        <v>0</v>
      </c>
      <c r="ES517" s="44" t="str">
        <f>IF(Table1[Data Leavers Date]=1000,SUM(Table1[Leaving Date]-Table1[Start Date]),"")</f>
        <v/>
      </c>
      <c r="ET517" s="44" t="str">
        <f>IF(Table1[Data Leavers Date]=2000,SUM(Table1[Leaving Date]-Table1[Start Date]),"")</f>
        <v/>
      </c>
      <c r="EU517" s="44" t="str">
        <f>IF(Table1[Data Leavers Date]=3000,SUM(Table1[Leaving Date]-Table1[Start Date]),"")</f>
        <v/>
      </c>
      <c r="EV517" s="44" t="str">
        <f>IF(Table1[Data Leavers Date]=4000,SUM(Table1[Leaving Date]-Table1[Start Date]),"")</f>
        <v/>
      </c>
      <c r="EW517" s="44" t="str">
        <f>IF(Table1[Data Leavers Date]=5000,SUM(Table1[Leaving Date]-Table1[Start Date]),"")</f>
        <v/>
      </c>
      <c r="EX517" s="44" t="str">
        <f>IF(Table1[Data Leavers Date]=6000,SUM(Table1[Leaving Date]-Table1[Start Date]),"")</f>
        <v/>
      </c>
      <c r="EY517" s="44" t="str">
        <f>IF(Table1[Data Leavers Date]=7000,SUM(Table1[Leaving Date]-Table1[Start Date]),"")</f>
        <v/>
      </c>
      <c r="EZ517" s="44" t="str">
        <f>IF(Table1[Data Leavers Date]=8000,SUM(Table1[Leaving Date]-Table1[Start Date]),"")</f>
        <v/>
      </c>
      <c r="FA517" s="44" t="str">
        <f>IF(Table1[Date of Initial Assessment]="","",IF(AND(Table1[Start Date]&gt;42094,Table1[Start Date]&lt;42461),Table1[Motivation and Taking Responsibility],""))</f>
        <v/>
      </c>
      <c r="FB517" s="44" t="str">
        <f>IF(Table1[Date of Initial Assessment]="","",IF(AND(Table1[Start Date]&gt;42094,Table1[Start Date]&lt;42461),Table1[Self-Care and Living Skills],""))</f>
        <v/>
      </c>
      <c r="FC517" s="44" t="str">
        <f>IF(Table1[Date of Initial Assessment]="","",IF(AND(Table1[Start Date]&gt;42094,Table1[Start Date]&lt;42461),Table1[Managing Money and Personal Administration],""))</f>
        <v/>
      </c>
      <c r="FD517" s="44" t="str">
        <f>IF(Table1[Date of Initial Assessment]="","",IF(AND(Table1[Start Date]&gt;42094,Table1[Start Date]&lt;42461),Table1[Social Networks and Relationships],""))</f>
        <v/>
      </c>
      <c r="FE517" s="44" t="str">
        <f>IF(Table1[Date of Initial Assessment]="","",IF(AND(Table1[Start Date]&gt;42094,Table1[Start Date]&lt;42461),Table1[Drug and Alcohol Misuse],""))</f>
        <v/>
      </c>
      <c r="FF517" s="44" t="str">
        <f>IF(Table1[Date of Initial Assessment]="","",IF(AND(Table1[Start Date]&gt;42094,Table1[Start Date]&lt;42461),Table1[Physical Health],""))</f>
        <v/>
      </c>
      <c r="FG517" s="44" t="str">
        <f>IF(Table1[Date of Initial Assessment]="","",IF(AND(Table1[Start Date]&gt;42094,Table1[Start Date]&lt;42461),Table1[Emotional and Mental Health],""))</f>
        <v/>
      </c>
      <c r="FH517" s="44" t="str">
        <f>IF(Table1[Date of Initial Assessment]="","",IF(AND(Table1[Start Date]&gt;42094,Table1[Start Date]&lt;42461),Table1[Meaningful Use of Time],""))</f>
        <v/>
      </c>
      <c r="FI517" s="44" t="str">
        <f>IF(Table1[Date of Initial Assessment]="","",IF(AND(Table1[Start Date]&gt;42094,Table1[Start Date]&lt;42461),Table1[Managing Tenancy and Accommodation],""))</f>
        <v/>
      </c>
      <c r="FJ517" s="44" t="str">
        <f>IF(Table1[Date of Initial Assessment]="","",IF(AND(Table1[Start Date]&gt;42094,Table1[Start Date]&lt;42461),Table1[Offending],""))</f>
        <v/>
      </c>
      <c r="FK517" s="44" t="str">
        <f>IF(Table1[Leaving Date]="","",IF(Table1[Date of Initial Assessment]="","",IF(AND(Table1[Leaving Date]&gt;42094,Table1[Leaving Date]&lt;42461),IF(Table1[Date of Last Assessment]="",Table1[Motivation and Taking Responsibility],Table1[Motivation and Taking Responsibility2]),"")))</f>
        <v/>
      </c>
      <c r="FL517" s="44" t="str">
        <f>IF(Table1[Leaving Date]="","",IF(Table1[Date of Initial Assessment]="","",IF(AND(Table1[Leaving Date]&gt;42094,Table1[Leaving Date]&lt;42461),IF(Table1[Date of Last Assessment]="",Table1[Self-Care and Living Skills],Table1[Self-Care and Living Skills2]),"")))</f>
        <v/>
      </c>
      <c r="FM517" s="44" t="str">
        <f>IF(Table1[Leaving Date]="","",IF(Table1[Date of Initial Assessment]="","",IF(AND(Table1[Leaving Date]&gt;42094,Table1[Leaving Date]&lt;42461),IF(Table1[Date of Last Assessment]="",Table1[Managing Money and Personal Administration],Table1[Managing Money and Personal Administration2]),"")))</f>
        <v/>
      </c>
      <c r="FN517" s="44" t="str">
        <f>IF(Table1[Leaving Date]="","",IF(Table1[Date of Initial Assessment]="","",IF(AND(Table1[Leaving Date]&gt;42094,Table1[Leaving Date]&lt;42461),IF(Table1[Date of Last Assessment]="",Table1[Social Networks and Relationships],Table1[Social Networks and Relationships2]),"")))</f>
        <v/>
      </c>
      <c r="FO517" s="44" t="str">
        <f>IF(Table1[Leaving Date]="","",IF(Table1[Date of Initial Assessment]="","",IF(AND(Table1[Leaving Date]&gt;42094,Table1[Leaving Date]&lt;42461),IF(Table1[Date of Last Assessment]="",Table1[Drug and Alcohol Misuse],Table1[Drug and Alcohol Misuse2]),"")))</f>
        <v/>
      </c>
      <c r="FP517" s="44" t="str">
        <f>IF(Table1[Leaving Date]="","",IF(Table1[Date of Initial Assessment]="","",IF(AND(Table1[Leaving Date]&gt;42094,Table1[Leaving Date]&lt;42461),IF(Table1[Date of Last Assessment]="",Table1[Physical Health],Table1[Physical Health2]),"")))</f>
        <v/>
      </c>
      <c r="FQ517" s="44" t="str">
        <f>IF(Table1[Leaving Date]="","",IF(Table1[Date of Initial Assessment]="","",IF(AND(Table1[Leaving Date]&gt;42094,Table1[Leaving Date]&lt;42461),IF(Table1[Date of Last Assessment]="",Table1[Emotional and Mental Health],Table1[Emotional and Mental Health2]),"")))</f>
        <v/>
      </c>
      <c r="FR517" s="44" t="str">
        <f>IF(Table1[Leaving Date]="","",IF(Table1[Date of Initial Assessment]="","",IF(AND(Table1[Leaving Date]&gt;42094,Table1[Leaving Date]&lt;42461),IF(Table1[Date of Last Assessment]="",Table1[Meaningful Use of Time],Table1[Meaningful Use of Time2]),"")))</f>
        <v/>
      </c>
      <c r="FS517" s="44" t="str">
        <f>IF(Table1[Leaving Date]="","",IF(Table1[Date of Initial Assessment]="","",IF(AND(Table1[Leaving Date]&gt;42094,Table1[Leaving Date]&lt;42461),IF(Table1[Date of Last Assessment]="",Table1[Managing Tenancy and Accommodation],Table1[Managing Tenancy and Accommodation2]),"")))</f>
        <v/>
      </c>
      <c r="FT517" s="44" t="str">
        <f>IF(Table1[Leaving Date]="","",IF(Table1[Date of Initial Assessment]="","",IF(AND(Table1[Leaving Date]&gt;42094,Table1[Leaving Date]&lt;42461),IF(Table1[Date of Last Assessment]="",Table1[Offending],Table1[Offending2]),"")))</f>
        <v/>
      </c>
      <c r="FU517" s="44" t="str">
        <f>IF(Table1[Date of Initial Assessment]="","",IF(AND(Table1[Start Date]&gt;42460,Table1[Start Date]&lt;42826),Table1[Motivation and Taking Responsibility],""))</f>
        <v/>
      </c>
      <c r="FV517" s="44" t="str">
        <f>IF(Table1[Date of Initial Assessment]="","",IF(AND(Table1[Start Date]&gt;42460,Table1[Start Date]&lt;42826),Table1[Self-Care and Living Skills],""))</f>
        <v/>
      </c>
      <c r="FW517" s="44" t="str">
        <f>IF(Table1[Date of Initial Assessment]="","",IF(AND(Table1[Start Date]&gt;42460,Table1[Start Date]&lt;42826),Table1[Managing Money and Personal Administration],""))</f>
        <v/>
      </c>
      <c r="FX517" s="44" t="str">
        <f>IF(Table1[Date of Initial Assessment]="","",IF(AND(Table1[Start Date]&gt;42460,Table1[Start Date]&lt;42826),Table1[Social Networks and Relationships],""))</f>
        <v/>
      </c>
      <c r="FY517" s="44" t="str">
        <f>IF(Table1[Date of Initial Assessment]="","",IF(AND(Table1[Start Date]&gt;42460,Table1[Start Date]&lt;42826),Table1[Drug and Alcohol Misuse],""))</f>
        <v/>
      </c>
      <c r="FZ517" s="44" t="str">
        <f>IF(Table1[Date of Initial Assessment]="","",IF(AND(Table1[Start Date]&gt;42460,Table1[Start Date]&lt;42826),Table1[Physical Health],""))</f>
        <v/>
      </c>
      <c r="GA517" s="44" t="str">
        <f>IF(Table1[Date of Initial Assessment]="","",IF(AND(Table1[Start Date]&gt;42460,Table1[Start Date]&lt;42826),Table1[Emotional and Mental Health],""))</f>
        <v/>
      </c>
      <c r="GB517" s="44" t="str">
        <f>IF(Table1[Date of Initial Assessment]="","",IF(AND(Table1[Start Date]&gt;42460,Table1[Start Date]&lt;42826),Table1[Meaningful Use of Time],""))</f>
        <v/>
      </c>
      <c r="GC517" s="44" t="str">
        <f>IF(Table1[Date of Initial Assessment]="","",IF(AND(Table1[Start Date]&gt;42460,Table1[Start Date]&lt;42826),Table1[Managing Tenancy and Accommodation],""))</f>
        <v/>
      </c>
      <c r="GD517" s="44" t="str">
        <f>IF(Table1[Date of Initial Assessment]="","",IF(AND(Table1[Start Date]&gt;42460,Table1[Start Date]&lt;42826),Table1[Offending],""))</f>
        <v/>
      </c>
      <c r="GE517" s="44" t="str">
        <f>IF(Table1[Leaving Date]="","",IF(AND(Table1[Leaving Date]&gt;42460,Table1[Leaving Date]&lt;42826),IF(Table1[Date of Last Assessment]="",Table1[Motivation and Taking Responsibility],Table1[Motivation and Taking Responsibility2]),""))</f>
        <v/>
      </c>
      <c r="GF517" s="44" t="str">
        <f>IF(Table1[Leaving Date]="","",IF(AND(Table1[Leaving Date]&gt;42460,Table1[Leaving Date]&lt;42826),IF(Table1[Date of Last Assessment]="",Table1[Self-Care and Living Skills],Table1[Self-Care and Living Skills2]),""))</f>
        <v/>
      </c>
      <c r="GG517" s="44" t="str">
        <f>IF(Table1[Leaving Date]="","",IF(AND(Table1[Leaving Date]&gt;42460,Table1[Leaving Date]&lt;42826),IF(Table1[Date of Last Assessment]="",Table1[Managing Money and Personal Administration],Table1[Managing Money and Personal Administration2]),""))</f>
        <v/>
      </c>
      <c r="GH517" s="44" t="str">
        <f>IF(Table1[Leaving Date]="","",IF(AND(Table1[Leaving Date]&gt;42460,Table1[Leaving Date]&lt;42826),IF(Table1[Date of Last Assessment]="",Table1[Social Networks and Relationships],Table1[Social Networks and Relationships2]),""))</f>
        <v/>
      </c>
      <c r="GI517" s="44" t="str">
        <f>IF(Table1[Leaving Date]="","",IF(AND(Table1[Leaving Date]&gt;42460,Table1[Leaving Date]&lt;42826),IF(Table1[Date of Last Assessment]="",Table1[Drug and Alcohol Misuse],Table1[Drug and Alcohol Misuse2]),""))</f>
        <v/>
      </c>
      <c r="GJ517" s="44" t="str">
        <f>IF(Table1[Leaving Date]="","",IF(AND(Table1[Leaving Date]&gt;42460,Table1[Leaving Date]&lt;42826),IF(Table1[Date of Last Assessment]="",Table1[Physical Health],Table1[Physical Health2]),""))</f>
        <v/>
      </c>
      <c r="GK517" s="44" t="str">
        <f>IF(Table1[Leaving Date]="","",IF(AND(Table1[Leaving Date]&gt;42460,Table1[Leaving Date]&lt;42826),IF(Table1[Date of Last Assessment]="",Table1[Emotional and Mental Health],Table1[Emotional and Mental Health2]),""))</f>
        <v/>
      </c>
      <c r="GL517" s="44" t="str">
        <f>IF(Table1[Leaving Date]="","",IF(AND(Table1[Leaving Date]&gt;42460,Table1[Leaving Date]&lt;42826),IF(Table1[Date of Last Assessment]="",Table1[Meaningful Use of Time],Table1[Meaningful Use of Time2]),""))</f>
        <v/>
      </c>
      <c r="GM517" s="44" t="str">
        <f>IF(Table1[Leaving Date]="","",IF(AND(Table1[Leaving Date]&gt;42460,Table1[Leaving Date]&lt;42826),IF(Table1[Date of Last Assessment]="",Table1[Managing Tenancy and Accommodation],Table1[Managing Tenancy and Accommodation2]),""))</f>
        <v/>
      </c>
      <c r="GN517" s="44" t="str">
        <f>IF(Table1[Leaving Date]="","",IF(AND(Table1[Leaving Date]&gt;42460,Table1[Leaving Date]&lt;42826),IF(Table1[Date of Last Assessment]="",Table1[Offending],Table1[Offending2]),""))</f>
        <v/>
      </c>
    </row>
    <row r="518" spans="2:196" ht="20.100000000000001" customHeight="1" x14ac:dyDescent="0.2">
      <c r="B518" s="86">
        <f>+'Service Data'!$C$5:$C$5</f>
        <v>0</v>
      </c>
      <c r="C518" s="86"/>
      <c r="D518" s="86"/>
      <c r="E518" s="86"/>
      <c r="F518" s="86"/>
      <c r="G518" s="86"/>
      <c r="H518" s="6"/>
      <c r="I518" s="99" t="str">
        <f ca="1">IF(Table1[[#This Row],[Date of Birth]]="","",SUM(TODAY()-Table1[[#This Row],[Date of Birth]])/365)</f>
        <v/>
      </c>
      <c r="L518" s="86"/>
      <c r="M518" s="77"/>
      <c r="N518" s="86"/>
      <c r="O518" s="86"/>
      <c r="P518" s="91"/>
      <c r="Q518" s="86"/>
      <c r="R518" s="77"/>
      <c r="S518" s="77"/>
      <c r="T518" s="68"/>
      <c r="U518" s="68"/>
      <c r="V518" s="67"/>
      <c r="W518" s="67"/>
      <c r="X518" s="67"/>
      <c r="Y518" s="67"/>
      <c r="Z518" s="67"/>
      <c r="AA518" s="67"/>
      <c r="AB518" s="67"/>
      <c r="AC518" s="67"/>
      <c r="AD518" s="67"/>
      <c r="AE518" s="67"/>
      <c r="AF518" s="67"/>
      <c r="AG518" s="67"/>
      <c r="AH518" s="67"/>
      <c r="AI518" s="67"/>
      <c r="AJ518" s="67"/>
      <c r="AK518" s="67"/>
      <c r="AL518" s="67"/>
      <c r="AM518" s="67"/>
      <c r="AN518" s="77"/>
      <c r="AO518" s="76"/>
      <c r="AP518" s="77"/>
      <c r="AQ518" s="76"/>
      <c r="AR518" s="76"/>
      <c r="AS518" s="76"/>
      <c r="AT518" s="76"/>
      <c r="AU518" s="76"/>
      <c r="AV518" s="77"/>
      <c r="AW518" s="76"/>
      <c r="AX518" s="77"/>
      <c r="AY518" s="76"/>
      <c r="AZ518" s="76"/>
      <c r="BA518" s="76"/>
      <c r="BB518" s="76"/>
      <c r="BC518" s="76"/>
      <c r="BD518" s="77"/>
      <c r="BE518" s="76"/>
      <c r="BF518" s="77"/>
      <c r="BG518" s="76"/>
      <c r="BH518" s="76"/>
      <c r="BI518" s="76"/>
      <c r="BJ518" s="76"/>
      <c r="BK518" s="76"/>
      <c r="BL518" s="77"/>
      <c r="BM518" s="76"/>
      <c r="BN518" s="77"/>
      <c r="BO518" s="76"/>
      <c r="BP518" s="76"/>
      <c r="BQ518" s="76"/>
      <c r="BR518" s="76"/>
      <c r="BS518" s="76"/>
      <c r="BT518" s="77"/>
      <c r="BU518" s="76"/>
      <c r="BV518" s="77"/>
      <c r="BW518" s="76"/>
      <c r="BX518" s="76"/>
      <c r="BY518" s="76"/>
      <c r="BZ518" s="76"/>
      <c r="CA518" s="76"/>
      <c r="CB518" s="77"/>
      <c r="CC518" s="76"/>
      <c r="CD518" s="77"/>
      <c r="CE518" s="76"/>
      <c r="CF518" s="76"/>
      <c r="CG518" s="76"/>
      <c r="CH518" s="76"/>
      <c r="CI518" s="76"/>
      <c r="CJ518" s="77"/>
      <c r="CK518" s="76"/>
      <c r="CL518" s="77"/>
      <c r="CM518" s="76"/>
      <c r="CN518" s="76"/>
      <c r="CO518" s="76"/>
      <c r="CP518" s="76"/>
      <c r="CQ518" s="76"/>
      <c r="CR518" s="78" t="str">
        <f t="shared" si="143"/>
        <v/>
      </c>
      <c r="CS518" s="79" t="str">
        <f t="shared" si="144"/>
        <v/>
      </c>
      <c r="CT518" s="79" t="str">
        <f t="shared" si="145"/>
        <v/>
      </c>
      <c r="CU518" s="79" t="str">
        <f t="shared" si="146"/>
        <v/>
      </c>
      <c r="CV518" s="79" t="str">
        <f t="shared" si="147"/>
        <v/>
      </c>
      <c r="CW518" s="79" t="str">
        <f t="shared" si="148"/>
        <v/>
      </c>
      <c r="CX518" s="79" t="str">
        <f t="shared" si="149"/>
        <v/>
      </c>
      <c r="CY518" s="79" t="str">
        <f t="shared" si="150"/>
        <v/>
      </c>
      <c r="CZ518" s="79" t="str">
        <f t="shared" si="151"/>
        <v/>
      </c>
      <c r="DA518" s="79" t="str">
        <f t="shared" si="152"/>
        <v/>
      </c>
      <c r="DB518" s="79" t="str">
        <f t="shared" si="153"/>
        <v/>
      </c>
      <c r="DC518" s="79" t="str">
        <f t="shared" si="154"/>
        <v/>
      </c>
      <c r="DD518" s="79" t="str">
        <f t="shared" si="155"/>
        <v/>
      </c>
      <c r="DE518" s="79" t="str">
        <f t="shared" si="156"/>
        <v/>
      </c>
      <c r="DF518" s="79" t="str">
        <f t="shared" si="157"/>
        <v/>
      </c>
      <c r="DG518" s="79" t="str">
        <f t="shared" si="158"/>
        <v/>
      </c>
      <c r="DH518" s="76"/>
      <c r="DI518" s="78"/>
      <c r="DJ518" s="76"/>
      <c r="DK518" s="77"/>
      <c r="DL518" s="77"/>
      <c r="DM518" s="77"/>
      <c r="DN518" s="80"/>
      <c r="DO518" s="80"/>
      <c r="DP518" s="92" t="str">
        <f>IF(Table1[Start Date]="","",IF(Table1[Start Date]&gt;42185,"",IF(AND(Table1[Leaving Date]&gt;1,Table1[Leaving Date]&lt;42095),"",1)))</f>
        <v/>
      </c>
      <c r="DQ518" s="92" t="str">
        <f>IF(Table1[Start Date]="","",IF(Table1[Start Date]&gt;42277,"",IF(AND(Table1[Leaving Date]&gt;1,Table1[Leaving Date]&lt;42186),"",1)))</f>
        <v/>
      </c>
      <c r="DR518" s="92" t="str">
        <f>IF(Table1[Start Date]="","",IF(Table1[Start Date]&gt;42369,"",IF(AND(Table1[Leaving Date]&gt;1,Table1[Leaving Date]&lt;42278),"",1)))</f>
        <v/>
      </c>
      <c r="DS518" s="92" t="str">
        <f>IF(Table1[Start Date]="","",IF(Table1[Start Date]&gt;42460,"",IF(AND(Table1[Leaving Date]&gt;1,Table1[Leaving Date]&lt;42370),"",1)))</f>
        <v/>
      </c>
      <c r="DT518" s="92" t="str">
        <f>IF(Table1[Start Date]="","",IF(Table1[Start Date]&gt;42551,"",IF(AND(Table1[Leaving Date]&gt;1,Table1[Leaving Date]&lt;42461),"",1)))</f>
        <v/>
      </c>
      <c r="DU518" s="92" t="str">
        <f>IF(Table1[Start Date]="","",IF(Table1[Start Date]&gt;42643,"",IF(AND(Table1[Leaving Date]&gt;1,Table1[Leaving Date]&lt;42552),"",1)))</f>
        <v/>
      </c>
      <c r="DV518" s="92" t="str">
        <f>IF(Table1[Start Date]="","",IF(Table1[Start Date]&gt;42735,"",IF(AND(Table1[Leaving Date]&gt;1,Table1[Leaving Date]&lt;42644),"",1)))</f>
        <v/>
      </c>
      <c r="DW518" s="92" t="str">
        <f>IF(Table1[Start Date]="","",IF(Table1[Start Date]&gt;42825,"",IF(AND(Table1[Leaving Date]&gt;1,Table1[Leaving Date]&lt;42736),"",1)))</f>
        <v/>
      </c>
      <c r="DX518"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518" s="44" t="e">
        <f>VLOOKUP(Table1[Referral Source],Lists!$G$2:$H$20,2,FALSE)</f>
        <v>#N/A</v>
      </c>
      <c r="DZ518" s="93" t="e">
        <f>SUM(Table1[Data Referral Quarter]+Table1[Data Referral Source])</f>
        <v>#N/A</v>
      </c>
      <c r="EA518" s="44" t="b">
        <f>IF(Table1[Referral Decision]="Accepted",100,IF(Table1[Referral Decision]="Rejected by Provider",200,IF(Table1[Referral Decision]="Rejected by Applicant",300)))</f>
        <v>0</v>
      </c>
      <c r="EB518" s="44">
        <f>SUM(Table1[Data Referral Quarter]+Table1[Data Referral Decision])</f>
        <v>0</v>
      </c>
      <c r="EC518" s="44" t="b">
        <f>IF(Table1[Start Date]&gt;42735,8000,IF(Table1[Start Date]&gt;42643,7000,IF(Table1[Start Date]&gt;42551,6000,IF(Table1[Start Date]&gt;42460,5000,IF(Table1[Start Date]&gt;42369,4000,IF(Table1[Start Date]&gt;42277,3000,IF(Table1[Start Date]&gt;42185,2000,IF(Table1[Start Date]&gt;42094,1000))))))))</f>
        <v>0</v>
      </c>
      <c r="ED518" s="44" t="str">
        <f>IF(Table1[Start Date]="","",IF(Table1[Current Local Authority]="Swindon",1,"2"))</f>
        <v/>
      </c>
      <c r="EE518" s="44" t="e">
        <f>SUM(Table1[Data Start Date]+Table1[Data Local Authority])</f>
        <v>#VALUE!</v>
      </c>
      <c r="EF518" s="44">
        <f>IF(Table1[Registered with GP]="Yes",1,0)</f>
        <v>0</v>
      </c>
      <c r="EG518" s="44">
        <f>SUM(Table1[Data Start Date]+Table1[Data GP Start])</f>
        <v>0</v>
      </c>
      <c r="EH518" s="44" t="str">
        <f>IF(Table1[EET]="NEET",1,IF(Table1[EET]="Education",2,IF(Table1[EET]="Employment",2,IF(Table1[EET]="Training",2,IF(Table1[EET]="Retired",3,"")))))</f>
        <v/>
      </c>
      <c r="EI518" s="44" t="e">
        <f>Table1[Data Start Date]+Table1[Data EET Start]</f>
        <v>#VALUE!</v>
      </c>
      <c r="EJ518" s="44" t="b">
        <f>IF(Table1[Leaving Date]&gt;42735,8000,IF(Table1[Leaving Date]&gt;42643,7000,IF(Table1[Leaving Date]&gt;42551,6000,IF(Table1[Leaving Date]&gt;42460,5000,IF(Table1[Leaving Date]&gt;42369,4000,IF(Table1[Leaving Date]&gt;42277,3000,IF(Table1[Leaving Date]&gt;42185,2000,IF(Table1[Leaving Date]&gt;42094,1000))))))))</f>
        <v>0</v>
      </c>
      <c r="EK518" s="44" t="e">
        <f>VLOOKUP(Table1[Reason for Leaving],Lists!$T$2:$U$15,2,FALSE)</f>
        <v>#N/A</v>
      </c>
      <c r="EL518" s="44" t="e">
        <f>SUM(Table1[Data Leavers Date]+Table1[Data Move On])</f>
        <v>#N/A</v>
      </c>
      <c r="EM518" s="44" t="b">
        <f>IF(Table1[Registered with GP2]="Yes",1,IF(Table1[Registered with GP2]="No",0,IF(Table1[Registered with GP]="Yes",1,IF(Table1[Registered with GP]="No",0))))</f>
        <v>0</v>
      </c>
      <c r="EN518" s="44">
        <f>SUM(Table1[Data Leavers Date]+Table1[Data GP End])</f>
        <v>0</v>
      </c>
      <c r="EO518" s="44" t="str">
        <f>IF(Table1[EET2]="NEET",1,IF(Table1[EET2]="Employment",2,IF(Table1[EET2]="Education",2,IF(Table1[EET2]="Training",2,IF(Table1[EET2]="Retired",3,IF(Table1[EET]="NEET",1,IF(Table1[EET]="Employment",2,IF(Table1[EET]="Education",2,IF(Table1[EET]="Training",2,IF(Table1[EET]="Retired",3,""))))))))))</f>
        <v/>
      </c>
      <c r="EP518" s="44" t="e">
        <f>+Table1[[#This Row],[Data Leavers Date]]+Table1[[#This Row],[Data EET End]]</f>
        <v>#VALUE!</v>
      </c>
      <c r="EQ518" s="44">
        <f>IF(Table1[Exit Form Received]="Yes",1,0)</f>
        <v>0</v>
      </c>
      <c r="ER518" s="44">
        <f>+Table1[[#This Row],[Data Leavers Date]]+Table1[[#This Row],[Data Exit Forms]]</f>
        <v>0</v>
      </c>
      <c r="ES518" s="44" t="str">
        <f>IF(Table1[Data Leavers Date]=1000,SUM(Table1[Leaving Date]-Table1[Start Date]),"")</f>
        <v/>
      </c>
      <c r="ET518" s="44" t="str">
        <f>IF(Table1[Data Leavers Date]=2000,SUM(Table1[Leaving Date]-Table1[Start Date]),"")</f>
        <v/>
      </c>
      <c r="EU518" s="44" t="str">
        <f>IF(Table1[Data Leavers Date]=3000,SUM(Table1[Leaving Date]-Table1[Start Date]),"")</f>
        <v/>
      </c>
      <c r="EV518" s="44" t="str">
        <f>IF(Table1[Data Leavers Date]=4000,SUM(Table1[Leaving Date]-Table1[Start Date]),"")</f>
        <v/>
      </c>
      <c r="EW518" s="44" t="str">
        <f>IF(Table1[Data Leavers Date]=5000,SUM(Table1[Leaving Date]-Table1[Start Date]),"")</f>
        <v/>
      </c>
      <c r="EX518" s="44" t="str">
        <f>IF(Table1[Data Leavers Date]=6000,SUM(Table1[Leaving Date]-Table1[Start Date]),"")</f>
        <v/>
      </c>
      <c r="EY518" s="44" t="str">
        <f>IF(Table1[Data Leavers Date]=7000,SUM(Table1[Leaving Date]-Table1[Start Date]),"")</f>
        <v/>
      </c>
      <c r="EZ518" s="44" t="str">
        <f>IF(Table1[Data Leavers Date]=8000,SUM(Table1[Leaving Date]-Table1[Start Date]),"")</f>
        <v/>
      </c>
      <c r="FA518" s="44" t="str">
        <f>IF(Table1[Date of Initial Assessment]="","",IF(AND(Table1[Start Date]&gt;42094,Table1[Start Date]&lt;42461),Table1[Motivation and Taking Responsibility],""))</f>
        <v/>
      </c>
      <c r="FB518" s="44" t="str">
        <f>IF(Table1[Date of Initial Assessment]="","",IF(AND(Table1[Start Date]&gt;42094,Table1[Start Date]&lt;42461),Table1[Self-Care and Living Skills],""))</f>
        <v/>
      </c>
      <c r="FC518" s="44" t="str">
        <f>IF(Table1[Date of Initial Assessment]="","",IF(AND(Table1[Start Date]&gt;42094,Table1[Start Date]&lt;42461),Table1[Managing Money and Personal Administration],""))</f>
        <v/>
      </c>
      <c r="FD518" s="44" t="str">
        <f>IF(Table1[Date of Initial Assessment]="","",IF(AND(Table1[Start Date]&gt;42094,Table1[Start Date]&lt;42461),Table1[Social Networks and Relationships],""))</f>
        <v/>
      </c>
      <c r="FE518" s="44" t="str">
        <f>IF(Table1[Date of Initial Assessment]="","",IF(AND(Table1[Start Date]&gt;42094,Table1[Start Date]&lt;42461),Table1[Drug and Alcohol Misuse],""))</f>
        <v/>
      </c>
      <c r="FF518" s="44" t="str">
        <f>IF(Table1[Date of Initial Assessment]="","",IF(AND(Table1[Start Date]&gt;42094,Table1[Start Date]&lt;42461),Table1[Physical Health],""))</f>
        <v/>
      </c>
      <c r="FG518" s="44" t="str">
        <f>IF(Table1[Date of Initial Assessment]="","",IF(AND(Table1[Start Date]&gt;42094,Table1[Start Date]&lt;42461),Table1[Emotional and Mental Health],""))</f>
        <v/>
      </c>
      <c r="FH518" s="44" t="str">
        <f>IF(Table1[Date of Initial Assessment]="","",IF(AND(Table1[Start Date]&gt;42094,Table1[Start Date]&lt;42461),Table1[Meaningful Use of Time],""))</f>
        <v/>
      </c>
      <c r="FI518" s="44" t="str">
        <f>IF(Table1[Date of Initial Assessment]="","",IF(AND(Table1[Start Date]&gt;42094,Table1[Start Date]&lt;42461),Table1[Managing Tenancy and Accommodation],""))</f>
        <v/>
      </c>
      <c r="FJ518" s="44" t="str">
        <f>IF(Table1[Date of Initial Assessment]="","",IF(AND(Table1[Start Date]&gt;42094,Table1[Start Date]&lt;42461),Table1[Offending],""))</f>
        <v/>
      </c>
      <c r="FK518" s="44" t="str">
        <f>IF(Table1[Leaving Date]="","",IF(Table1[Date of Initial Assessment]="","",IF(AND(Table1[Leaving Date]&gt;42094,Table1[Leaving Date]&lt;42461),IF(Table1[Date of Last Assessment]="",Table1[Motivation and Taking Responsibility],Table1[Motivation and Taking Responsibility2]),"")))</f>
        <v/>
      </c>
      <c r="FL518" s="44" t="str">
        <f>IF(Table1[Leaving Date]="","",IF(Table1[Date of Initial Assessment]="","",IF(AND(Table1[Leaving Date]&gt;42094,Table1[Leaving Date]&lt;42461),IF(Table1[Date of Last Assessment]="",Table1[Self-Care and Living Skills],Table1[Self-Care and Living Skills2]),"")))</f>
        <v/>
      </c>
      <c r="FM518" s="44" t="str">
        <f>IF(Table1[Leaving Date]="","",IF(Table1[Date of Initial Assessment]="","",IF(AND(Table1[Leaving Date]&gt;42094,Table1[Leaving Date]&lt;42461),IF(Table1[Date of Last Assessment]="",Table1[Managing Money and Personal Administration],Table1[Managing Money and Personal Administration2]),"")))</f>
        <v/>
      </c>
      <c r="FN518" s="44" t="str">
        <f>IF(Table1[Leaving Date]="","",IF(Table1[Date of Initial Assessment]="","",IF(AND(Table1[Leaving Date]&gt;42094,Table1[Leaving Date]&lt;42461),IF(Table1[Date of Last Assessment]="",Table1[Social Networks and Relationships],Table1[Social Networks and Relationships2]),"")))</f>
        <v/>
      </c>
      <c r="FO518" s="44" t="str">
        <f>IF(Table1[Leaving Date]="","",IF(Table1[Date of Initial Assessment]="","",IF(AND(Table1[Leaving Date]&gt;42094,Table1[Leaving Date]&lt;42461),IF(Table1[Date of Last Assessment]="",Table1[Drug and Alcohol Misuse],Table1[Drug and Alcohol Misuse2]),"")))</f>
        <v/>
      </c>
      <c r="FP518" s="44" t="str">
        <f>IF(Table1[Leaving Date]="","",IF(Table1[Date of Initial Assessment]="","",IF(AND(Table1[Leaving Date]&gt;42094,Table1[Leaving Date]&lt;42461),IF(Table1[Date of Last Assessment]="",Table1[Physical Health],Table1[Physical Health2]),"")))</f>
        <v/>
      </c>
      <c r="FQ518" s="44" t="str">
        <f>IF(Table1[Leaving Date]="","",IF(Table1[Date of Initial Assessment]="","",IF(AND(Table1[Leaving Date]&gt;42094,Table1[Leaving Date]&lt;42461),IF(Table1[Date of Last Assessment]="",Table1[Emotional and Mental Health],Table1[Emotional and Mental Health2]),"")))</f>
        <v/>
      </c>
      <c r="FR518" s="44" t="str">
        <f>IF(Table1[Leaving Date]="","",IF(Table1[Date of Initial Assessment]="","",IF(AND(Table1[Leaving Date]&gt;42094,Table1[Leaving Date]&lt;42461),IF(Table1[Date of Last Assessment]="",Table1[Meaningful Use of Time],Table1[Meaningful Use of Time2]),"")))</f>
        <v/>
      </c>
      <c r="FS518" s="44" t="str">
        <f>IF(Table1[Leaving Date]="","",IF(Table1[Date of Initial Assessment]="","",IF(AND(Table1[Leaving Date]&gt;42094,Table1[Leaving Date]&lt;42461),IF(Table1[Date of Last Assessment]="",Table1[Managing Tenancy and Accommodation],Table1[Managing Tenancy and Accommodation2]),"")))</f>
        <v/>
      </c>
      <c r="FT518" s="44" t="str">
        <f>IF(Table1[Leaving Date]="","",IF(Table1[Date of Initial Assessment]="","",IF(AND(Table1[Leaving Date]&gt;42094,Table1[Leaving Date]&lt;42461),IF(Table1[Date of Last Assessment]="",Table1[Offending],Table1[Offending2]),"")))</f>
        <v/>
      </c>
      <c r="FU518" s="44" t="str">
        <f>IF(Table1[Date of Initial Assessment]="","",IF(AND(Table1[Start Date]&gt;42460,Table1[Start Date]&lt;42826),Table1[Motivation and Taking Responsibility],""))</f>
        <v/>
      </c>
      <c r="FV518" s="44" t="str">
        <f>IF(Table1[Date of Initial Assessment]="","",IF(AND(Table1[Start Date]&gt;42460,Table1[Start Date]&lt;42826),Table1[Self-Care and Living Skills],""))</f>
        <v/>
      </c>
      <c r="FW518" s="44" t="str">
        <f>IF(Table1[Date of Initial Assessment]="","",IF(AND(Table1[Start Date]&gt;42460,Table1[Start Date]&lt;42826),Table1[Managing Money and Personal Administration],""))</f>
        <v/>
      </c>
      <c r="FX518" s="44" t="str">
        <f>IF(Table1[Date of Initial Assessment]="","",IF(AND(Table1[Start Date]&gt;42460,Table1[Start Date]&lt;42826),Table1[Social Networks and Relationships],""))</f>
        <v/>
      </c>
      <c r="FY518" s="44" t="str">
        <f>IF(Table1[Date of Initial Assessment]="","",IF(AND(Table1[Start Date]&gt;42460,Table1[Start Date]&lt;42826),Table1[Drug and Alcohol Misuse],""))</f>
        <v/>
      </c>
      <c r="FZ518" s="44" t="str">
        <f>IF(Table1[Date of Initial Assessment]="","",IF(AND(Table1[Start Date]&gt;42460,Table1[Start Date]&lt;42826),Table1[Physical Health],""))</f>
        <v/>
      </c>
      <c r="GA518" s="44" t="str">
        <f>IF(Table1[Date of Initial Assessment]="","",IF(AND(Table1[Start Date]&gt;42460,Table1[Start Date]&lt;42826),Table1[Emotional and Mental Health],""))</f>
        <v/>
      </c>
      <c r="GB518" s="44" t="str">
        <f>IF(Table1[Date of Initial Assessment]="","",IF(AND(Table1[Start Date]&gt;42460,Table1[Start Date]&lt;42826),Table1[Meaningful Use of Time],""))</f>
        <v/>
      </c>
      <c r="GC518" s="44" t="str">
        <f>IF(Table1[Date of Initial Assessment]="","",IF(AND(Table1[Start Date]&gt;42460,Table1[Start Date]&lt;42826),Table1[Managing Tenancy and Accommodation],""))</f>
        <v/>
      </c>
      <c r="GD518" s="44" t="str">
        <f>IF(Table1[Date of Initial Assessment]="","",IF(AND(Table1[Start Date]&gt;42460,Table1[Start Date]&lt;42826),Table1[Offending],""))</f>
        <v/>
      </c>
      <c r="GE518" s="44" t="str">
        <f>IF(Table1[Leaving Date]="","",IF(AND(Table1[Leaving Date]&gt;42460,Table1[Leaving Date]&lt;42826),IF(Table1[Date of Last Assessment]="",Table1[Motivation and Taking Responsibility],Table1[Motivation and Taking Responsibility2]),""))</f>
        <v/>
      </c>
      <c r="GF518" s="44" t="str">
        <f>IF(Table1[Leaving Date]="","",IF(AND(Table1[Leaving Date]&gt;42460,Table1[Leaving Date]&lt;42826),IF(Table1[Date of Last Assessment]="",Table1[Self-Care and Living Skills],Table1[Self-Care and Living Skills2]),""))</f>
        <v/>
      </c>
      <c r="GG518" s="44" t="str">
        <f>IF(Table1[Leaving Date]="","",IF(AND(Table1[Leaving Date]&gt;42460,Table1[Leaving Date]&lt;42826),IF(Table1[Date of Last Assessment]="",Table1[Managing Money and Personal Administration],Table1[Managing Money and Personal Administration2]),""))</f>
        <v/>
      </c>
      <c r="GH518" s="44" t="str">
        <f>IF(Table1[Leaving Date]="","",IF(AND(Table1[Leaving Date]&gt;42460,Table1[Leaving Date]&lt;42826),IF(Table1[Date of Last Assessment]="",Table1[Social Networks and Relationships],Table1[Social Networks and Relationships2]),""))</f>
        <v/>
      </c>
      <c r="GI518" s="44" t="str">
        <f>IF(Table1[Leaving Date]="","",IF(AND(Table1[Leaving Date]&gt;42460,Table1[Leaving Date]&lt;42826),IF(Table1[Date of Last Assessment]="",Table1[Drug and Alcohol Misuse],Table1[Drug and Alcohol Misuse2]),""))</f>
        <v/>
      </c>
      <c r="GJ518" s="44" t="str">
        <f>IF(Table1[Leaving Date]="","",IF(AND(Table1[Leaving Date]&gt;42460,Table1[Leaving Date]&lt;42826),IF(Table1[Date of Last Assessment]="",Table1[Physical Health],Table1[Physical Health2]),""))</f>
        <v/>
      </c>
      <c r="GK518" s="44" t="str">
        <f>IF(Table1[Leaving Date]="","",IF(AND(Table1[Leaving Date]&gt;42460,Table1[Leaving Date]&lt;42826),IF(Table1[Date of Last Assessment]="",Table1[Emotional and Mental Health],Table1[Emotional and Mental Health2]),""))</f>
        <v/>
      </c>
      <c r="GL518" s="44" t="str">
        <f>IF(Table1[Leaving Date]="","",IF(AND(Table1[Leaving Date]&gt;42460,Table1[Leaving Date]&lt;42826),IF(Table1[Date of Last Assessment]="",Table1[Meaningful Use of Time],Table1[Meaningful Use of Time2]),""))</f>
        <v/>
      </c>
      <c r="GM518" s="44" t="str">
        <f>IF(Table1[Leaving Date]="","",IF(AND(Table1[Leaving Date]&gt;42460,Table1[Leaving Date]&lt;42826),IF(Table1[Date of Last Assessment]="",Table1[Managing Tenancy and Accommodation],Table1[Managing Tenancy and Accommodation2]),""))</f>
        <v/>
      </c>
      <c r="GN518" s="44" t="str">
        <f>IF(Table1[Leaving Date]="","",IF(AND(Table1[Leaving Date]&gt;42460,Table1[Leaving Date]&lt;42826),IF(Table1[Date of Last Assessment]="",Table1[Offending],Table1[Offending2]),""))</f>
        <v/>
      </c>
    </row>
    <row r="519" spans="2:196" ht="20.100000000000001" customHeight="1" x14ac:dyDescent="0.2">
      <c r="B519" s="86">
        <f>+'Service Data'!$C$5:$C$5</f>
        <v>0</v>
      </c>
      <c r="C519" s="86"/>
      <c r="D519" s="86"/>
      <c r="E519" s="86"/>
      <c r="F519" s="86"/>
      <c r="G519" s="86"/>
      <c r="H519" s="6"/>
      <c r="I519" s="99" t="str">
        <f ca="1">IF(Table1[[#This Row],[Date of Birth]]="","",SUM(TODAY()-Table1[[#This Row],[Date of Birth]])/365)</f>
        <v/>
      </c>
      <c r="L519" s="86"/>
      <c r="M519" s="77"/>
      <c r="N519" s="86"/>
      <c r="O519" s="86"/>
      <c r="P519" s="91"/>
      <c r="Q519" s="86"/>
      <c r="R519" s="77"/>
      <c r="S519" s="77"/>
      <c r="T519" s="68"/>
      <c r="U519" s="68"/>
      <c r="V519" s="67"/>
      <c r="W519" s="67"/>
      <c r="X519" s="67"/>
      <c r="Y519" s="67"/>
      <c r="Z519" s="67"/>
      <c r="AA519" s="67"/>
      <c r="AB519" s="67"/>
      <c r="AC519" s="67"/>
      <c r="AD519" s="67"/>
      <c r="AE519" s="67"/>
      <c r="AF519" s="67"/>
      <c r="AG519" s="67"/>
      <c r="AH519" s="67"/>
      <c r="AI519" s="67"/>
      <c r="AJ519" s="67"/>
      <c r="AK519" s="67"/>
      <c r="AL519" s="67"/>
      <c r="AM519" s="67"/>
      <c r="AN519" s="77"/>
      <c r="AO519" s="76"/>
      <c r="AP519" s="77"/>
      <c r="AQ519" s="76"/>
      <c r="AR519" s="76"/>
      <c r="AS519" s="76"/>
      <c r="AT519" s="76"/>
      <c r="AU519" s="76"/>
      <c r="AV519" s="77"/>
      <c r="AW519" s="76"/>
      <c r="AX519" s="77"/>
      <c r="AY519" s="76"/>
      <c r="AZ519" s="76"/>
      <c r="BA519" s="76"/>
      <c r="BB519" s="76"/>
      <c r="BC519" s="76"/>
      <c r="BD519" s="77"/>
      <c r="BE519" s="76"/>
      <c r="BF519" s="77"/>
      <c r="BG519" s="76"/>
      <c r="BH519" s="76"/>
      <c r="BI519" s="76"/>
      <c r="BJ519" s="76"/>
      <c r="BK519" s="76"/>
      <c r="BL519" s="77"/>
      <c r="BM519" s="76"/>
      <c r="BN519" s="77"/>
      <c r="BO519" s="76"/>
      <c r="BP519" s="76"/>
      <c r="BQ519" s="76"/>
      <c r="BR519" s="76"/>
      <c r="BS519" s="76"/>
      <c r="BT519" s="77"/>
      <c r="BU519" s="76"/>
      <c r="BV519" s="77"/>
      <c r="BW519" s="76"/>
      <c r="BX519" s="76"/>
      <c r="BY519" s="76"/>
      <c r="BZ519" s="76"/>
      <c r="CA519" s="76"/>
      <c r="CB519" s="77"/>
      <c r="CC519" s="76"/>
      <c r="CD519" s="77"/>
      <c r="CE519" s="76"/>
      <c r="CF519" s="76"/>
      <c r="CG519" s="76"/>
      <c r="CH519" s="76"/>
      <c r="CI519" s="76"/>
      <c r="CJ519" s="77"/>
      <c r="CK519" s="76"/>
      <c r="CL519" s="77"/>
      <c r="CM519" s="76"/>
      <c r="CN519" s="76"/>
      <c r="CO519" s="76"/>
      <c r="CP519" s="76"/>
      <c r="CQ519" s="76"/>
      <c r="CR519" s="78" t="str">
        <f t="shared" si="143"/>
        <v/>
      </c>
      <c r="CS519" s="79" t="str">
        <f t="shared" si="144"/>
        <v/>
      </c>
      <c r="CT519" s="79" t="str">
        <f t="shared" si="145"/>
        <v/>
      </c>
      <c r="CU519" s="79" t="str">
        <f t="shared" si="146"/>
        <v/>
      </c>
      <c r="CV519" s="79" t="str">
        <f t="shared" si="147"/>
        <v/>
      </c>
      <c r="CW519" s="79" t="str">
        <f t="shared" si="148"/>
        <v/>
      </c>
      <c r="CX519" s="79" t="str">
        <f t="shared" si="149"/>
        <v/>
      </c>
      <c r="CY519" s="79" t="str">
        <f t="shared" si="150"/>
        <v/>
      </c>
      <c r="CZ519" s="79" t="str">
        <f t="shared" si="151"/>
        <v/>
      </c>
      <c r="DA519" s="79" t="str">
        <f t="shared" si="152"/>
        <v/>
      </c>
      <c r="DB519" s="79" t="str">
        <f t="shared" si="153"/>
        <v/>
      </c>
      <c r="DC519" s="79" t="str">
        <f t="shared" si="154"/>
        <v/>
      </c>
      <c r="DD519" s="79" t="str">
        <f t="shared" si="155"/>
        <v/>
      </c>
      <c r="DE519" s="79" t="str">
        <f t="shared" si="156"/>
        <v/>
      </c>
      <c r="DF519" s="79" t="str">
        <f t="shared" si="157"/>
        <v/>
      </c>
      <c r="DG519" s="79" t="str">
        <f t="shared" si="158"/>
        <v/>
      </c>
      <c r="DH519" s="76"/>
      <c r="DI519" s="78"/>
      <c r="DJ519" s="76"/>
      <c r="DK519" s="77"/>
      <c r="DL519" s="77"/>
      <c r="DM519" s="77"/>
      <c r="DN519" s="80"/>
      <c r="DO519" s="80"/>
      <c r="DP519" s="92" t="str">
        <f>IF(Table1[Start Date]="","",IF(Table1[Start Date]&gt;42185,"",IF(AND(Table1[Leaving Date]&gt;1,Table1[Leaving Date]&lt;42095),"",1)))</f>
        <v/>
      </c>
      <c r="DQ519" s="92" t="str">
        <f>IF(Table1[Start Date]="","",IF(Table1[Start Date]&gt;42277,"",IF(AND(Table1[Leaving Date]&gt;1,Table1[Leaving Date]&lt;42186),"",1)))</f>
        <v/>
      </c>
      <c r="DR519" s="92" t="str">
        <f>IF(Table1[Start Date]="","",IF(Table1[Start Date]&gt;42369,"",IF(AND(Table1[Leaving Date]&gt;1,Table1[Leaving Date]&lt;42278),"",1)))</f>
        <v/>
      </c>
      <c r="DS519" s="92" t="str">
        <f>IF(Table1[Start Date]="","",IF(Table1[Start Date]&gt;42460,"",IF(AND(Table1[Leaving Date]&gt;1,Table1[Leaving Date]&lt;42370),"",1)))</f>
        <v/>
      </c>
      <c r="DT519" s="92" t="str">
        <f>IF(Table1[Start Date]="","",IF(Table1[Start Date]&gt;42551,"",IF(AND(Table1[Leaving Date]&gt;1,Table1[Leaving Date]&lt;42461),"",1)))</f>
        <v/>
      </c>
      <c r="DU519" s="92" t="str">
        <f>IF(Table1[Start Date]="","",IF(Table1[Start Date]&gt;42643,"",IF(AND(Table1[Leaving Date]&gt;1,Table1[Leaving Date]&lt;42552),"",1)))</f>
        <v/>
      </c>
      <c r="DV519" s="92" t="str">
        <f>IF(Table1[Start Date]="","",IF(Table1[Start Date]&gt;42735,"",IF(AND(Table1[Leaving Date]&gt;1,Table1[Leaving Date]&lt;42644),"",1)))</f>
        <v/>
      </c>
      <c r="DW519" s="92" t="str">
        <f>IF(Table1[Start Date]="","",IF(Table1[Start Date]&gt;42825,"",IF(AND(Table1[Leaving Date]&gt;1,Table1[Leaving Date]&lt;42736),"",1)))</f>
        <v/>
      </c>
      <c r="DX519"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519" s="44" t="e">
        <f>VLOOKUP(Table1[Referral Source],Lists!$G$2:$H$20,2,FALSE)</f>
        <v>#N/A</v>
      </c>
      <c r="DZ519" s="93" t="e">
        <f>SUM(Table1[Data Referral Quarter]+Table1[Data Referral Source])</f>
        <v>#N/A</v>
      </c>
      <c r="EA519" s="44" t="b">
        <f>IF(Table1[Referral Decision]="Accepted",100,IF(Table1[Referral Decision]="Rejected by Provider",200,IF(Table1[Referral Decision]="Rejected by Applicant",300)))</f>
        <v>0</v>
      </c>
      <c r="EB519" s="44">
        <f>SUM(Table1[Data Referral Quarter]+Table1[Data Referral Decision])</f>
        <v>0</v>
      </c>
      <c r="EC519" s="44" t="b">
        <f>IF(Table1[Start Date]&gt;42735,8000,IF(Table1[Start Date]&gt;42643,7000,IF(Table1[Start Date]&gt;42551,6000,IF(Table1[Start Date]&gt;42460,5000,IF(Table1[Start Date]&gt;42369,4000,IF(Table1[Start Date]&gt;42277,3000,IF(Table1[Start Date]&gt;42185,2000,IF(Table1[Start Date]&gt;42094,1000))))))))</f>
        <v>0</v>
      </c>
      <c r="ED519" s="44" t="str">
        <f>IF(Table1[Start Date]="","",IF(Table1[Current Local Authority]="Swindon",1,"2"))</f>
        <v/>
      </c>
      <c r="EE519" s="44" t="e">
        <f>SUM(Table1[Data Start Date]+Table1[Data Local Authority])</f>
        <v>#VALUE!</v>
      </c>
      <c r="EF519" s="44">
        <f>IF(Table1[Registered with GP]="Yes",1,0)</f>
        <v>0</v>
      </c>
      <c r="EG519" s="44">
        <f>SUM(Table1[Data Start Date]+Table1[Data GP Start])</f>
        <v>0</v>
      </c>
      <c r="EH519" s="44" t="str">
        <f>IF(Table1[EET]="NEET",1,IF(Table1[EET]="Education",2,IF(Table1[EET]="Employment",2,IF(Table1[EET]="Training",2,IF(Table1[EET]="Retired",3,"")))))</f>
        <v/>
      </c>
      <c r="EI519" s="44" t="e">
        <f>Table1[Data Start Date]+Table1[Data EET Start]</f>
        <v>#VALUE!</v>
      </c>
      <c r="EJ519" s="44" t="b">
        <f>IF(Table1[Leaving Date]&gt;42735,8000,IF(Table1[Leaving Date]&gt;42643,7000,IF(Table1[Leaving Date]&gt;42551,6000,IF(Table1[Leaving Date]&gt;42460,5000,IF(Table1[Leaving Date]&gt;42369,4000,IF(Table1[Leaving Date]&gt;42277,3000,IF(Table1[Leaving Date]&gt;42185,2000,IF(Table1[Leaving Date]&gt;42094,1000))))))))</f>
        <v>0</v>
      </c>
      <c r="EK519" s="44" t="e">
        <f>VLOOKUP(Table1[Reason for Leaving],Lists!$T$2:$U$15,2,FALSE)</f>
        <v>#N/A</v>
      </c>
      <c r="EL519" s="44" t="e">
        <f>SUM(Table1[Data Leavers Date]+Table1[Data Move On])</f>
        <v>#N/A</v>
      </c>
      <c r="EM519" s="44" t="b">
        <f>IF(Table1[Registered with GP2]="Yes",1,IF(Table1[Registered with GP2]="No",0,IF(Table1[Registered with GP]="Yes",1,IF(Table1[Registered with GP]="No",0))))</f>
        <v>0</v>
      </c>
      <c r="EN519" s="44">
        <f>SUM(Table1[Data Leavers Date]+Table1[Data GP End])</f>
        <v>0</v>
      </c>
      <c r="EO519" s="44" t="str">
        <f>IF(Table1[EET2]="NEET",1,IF(Table1[EET2]="Employment",2,IF(Table1[EET2]="Education",2,IF(Table1[EET2]="Training",2,IF(Table1[EET2]="Retired",3,IF(Table1[EET]="NEET",1,IF(Table1[EET]="Employment",2,IF(Table1[EET]="Education",2,IF(Table1[EET]="Training",2,IF(Table1[EET]="Retired",3,""))))))))))</f>
        <v/>
      </c>
      <c r="EP519" s="44" t="e">
        <f>+Table1[[#This Row],[Data Leavers Date]]+Table1[[#This Row],[Data EET End]]</f>
        <v>#VALUE!</v>
      </c>
      <c r="EQ519" s="44">
        <f>IF(Table1[Exit Form Received]="Yes",1,0)</f>
        <v>0</v>
      </c>
      <c r="ER519" s="44">
        <f>+Table1[[#This Row],[Data Leavers Date]]+Table1[[#This Row],[Data Exit Forms]]</f>
        <v>0</v>
      </c>
      <c r="ES519" s="44" t="str">
        <f>IF(Table1[Data Leavers Date]=1000,SUM(Table1[Leaving Date]-Table1[Start Date]),"")</f>
        <v/>
      </c>
      <c r="ET519" s="44" t="str">
        <f>IF(Table1[Data Leavers Date]=2000,SUM(Table1[Leaving Date]-Table1[Start Date]),"")</f>
        <v/>
      </c>
      <c r="EU519" s="44" t="str">
        <f>IF(Table1[Data Leavers Date]=3000,SUM(Table1[Leaving Date]-Table1[Start Date]),"")</f>
        <v/>
      </c>
      <c r="EV519" s="44" t="str">
        <f>IF(Table1[Data Leavers Date]=4000,SUM(Table1[Leaving Date]-Table1[Start Date]),"")</f>
        <v/>
      </c>
      <c r="EW519" s="44" t="str">
        <f>IF(Table1[Data Leavers Date]=5000,SUM(Table1[Leaving Date]-Table1[Start Date]),"")</f>
        <v/>
      </c>
      <c r="EX519" s="44" t="str">
        <f>IF(Table1[Data Leavers Date]=6000,SUM(Table1[Leaving Date]-Table1[Start Date]),"")</f>
        <v/>
      </c>
      <c r="EY519" s="44" t="str">
        <f>IF(Table1[Data Leavers Date]=7000,SUM(Table1[Leaving Date]-Table1[Start Date]),"")</f>
        <v/>
      </c>
      <c r="EZ519" s="44" t="str">
        <f>IF(Table1[Data Leavers Date]=8000,SUM(Table1[Leaving Date]-Table1[Start Date]),"")</f>
        <v/>
      </c>
      <c r="FA519" s="44" t="str">
        <f>IF(Table1[Date of Initial Assessment]="","",IF(AND(Table1[Start Date]&gt;42094,Table1[Start Date]&lt;42461),Table1[Motivation and Taking Responsibility],""))</f>
        <v/>
      </c>
      <c r="FB519" s="44" t="str">
        <f>IF(Table1[Date of Initial Assessment]="","",IF(AND(Table1[Start Date]&gt;42094,Table1[Start Date]&lt;42461),Table1[Self-Care and Living Skills],""))</f>
        <v/>
      </c>
      <c r="FC519" s="44" t="str">
        <f>IF(Table1[Date of Initial Assessment]="","",IF(AND(Table1[Start Date]&gt;42094,Table1[Start Date]&lt;42461),Table1[Managing Money and Personal Administration],""))</f>
        <v/>
      </c>
      <c r="FD519" s="44" t="str">
        <f>IF(Table1[Date of Initial Assessment]="","",IF(AND(Table1[Start Date]&gt;42094,Table1[Start Date]&lt;42461),Table1[Social Networks and Relationships],""))</f>
        <v/>
      </c>
      <c r="FE519" s="44" t="str">
        <f>IF(Table1[Date of Initial Assessment]="","",IF(AND(Table1[Start Date]&gt;42094,Table1[Start Date]&lt;42461),Table1[Drug and Alcohol Misuse],""))</f>
        <v/>
      </c>
      <c r="FF519" s="44" t="str">
        <f>IF(Table1[Date of Initial Assessment]="","",IF(AND(Table1[Start Date]&gt;42094,Table1[Start Date]&lt;42461),Table1[Physical Health],""))</f>
        <v/>
      </c>
      <c r="FG519" s="44" t="str">
        <f>IF(Table1[Date of Initial Assessment]="","",IF(AND(Table1[Start Date]&gt;42094,Table1[Start Date]&lt;42461),Table1[Emotional and Mental Health],""))</f>
        <v/>
      </c>
      <c r="FH519" s="44" t="str">
        <f>IF(Table1[Date of Initial Assessment]="","",IF(AND(Table1[Start Date]&gt;42094,Table1[Start Date]&lt;42461),Table1[Meaningful Use of Time],""))</f>
        <v/>
      </c>
      <c r="FI519" s="44" t="str">
        <f>IF(Table1[Date of Initial Assessment]="","",IF(AND(Table1[Start Date]&gt;42094,Table1[Start Date]&lt;42461),Table1[Managing Tenancy and Accommodation],""))</f>
        <v/>
      </c>
      <c r="FJ519" s="44" t="str">
        <f>IF(Table1[Date of Initial Assessment]="","",IF(AND(Table1[Start Date]&gt;42094,Table1[Start Date]&lt;42461),Table1[Offending],""))</f>
        <v/>
      </c>
      <c r="FK519" s="44" t="str">
        <f>IF(Table1[Leaving Date]="","",IF(Table1[Date of Initial Assessment]="","",IF(AND(Table1[Leaving Date]&gt;42094,Table1[Leaving Date]&lt;42461),IF(Table1[Date of Last Assessment]="",Table1[Motivation and Taking Responsibility],Table1[Motivation and Taking Responsibility2]),"")))</f>
        <v/>
      </c>
      <c r="FL519" s="44" t="str">
        <f>IF(Table1[Leaving Date]="","",IF(Table1[Date of Initial Assessment]="","",IF(AND(Table1[Leaving Date]&gt;42094,Table1[Leaving Date]&lt;42461),IF(Table1[Date of Last Assessment]="",Table1[Self-Care and Living Skills],Table1[Self-Care and Living Skills2]),"")))</f>
        <v/>
      </c>
      <c r="FM519" s="44" t="str">
        <f>IF(Table1[Leaving Date]="","",IF(Table1[Date of Initial Assessment]="","",IF(AND(Table1[Leaving Date]&gt;42094,Table1[Leaving Date]&lt;42461),IF(Table1[Date of Last Assessment]="",Table1[Managing Money and Personal Administration],Table1[Managing Money and Personal Administration2]),"")))</f>
        <v/>
      </c>
      <c r="FN519" s="44" t="str">
        <f>IF(Table1[Leaving Date]="","",IF(Table1[Date of Initial Assessment]="","",IF(AND(Table1[Leaving Date]&gt;42094,Table1[Leaving Date]&lt;42461),IF(Table1[Date of Last Assessment]="",Table1[Social Networks and Relationships],Table1[Social Networks and Relationships2]),"")))</f>
        <v/>
      </c>
      <c r="FO519" s="44" t="str">
        <f>IF(Table1[Leaving Date]="","",IF(Table1[Date of Initial Assessment]="","",IF(AND(Table1[Leaving Date]&gt;42094,Table1[Leaving Date]&lt;42461),IF(Table1[Date of Last Assessment]="",Table1[Drug and Alcohol Misuse],Table1[Drug and Alcohol Misuse2]),"")))</f>
        <v/>
      </c>
      <c r="FP519" s="44" t="str">
        <f>IF(Table1[Leaving Date]="","",IF(Table1[Date of Initial Assessment]="","",IF(AND(Table1[Leaving Date]&gt;42094,Table1[Leaving Date]&lt;42461),IF(Table1[Date of Last Assessment]="",Table1[Physical Health],Table1[Physical Health2]),"")))</f>
        <v/>
      </c>
      <c r="FQ519" s="44" t="str">
        <f>IF(Table1[Leaving Date]="","",IF(Table1[Date of Initial Assessment]="","",IF(AND(Table1[Leaving Date]&gt;42094,Table1[Leaving Date]&lt;42461),IF(Table1[Date of Last Assessment]="",Table1[Emotional and Mental Health],Table1[Emotional and Mental Health2]),"")))</f>
        <v/>
      </c>
      <c r="FR519" s="44" t="str">
        <f>IF(Table1[Leaving Date]="","",IF(Table1[Date of Initial Assessment]="","",IF(AND(Table1[Leaving Date]&gt;42094,Table1[Leaving Date]&lt;42461),IF(Table1[Date of Last Assessment]="",Table1[Meaningful Use of Time],Table1[Meaningful Use of Time2]),"")))</f>
        <v/>
      </c>
      <c r="FS519" s="44" t="str">
        <f>IF(Table1[Leaving Date]="","",IF(Table1[Date of Initial Assessment]="","",IF(AND(Table1[Leaving Date]&gt;42094,Table1[Leaving Date]&lt;42461),IF(Table1[Date of Last Assessment]="",Table1[Managing Tenancy and Accommodation],Table1[Managing Tenancy and Accommodation2]),"")))</f>
        <v/>
      </c>
      <c r="FT519" s="44" t="str">
        <f>IF(Table1[Leaving Date]="","",IF(Table1[Date of Initial Assessment]="","",IF(AND(Table1[Leaving Date]&gt;42094,Table1[Leaving Date]&lt;42461),IF(Table1[Date of Last Assessment]="",Table1[Offending],Table1[Offending2]),"")))</f>
        <v/>
      </c>
      <c r="FU519" s="44" t="str">
        <f>IF(Table1[Date of Initial Assessment]="","",IF(AND(Table1[Start Date]&gt;42460,Table1[Start Date]&lt;42826),Table1[Motivation and Taking Responsibility],""))</f>
        <v/>
      </c>
      <c r="FV519" s="44" t="str">
        <f>IF(Table1[Date of Initial Assessment]="","",IF(AND(Table1[Start Date]&gt;42460,Table1[Start Date]&lt;42826),Table1[Self-Care and Living Skills],""))</f>
        <v/>
      </c>
      <c r="FW519" s="44" t="str">
        <f>IF(Table1[Date of Initial Assessment]="","",IF(AND(Table1[Start Date]&gt;42460,Table1[Start Date]&lt;42826),Table1[Managing Money and Personal Administration],""))</f>
        <v/>
      </c>
      <c r="FX519" s="44" t="str">
        <f>IF(Table1[Date of Initial Assessment]="","",IF(AND(Table1[Start Date]&gt;42460,Table1[Start Date]&lt;42826),Table1[Social Networks and Relationships],""))</f>
        <v/>
      </c>
      <c r="FY519" s="44" t="str">
        <f>IF(Table1[Date of Initial Assessment]="","",IF(AND(Table1[Start Date]&gt;42460,Table1[Start Date]&lt;42826),Table1[Drug and Alcohol Misuse],""))</f>
        <v/>
      </c>
      <c r="FZ519" s="44" t="str">
        <f>IF(Table1[Date of Initial Assessment]="","",IF(AND(Table1[Start Date]&gt;42460,Table1[Start Date]&lt;42826),Table1[Physical Health],""))</f>
        <v/>
      </c>
      <c r="GA519" s="44" t="str">
        <f>IF(Table1[Date of Initial Assessment]="","",IF(AND(Table1[Start Date]&gt;42460,Table1[Start Date]&lt;42826),Table1[Emotional and Mental Health],""))</f>
        <v/>
      </c>
      <c r="GB519" s="44" t="str">
        <f>IF(Table1[Date of Initial Assessment]="","",IF(AND(Table1[Start Date]&gt;42460,Table1[Start Date]&lt;42826),Table1[Meaningful Use of Time],""))</f>
        <v/>
      </c>
      <c r="GC519" s="44" t="str">
        <f>IF(Table1[Date of Initial Assessment]="","",IF(AND(Table1[Start Date]&gt;42460,Table1[Start Date]&lt;42826),Table1[Managing Tenancy and Accommodation],""))</f>
        <v/>
      </c>
      <c r="GD519" s="44" t="str">
        <f>IF(Table1[Date of Initial Assessment]="","",IF(AND(Table1[Start Date]&gt;42460,Table1[Start Date]&lt;42826),Table1[Offending],""))</f>
        <v/>
      </c>
      <c r="GE519" s="44" t="str">
        <f>IF(Table1[Leaving Date]="","",IF(AND(Table1[Leaving Date]&gt;42460,Table1[Leaving Date]&lt;42826),IF(Table1[Date of Last Assessment]="",Table1[Motivation and Taking Responsibility],Table1[Motivation and Taking Responsibility2]),""))</f>
        <v/>
      </c>
      <c r="GF519" s="44" t="str">
        <f>IF(Table1[Leaving Date]="","",IF(AND(Table1[Leaving Date]&gt;42460,Table1[Leaving Date]&lt;42826),IF(Table1[Date of Last Assessment]="",Table1[Self-Care and Living Skills],Table1[Self-Care and Living Skills2]),""))</f>
        <v/>
      </c>
      <c r="GG519" s="44" t="str">
        <f>IF(Table1[Leaving Date]="","",IF(AND(Table1[Leaving Date]&gt;42460,Table1[Leaving Date]&lt;42826),IF(Table1[Date of Last Assessment]="",Table1[Managing Money and Personal Administration],Table1[Managing Money and Personal Administration2]),""))</f>
        <v/>
      </c>
      <c r="GH519" s="44" t="str">
        <f>IF(Table1[Leaving Date]="","",IF(AND(Table1[Leaving Date]&gt;42460,Table1[Leaving Date]&lt;42826),IF(Table1[Date of Last Assessment]="",Table1[Social Networks and Relationships],Table1[Social Networks and Relationships2]),""))</f>
        <v/>
      </c>
      <c r="GI519" s="44" t="str">
        <f>IF(Table1[Leaving Date]="","",IF(AND(Table1[Leaving Date]&gt;42460,Table1[Leaving Date]&lt;42826),IF(Table1[Date of Last Assessment]="",Table1[Drug and Alcohol Misuse],Table1[Drug and Alcohol Misuse2]),""))</f>
        <v/>
      </c>
      <c r="GJ519" s="44" t="str">
        <f>IF(Table1[Leaving Date]="","",IF(AND(Table1[Leaving Date]&gt;42460,Table1[Leaving Date]&lt;42826),IF(Table1[Date of Last Assessment]="",Table1[Physical Health],Table1[Physical Health2]),""))</f>
        <v/>
      </c>
      <c r="GK519" s="44" t="str">
        <f>IF(Table1[Leaving Date]="","",IF(AND(Table1[Leaving Date]&gt;42460,Table1[Leaving Date]&lt;42826),IF(Table1[Date of Last Assessment]="",Table1[Emotional and Mental Health],Table1[Emotional and Mental Health2]),""))</f>
        <v/>
      </c>
      <c r="GL519" s="44" t="str">
        <f>IF(Table1[Leaving Date]="","",IF(AND(Table1[Leaving Date]&gt;42460,Table1[Leaving Date]&lt;42826),IF(Table1[Date of Last Assessment]="",Table1[Meaningful Use of Time],Table1[Meaningful Use of Time2]),""))</f>
        <v/>
      </c>
      <c r="GM519" s="44" t="str">
        <f>IF(Table1[Leaving Date]="","",IF(AND(Table1[Leaving Date]&gt;42460,Table1[Leaving Date]&lt;42826),IF(Table1[Date of Last Assessment]="",Table1[Managing Tenancy and Accommodation],Table1[Managing Tenancy and Accommodation2]),""))</f>
        <v/>
      </c>
      <c r="GN519" s="44" t="str">
        <f>IF(Table1[Leaving Date]="","",IF(AND(Table1[Leaving Date]&gt;42460,Table1[Leaving Date]&lt;42826),IF(Table1[Date of Last Assessment]="",Table1[Offending],Table1[Offending2]),""))</f>
        <v/>
      </c>
    </row>
    <row r="520" spans="2:196" ht="20.100000000000001" customHeight="1" x14ac:dyDescent="0.2">
      <c r="B520" s="86">
        <f>+'Service Data'!$C$5:$C$5</f>
        <v>0</v>
      </c>
      <c r="C520" s="86"/>
      <c r="D520" s="86"/>
      <c r="E520" s="86"/>
      <c r="F520" s="86"/>
      <c r="G520" s="86"/>
      <c r="H520" s="6"/>
      <c r="I520" s="99" t="str">
        <f ca="1">IF(Table1[[#This Row],[Date of Birth]]="","",SUM(TODAY()-Table1[[#This Row],[Date of Birth]])/365)</f>
        <v/>
      </c>
      <c r="L520" s="86"/>
      <c r="M520" s="77"/>
      <c r="N520" s="86"/>
      <c r="O520" s="86"/>
      <c r="P520" s="91"/>
      <c r="Q520" s="86"/>
      <c r="R520" s="77"/>
      <c r="S520" s="77"/>
      <c r="T520" s="68"/>
      <c r="U520" s="68"/>
      <c r="V520" s="67"/>
      <c r="W520" s="67"/>
      <c r="X520" s="67"/>
      <c r="Y520" s="67"/>
      <c r="Z520" s="67"/>
      <c r="AA520" s="67"/>
      <c r="AB520" s="67"/>
      <c r="AC520" s="67"/>
      <c r="AD520" s="67"/>
      <c r="AE520" s="67"/>
      <c r="AF520" s="67"/>
      <c r="AG520" s="67"/>
      <c r="AH520" s="67"/>
      <c r="AI520" s="67"/>
      <c r="AJ520" s="67"/>
      <c r="AK520" s="67"/>
      <c r="AL520" s="67"/>
      <c r="AM520" s="67"/>
      <c r="AN520" s="77"/>
      <c r="AO520" s="76"/>
      <c r="AP520" s="77"/>
      <c r="AQ520" s="76"/>
      <c r="AR520" s="76"/>
      <c r="AS520" s="76"/>
      <c r="AT520" s="76"/>
      <c r="AU520" s="76"/>
      <c r="AV520" s="77"/>
      <c r="AW520" s="76"/>
      <c r="AX520" s="77"/>
      <c r="AY520" s="76"/>
      <c r="AZ520" s="76"/>
      <c r="BA520" s="76"/>
      <c r="BB520" s="76"/>
      <c r="BC520" s="76"/>
      <c r="BD520" s="77"/>
      <c r="BE520" s="76"/>
      <c r="BF520" s="77"/>
      <c r="BG520" s="76"/>
      <c r="BH520" s="76"/>
      <c r="BI520" s="76"/>
      <c r="BJ520" s="76"/>
      <c r="BK520" s="76"/>
      <c r="BL520" s="77"/>
      <c r="BM520" s="76"/>
      <c r="BN520" s="77"/>
      <c r="BO520" s="76"/>
      <c r="BP520" s="76"/>
      <c r="BQ520" s="76"/>
      <c r="BR520" s="76"/>
      <c r="BS520" s="76"/>
      <c r="BT520" s="77"/>
      <c r="BU520" s="76"/>
      <c r="BV520" s="77"/>
      <c r="BW520" s="76"/>
      <c r="BX520" s="76"/>
      <c r="BY520" s="76"/>
      <c r="BZ520" s="76"/>
      <c r="CA520" s="76"/>
      <c r="CB520" s="77"/>
      <c r="CC520" s="76"/>
      <c r="CD520" s="77"/>
      <c r="CE520" s="76"/>
      <c r="CF520" s="76"/>
      <c r="CG520" s="76"/>
      <c r="CH520" s="76"/>
      <c r="CI520" s="76"/>
      <c r="CJ520" s="77"/>
      <c r="CK520" s="76"/>
      <c r="CL520" s="77"/>
      <c r="CM520" s="76"/>
      <c r="CN520" s="76"/>
      <c r="CO520" s="76"/>
      <c r="CP520" s="76"/>
      <c r="CQ520" s="76"/>
      <c r="CR520" s="78" t="str">
        <f t="shared" si="143"/>
        <v/>
      </c>
      <c r="CS520" s="79" t="str">
        <f t="shared" si="144"/>
        <v/>
      </c>
      <c r="CT520" s="79" t="str">
        <f t="shared" si="145"/>
        <v/>
      </c>
      <c r="CU520" s="79" t="str">
        <f t="shared" si="146"/>
        <v/>
      </c>
      <c r="CV520" s="79" t="str">
        <f t="shared" si="147"/>
        <v/>
      </c>
      <c r="CW520" s="79" t="str">
        <f t="shared" si="148"/>
        <v/>
      </c>
      <c r="CX520" s="79" t="str">
        <f t="shared" si="149"/>
        <v/>
      </c>
      <c r="CY520" s="79" t="str">
        <f t="shared" si="150"/>
        <v/>
      </c>
      <c r="CZ520" s="79" t="str">
        <f t="shared" si="151"/>
        <v/>
      </c>
      <c r="DA520" s="79" t="str">
        <f t="shared" si="152"/>
        <v/>
      </c>
      <c r="DB520" s="79" t="str">
        <f t="shared" si="153"/>
        <v/>
      </c>
      <c r="DC520" s="79" t="str">
        <f t="shared" si="154"/>
        <v/>
      </c>
      <c r="DD520" s="79" t="str">
        <f t="shared" si="155"/>
        <v/>
      </c>
      <c r="DE520" s="79" t="str">
        <f t="shared" si="156"/>
        <v/>
      </c>
      <c r="DF520" s="79" t="str">
        <f t="shared" si="157"/>
        <v/>
      </c>
      <c r="DG520" s="79" t="str">
        <f t="shared" si="158"/>
        <v/>
      </c>
      <c r="DH520" s="76"/>
      <c r="DI520" s="78"/>
      <c r="DJ520" s="76"/>
      <c r="DK520" s="77"/>
      <c r="DL520" s="77"/>
      <c r="DM520" s="77"/>
      <c r="DN520" s="80"/>
      <c r="DO520" s="80"/>
      <c r="DP520" s="92" t="str">
        <f>IF(Table1[Start Date]="","",IF(Table1[Start Date]&gt;42185,"",IF(AND(Table1[Leaving Date]&gt;1,Table1[Leaving Date]&lt;42095),"",1)))</f>
        <v/>
      </c>
      <c r="DQ520" s="92" t="str">
        <f>IF(Table1[Start Date]="","",IF(Table1[Start Date]&gt;42277,"",IF(AND(Table1[Leaving Date]&gt;1,Table1[Leaving Date]&lt;42186),"",1)))</f>
        <v/>
      </c>
      <c r="DR520" s="92" t="str">
        <f>IF(Table1[Start Date]="","",IF(Table1[Start Date]&gt;42369,"",IF(AND(Table1[Leaving Date]&gt;1,Table1[Leaving Date]&lt;42278),"",1)))</f>
        <v/>
      </c>
      <c r="DS520" s="92" t="str">
        <f>IF(Table1[Start Date]="","",IF(Table1[Start Date]&gt;42460,"",IF(AND(Table1[Leaving Date]&gt;1,Table1[Leaving Date]&lt;42370),"",1)))</f>
        <v/>
      </c>
      <c r="DT520" s="92" t="str">
        <f>IF(Table1[Start Date]="","",IF(Table1[Start Date]&gt;42551,"",IF(AND(Table1[Leaving Date]&gt;1,Table1[Leaving Date]&lt;42461),"",1)))</f>
        <v/>
      </c>
      <c r="DU520" s="92" t="str">
        <f>IF(Table1[Start Date]="","",IF(Table1[Start Date]&gt;42643,"",IF(AND(Table1[Leaving Date]&gt;1,Table1[Leaving Date]&lt;42552),"",1)))</f>
        <v/>
      </c>
      <c r="DV520" s="92" t="str">
        <f>IF(Table1[Start Date]="","",IF(Table1[Start Date]&gt;42735,"",IF(AND(Table1[Leaving Date]&gt;1,Table1[Leaving Date]&lt;42644),"",1)))</f>
        <v/>
      </c>
      <c r="DW520" s="92" t="str">
        <f>IF(Table1[Start Date]="","",IF(Table1[Start Date]&gt;42825,"",IF(AND(Table1[Leaving Date]&gt;1,Table1[Leaving Date]&lt;42736),"",1)))</f>
        <v/>
      </c>
      <c r="DX520"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520" s="44" t="e">
        <f>VLOOKUP(Table1[Referral Source],Lists!$G$2:$H$20,2,FALSE)</f>
        <v>#N/A</v>
      </c>
      <c r="DZ520" s="93" t="e">
        <f>SUM(Table1[Data Referral Quarter]+Table1[Data Referral Source])</f>
        <v>#N/A</v>
      </c>
      <c r="EA520" s="44" t="b">
        <f>IF(Table1[Referral Decision]="Accepted",100,IF(Table1[Referral Decision]="Rejected by Provider",200,IF(Table1[Referral Decision]="Rejected by Applicant",300)))</f>
        <v>0</v>
      </c>
      <c r="EB520" s="44">
        <f>SUM(Table1[Data Referral Quarter]+Table1[Data Referral Decision])</f>
        <v>0</v>
      </c>
      <c r="EC520" s="44" t="b">
        <f>IF(Table1[Start Date]&gt;42735,8000,IF(Table1[Start Date]&gt;42643,7000,IF(Table1[Start Date]&gt;42551,6000,IF(Table1[Start Date]&gt;42460,5000,IF(Table1[Start Date]&gt;42369,4000,IF(Table1[Start Date]&gt;42277,3000,IF(Table1[Start Date]&gt;42185,2000,IF(Table1[Start Date]&gt;42094,1000))))))))</f>
        <v>0</v>
      </c>
      <c r="ED520" s="44" t="str">
        <f>IF(Table1[Start Date]="","",IF(Table1[Current Local Authority]="Swindon",1,"2"))</f>
        <v/>
      </c>
      <c r="EE520" s="44" t="e">
        <f>SUM(Table1[Data Start Date]+Table1[Data Local Authority])</f>
        <v>#VALUE!</v>
      </c>
      <c r="EF520" s="44">
        <f>IF(Table1[Registered with GP]="Yes",1,0)</f>
        <v>0</v>
      </c>
      <c r="EG520" s="44">
        <f>SUM(Table1[Data Start Date]+Table1[Data GP Start])</f>
        <v>0</v>
      </c>
      <c r="EH520" s="44" t="str">
        <f>IF(Table1[EET]="NEET",1,IF(Table1[EET]="Education",2,IF(Table1[EET]="Employment",2,IF(Table1[EET]="Training",2,IF(Table1[EET]="Retired",3,"")))))</f>
        <v/>
      </c>
      <c r="EI520" s="44" t="e">
        <f>Table1[Data Start Date]+Table1[Data EET Start]</f>
        <v>#VALUE!</v>
      </c>
      <c r="EJ520" s="44" t="b">
        <f>IF(Table1[Leaving Date]&gt;42735,8000,IF(Table1[Leaving Date]&gt;42643,7000,IF(Table1[Leaving Date]&gt;42551,6000,IF(Table1[Leaving Date]&gt;42460,5000,IF(Table1[Leaving Date]&gt;42369,4000,IF(Table1[Leaving Date]&gt;42277,3000,IF(Table1[Leaving Date]&gt;42185,2000,IF(Table1[Leaving Date]&gt;42094,1000))))))))</f>
        <v>0</v>
      </c>
      <c r="EK520" s="44" t="e">
        <f>VLOOKUP(Table1[Reason for Leaving],Lists!$T$2:$U$15,2,FALSE)</f>
        <v>#N/A</v>
      </c>
      <c r="EL520" s="44" t="e">
        <f>SUM(Table1[Data Leavers Date]+Table1[Data Move On])</f>
        <v>#N/A</v>
      </c>
      <c r="EM520" s="44" t="b">
        <f>IF(Table1[Registered with GP2]="Yes",1,IF(Table1[Registered with GP2]="No",0,IF(Table1[Registered with GP]="Yes",1,IF(Table1[Registered with GP]="No",0))))</f>
        <v>0</v>
      </c>
      <c r="EN520" s="44">
        <f>SUM(Table1[Data Leavers Date]+Table1[Data GP End])</f>
        <v>0</v>
      </c>
      <c r="EO520" s="44" t="str">
        <f>IF(Table1[EET2]="NEET",1,IF(Table1[EET2]="Employment",2,IF(Table1[EET2]="Education",2,IF(Table1[EET2]="Training",2,IF(Table1[EET2]="Retired",3,IF(Table1[EET]="NEET",1,IF(Table1[EET]="Employment",2,IF(Table1[EET]="Education",2,IF(Table1[EET]="Training",2,IF(Table1[EET]="Retired",3,""))))))))))</f>
        <v/>
      </c>
      <c r="EP520" s="44" t="e">
        <f>+Table1[[#This Row],[Data Leavers Date]]+Table1[[#This Row],[Data EET End]]</f>
        <v>#VALUE!</v>
      </c>
      <c r="EQ520" s="44">
        <f>IF(Table1[Exit Form Received]="Yes",1,0)</f>
        <v>0</v>
      </c>
      <c r="ER520" s="44">
        <f>+Table1[[#This Row],[Data Leavers Date]]+Table1[[#This Row],[Data Exit Forms]]</f>
        <v>0</v>
      </c>
      <c r="ES520" s="44" t="str">
        <f>IF(Table1[Data Leavers Date]=1000,SUM(Table1[Leaving Date]-Table1[Start Date]),"")</f>
        <v/>
      </c>
      <c r="ET520" s="44" t="str">
        <f>IF(Table1[Data Leavers Date]=2000,SUM(Table1[Leaving Date]-Table1[Start Date]),"")</f>
        <v/>
      </c>
      <c r="EU520" s="44" t="str">
        <f>IF(Table1[Data Leavers Date]=3000,SUM(Table1[Leaving Date]-Table1[Start Date]),"")</f>
        <v/>
      </c>
      <c r="EV520" s="44" t="str">
        <f>IF(Table1[Data Leavers Date]=4000,SUM(Table1[Leaving Date]-Table1[Start Date]),"")</f>
        <v/>
      </c>
      <c r="EW520" s="44" t="str">
        <f>IF(Table1[Data Leavers Date]=5000,SUM(Table1[Leaving Date]-Table1[Start Date]),"")</f>
        <v/>
      </c>
      <c r="EX520" s="44" t="str">
        <f>IF(Table1[Data Leavers Date]=6000,SUM(Table1[Leaving Date]-Table1[Start Date]),"")</f>
        <v/>
      </c>
      <c r="EY520" s="44" t="str">
        <f>IF(Table1[Data Leavers Date]=7000,SUM(Table1[Leaving Date]-Table1[Start Date]),"")</f>
        <v/>
      </c>
      <c r="EZ520" s="44" t="str">
        <f>IF(Table1[Data Leavers Date]=8000,SUM(Table1[Leaving Date]-Table1[Start Date]),"")</f>
        <v/>
      </c>
      <c r="FA520" s="44" t="str">
        <f>IF(Table1[Date of Initial Assessment]="","",IF(AND(Table1[Start Date]&gt;42094,Table1[Start Date]&lt;42461),Table1[Motivation and Taking Responsibility],""))</f>
        <v/>
      </c>
      <c r="FB520" s="44" t="str">
        <f>IF(Table1[Date of Initial Assessment]="","",IF(AND(Table1[Start Date]&gt;42094,Table1[Start Date]&lt;42461),Table1[Self-Care and Living Skills],""))</f>
        <v/>
      </c>
      <c r="FC520" s="44" t="str">
        <f>IF(Table1[Date of Initial Assessment]="","",IF(AND(Table1[Start Date]&gt;42094,Table1[Start Date]&lt;42461),Table1[Managing Money and Personal Administration],""))</f>
        <v/>
      </c>
      <c r="FD520" s="44" t="str">
        <f>IF(Table1[Date of Initial Assessment]="","",IF(AND(Table1[Start Date]&gt;42094,Table1[Start Date]&lt;42461),Table1[Social Networks and Relationships],""))</f>
        <v/>
      </c>
      <c r="FE520" s="44" t="str">
        <f>IF(Table1[Date of Initial Assessment]="","",IF(AND(Table1[Start Date]&gt;42094,Table1[Start Date]&lt;42461),Table1[Drug and Alcohol Misuse],""))</f>
        <v/>
      </c>
      <c r="FF520" s="44" t="str">
        <f>IF(Table1[Date of Initial Assessment]="","",IF(AND(Table1[Start Date]&gt;42094,Table1[Start Date]&lt;42461),Table1[Physical Health],""))</f>
        <v/>
      </c>
      <c r="FG520" s="44" t="str">
        <f>IF(Table1[Date of Initial Assessment]="","",IF(AND(Table1[Start Date]&gt;42094,Table1[Start Date]&lt;42461),Table1[Emotional and Mental Health],""))</f>
        <v/>
      </c>
      <c r="FH520" s="44" t="str">
        <f>IF(Table1[Date of Initial Assessment]="","",IF(AND(Table1[Start Date]&gt;42094,Table1[Start Date]&lt;42461),Table1[Meaningful Use of Time],""))</f>
        <v/>
      </c>
      <c r="FI520" s="44" t="str">
        <f>IF(Table1[Date of Initial Assessment]="","",IF(AND(Table1[Start Date]&gt;42094,Table1[Start Date]&lt;42461),Table1[Managing Tenancy and Accommodation],""))</f>
        <v/>
      </c>
      <c r="FJ520" s="44" t="str">
        <f>IF(Table1[Date of Initial Assessment]="","",IF(AND(Table1[Start Date]&gt;42094,Table1[Start Date]&lt;42461),Table1[Offending],""))</f>
        <v/>
      </c>
      <c r="FK520" s="44" t="str">
        <f>IF(Table1[Leaving Date]="","",IF(Table1[Date of Initial Assessment]="","",IF(AND(Table1[Leaving Date]&gt;42094,Table1[Leaving Date]&lt;42461),IF(Table1[Date of Last Assessment]="",Table1[Motivation and Taking Responsibility],Table1[Motivation and Taking Responsibility2]),"")))</f>
        <v/>
      </c>
      <c r="FL520" s="44" t="str">
        <f>IF(Table1[Leaving Date]="","",IF(Table1[Date of Initial Assessment]="","",IF(AND(Table1[Leaving Date]&gt;42094,Table1[Leaving Date]&lt;42461),IF(Table1[Date of Last Assessment]="",Table1[Self-Care and Living Skills],Table1[Self-Care and Living Skills2]),"")))</f>
        <v/>
      </c>
      <c r="FM520" s="44" t="str">
        <f>IF(Table1[Leaving Date]="","",IF(Table1[Date of Initial Assessment]="","",IF(AND(Table1[Leaving Date]&gt;42094,Table1[Leaving Date]&lt;42461),IF(Table1[Date of Last Assessment]="",Table1[Managing Money and Personal Administration],Table1[Managing Money and Personal Administration2]),"")))</f>
        <v/>
      </c>
      <c r="FN520" s="44" t="str">
        <f>IF(Table1[Leaving Date]="","",IF(Table1[Date of Initial Assessment]="","",IF(AND(Table1[Leaving Date]&gt;42094,Table1[Leaving Date]&lt;42461),IF(Table1[Date of Last Assessment]="",Table1[Social Networks and Relationships],Table1[Social Networks and Relationships2]),"")))</f>
        <v/>
      </c>
      <c r="FO520" s="44" t="str">
        <f>IF(Table1[Leaving Date]="","",IF(Table1[Date of Initial Assessment]="","",IF(AND(Table1[Leaving Date]&gt;42094,Table1[Leaving Date]&lt;42461),IF(Table1[Date of Last Assessment]="",Table1[Drug and Alcohol Misuse],Table1[Drug and Alcohol Misuse2]),"")))</f>
        <v/>
      </c>
      <c r="FP520" s="44" t="str">
        <f>IF(Table1[Leaving Date]="","",IF(Table1[Date of Initial Assessment]="","",IF(AND(Table1[Leaving Date]&gt;42094,Table1[Leaving Date]&lt;42461),IF(Table1[Date of Last Assessment]="",Table1[Physical Health],Table1[Physical Health2]),"")))</f>
        <v/>
      </c>
      <c r="FQ520" s="44" t="str">
        <f>IF(Table1[Leaving Date]="","",IF(Table1[Date of Initial Assessment]="","",IF(AND(Table1[Leaving Date]&gt;42094,Table1[Leaving Date]&lt;42461),IF(Table1[Date of Last Assessment]="",Table1[Emotional and Mental Health],Table1[Emotional and Mental Health2]),"")))</f>
        <v/>
      </c>
      <c r="FR520" s="44" t="str">
        <f>IF(Table1[Leaving Date]="","",IF(Table1[Date of Initial Assessment]="","",IF(AND(Table1[Leaving Date]&gt;42094,Table1[Leaving Date]&lt;42461),IF(Table1[Date of Last Assessment]="",Table1[Meaningful Use of Time],Table1[Meaningful Use of Time2]),"")))</f>
        <v/>
      </c>
      <c r="FS520" s="44" t="str">
        <f>IF(Table1[Leaving Date]="","",IF(Table1[Date of Initial Assessment]="","",IF(AND(Table1[Leaving Date]&gt;42094,Table1[Leaving Date]&lt;42461),IF(Table1[Date of Last Assessment]="",Table1[Managing Tenancy and Accommodation],Table1[Managing Tenancy and Accommodation2]),"")))</f>
        <v/>
      </c>
      <c r="FT520" s="44" t="str">
        <f>IF(Table1[Leaving Date]="","",IF(Table1[Date of Initial Assessment]="","",IF(AND(Table1[Leaving Date]&gt;42094,Table1[Leaving Date]&lt;42461),IF(Table1[Date of Last Assessment]="",Table1[Offending],Table1[Offending2]),"")))</f>
        <v/>
      </c>
      <c r="FU520" s="44" t="str">
        <f>IF(Table1[Date of Initial Assessment]="","",IF(AND(Table1[Start Date]&gt;42460,Table1[Start Date]&lt;42826),Table1[Motivation and Taking Responsibility],""))</f>
        <v/>
      </c>
      <c r="FV520" s="44" t="str">
        <f>IF(Table1[Date of Initial Assessment]="","",IF(AND(Table1[Start Date]&gt;42460,Table1[Start Date]&lt;42826),Table1[Self-Care and Living Skills],""))</f>
        <v/>
      </c>
      <c r="FW520" s="44" t="str">
        <f>IF(Table1[Date of Initial Assessment]="","",IF(AND(Table1[Start Date]&gt;42460,Table1[Start Date]&lt;42826),Table1[Managing Money and Personal Administration],""))</f>
        <v/>
      </c>
      <c r="FX520" s="44" t="str">
        <f>IF(Table1[Date of Initial Assessment]="","",IF(AND(Table1[Start Date]&gt;42460,Table1[Start Date]&lt;42826),Table1[Social Networks and Relationships],""))</f>
        <v/>
      </c>
      <c r="FY520" s="44" t="str">
        <f>IF(Table1[Date of Initial Assessment]="","",IF(AND(Table1[Start Date]&gt;42460,Table1[Start Date]&lt;42826),Table1[Drug and Alcohol Misuse],""))</f>
        <v/>
      </c>
      <c r="FZ520" s="44" t="str">
        <f>IF(Table1[Date of Initial Assessment]="","",IF(AND(Table1[Start Date]&gt;42460,Table1[Start Date]&lt;42826),Table1[Physical Health],""))</f>
        <v/>
      </c>
      <c r="GA520" s="44" t="str">
        <f>IF(Table1[Date of Initial Assessment]="","",IF(AND(Table1[Start Date]&gt;42460,Table1[Start Date]&lt;42826),Table1[Emotional and Mental Health],""))</f>
        <v/>
      </c>
      <c r="GB520" s="44" t="str">
        <f>IF(Table1[Date of Initial Assessment]="","",IF(AND(Table1[Start Date]&gt;42460,Table1[Start Date]&lt;42826),Table1[Meaningful Use of Time],""))</f>
        <v/>
      </c>
      <c r="GC520" s="44" t="str">
        <f>IF(Table1[Date of Initial Assessment]="","",IF(AND(Table1[Start Date]&gt;42460,Table1[Start Date]&lt;42826),Table1[Managing Tenancy and Accommodation],""))</f>
        <v/>
      </c>
      <c r="GD520" s="44" t="str">
        <f>IF(Table1[Date of Initial Assessment]="","",IF(AND(Table1[Start Date]&gt;42460,Table1[Start Date]&lt;42826),Table1[Offending],""))</f>
        <v/>
      </c>
      <c r="GE520" s="44" t="str">
        <f>IF(Table1[Leaving Date]="","",IF(AND(Table1[Leaving Date]&gt;42460,Table1[Leaving Date]&lt;42826),IF(Table1[Date of Last Assessment]="",Table1[Motivation and Taking Responsibility],Table1[Motivation and Taking Responsibility2]),""))</f>
        <v/>
      </c>
      <c r="GF520" s="44" t="str">
        <f>IF(Table1[Leaving Date]="","",IF(AND(Table1[Leaving Date]&gt;42460,Table1[Leaving Date]&lt;42826),IF(Table1[Date of Last Assessment]="",Table1[Self-Care and Living Skills],Table1[Self-Care and Living Skills2]),""))</f>
        <v/>
      </c>
      <c r="GG520" s="44" t="str">
        <f>IF(Table1[Leaving Date]="","",IF(AND(Table1[Leaving Date]&gt;42460,Table1[Leaving Date]&lt;42826),IF(Table1[Date of Last Assessment]="",Table1[Managing Money and Personal Administration],Table1[Managing Money and Personal Administration2]),""))</f>
        <v/>
      </c>
      <c r="GH520" s="44" t="str">
        <f>IF(Table1[Leaving Date]="","",IF(AND(Table1[Leaving Date]&gt;42460,Table1[Leaving Date]&lt;42826),IF(Table1[Date of Last Assessment]="",Table1[Social Networks and Relationships],Table1[Social Networks and Relationships2]),""))</f>
        <v/>
      </c>
      <c r="GI520" s="44" t="str">
        <f>IF(Table1[Leaving Date]="","",IF(AND(Table1[Leaving Date]&gt;42460,Table1[Leaving Date]&lt;42826),IF(Table1[Date of Last Assessment]="",Table1[Drug and Alcohol Misuse],Table1[Drug and Alcohol Misuse2]),""))</f>
        <v/>
      </c>
      <c r="GJ520" s="44" t="str">
        <f>IF(Table1[Leaving Date]="","",IF(AND(Table1[Leaving Date]&gt;42460,Table1[Leaving Date]&lt;42826),IF(Table1[Date of Last Assessment]="",Table1[Physical Health],Table1[Physical Health2]),""))</f>
        <v/>
      </c>
      <c r="GK520" s="44" t="str">
        <f>IF(Table1[Leaving Date]="","",IF(AND(Table1[Leaving Date]&gt;42460,Table1[Leaving Date]&lt;42826),IF(Table1[Date of Last Assessment]="",Table1[Emotional and Mental Health],Table1[Emotional and Mental Health2]),""))</f>
        <v/>
      </c>
      <c r="GL520" s="44" t="str">
        <f>IF(Table1[Leaving Date]="","",IF(AND(Table1[Leaving Date]&gt;42460,Table1[Leaving Date]&lt;42826),IF(Table1[Date of Last Assessment]="",Table1[Meaningful Use of Time],Table1[Meaningful Use of Time2]),""))</f>
        <v/>
      </c>
      <c r="GM520" s="44" t="str">
        <f>IF(Table1[Leaving Date]="","",IF(AND(Table1[Leaving Date]&gt;42460,Table1[Leaving Date]&lt;42826),IF(Table1[Date of Last Assessment]="",Table1[Managing Tenancy and Accommodation],Table1[Managing Tenancy and Accommodation2]),""))</f>
        <v/>
      </c>
      <c r="GN520" s="44" t="str">
        <f>IF(Table1[Leaving Date]="","",IF(AND(Table1[Leaving Date]&gt;42460,Table1[Leaving Date]&lt;42826),IF(Table1[Date of Last Assessment]="",Table1[Offending],Table1[Offending2]),""))</f>
        <v/>
      </c>
    </row>
    <row r="521" spans="2:196" ht="20.100000000000001" customHeight="1" x14ac:dyDescent="0.2">
      <c r="B521" s="86">
        <f>+'Service Data'!$C$5:$C$5</f>
        <v>0</v>
      </c>
      <c r="C521" s="86"/>
      <c r="D521" s="86"/>
      <c r="E521" s="86"/>
      <c r="F521" s="86"/>
      <c r="G521" s="86"/>
      <c r="H521" s="6"/>
      <c r="I521" s="99" t="str">
        <f ca="1">IF(Table1[[#This Row],[Date of Birth]]="","",SUM(TODAY()-Table1[[#This Row],[Date of Birth]])/365)</f>
        <v/>
      </c>
      <c r="L521" s="86"/>
      <c r="M521" s="77"/>
      <c r="N521" s="86"/>
      <c r="O521" s="86"/>
      <c r="P521" s="91"/>
      <c r="Q521" s="86"/>
      <c r="R521" s="77"/>
      <c r="S521" s="77"/>
      <c r="T521" s="68"/>
      <c r="U521" s="68"/>
      <c r="V521" s="67"/>
      <c r="W521" s="67"/>
      <c r="X521" s="67"/>
      <c r="Y521" s="67"/>
      <c r="Z521" s="67"/>
      <c r="AA521" s="67"/>
      <c r="AB521" s="67"/>
      <c r="AC521" s="67"/>
      <c r="AD521" s="67"/>
      <c r="AE521" s="67"/>
      <c r="AF521" s="67"/>
      <c r="AG521" s="67"/>
      <c r="AH521" s="67"/>
      <c r="AI521" s="67"/>
      <c r="AJ521" s="67"/>
      <c r="AK521" s="67"/>
      <c r="AL521" s="67"/>
      <c r="AM521" s="67"/>
      <c r="AN521" s="77"/>
      <c r="AO521" s="76"/>
      <c r="AP521" s="77"/>
      <c r="AQ521" s="76"/>
      <c r="AR521" s="76"/>
      <c r="AS521" s="76"/>
      <c r="AT521" s="76"/>
      <c r="AU521" s="76"/>
      <c r="AV521" s="77"/>
      <c r="AW521" s="76"/>
      <c r="AX521" s="77"/>
      <c r="AY521" s="76"/>
      <c r="AZ521" s="76"/>
      <c r="BA521" s="76"/>
      <c r="BB521" s="76"/>
      <c r="BC521" s="76"/>
      <c r="BD521" s="77"/>
      <c r="BE521" s="76"/>
      <c r="BF521" s="77"/>
      <c r="BG521" s="76"/>
      <c r="BH521" s="76"/>
      <c r="BI521" s="76"/>
      <c r="BJ521" s="76"/>
      <c r="BK521" s="76"/>
      <c r="BL521" s="77"/>
      <c r="BM521" s="76"/>
      <c r="BN521" s="77"/>
      <c r="BO521" s="76"/>
      <c r="BP521" s="76"/>
      <c r="BQ521" s="76"/>
      <c r="BR521" s="76"/>
      <c r="BS521" s="76"/>
      <c r="BT521" s="77"/>
      <c r="BU521" s="76"/>
      <c r="BV521" s="77"/>
      <c r="BW521" s="76"/>
      <c r="BX521" s="76"/>
      <c r="BY521" s="76"/>
      <c r="BZ521" s="76"/>
      <c r="CA521" s="76"/>
      <c r="CB521" s="77"/>
      <c r="CC521" s="76"/>
      <c r="CD521" s="77"/>
      <c r="CE521" s="76"/>
      <c r="CF521" s="76"/>
      <c r="CG521" s="76"/>
      <c r="CH521" s="76"/>
      <c r="CI521" s="76"/>
      <c r="CJ521" s="77"/>
      <c r="CK521" s="76"/>
      <c r="CL521" s="77"/>
      <c r="CM521" s="76"/>
      <c r="CN521" s="76"/>
      <c r="CO521" s="76"/>
      <c r="CP521" s="76"/>
      <c r="CQ521" s="76"/>
      <c r="CR521" s="78" t="str">
        <f t="shared" si="143"/>
        <v/>
      </c>
      <c r="CS521" s="79" t="str">
        <f t="shared" si="144"/>
        <v/>
      </c>
      <c r="CT521" s="79" t="str">
        <f t="shared" si="145"/>
        <v/>
      </c>
      <c r="CU521" s="79" t="str">
        <f t="shared" si="146"/>
        <v/>
      </c>
      <c r="CV521" s="79" t="str">
        <f t="shared" si="147"/>
        <v/>
      </c>
      <c r="CW521" s="79" t="str">
        <f t="shared" si="148"/>
        <v/>
      </c>
      <c r="CX521" s="79" t="str">
        <f t="shared" si="149"/>
        <v/>
      </c>
      <c r="CY521" s="79" t="str">
        <f t="shared" si="150"/>
        <v/>
      </c>
      <c r="CZ521" s="79" t="str">
        <f t="shared" si="151"/>
        <v/>
      </c>
      <c r="DA521" s="79" t="str">
        <f t="shared" si="152"/>
        <v/>
      </c>
      <c r="DB521" s="79" t="str">
        <f t="shared" si="153"/>
        <v/>
      </c>
      <c r="DC521" s="79" t="str">
        <f t="shared" si="154"/>
        <v/>
      </c>
      <c r="DD521" s="79" t="str">
        <f t="shared" si="155"/>
        <v/>
      </c>
      <c r="DE521" s="79" t="str">
        <f t="shared" si="156"/>
        <v/>
      </c>
      <c r="DF521" s="79" t="str">
        <f t="shared" si="157"/>
        <v/>
      </c>
      <c r="DG521" s="79" t="str">
        <f t="shared" si="158"/>
        <v/>
      </c>
      <c r="DH521" s="76"/>
      <c r="DI521" s="78"/>
      <c r="DJ521" s="76"/>
      <c r="DK521" s="77"/>
      <c r="DL521" s="77"/>
      <c r="DM521" s="77"/>
      <c r="DN521" s="80"/>
      <c r="DO521" s="80"/>
      <c r="DP521" s="92" t="str">
        <f>IF(Table1[Start Date]="","",IF(Table1[Start Date]&gt;42185,"",IF(AND(Table1[Leaving Date]&gt;1,Table1[Leaving Date]&lt;42095),"",1)))</f>
        <v/>
      </c>
      <c r="DQ521" s="92" t="str">
        <f>IF(Table1[Start Date]="","",IF(Table1[Start Date]&gt;42277,"",IF(AND(Table1[Leaving Date]&gt;1,Table1[Leaving Date]&lt;42186),"",1)))</f>
        <v/>
      </c>
      <c r="DR521" s="92" t="str">
        <f>IF(Table1[Start Date]="","",IF(Table1[Start Date]&gt;42369,"",IF(AND(Table1[Leaving Date]&gt;1,Table1[Leaving Date]&lt;42278),"",1)))</f>
        <v/>
      </c>
      <c r="DS521" s="92" t="str">
        <f>IF(Table1[Start Date]="","",IF(Table1[Start Date]&gt;42460,"",IF(AND(Table1[Leaving Date]&gt;1,Table1[Leaving Date]&lt;42370),"",1)))</f>
        <v/>
      </c>
      <c r="DT521" s="92" t="str">
        <f>IF(Table1[Start Date]="","",IF(Table1[Start Date]&gt;42551,"",IF(AND(Table1[Leaving Date]&gt;1,Table1[Leaving Date]&lt;42461),"",1)))</f>
        <v/>
      </c>
      <c r="DU521" s="92" t="str">
        <f>IF(Table1[Start Date]="","",IF(Table1[Start Date]&gt;42643,"",IF(AND(Table1[Leaving Date]&gt;1,Table1[Leaving Date]&lt;42552),"",1)))</f>
        <v/>
      </c>
      <c r="DV521" s="92" t="str">
        <f>IF(Table1[Start Date]="","",IF(Table1[Start Date]&gt;42735,"",IF(AND(Table1[Leaving Date]&gt;1,Table1[Leaving Date]&lt;42644),"",1)))</f>
        <v/>
      </c>
      <c r="DW521" s="92" t="str">
        <f>IF(Table1[Start Date]="","",IF(Table1[Start Date]&gt;42825,"",IF(AND(Table1[Leaving Date]&gt;1,Table1[Leaving Date]&lt;42736),"",1)))</f>
        <v/>
      </c>
      <c r="DX521"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521" s="44" t="e">
        <f>VLOOKUP(Table1[Referral Source],Lists!$G$2:$H$20,2,FALSE)</f>
        <v>#N/A</v>
      </c>
      <c r="DZ521" s="93" t="e">
        <f>SUM(Table1[Data Referral Quarter]+Table1[Data Referral Source])</f>
        <v>#N/A</v>
      </c>
      <c r="EA521" s="44" t="b">
        <f>IF(Table1[Referral Decision]="Accepted",100,IF(Table1[Referral Decision]="Rejected by Provider",200,IF(Table1[Referral Decision]="Rejected by Applicant",300)))</f>
        <v>0</v>
      </c>
      <c r="EB521" s="44">
        <f>SUM(Table1[Data Referral Quarter]+Table1[Data Referral Decision])</f>
        <v>0</v>
      </c>
      <c r="EC521" s="44" t="b">
        <f>IF(Table1[Start Date]&gt;42735,8000,IF(Table1[Start Date]&gt;42643,7000,IF(Table1[Start Date]&gt;42551,6000,IF(Table1[Start Date]&gt;42460,5000,IF(Table1[Start Date]&gt;42369,4000,IF(Table1[Start Date]&gt;42277,3000,IF(Table1[Start Date]&gt;42185,2000,IF(Table1[Start Date]&gt;42094,1000))))))))</f>
        <v>0</v>
      </c>
      <c r="ED521" s="44" t="str">
        <f>IF(Table1[Start Date]="","",IF(Table1[Current Local Authority]="Swindon",1,"2"))</f>
        <v/>
      </c>
      <c r="EE521" s="44" t="e">
        <f>SUM(Table1[Data Start Date]+Table1[Data Local Authority])</f>
        <v>#VALUE!</v>
      </c>
      <c r="EF521" s="44">
        <f>IF(Table1[Registered with GP]="Yes",1,0)</f>
        <v>0</v>
      </c>
      <c r="EG521" s="44">
        <f>SUM(Table1[Data Start Date]+Table1[Data GP Start])</f>
        <v>0</v>
      </c>
      <c r="EH521" s="44" t="str">
        <f>IF(Table1[EET]="NEET",1,IF(Table1[EET]="Education",2,IF(Table1[EET]="Employment",2,IF(Table1[EET]="Training",2,IF(Table1[EET]="Retired",3,"")))))</f>
        <v/>
      </c>
      <c r="EI521" s="44" t="e">
        <f>Table1[Data Start Date]+Table1[Data EET Start]</f>
        <v>#VALUE!</v>
      </c>
      <c r="EJ521" s="44" t="b">
        <f>IF(Table1[Leaving Date]&gt;42735,8000,IF(Table1[Leaving Date]&gt;42643,7000,IF(Table1[Leaving Date]&gt;42551,6000,IF(Table1[Leaving Date]&gt;42460,5000,IF(Table1[Leaving Date]&gt;42369,4000,IF(Table1[Leaving Date]&gt;42277,3000,IF(Table1[Leaving Date]&gt;42185,2000,IF(Table1[Leaving Date]&gt;42094,1000))))))))</f>
        <v>0</v>
      </c>
      <c r="EK521" s="44" t="e">
        <f>VLOOKUP(Table1[Reason for Leaving],Lists!$T$2:$U$15,2,FALSE)</f>
        <v>#N/A</v>
      </c>
      <c r="EL521" s="44" t="e">
        <f>SUM(Table1[Data Leavers Date]+Table1[Data Move On])</f>
        <v>#N/A</v>
      </c>
      <c r="EM521" s="44" t="b">
        <f>IF(Table1[Registered with GP2]="Yes",1,IF(Table1[Registered with GP2]="No",0,IF(Table1[Registered with GP]="Yes",1,IF(Table1[Registered with GP]="No",0))))</f>
        <v>0</v>
      </c>
      <c r="EN521" s="44">
        <f>SUM(Table1[Data Leavers Date]+Table1[Data GP End])</f>
        <v>0</v>
      </c>
      <c r="EO521" s="44" t="str">
        <f>IF(Table1[EET2]="NEET",1,IF(Table1[EET2]="Employment",2,IF(Table1[EET2]="Education",2,IF(Table1[EET2]="Training",2,IF(Table1[EET2]="Retired",3,IF(Table1[EET]="NEET",1,IF(Table1[EET]="Employment",2,IF(Table1[EET]="Education",2,IF(Table1[EET]="Training",2,IF(Table1[EET]="Retired",3,""))))))))))</f>
        <v/>
      </c>
      <c r="EP521" s="44" t="e">
        <f>+Table1[[#This Row],[Data Leavers Date]]+Table1[[#This Row],[Data EET End]]</f>
        <v>#VALUE!</v>
      </c>
      <c r="EQ521" s="44">
        <f>IF(Table1[Exit Form Received]="Yes",1,0)</f>
        <v>0</v>
      </c>
      <c r="ER521" s="44">
        <f>+Table1[[#This Row],[Data Leavers Date]]+Table1[[#This Row],[Data Exit Forms]]</f>
        <v>0</v>
      </c>
      <c r="ES521" s="44" t="str">
        <f>IF(Table1[Data Leavers Date]=1000,SUM(Table1[Leaving Date]-Table1[Start Date]),"")</f>
        <v/>
      </c>
      <c r="ET521" s="44" t="str">
        <f>IF(Table1[Data Leavers Date]=2000,SUM(Table1[Leaving Date]-Table1[Start Date]),"")</f>
        <v/>
      </c>
      <c r="EU521" s="44" t="str">
        <f>IF(Table1[Data Leavers Date]=3000,SUM(Table1[Leaving Date]-Table1[Start Date]),"")</f>
        <v/>
      </c>
      <c r="EV521" s="44" t="str">
        <f>IF(Table1[Data Leavers Date]=4000,SUM(Table1[Leaving Date]-Table1[Start Date]),"")</f>
        <v/>
      </c>
      <c r="EW521" s="44" t="str">
        <f>IF(Table1[Data Leavers Date]=5000,SUM(Table1[Leaving Date]-Table1[Start Date]),"")</f>
        <v/>
      </c>
      <c r="EX521" s="44" t="str">
        <f>IF(Table1[Data Leavers Date]=6000,SUM(Table1[Leaving Date]-Table1[Start Date]),"")</f>
        <v/>
      </c>
      <c r="EY521" s="44" t="str">
        <f>IF(Table1[Data Leavers Date]=7000,SUM(Table1[Leaving Date]-Table1[Start Date]),"")</f>
        <v/>
      </c>
      <c r="EZ521" s="44" t="str">
        <f>IF(Table1[Data Leavers Date]=8000,SUM(Table1[Leaving Date]-Table1[Start Date]),"")</f>
        <v/>
      </c>
      <c r="FA521" s="44" t="str">
        <f>IF(Table1[Date of Initial Assessment]="","",IF(AND(Table1[Start Date]&gt;42094,Table1[Start Date]&lt;42461),Table1[Motivation and Taking Responsibility],""))</f>
        <v/>
      </c>
      <c r="FB521" s="44" t="str">
        <f>IF(Table1[Date of Initial Assessment]="","",IF(AND(Table1[Start Date]&gt;42094,Table1[Start Date]&lt;42461),Table1[Self-Care and Living Skills],""))</f>
        <v/>
      </c>
      <c r="FC521" s="44" t="str">
        <f>IF(Table1[Date of Initial Assessment]="","",IF(AND(Table1[Start Date]&gt;42094,Table1[Start Date]&lt;42461),Table1[Managing Money and Personal Administration],""))</f>
        <v/>
      </c>
      <c r="FD521" s="44" t="str">
        <f>IF(Table1[Date of Initial Assessment]="","",IF(AND(Table1[Start Date]&gt;42094,Table1[Start Date]&lt;42461),Table1[Social Networks and Relationships],""))</f>
        <v/>
      </c>
      <c r="FE521" s="44" t="str">
        <f>IF(Table1[Date of Initial Assessment]="","",IF(AND(Table1[Start Date]&gt;42094,Table1[Start Date]&lt;42461),Table1[Drug and Alcohol Misuse],""))</f>
        <v/>
      </c>
      <c r="FF521" s="44" t="str">
        <f>IF(Table1[Date of Initial Assessment]="","",IF(AND(Table1[Start Date]&gt;42094,Table1[Start Date]&lt;42461),Table1[Physical Health],""))</f>
        <v/>
      </c>
      <c r="FG521" s="44" t="str">
        <f>IF(Table1[Date of Initial Assessment]="","",IF(AND(Table1[Start Date]&gt;42094,Table1[Start Date]&lt;42461),Table1[Emotional and Mental Health],""))</f>
        <v/>
      </c>
      <c r="FH521" s="44" t="str">
        <f>IF(Table1[Date of Initial Assessment]="","",IF(AND(Table1[Start Date]&gt;42094,Table1[Start Date]&lt;42461),Table1[Meaningful Use of Time],""))</f>
        <v/>
      </c>
      <c r="FI521" s="44" t="str">
        <f>IF(Table1[Date of Initial Assessment]="","",IF(AND(Table1[Start Date]&gt;42094,Table1[Start Date]&lt;42461),Table1[Managing Tenancy and Accommodation],""))</f>
        <v/>
      </c>
      <c r="FJ521" s="44" t="str">
        <f>IF(Table1[Date of Initial Assessment]="","",IF(AND(Table1[Start Date]&gt;42094,Table1[Start Date]&lt;42461),Table1[Offending],""))</f>
        <v/>
      </c>
      <c r="FK521" s="44" t="str">
        <f>IF(Table1[Leaving Date]="","",IF(Table1[Date of Initial Assessment]="","",IF(AND(Table1[Leaving Date]&gt;42094,Table1[Leaving Date]&lt;42461),IF(Table1[Date of Last Assessment]="",Table1[Motivation and Taking Responsibility],Table1[Motivation and Taking Responsibility2]),"")))</f>
        <v/>
      </c>
      <c r="FL521" s="44" t="str">
        <f>IF(Table1[Leaving Date]="","",IF(Table1[Date of Initial Assessment]="","",IF(AND(Table1[Leaving Date]&gt;42094,Table1[Leaving Date]&lt;42461),IF(Table1[Date of Last Assessment]="",Table1[Self-Care and Living Skills],Table1[Self-Care and Living Skills2]),"")))</f>
        <v/>
      </c>
      <c r="FM521" s="44" t="str">
        <f>IF(Table1[Leaving Date]="","",IF(Table1[Date of Initial Assessment]="","",IF(AND(Table1[Leaving Date]&gt;42094,Table1[Leaving Date]&lt;42461),IF(Table1[Date of Last Assessment]="",Table1[Managing Money and Personal Administration],Table1[Managing Money and Personal Administration2]),"")))</f>
        <v/>
      </c>
      <c r="FN521" s="44" t="str">
        <f>IF(Table1[Leaving Date]="","",IF(Table1[Date of Initial Assessment]="","",IF(AND(Table1[Leaving Date]&gt;42094,Table1[Leaving Date]&lt;42461),IF(Table1[Date of Last Assessment]="",Table1[Social Networks and Relationships],Table1[Social Networks and Relationships2]),"")))</f>
        <v/>
      </c>
      <c r="FO521" s="44" t="str">
        <f>IF(Table1[Leaving Date]="","",IF(Table1[Date of Initial Assessment]="","",IF(AND(Table1[Leaving Date]&gt;42094,Table1[Leaving Date]&lt;42461),IF(Table1[Date of Last Assessment]="",Table1[Drug and Alcohol Misuse],Table1[Drug and Alcohol Misuse2]),"")))</f>
        <v/>
      </c>
      <c r="FP521" s="44" t="str">
        <f>IF(Table1[Leaving Date]="","",IF(Table1[Date of Initial Assessment]="","",IF(AND(Table1[Leaving Date]&gt;42094,Table1[Leaving Date]&lt;42461),IF(Table1[Date of Last Assessment]="",Table1[Physical Health],Table1[Physical Health2]),"")))</f>
        <v/>
      </c>
      <c r="FQ521" s="44" t="str">
        <f>IF(Table1[Leaving Date]="","",IF(Table1[Date of Initial Assessment]="","",IF(AND(Table1[Leaving Date]&gt;42094,Table1[Leaving Date]&lt;42461),IF(Table1[Date of Last Assessment]="",Table1[Emotional and Mental Health],Table1[Emotional and Mental Health2]),"")))</f>
        <v/>
      </c>
      <c r="FR521" s="44" t="str">
        <f>IF(Table1[Leaving Date]="","",IF(Table1[Date of Initial Assessment]="","",IF(AND(Table1[Leaving Date]&gt;42094,Table1[Leaving Date]&lt;42461),IF(Table1[Date of Last Assessment]="",Table1[Meaningful Use of Time],Table1[Meaningful Use of Time2]),"")))</f>
        <v/>
      </c>
      <c r="FS521" s="44" t="str">
        <f>IF(Table1[Leaving Date]="","",IF(Table1[Date of Initial Assessment]="","",IF(AND(Table1[Leaving Date]&gt;42094,Table1[Leaving Date]&lt;42461),IF(Table1[Date of Last Assessment]="",Table1[Managing Tenancy and Accommodation],Table1[Managing Tenancy and Accommodation2]),"")))</f>
        <v/>
      </c>
      <c r="FT521" s="44" t="str">
        <f>IF(Table1[Leaving Date]="","",IF(Table1[Date of Initial Assessment]="","",IF(AND(Table1[Leaving Date]&gt;42094,Table1[Leaving Date]&lt;42461),IF(Table1[Date of Last Assessment]="",Table1[Offending],Table1[Offending2]),"")))</f>
        <v/>
      </c>
      <c r="FU521" s="44" t="str">
        <f>IF(Table1[Date of Initial Assessment]="","",IF(AND(Table1[Start Date]&gt;42460,Table1[Start Date]&lt;42826),Table1[Motivation and Taking Responsibility],""))</f>
        <v/>
      </c>
      <c r="FV521" s="44" t="str">
        <f>IF(Table1[Date of Initial Assessment]="","",IF(AND(Table1[Start Date]&gt;42460,Table1[Start Date]&lt;42826),Table1[Self-Care and Living Skills],""))</f>
        <v/>
      </c>
      <c r="FW521" s="44" t="str">
        <f>IF(Table1[Date of Initial Assessment]="","",IF(AND(Table1[Start Date]&gt;42460,Table1[Start Date]&lt;42826),Table1[Managing Money and Personal Administration],""))</f>
        <v/>
      </c>
      <c r="FX521" s="44" t="str">
        <f>IF(Table1[Date of Initial Assessment]="","",IF(AND(Table1[Start Date]&gt;42460,Table1[Start Date]&lt;42826),Table1[Social Networks and Relationships],""))</f>
        <v/>
      </c>
      <c r="FY521" s="44" t="str">
        <f>IF(Table1[Date of Initial Assessment]="","",IF(AND(Table1[Start Date]&gt;42460,Table1[Start Date]&lt;42826),Table1[Drug and Alcohol Misuse],""))</f>
        <v/>
      </c>
      <c r="FZ521" s="44" t="str">
        <f>IF(Table1[Date of Initial Assessment]="","",IF(AND(Table1[Start Date]&gt;42460,Table1[Start Date]&lt;42826),Table1[Physical Health],""))</f>
        <v/>
      </c>
      <c r="GA521" s="44" t="str">
        <f>IF(Table1[Date of Initial Assessment]="","",IF(AND(Table1[Start Date]&gt;42460,Table1[Start Date]&lt;42826),Table1[Emotional and Mental Health],""))</f>
        <v/>
      </c>
      <c r="GB521" s="44" t="str">
        <f>IF(Table1[Date of Initial Assessment]="","",IF(AND(Table1[Start Date]&gt;42460,Table1[Start Date]&lt;42826),Table1[Meaningful Use of Time],""))</f>
        <v/>
      </c>
      <c r="GC521" s="44" t="str">
        <f>IF(Table1[Date of Initial Assessment]="","",IF(AND(Table1[Start Date]&gt;42460,Table1[Start Date]&lt;42826),Table1[Managing Tenancy and Accommodation],""))</f>
        <v/>
      </c>
      <c r="GD521" s="44" t="str">
        <f>IF(Table1[Date of Initial Assessment]="","",IF(AND(Table1[Start Date]&gt;42460,Table1[Start Date]&lt;42826),Table1[Offending],""))</f>
        <v/>
      </c>
      <c r="GE521" s="44" t="str">
        <f>IF(Table1[Leaving Date]="","",IF(AND(Table1[Leaving Date]&gt;42460,Table1[Leaving Date]&lt;42826),IF(Table1[Date of Last Assessment]="",Table1[Motivation and Taking Responsibility],Table1[Motivation and Taking Responsibility2]),""))</f>
        <v/>
      </c>
      <c r="GF521" s="44" t="str">
        <f>IF(Table1[Leaving Date]="","",IF(AND(Table1[Leaving Date]&gt;42460,Table1[Leaving Date]&lt;42826),IF(Table1[Date of Last Assessment]="",Table1[Self-Care and Living Skills],Table1[Self-Care and Living Skills2]),""))</f>
        <v/>
      </c>
      <c r="GG521" s="44" t="str">
        <f>IF(Table1[Leaving Date]="","",IF(AND(Table1[Leaving Date]&gt;42460,Table1[Leaving Date]&lt;42826),IF(Table1[Date of Last Assessment]="",Table1[Managing Money and Personal Administration],Table1[Managing Money and Personal Administration2]),""))</f>
        <v/>
      </c>
      <c r="GH521" s="44" t="str">
        <f>IF(Table1[Leaving Date]="","",IF(AND(Table1[Leaving Date]&gt;42460,Table1[Leaving Date]&lt;42826),IF(Table1[Date of Last Assessment]="",Table1[Social Networks and Relationships],Table1[Social Networks and Relationships2]),""))</f>
        <v/>
      </c>
      <c r="GI521" s="44" t="str">
        <f>IF(Table1[Leaving Date]="","",IF(AND(Table1[Leaving Date]&gt;42460,Table1[Leaving Date]&lt;42826),IF(Table1[Date of Last Assessment]="",Table1[Drug and Alcohol Misuse],Table1[Drug and Alcohol Misuse2]),""))</f>
        <v/>
      </c>
      <c r="GJ521" s="44" t="str">
        <f>IF(Table1[Leaving Date]="","",IF(AND(Table1[Leaving Date]&gt;42460,Table1[Leaving Date]&lt;42826),IF(Table1[Date of Last Assessment]="",Table1[Physical Health],Table1[Physical Health2]),""))</f>
        <v/>
      </c>
      <c r="GK521" s="44" t="str">
        <f>IF(Table1[Leaving Date]="","",IF(AND(Table1[Leaving Date]&gt;42460,Table1[Leaving Date]&lt;42826),IF(Table1[Date of Last Assessment]="",Table1[Emotional and Mental Health],Table1[Emotional and Mental Health2]),""))</f>
        <v/>
      </c>
      <c r="GL521" s="44" t="str">
        <f>IF(Table1[Leaving Date]="","",IF(AND(Table1[Leaving Date]&gt;42460,Table1[Leaving Date]&lt;42826),IF(Table1[Date of Last Assessment]="",Table1[Meaningful Use of Time],Table1[Meaningful Use of Time2]),""))</f>
        <v/>
      </c>
      <c r="GM521" s="44" t="str">
        <f>IF(Table1[Leaving Date]="","",IF(AND(Table1[Leaving Date]&gt;42460,Table1[Leaving Date]&lt;42826),IF(Table1[Date of Last Assessment]="",Table1[Managing Tenancy and Accommodation],Table1[Managing Tenancy and Accommodation2]),""))</f>
        <v/>
      </c>
      <c r="GN521" s="44" t="str">
        <f>IF(Table1[Leaving Date]="","",IF(AND(Table1[Leaving Date]&gt;42460,Table1[Leaving Date]&lt;42826),IF(Table1[Date of Last Assessment]="",Table1[Offending],Table1[Offending2]),""))</f>
        <v/>
      </c>
    </row>
    <row r="522" spans="2:196" ht="20.100000000000001" customHeight="1" x14ac:dyDescent="0.2">
      <c r="B522" s="86">
        <f>+'Service Data'!$C$5:$C$5</f>
        <v>0</v>
      </c>
      <c r="C522" s="86"/>
      <c r="D522" s="86"/>
      <c r="E522" s="86"/>
      <c r="F522" s="86"/>
      <c r="G522" s="86"/>
      <c r="H522" s="6"/>
      <c r="I522" s="99" t="str">
        <f ca="1">IF(Table1[[#This Row],[Date of Birth]]="","",SUM(TODAY()-Table1[[#This Row],[Date of Birth]])/365)</f>
        <v/>
      </c>
      <c r="L522" s="86"/>
      <c r="M522" s="77"/>
      <c r="N522" s="86"/>
      <c r="O522" s="86"/>
      <c r="P522" s="91"/>
      <c r="Q522" s="86"/>
      <c r="R522" s="77"/>
      <c r="S522" s="77"/>
      <c r="T522" s="68"/>
      <c r="U522" s="68"/>
      <c r="V522" s="67"/>
      <c r="W522" s="67"/>
      <c r="X522" s="67"/>
      <c r="Y522" s="67"/>
      <c r="Z522" s="67"/>
      <c r="AA522" s="67"/>
      <c r="AB522" s="67"/>
      <c r="AC522" s="67"/>
      <c r="AD522" s="67"/>
      <c r="AE522" s="67"/>
      <c r="AF522" s="67"/>
      <c r="AG522" s="67"/>
      <c r="AH522" s="67"/>
      <c r="AI522" s="67"/>
      <c r="AJ522" s="67"/>
      <c r="AK522" s="67"/>
      <c r="AL522" s="67"/>
      <c r="AM522" s="67"/>
      <c r="AN522" s="77"/>
      <c r="AO522" s="76"/>
      <c r="AP522" s="77"/>
      <c r="AQ522" s="76"/>
      <c r="AR522" s="76"/>
      <c r="AS522" s="76"/>
      <c r="AT522" s="76"/>
      <c r="AU522" s="76"/>
      <c r="AV522" s="77"/>
      <c r="AW522" s="76"/>
      <c r="AX522" s="77"/>
      <c r="AY522" s="76"/>
      <c r="AZ522" s="76"/>
      <c r="BA522" s="76"/>
      <c r="BB522" s="76"/>
      <c r="BC522" s="76"/>
      <c r="BD522" s="77"/>
      <c r="BE522" s="76"/>
      <c r="BF522" s="77"/>
      <c r="BG522" s="76"/>
      <c r="BH522" s="76"/>
      <c r="BI522" s="76"/>
      <c r="BJ522" s="76"/>
      <c r="BK522" s="76"/>
      <c r="BL522" s="77"/>
      <c r="BM522" s="76"/>
      <c r="BN522" s="77"/>
      <c r="BO522" s="76"/>
      <c r="BP522" s="76"/>
      <c r="BQ522" s="76"/>
      <c r="BR522" s="76"/>
      <c r="BS522" s="76"/>
      <c r="BT522" s="77"/>
      <c r="BU522" s="76"/>
      <c r="BV522" s="77"/>
      <c r="BW522" s="76"/>
      <c r="BX522" s="76"/>
      <c r="BY522" s="76"/>
      <c r="BZ522" s="76"/>
      <c r="CA522" s="76"/>
      <c r="CB522" s="77"/>
      <c r="CC522" s="76"/>
      <c r="CD522" s="77"/>
      <c r="CE522" s="76"/>
      <c r="CF522" s="76"/>
      <c r="CG522" s="76"/>
      <c r="CH522" s="76"/>
      <c r="CI522" s="76"/>
      <c r="CJ522" s="77"/>
      <c r="CK522" s="76"/>
      <c r="CL522" s="77"/>
      <c r="CM522" s="76"/>
      <c r="CN522" s="76"/>
      <c r="CO522" s="76"/>
      <c r="CP522" s="76"/>
      <c r="CQ522" s="76"/>
      <c r="CR522" s="78" t="str">
        <f t="shared" si="143"/>
        <v/>
      </c>
      <c r="CS522" s="79" t="str">
        <f t="shared" si="144"/>
        <v/>
      </c>
      <c r="CT522" s="79" t="str">
        <f t="shared" si="145"/>
        <v/>
      </c>
      <c r="CU522" s="79" t="str">
        <f t="shared" si="146"/>
        <v/>
      </c>
      <c r="CV522" s="79" t="str">
        <f t="shared" si="147"/>
        <v/>
      </c>
      <c r="CW522" s="79" t="str">
        <f t="shared" si="148"/>
        <v/>
      </c>
      <c r="CX522" s="79" t="str">
        <f t="shared" si="149"/>
        <v/>
      </c>
      <c r="CY522" s="79" t="str">
        <f t="shared" si="150"/>
        <v/>
      </c>
      <c r="CZ522" s="79" t="str">
        <f t="shared" si="151"/>
        <v/>
      </c>
      <c r="DA522" s="79" t="str">
        <f t="shared" si="152"/>
        <v/>
      </c>
      <c r="DB522" s="79" t="str">
        <f t="shared" si="153"/>
        <v/>
      </c>
      <c r="DC522" s="79" t="str">
        <f t="shared" si="154"/>
        <v/>
      </c>
      <c r="DD522" s="79" t="str">
        <f t="shared" si="155"/>
        <v/>
      </c>
      <c r="DE522" s="79" t="str">
        <f t="shared" si="156"/>
        <v/>
      </c>
      <c r="DF522" s="79" t="str">
        <f t="shared" si="157"/>
        <v/>
      </c>
      <c r="DG522" s="79" t="str">
        <f t="shared" si="158"/>
        <v/>
      </c>
      <c r="DH522" s="76"/>
      <c r="DI522" s="78"/>
      <c r="DJ522" s="76"/>
      <c r="DK522" s="77"/>
      <c r="DL522" s="77"/>
      <c r="DM522" s="77"/>
      <c r="DN522" s="80"/>
      <c r="DO522" s="80"/>
      <c r="DP522" s="92" t="str">
        <f>IF(Table1[Start Date]="","",IF(Table1[Start Date]&gt;42185,"",IF(AND(Table1[Leaving Date]&gt;1,Table1[Leaving Date]&lt;42095),"",1)))</f>
        <v/>
      </c>
      <c r="DQ522" s="92" t="str">
        <f>IF(Table1[Start Date]="","",IF(Table1[Start Date]&gt;42277,"",IF(AND(Table1[Leaving Date]&gt;1,Table1[Leaving Date]&lt;42186),"",1)))</f>
        <v/>
      </c>
      <c r="DR522" s="92" t="str">
        <f>IF(Table1[Start Date]="","",IF(Table1[Start Date]&gt;42369,"",IF(AND(Table1[Leaving Date]&gt;1,Table1[Leaving Date]&lt;42278),"",1)))</f>
        <v/>
      </c>
      <c r="DS522" s="92" t="str">
        <f>IF(Table1[Start Date]="","",IF(Table1[Start Date]&gt;42460,"",IF(AND(Table1[Leaving Date]&gt;1,Table1[Leaving Date]&lt;42370),"",1)))</f>
        <v/>
      </c>
      <c r="DT522" s="92" t="str">
        <f>IF(Table1[Start Date]="","",IF(Table1[Start Date]&gt;42551,"",IF(AND(Table1[Leaving Date]&gt;1,Table1[Leaving Date]&lt;42461),"",1)))</f>
        <v/>
      </c>
      <c r="DU522" s="92" t="str">
        <f>IF(Table1[Start Date]="","",IF(Table1[Start Date]&gt;42643,"",IF(AND(Table1[Leaving Date]&gt;1,Table1[Leaving Date]&lt;42552),"",1)))</f>
        <v/>
      </c>
      <c r="DV522" s="92" t="str">
        <f>IF(Table1[Start Date]="","",IF(Table1[Start Date]&gt;42735,"",IF(AND(Table1[Leaving Date]&gt;1,Table1[Leaving Date]&lt;42644),"",1)))</f>
        <v/>
      </c>
      <c r="DW522" s="92" t="str">
        <f>IF(Table1[Start Date]="","",IF(Table1[Start Date]&gt;42825,"",IF(AND(Table1[Leaving Date]&gt;1,Table1[Leaving Date]&lt;42736),"",1)))</f>
        <v/>
      </c>
      <c r="DX522"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522" s="44" t="e">
        <f>VLOOKUP(Table1[Referral Source],Lists!$G$2:$H$20,2,FALSE)</f>
        <v>#N/A</v>
      </c>
      <c r="DZ522" s="93" t="e">
        <f>SUM(Table1[Data Referral Quarter]+Table1[Data Referral Source])</f>
        <v>#N/A</v>
      </c>
      <c r="EA522" s="44" t="b">
        <f>IF(Table1[Referral Decision]="Accepted",100,IF(Table1[Referral Decision]="Rejected by Provider",200,IF(Table1[Referral Decision]="Rejected by Applicant",300)))</f>
        <v>0</v>
      </c>
      <c r="EB522" s="44">
        <f>SUM(Table1[Data Referral Quarter]+Table1[Data Referral Decision])</f>
        <v>0</v>
      </c>
      <c r="EC522" s="44" t="b">
        <f>IF(Table1[Start Date]&gt;42735,8000,IF(Table1[Start Date]&gt;42643,7000,IF(Table1[Start Date]&gt;42551,6000,IF(Table1[Start Date]&gt;42460,5000,IF(Table1[Start Date]&gt;42369,4000,IF(Table1[Start Date]&gt;42277,3000,IF(Table1[Start Date]&gt;42185,2000,IF(Table1[Start Date]&gt;42094,1000))))))))</f>
        <v>0</v>
      </c>
      <c r="ED522" s="44" t="str">
        <f>IF(Table1[Start Date]="","",IF(Table1[Current Local Authority]="Swindon",1,"2"))</f>
        <v/>
      </c>
      <c r="EE522" s="44" t="e">
        <f>SUM(Table1[Data Start Date]+Table1[Data Local Authority])</f>
        <v>#VALUE!</v>
      </c>
      <c r="EF522" s="44">
        <f>IF(Table1[Registered with GP]="Yes",1,0)</f>
        <v>0</v>
      </c>
      <c r="EG522" s="44">
        <f>SUM(Table1[Data Start Date]+Table1[Data GP Start])</f>
        <v>0</v>
      </c>
      <c r="EH522" s="44" t="str">
        <f>IF(Table1[EET]="NEET",1,IF(Table1[EET]="Education",2,IF(Table1[EET]="Employment",2,IF(Table1[EET]="Training",2,IF(Table1[EET]="Retired",3,"")))))</f>
        <v/>
      </c>
      <c r="EI522" s="44" t="e">
        <f>Table1[Data Start Date]+Table1[Data EET Start]</f>
        <v>#VALUE!</v>
      </c>
      <c r="EJ522" s="44" t="b">
        <f>IF(Table1[Leaving Date]&gt;42735,8000,IF(Table1[Leaving Date]&gt;42643,7000,IF(Table1[Leaving Date]&gt;42551,6000,IF(Table1[Leaving Date]&gt;42460,5000,IF(Table1[Leaving Date]&gt;42369,4000,IF(Table1[Leaving Date]&gt;42277,3000,IF(Table1[Leaving Date]&gt;42185,2000,IF(Table1[Leaving Date]&gt;42094,1000))))))))</f>
        <v>0</v>
      </c>
      <c r="EK522" s="44" t="e">
        <f>VLOOKUP(Table1[Reason for Leaving],Lists!$T$2:$U$15,2,FALSE)</f>
        <v>#N/A</v>
      </c>
      <c r="EL522" s="44" t="e">
        <f>SUM(Table1[Data Leavers Date]+Table1[Data Move On])</f>
        <v>#N/A</v>
      </c>
      <c r="EM522" s="44" t="b">
        <f>IF(Table1[Registered with GP2]="Yes",1,IF(Table1[Registered with GP2]="No",0,IF(Table1[Registered with GP]="Yes",1,IF(Table1[Registered with GP]="No",0))))</f>
        <v>0</v>
      </c>
      <c r="EN522" s="44">
        <f>SUM(Table1[Data Leavers Date]+Table1[Data GP End])</f>
        <v>0</v>
      </c>
      <c r="EO522" s="44" t="str">
        <f>IF(Table1[EET2]="NEET",1,IF(Table1[EET2]="Employment",2,IF(Table1[EET2]="Education",2,IF(Table1[EET2]="Training",2,IF(Table1[EET2]="Retired",3,IF(Table1[EET]="NEET",1,IF(Table1[EET]="Employment",2,IF(Table1[EET]="Education",2,IF(Table1[EET]="Training",2,IF(Table1[EET]="Retired",3,""))))))))))</f>
        <v/>
      </c>
      <c r="EP522" s="44" t="e">
        <f>+Table1[[#This Row],[Data Leavers Date]]+Table1[[#This Row],[Data EET End]]</f>
        <v>#VALUE!</v>
      </c>
      <c r="EQ522" s="44">
        <f>IF(Table1[Exit Form Received]="Yes",1,0)</f>
        <v>0</v>
      </c>
      <c r="ER522" s="44">
        <f>+Table1[[#This Row],[Data Leavers Date]]+Table1[[#This Row],[Data Exit Forms]]</f>
        <v>0</v>
      </c>
      <c r="ES522" s="44" t="str">
        <f>IF(Table1[Data Leavers Date]=1000,SUM(Table1[Leaving Date]-Table1[Start Date]),"")</f>
        <v/>
      </c>
      <c r="ET522" s="44" t="str">
        <f>IF(Table1[Data Leavers Date]=2000,SUM(Table1[Leaving Date]-Table1[Start Date]),"")</f>
        <v/>
      </c>
      <c r="EU522" s="44" t="str">
        <f>IF(Table1[Data Leavers Date]=3000,SUM(Table1[Leaving Date]-Table1[Start Date]),"")</f>
        <v/>
      </c>
      <c r="EV522" s="44" t="str">
        <f>IF(Table1[Data Leavers Date]=4000,SUM(Table1[Leaving Date]-Table1[Start Date]),"")</f>
        <v/>
      </c>
      <c r="EW522" s="44" t="str">
        <f>IF(Table1[Data Leavers Date]=5000,SUM(Table1[Leaving Date]-Table1[Start Date]),"")</f>
        <v/>
      </c>
      <c r="EX522" s="44" t="str">
        <f>IF(Table1[Data Leavers Date]=6000,SUM(Table1[Leaving Date]-Table1[Start Date]),"")</f>
        <v/>
      </c>
      <c r="EY522" s="44" t="str">
        <f>IF(Table1[Data Leavers Date]=7000,SUM(Table1[Leaving Date]-Table1[Start Date]),"")</f>
        <v/>
      </c>
      <c r="EZ522" s="44" t="str">
        <f>IF(Table1[Data Leavers Date]=8000,SUM(Table1[Leaving Date]-Table1[Start Date]),"")</f>
        <v/>
      </c>
      <c r="FA522" s="44" t="str">
        <f>IF(Table1[Date of Initial Assessment]="","",IF(AND(Table1[Start Date]&gt;42094,Table1[Start Date]&lt;42461),Table1[Motivation and Taking Responsibility],""))</f>
        <v/>
      </c>
      <c r="FB522" s="44" t="str">
        <f>IF(Table1[Date of Initial Assessment]="","",IF(AND(Table1[Start Date]&gt;42094,Table1[Start Date]&lt;42461),Table1[Self-Care and Living Skills],""))</f>
        <v/>
      </c>
      <c r="FC522" s="44" t="str">
        <f>IF(Table1[Date of Initial Assessment]="","",IF(AND(Table1[Start Date]&gt;42094,Table1[Start Date]&lt;42461),Table1[Managing Money and Personal Administration],""))</f>
        <v/>
      </c>
      <c r="FD522" s="44" t="str">
        <f>IF(Table1[Date of Initial Assessment]="","",IF(AND(Table1[Start Date]&gt;42094,Table1[Start Date]&lt;42461),Table1[Social Networks and Relationships],""))</f>
        <v/>
      </c>
      <c r="FE522" s="44" t="str">
        <f>IF(Table1[Date of Initial Assessment]="","",IF(AND(Table1[Start Date]&gt;42094,Table1[Start Date]&lt;42461),Table1[Drug and Alcohol Misuse],""))</f>
        <v/>
      </c>
      <c r="FF522" s="44" t="str">
        <f>IF(Table1[Date of Initial Assessment]="","",IF(AND(Table1[Start Date]&gt;42094,Table1[Start Date]&lt;42461),Table1[Physical Health],""))</f>
        <v/>
      </c>
      <c r="FG522" s="44" t="str">
        <f>IF(Table1[Date of Initial Assessment]="","",IF(AND(Table1[Start Date]&gt;42094,Table1[Start Date]&lt;42461),Table1[Emotional and Mental Health],""))</f>
        <v/>
      </c>
      <c r="FH522" s="44" t="str">
        <f>IF(Table1[Date of Initial Assessment]="","",IF(AND(Table1[Start Date]&gt;42094,Table1[Start Date]&lt;42461),Table1[Meaningful Use of Time],""))</f>
        <v/>
      </c>
      <c r="FI522" s="44" t="str">
        <f>IF(Table1[Date of Initial Assessment]="","",IF(AND(Table1[Start Date]&gt;42094,Table1[Start Date]&lt;42461),Table1[Managing Tenancy and Accommodation],""))</f>
        <v/>
      </c>
      <c r="FJ522" s="44" t="str">
        <f>IF(Table1[Date of Initial Assessment]="","",IF(AND(Table1[Start Date]&gt;42094,Table1[Start Date]&lt;42461),Table1[Offending],""))</f>
        <v/>
      </c>
      <c r="FK522" s="44" t="str">
        <f>IF(Table1[Leaving Date]="","",IF(Table1[Date of Initial Assessment]="","",IF(AND(Table1[Leaving Date]&gt;42094,Table1[Leaving Date]&lt;42461),IF(Table1[Date of Last Assessment]="",Table1[Motivation and Taking Responsibility],Table1[Motivation and Taking Responsibility2]),"")))</f>
        <v/>
      </c>
      <c r="FL522" s="44" t="str">
        <f>IF(Table1[Leaving Date]="","",IF(Table1[Date of Initial Assessment]="","",IF(AND(Table1[Leaving Date]&gt;42094,Table1[Leaving Date]&lt;42461),IF(Table1[Date of Last Assessment]="",Table1[Self-Care and Living Skills],Table1[Self-Care and Living Skills2]),"")))</f>
        <v/>
      </c>
      <c r="FM522" s="44" t="str">
        <f>IF(Table1[Leaving Date]="","",IF(Table1[Date of Initial Assessment]="","",IF(AND(Table1[Leaving Date]&gt;42094,Table1[Leaving Date]&lt;42461),IF(Table1[Date of Last Assessment]="",Table1[Managing Money and Personal Administration],Table1[Managing Money and Personal Administration2]),"")))</f>
        <v/>
      </c>
      <c r="FN522" s="44" t="str">
        <f>IF(Table1[Leaving Date]="","",IF(Table1[Date of Initial Assessment]="","",IF(AND(Table1[Leaving Date]&gt;42094,Table1[Leaving Date]&lt;42461),IF(Table1[Date of Last Assessment]="",Table1[Social Networks and Relationships],Table1[Social Networks and Relationships2]),"")))</f>
        <v/>
      </c>
      <c r="FO522" s="44" t="str">
        <f>IF(Table1[Leaving Date]="","",IF(Table1[Date of Initial Assessment]="","",IF(AND(Table1[Leaving Date]&gt;42094,Table1[Leaving Date]&lt;42461),IF(Table1[Date of Last Assessment]="",Table1[Drug and Alcohol Misuse],Table1[Drug and Alcohol Misuse2]),"")))</f>
        <v/>
      </c>
      <c r="FP522" s="44" t="str">
        <f>IF(Table1[Leaving Date]="","",IF(Table1[Date of Initial Assessment]="","",IF(AND(Table1[Leaving Date]&gt;42094,Table1[Leaving Date]&lt;42461),IF(Table1[Date of Last Assessment]="",Table1[Physical Health],Table1[Physical Health2]),"")))</f>
        <v/>
      </c>
      <c r="FQ522" s="44" t="str">
        <f>IF(Table1[Leaving Date]="","",IF(Table1[Date of Initial Assessment]="","",IF(AND(Table1[Leaving Date]&gt;42094,Table1[Leaving Date]&lt;42461),IF(Table1[Date of Last Assessment]="",Table1[Emotional and Mental Health],Table1[Emotional and Mental Health2]),"")))</f>
        <v/>
      </c>
      <c r="FR522" s="44" t="str">
        <f>IF(Table1[Leaving Date]="","",IF(Table1[Date of Initial Assessment]="","",IF(AND(Table1[Leaving Date]&gt;42094,Table1[Leaving Date]&lt;42461),IF(Table1[Date of Last Assessment]="",Table1[Meaningful Use of Time],Table1[Meaningful Use of Time2]),"")))</f>
        <v/>
      </c>
      <c r="FS522" s="44" t="str">
        <f>IF(Table1[Leaving Date]="","",IF(Table1[Date of Initial Assessment]="","",IF(AND(Table1[Leaving Date]&gt;42094,Table1[Leaving Date]&lt;42461),IF(Table1[Date of Last Assessment]="",Table1[Managing Tenancy and Accommodation],Table1[Managing Tenancy and Accommodation2]),"")))</f>
        <v/>
      </c>
      <c r="FT522" s="44" t="str">
        <f>IF(Table1[Leaving Date]="","",IF(Table1[Date of Initial Assessment]="","",IF(AND(Table1[Leaving Date]&gt;42094,Table1[Leaving Date]&lt;42461),IF(Table1[Date of Last Assessment]="",Table1[Offending],Table1[Offending2]),"")))</f>
        <v/>
      </c>
      <c r="FU522" s="44" t="str">
        <f>IF(Table1[Date of Initial Assessment]="","",IF(AND(Table1[Start Date]&gt;42460,Table1[Start Date]&lt;42826),Table1[Motivation and Taking Responsibility],""))</f>
        <v/>
      </c>
      <c r="FV522" s="44" t="str">
        <f>IF(Table1[Date of Initial Assessment]="","",IF(AND(Table1[Start Date]&gt;42460,Table1[Start Date]&lt;42826),Table1[Self-Care and Living Skills],""))</f>
        <v/>
      </c>
      <c r="FW522" s="44" t="str">
        <f>IF(Table1[Date of Initial Assessment]="","",IF(AND(Table1[Start Date]&gt;42460,Table1[Start Date]&lt;42826),Table1[Managing Money and Personal Administration],""))</f>
        <v/>
      </c>
      <c r="FX522" s="44" t="str">
        <f>IF(Table1[Date of Initial Assessment]="","",IF(AND(Table1[Start Date]&gt;42460,Table1[Start Date]&lt;42826),Table1[Social Networks and Relationships],""))</f>
        <v/>
      </c>
      <c r="FY522" s="44" t="str">
        <f>IF(Table1[Date of Initial Assessment]="","",IF(AND(Table1[Start Date]&gt;42460,Table1[Start Date]&lt;42826),Table1[Drug and Alcohol Misuse],""))</f>
        <v/>
      </c>
      <c r="FZ522" s="44" t="str">
        <f>IF(Table1[Date of Initial Assessment]="","",IF(AND(Table1[Start Date]&gt;42460,Table1[Start Date]&lt;42826),Table1[Physical Health],""))</f>
        <v/>
      </c>
      <c r="GA522" s="44" t="str">
        <f>IF(Table1[Date of Initial Assessment]="","",IF(AND(Table1[Start Date]&gt;42460,Table1[Start Date]&lt;42826),Table1[Emotional and Mental Health],""))</f>
        <v/>
      </c>
      <c r="GB522" s="44" t="str">
        <f>IF(Table1[Date of Initial Assessment]="","",IF(AND(Table1[Start Date]&gt;42460,Table1[Start Date]&lt;42826),Table1[Meaningful Use of Time],""))</f>
        <v/>
      </c>
      <c r="GC522" s="44" t="str">
        <f>IF(Table1[Date of Initial Assessment]="","",IF(AND(Table1[Start Date]&gt;42460,Table1[Start Date]&lt;42826),Table1[Managing Tenancy and Accommodation],""))</f>
        <v/>
      </c>
      <c r="GD522" s="44" t="str">
        <f>IF(Table1[Date of Initial Assessment]="","",IF(AND(Table1[Start Date]&gt;42460,Table1[Start Date]&lt;42826),Table1[Offending],""))</f>
        <v/>
      </c>
      <c r="GE522" s="44" t="str">
        <f>IF(Table1[Leaving Date]="","",IF(AND(Table1[Leaving Date]&gt;42460,Table1[Leaving Date]&lt;42826),IF(Table1[Date of Last Assessment]="",Table1[Motivation and Taking Responsibility],Table1[Motivation and Taking Responsibility2]),""))</f>
        <v/>
      </c>
      <c r="GF522" s="44" t="str">
        <f>IF(Table1[Leaving Date]="","",IF(AND(Table1[Leaving Date]&gt;42460,Table1[Leaving Date]&lt;42826),IF(Table1[Date of Last Assessment]="",Table1[Self-Care and Living Skills],Table1[Self-Care and Living Skills2]),""))</f>
        <v/>
      </c>
      <c r="GG522" s="44" t="str">
        <f>IF(Table1[Leaving Date]="","",IF(AND(Table1[Leaving Date]&gt;42460,Table1[Leaving Date]&lt;42826),IF(Table1[Date of Last Assessment]="",Table1[Managing Money and Personal Administration],Table1[Managing Money and Personal Administration2]),""))</f>
        <v/>
      </c>
      <c r="GH522" s="44" t="str">
        <f>IF(Table1[Leaving Date]="","",IF(AND(Table1[Leaving Date]&gt;42460,Table1[Leaving Date]&lt;42826),IF(Table1[Date of Last Assessment]="",Table1[Social Networks and Relationships],Table1[Social Networks and Relationships2]),""))</f>
        <v/>
      </c>
      <c r="GI522" s="44" t="str">
        <f>IF(Table1[Leaving Date]="","",IF(AND(Table1[Leaving Date]&gt;42460,Table1[Leaving Date]&lt;42826),IF(Table1[Date of Last Assessment]="",Table1[Drug and Alcohol Misuse],Table1[Drug and Alcohol Misuse2]),""))</f>
        <v/>
      </c>
      <c r="GJ522" s="44" t="str">
        <f>IF(Table1[Leaving Date]="","",IF(AND(Table1[Leaving Date]&gt;42460,Table1[Leaving Date]&lt;42826),IF(Table1[Date of Last Assessment]="",Table1[Physical Health],Table1[Physical Health2]),""))</f>
        <v/>
      </c>
      <c r="GK522" s="44" t="str">
        <f>IF(Table1[Leaving Date]="","",IF(AND(Table1[Leaving Date]&gt;42460,Table1[Leaving Date]&lt;42826),IF(Table1[Date of Last Assessment]="",Table1[Emotional and Mental Health],Table1[Emotional and Mental Health2]),""))</f>
        <v/>
      </c>
      <c r="GL522" s="44" t="str">
        <f>IF(Table1[Leaving Date]="","",IF(AND(Table1[Leaving Date]&gt;42460,Table1[Leaving Date]&lt;42826),IF(Table1[Date of Last Assessment]="",Table1[Meaningful Use of Time],Table1[Meaningful Use of Time2]),""))</f>
        <v/>
      </c>
      <c r="GM522" s="44" t="str">
        <f>IF(Table1[Leaving Date]="","",IF(AND(Table1[Leaving Date]&gt;42460,Table1[Leaving Date]&lt;42826),IF(Table1[Date of Last Assessment]="",Table1[Managing Tenancy and Accommodation],Table1[Managing Tenancy and Accommodation2]),""))</f>
        <v/>
      </c>
      <c r="GN522" s="44" t="str">
        <f>IF(Table1[Leaving Date]="","",IF(AND(Table1[Leaving Date]&gt;42460,Table1[Leaving Date]&lt;42826),IF(Table1[Date of Last Assessment]="",Table1[Offending],Table1[Offending2]),""))</f>
        <v/>
      </c>
    </row>
    <row r="523" spans="2:196" ht="20.100000000000001" customHeight="1" x14ac:dyDescent="0.2">
      <c r="B523" s="86">
        <f>+'Service Data'!$C$5:$C$5</f>
        <v>0</v>
      </c>
      <c r="C523" s="86"/>
      <c r="D523" s="86"/>
      <c r="E523" s="86"/>
      <c r="F523" s="86"/>
      <c r="G523" s="86"/>
      <c r="H523" s="6"/>
      <c r="I523" s="99" t="str">
        <f ca="1">IF(Table1[[#This Row],[Date of Birth]]="","",SUM(TODAY()-Table1[[#This Row],[Date of Birth]])/365)</f>
        <v/>
      </c>
      <c r="L523" s="86"/>
      <c r="M523" s="77"/>
      <c r="N523" s="86"/>
      <c r="O523" s="86"/>
      <c r="P523" s="91"/>
      <c r="Q523" s="86"/>
      <c r="R523" s="77"/>
      <c r="S523" s="77"/>
      <c r="T523" s="68"/>
      <c r="U523" s="68"/>
      <c r="V523" s="67"/>
      <c r="W523" s="67"/>
      <c r="X523" s="67"/>
      <c r="Y523" s="67"/>
      <c r="Z523" s="67"/>
      <c r="AA523" s="67"/>
      <c r="AB523" s="67"/>
      <c r="AC523" s="67"/>
      <c r="AD523" s="67"/>
      <c r="AE523" s="67"/>
      <c r="AF523" s="67"/>
      <c r="AG523" s="67"/>
      <c r="AH523" s="67"/>
      <c r="AI523" s="67"/>
      <c r="AJ523" s="67"/>
      <c r="AK523" s="67"/>
      <c r="AL523" s="67"/>
      <c r="AM523" s="67"/>
      <c r="AN523" s="77"/>
      <c r="AO523" s="76"/>
      <c r="AP523" s="77"/>
      <c r="AQ523" s="76"/>
      <c r="AR523" s="76"/>
      <c r="AS523" s="76"/>
      <c r="AT523" s="76"/>
      <c r="AU523" s="76"/>
      <c r="AV523" s="77"/>
      <c r="AW523" s="76"/>
      <c r="AX523" s="77"/>
      <c r="AY523" s="76"/>
      <c r="AZ523" s="76"/>
      <c r="BA523" s="76"/>
      <c r="BB523" s="76"/>
      <c r="BC523" s="76"/>
      <c r="BD523" s="77"/>
      <c r="BE523" s="76"/>
      <c r="BF523" s="77"/>
      <c r="BG523" s="76"/>
      <c r="BH523" s="76"/>
      <c r="BI523" s="76"/>
      <c r="BJ523" s="76"/>
      <c r="BK523" s="76"/>
      <c r="BL523" s="77"/>
      <c r="BM523" s="76"/>
      <c r="BN523" s="77"/>
      <c r="BO523" s="76"/>
      <c r="BP523" s="76"/>
      <c r="BQ523" s="76"/>
      <c r="BR523" s="76"/>
      <c r="BS523" s="76"/>
      <c r="BT523" s="77"/>
      <c r="BU523" s="76"/>
      <c r="BV523" s="77"/>
      <c r="BW523" s="76"/>
      <c r="BX523" s="76"/>
      <c r="BY523" s="76"/>
      <c r="BZ523" s="76"/>
      <c r="CA523" s="76"/>
      <c r="CB523" s="77"/>
      <c r="CC523" s="76"/>
      <c r="CD523" s="77"/>
      <c r="CE523" s="76"/>
      <c r="CF523" s="76"/>
      <c r="CG523" s="76"/>
      <c r="CH523" s="76"/>
      <c r="CI523" s="76"/>
      <c r="CJ523" s="77"/>
      <c r="CK523" s="76"/>
      <c r="CL523" s="77"/>
      <c r="CM523" s="76"/>
      <c r="CN523" s="76"/>
      <c r="CO523" s="76"/>
      <c r="CP523" s="76"/>
      <c r="CQ523" s="76"/>
      <c r="CR523" s="78" t="str">
        <f t="shared" si="143"/>
        <v/>
      </c>
      <c r="CS523" s="79" t="str">
        <f t="shared" si="144"/>
        <v/>
      </c>
      <c r="CT523" s="79" t="str">
        <f t="shared" si="145"/>
        <v/>
      </c>
      <c r="CU523" s="79" t="str">
        <f t="shared" si="146"/>
        <v/>
      </c>
      <c r="CV523" s="79" t="str">
        <f t="shared" si="147"/>
        <v/>
      </c>
      <c r="CW523" s="79" t="str">
        <f t="shared" si="148"/>
        <v/>
      </c>
      <c r="CX523" s="79" t="str">
        <f t="shared" si="149"/>
        <v/>
      </c>
      <c r="CY523" s="79" t="str">
        <f t="shared" si="150"/>
        <v/>
      </c>
      <c r="CZ523" s="79" t="str">
        <f t="shared" si="151"/>
        <v/>
      </c>
      <c r="DA523" s="79" t="str">
        <f t="shared" si="152"/>
        <v/>
      </c>
      <c r="DB523" s="79" t="str">
        <f t="shared" si="153"/>
        <v/>
      </c>
      <c r="DC523" s="79" t="str">
        <f t="shared" si="154"/>
        <v/>
      </c>
      <c r="DD523" s="79" t="str">
        <f t="shared" si="155"/>
        <v/>
      </c>
      <c r="DE523" s="79" t="str">
        <f t="shared" si="156"/>
        <v/>
      </c>
      <c r="DF523" s="79" t="str">
        <f t="shared" si="157"/>
        <v/>
      </c>
      <c r="DG523" s="79" t="str">
        <f t="shared" si="158"/>
        <v/>
      </c>
      <c r="DH523" s="76"/>
      <c r="DI523" s="78"/>
      <c r="DJ523" s="76"/>
      <c r="DK523" s="77"/>
      <c r="DL523" s="77"/>
      <c r="DM523" s="77"/>
      <c r="DN523" s="80"/>
      <c r="DO523" s="80"/>
      <c r="DP523" s="92" t="str">
        <f>IF(Table1[Start Date]="","",IF(Table1[Start Date]&gt;42185,"",IF(AND(Table1[Leaving Date]&gt;1,Table1[Leaving Date]&lt;42095),"",1)))</f>
        <v/>
      </c>
      <c r="DQ523" s="92" t="str">
        <f>IF(Table1[Start Date]="","",IF(Table1[Start Date]&gt;42277,"",IF(AND(Table1[Leaving Date]&gt;1,Table1[Leaving Date]&lt;42186),"",1)))</f>
        <v/>
      </c>
      <c r="DR523" s="92" t="str">
        <f>IF(Table1[Start Date]="","",IF(Table1[Start Date]&gt;42369,"",IF(AND(Table1[Leaving Date]&gt;1,Table1[Leaving Date]&lt;42278),"",1)))</f>
        <v/>
      </c>
      <c r="DS523" s="92" t="str">
        <f>IF(Table1[Start Date]="","",IF(Table1[Start Date]&gt;42460,"",IF(AND(Table1[Leaving Date]&gt;1,Table1[Leaving Date]&lt;42370),"",1)))</f>
        <v/>
      </c>
      <c r="DT523" s="92" t="str">
        <f>IF(Table1[Start Date]="","",IF(Table1[Start Date]&gt;42551,"",IF(AND(Table1[Leaving Date]&gt;1,Table1[Leaving Date]&lt;42461),"",1)))</f>
        <v/>
      </c>
      <c r="DU523" s="92" t="str">
        <f>IF(Table1[Start Date]="","",IF(Table1[Start Date]&gt;42643,"",IF(AND(Table1[Leaving Date]&gt;1,Table1[Leaving Date]&lt;42552),"",1)))</f>
        <v/>
      </c>
      <c r="DV523" s="92" t="str">
        <f>IF(Table1[Start Date]="","",IF(Table1[Start Date]&gt;42735,"",IF(AND(Table1[Leaving Date]&gt;1,Table1[Leaving Date]&lt;42644),"",1)))</f>
        <v/>
      </c>
      <c r="DW523" s="92" t="str">
        <f>IF(Table1[Start Date]="","",IF(Table1[Start Date]&gt;42825,"",IF(AND(Table1[Leaving Date]&gt;1,Table1[Leaving Date]&lt;42736),"",1)))</f>
        <v/>
      </c>
      <c r="DX523"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523" s="44" t="e">
        <f>VLOOKUP(Table1[Referral Source],Lists!$G$2:$H$20,2,FALSE)</f>
        <v>#N/A</v>
      </c>
      <c r="DZ523" s="93" t="e">
        <f>SUM(Table1[Data Referral Quarter]+Table1[Data Referral Source])</f>
        <v>#N/A</v>
      </c>
      <c r="EA523" s="44" t="b">
        <f>IF(Table1[Referral Decision]="Accepted",100,IF(Table1[Referral Decision]="Rejected by Provider",200,IF(Table1[Referral Decision]="Rejected by Applicant",300)))</f>
        <v>0</v>
      </c>
      <c r="EB523" s="44">
        <f>SUM(Table1[Data Referral Quarter]+Table1[Data Referral Decision])</f>
        <v>0</v>
      </c>
      <c r="EC523" s="44" t="b">
        <f>IF(Table1[Start Date]&gt;42735,8000,IF(Table1[Start Date]&gt;42643,7000,IF(Table1[Start Date]&gt;42551,6000,IF(Table1[Start Date]&gt;42460,5000,IF(Table1[Start Date]&gt;42369,4000,IF(Table1[Start Date]&gt;42277,3000,IF(Table1[Start Date]&gt;42185,2000,IF(Table1[Start Date]&gt;42094,1000))))))))</f>
        <v>0</v>
      </c>
      <c r="ED523" s="44" t="str">
        <f>IF(Table1[Start Date]="","",IF(Table1[Current Local Authority]="Swindon",1,"2"))</f>
        <v/>
      </c>
      <c r="EE523" s="44" t="e">
        <f>SUM(Table1[Data Start Date]+Table1[Data Local Authority])</f>
        <v>#VALUE!</v>
      </c>
      <c r="EF523" s="44">
        <f>IF(Table1[Registered with GP]="Yes",1,0)</f>
        <v>0</v>
      </c>
      <c r="EG523" s="44">
        <f>SUM(Table1[Data Start Date]+Table1[Data GP Start])</f>
        <v>0</v>
      </c>
      <c r="EH523" s="44" t="str">
        <f>IF(Table1[EET]="NEET",1,IF(Table1[EET]="Education",2,IF(Table1[EET]="Employment",2,IF(Table1[EET]="Training",2,IF(Table1[EET]="Retired",3,"")))))</f>
        <v/>
      </c>
      <c r="EI523" s="44" t="e">
        <f>Table1[Data Start Date]+Table1[Data EET Start]</f>
        <v>#VALUE!</v>
      </c>
      <c r="EJ523" s="44" t="b">
        <f>IF(Table1[Leaving Date]&gt;42735,8000,IF(Table1[Leaving Date]&gt;42643,7000,IF(Table1[Leaving Date]&gt;42551,6000,IF(Table1[Leaving Date]&gt;42460,5000,IF(Table1[Leaving Date]&gt;42369,4000,IF(Table1[Leaving Date]&gt;42277,3000,IF(Table1[Leaving Date]&gt;42185,2000,IF(Table1[Leaving Date]&gt;42094,1000))))))))</f>
        <v>0</v>
      </c>
      <c r="EK523" s="44" t="e">
        <f>VLOOKUP(Table1[Reason for Leaving],Lists!$T$2:$U$15,2,FALSE)</f>
        <v>#N/A</v>
      </c>
      <c r="EL523" s="44" t="e">
        <f>SUM(Table1[Data Leavers Date]+Table1[Data Move On])</f>
        <v>#N/A</v>
      </c>
      <c r="EM523" s="44" t="b">
        <f>IF(Table1[Registered with GP2]="Yes",1,IF(Table1[Registered with GP2]="No",0,IF(Table1[Registered with GP]="Yes",1,IF(Table1[Registered with GP]="No",0))))</f>
        <v>0</v>
      </c>
      <c r="EN523" s="44">
        <f>SUM(Table1[Data Leavers Date]+Table1[Data GP End])</f>
        <v>0</v>
      </c>
      <c r="EO523" s="44" t="str">
        <f>IF(Table1[EET2]="NEET",1,IF(Table1[EET2]="Employment",2,IF(Table1[EET2]="Education",2,IF(Table1[EET2]="Training",2,IF(Table1[EET2]="Retired",3,IF(Table1[EET]="NEET",1,IF(Table1[EET]="Employment",2,IF(Table1[EET]="Education",2,IF(Table1[EET]="Training",2,IF(Table1[EET]="Retired",3,""))))))))))</f>
        <v/>
      </c>
      <c r="EP523" s="44" t="e">
        <f>+Table1[[#This Row],[Data Leavers Date]]+Table1[[#This Row],[Data EET End]]</f>
        <v>#VALUE!</v>
      </c>
      <c r="EQ523" s="44">
        <f>IF(Table1[Exit Form Received]="Yes",1,0)</f>
        <v>0</v>
      </c>
      <c r="ER523" s="44">
        <f>+Table1[[#This Row],[Data Leavers Date]]+Table1[[#This Row],[Data Exit Forms]]</f>
        <v>0</v>
      </c>
      <c r="ES523" s="44" t="str">
        <f>IF(Table1[Data Leavers Date]=1000,SUM(Table1[Leaving Date]-Table1[Start Date]),"")</f>
        <v/>
      </c>
      <c r="ET523" s="44" t="str">
        <f>IF(Table1[Data Leavers Date]=2000,SUM(Table1[Leaving Date]-Table1[Start Date]),"")</f>
        <v/>
      </c>
      <c r="EU523" s="44" t="str">
        <f>IF(Table1[Data Leavers Date]=3000,SUM(Table1[Leaving Date]-Table1[Start Date]),"")</f>
        <v/>
      </c>
      <c r="EV523" s="44" t="str">
        <f>IF(Table1[Data Leavers Date]=4000,SUM(Table1[Leaving Date]-Table1[Start Date]),"")</f>
        <v/>
      </c>
      <c r="EW523" s="44" t="str">
        <f>IF(Table1[Data Leavers Date]=5000,SUM(Table1[Leaving Date]-Table1[Start Date]),"")</f>
        <v/>
      </c>
      <c r="EX523" s="44" t="str">
        <f>IF(Table1[Data Leavers Date]=6000,SUM(Table1[Leaving Date]-Table1[Start Date]),"")</f>
        <v/>
      </c>
      <c r="EY523" s="44" t="str">
        <f>IF(Table1[Data Leavers Date]=7000,SUM(Table1[Leaving Date]-Table1[Start Date]),"")</f>
        <v/>
      </c>
      <c r="EZ523" s="44" t="str">
        <f>IF(Table1[Data Leavers Date]=8000,SUM(Table1[Leaving Date]-Table1[Start Date]),"")</f>
        <v/>
      </c>
      <c r="FA523" s="44" t="str">
        <f>IF(Table1[Date of Initial Assessment]="","",IF(AND(Table1[Start Date]&gt;42094,Table1[Start Date]&lt;42461),Table1[Motivation and Taking Responsibility],""))</f>
        <v/>
      </c>
      <c r="FB523" s="44" t="str">
        <f>IF(Table1[Date of Initial Assessment]="","",IF(AND(Table1[Start Date]&gt;42094,Table1[Start Date]&lt;42461),Table1[Self-Care and Living Skills],""))</f>
        <v/>
      </c>
      <c r="FC523" s="44" t="str">
        <f>IF(Table1[Date of Initial Assessment]="","",IF(AND(Table1[Start Date]&gt;42094,Table1[Start Date]&lt;42461),Table1[Managing Money and Personal Administration],""))</f>
        <v/>
      </c>
      <c r="FD523" s="44" t="str">
        <f>IF(Table1[Date of Initial Assessment]="","",IF(AND(Table1[Start Date]&gt;42094,Table1[Start Date]&lt;42461),Table1[Social Networks and Relationships],""))</f>
        <v/>
      </c>
      <c r="FE523" s="44" t="str">
        <f>IF(Table1[Date of Initial Assessment]="","",IF(AND(Table1[Start Date]&gt;42094,Table1[Start Date]&lt;42461),Table1[Drug and Alcohol Misuse],""))</f>
        <v/>
      </c>
      <c r="FF523" s="44" t="str">
        <f>IF(Table1[Date of Initial Assessment]="","",IF(AND(Table1[Start Date]&gt;42094,Table1[Start Date]&lt;42461),Table1[Physical Health],""))</f>
        <v/>
      </c>
      <c r="FG523" s="44" t="str">
        <f>IF(Table1[Date of Initial Assessment]="","",IF(AND(Table1[Start Date]&gt;42094,Table1[Start Date]&lt;42461),Table1[Emotional and Mental Health],""))</f>
        <v/>
      </c>
      <c r="FH523" s="44" t="str">
        <f>IF(Table1[Date of Initial Assessment]="","",IF(AND(Table1[Start Date]&gt;42094,Table1[Start Date]&lt;42461),Table1[Meaningful Use of Time],""))</f>
        <v/>
      </c>
      <c r="FI523" s="44" t="str">
        <f>IF(Table1[Date of Initial Assessment]="","",IF(AND(Table1[Start Date]&gt;42094,Table1[Start Date]&lt;42461),Table1[Managing Tenancy and Accommodation],""))</f>
        <v/>
      </c>
      <c r="FJ523" s="44" t="str">
        <f>IF(Table1[Date of Initial Assessment]="","",IF(AND(Table1[Start Date]&gt;42094,Table1[Start Date]&lt;42461),Table1[Offending],""))</f>
        <v/>
      </c>
      <c r="FK523" s="44" t="str">
        <f>IF(Table1[Leaving Date]="","",IF(Table1[Date of Initial Assessment]="","",IF(AND(Table1[Leaving Date]&gt;42094,Table1[Leaving Date]&lt;42461),IF(Table1[Date of Last Assessment]="",Table1[Motivation and Taking Responsibility],Table1[Motivation and Taking Responsibility2]),"")))</f>
        <v/>
      </c>
      <c r="FL523" s="44" t="str">
        <f>IF(Table1[Leaving Date]="","",IF(Table1[Date of Initial Assessment]="","",IF(AND(Table1[Leaving Date]&gt;42094,Table1[Leaving Date]&lt;42461),IF(Table1[Date of Last Assessment]="",Table1[Self-Care and Living Skills],Table1[Self-Care and Living Skills2]),"")))</f>
        <v/>
      </c>
      <c r="FM523" s="44" t="str">
        <f>IF(Table1[Leaving Date]="","",IF(Table1[Date of Initial Assessment]="","",IF(AND(Table1[Leaving Date]&gt;42094,Table1[Leaving Date]&lt;42461),IF(Table1[Date of Last Assessment]="",Table1[Managing Money and Personal Administration],Table1[Managing Money and Personal Administration2]),"")))</f>
        <v/>
      </c>
      <c r="FN523" s="44" t="str">
        <f>IF(Table1[Leaving Date]="","",IF(Table1[Date of Initial Assessment]="","",IF(AND(Table1[Leaving Date]&gt;42094,Table1[Leaving Date]&lt;42461),IF(Table1[Date of Last Assessment]="",Table1[Social Networks and Relationships],Table1[Social Networks and Relationships2]),"")))</f>
        <v/>
      </c>
      <c r="FO523" s="44" t="str">
        <f>IF(Table1[Leaving Date]="","",IF(Table1[Date of Initial Assessment]="","",IF(AND(Table1[Leaving Date]&gt;42094,Table1[Leaving Date]&lt;42461),IF(Table1[Date of Last Assessment]="",Table1[Drug and Alcohol Misuse],Table1[Drug and Alcohol Misuse2]),"")))</f>
        <v/>
      </c>
      <c r="FP523" s="44" t="str">
        <f>IF(Table1[Leaving Date]="","",IF(Table1[Date of Initial Assessment]="","",IF(AND(Table1[Leaving Date]&gt;42094,Table1[Leaving Date]&lt;42461),IF(Table1[Date of Last Assessment]="",Table1[Physical Health],Table1[Physical Health2]),"")))</f>
        <v/>
      </c>
      <c r="FQ523" s="44" t="str">
        <f>IF(Table1[Leaving Date]="","",IF(Table1[Date of Initial Assessment]="","",IF(AND(Table1[Leaving Date]&gt;42094,Table1[Leaving Date]&lt;42461),IF(Table1[Date of Last Assessment]="",Table1[Emotional and Mental Health],Table1[Emotional and Mental Health2]),"")))</f>
        <v/>
      </c>
      <c r="FR523" s="44" t="str">
        <f>IF(Table1[Leaving Date]="","",IF(Table1[Date of Initial Assessment]="","",IF(AND(Table1[Leaving Date]&gt;42094,Table1[Leaving Date]&lt;42461),IF(Table1[Date of Last Assessment]="",Table1[Meaningful Use of Time],Table1[Meaningful Use of Time2]),"")))</f>
        <v/>
      </c>
      <c r="FS523" s="44" t="str">
        <f>IF(Table1[Leaving Date]="","",IF(Table1[Date of Initial Assessment]="","",IF(AND(Table1[Leaving Date]&gt;42094,Table1[Leaving Date]&lt;42461),IF(Table1[Date of Last Assessment]="",Table1[Managing Tenancy and Accommodation],Table1[Managing Tenancy and Accommodation2]),"")))</f>
        <v/>
      </c>
      <c r="FT523" s="44" t="str">
        <f>IF(Table1[Leaving Date]="","",IF(Table1[Date of Initial Assessment]="","",IF(AND(Table1[Leaving Date]&gt;42094,Table1[Leaving Date]&lt;42461),IF(Table1[Date of Last Assessment]="",Table1[Offending],Table1[Offending2]),"")))</f>
        <v/>
      </c>
      <c r="FU523" s="44" t="str">
        <f>IF(Table1[Date of Initial Assessment]="","",IF(AND(Table1[Start Date]&gt;42460,Table1[Start Date]&lt;42826),Table1[Motivation and Taking Responsibility],""))</f>
        <v/>
      </c>
      <c r="FV523" s="44" t="str">
        <f>IF(Table1[Date of Initial Assessment]="","",IF(AND(Table1[Start Date]&gt;42460,Table1[Start Date]&lt;42826),Table1[Self-Care and Living Skills],""))</f>
        <v/>
      </c>
      <c r="FW523" s="44" t="str">
        <f>IF(Table1[Date of Initial Assessment]="","",IF(AND(Table1[Start Date]&gt;42460,Table1[Start Date]&lt;42826),Table1[Managing Money and Personal Administration],""))</f>
        <v/>
      </c>
      <c r="FX523" s="44" t="str">
        <f>IF(Table1[Date of Initial Assessment]="","",IF(AND(Table1[Start Date]&gt;42460,Table1[Start Date]&lt;42826),Table1[Social Networks and Relationships],""))</f>
        <v/>
      </c>
      <c r="FY523" s="44" t="str">
        <f>IF(Table1[Date of Initial Assessment]="","",IF(AND(Table1[Start Date]&gt;42460,Table1[Start Date]&lt;42826),Table1[Drug and Alcohol Misuse],""))</f>
        <v/>
      </c>
      <c r="FZ523" s="44" t="str">
        <f>IF(Table1[Date of Initial Assessment]="","",IF(AND(Table1[Start Date]&gt;42460,Table1[Start Date]&lt;42826),Table1[Physical Health],""))</f>
        <v/>
      </c>
      <c r="GA523" s="44" t="str">
        <f>IF(Table1[Date of Initial Assessment]="","",IF(AND(Table1[Start Date]&gt;42460,Table1[Start Date]&lt;42826),Table1[Emotional and Mental Health],""))</f>
        <v/>
      </c>
      <c r="GB523" s="44" t="str">
        <f>IF(Table1[Date of Initial Assessment]="","",IF(AND(Table1[Start Date]&gt;42460,Table1[Start Date]&lt;42826),Table1[Meaningful Use of Time],""))</f>
        <v/>
      </c>
      <c r="GC523" s="44" t="str">
        <f>IF(Table1[Date of Initial Assessment]="","",IF(AND(Table1[Start Date]&gt;42460,Table1[Start Date]&lt;42826),Table1[Managing Tenancy and Accommodation],""))</f>
        <v/>
      </c>
      <c r="GD523" s="44" t="str">
        <f>IF(Table1[Date of Initial Assessment]="","",IF(AND(Table1[Start Date]&gt;42460,Table1[Start Date]&lt;42826),Table1[Offending],""))</f>
        <v/>
      </c>
      <c r="GE523" s="44" t="str">
        <f>IF(Table1[Leaving Date]="","",IF(AND(Table1[Leaving Date]&gt;42460,Table1[Leaving Date]&lt;42826),IF(Table1[Date of Last Assessment]="",Table1[Motivation and Taking Responsibility],Table1[Motivation and Taking Responsibility2]),""))</f>
        <v/>
      </c>
      <c r="GF523" s="44" t="str">
        <f>IF(Table1[Leaving Date]="","",IF(AND(Table1[Leaving Date]&gt;42460,Table1[Leaving Date]&lt;42826),IF(Table1[Date of Last Assessment]="",Table1[Self-Care and Living Skills],Table1[Self-Care and Living Skills2]),""))</f>
        <v/>
      </c>
      <c r="GG523" s="44" t="str">
        <f>IF(Table1[Leaving Date]="","",IF(AND(Table1[Leaving Date]&gt;42460,Table1[Leaving Date]&lt;42826),IF(Table1[Date of Last Assessment]="",Table1[Managing Money and Personal Administration],Table1[Managing Money and Personal Administration2]),""))</f>
        <v/>
      </c>
      <c r="GH523" s="44" t="str">
        <f>IF(Table1[Leaving Date]="","",IF(AND(Table1[Leaving Date]&gt;42460,Table1[Leaving Date]&lt;42826),IF(Table1[Date of Last Assessment]="",Table1[Social Networks and Relationships],Table1[Social Networks and Relationships2]),""))</f>
        <v/>
      </c>
      <c r="GI523" s="44" t="str">
        <f>IF(Table1[Leaving Date]="","",IF(AND(Table1[Leaving Date]&gt;42460,Table1[Leaving Date]&lt;42826),IF(Table1[Date of Last Assessment]="",Table1[Drug and Alcohol Misuse],Table1[Drug and Alcohol Misuse2]),""))</f>
        <v/>
      </c>
      <c r="GJ523" s="44" t="str">
        <f>IF(Table1[Leaving Date]="","",IF(AND(Table1[Leaving Date]&gt;42460,Table1[Leaving Date]&lt;42826),IF(Table1[Date of Last Assessment]="",Table1[Physical Health],Table1[Physical Health2]),""))</f>
        <v/>
      </c>
      <c r="GK523" s="44" t="str">
        <f>IF(Table1[Leaving Date]="","",IF(AND(Table1[Leaving Date]&gt;42460,Table1[Leaving Date]&lt;42826),IF(Table1[Date of Last Assessment]="",Table1[Emotional and Mental Health],Table1[Emotional and Mental Health2]),""))</f>
        <v/>
      </c>
      <c r="GL523" s="44" t="str">
        <f>IF(Table1[Leaving Date]="","",IF(AND(Table1[Leaving Date]&gt;42460,Table1[Leaving Date]&lt;42826),IF(Table1[Date of Last Assessment]="",Table1[Meaningful Use of Time],Table1[Meaningful Use of Time2]),""))</f>
        <v/>
      </c>
      <c r="GM523" s="44" t="str">
        <f>IF(Table1[Leaving Date]="","",IF(AND(Table1[Leaving Date]&gt;42460,Table1[Leaving Date]&lt;42826),IF(Table1[Date of Last Assessment]="",Table1[Managing Tenancy and Accommodation],Table1[Managing Tenancy and Accommodation2]),""))</f>
        <v/>
      </c>
      <c r="GN523" s="44" t="str">
        <f>IF(Table1[Leaving Date]="","",IF(AND(Table1[Leaving Date]&gt;42460,Table1[Leaving Date]&lt;42826),IF(Table1[Date of Last Assessment]="",Table1[Offending],Table1[Offending2]),""))</f>
        <v/>
      </c>
    </row>
    <row r="524" spans="2:196" ht="20.100000000000001" customHeight="1" x14ac:dyDescent="0.2">
      <c r="B524" s="86">
        <f>+'Service Data'!$C$5:$C$5</f>
        <v>0</v>
      </c>
      <c r="C524" s="86"/>
      <c r="D524" s="86"/>
      <c r="E524" s="86"/>
      <c r="F524" s="86"/>
      <c r="G524" s="86"/>
      <c r="H524" s="6"/>
      <c r="I524" s="99" t="str">
        <f ca="1">IF(Table1[[#This Row],[Date of Birth]]="","",SUM(TODAY()-Table1[[#This Row],[Date of Birth]])/365)</f>
        <v/>
      </c>
      <c r="L524" s="86"/>
      <c r="M524" s="77"/>
      <c r="N524" s="86"/>
      <c r="O524" s="86"/>
      <c r="P524" s="91"/>
      <c r="Q524" s="86"/>
      <c r="R524" s="77"/>
      <c r="S524" s="77"/>
      <c r="T524" s="68"/>
      <c r="U524" s="68"/>
      <c r="V524" s="67"/>
      <c r="W524" s="67"/>
      <c r="X524" s="67"/>
      <c r="Y524" s="67"/>
      <c r="Z524" s="67"/>
      <c r="AA524" s="67"/>
      <c r="AB524" s="67"/>
      <c r="AC524" s="67"/>
      <c r="AD524" s="67"/>
      <c r="AE524" s="67"/>
      <c r="AF524" s="67"/>
      <c r="AG524" s="67"/>
      <c r="AH524" s="67"/>
      <c r="AI524" s="67"/>
      <c r="AJ524" s="67"/>
      <c r="AK524" s="67"/>
      <c r="AL524" s="67"/>
      <c r="AM524" s="67"/>
      <c r="AN524" s="77"/>
      <c r="AO524" s="76"/>
      <c r="AP524" s="77"/>
      <c r="AQ524" s="76"/>
      <c r="AR524" s="76"/>
      <c r="AS524" s="76"/>
      <c r="AT524" s="76"/>
      <c r="AU524" s="76"/>
      <c r="AV524" s="77"/>
      <c r="AW524" s="76"/>
      <c r="AX524" s="77"/>
      <c r="AY524" s="76"/>
      <c r="AZ524" s="76"/>
      <c r="BA524" s="76"/>
      <c r="BB524" s="76"/>
      <c r="BC524" s="76"/>
      <c r="BD524" s="77"/>
      <c r="BE524" s="76"/>
      <c r="BF524" s="77"/>
      <c r="BG524" s="76"/>
      <c r="BH524" s="76"/>
      <c r="BI524" s="76"/>
      <c r="BJ524" s="76"/>
      <c r="BK524" s="76"/>
      <c r="BL524" s="77"/>
      <c r="BM524" s="76"/>
      <c r="BN524" s="77"/>
      <c r="BO524" s="76"/>
      <c r="BP524" s="76"/>
      <c r="BQ524" s="76"/>
      <c r="BR524" s="76"/>
      <c r="BS524" s="76"/>
      <c r="BT524" s="77"/>
      <c r="BU524" s="76"/>
      <c r="BV524" s="77"/>
      <c r="BW524" s="76"/>
      <c r="BX524" s="76"/>
      <c r="BY524" s="76"/>
      <c r="BZ524" s="76"/>
      <c r="CA524" s="76"/>
      <c r="CB524" s="77"/>
      <c r="CC524" s="76"/>
      <c r="CD524" s="77"/>
      <c r="CE524" s="76"/>
      <c r="CF524" s="76"/>
      <c r="CG524" s="76"/>
      <c r="CH524" s="76"/>
      <c r="CI524" s="76"/>
      <c r="CJ524" s="77"/>
      <c r="CK524" s="76"/>
      <c r="CL524" s="77"/>
      <c r="CM524" s="76"/>
      <c r="CN524" s="76"/>
      <c r="CO524" s="76"/>
      <c r="CP524" s="76"/>
      <c r="CQ524" s="76"/>
      <c r="CR524" s="78" t="str">
        <f t="shared" si="143"/>
        <v/>
      </c>
      <c r="CS524" s="79" t="str">
        <f t="shared" si="144"/>
        <v/>
      </c>
      <c r="CT524" s="79" t="str">
        <f t="shared" si="145"/>
        <v/>
      </c>
      <c r="CU524" s="79" t="str">
        <f t="shared" si="146"/>
        <v/>
      </c>
      <c r="CV524" s="79" t="str">
        <f t="shared" si="147"/>
        <v/>
      </c>
      <c r="CW524" s="79" t="str">
        <f t="shared" si="148"/>
        <v/>
      </c>
      <c r="CX524" s="79" t="str">
        <f t="shared" si="149"/>
        <v/>
      </c>
      <c r="CY524" s="79" t="str">
        <f t="shared" si="150"/>
        <v/>
      </c>
      <c r="CZ524" s="79" t="str">
        <f t="shared" si="151"/>
        <v/>
      </c>
      <c r="DA524" s="79" t="str">
        <f t="shared" si="152"/>
        <v/>
      </c>
      <c r="DB524" s="79" t="str">
        <f t="shared" si="153"/>
        <v/>
      </c>
      <c r="DC524" s="79" t="str">
        <f t="shared" si="154"/>
        <v/>
      </c>
      <c r="DD524" s="79" t="str">
        <f t="shared" si="155"/>
        <v/>
      </c>
      <c r="DE524" s="79" t="str">
        <f t="shared" si="156"/>
        <v/>
      </c>
      <c r="DF524" s="79" t="str">
        <f t="shared" si="157"/>
        <v/>
      </c>
      <c r="DG524" s="79" t="str">
        <f t="shared" si="158"/>
        <v/>
      </c>
      <c r="DH524" s="76"/>
      <c r="DI524" s="78"/>
      <c r="DJ524" s="76"/>
      <c r="DK524" s="77"/>
      <c r="DL524" s="77"/>
      <c r="DM524" s="77"/>
      <c r="DN524" s="80"/>
      <c r="DO524" s="80"/>
      <c r="DP524" s="92" t="str">
        <f>IF(Table1[Start Date]="","",IF(Table1[Start Date]&gt;42185,"",IF(AND(Table1[Leaving Date]&gt;1,Table1[Leaving Date]&lt;42095),"",1)))</f>
        <v/>
      </c>
      <c r="DQ524" s="92" t="str">
        <f>IF(Table1[Start Date]="","",IF(Table1[Start Date]&gt;42277,"",IF(AND(Table1[Leaving Date]&gt;1,Table1[Leaving Date]&lt;42186),"",1)))</f>
        <v/>
      </c>
      <c r="DR524" s="92" t="str">
        <f>IF(Table1[Start Date]="","",IF(Table1[Start Date]&gt;42369,"",IF(AND(Table1[Leaving Date]&gt;1,Table1[Leaving Date]&lt;42278),"",1)))</f>
        <v/>
      </c>
      <c r="DS524" s="92" t="str">
        <f>IF(Table1[Start Date]="","",IF(Table1[Start Date]&gt;42460,"",IF(AND(Table1[Leaving Date]&gt;1,Table1[Leaving Date]&lt;42370),"",1)))</f>
        <v/>
      </c>
      <c r="DT524" s="92" t="str">
        <f>IF(Table1[Start Date]="","",IF(Table1[Start Date]&gt;42551,"",IF(AND(Table1[Leaving Date]&gt;1,Table1[Leaving Date]&lt;42461),"",1)))</f>
        <v/>
      </c>
      <c r="DU524" s="92" t="str">
        <f>IF(Table1[Start Date]="","",IF(Table1[Start Date]&gt;42643,"",IF(AND(Table1[Leaving Date]&gt;1,Table1[Leaving Date]&lt;42552),"",1)))</f>
        <v/>
      </c>
      <c r="DV524" s="92" t="str">
        <f>IF(Table1[Start Date]="","",IF(Table1[Start Date]&gt;42735,"",IF(AND(Table1[Leaving Date]&gt;1,Table1[Leaving Date]&lt;42644),"",1)))</f>
        <v/>
      </c>
      <c r="DW524" s="92" t="str">
        <f>IF(Table1[Start Date]="","",IF(Table1[Start Date]&gt;42825,"",IF(AND(Table1[Leaving Date]&gt;1,Table1[Leaving Date]&lt;42736),"",1)))</f>
        <v/>
      </c>
      <c r="DX524"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524" s="44" t="e">
        <f>VLOOKUP(Table1[Referral Source],Lists!$G$2:$H$20,2,FALSE)</f>
        <v>#N/A</v>
      </c>
      <c r="DZ524" s="93" t="e">
        <f>SUM(Table1[Data Referral Quarter]+Table1[Data Referral Source])</f>
        <v>#N/A</v>
      </c>
      <c r="EA524" s="44" t="b">
        <f>IF(Table1[Referral Decision]="Accepted",100,IF(Table1[Referral Decision]="Rejected by Provider",200,IF(Table1[Referral Decision]="Rejected by Applicant",300)))</f>
        <v>0</v>
      </c>
      <c r="EB524" s="44">
        <f>SUM(Table1[Data Referral Quarter]+Table1[Data Referral Decision])</f>
        <v>0</v>
      </c>
      <c r="EC524" s="44" t="b">
        <f>IF(Table1[Start Date]&gt;42735,8000,IF(Table1[Start Date]&gt;42643,7000,IF(Table1[Start Date]&gt;42551,6000,IF(Table1[Start Date]&gt;42460,5000,IF(Table1[Start Date]&gt;42369,4000,IF(Table1[Start Date]&gt;42277,3000,IF(Table1[Start Date]&gt;42185,2000,IF(Table1[Start Date]&gt;42094,1000))))))))</f>
        <v>0</v>
      </c>
      <c r="ED524" s="44" t="str">
        <f>IF(Table1[Start Date]="","",IF(Table1[Current Local Authority]="Swindon",1,"2"))</f>
        <v/>
      </c>
      <c r="EE524" s="44" t="e">
        <f>SUM(Table1[Data Start Date]+Table1[Data Local Authority])</f>
        <v>#VALUE!</v>
      </c>
      <c r="EF524" s="44">
        <f>IF(Table1[Registered with GP]="Yes",1,0)</f>
        <v>0</v>
      </c>
      <c r="EG524" s="44">
        <f>SUM(Table1[Data Start Date]+Table1[Data GP Start])</f>
        <v>0</v>
      </c>
      <c r="EH524" s="44" t="str">
        <f>IF(Table1[EET]="NEET",1,IF(Table1[EET]="Education",2,IF(Table1[EET]="Employment",2,IF(Table1[EET]="Training",2,IF(Table1[EET]="Retired",3,"")))))</f>
        <v/>
      </c>
      <c r="EI524" s="44" t="e">
        <f>Table1[Data Start Date]+Table1[Data EET Start]</f>
        <v>#VALUE!</v>
      </c>
      <c r="EJ524" s="44" t="b">
        <f>IF(Table1[Leaving Date]&gt;42735,8000,IF(Table1[Leaving Date]&gt;42643,7000,IF(Table1[Leaving Date]&gt;42551,6000,IF(Table1[Leaving Date]&gt;42460,5000,IF(Table1[Leaving Date]&gt;42369,4000,IF(Table1[Leaving Date]&gt;42277,3000,IF(Table1[Leaving Date]&gt;42185,2000,IF(Table1[Leaving Date]&gt;42094,1000))))))))</f>
        <v>0</v>
      </c>
      <c r="EK524" s="44" t="e">
        <f>VLOOKUP(Table1[Reason for Leaving],Lists!$T$2:$U$15,2,FALSE)</f>
        <v>#N/A</v>
      </c>
      <c r="EL524" s="44" t="e">
        <f>SUM(Table1[Data Leavers Date]+Table1[Data Move On])</f>
        <v>#N/A</v>
      </c>
      <c r="EM524" s="44" t="b">
        <f>IF(Table1[Registered with GP2]="Yes",1,IF(Table1[Registered with GP2]="No",0,IF(Table1[Registered with GP]="Yes",1,IF(Table1[Registered with GP]="No",0))))</f>
        <v>0</v>
      </c>
      <c r="EN524" s="44">
        <f>SUM(Table1[Data Leavers Date]+Table1[Data GP End])</f>
        <v>0</v>
      </c>
      <c r="EO524" s="44" t="str">
        <f>IF(Table1[EET2]="NEET",1,IF(Table1[EET2]="Employment",2,IF(Table1[EET2]="Education",2,IF(Table1[EET2]="Training",2,IF(Table1[EET2]="Retired",3,IF(Table1[EET]="NEET",1,IF(Table1[EET]="Employment",2,IF(Table1[EET]="Education",2,IF(Table1[EET]="Training",2,IF(Table1[EET]="Retired",3,""))))))))))</f>
        <v/>
      </c>
      <c r="EP524" s="44" t="e">
        <f>+Table1[[#This Row],[Data Leavers Date]]+Table1[[#This Row],[Data EET End]]</f>
        <v>#VALUE!</v>
      </c>
      <c r="EQ524" s="44">
        <f>IF(Table1[Exit Form Received]="Yes",1,0)</f>
        <v>0</v>
      </c>
      <c r="ER524" s="44">
        <f>+Table1[[#This Row],[Data Leavers Date]]+Table1[[#This Row],[Data Exit Forms]]</f>
        <v>0</v>
      </c>
      <c r="ES524" s="44" t="str">
        <f>IF(Table1[Data Leavers Date]=1000,SUM(Table1[Leaving Date]-Table1[Start Date]),"")</f>
        <v/>
      </c>
      <c r="ET524" s="44" t="str">
        <f>IF(Table1[Data Leavers Date]=2000,SUM(Table1[Leaving Date]-Table1[Start Date]),"")</f>
        <v/>
      </c>
      <c r="EU524" s="44" t="str">
        <f>IF(Table1[Data Leavers Date]=3000,SUM(Table1[Leaving Date]-Table1[Start Date]),"")</f>
        <v/>
      </c>
      <c r="EV524" s="44" t="str">
        <f>IF(Table1[Data Leavers Date]=4000,SUM(Table1[Leaving Date]-Table1[Start Date]),"")</f>
        <v/>
      </c>
      <c r="EW524" s="44" t="str">
        <f>IF(Table1[Data Leavers Date]=5000,SUM(Table1[Leaving Date]-Table1[Start Date]),"")</f>
        <v/>
      </c>
      <c r="EX524" s="44" t="str">
        <f>IF(Table1[Data Leavers Date]=6000,SUM(Table1[Leaving Date]-Table1[Start Date]),"")</f>
        <v/>
      </c>
      <c r="EY524" s="44" t="str">
        <f>IF(Table1[Data Leavers Date]=7000,SUM(Table1[Leaving Date]-Table1[Start Date]),"")</f>
        <v/>
      </c>
      <c r="EZ524" s="44" t="str">
        <f>IF(Table1[Data Leavers Date]=8000,SUM(Table1[Leaving Date]-Table1[Start Date]),"")</f>
        <v/>
      </c>
      <c r="FA524" s="44" t="str">
        <f>IF(Table1[Date of Initial Assessment]="","",IF(AND(Table1[Start Date]&gt;42094,Table1[Start Date]&lt;42461),Table1[Motivation and Taking Responsibility],""))</f>
        <v/>
      </c>
      <c r="FB524" s="44" t="str">
        <f>IF(Table1[Date of Initial Assessment]="","",IF(AND(Table1[Start Date]&gt;42094,Table1[Start Date]&lt;42461),Table1[Self-Care and Living Skills],""))</f>
        <v/>
      </c>
      <c r="FC524" s="44" t="str">
        <f>IF(Table1[Date of Initial Assessment]="","",IF(AND(Table1[Start Date]&gt;42094,Table1[Start Date]&lt;42461),Table1[Managing Money and Personal Administration],""))</f>
        <v/>
      </c>
      <c r="FD524" s="44" t="str">
        <f>IF(Table1[Date of Initial Assessment]="","",IF(AND(Table1[Start Date]&gt;42094,Table1[Start Date]&lt;42461),Table1[Social Networks and Relationships],""))</f>
        <v/>
      </c>
      <c r="FE524" s="44" t="str">
        <f>IF(Table1[Date of Initial Assessment]="","",IF(AND(Table1[Start Date]&gt;42094,Table1[Start Date]&lt;42461),Table1[Drug and Alcohol Misuse],""))</f>
        <v/>
      </c>
      <c r="FF524" s="44" t="str">
        <f>IF(Table1[Date of Initial Assessment]="","",IF(AND(Table1[Start Date]&gt;42094,Table1[Start Date]&lt;42461),Table1[Physical Health],""))</f>
        <v/>
      </c>
      <c r="FG524" s="44" t="str">
        <f>IF(Table1[Date of Initial Assessment]="","",IF(AND(Table1[Start Date]&gt;42094,Table1[Start Date]&lt;42461),Table1[Emotional and Mental Health],""))</f>
        <v/>
      </c>
      <c r="FH524" s="44" t="str">
        <f>IF(Table1[Date of Initial Assessment]="","",IF(AND(Table1[Start Date]&gt;42094,Table1[Start Date]&lt;42461),Table1[Meaningful Use of Time],""))</f>
        <v/>
      </c>
      <c r="FI524" s="44" t="str">
        <f>IF(Table1[Date of Initial Assessment]="","",IF(AND(Table1[Start Date]&gt;42094,Table1[Start Date]&lt;42461),Table1[Managing Tenancy and Accommodation],""))</f>
        <v/>
      </c>
      <c r="FJ524" s="44" t="str">
        <f>IF(Table1[Date of Initial Assessment]="","",IF(AND(Table1[Start Date]&gt;42094,Table1[Start Date]&lt;42461),Table1[Offending],""))</f>
        <v/>
      </c>
      <c r="FK524" s="44" t="str">
        <f>IF(Table1[Leaving Date]="","",IF(Table1[Date of Initial Assessment]="","",IF(AND(Table1[Leaving Date]&gt;42094,Table1[Leaving Date]&lt;42461),IF(Table1[Date of Last Assessment]="",Table1[Motivation and Taking Responsibility],Table1[Motivation and Taking Responsibility2]),"")))</f>
        <v/>
      </c>
      <c r="FL524" s="44" t="str">
        <f>IF(Table1[Leaving Date]="","",IF(Table1[Date of Initial Assessment]="","",IF(AND(Table1[Leaving Date]&gt;42094,Table1[Leaving Date]&lt;42461),IF(Table1[Date of Last Assessment]="",Table1[Self-Care and Living Skills],Table1[Self-Care and Living Skills2]),"")))</f>
        <v/>
      </c>
      <c r="FM524" s="44" t="str">
        <f>IF(Table1[Leaving Date]="","",IF(Table1[Date of Initial Assessment]="","",IF(AND(Table1[Leaving Date]&gt;42094,Table1[Leaving Date]&lt;42461),IF(Table1[Date of Last Assessment]="",Table1[Managing Money and Personal Administration],Table1[Managing Money and Personal Administration2]),"")))</f>
        <v/>
      </c>
      <c r="FN524" s="44" t="str">
        <f>IF(Table1[Leaving Date]="","",IF(Table1[Date of Initial Assessment]="","",IF(AND(Table1[Leaving Date]&gt;42094,Table1[Leaving Date]&lt;42461),IF(Table1[Date of Last Assessment]="",Table1[Social Networks and Relationships],Table1[Social Networks and Relationships2]),"")))</f>
        <v/>
      </c>
      <c r="FO524" s="44" t="str">
        <f>IF(Table1[Leaving Date]="","",IF(Table1[Date of Initial Assessment]="","",IF(AND(Table1[Leaving Date]&gt;42094,Table1[Leaving Date]&lt;42461),IF(Table1[Date of Last Assessment]="",Table1[Drug and Alcohol Misuse],Table1[Drug and Alcohol Misuse2]),"")))</f>
        <v/>
      </c>
      <c r="FP524" s="44" t="str">
        <f>IF(Table1[Leaving Date]="","",IF(Table1[Date of Initial Assessment]="","",IF(AND(Table1[Leaving Date]&gt;42094,Table1[Leaving Date]&lt;42461),IF(Table1[Date of Last Assessment]="",Table1[Physical Health],Table1[Physical Health2]),"")))</f>
        <v/>
      </c>
      <c r="FQ524" s="44" t="str">
        <f>IF(Table1[Leaving Date]="","",IF(Table1[Date of Initial Assessment]="","",IF(AND(Table1[Leaving Date]&gt;42094,Table1[Leaving Date]&lt;42461),IF(Table1[Date of Last Assessment]="",Table1[Emotional and Mental Health],Table1[Emotional and Mental Health2]),"")))</f>
        <v/>
      </c>
      <c r="FR524" s="44" t="str">
        <f>IF(Table1[Leaving Date]="","",IF(Table1[Date of Initial Assessment]="","",IF(AND(Table1[Leaving Date]&gt;42094,Table1[Leaving Date]&lt;42461),IF(Table1[Date of Last Assessment]="",Table1[Meaningful Use of Time],Table1[Meaningful Use of Time2]),"")))</f>
        <v/>
      </c>
      <c r="FS524" s="44" t="str">
        <f>IF(Table1[Leaving Date]="","",IF(Table1[Date of Initial Assessment]="","",IF(AND(Table1[Leaving Date]&gt;42094,Table1[Leaving Date]&lt;42461),IF(Table1[Date of Last Assessment]="",Table1[Managing Tenancy and Accommodation],Table1[Managing Tenancy and Accommodation2]),"")))</f>
        <v/>
      </c>
      <c r="FT524" s="44" t="str">
        <f>IF(Table1[Leaving Date]="","",IF(Table1[Date of Initial Assessment]="","",IF(AND(Table1[Leaving Date]&gt;42094,Table1[Leaving Date]&lt;42461),IF(Table1[Date of Last Assessment]="",Table1[Offending],Table1[Offending2]),"")))</f>
        <v/>
      </c>
      <c r="FU524" s="44" t="str">
        <f>IF(Table1[Date of Initial Assessment]="","",IF(AND(Table1[Start Date]&gt;42460,Table1[Start Date]&lt;42826),Table1[Motivation and Taking Responsibility],""))</f>
        <v/>
      </c>
      <c r="FV524" s="44" t="str">
        <f>IF(Table1[Date of Initial Assessment]="","",IF(AND(Table1[Start Date]&gt;42460,Table1[Start Date]&lt;42826),Table1[Self-Care and Living Skills],""))</f>
        <v/>
      </c>
      <c r="FW524" s="44" t="str">
        <f>IF(Table1[Date of Initial Assessment]="","",IF(AND(Table1[Start Date]&gt;42460,Table1[Start Date]&lt;42826),Table1[Managing Money and Personal Administration],""))</f>
        <v/>
      </c>
      <c r="FX524" s="44" t="str">
        <f>IF(Table1[Date of Initial Assessment]="","",IF(AND(Table1[Start Date]&gt;42460,Table1[Start Date]&lt;42826),Table1[Social Networks and Relationships],""))</f>
        <v/>
      </c>
      <c r="FY524" s="44" t="str">
        <f>IF(Table1[Date of Initial Assessment]="","",IF(AND(Table1[Start Date]&gt;42460,Table1[Start Date]&lt;42826),Table1[Drug and Alcohol Misuse],""))</f>
        <v/>
      </c>
      <c r="FZ524" s="44" t="str">
        <f>IF(Table1[Date of Initial Assessment]="","",IF(AND(Table1[Start Date]&gt;42460,Table1[Start Date]&lt;42826),Table1[Physical Health],""))</f>
        <v/>
      </c>
      <c r="GA524" s="44" t="str">
        <f>IF(Table1[Date of Initial Assessment]="","",IF(AND(Table1[Start Date]&gt;42460,Table1[Start Date]&lt;42826),Table1[Emotional and Mental Health],""))</f>
        <v/>
      </c>
      <c r="GB524" s="44" t="str">
        <f>IF(Table1[Date of Initial Assessment]="","",IF(AND(Table1[Start Date]&gt;42460,Table1[Start Date]&lt;42826),Table1[Meaningful Use of Time],""))</f>
        <v/>
      </c>
      <c r="GC524" s="44" t="str">
        <f>IF(Table1[Date of Initial Assessment]="","",IF(AND(Table1[Start Date]&gt;42460,Table1[Start Date]&lt;42826),Table1[Managing Tenancy and Accommodation],""))</f>
        <v/>
      </c>
      <c r="GD524" s="44" t="str">
        <f>IF(Table1[Date of Initial Assessment]="","",IF(AND(Table1[Start Date]&gt;42460,Table1[Start Date]&lt;42826),Table1[Offending],""))</f>
        <v/>
      </c>
      <c r="GE524" s="44" t="str">
        <f>IF(Table1[Leaving Date]="","",IF(AND(Table1[Leaving Date]&gt;42460,Table1[Leaving Date]&lt;42826),IF(Table1[Date of Last Assessment]="",Table1[Motivation and Taking Responsibility],Table1[Motivation and Taking Responsibility2]),""))</f>
        <v/>
      </c>
      <c r="GF524" s="44" t="str">
        <f>IF(Table1[Leaving Date]="","",IF(AND(Table1[Leaving Date]&gt;42460,Table1[Leaving Date]&lt;42826),IF(Table1[Date of Last Assessment]="",Table1[Self-Care and Living Skills],Table1[Self-Care and Living Skills2]),""))</f>
        <v/>
      </c>
      <c r="GG524" s="44" t="str">
        <f>IF(Table1[Leaving Date]="","",IF(AND(Table1[Leaving Date]&gt;42460,Table1[Leaving Date]&lt;42826),IF(Table1[Date of Last Assessment]="",Table1[Managing Money and Personal Administration],Table1[Managing Money and Personal Administration2]),""))</f>
        <v/>
      </c>
      <c r="GH524" s="44" t="str">
        <f>IF(Table1[Leaving Date]="","",IF(AND(Table1[Leaving Date]&gt;42460,Table1[Leaving Date]&lt;42826),IF(Table1[Date of Last Assessment]="",Table1[Social Networks and Relationships],Table1[Social Networks and Relationships2]),""))</f>
        <v/>
      </c>
      <c r="GI524" s="44" t="str">
        <f>IF(Table1[Leaving Date]="","",IF(AND(Table1[Leaving Date]&gt;42460,Table1[Leaving Date]&lt;42826),IF(Table1[Date of Last Assessment]="",Table1[Drug and Alcohol Misuse],Table1[Drug and Alcohol Misuse2]),""))</f>
        <v/>
      </c>
      <c r="GJ524" s="44" t="str">
        <f>IF(Table1[Leaving Date]="","",IF(AND(Table1[Leaving Date]&gt;42460,Table1[Leaving Date]&lt;42826),IF(Table1[Date of Last Assessment]="",Table1[Physical Health],Table1[Physical Health2]),""))</f>
        <v/>
      </c>
      <c r="GK524" s="44" t="str">
        <f>IF(Table1[Leaving Date]="","",IF(AND(Table1[Leaving Date]&gt;42460,Table1[Leaving Date]&lt;42826),IF(Table1[Date of Last Assessment]="",Table1[Emotional and Mental Health],Table1[Emotional and Mental Health2]),""))</f>
        <v/>
      </c>
      <c r="GL524" s="44" t="str">
        <f>IF(Table1[Leaving Date]="","",IF(AND(Table1[Leaving Date]&gt;42460,Table1[Leaving Date]&lt;42826),IF(Table1[Date of Last Assessment]="",Table1[Meaningful Use of Time],Table1[Meaningful Use of Time2]),""))</f>
        <v/>
      </c>
      <c r="GM524" s="44" t="str">
        <f>IF(Table1[Leaving Date]="","",IF(AND(Table1[Leaving Date]&gt;42460,Table1[Leaving Date]&lt;42826),IF(Table1[Date of Last Assessment]="",Table1[Managing Tenancy and Accommodation],Table1[Managing Tenancy and Accommodation2]),""))</f>
        <v/>
      </c>
      <c r="GN524" s="44" t="str">
        <f>IF(Table1[Leaving Date]="","",IF(AND(Table1[Leaving Date]&gt;42460,Table1[Leaving Date]&lt;42826),IF(Table1[Date of Last Assessment]="",Table1[Offending],Table1[Offending2]),""))</f>
        <v/>
      </c>
    </row>
    <row r="525" spans="2:196" ht="20.100000000000001" customHeight="1" x14ac:dyDescent="0.2">
      <c r="B525" s="86">
        <f>+'Service Data'!$C$5:$C$5</f>
        <v>0</v>
      </c>
      <c r="C525" s="86"/>
      <c r="D525" s="86"/>
      <c r="E525" s="86"/>
      <c r="F525" s="86"/>
      <c r="G525" s="86"/>
      <c r="H525" s="6"/>
      <c r="I525" s="99" t="str">
        <f ca="1">IF(Table1[[#This Row],[Date of Birth]]="","",SUM(TODAY()-Table1[[#This Row],[Date of Birth]])/365)</f>
        <v/>
      </c>
      <c r="L525" s="86"/>
      <c r="M525" s="77"/>
      <c r="N525" s="86"/>
      <c r="O525" s="86"/>
      <c r="P525" s="91"/>
      <c r="Q525" s="86"/>
      <c r="R525" s="77"/>
      <c r="S525" s="77"/>
      <c r="T525" s="68"/>
      <c r="U525" s="68"/>
      <c r="V525" s="67"/>
      <c r="W525" s="67"/>
      <c r="X525" s="67"/>
      <c r="Y525" s="67"/>
      <c r="Z525" s="67"/>
      <c r="AA525" s="67"/>
      <c r="AB525" s="67"/>
      <c r="AC525" s="67"/>
      <c r="AD525" s="67"/>
      <c r="AE525" s="67"/>
      <c r="AF525" s="67"/>
      <c r="AG525" s="67"/>
      <c r="AH525" s="67"/>
      <c r="AI525" s="67"/>
      <c r="AJ525" s="67"/>
      <c r="AK525" s="67"/>
      <c r="AL525" s="67"/>
      <c r="AM525" s="67"/>
      <c r="AN525" s="77"/>
      <c r="AO525" s="76"/>
      <c r="AP525" s="77"/>
      <c r="AQ525" s="76"/>
      <c r="AR525" s="76"/>
      <c r="AS525" s="76"/>
      <c r="AT525" s="76"/>
      <c r="AU525" s="76"/>
      <c r="AV525" s="77"/>
      <c r="AW525" s="76"/>
      <c r="AX525" s="77"/>
      <c r="AY525" s="76"/>
      <c r="AZ525" s="76"/>
      <c r="BA525" s="76"/>
      <c r="BB525" s="76"/>
      <c r="BC525" s="76"/>
      <c r="BD525" s="77"/>
      <c r="BE525" s="76"/>
      <c r="BF525" s="77"/>
      <c r="BG525" s="76"/>
      <c r="BH525" s="76"/>
      <c r="BI525" s="76"/>
      <c r="BJ525" s="76"/>
      <c r="BK525" s="76"/>
      <c r="BL525" s="77"/>
      <c r="BM525" s="76"/>
      <c r="BN525" s="77"/>
      <c r="BO525" s="76"/>
      <c r="BP525" s="76"/>
      <c r="BQ525" s="76"/>
      <c r="BR525" s="76"/>
      <c r="BS525" s="76"/>
      <c r="BT525" s="77"/>
      <c r="BU525" s="76"/>
      <c r="BV525" s="77"/>
      <c r="BW525" s="76"/>
      <c r="BX525" s="76"/>
      <c r="BY525" s="76"/>
      <c r="BZ525" s="76"/>
      <c r="CA525" s="76"/>
      <c r="CB525" s="77"/>
      <c r="CC525" s="76"/>
      <c r="CD525" s="77"/>
      <c r="CE525" s="76"/>
      <c r="CF525" s="76"/>
      <c r="CG525" s="76"/>
      <c r="CH525" s="76"/>
      <c r="CI525" s="76"/>
      <c r="CJ525" s="77"/>
      <c r="CK525" s="76"/>
      <c r="CL525" s="77"/>
      <c r="CM525" s="76"/>
      <c r="CN525" s="76"/>
      <c r="CO525" s="76"/>
      <c r="CP525" s="76"/>
      <c r="CQ525" s="76"/>
      <c r="CR525" s="78" t="str">
        <f t="shared" si="143"/>
        <v/>
      </c>
      <c r="CS525" s="79" t="str">
        <f t="shared" si="144"/>
        <v/>
      </c>
      <c r="CT525" s="79" t="str">
        <f t="shared" si="145"/>
        <v/>
      </c>
      <c r="CU525" s="79" t="str">
        <f t="shared" si="146"/>
        <v/>
      </c>
      <c r="CV525" s="79" t="str">
        <f t="shared" si="147"/>
        <v/>
      </c>
      <c r="CW525" s="79" t="str">
        <f t="shared" si="148"/>
        <v/>
      </c>
      <c r="CX525" s="79" t="str">
        <f t="shared" si="149"/>
        <v/>
      </c>
      <c r="CY525" s="79" t="str">
        <f t="shared" si="150"/>
        <v/>
      </c>
      <c r="CZ525" s="79" t="str">
        <f t="shared" si="151"/>
        <v/>
      </c>
      <c r="DA525" s="79" t="str">
        <f t="shared" si="152"/>
        <v/>
      </c>
      <c r="DB525" s="79" t="str">
        <f t="shared" si="153"/>
        <v/>
      </c>
      <c r="DC525" s="79" t="str">
        <f t="shared" si="154"/>
        <v/>
      </c>
      <c r="DD525" s="79" t="str">
        <f t="shared" si="155"/>
        <v/>
      </c>
      <c r="DE525" s="79" t="str">
        <f t="shared" si="156"/>
        <v/>
      </c>
      <c r="DF525" s="79" t="str">
        <f t="shared" si="157"/>
        <v/>
      </c>
      <c r="DG525" s="79" t="str">
        <f t="shared" si="158"/>
        <v/>
      </c>
      <c r="DH525" s="76"/>
      <c r="DI525" s="78"/>
      <c r="DJ525" s="76"/>
      <c r="DK525" s="77"/>
      <c r="DL525" s="77"/>
      <c r="DM525" s="77"/>
      <c r="DN525" s="80"/>
      <c r="DO525" s="80"/>
      <c r="DP525" s="92" t="str">
        <f>IF(Table1[Start Date]="","",IF(Table1[Start Date]&gt;42185,"",IF(AND(Table1[Leaving Date]&gt;1,Table1[Leaving Date]&lt;42095),"",1)))</f>
        <v/>
      </c>
      <c r="DQ525" s="92" t="str">
        <f>IF(Table1[Start Date]="","",IF(Table1[Start Date]&gt;42277,"",IF(AND(Table1[Leaving Date]&gt;1,Table1[Leaving Date]&lt;42186),"",1)))</f>
        <v/>
      </c>
      <c r="DR525" s="92" t="str">
        <f>IF(Table1[Start Date]="","",IF(Table1[Start Date]&gt;42369,"",IF(AND(Table1[Leaving Date]&gt;1,Table1[Leaving Date]&lt;42278),"",1)))</f>
        <v/>
      </c>
      <c r="DS525" s="92" t="str">
        <f>IF(Table1[Start Date]="","",IF(Table1[Start Date]&gt;42460,"",IF(AND(Table1[Leaving Date]&gt;1,Table1[Leaving Date]&lt;42370),"",1)))</f>
        <v/>
      </c>
      <c r="DT525" s="92" t="str">
        <f>IF(Table1[Start Date]="","",IF(Table1[Start Date]&gt;42551,"",IF(AND(Table1[Leaving Date]&gt;1,Table1[Leaving Date]&lt;42461),"",1)))</f>
        <v/>
      </c>
      <c r="DU525" s="92" t="str">
        <f>IF(Table1[Start Date]="","",IF(Table1[Start Date]&gt;42643,"",IF(AND(Table1[Leaving Date]&gt;1,Table1[Leaving Date]&lt;42552),"",1)))</f>
        <v/>
      </c>
      <c r="DV525" s="92" t="str">
        <f>IF(Table1[Start Date]="","",IF(Table1[Start Date]&gt;42735,"",IF(AND(Table1[Leaving Date]&gt;1,Table1[Leaving Date]&lt;42644),"",1)))</f>
        <v/>
      </c>
      <c r="DW525" s="92" t="str">
        <f>IF(Table1[Start Date]="","",IF(Table1[Start Date]&gt;42825,"",IF(AND(Table1[Leaving Date]&gt;1,Table1[Leaving Date]&lt;42736),"",1)))</f>
        <v/>
      </c>
      <c r="DX525"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525" s="44" t="e">
        <f>VLOOKUP(Table1[Referral Source],Lists!$G$2:$H$20,2,FALSE)</f>
        <v>#N/A</v>
      </c>
      <c r="DZ525" s="93" t="e">
        <f>SUM(Table1[Data Referral Quarter]+Table1[Data Referral Source])</f>
        <v>#N/A</v>
      </c>
      <c r="EA525" s="44" t="b">
        <f>IF(Table1[Referral Decision]="Accepted",100,IF(Table1[Referral Decision]="Rejected by Provider",200,IF(Table1[Referral Decision]="Rejected by Applicant",300)))</f>
        <v>0</v>
      </c>
      <c r="EB525" s="44">
        <f>SUM(Table1[Data Referral Quarter]+Table1[Data Referral Decision])</f>
        <v>0</v>
      </c>
      <c r="EC525" s="44" t="b">
        <f>IF(Table1[Start Date]&gt;42735,8000,IF(Table1[Start Date]&gt;42643,7000,IF(Table1[Start Date]&gt;42551,6000,IF(Table1[Start Date]&gt;42460,5000,IF(Table1[Start Date]&gt;42369,4000,IF(Table1[Start Date]&gt;42277,3000,IF(Table1[Start Date]&gt;42185,2000,IF(Table1[Start Date]&gt;42094,1000))))))))</f>
        <v>0</v>
      </c>
      <c r="ED525" s="44" t="str">
        <f>IF(Table1[Start Date]="","",IF(Table1[Current Local Authority]="Swindon",1,"2"))</f>
        <v/>
      </c>
      <c r="EE525" s="44" t="e">
        <f>SUM(Table1[Data Start Date]+Table1[Data Local Authority])</f>
        <v>#VALUE!</v>
      </c>
      <c r="EF525" s="44">
        <f>IF(Table1[Registered with GP]="Yes",1,0)</f>
        <v>0</v>
      </c>
      <c r="EG525" s="44">
        <f>SUM(Table1[Data Start Date]+Table1[Data GP Start])</f>
        <v>0</v>
      </c>
      <c r="EH525" s="44" t="str">
        <f>IF(Table1[EET]="NEET",1,IF(Table1[EET]="Education",2,IF(Table1[EET]="Employment",2,IF(Table1[EET]="Training",2,IF(Table1[EET]="Retired",3,"")))))</f>
        <v/>
      </c>
      <c r="EI525" s="44" t="e">
        <f>Table1[Data Start Date]+Table1[Data EET Start]</f>
        <v>#VALUE!</v>
      </c>
      <c r="EJ525" s="44" t="b">
        <f>IF(Table1[Leaving Date]&gt;42735,8000,IF(Table1[Leaving Date]&gt;42643,7000,IF(Table1[Leaving Date]&gt;42551,6000,IF(Table1[Leaving Date]&gt;42460,5000,IF(Table1[Leaving Date]&gt;42369,4000,IF(Table1[Leaving Date]&gt;42277,3000,IF(Table1[Leaving Date]&gt;42185,2000,IF(Table1[Leaving Date]&gt;42094,1000))))))))</f>
        <v>0</v>
      </c>
      <c r="EK525" s="44" t="e">
        <f>VLOOKUP(Table1[Reason for Leaving],Lists!$T$2:$U$15,2,FALSE)</f>
        <v>#N/A</v>
      </c>
      <c r="EL525" s="44" t="e">
        <f>SUM(Table1[Data Leavers Date]+Table1[Data Move On])</f>
        <v>#N/A</v>
      </c>
      <c r="EM525" s="44" t="b">
        <f>IF(Table1[Registered with GP2]="Yes",1,IF(Table1[Registered with GP2]="No",0,IF(Table1[Registered with GP]="Yes",1,IF(Table1[Registered with GP]="No",0))))</f>
        <v>0</v>
      </c>
      <c r="EN525" s="44">
        <f>SUM(Table1[Data Leavers Date]+Table1[Data GP End])</f>
        <v>0</v>
      </c>
      <c r="EO525" s="44" t="str">
        <f>IF(Table1[EET2]="NEET",1,IF(Table1[EET2]="Employment",2,IF(Table1[EET2]="Education",2,IF(Table1[EET2]="Training",2,IF(Table1[EET2]="Retired",3,IF(Table1[EET]="NEET",1,IF(Table1[EET]="Employment",2,IF(Table1[EET]="Education",2,IF(Table1[EET]="Training",2,IF(Table1[EET]="Retired",3,""))))))))))</f>
        <v/>
      </c>
      <c r="EP525" s="44" t="e">
        <f>+Table1[[#This Row],[Data Leavers Date]]+Table1[[#This Row],[Data EET End]]</f>
        <v>#VALUE!</v>
      </c>
      <c r="EQ525" s="44">
        <f>IF(Table1[Exit Form Received]="Yes",1,0)</f>
        <v>0</v>
      </c>
      <c r="ER525" s="44">
        <f>+Table1[[#This Row],[Data Leavers Date]]+Table1[[#This Row],[Data Exit Forms]]</f>
        <v>0</v>
      </c>
      <c r="ES525" s="44" t="str">
        <f>IF(Table1[Data Leavers Date]=1000,SUM(Table1[Leaving Date]-Table1[Start Date]),"")</f>
        <v/>
      </c>
      <c r="ET525" s="44" t="str">
        <f>IF(Table1[Data Leavers Date]=2000,SUM(Table1[Leaving Date]-Table1[Start Date]),"")</f>
        <v/>
      </c>
      <c r="EU525" s="44" t="str">
        <f>IF(Table1[Data Leavers Date]=3000,SUM(Table1[Leaving Date]-Table1[Start Date]),"")</f>
        <v/>
      </c>
      <c r="EV525" s="44" t="str">
        <f>IF(Table1[Data Leavers Date]=4000,SUM(Table1[Leaving Date]-Table1[Start Date]),"")</f>
        <v/>
      </c>
      <c r="EW525" s="44" t="str">
        <f>IF(Table1[Data Leavers Date]=5000,SUM(Table1[Leaving Date]-Table1[Start Date]),"")</f>
        <v/>
      </c>
      <c r="EX525" s="44" t="str">
        <f>IF(Table1[Data Leavers Date]=6000,SUM(Table1[Leaving Date]-Table1[Start Date]),"")</f>
        <v/>
      </c>
      <c r="EY525" s="44" t="str">
        <f>IF(Table1[Data Leavers Date]=7000,SUM(Table1[Leaving Date]-Table1[Start Date]),"")</f>
        <v/>
      </c>
      <c r="EZ525" s="44" t="str">
        <f>IF(Table1[Data Leavers Date]=8000,SUM(Table1[Leaving Date]-Table1[Start Date]),"")</f>
        <v/>
      </c>
      <c r="FA525" s="44" t="str">
        <f>IF(Table1[Date of Initial Assessment]="","",IF(AND(Table1[Start Date]&gt;42094,Table1[Start Date]&lt;42461),Table1[Motivation and Taking Responsibility],""))</f>
        <v/>
      </c>
      <c r="FB525" s="44" t="str">
        <f>IF(Table1[Date of Initial Assessment]="","",IF(AND(Table1[Start Date]&gt;42094,Table1[Start Date]&lt;42461),Table1[Self-Care and Living Skills],""))</f>
        <v/>
      </c>
      <c r="FC525" s="44" t="str">
        <f>IF(Table1[Date of Initial Assessment]="","",IF(AND(Table1[Start Date]&gt;42094,Table1[Start Date]&lt;42461),Table1[Managing Money and Personal Administration],""))</f>
        <v/>
      </c>
      <c r="FD525" s="44" t="str">
        <f>IF(Table1[Date of Initial Assessment]="","",IF(AND(Table1[Start Date]&gt;42094,Table1[Start Date]&lt;42461),Table1[Social Networks and Relationships],""))</f>
        <v/>
      </c>
      <c r="FE525" s="44" t="str">
        <f>IF(Table1[Date of Initial Assessment]="","",IF(AND(Table1[Start Date]&gt;42094,Table1[Start Date]&lt;42461),Table1[Drug and Alcohol Misuse],""))</f>
        <v/>
      </c>
      <c r="FF525" s="44" t="str">
        <f>IF(Table1[Date of Initial Assessment]="","",IF(AND(Table1[Start Date]&gt;42094,Table1[Start Date]&lt;42461),Table1[Physical Health],""))</f>
        <v/>
      </c>
      <c r="FG525" s="44" t="str">
        <f>IF(Table1[Date of Initial Assessment]="","",IF(AND(Table1[Start Date]&gt;42094,Table1[Start Date]&lt;42461),Table1[Emotional and Mental Health],""))</f>
        <v/>
      </c>
      <c r="FH525" s="44" t="str">
        <f>IF(Table1[Date of Initial Assessment]="","",IF(AND(Table1[Start Date]&gt;42094,Table1[Start Date]&lt;42461),Table1[Meaningful Use of Time],""))</f>
        <v/>
      </c>
      <c r="FI525" s="44" t="str">
        <f>IF(Table1[Date of Initial Assessment]="","",IF(AND(Table1[Start Date]&gt;42094,Table1[Start Date]&lt;42461),Table1[Managing Tenancy and Accommodation],""))</f>
        <v/>
      </c>
      <c r="FJ525" s="44" t="str">
        <f>IF(Table1[Date of Initial Assessment]="","",IF(AND(Table1[Start Date]&gt;42094,Table1[Start Date]&lt;42461),Table1[Offending],""))</f>
        <v/>
      </c>
      <c r="FK525" s="44" t="str">
        <f>IF(Table1[Leaving Date]="","",IF(Table1[Date of Initial Assessment]="","",IF(AND(Table1[Leaving Date]&gt;42094,Table1[Leaving Date]&lt;42461),IF(Table1[Date of Last Assessment]="",Table1[Motivation and Taking Responsibility],Table1[Motivation and Taking Responsibility2]),"")))</f>
        <v/>
      </c>
      <c r="FL525" s="44" t="str">
        <f>IF(Table1[Leaving Date]="","",IF(Table1[Date of Initial Assessment]="","",IF(AND(Table1[Leaving Date]&gt;42094,Table1[Leaving Date]&lt;42461),IF(Table1[Date of Last Assessment]="",Table1[Self-Care and Living Skills],Table1[Self-Care and Living Skills2]),"")))</f>
        <v/>
      </c>
      <c r="FM525" s="44" t="str">
        <f>IF(Table1[Leaving Date]="","",IF(Table1[Date of Initial Assessment]="","",IF(AND(Table1[Leaving Date]&gt;42094,Table1[Leaving Date]&lt;42461),IF(Table1[Date of Last Assessment]="",Table1[Managing Money and Personal Administration],Table1[Managing Money and Personal Administration2]),"")))</f>
        <v/>
      </c>
      <c r="FN525" s="44" t="str">
        <f>IF(Table1[Leaving Date]="","",IF(Table1[Date of Initial Assessment]="","",IF(AND(Table1[Leaving Date]&gt;42094,Table1[Leaving Date]&lt;42461),IF(Table1[Date of Last Assessment]="",Table1[Social Networks and Relationships],Table1[Social Networks and Relationships2]),"")))</f>
        <v/>
      </c>
      <c r="FO525" s="44" t="str">
        <f>IF(Table1[Leaving Date]="","",IF(Table1[Date of Initial Assessment]="","",IF(AND(Table1[Leaving Date]&gt;42094,Table1[Leaving Date]&lt;42461),IF(Table1[Date of Last Assessment]="",Table1[Drug and Alcohol Misuse],Table1[Drug and Alcohol Misuse2]),"")))</f>
        <v/>
      </c>
      <c r="FP525" s="44" t="str">
        <f>IF(Table1[Leaving Date]="","",IF(Table1[Date of Initial Assessment]="","",IF(AND(Table1[Leaving Date]&gt;42094,Table1[Leaving Date]&lt;42461),IF(Table1[Date of Last Assessment]="",Table1[Physical Health],Table1[Physical Health2]),"")))</f>
        <v/>
      </c>
      <c r="FQ525" s="44" t="str">
        <f>IF(Table1[Leaving Date]="","",IF(Table1[Date of Initial Assessment]="","",IF(AND(Table1[Leaving Date]&gt;42094,Table1[Leaving Date]&lt;42461),IF(Table1[Date of Last Assessment]="",Table1[Emotional and Mental Health],Table1[Emotional and Mental Health2]),"")))</f>
        <v/>
      </c>
      <c r="FR525" s="44" t="str">
        <f>IF(Table1[Leaving Date]="","",IF(Table1[Date of Initial Assessment]="","",IF(AND(Table1[Leaving Date]&gt;42094,Table1[Leaving Date]&lt;42461),IF(Table1[Date of Last Assessment]="",Table1[Meaningful Use of Time],Table1[Meaningful Use of Time2]),"")))</f>
        <v/>
      </c>
      <c r="FS525" s="44" t="str">
        <f>IF(Table1[Leaving Date]="","",IF(Table1[Date of Initial Assessment]="","",IF(AND(Table1[Leaving Date]&gt;42094,Table1[Leaving Date]&lt;42461),IF(Table1[Date of Last Assessment]="",Table1[Managing Tenancy and Accommodation],Table1[Managing Tenancy and Accommodation2]),"")))</f>
        <v/>
      </c>
      <c r="FT525" s="44" t="str">
        <f>IF(Table1[Leaving Date]="","",IF(Table1[Date of Initial Assessment]="","",IF(AND(Table1[Leaving Date]&gt;42094,Table1[Leaving Date]&lt;42461),IF(Table1[Date of Last Assessment]="",Table1[Offending],Table1[Offending2]),"")))</f>
        <v/>
      </c>
      <c r="FU525" s="44" t="str">
        <f>IF(Table1[Date of Initial Assessment]="","",IF(AND(Table1[Start Date]&gt;42460,Table1[Start Date]&lt;42826),Table1[Motivation and Taking Responsibility],""))</f>
        <v/>
      </c>
      <c r="FV525" s="44" t="str">
        <f>IF(Table1[Date of Initial Assessment]="","",IF(AND(Table1[Start Date]&gt;42460,Table1[Start Date]&lt;42826),Table1[Self-Care and Living Skills],""))</f>
        <v/>
      </c>
      <c r="FW525" s="44" t="str">
        <f>IF(Table1[Date of Initial Assessment]="","",IF(AND(Table1[Start Date]&gt;42460,Table1[Start Date]&lt;42826),Table1[Managing Money and Personal Administration],""))</f>
        <v/>
      </c>
      <c r="FX525" s="44" t="str">
        <f>IF(Table1[Date of Initial Assessment]="","",IF(AND(Table1[Start Date]&gt;42460,Table1[Start Date]&lt;42826),Table1[Social Networks and Relationships],""))</f>
        <v/>
      </c>
      <c r="FY525" s="44" t="str">
        <f>IF(Table1[Date of Initial Assessment]="","",IF(AND(Table1[Start Date]&gt;42460,Table1[Start Date]&lt;42826),Table1[Drug and Alcohol Misuse],""))</f>
        <v/>
      </c>
      <c r="FZ525" s="44" t="str">
        <f>IF(Table1[Date of Initial Assessment]="","",IF(AND(Table1[Start Date]&gt;42460,Table1[Start Date]&lt;42826),Table1[Physical Health],""))</f>
        <v/>
      </c>
      <c r="GA525" s="44" t="str">
        <f>IF(Table1[Date of Initial Assessment]="","",IF(AND(Table1[Start Date]&gt;42460,Table1[Start Date]&lt;42826),Table1[Emotional and Mental Health],""))</f>
        <v/>
      </c>
      <c r="GB525" s="44" t="str">
        <f>IF(Table1[Date of Initial Assessment]="","",IF(AND(Table1[Start Date]&gt;42460,Table1[Start Date]&lt;42826),Table1[Meaningful Use of Time],""))</f>
        <v/>
      </c>
      <c r="GC525" s="44" t="str">
        <f>IF(Table1[Date of Initial Assessment]="","",IF(AND(Table1[Start Date]&gt;42460,Table1[Start Date]&lt;42826),Table1[Managing Tenancy and Accommodation],""))</f>
        <v/>
      </c>
      <c r="GD525" s="44" t="str">
        <f>IF(Table1[Date of Initial Assessment]="","",IF(AND(Table1[Start Date]&gt;42460,Table1[Start Date]&lt;42826),Table1[Offending],""))</f>
        <v/>
      </c>
      <c r="GE525" s="44" t="str">
        <f>IF(Table1[Leaving Date]="","",IF(AND(Table1[Leaving Date]&gt;42460,Table1[Leaving Date]&lt;42826),IF(Table1[Date of Last Assessment]="",Table1[Motivation and Taking Responsibility],Table1[Motivation and Taking Responsibility2]),""))</f>
        <v/>
      </c>
      <c r="GF525" s="44" t="str">
        <f>IF(Table1[Leaving Date]="","",IF(AND(Table1[Leaving Date]&gt;42460,Table1[Leaving Date]&lt;42826),IF(Table1[Date of Last Assessment]="",Table1[Self-Care and Living Skills],Table1[Self-Care and Living Skills2]),""))</f>
        <v/>
      </c>
      <c r="GG525" s="44" t="str">
        <f>IF(Table1[Leaving Date]="","",IF(AND(Table1[Leaving Date]&gt;42460,Table1[Leaving Date]&lt;42826),IF(Table1[Date of Last Assessment]="",Table1[Managing Money and Personal Administration],Table1[Managing Money and Personal Administration2]),""))</f>
        <v/>
      </c>
      <c r="GH525" s="44" t="str">
        <f>IF(Table1[Leaving Date]="","",IF(AND(Table1[Leaving Date]&gt;42460,Table1[Leaving Date]&lt;42826),IF(Table1[Date of Last Assessment]="",Table1[Social Networks and Relationships],Table1[Social Networks and Relationships2]),""))</f>
        <v/>
      </c>
      <c r="GI525" s="44" t="str">
        <f>IF(Table1[Leaving Date]="","",IF(AND(Table1[Leaving Date]&gt;42460,Table1[Leaving Date]&lt;42826),IF(Table1[Date of Last Assessment]="",Table1[Drug and Alcohol Misuse],Table1[Drug and Alcohol Misuse2]),""))</f>
        <v/>
      </c>
      <c r="GJ525" s="44" t="str">
        <f>IF(Table1[Leaving Date]="","",IF(AND(Table1[Leaving Date]&gt;42460,Table1[Leaving Date]&lt;42826),IF(Table1[Date of Last Assessment]="",Table1[Physical Health],Table1[Physical Health2]),""))</f>
        <v/>
      </c>
      <c r="GK525" s="44" t="str">
        <f>IF(Table1[Leaving Date]="","",IF(AND(Table1[Leaving Date]&gt;42460,Table1[Leaving Date]&lt;42826),IF(Table1[Date of Last Assessment]="",Table1[Emotional and Mental Health],Table1[Emotional and Mental Health2]),""))</f>
        <v/>
      </c>
      <c r="GL525" s="44" t="str">
        <f>IF(Table1[Leaving Date]="","",IF(AND(Table1[Leaving Date]&gt;42460,Table1[Leaving Date]&lt;42826),IF(Table1[Date of Last Assessment]="",Table1[Meaningful Use of Time],Table1[Meaningful Use of Time2]),""))</f>
        <v/>
      </c>
      <c r="GM525" s="44" t="str">
        <f>IF(Table1[Leaving Date]="","",IF(AND(Table1[Leaving Date]&gt;42460,Table1[Leaving Date]&lt;42826),IF(Table1[Date of Last Assessment]="",Table1[Managing Tenancy and Accommodation],Table1[Managing Tenancy and Accommodation2]),""))</f>
        <v/>
      </c>
      <c r="GN525" s="44" t="str">
        <f>IF(Table1[Leaving Date]="","",IF(AND(Table1[Leaving Date]&gt;42460,Table1[Leaving Date]&lt;42826),IF(Table1[Date of Last Assessment]="",Table1[Offending],Table1[Offending2]),""))</f>
        <v/>
      </c>
    </row>
    <row r="526" spans="2:196" ht="20.100000000000001" customHeight="1" x14ac:dyDescent="0.2">
      <c r="B526" s="86">
        <f>+'Service Data'!$C$5:$C$5</f>
        <v>0</v>
      </c>
      <c r="C526" s="86"/>
      <c r="D526" s="86"/>
      <c r="E526" s="86"/>
      <c r="F526" s="86"/>
      <c r="G526" s="86"/>
      <c r="H526" s="6"/>
      <c r="I526" s="99" t="str">
        <f ca="1">IF(Table1[[#This Row],[Date of Birth]]="","",SUM(TODAY()-Table1[[#This Row],[Date of Birth]])/365)</f>
        <v/>
      </c>
      <c r="L526" s="86"/>
      <c r="M526" s="77"/>
      <c r="N526" s="86"/>
      <c r="O526" s="86"/>
      <c r="P526" s="91"/>
      <c r="Q526" s="86"/>
      <c r="R526" s="77"/>
      <c r="S526" s="77"/>
      <c r="T526" s="68"/>
      <c r="U526" s="68"/>
      <c r="V526" s="67"/>
      <c r="W526" s="67"/>
      <c r="X526" s="67"/>
      <c r="Y526" s="67"/>
      <c r="Z526" s="67"/>
      <c r="AA526" s="67"/>
      <c r="AB526" s="67"/>
      <c r="AC526" s="67"/>
      <c r="AD526" s="67"/>
      <c r="AE526" s="67"/>
      <c r="AF526" s="67"/>
      <c r="AG526" s="67"/>
      <c r="AH526" s="67"/>
      <c r="AI526" s="67"/>
      <c r="AJ526" s="67"/>
      <c r="AK526" s="67"/>
      <c r="AL526" s="67"/>
      <c r="AM526" s="67"/>
      <c r="AN526" s="77"/>
      <c r="AO526" s="76"/>
      <c r="AP526" s="77"/>
      <c r="AQ526" s="76"/>
      <c r="AR526" s="76"/>
      <c r="AS526" s="76"/>
      <c r="AT526" s="76"/>
      <c r="AU526" s="76"/>
      <c r="AV526" s="77"/>
      <c r="AW526" s="76"/>
      <c r="AX526" s="77"/>
      <c r="AY526" s="76"/>
      <c r="AZ526" s="76"/>
      <c r="BA526" s="76"/>
      <c r="BB526" s="76"/>
      <c r="BC526" s="76"/>
      <c r="BD526" s="77"/>
      <c r="BE526" s="76"/>
      <c r="BF526" s="77"/>
      <c r="BG526" s="76"/>
      <c r="BH526" s="76"/>
      <c r="BI526" s="76"/>
      <c r="BJ526" s="76"/>
      <c r="BK526" s="76"/>
      <c r="BL526" s="77"/>
      <c r="BM526" s="76"/>
      <c r="BN526" s="77"/>
      <c r="BO526" s="76"/>
      <c r="BP526" s="76"/>
      <c r="BQ526" s="76"/>
      <c r="BR526" s="76"/>
      <c r="BS526" s="76"/>
      <c r="BT526" s="77"/>
      <c r="BU526" s="76"/>
      <c r="BV526" s="77"/>
      <c r="BW526" s="76"/>
      <c r="BX526" s="76"/>
      <c r="BY526" s="76"/>
      <c r="BZ526" s="76"/>
      <c r="CA526" s="76"/>
      <c r="CB526" s="77"/>
      <c r="CC526" s="76"/>
      <c r="CD526" s="77"/>
      <c r="CE526" s="76"/>
      <c r="CF526" s="76"/>
      <c r="CG526" s="76"/>
      <c r="CH526" s="76"/>
      <c r="CI526" s="76"/>
      <c r="CJ526" s="77"/>
      <c r="CK526" s="76"/>
      <c r="CL526" s="77"/>
      <c r="CM526" s="76"/>
      <c r="CN526" s="76"/>
      <c r="CO526" s="76"/>
      <c r="CP526" s="76"/>
      <c r="CQ526" s="76"/>
      <c r="CR526" s="78" t="str">
        <f t="shared" si="143"/>
        <v/>
      </c>
      <c r="CS526" s="79" t="str">
        <f t="shared" si="144"/>
        <v/>
      </c>
      <c r="CT526" s="79" t="str">
        <f t="shared" si="145"/>
        <v/>
      </c>
      <c r="CU526" s="79" t="str">
        <f t="shared" si="146"/>
        <v/>
      </c>
      <c r="CV526" s="79" t="str">
        <f t="shared" si="147"/>
        <v/>
      </c>
      <c r="CW526" s="79" t="str">
        <f t="shared" si="148"/>
        <v/>
      </c>
      <c r="CX526" s="79" t="str">
        <f t="shared" si="149"/>
        <v/>
      </c>
      <c r="CY526" s="79" t="str">
        <f t="shared" si="150"/>
        <v/>
      </c>
      <c r="CZ526" s="79" t="str">
        <f t="shared" si="151"/>
        <v/>
      </c>
      <c r="DA526" s="79" t="str">
        <f t="shared" si="152"/>
        <v/>
      </c>
      <c r="DB526" s="79" t="str">
        <f t="shared" si="153"/>
        <v/>
      </c>
      <c r="DC526" s="79" t="str">
        <f t="shared" si="154"/>
        <v/>
      </c>
      <c r="DD526" s="79" t="str">
        <f t="shared" si="155"/>
        <v/>
      </c>
      <c r="DE526" s="79" t="str">
        <f t="shared" si="156"/>
        <v/>
      </c>
      <c r="DF526" s="79" t="str">
        <f t="shared" si="157"/>
        <v/>
      </c>
      <c r="DG526" s="79" t="str">
        <f t="shared" si="158"/>
        <v/>
      </c>
      <c r="DH526" s="76"/>
      <c r="DI526" s="78"/>
      <c r="DJ526" s="76"/>
      <c r="DK526" s="77"/>
      <c r="DL526" s="77"/>
      <c r="DM526" s="77"/>
      <c r="DN526" s="80"/>
      <c r="DO526" s="80"/>
      <c r="DP526" s="92" t="str">
        <f>IF(Table1[Start Date]="","",IF(Table1[Start Date]&gt;42185,"",IF(AND(Table1[Leaving Date]&gt;1,Table1[Leaving Date]&lt;42095),"",1)))</f>
        <v/>
      </c>
      <c r="DQ526" s="92" t="str">
        <f>IF(Table1[Start Date]="","",IF(Table1[Start Date]&gt;42277,"",IF(AND(Table1[Leaving Date]&gt;1,Table1[Leaving Date]&lt;42186),"",1)))</f>
        <v/>
      </c>
      <c r="DR526" s="92" t="str">
        <f>IF(Table1[Start Date]="","",IF(Table1[Start Date]&gt;42369,"",IF(AND(Table1[Leaving Date]&gt;1,Table1[Leaving Date]&lt;42278),"",1)))</f>
        <v/>
      </c>
      <c r="DS526" s="92" t="str">
        <f>IF(Table1[Start Date]="","",IF(Table1[Start Date]&gt;42460,"",IF(AND(Table1[Leaving Date]&gt;1,Table1[Leaving Date]&lt;42370),"",1)))</f>
        <v/>
      </c>
      <c r="DT526" s="92" t="str">
        <f>IF(Table1[Start Date]="","",IF(Table1[Start Date]&gt;42551,"",IF(AND(Table1[Leaving Date]&gt;1,Table1[Leaving Date]&lt;42461),"",1)))</f>
        <v/>
      </c>
      <c r="DU526" s="92" t="str">
        <f>IF(Table1[Start Date]="","",IF(Table1[Start Date]&gt;42643,"",IF(AND(Table1[Leaving Date]&gt;1,Table1[Leaving Date]&lt;42552),"",1)))</f>
        <v/>
      </c>
      <c r="DV526" s="92" t="str">
        <f>IF(Table1[Start Date]="","",IF(Table1[Start Date]&gt;42735,"",IF(AND(Table1[Leaving Date]&gt;1,Table1[Leaving Date]&lt;42644),"",1)))</f>
        <v/>
      </c>
      <c r="DW526" s="92" t="str">
        <f>IF(Table1[Start Date]="","",IF(Table1[Start Date]&gt;42825,"",IF(AND(Table1[Leaving Date]&gt;1,Table1[Leaving Date]&lt;42736),"",1)))</f>
        <v/>
      </c>
      <c r="DX526"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526" s="44" t="e">
        <f>VLOOKUP(Table1[Referral Source],Lists!$G$2:$H$20,2,FALSE)</f>
        <v>#N/A</v>
      </c>
      <c r="DZ526" s="93" t="e">
        <f>SUM(Table1[Data Referral Quarter]+Table1[Data Referral Source])</f>
        <v>#N/A</v>
      </c>
      <c r="EA526" s="44" t="b">
        <f>IF(Table1[Referral Decision]="Accepted",100,IF(Table1[Referral Decision]="Rejected by Provider",200,IF(Table1[Referral Decision]="Rejected by Applicant",300)))</f>
        <v>0</v>
      </c>
      <c r="EB526" s="44">
        <f>SUM(Table1[Data Referral Quarter]+Table1[Data Referral Decision])</f>
        <v>0</v>
      </c>
      <c r="EC526" s="44" t="b">
        <f>IF(Table1[Start Date]&gt;42735,8000,IF(Table1[Start Date]&gt;42643,7000,IF(Table1[Start Date]&gt;42551,6000,IF(Table1[Start Date]&gt;42460,5000,IF(Table1[Start Date]&gt;42369,4000,IF(Table1[Start Date]&gt;42277,3000,IF(Table1[Start Date]&gt;42185,2000,IF(Table1[Start Date]&gt;42094,1000))))))))</f>
        <v>0</v>
      </c>
      <c r="ED526" s="44" t="str">
        <f>IF(Table1[Start Date]="","",IF(Table1[Current Local Authority]="Swindon",1,"2"))</f>
        <v/>
      </c>
      <c r="EE526" s="44" t="e">
        <f>SUM(Table1[Data Start Date]+Table1[Data Local Authority])</f>
        <v>#VALUE!</v>
      </c>
      <c r="EF526" s="44">
        <f>IF(Table1[Registered with GP]="Yes",1,0)</f>
        <v>0</v>
      </c>
      <c r="EG526" s="44">
        <f>SUM(Table1[Data Start Date]+Table1[Data GP Start])</f>
        <v>0</v>
      </c>
      <c r="EH526" s="44" t="str">
        <f>IF(Table1[EET]="NEET",1,IF(Table1[EET]="Education",2,IF(Table1[EET]="Employment",2,IF(Table1[EET]="Training",2,IF(Table1[EET]="Retired",3,"")))))</f>
        <v/>
      </c>
      <c r="EI526" s="44" t="e">
        <f>Table1[Data Start Date]+Table1[Data EET Start]</f>
        <v>#VALUE!</v>
      </c>
      <c r="EJ526" s="44" t="b">
        <f>IF(Table1[Leaving Date]&gt;42735,8000,IF(Table1[Leaving Date]&gt;42643,7000,IF(Table1[Leaving Date]&gt;42551,6000,IF(Table1[Leaving Date]&gt;42460,5000,IF(Table1[Leaving Date]&gt;42369,4000,IF(Table1[Leaving Date]&gt;42277,3000,IF(Table1[Leaving Date]&gt;42185,2000,IF(Table1[Leaving Date]&gt;42094,1000))))))))</f>
        <v>0</v>
      </c>
      <c r="EK526" s="44" t="e">
        <f>VLOOKUP(Table1[Reason for Leaving],Lists!$T$2:$U$15,2,FALSE)</f>
        <v>#N/A</v>
      </c>
      <c r="EL526" s="44" t="e">
        <f>SUM(Table1[Data Leavers Date]+Table1[Data Move On])</f>
        <v>#N/A</v>
      </c>
      <c r="EM526" s="44" t="b">
        <f>IF(Table1[Registered with GP2]="Yes",1,IF(Table1[Registered with GP2]="No",0,IF(Table1[Registered with GP]="Yes",1,IF(Table1[Registered with GP]="No",0))))</f>
        <v>0</v>
      </c>
      <c r="EN526" s="44">
        <f>SUM(Table1[Data Leavers Date]+Table1[Data GP End])</f>
        <v>0</v>
      </c>
      <c r="EO526" s="44" t="str">
        <f>IF(Table1[EET2]="NEET",1,IF(Table1[EET2]="Employment",2,IF(Table1[EET2]="Education",2,IF(Table1[EET2]="Training",2,IF(Table1[EET2]="Retired",3,IF(Table1[EET]="NEET",1,IF(Table1[EET]="Employment",2,IF(Table1[EET]="Education",2,IF(Table1[EET]="Training",2,IF(Table1[EET]="Retired",3,""))))))))))</f>
        <v/>
      </c>
      <c r="EP526" s="44" t="e">
        <f>+Table1[[#This Row],[Data Leavers Date]]+Table1[[#This Row],[Data EET End]]</f>
        <v>#VALUE!</v>
      </c>
      <c r="EQ526" s="44">
        <f>IF(Table1[Exit Form Received]="Yes",1,0)</f>
        <v>0</v>
      </c>
      <c r="ER526" s="44">
        <f>+Table1[[#This Row],[Data Leavers Date]]+Table1[[#This Row],[Data Exit Forms]]</f>
        <v>0</v>
      </c>
      <c r="ES526" s="44" t="str">
        <f>IF(Table1[Data Leavers Date]=1000,SUM(Table1[Leaving Date]-Table1[Start Date]),"")</f>
        <v/>
      </c>
      <c r="ET526" s="44" t="str">
        <f>IF(Table1[Data Leavers Date]=2000,SUM(Table1[Leaving Date]-Table1[Start Date]),"")</f>
        <v/>
      </c>
      <c r="EU526" s="44" t="str">
        <f>IF(Table1[Data Leavers Date]=3000,SUM(Table1[Leaving Date]-Table1[Start Date]),"")</f>
        <v/>
      </c>
      <c r="EV526" s="44" t="str">
        <f>IF(Table1[Data Leavers Date]=4000,SUM(Table1[Leaving Date]-Table1[Start Date]),"")</f>
        <v/>
      </c>
      <c r="EW526" s="44" t="str">
        <f>IF(Table1[Data Leavers Date]=5000,SUM(Table1[Leaving Date]-Table1[Start Date]),"")</f>
        <v/>
      </c>
      <c r="EX526" s="44" t="str">
        <f>IF(Table1[Data Leavers Date]=6000,SUM(Table1[Leaving Date]-Table1[Start Date]),"")</f>
        <v/>
      </c>
      <c r="EY526" s="44" t="str">
        <f>IF(Table1[Data Leavers Date]=7000,SUM(Table1[Leaving Date]-Table1[Start Date]),"")</f>
        <v/>
      </c>
      <c r="EZ526" s="44" t="str">
        <f>IF(Table1[Data Leavers Date]=8000,SUM(Table1[Leaving Date]-Table1[Start Date]),"")</f>
        <v/>
      </c>
      <c r="FA526" s="44" t="str">
        <f>IF(Table1[Date of Initial Assessment]="","",IF(AND(Table1[Start Date]&gt;42094,Table1[Start Date]&lt;42461),Table1[Motivation and Taking Responsibility],""))</f>
        <v/>
      </c>
      <c r="FB526" s="44" t="str">
        <f>IF(Table1[Date of Initial Assessment]="","",IF(AND(Table1[Start Date]&gt;42094,Table1[Start Date]&lt;42461),Table1[Self-Care and Living Skills],""))</f>
        <v/>
      </c>
      <c r="FC526" s="44" t="str">
        <f>IF(Table1[Date of Initial Assessment]="","",IF(AND(Table1[Start Date]&gt;42094,Table1[Start Date]&lt;42461),Table1[Managing Money and Personal Administration],""))</f>
        <v/>
      </c>
      <c r="FD526" s="44" t="str">
        <f>IF(Table1[Date of Initial Assessment]="","",IF(AND(Table1[Start Date]&gt;42094,Table1[Start Date]&lt;42461),Table1[Social Networks and Relationships],""))</f>
        <v/>
      </c>
      <c r="FE526" s="44" t="str">
        <f>IF(Table1[Date of Initial Assessment]="","",IF(AND(Table1[Start Date]&gt;42094,Table1[Start Date]&lt;42461),Table1[Drug and Alcohol Misuse],""))</f>
        <v/>
      </c>
      <c r="FF526" s="44" t="str">
        <f>IF(Table1[Date of Initial Assessment]="","",IF(AND(Table1[Start Date]&gt;42094,Table1[Start Date]&lt;42461),Table1[Physical Health],""))</f>
        <v/>
      </c>
      <c r="FG526" s="44" t="str">
        <f>IF(Table1[Date of Initial Assessment]="","",IF(AND(Table1[Start Date]&gt;42094,Table1[Start Date]&lt;42461),Table1[Emotional and Mental Health],""))</f>
        <v/>
      </c>
      <c r="FH526" s="44" t="str">
        <f>IF(Table1[Date of Initial Assessment]="","",IF(AND(Table1[Start Date]&gt;42094,Table1[Start Date]&lt;42461),Table1[Meaningful Use of Time],""))</f>
        <v/>
      </c>
      <c r="FI526" s="44" t="str">
        <f>IF(Table1[Date of Initial Assessment]="","",IF(AND(Table1[Start Date]&gt;42094,Table1[Start Date]&lt;42461),Table1[Managing Tenancy and Accommodation],""))</f>
        <v/>
      </c>
      <c r="FJ526" s="44" t="str">
        <f>IF(Table1[Date of Initial Assessment]="","",IF(AND(Table1[Start Date]&gt;42094,Table1[Start Date]&lt;42461),Table1[Offending],""))</f>
        <v/>
      </c>
      <c r="FK526" s="44" t="str">
        <f>IF(Table1[Leaving Date]="","",IF(Table1[Date of Initial Assessment]="","",IF(AND(Table1[Leaving Date]&gt;42094,Table1[Leaving Date]&lt;42461),IF(Table1[Date of Last Assessment]="",Table1[Motivation and Taking Responsibility],Table1[Motivation and Taking Responsibility2]),"")))</f>
        <v/>
      </c>
      <c r="FL526" s="44" t="str">
        <f>IF(Table1[Leaving Date]="","",IF(Table1[Date of Initial Assessment]="","",IF(AND(Table1[Leaving Date]&gt;42094,Table1[Leaving Date]&lt;42461),IF(Table1[Date of Last Assessment]="",Table1[Self-Care and Living Skills],Table1[Self-Care and Living Skills2]),"")))</f>
        <v/>
      </c>
      <c r="FM526" s="44" t="str">
        <f>IF(Table1[Leaving Date]="","",IF(Table1[Date of Initial Assessment]="","",IF(AND(Table1[Leaving Date]&gt;42094,Table1[Leaving Date]&lt;42461),IF(Table1[Date of Last Assessment]="",Table1[Managing Money and Personal Administration],Table1[Managing Money and Personal Administration2]),"")))</f>
        <v/>
      </c>
      <c r="FN526" s="44" t="str">
        <f>IF(Table1[Leaving Date]="","",IF(Table1[Date of Initial Assessment]="","",IF(AND(Table1[Leaving Date]&gt;42094,Table1[Leaving Date]&lt;42461),IF(Table1[Date of Last Assessment]="",Table1[Social Networks and Relationships],Table1[Social Networks and Relationships2]),"")))</f>
        <v/>
      </c>
      <c r="FO526" s="44" t="str">
        <f>IF(Table1[Leaving Date]="","",IF(Table1[Date of Initial Assessment]="","",IF(AND(Table1[Leaving Date]&gt;42094,Table1[Leaving Date]&lt;42461),IF(Table1[Date of Last Assessment]="",Table1[Drug and Alcohol Misuse],Table1[Drug and Alcohol Misuse2]),"")))</f>
        <v/>
      </c>
      <c r="FP526" s="44" t="str">
        <f>IF(Table1[Leaving Date]="","",IF(Table1[Date of Initial Assessment]="","",IF(AND(Table1[Leaving Date]&gt;42094,Table1[Leaving Date]&lt;42461),IF(Table1[Date of Last Assessment]="",Table1[Physical Health],Table1[Physical Health2]),"")))</f>
        <v/>
      </c>
      <c r="FQ526" s="44" t="str">
        <f>IF(Table1[Leaving Date]="","",IF(Table1[Date of Initial Assessment]="","",IF(AND(Table1[Leaving Date]&gt;42094,Table1[Leaving Date]&lt;42461),IF(Table1[Date of Last Assessment]="",Table1[Emotional and Mental Health],Table1[Emotional and Mental Health2]),"")))</f>
        <v/>
      </c>
      <c r="FR526" s="44" t="str">
        <f>IF(Table1[Leaving Date]="","",IF(Table1[Date of Initial Assessment]="","",IF(AND(Table1[Leaving Date]&gt;42094,Table1[Leaving Date]&lt;42461),IF(Table1[Date of Last Assessment]="",Table1[Meaningful Use of Time],Table1[Meaningful Use of Time2]),"")))</f>
        <v/>
      </c>
      <c r="FS526" s="44" t="str">
        <f>IF(Table1[Leaving Date]="","",IF(Table1[Date of Initial Assessment]="","",IF(AND(Table1[Leaving Date]&gt;42094,Table1[Leaving Date]&lt;42461),IF(Table1[Date of Last Assessment]="",Table1[Managing Tenancy and Accommodation],Table1[Managing Tenancy and Accommodation2]),"")))</f>
        <v/>
      </c>
      <c r="FT526" s="44" t="str">
        <f>IF(Table1[Leaving Date]="","",IF(Table1[Date of Initial Assessment]="","",IF(AND(Table1[Leaving Date]&gt;42094,Table1[Leaving Date]&lt;42461),IF(Table1[Date of Last Assessment]="",Table1[Offending],Table1[Offending2]),"")))</f>
        <v/>
      </c>
      <c r="FU526" s="44" t="str">
        <f>IF(Table1[Date of Initial Assessment]="","",IF(AND(Table1[Start Date]&gt;42460,Table1[Start Date]&lt;42826),Table1[Motivation and Taking Responsibility],""))</f>
        <v/>
      </c>
      <c r="FV526" s="44" t="str">
        <f>IF(Table1[Date of Initial Assessment]="","",IF(AND(Table1[Start Date]&gt;42460,Table1[Start Date]&lt;42826),Table1[Self-Care and Living Skills],""))</f>
        <v/>
      </c>
      <c r="FW526" s="44" t="str">
        <f>IF(Table1[Date of Initial Assessment]="","",IF(AND(Table1[Start Date]&gt;42460,Table1[Start Date]&lt;42826),Table1[Managing Money and Personal Administration],""))</f>
        <v/>
      </c>
      <c r="FX526" s="44" t="str">
        <f>IF(Table1[Date of Initial Assessment]="","",IF(AND(Table1[Start Date]&gt;42460,Table1[Start Date]&lt;42826),Table1[Social Networks and Relationships],""))</f>
        <v/>
      </c>
      <c r="FY526" s="44" t="str">
        <f>IF(Table1[Date of Initial Assessment]="","",IF(AND(Table1[Start Date]&gt;42460,Table1[Start Date]&lt;42826),Table1[Drug and Alcohol Misuse],""))</f>
        <v/>
      </c>
      <c r="FZ526" s="44" t="str">
        <f>IF(Table1[Date of Initial Assessment]="","",IF(AND(Table1[Start Date]&gt;42460,Table1[Start Date]&lt;42826),Table1[Physical Health],""))</f>
        <v/>
      </c>
      <c r="GA526" s="44" t="str">
        <f>IF(Table1[Date of Initial Assessment]="","",IF(AND(Table1[Start Date]&gt;42460,Table1[Start Date]&lt;42826),Table1[Emotional and Mental Health],""))</f>
        <v/>
      </c>
      <c r="GB526" s="44" t="str">
        <f>IF(Table1[Date of Initial Assessment]="","",IF(AND(Table1[Start Date]&gt;42460,Table1[Start Date]&lt;42826),Table1[Meaningful Use of Time],""))</f>
        <v/>
      </c>
      <c r="GC526" s="44" t="str">
        <f>IF(Table1[Date of Initial Assessment]="","",IF(AND(Table1[Start Date]&gt;42460,Table1[Start Date]&lt;42826),Table1[Managing Tenancy and Accommodation],""))</f>
        <v/>
      </c>
      <c r="GD526" s="44" t="str">
        <f>IF(Table1[Date of Initial Assessment]="","",IF(AND(Table1[Start Date]&gt;42460,Table1[Start Date]&lt;42826),Table1[Offending],""))</f>
        <v/>
      </c>
      <c r="GE526" s="44" t="str">
        <f>IF(Table1[Leaving Date]="","",IF(AND(Table1[Leaving Date]&gt;42460,Table1[Leaving Date]&lt;42826),IF(Table1[Date of Last Assessment]="",Table1[Motivation and Taking Responsibility],Table1[Motivation and Taking Responsibility2]),""))</f>
        <v/>
      </c>
      <c r="GF526" s="44" t="str">
        <f>IF(Table1[Leaving Date]="","",IF(AND(Table1[Leaving Date]&gt;42460,Table1[Leaving Date]&lt;42826),IF(Table1[Date of Last Assessment]="",Table1[Self-Care and Living Skills],Table1[Self-Care and Living Skills2]),""))</f>
        <v/>
      </c>
      <c r="GG526" s="44" t="str">
        <f>IF(Table1[Leaving Date]="","",IF(AND(Table1[Leaving Date]&gt;42460,Table1[Leaving Date]&lt;42826),IF(Table1[Date of Last Assessment]="",Table1[Managing Money and Personal Administration],Table1[Managing Money and Personal Administration2]),""))</f>
        <v/>
      </c>
      <c r="GH526" s="44" t="str">
        <f>IF(Table1[Leaving Date]="","",IF(AND(Table1[Leaving Date]&gt;42460,Table1[Leaving Date]&lt;42826),IF(Table1[Date of Last Assessment]="",Table1[Social Networks and Relationships],Table1[Social Networks and Relationships2]),""))</f>
        <v/>
      </c>
      <c r="GI526" s="44" t="str">
        <f>IF(Table1[Leaving Date]="","",IF(AND(Table1[Leaving Date]&gt;42460,Table1[Leaving Date]&lt;42826),IF(Table1[Date of Last Assessment]="",Table1[Drug and Alcohol Misuse],Table1[Drug and Alcohol Misuse2]),""))</f>
        <v/>
      </c>
      <c r="GJ526" s="44" t="str">
        <f>IF(Table1[Leaving Date]="","",IF(AND(Table1[Leaving Date]&gt;42460,Table1[Leaving Date]&lt;42826),IF(Table1[Date of Last Assessment]="",Table1[Physical Health],Table1[Physical Health2]),""))</f>
        <v/>
      </c>
      <c r="GK526" s="44" t="str">
        <f>IF(Table1[Leaving Date]="","",IF(AND(Table1[Leaving Date]&gt;42460,Table1[Leaving Date]&lt;42826),IF(Table1[Date of Last Assessment]="",Table1[Emotional and Mental Health],Table1[Emotional and Mental Health2]),""))</f>
        <v/>
      </c>
      <c r="GL526" s="44" t="str">
        <f>IF(Table1[Leaving Date]="","",IF(AND(Table1[Leaving Date]&gt;42460,Table1[Leaving Date]&lt;42826),IF(Table1[Date of Last Assessment]="",Table1[Meaningful Use of Time],Table1[Meaningful Use of Time2]),""))</f>
        <v/>
      </c>
      <c r="GM526" s="44" t="str">
        <f>IF(Table1[Leaving Date]="","",IF(AND(Table1[Leaving Date]&gt;42460,Table1[Leaving Date]&lt;42826),IF(Table1[Date of Last Assessment]="",Table1[Managing Tenancy and Accommodation],Table1[Managing Tenancy and Accommodation2]),""))</f>
        <v/>
      </c>
      <c r="GN526" s="44" t="str">
        <f>IF(Table1[Leaving Date]="","",IF(AND(Table1[Leaving Date]&gt;42460,Table1[Leaving Date]&lt;42826),IF(Table1[Date of Last Assessment]="",Table1[Offending],Table1[Offending2]),""))</f>
        <v/>
      </c>
    </row>
    <row r="527" spans="2:196" ht="20.100000000000001" customHeight="1" x14ac:dyDescent="0.2">
      <c r="B527" s="86">
        <f>+'Service Data'!$C$5:$C$5</f>
        <v>0</v>
      </c>
      <c r="C527" s="86"/>
      <c r="D527" s="86"/>
      <c r="E527" s="86"/>
      <c r="F527" s="86"/>
      <c r="G527" s="86"/>
      <c r="H527" s="6"/>
      <c r="I527" s="99" t="str">
        <f ca="1">IF(Table1[[#This Row],[Date of Birth]]="","",SUM(TODAY()-Table1[[#This Row],[Date of Birth]])/365)</f>
        <v/>
      </c>
      <c r="L527" s="86"/>
      <c r="M527" s="77"/>
      <c r="N527" s="86"/>
      <c r="O527" s="86"/>
      <c r="P527" s="91"/>
      <c r="Q527" s="86"/>
      <c r="R527" s="77"/>
      <c r="S527" s="77"/>
      <c r="T527" s="68"/>
      <c r="U527" s="68"/>
      <c r="V527" s="67"/>
      <c r="W527" s="67"/>
      <c r="X527" s="67"/>
      <c r="Y527" s="67"/>
      <c r="Z527" s="67"/>
      <c r="AA527" s="67"/>
      <c r="AB527" s="67"/>
      <c r="AC527" s="67"/>
      <c r="AD527" s="67"/>
      <c r="AE527" s="67"/>
      <c r="AF527" s="67"/>
      <c r="AG527" s="67"/>
      <c r="AH527" s="67"/>
      <c r="AI527" s="67"/>
      <c r="AJ527" s="67"/>
      <c r="AK527" s="67"/>
      <c r="AL527" s="67"/>
      <c r="AM527" s="67"/>
      <c r="AN527" s="77"/>
      <c r="AO527" s="76"/>
      <c r="AP527" s="77"/>
      <c r="AQ527" s="76"/>
      <c r="AR527" s="76"/>
      <c r="AS527" s="76"/>
      <c r="AT527" s="76"/>
      <c r="AU527" s="76"/>
      <c r="AV527" s="77"/>
      <c r="AW527" s="76"/>
      <c r="AX527" s="77"/>
      <c r="AY527" s="76"/>
      <c r="AZ527" s="76"/>
      <c r="BA527" s="76"/>
      <c r="BB527" s="76"/>
      <c r="BC527" s="76"/>
      <c r="BD527" s="77"/>
      <c r="BE527" s="76"/>
      <c r="BF527" s="77"/>
      <c r="BG527" s="76"/>
      <c r="BH527" s="76"/>
      <c r="BI527" s="76"/>
      <c r="BJ527" s="76"/>
      <c r="BK527" s="76"/>
      <c r="BL527" s="77"/>
      <c r="BM527" s="76"/>
      <c r="BN527" s="77"/>
      <c r="BO527" s="76"/>
      <c r="BP527" s="76"/>
      <c r="BQ527" s="76"/>
      <c r="BR527" s="76"/>
      <c r="BS527" s="76"/>
      <c r="BT527" s="77"/>
      <c r="BU527" s="76"/>
      <c r="BV527" s="77"/>
      <c r="BW527" s="76"/>
      <c r="BX527" s="76"/>
      <c r="BY527" s="76"/>
      <c r="BZ527" s="76"/>
      <c r="CA527" s="76"/>
      <c r="CB527" s="77"/>
      <c r="CC527" s="76"/>
      <c r="CD527" s="77"/>
      <c r="CE527" s="76"/>
      <c r="CF527" s="76"/>
      <c r="CG527" s="76"/>
      <c r="CH527" s="76"/>
      <c r="CI527" s="76"/>
      <c r="CJ527" s="77"/>
      <c r="CK527" s="76"/>
      <c r="CL527" s="77"/>
      <c r="CM527" s="76"/>
      <c r="CN527" s="76"/>
      <c r="CO527" s="76"/>
      <c r="CP527" s="76"/>
      <c r="CQ527" s="76"/>
      <c r="CR527" s="78" t="str">
        <f t="shared" si="143"/>
        <v/>
      </c>
      <c r="CS527" s="79" t="str">
        <f t="shared" si="144"/>
        <v/>
      </c>
      <c r="CT527" s="79" t="str">
        <f t="shared" si="145"/>
        <v/>
      </c>
      <c r="CU527" s="79" t="str">
        <f t="shared" si="146"/>
        <v/>
      </c>
      <c r="CV527" s="79" t="str">
        <f t="shared" si="147"/>
        <v/>
      </c>
      <c r="CW527" s="79" t="str">
        <f t="shared" si="148"/>
        <v/>
      </c>
      <c r="CX527" s="79" t="str">
        <f t="shared" si="149"/>
        <v/>
      </c>
      <c r="CY527" s="79" t="str">
        <f t="shared" si="150"/>
        <v/>
      </c>
      <c r="CZ527" s="79" t="str">
        <f t="shared" si="151"/>
        <v/>
      </c>
      <c r="DA527" s="79" t="str">
        <f t="shared" si="152"/>
        <v/>
      </c>
      <c r="DB527" s="79" t="str">
        <f t="shared" si="153"/>
        <v/>
      </c>
      <c r="DC527" s="79" t="str">
        <f t="shared" si="154"/>
        <v/>
      </c>
      <c r="DD527" s="79" t="str">
        <f t="shared" si="155"/>
        <v/>
      </c>
      <c r="DE527" s="79" t="str">
        <f t="shared" si="156"/>
        <v/>
      </c>
      <c r="DF527" s="79" t="str">
        <f t="shared" si="157"/>
        <v/>
      </c>
      <c r="DG527" s="79" t="str">
        <f t="shared" si="158"/>
        <v/>
      </c>
      <c r="DH527" s="76"/>
      <c r="DI527" s="78"/>
      <c r="DJ527" s="76"/>
      <c r="DK527" s="77"/>
      <c r="DL527" s="77"/>
      <c r="DM527" s="77"/>
      <c r="DN527" s="80"/>
      <c r="DO527" s="80"/>
      <c r="DP527" s="92" t="str">
        <f>IF(Table1[Start Date]="","",IF(Table1[Start Date]&gt;42185,"",IF(AND(Table1[Leaving Date]&gt;1,Table1[Leaving Date]&lt;42095),"",1)))</f>
        <v/>
      </c>
      <c r="DQ527" s="92" t="str">
        <f>IF(Table1[Start Date]="","",IF(Table1[Start Date]&gt;42277,"",IF(AND(Table1[Leaving Date]&gt;1,Table1[Leaving Date]&lt;42186),"",1)))</f>
        <v/>
      </c>
      <c r="DR527" s="92" t="str">
        <f>IF(Table1[Start Date]="","",IF(Table1[Start Date]&gt;42369,"",IF(AND(Table1[Leaving Date]&gt;1,Table1[Leaving Date]&lt;42278),"",1)))</f>
        <v/>
      </c>
      <c r="DS527" s="92" t="str">
        <f>IF(Table1[Start Date]="","",IF(Table1[Start Date]&gt;42460,"",IF(AND(Table1[Leaving Date]&gt;1,Table1[Leaving Date]&lt;42370),"",1)))</f>
        <v/>
      </c>
      <c r="DT527" s="92" t="str">
        <f>IF(Table1[Start Date]="","",IF(Table1[Start Date]&gt;42551,"",IF(AND(Table1[Leaving Date]&gt;1,Table1[Leaving Date]&lt;42461),"",1)))</f>
        <v/>
      </c>
      <c r="DU527" s="92" t="str">
        <f>IF(Table1[Start Date]="","",IF(Table1[Start Date]&gt;42643,"",IF(AND(Table1[Leaving Date]&gt;1,Table1[Leaving Date]&lt;42552),"",1)))</f>
        <v/>
      </c>
      <c r="DV527" s="92" t="str">
        <f>IF(Table1[Start Date]="","",IF(Table1[Start Date]&gt;42735,"",IF(AND(Table1[Leaving Date]&gt;1,Table1[Leaving Date]&lt;42644),"",1)))</f>
        <v/>
      </c>
      <c r="DW527" s="92" t="str">
        <f>IF(Table1[Start Date]="","",IF(Table1[Start Date]&gt;42825,"",IF(AND(Table1[Leaving Date]&gt;1,Table1[Leaving Date]&lt;42736),"",1)))</f>
        <v/>
      </c>
      <c r="DX527"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527" s="44" t="e">
        <f>VLOOKUP(Table1[Referral Source],Lists!$G$2:$H$20,2,FALSE)</f>
        <v>#N/A</v>
      </c>
      <c r="DZ527" s="93" t="e">
        <f>SUM(Table1[Data Referral Quarter]+Table1[Data Referral Source])</f>
        <v>#N/A</v>
      </c>
      <c r="EA527" s="44" t="b">
        <f>IF(Table1[Referral Decision]="Accepted",100,IF(Table1[Referral Decision]="Rejected by Provider",200,IF(Table1[Referral Decision]="Rejected by Applicant",300)))</f>
        <v>0</v>
      </c>
      <c r="EB527" s="44">
        <f>SUM(Table1[Data Referral Quarter]+Table1[Data Referral Decision])</f>
        <v>0</v>
      </c>
      <c r="EC527" s="44" t="b">
        <f>IF(Table1[Start Date]&gt;42735,8000,IF(Table1[Start Date]&gt;42643,7000,IF(Table1[Start Date]&gt;42551,6000,IF(Table1[Start Date]&gt;42460,5000,IF(Table1[Start Date]&gt;42369,4000,IF(Table1[Start Date]&gt;42277,3000,IF(Table1[Start Date]&gt;42185,2000,IF(Table1[Start Date]&gt;42094,1000))))))))</f>
        <v>0</v>
      </c>
      <c r="ED527" s="44" t="str">
        <f>IF(Table1[Start Date]="","",IF(Table1[Current Local Authority]="Swindon",1,"2"))</f>
        <v/>
      </c>
      <c r="EE527" s="44" t="e">
        <f>SUM(Table1[Data Start Date]+Table1[Data Local Authority])</f>
        <v>#VALUE!</v>
      </c>
      <c r="EF527" s="44">
        <f>IF(Table1[Registered with GP]="Yes",1,0)</f>
        <v>0</v>
      </c>
      <c r="EG527" s="44">
        <f>SUM(Table1[Data Start Date]+Table1[Data GP Start])</f>
        <v>0</v>
      </c>
      <c r="EH527" s="44" t="str">
        <f>IF(Table1[EET]="NEET",1,IF(Table1[EET]="Education",2,IF(Table1[EET]="Employment",2,IF(Table1[EET]="Training",2,IF(Table1[EET]="Retired",3,"")))))</f>
        <v/>
      </c>
      <c r="EI527" s="44" t="e">
        <f>Table1[Data Start Date]+Table1[Data EET Start]</f>
        <v>#VALUE!</v>
      </c>
      <c r="EJ527" s="44" t="b">
        <f>IF(Table1[Leaving Date]&gt;42735,8000,IF(Table1[Leaving Date]&gt;42643,7000,IF(Table1[Leaving Date]&gt;42551,6000,IF(Table1[Leaving Date]&gt;42460,5000,IF(Table1[Leaving Date]&gt;42369,4000,IF(Table1[Leaving Date]&gt;42277,3000,IF(Table1[Leaving Date]&gt;42185,2000,IF(Table1[Leaving Date]&gt;42094,1000))))))))</f>
        <v>0</v>
      </c>
      <c r="EK527" s="44" t="e">
        <f>VLOOKUP(Table1[Reason for Leaving],Lists!$T$2:$U$15,2,FALSE)</f>
        <v>#N/A</v>
      </c>
      <c r="EL527" s="44" t="e">
        <f>SUM(Table1[Data Leavers Date]+Table1[Data Move On])</f>
        <v>#N/A</v>
      </c>
      <c r="EM527" s="44" t="b">
        <f>IF(Table1[Registered with GP2]="Yes",1,IF(Table1[Registered with GP2]="No",0,IF(Table1[Registered with GP]="Yes",1,IF(Table1[Registered with GP]="No",0))))</f>
        <v>0</v>
      </c>
      <c r="EN527" s="44">
        <f>SUM(Table1[Data Leavers Date]+Table1[Data GP End])</f>
        <v>0</v>
      </c>
      <c r="EO527" s="44" t="str">
        <f>IF(Table1[EET2]="NEET",1,IF(Table1[EET2]="Employment",2,IF(Table1[EET2]="Education",2,IF(Table1[EET2]="Training",2,IF(Table1[EET2]="Retired",3,IF(Table1[EET]="NEET",1,IF(Table1[EET]="Employment",2,IF(Table1[EET]="Education",2,IF(Table1[EET]="Training",2,IF(Table1[EET]="Retired",3,""))))))))))</f>
        <v/>
      </c>
      <c r="EP527" s="44" t="e">
        <f>+Table1[[#This Row],[Data Leavers Date]]+Table1[[#This Row],[Data EET End]]</f>
        <v>#VALUE!</v>
      </c>
      <c r="EQ527" s="44">
        <f>IF(Table1[Exit Form Received]="Yes",1,0)</f>
        <v>0</v>
      </c>
      <c r="ER527" s="44">
        <f>+Table1[[#This Row],[Data Leavers Date]]+Table1[[#This Row],[Data Exit Forms]]</f>
        <v>0</v>
      </c>
      <c r="ES527" s="44" t="str">
        <f>IF(Table1[Data Leavers Date]=1000,SUM(Table1[Leaving Date]-Table1[Start Date]),"")</f>
        <v/>
      </c>
      <c r="ET527" s="44" t="str">
        <f>IF(Table1[Data Leavers Date]=2000,SUM(Table1[Leaving Date]-Table1[Start Date]),"")</f>
        <v/>
      </c>
      <c r="EU527" s="44" t="str">
        <f>IF(Table1[Data Leavers Date]=3000,SUM(Table1[Leaving Date]-Table1[Start Date]),"")</f>
        <v/>
      </c>
      <c r="EV527" s="44" t="str">
        <f>IF(Table1[Data Leavers Date]=4000,SUM(Table1[Leaving Date]-Table1[Start Date]),"")</f>
        <v/>
      </c>
      <c r="EW527" s="44" t="str">
        <f>IF(Table1[Data Leavers Date]=5000,SUM(Table1[Leaving Date]-Table1[Start Date]),"")</f>
        <v/>
      </c>
      <c r="EX527" s="44" t="str">
        <f>IF(Table1[Data Leavers Date]=6000,SUM(Table1[Leaving Date]-Table1[Start Date]),"")</f>
        <v/>
      </c>
      <c r="EY527" s="44" t="str">
        <f>IF(Table1[Data Leavers Date]=7000,SUM(Table1[Leaving Date]-Table1[Start Date]),"")</f>
        <v/>
      </c>
      <c r="EZ527" s="44" t="str">
        <f>IF(Table1[Data Leavers Date]=8000,SUM(Table1[Leaving Date]-Table1[Start Date]),"")</f>
        <v/>
      </c>
      <c r="FA527" s="44" t="str">
        <f>IF(Table1[Date of Initial Assessment]="","",IF(AND(Table1[Start Date]&gt;42094,Table1[Start Date]&lt;42461),Table1[Motivation and Taking Responsibility],""))</f>
        <v/>
      </c>
      <c r="FB527" s="44" t="str">
        <f>IF(Table1[Date of Initial Assessment]="","",IF(AND(Table1[Start Date]&gt;42094,Table1[Start Date]&lt;42461),Table1[Self-Care and Living Skills],""))</f>
        <v/>
      </c>
      <c r="FC527" s="44" t="str">
        <f>IF(Table1[Date of Initial Assessment]="","",IF(AND(Table1[Start Date]&gt;42094,Table1[Start Date]&lt;42461),Table1[Managing Money and Personal Administration],""))</f>
        <v/>
      </c>
      <c r="FD527" s="44" t="str">
        <f>IF(Table1[Date of Initial Assessment]="","",IF(AND(Table1[Start Date]&gt;42094,Table1[Start Date]&lt;42461),Table1[Social Networks and Relationships],""))</f>
        <v/>
      </c>
      <c r="FE527" s="44" t="str">
        <f>IF(Table1[Date of Initial Assessment]="","",IF(AND(Table1[Start Date]&gt;42094,Table1[Start Date]&lt;42461),Table1[Drug and Alcohol Misuse],""))</f>
        <v/>
      </c>
      <c r="FF527" s="44" t="str">
        <f>IF(Table1[Date of Initial Assessment]="","",IF(AND(Table1[Start Date]&gt;42094,Table1[Start Date]&lt;42461),Table1[Physical Health],""))</f>
        <v/>
      </c>
      <c r="FG527" s="44" t="str">
        <f>IF(Table1[Date of Initial Assessment]="","",IF(AND(Table1[Start Date]&gt;42094,Table1[Start Date]&lt;42461),Table1[Emotional and Mental Health],""))</f>
        <v/>
      </c>
      <c r="FH527" s="44" t="str">
        <f>IF(Table1[Date of Initial Assessment]="","",IF(AND(Table1[Start Date]&gt;42094,Table1[Start Date]&lt;42461),Table1[Meaningful Use of Time],""))</f>
        <v/>
      </c>
      <c r="FI527" s="44" t="str">
        <f>IF(Table1[Date of Initial Assessment]="","",IF(AND(Table1[Start Date]&gt;42094,Table1[Start Date]&lt;42461),Table1[Managing Tenancy and Accommodation],""))</f>
        <v/>
      </c>
      <c r="FJ527" s="44" t="str">
        <f>IF(Table1[Date of Initial Assessment]="","",IF(AND(Table1[Start Date]&gt;42094,Table1[Start Date]&lt;42461),Table1[Offending],""))</f>
        <v/>
      </c>
      <c r="FK527" s="44" t="str">
        <f>IF(Table1[Leaving Date]="","",IF(Table1[Date of Initial Assessment]="","",IF(AND(Table1[Leaving Date]&gt;42094,Table1[Leaving Date]&lt;42461),IF(Table1[Date of Last Assessment]="",Table1[Motivation and Taking Responsibility],Table1[Motivation and Taking Responsibility2]),"")))</f>
        <v/>
      </c>
      <c r="FL527" s="44" t="str">
        <f>IF(Table1[Leaving Date]="","",IF(Table1[Date of Initial Assessment]="","",IF(AND(Table1[Leaving Date]&gt;42094,Table1[Leaving Date]&lt;42461),IF(Table1[Date of Last Assessment]="",Table1[Self-Care and Living Skills],Table1[Self-Care and Living Skills2]),"")))</f>
        <v/>
      </c>
      <c r="FM527" s="44" t="str">
        <f>IF(Table1[Leaving Date]="","",IF(Table1[Date of Initial Assessment]="","",IF(AND(Table1[Leaving Date]&gt;42094,Table1[Leaving Date]&lt;42461),IF(Table1[Date of Last Assessment]="",Table1[Managing Money and Personal Administration],Table1[Managing Money and Personal Administration2]),"")))</f>
        <v/>
      </c>
      <c r="FN527" s="44" t="str">
        <f>IF(Table1[Leaving Date]="","",IF(Table1[Date of Initial Assessment]="","",IF(AND(Table1[Leaving Date]&gt;42094,Table1[Leaving Date]&lt;42461),IF(Table1[Date of Last Assessment]="",Table1[Social Networks and Relationships],Table1[Social Networks and Relationships2]),"")))</f>
        <v/>
      </c>
      <c r="FO527" s="44" t="str">
        <f>IF(Table1[Leaving Date]="","",IF(Table1[Date of Initial Assessment]="","",IF(AND(Table1[Leaving Date]&gt;42094,Table1[Leaving Date]&lt;42461),IF(Table1[Date of Last Assessment]="",Table1[Drug and Alcohol Misuse],Table1[Drug and Alcohol Misuse2]),"")))</f>
        <v/>
      </c>
      <c r="FP527" s="44" t="str">
        <f>IF(Table1[Leaving Date]="","",IF(Table1[Date of Initial Assessment]="","",IF(AND(Table1[Leaving Date]&gt;42094,Table1[Leaving Date]&lt;42461),IF(Table1[Date of Last Assessment]="",Table1[Physical Health],Table1[Physical Health2]),"")))</f>
        <v/>
      </c>
      <c r="FQ527" s="44" t="str">
        <f>IF(Table1[Leaving Date]="","",IF(Table1[Date of Initial Assessment]="","",IF(AND(Table1[Leaving Date]&gt;42094,Table1[Leaving Date]&lt;42461),IF(Table1[Date of Last Assessment]="",Table1[Emotional and Mental Health],Table1[Emotional and Mental Health2]),"")))</f>
        <v/>
      </c>
      <c r="FR527" s="44" t="str">
        <f>IF(Table1[Leaving Date]="","",IF(Table1[Date of Initial Assessment]="","",IF(AND(Table1[Leaving Date]&gt;42094,Table1[Leaving Date]&lt;42461),IF(Table1[Date of Last Assessment]="",Table1[Meaningful Use of Time],Table1[Meaningful Use of Time2]),"")))</f>
        <v/>
      </c>
      <c r="FS527" s="44" t="str">
        <f>IF(Table1[Leaving Date]="","",IF(Table1[Date of Initial Assessment]="","",IF(AND(Table1[Leaving Date]&gt;42094,Table1[Leaving Date]&lt;42461),IF(Table1[Date of Last Assessment]="",Table1[Managing Tenancy and Accommodation],Table1[Managing Tenancy and Accommodation2]),"")))</f>
        <v/>
      </c>
      <c r="FT527" s="44" t="str">
        <f>IF(Table1[Leaving Date]="","",IF(Table1[Date of Initial Assessment]="","",IF(AND(Table1[Leaving Date]&gt;42094,Table1[Leaving Date]&lt;42461),IF(Table1[Date of Last Assessment]="",Table1[Offending],Table1[Offending2]),"")))</f>
        <v/>
      </c>
      <c r="FU527" s="44" t="str">
        <f>IF(Table1[Date of Initial Assessment]="","",IF(AND(Table1[Start Date]&gt;42460,Table1[Start Date]&lt;42826),Table1[Motivation and Taking Responsibility],""))</f>
        <v/>
      </c>
      <c r="FV527" s="44" t="str">
        <f>IF(Table1[Date of Initial Assessment]="","",IF(AND(Table1[Start Date]&gt;42460,Table1[Start Date]&lt;42826),Table1[Self-Care and Living Skills],""))</f>
        <v/>
      </c>
      <c r="FW527" s="44" t="str">
        <f>IF(Table1[Date of Initial Assessment]="","",IF(AND(Table1[Start Date]&gt;42460,Table1[Start Date]&lt;42826),Table1[Managing Money and Personal Administration],""))</f>
        <v/>
      </c>
      <c r="FX527" s="44" t="str">
        <f>IF(Table1[Date of Initial Assessment]="","",IF(AND(Table1[Start Date]&gt;42460,Table1[Start Date]&lt;42826),Table1[Social Networks and Relationships],""))</f>
        <v/>
      </c>
      <c r="FY527" s="44" t="str">
        <f>IF(Table1[Date of Initial Assessment]="","",IF(AND(Table1[Start Date]&gt;42460,Table1[Start Date]&lt;42826),Table1[Drug and Alcohol Misuse],""))</f>
        <v/>
      </c>
      <c r="FZ527" s="44" t="str">
        <f>IF(Table1[Date of Initial Assessment]="","",IF(AND(Table1[Start Date]&gt;42460,Table1[Start Date]&lt;42826),Table1[Physical Health],""))</f>
        <v/>
      </c>
      <c r="GA527" s="44" t="str">
        <f>IF(Table1[Date of Initial Assessment]="","",IF(AND(Table1[Start Date]&gt;42460,Table1[Start Date]&lt;42826),Table1[Emotional and Mental Health],""))</f>
        <v/>
      </c>
      <c r="GB527" s="44" t="str">
        <f>IF(Table1[Date of Initial Assessment]="","",IF(AND(Table1[Start Date]&gt;42460,Table1[Start Date]&lt;42826),Table1[Meaningful Use of Time],""))</f>
        <v/>
      </c>
      <c r="GC527" s="44" t="str">
        <f>IF(Table1[Date of Initial Assessment]="","",IF(AND(Table1[Start Date]&gt;42460,Table1[Start Date]&lt;42826),Table1[Managing Tenancy and Accommodation],""))</f>
        <v/>
      </c>
      <c r="GD527" s="44" t="str">
        <f>IF(Table1[Date of Initial Assessment]="","",IF(AND(Table1[Start Date]&gt;42460,Table1[Start Date]&lt;42826),Table1[Offending],""))</f>
        <v/>
      </c>
      <c r="GE527" s="44" t="str">
        <f>IF(Table1[Leaving Date]="","",IF(AND(Table1[Leaving Date]&gt;42460,Table1[Leaving Date]&lt;42826),IF(Table1[Date of Last Assessment]="",Table1[Motivation and Taking Responsibility],Table1[Motivation and Taking Responsibility2]),""))</f>
        <v/>
      </c>
      <c r="GF527" s="44" t="str">
        <f>IF(Table1[Leaving Date]="","",IF(AND(Table1[Leaving Date]&gt;42460,Table1[Leaving Date]&lt;42826),IF(Table1[Date of Last Assessment]="",Table1[Self-Care and Living Skills],Table1[Self-Care and Living Skills2]),""))</f>
        <v/>
      </c>
      <c r="GG527" s="44" t="str">
        <f>IF(Table1[Leaving Date]="","",IF(AND(Table1[Leaving Date]&gt;42460,Table1[Leaving Date]&lt;42826),IF(Table1[Date of Last Assessment]="",Table1[Managing Money and Personal Administration],Table1[Managing Money and Personal Administration2]),""))</f>
        <v/>
      </c>
      <c r="GH527" s="44" t="str">
        <f>IF(Table1[Leaving Date]="","",IF(AND(Table1[Leaving Date]&gt;42460,Table1[Leaving Date]&lt;42826),IF(Table1[Date of Last Assessment]="",Table1[Social Networks and Relationships],Table1[Social Networks and Relationships2]),""))</f>
        <v/>
      </c>
      <c r="GI527" s="44" t="str">
        <f>IF(Table1[Leaving Date]="","",IF(AND(Table1[Leaving Date]&gt;42460,Table1[Leaving Date]&lt;42826),IF(Table1[Date of Last Assessment]="",Table1[Drug and Alcohol Misuse],Table1[Drug and Alcohol Misuse2]),""))</f>
        <v/>
      </c>
      <c r="GJ527" s="44" t="str">
        <f>IF(Table1[Leaving Date]="","",IF(AND(Table1[Leaving Date]&gt;42460,Table1[Leaving Date]&lt;42826),IF(Table1[Date of Last Assessment]="",Table1[Physical Health],Table1[Physical Health2]),""))</f>
        <v/>
      </c>
      <c r="GK527" s="44" t="str">
        <f>IF(Table1[Leaving Date]="","",IF(AND(Table1[Leaving Date]&gt;42460,Table1[Leaving Date]&lt;42826),IF(Table1[Date of Last Assessment]="",Table1[Emotional and Mental Health],Table1[Emotional and Mental Health2]),""))</f>
        <v/>
      </c>
      <c r="GL527" s="44" t="str">
        <f>IF(Table1[Leaving Date]="","",IF(AND(Table1[Leaving Date]&gt;42460,Table1[Leaving Date]&lt;42826),IF(Table1[Date of Last Assessment]="",Table1[Meaningful Use of Time],Table1[Meaningful Use of Time2]),""))</f>
        <v/>
      </c>
      <c r="GM527" s="44" t="str">
        <f>IF(Table1[Leaving Date]="","",IF(AND(Table1[Leaving Date]&gt;42460,Table1[Leaving Date]&lt;42826),IF(Table1[Date of Last Assessment]="",Table1[Managing Tenancy and Accommodation],Table1[Managing Tenancy and Accommodation2]),""))</f>
        <v/>
      </c>
      <c r="GN527" s="44" t="str">
        <f>IF(Table1[Leaving Date]="","",IF(AND(Table1[Leaving Date]&gt;42460,Table1[Leaving Date]&lt;42826),IF(Table1[Date of Last Assessment]="",Table1[Offending],Table1[Offending2]),""))</f>
        <v/>
      </c>
    </row>
    <row r="528" spans="2:196" ht="20.100000000000001" customHeight="1" x14ac:dyDescent="0.2">
      <c r="B528" s="86">
        <f>+'Service Data'!$C$5:$C$5</f>
        <v>0</v>
      </c>
      <c r="C528" s="86"/>
      <c r="D528" s="86"/>
      <c r="E528" s="86"/>
      <c r="F528" s="86"/>
      <c r="G528" s="86"/>
      <c r="H528" s="6"/>
      <c r="I528" s="99" t="str">
        <f ca="1">IF(Table1[[#This Row],[Date of Birth]]="","",SUM(TODAY()-Table1[[#This Row],[Date of Birth]])/365)</f>
        <v/>
      </c>
      <c r="L528" s="86"/>
      <c r="M528" s="77"/>
      <c r="N528" s="86"/>
      <c r="O528" s="86"/>
      <c r="P528" s="91"/>
      <c r="Q528" s="86"/>
      <c r="R528" s="77"/>
      <c r="S528" s="77"/>
      <c r="T528" s="68"/>
      <c r="U528" s="68"/>
      <c r="V528" s="67"/>
      <c r="W528" s="67"/>
      <c r="X528" s="67"/>
      <c r="Y528" s="67"/>
      <c r="Z528" s="67"/>
      <c r="AA528" s="67"/>
      <c r="AB528" s="67"/>
      <c r="AC528" s="67"/>
      <c r="AD528" s="67"/>
      <c r="AE528" s="67"/>
      <c r="AF528" s="67"/>
      <c r="AG528" s="67"/>
      <c r="AH528" s="67"/>
      <c r="AI528" s="67"/>
      <c r="AJ528" s="67"/>
      <c r="AK528" s="67"/>
      <c r="AL528" s="67"/>
      <c r="AM528" s="67"/>
      <c r="AN528" s="77"/>
      <c r="AO528" s="76"/>
      <c r="AP528" s="77"/>
      <c r="AQ528" s="76"/>
      <c r="AR528" s="76"/>
      <c r="AS528" s="76"/>
      <c r="AT528" s="76"/>
      <c r="AU528" s="76"/>
      <c r="AV528" s="77"/>
      <c r="AW528" s="76"/>
      <c r="AX528" s="77"/>
      <c r="AY528" s="76"/>
      <c r="AZ528" s="76"/>
      <c r="BA528" s="76"/>
      <c r="BB528" s="76"/>
      <c r="BC528" s="76"/>
      <c r="BD528" s="77"/>
      <c r="BE528" s="76"/>
      <c r="BF528" s="77"/>
      <c r="BG528" s="76"/>
      <c r="BH528" s="76"/>
      <c r="BI528" s="76"/>
      <c r="BJ528" s="76"/>
      <c r="BK528" s="76"/>
      <c r="BL528" s="77"/>
      <c r="BM528" s="76"/>
      <c r="BN528" s="77"/>
      <c r="BO528" s="76"/>
      <c r="BP528" s="76"/>
      <c r="BQ528" s="76"/>
      <c r="BR528" s="76"/>
      <c r="BS528" s="76"/>
      <c r="BT528" s="77"/>
      <c r="BU528" s="76"/>
      <c r="BV528" s="77"/>
      <c r="BW528" s="76"/>
      <c r="BX528" s="76"/>
      <c r="BY528" s="76"/>
      <c r="BZ528" s="76"/>
      <c r="CA528" s="76"/>
      <c r="CB528" s="77"/>
      <c r="CC528" s="76"/>
      <c r="CD528" s="77"/>
      <c r="CE528" s="76"/>
      <c r="CF528" s="76"/>
      <c r="CG528" s="76"/>
      <c r="CH528" s="76"/>
      <c r="CI528" s="76"/>
      <c r="CJ528" s="77"/>
      <c r="CK528" s="76"/>
      <c r="CL528" s="77"/>
      <c r="CM528" s="76"/>
      <c r="CN528" s="76"/>
      <c r="CO528" s="76"/>
      <c r="CP528" s="76"/>
      <c r="CQ528" s="76"/>
      <c r="CR528" s="78" t="str">
        <f t="shared" si="143"/>
        <v/>
      </c>
      <c r="CS528" s="79" t="str">
        <f t="shared" si="144"/>
        <v/>
      </c>
      <c r="CT528" s="79" t="str">
        <f t="shared" si="145"/>
        <v/>
      </c>
      <c r="CU528" s="79" t="str">
        <f t="shared" si="146"/>
        <v/>
      </c>
      <c r="CV528" s="79" t="str">
        <f t="shared" si="147"/>
        <v/>
      </c>
      <c r="CW528" s="79" t="str">
        <f t="shared" si="148"/>
        <v/>
      </c>
      <c r="CX528" s="79" t="str">
        <f t="shared" si="149"/>
        <v/>
      </c>
      <c r="CY528" s="79" t="str">
        <f t="shared" si="150"/>
        <v/>
      </c>
      <c r="CZ528" s="79" t="str">
        <f t="shared" si="151"/>
        <v/>
      </c>
      <c r="DA528" s="79" t="str">
        <f t="shared" si="152"/>
        <v/>
      </c>
      <c r="DB528" s="79" t="str">
        <f t="shared" si="153"/>
        <v/>
      </c>
      <c r="DC528" s="79" t="str">
        <f t="shared" si="154"/>
        <v/>
      </c>
      <c r="DD528" s="79" t="str">
        <f t="shared" si="155"/>
        <v/>
      </c>
      <c r="DE528" s="79" t="str">
        <f t="shared" si="156"/>
        <v/>
      </c>
      <c r="DF528" s="79" t="str">
        <f t="shared" si="157"/>
        <v/>
      </c>
      <c r="DG528" s="79" t="str">
        <f t="shared" si="158"/>
        <v/>
      </c>
      <c r="DH528" s="76"/>
      <c r="DI528" s="78"/>
      <c r="DJ528" s="76"/>
      <c r="DK528" s="77"/>
      <c r="DL528" s="77"/>
      <c r="DM528" s="77"/>
      <c r="DN528" s="80"/>
      <c r="DO528" s="80"/>
      <c r="DP528" s="92" t="str">
        <f>IF(Table1[Start Date]="","",IF(Table1[Start Date]&gt;42185,"",IF(AND(Table1[Leaving Date]&gt;1,Table1[Leaving Date]&lt;42095),"",1)))</f>
        <v/>
      </c>
      <c r="DQ528" s="92" t="str">
        <f>IF(Table1[Start Date]="","",IF(Table1[Start Date]&gt;42277,"",IF(AND(Table1[Leaving Date]&gt;1,Table1[Leaving Date]&lt;42186),"",1)))</f>
        <v/>
      </c>
      <c r="DR528" s="92" t="str">
        <f>IF(Table1[Start Date]="","",IF(Table1[Start Date]&gt;42369,"",IF(AND(Table1[Leaving Date]&gt;1,Table1[Leaving Date]&lt;42278),"",1)))</f>
        <v/>
      </c>
      <c r="DS528" s="92" t="str">
        <f>IF(Table1[Start Date]="","",IF(Table1[Start Date]&gt;42460,"",IF(AND(Table1[Leaving Date]&gt;1,Table1[Leaving Date]&lt;42370),"",1)))</f>
        <v/>
      </c>
      <c r="DT528" s="92" t="str">
        <f>IF(Table1[Start Date]="","",IF(Table1[Start Date]&gt;42551,"",IF(AND(Table1[Leaving Date]&gt;1,Table1[Leaving Date]&lt;42461),"",1)))</f>
        <v/>
      </c>
      <c r="DU528" s="92" t="str">
        <f>IF(Table1[Start Date]="","",IF(Table1[Start Date]&gt;42643,"",IF(AND(Table1[Leaving Date]&gt;1,Table1[Leaving Date]&lt;42552),"",1)))</f>
        <v/>
      </c>
      <c r="DV528" s="92" t="str">
        <f>IF(Table1[Start Date]="","",IF(Table1[Start Date]&gt;42735,"",IF(AND(Table1[Leaving Date]&gt;1,Table1[Leaving Date]&lt;42644),"",1)))</f>
        <v/>
      </c>
      <c r="DW528" s="92" t="str">
        <f>IF(Table1[Start Date]="","",IF(Table1[Start Date]&gt;42825,"",IF(AND(Table1[Leaving Date]&gt;1,Table1[Leaving Date]&lt;42736),"",1)))</f>
        <v/>
      </c>
      <c r="DX528"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528" s="44" t="e">
        <f>VLOOKUP(Table1[Referral Source],Lists!$G$2:$H$20,2,FALSE)</f>
        <v>#N/A</v>
      </c>
      <c r="DZ528" s="93" t="e">
        <f>SUM(Table1[Data Referral Quarter]+Table1[Data Referral Source])</f>
        <v>#N/A</v>
      </c>
      <c r="EA528" s="44" t="b">
        <f>IF(Table1[Referral Decision]="Accepted",100,IF(Table1[Referral Decision]="Rejected by Provider",200,IF(Table1[Referral Decision]="Rejected by Applicant",300)))</f>
        <v>0</v>
      </c>
      <c r="EB528" s="44">
        <f>SUM(Table1[Data Referral Quarter]+Table1[Data Referral Decision])</f>
        <v>0</v>
      </c>
      <c r="EC528" s="44" t="b">
        <f>IF(Table1[Start Date]&gt;42735,8000,IF(Table1[Start Date]&gt;42643,7000,IF(Table1[Start Date]&gt;42551,6000,IF(Table1[Start Date]&gt;42460,5000,IF(Table1[Start Date]&gt;42369,4000,IF(Table1[Start Date]&gt;42277,3000,IF(Table1[Start Date]&gt;42185,2000,IF(Table1[Start Date]&gt;42094,1000))))))))</f>
        <v>0</v>
      </c>
      <c r="ED528" s="44" t="str">
        <f>IF(Table1[Start Date]="","",IF(Table1[Current Local Authority]="Swindon",1,"2"))</f>
        <v/>
      </c>
      <c r="EE528" s="44" t="e">
        <f>SUM(Table1[Data Start Date]+Table1[Data Local Authority])</f>
        <v>#VALUE!</v>
      </c>
      <c r="EF528" s="44">
        <f>IF(Table1[Registered with GP]="Yes",1,0)</f>
        <v>0</v>
      </c>
      <c r="EG528" s="44">
        <f>SUM(Table1[Data Start Date]+Table1[Data GP Start])</f>
        <v>0</v>
      </c>
      <c r="EH528" s="44" t="str">
        <f>IF(Table1[EET]="NEET",1,IF(Table1[EET]="Education",2,IF(Table1[EET]="Employment",2,IF(Table1[EET]="Training",2,IF(Table1[EET]="Retired",3,"")))))</f>
        <v/>
      </c>
      <c r="EI528" s="44" t="e">
        <f>Table1[Data Start Date]+Table1[Data EET Start]</f>
        <v>#VALUE!</v>
      </c>
      <c r="EJ528" s="44" t="b">
        <f>IF(Table1[Leaving Date]&gt;42735,8000,IF(Table1[Leaving Date]&gt;42643,7000,IF(Table1[Leaving Date]&gt;42551,6000,IF(Table1[Leaving Date]&gt;42460,5000,IF(Table1[Leaving Date]&gt;42369,4000,IF(Table1[Leaving Date]&gt;42277,3000,IF(Table1[Leaving Date]&gt;42185,2000,IF(Table1[Leaving Date]&gt;42094,1000))))))))</f>
        <v>0</v>
      </c>
      <c r="EK528" s="44" t="e">
        <f>VLOOKUP(Table1[Reason for Leaving],Lists!$T$2:$U$15,2,FALSE)</f>
        <v>#N/A</v>
      </c>
      <c r="EL528" s="44" t="e">
        <f>SUM(Table1[Data Leavers Date]+Table1[Data Move On])</f>
        <v>#N/A</v>
      </c>
      <c r="EM528" s="44" t="b">
        <f>IF(Table1[Registered with GP2]="Yes",1,IF(Table1[Registered with GP2]="No",0,IF(Table1[Registered with GP]="Yes",1,IF(Table1[Registered with GP]="No",0))))</f>
        <v>0</v>
      </c>
      <c r="EN528" s="44">
        <f>SUM(Table1[Data Leavers Date]+Table1[Data GP End])</f>
        <v>0</v>
      </c>
      <c r="EO528" s="44" t="str">
        <f>IF(Table1[EET2]="NEET",1,IF(Table1[EET2]="Employment",2,IF(Table1[EET2]="Education",2,IF(Table1[EET2]="Training",2,IF(Table1[EET2]="Retired",3,IF(Table1[EET]="NEET",1,IF(Table1[EET]="Employment",2,IF(Table1[EET]="Education",2,IF(Table1[EET]="Training",2,IF(Table1[EET]="Retired",3,""))))))))))</f>
        <v/>
      </c>
      <c r="EP528" s="44" t="e">
        <f>+Table1[[#This Row],[Data Leavers Date]]+Table1[[#This Row],[Data EET End]]</f>
        <v>#VALUE!</v>
      </c>
      <c r="EQ528" s="44">
        <f>IF(Table1[Exit Form Received]="Yes",1,0)</f>
        <v>0</v>
      </c>
      <c r="ER528" s="44">
        <f>+Table1[[#This Row],[Data Leavers Date]]+Table1[[#This Row],[Data Exit Forms]]</f>
        <v>0</v>
      </c>
      <c r="ES528" s="44" t="str">
        <f>IF(Table1[Data Leavers Date]=1000,SUM(Table1[Leaving Date]-Table1[Start Date]),"")</f>
        <v/>
      </c>
      <c r="ET528" s="44" t="str">
        <f>IF(Table1[Data Leavers Date]=2000,SUM(Table1[Leaving Date]-Table1[Start Date]),"")</f>
        <v/>
      </c>
      <c r="EU528" s="44" t="str">
        <f>IF(Table1[Data Leavers Date]=3000,SUM(Table1[Leaving Date]-Table1[Start Date]),"")</f>
        <v/>
      </c>
      <c r="EV528" s="44" t="str">
        <f>IF(Table1[Data Leavers Date]=4000,SUM(Table1[Leaving Date]-Table1[Start Date]),"")</f>
        <v/>
      </c>
      <c r="EW528" s="44" t="str">
        <f>IF(Table1[Data Leavers Date]=5000,SUM(Table1[Leaving Date]-Table1[Start Date]),"")</f>
        <v/>
      </c>
      <c r="EX528" s="44" t="str">
        <f>IF(Table1[Data Leavers Date]=6000,SUM(Table1[Leaving Date]-Table1[Start Date]),"")</f>
        <v/>
      </c>
      <c r="EY528" s="44" t="str">
        <f>IF(Table1[Data Leavers Date]=7000,SUM(Table1[Leaving Date]-Table1[Start Date]),"")</f>
        <v/>
      </c>
      <c r="EZ528" s="44" t="str">
        <f>IF(Table1[Data Leavers Date]=8000,SUM(Table1[Leaving Date]-Table1[Start Date]),"")</f>
        <v/>
      </c>
      <c r="FA528" s="44" t="str">
        <f>IF(Table1[Date of Initial Assessment]="","",IF(AND(Table1[Start Date]&gt;42094,Table1[Start Date]&lt;42461),Table1[Motivation and Taking Responsibility],""))</f>
        <v/>
      </c>
      <c r="FB528" s="44" t="str">
        <f>IF(Table1[Date of Initial Assessment]="","",IF(AND(Table1[Start Date]&gt;42094,Table1[Start Date]&lt;42461),Table1[Self-Care and Living Skills],""))</f>
        <v/>
      </c>
      <c r="FC528" s="44" t="str">
        <f>IF(Table1[Date of Initial Assessment]="","",IF(AND(Table1[Start Date]&gt;42094,Table1[Start Date]&lt;42461),Table1[Managing Money and Personal Administration],""))</f>
        <v/>
      </c>
      <c r="FD528" s="44" t="str">
        <f>IF(Table1[Date of Initial Assessment]="","",IF(AND(Table1[Start Date]&gt;42094,Table1[Start Date]&lt;42461),Table1[Social Networks and Relationships],""))</f>
        <v/>
      </c>
      <c r="FE528" s="44" t="str">
        <f>IF(Table1[Date of Initial Assessment]="","",IF(AND(Table1[Start Date]&gt;42094,Table1[Start Date]&lt;42461),Table1[Drug and Alcohol Misuse],""))</f>
        <v/>
      </c>
      <c r="FF528" s="44" t="str">
        <f>IF(Table1[Date of Initial Assessment]="","",IF(AND(Table1[Start Date]&gt;42094,Table1[Start Date]&lt;42461),Table1[Physical Health],""))</f>
        <v/>
      </c>
      <c r="FG528" s="44" t="str">
        <f>IF(Table1[Date of Initial Assessment]="","",IF(AND(Table1[Start Date]&gt;42094,Table1[Start Date]&lt;42461),Table1[Emotional and Mental Health],""))</f>
        <v/>
      </c>
      <c r="FH528" s="44" t="str">
        <f>IF(Table1[Date of Initial Assessment]="","",IF(AND(Table1[Start Date]&gt;42094,Table1[Start Date]&lt;42461),Table1[Meaningful Use of Time],""))</f>
        <v/>
      </c>
      <c r="FI528" s="44" t="str">
        <f>IF(Table1[Date of Initial Assessment]="","",IF(AND(Table1[Start Date]&gt;42094,Table1[Start Date]&lt;42461),Table1[Managing Tenancy and Accommodation],""))</f>
        <v/>
      </c>
      <c r="FJ528" s="44" t="str">
        <f>IF(Table1[Date of Initial Assessment]="","",IF(AND(Table1[Start Date]&gt;42094,Table1[Start Date]&lt;42461),Table1[Offending],""))</f>
        <v/>
      </c>
      <c r="FK528" s="44" t="str">
        <f>IF(Table1[Leaving Date]="","",IF(Table1[Date of Initial Assessment]="","",IF(AND(Table1[Leaving Date]&gt;42094,Table1[Leaving Date]&lt;42461),IF(Table1[Date of Last Assessment]="",Table1[Motivation and Taking Responsibility],Table1[Motivation and Taking Responsibility2]),"")))</f>
        <v/>
      </c>
      <c r="FL528" s="44" t="str">
        <f>IF(Table1[Leaving Date]="","",IF(Table1[Date of Initial Assessment]="","",IF(AND(Table1[Leaving Date]&gt;42094,Table1[Leaving Date]&lt;42461),IF(Table1[Date of Last Assessment]="",Table1[Self-Care and Living Skills],Table1[Self-Care and Living Skills2]),"")))</f>
        <v/>
      </c>
      <c r="FM528" s="44" t="str">
        <f>IF(Table1[Leaving Date]="","",IF(Table1[Date of Initial Assessment]="","",IF(AND(Table1[Leaving Date]&gt;42094,Table1[Leaving Date]&lt;42461),IF(Table1[Date of Last Assessment]="",Table1[Managing Money and Personal Administration],Table1[Managing Money and Personal Administration2]),"")))</f>
        <v/>
      </c>
      <c r="FN528" s="44" t="str">
        <f>IF(Table1[Leaving Date]="","",IF(Table1[Date of Initial Assessment]="","",IF(AND(Table1[Leaving Date]&gt;42094,Table1[Leaving Date]&lt;42461),IF(Table1[Date of Last Assessment]="",Table1[Social Networks and Relationships],Table1[Social Networks and Relationships2]),"")))</f>
        <v/>
      </c>
      <c r="FO528" s="44" t="str">
        <f>IF(Table1[Leaving Date]="","",IF(Table1[Date of Initial Assessment]="","",IF(AND(Table1[Leaving Date]&gt;42094,Table1[Leaving Date]&lt;42461),IF(Table1[Date of Last Assessment]="",Table1[Drug and Alcohol Misuse],Table1[Drug and Alcohol Misuse2]),"")))</f>
        <v/>
      </c>
      <c r="FP528" s="44" t="str">
        <f>IF(Table1[Leaving Date]="","",IF(Table1[Date of Initial Assessment]="","",IF(AND(Table1[Leaving Date]&gt;42094,Table1[Leaving Date]&lt;42461),IF(Table1[Date of Last Assessment]="",Table1[Physical Health],Table1[Physical Health2]),"")))</f>
        <v/>
      </c>
      <c r="FQ528" s="44" t="str">
        <f>IF(Table1[Leaving Date]="","",IF(Table1[Date of Initial Assessment]="","",IF(AND(Table1[Leaving Date]&gt;42094,Table1[Leaving Date]&lt;42461),IF(Table1[Date of Last Assessment]="",Table1[Emotional and Mental Health],Table1[Emotional and Mental Health2]),"")))</f>
        <v/>
      </c>
      <c r="FR528" s="44" t="str">
        <f>IF(Table1[Leaving Date]="","",IF(Table1[Date of Initial Assessment]="","",IF(AND(Table1[Leaving Date]&gt;42094,Table1[Leaving Date]&lt;42461),IF(Table1[Date of Last Assessment]="",Table1[Meaningful Use of Time],Table1[Meaningful Use of Time2]),"")))</f>
        <v/>
      </c>
      <c r="FS528" s="44" t="str">
        <f>IF(Table1[Leaving Date]="","",IF(Table1[Date of Initial Assessment]="","",IF(AND(Table1[Leaving Date]&gt;42094,Table1[Leaving Date]&lt;42461),IF(Table1[Date of Last Assessment]="",Table1[Managing Tenancy and Accommodation],Table1[Managing Tenancy and Accommodation2]),"")))</f>
        <v/>
      </c>
      <c r="FT528" s="44" t="str">
        <f>IF(Table1[Leaving Date]="","",IF(Table1[Date of Initial Assessment]="","",IF(AND(Table1[Leaving Date]&gt;42094,Table1[Leaving Date]&lt;42461),IF(Table1[Date of Last Assessment]="",Table1[Offending],Table1[Offending2]),"")))</f>
        <v/>
      </c>
      <c r="FU528" s="44" t="str">
        <f>IF(Table1[Date of Initial Assessment]="","",IF(AND(Table1[Start Date]&gt;42460,Table1[Start Date]&lt;42826),Table1[Motivation and Taking Responsibility],""))</f>
        <v/>
      </c>
      <c r="FV528" s="44" t="str">
        <f>IF(Table1[Date of Initial Assessment]="","",IF(AND(Table1[Start Date]&gt;42460,Table1[Start Date]&lt;42826),Table1[Self-Care and Living Skills],""))</f>
        <v/>
      </c>
      <c r="FW528" s="44" t="str">
        <f>IF(Table1[Date of Initial Assessment]="","",IF(AND(Table1[Start Date]&gt;42460,Table1[Start Date]&lt;42826),Table1[Managing Money and Personal Administration],""))</f>
        <v/>
      </c>
      <c r="FX528" s="44" t="str">
        <f>IF(Table1[Date of Initial Assessment]="","",IF(AND(Table1[Start Date]&gt;42460,Table1[Start Date]&lt;42826),Table1[Social Networks and Relationships],""))</f>
        <v/>
      </c>
      <c r="FY528" s="44" t="str">
        <f>IF(Table1[Date of Initial Assessment]="","",IF(AND(Table1[Start Date]&gt;42460,Table1[Start Date]&lt;42826),Table1[Drug and Alcohol Misuse],""))</f>
        <v/>
      </c>
      <c r="FZ528" s="44" t="str">
        <f>IF(Table1[Date of Initial Assessment]="","",IF(AND(Table1[Start Date]&gt;42460,Table1[Start Date]&lt;42826),Table1[Physical Health],""))</f>
        <v/>
      </c>
      <c r="GA528" s="44" t="str">
        <f>IF(Table1[Date of Initial Assessment]="","",IF(AND(Table1[Start Date]&gt;42460,Table1[Start Date]&lt;42826),Table1[Emotional and Mental Health],""))</f>
        <v/>
      </c>
      <c r="GB528" s="44" t="str">
        <f>IF(Table1[Date of Initial Assessment]="","",IF(AND(Table1[Start Date]&gt;42460,Table1[Start Date]&lt;42826),Table1[Meaningful Use of Time],""))</f>
        <v/>
      </c>
      <c r="GC528" s="44" t="str">
        <f>IF(Table1[Date of Initial Assessment]="","",IF(AND(Table1[Start Date]&gt;42460,Table1[Start Date]&lt;42826),Table1[Managing Tenancy and Accommodation],""))</f>
        <v/>
      </c>
      <c r="GD528" s="44" t="str">
        <f>IF(Table1[Date of Initial Assessment]="","",IF(AND(Table1[Start Date]&gt;42460,Table1[Start Date]&lt;42826),Table1[Offending],""))</f>
        <v/>
      </c>
      <c r="GE528" s="44" t="str">
        <f>IF(Table1[Leaving Date]="","",IF(AND(Table1[Leaving Date]&gt;42460,Table1[Leaving Date]&lt;42826),IF(Table1[Date of Last Assessment]="",Table1[Motivation and Taking Responsibility],Table1[Motivation and Taking Responsibility2]),""))</f>
        <v/>
      </c>
      <c r="GF528" s="44" t="str">
        <f>IF(Table1[Leaving Date]="","",IF(AND(Table1[Leaving Date]&gt;42460,Table1[Leaving Date]&lt;42826),IF(Table1[Date of Last Assessment]="",Table1[Self-Care and Living Skills],Table1[Self-Care and Living Skills2]),""))</f>
        <v/>
      </c>
      <c r="GG528" s="44" t="str">
        <f>IF(Table1[Leaving Date]="","",IF(AND(Table1[Leaving Date]&gt;42460,Table1[Leaving Date]&lt;42826),IF(Table1[Date of Last Assessment]="",Table1[Managing Money and Personal Administration],Table1[Managing Money and Personal Administration2]),""))</f>
        <v/>
      </c>
      <c r="GH528" s="44" t="str">
        <f>IF(Table1[Leaving Date]="","",IF(AND(Table1[Leaving Date]&gt;42460,Table1[Leaving Date]&lt;42826),IF(Table1[Date of Last Assessment]="",Table1[Social Networks and Relationships],Table1[Social Networks and Relationships2]),""))</f>
        <v/>
      </c>
      <c r="GI528" s="44" t="str">
        <f>IF(Table1[Leaving Date]="","",IF(AND(Table1[Leaving Date]&gt;42460,Table1[Leaving Date]&lt;42826),IF(Table1[Date of Last Assessment]="",Table1[Drug and Alcohol Misuse],Table1[Drug and Alcohol Misuse2]),""))</f>
        <v/>
      </c>
      <c r="GJ528" s="44" t="str">
        <f>IF(Table1[Leaving Date]="","",IF(AND(Table1[Leaving Date]&gt;42460,Table1[Leaving Date]&lt;42826),IF(Table1[Date of Last Assessment]="",Table1[Physical Health],Table1[Physical Health2]),""))</f>
        <v/>
      </c>
      <c r="GK528" s="44" t="str">
        <f>IF(Table1[Leaving Date]="","",IF(AND(Table1[Leaving Date]&gt;42460,Table1[Leaving Date]&lt;42826),IF(Table1[Date of Last Assessment]="",Table1[Emotional and Mental Health],Table1[Emotional and Mental Health2]),""))</f>
        <v/>
      </c>
      <c r="GL528" s="44" t="str">
        <f>IF(Table1[Leaving Date]="","",IF(AND(Table1[Leaving Date]&gt;42460,Table1[Leaving Date]&lt;42826),IF(Table1[Date of Last Assessment]="",Table1[Meaningful Use of Time],Table1[Meaningful Use of Time2]),""))</f>
        <v/>
      </c>
      <c r="GM528" s="44" t="str">
        <f>IF(Table1[Leaving Date]="","",IF(AND(Table1[Leaving Date]&gt;42460,Table1[Leaving Date]&lt;42826),IF(Table1[Date of Last Assessment]="",Table1[Managing Tenancy and Accommodation],Table1[Managing Tenancy and Accommodation2]),""))</f>
        <v/>
      </c>
      <c r="GN528" s="44" t="str">
        <f>IF(Table1[Leaving Date]="","",IF(AND(Table1[Leaving Date]&gt;42460,Table1[Leaving Date]&lt;42826),IF(Table1[Date of Last Assessment]="",Table1[Offending],Table1[Offending2]),""))</f>
        <v/>
      </c>
    </row>
    <row r="529" spans="2:196" ht="20.100000000000001" customHeight="1" x14ac:dyDescent="0.2">
      <c r="B529" s="86">
        <f>+'Service Data'!$C$5:$C$5</f>
        <v>0</v>
      </c>
      <c r="C529" s="86"/>
      <c r="D529" s="86"/>
      <c r="E529" s="86"/>
      <c r="F529" s="86"/>
      <c r="G529" s="86"/>
      <c r="H529" s="6"/>
      <c r="I529" s="99" t="str">
        <f ca="1">IF(Table1[[#This Row],[Date of Birth]]="","",SUM(TODAY()-Table1[[#This Row],[Date of Birth]])/365)</f>
        <v/>
      </c>
      <c r="L529" s="86"/>
      <c r="M529" s="77"/>
      <c r="N529" s="86"/>
      <c r="O529" s="86"/>
      <c r="P529" s="91"/>
      <c r="Q529" s="86"/>
      <c r="R529" s="77"/>
      <c r="S529" s="77"/>
      <c r="T529" s="68"/>
      <c r="U529" s="68"/>
      <c r="V529" s="67"/>
      <c r="W529" s="67"/>
      <c r="X529" s="67"/>
      <c r="Y529" s="67"/>
      <c r="Z529" s="67"/>
      <c r="AA529" s="67"/>
      <c r="AB529" s="67"/>
      <c r="AC529" s="67"/>
      <c r="AD529" s="67"/>
      <c r="AE529" s="67"/>
      <c r="AF529" s="67"/>
      <c r="AG529" s="67"/>
      <c r="AH529" s="67"/>
      <c r="AI529" s="67"/>
      <c r="AJ529" s="67"/>
      <c r="AK529" s="67"/>
      <c r="AL529" s="67"/>
      <c r="AM529" s="67"/>
      <c r="AN529" s="77"/>
      <c r="AO529" s="76"/>
      <c r="AP529" s="77"/>
      <c r="AQ529" s="76"/>
      <c r="AR529" s="76"/>
      <c r="AS529" s="76"/>
      <c r="AT529" s="76"/>
      <c r="AU529" s="76"/>
      <c r="AV529" s="77"/>
      <c r="AW529" s="76"/>
      <c r="AX529" s="77"/>
      <c r="AY529" s="76"/>
      <c r="AZ529" s="76"/>
      <c r="BA529" s="76"/>
      <c r="BB529" s="76"/>
      <c r="BC529" s="76"/>
      <c r="BD529" s="77"/>
      <c r="BE529" s="76"/>
      <c r="BF529" s="77"/>
      <c r="BG529" s="76"/>
      <c r="BH529" s="76"/>
      <c r="BI529" s="76"/>
      <c r="BJ529" s="76"/>
      <c r="BK529" s="76"/>
      <c r="BL529" s="77"/>
      <c r="BM529" s="76"/>
      <c r="BN529" s="77"/>
      <c r="BO529" s="76"/>
      <c r="BP529" s="76"/>
      <c r="BQ529" s="76"/>
      <c r="BR529" s="76"/>
      <c r="BS529" s="76"/>
      <c r="BT529" s="77"/>
      <c r="BU529" s="76"/>
      <c r="BV529" s="77"/>
      <c r="BW529" s="76"/>
      <c r="BX529" s="76"/>
      <c r="BY529" s="76"/>
      <c r="BZ529" s="76"/>
      <c r="CA529" s="76"/>
      <c r="CB529" s="77"/>
      <c r="CC529" s="76"/>
      <c r="CD529" s="77"/>
      <c r="CE529" s="76"/>
      <c r="CF529" s="76"/>
      <c r="CG529" s="76"/>
      <c r="CH529" s="76"/>
      <c r="CI529" s="76"/>
      <c r="CJ529" s="77"/>
      <c r="CK529" s="76"/>
      <c r="CL529" s="77"/>
      <c r="CM529" s="76"/>
      <c r="CN529" s="76"/>
      <c r="CO529" s="76"/>
      <c r="CP529" s="76"/>
      <c r="CQ529" s="76"/>
      <c r="CR529" s="78" t="str">
        <f t="shared" si="143"/>
        <v/>
      </c>
      <c r="CS529" s="79" t="str">
        <f t="shared" si="144"/>
        <v/>
      </c>
      <c r="CT529" s="79" t="str">
        <f t="shared" si="145"/>
        <v/>
      </c>
      <c r="CU529" s="79" t="str">
        <f t="shared" si="146"/>
        <v/>
      </c>
      <c r="CV529" s="79" t="str">
        <f t="shared" si="147"/>
        <v/>
      </c>
      <c r="CW529" s="79" t="str">
        <f t="shared" si="148"/>
        <v/>
      </c>
      <c r="CX529" s="79" t="str">
        <f t="shared" si="149"/>
        <v/>
      </c>
      <c r="CY529" s="79" t="str">
        <f t="shared" si="150"/>
        <v/>
      </c>
      <c r="CZ529" s="79" t="str">
        <f t="shared" si="151"/>
        <v/>
      </c>
      <c r="DA529" s="79" t="str">
        <f t="shared" si="152"/>
        <v/>
      </c>
      <c r="DB529" s="79" t="str">
        <f t="shared" si="153"/>
        <v/>
      </c>
      <c r="DC529" s="79" t="str">
        <f t="shared" si="154"/>
        <v/>
      </c>
      <c r="DD529" s="79" t="str">
        <f t="shared" si="155"/>
        <v/>
      </c>
      <c r="DE529" s="79" t="str">
        <f t="shared" si="156"/>
        <v/>
      </c>
      <c r="DF529" s="79" t="str">
        <f t="shared" si="157"/>
        <v/>
      </c>
      <c r="DG529" s="79" t="str">
        <f t="shared" si="158"/>
        <v/>
      </c>
      <c r="DH529" s="76"/>
      <c r="DI529" s="78"/>
      <c r="DJ529" s="76"/>
      <c r="DK529" s="77"/>
      <c r="DL529" s="77"/>
      <c r="DM529" s="77"/>
      <c r="DN529" s="80"/>
      <c r="DO529" s="80"/>
      <c r="DP529" s="92" t="str">
        <f>IF(Table1[Start Date]="","",IF(Table1[Start Date]&gt;42185,"",IF(AND(Table1[Leaving Date]&gt;1,Table1[Leaving Date]&lt;42095),"",1)))</f>
        <v/>
      </c>
      <c r="DQ529" s="92" t="str">
        <f>IF(Table1[Start Date]="","",IF(Table1[Start Date]&gt;42277,"",IF(AND(Table1[Leaving Date]&gt;1,Table1[Leaving Date]&lt;42186),"",1)))</f>
        <v/>
      </c>
      <c r="DR529" s="92" t="str">
        <f>IF(Table1[Start Date]="","",IF(Table1[Start Date]&gt;42369,"",IF(AND(Table1[Leaving Date]&gt;1,Table1[Leaving Date]&lt;42278),"",1)))</f>
        <v/>
      </c>
      <c r="DS529" s="92" t="str">
        <f>IF(Table1[Start Date]="","",IF(Table1[Start Date]&gt;42460,"",IF(AND(Table1[Leaving Date]&gt;1,Table1[Leaving Date]&lt;42370),"",1)))</f>
        <v/>
      </c>
      <c r="DT529" s="92" t="str">
        <f>IF(Table1[Start Date]="","",IF(Table1[Start Date]&gt;42551,"",IF(AND(Table1[Leaving Date]&gt;1,Table1[Leaving Date]&lt;42461),"",1)))</f>
        <v/>
      </c>
      <c r="DU529" s="92" t="str">
        <f>IF(Table1[Start Date]="","",IF(Table1[Start Date]&gt;42643,"",IF(AND(Table1[Leaving Date]&gt;1,Table1[Leaving Date]&lt;42552),"",1)))</f>
        <v/>
      </c>
      <c r="DV529" s="92" t="str">
        <f>IF(Table1[Start Date]="","",IF(Table1[Start Date]&gt;42735,"",IF(AND(Table1[Leaving Date]&gt;1,Table1[Leaving Date]&lt;42644),"",1)))</f>
        <v/>
      </c>
      <c r="DW529" s="92" t="str">
        <f>IF(Table1[Start Date]="","",IF(Table1[Start Date]&gt;42825,"",IF(AND(Table1[Leaving Date]&gt;1,Table1[Leaving Date]&lt;42736),"",1)))</f>
        <v/>
      </c>
      <c r="DX529"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529" s="44" t="e">
        <f>VLOOKUP(Table1[Referral Source],Lists!$G$2:$H$20,2,FALSE)</f>
        <v>#N/A</v>
      </c>
      <c r="DZ529" s="93" t="e">
        <f>SUM(Table1[Data Referral Quarter]+Table1[Data Referral Source])</f>
        <v>#N/A</v>
      </c>
      <c r="EA529" s="44" t="b">
        <f>IF(Table1[Referral Decision]="Accepted",100,IF(Table1[Referral Decision]="Rejected by Provider",200,IF(Table1[Referral Decision]="Rejected by Applicant",300)))</f>
        <v>0</v>
      </c>
      <c r="EB529" s="44">
        <f>SUM(Table1[Data Referral Quarter]+Table1[Data Referral Decision])</f>
        <v>0</v>
      </c>
      <c r="EC529" s="44" t="b">
        <f>IF(Table1[Start Date]&gt;42735,8000,IF(Table1[Start Date]&gt;42643,7000,IF(Table1[Start Date]&gt;42551,6000,IF(Table1[Start Date]&gt;42460,5000,IF(Table1[Start Date]&gt;42369,4000,IF(Table1[Start Date]&gt;42277,3000,IF(Table1[Start Date]&gt;42185,2000,IF(Table1[Start Date]&gt;42094,1000))))))))</f>
        <v>0</v>
      </c>
      <c r="ED529" s="44" t="str">
        <f>IF(Table1[Start Date]="","",IF(Table1[Current Local Authority]="Swindon",1,"2"))</f>
        <v/>
      </c>
      <c r="EE529" s="44" t="e">
        <f>SUM(Table1[Data Start Date]+Table1[Data Local Authority])</f>
        <v>#VALUE!</v>
      </c>
      <c r="EF529" s="44">
        <f>IF(Table1[Registered with GP]="Yes",1,0)</f>
        <v>0</v>
      </c>
      <c r="EG529" s="44">
        <f>SUM(Table1[Data Start Date]+Table1[Data GP Start])</f>
        <v>0</v>
      </c>
      <c r="EH529" s="44" t="str">
        <f>IF(Table1[EET]="NEET",1,IF(Table1[EET]="Education",2,IF(Table1[EET]="Employment",2,IF(Table1[EET]="Training",2,IF(Table1[EET]="Retired",3,"")))))</f>
        <v/>
      </c>
      <c r="EI529" s="44" t="e">
        <f>Table1[Data Start Date]+Table1[Data EET Start]</f>
        <v>#VALUE!</v>
      </c>
      <c r="EJ529" s="44" t="b">
        <f>IF(Table1[Leaving Date]&gt;42735,8000,IF(Table1[Leaving Date]&gt;42643,7000,IF(Table1[Leaving Date]&gt;42551,6000,IF(Table1[Leaving Date]&gt;42460,5000,IF(Table1[Leaving Date]&gt;42369,4000,IF(Table1[Leaving Date]&gt;42277,3000,IF(Table1[Leaving Date]&gt;42185,2000,IF(Table1[Leaving Date]&gt;42094,1000))))))))</f>
        <v>0</v>
      </c>
      <c r="EK529" s="44" t="e">
        <f>VLOOKUP(Table1[Reason for Leaving],Lists!$T$2:$U$15,2,FALSE)</f>
        <v>#N/A</v>
      </c>
      <c r="EL529" s="44" t="e">
        <f>SUM(Table1[Data Leavers Date]+Table1[Data Move On])</f>
        <v>#N/A</v>
      </c>
      <c r="EM529" s="44" t="b">
        <f>IF(Table1[Registered with GP2]="Yes",1,IF(Table1[Registered with GP2]="No",0,IF(Table1[Registered with GP]="Yes",1,IF(Table1[Registered with GP]="No",0))))</f>
        <v>0</v>
      </c>
      <c r="EN529" s="44">
        <f>SUM(Table1[Data Leavers Date]+Table1[Data GP End])</f>
        <v>0</v>
      </c>
      <c r="EO529" s="44" t="str">
        <f>IF(Table1[EET2]="NEET",1,IF(Table1[EET2]="Employment",2,IF(Table1[EET2]="Education",2,IF(Table1[EET2]="Training",2,IF(Table1[EET2]="Retired",3,IF(Table1[EET]="NEET",1,IF(Table1[EET]="Employment",2,IF(Table1[EET]="Education",2,IF(Table1[EET]="Training",2,IF(Table1[EET]="Retired",3,""))))))))))</f>
        <v/>
      </c>
      <c r="EP529" s="44" t="e">
        <f>+Table1[[#This Row],[Data Leavers Date]]+Table1[[#This Row],[Data EET End]]</f>
        <v>#VALUE!</v>
      </c>
      <c r="EQ529" s="44">
        <f>IF(Table1[Exit Form Received]="Yes",1,0)</f>
        <v>0</v>
      </c>
      <c r="ER529" s="44">
        <f>+Table1[[#This Row],[Data Leavers Date]]+Table1[[#This Row],[Data Exit Forms]]</f>
        <v>0</v>
      </c>
      <c r="ES529" s="44" t="str">
        <f>IF(Table1[Data Leavers Date]=1000,SUM(Table1[Leaving Date]-Table1[Start Date]),"")</f>
        <v/>
      </c>
      <c r="ET529" s="44" t="str">
        <f>IF(Table1[Data Leavers Date]=2000,SUM(Table1[Leaving Date]-Table1[Start Date]),"")</f>
        <v/>
      </c>
      <c r="EU529" s="44" t="str">
        <f>IF(Table1[Data Leavers Date]=3000,SUM(Table1[Leaving Date]-Table1[Start Date]),"")</f>
        <v/>
      </c>
      <c r="EV529" s="44" t="str">
        <f>IF(Table1[Data Leavers Date]=4000,SUM(Table1[Leaving Date]-Table1[Start Date]),"")</f>
        <v/>
      </c>
      <c r="EW529" s="44" t="str">
        <f>IF(Table1[Data Leavers Date]=5000,SUM(Table1[Leaving Date]-Table1[Start Date]),"")</f>
        <v/>
      </c>
      <c r="EX529" s="44" t="str">
        <f>IF(Table1[Data Leavers Date]=6000,SUM(Table1[Leaving Date]-Table1[Start Date]),"")</f>
        <v/>
      </c>
      <c r="EY529" s="44" t="str">
        <f>IF(Table1[Data Leavers Date]=7000,SUM(Table1[Leaving Date]-Table1[Start Date]),"")</f>
        <v/>
      </c>
      <c r="EZ529" s="44" t="str">
        <f>IF(Table1[Data Leavers Date]=8000,SUM(Table1[Leaving Date]-Table1[Start Date]),"")</f>
        <v/>
      </c>
      <c r="FA529" s="44" t="str">
        <f>IF(Table1[Date of Initial Assessment]="","",IF(AND(Table1[Start Date]&gt;42094,Table1[Start Date]&lt;42461),Table1[Motivation and Taking Responsibility],""))</f>
        <v/>
      </c>
      <c r="FB529" s="44" t="str">
        <f>IF(Table1[Date of Initial Assessment]="","",IF(AND(Table1[Start Date]&gt;42094,Table1[Start Date]&lt;42461),Table1[Self-Care and Living Skills],""))</f>
        <v/>
      </c>
      <c r="FC529" s="44" t="str">
        <f>IF(Table1[Date of Initial Assessment]="","",IF(AND(Table1[Start Date]&gt;42094,Table1[Start Date]&lt;42461),Table1[Managing Money and Personal Administration],""))</f>
        <v/>
      </c>
      <c r="FD529" s="44" t="str">
        <f>IF(Table1[Date of Initial Assessment]="","",IF(AND(Table1[Start Date]&gt;42094,Table1[Start Date]&lt;42461),Table1[Social Networks and Relationships],""))</f>
        <v/>
      </c>
      <c r="FE529" s="44" t="str">
        <f>IF(Table1[Date of Initial Assessment]="","",IF(AND(Table1[Start Date]&gt;42094,Table1[Start Date]&lt;42461),Table1[Drug and Alcohol Misuse],""))</f>
        <v/>
      </c>
      <c r="FF529" s="44" t="str">
        <f>IF(Table1[Date of Initial Assessment]="","",IF(AND(Table1[Start Date]&gt;42094,Table1[Start Date]&lt;42461),Table1[Physical Health],""))</f>
        <v/>
      </c>
      <c r="FG529" s="44" t="str">
        <f>IF(Table1[Date of Initial Assessment]="","",IF(AND(Table1[Start Date]&gt;42094,Table1[Start Date]&lt;42461),Table1[Emotional and Mental Health],""))</f>
        <v/>
      </c>
      <c r="FH529" s="44" t="str">
        <f>IF(Table1[Date of Initial Assessment]="","",IF(AND(Table1[Start Date]&gt;42094,Table1[Start Date]&lt;42461),Table1[Meaningful Use of Time],""))</f>
        <v/>
      </c>
      <c r="FI529" s="44" t="str">
        <f>IF(Table1[Date of Initial Assessment]="","",IF(AND(Table1[Start Date]&gt;42094,Table1[Start Date]&lt;42461),Table1[Managing Tenancy and Accommodation],""))</f>
        <v/>
      </c>
      <c r="FJ529" s="44" t="str">
        <f>IF(Table1[Date of Initial Assessment]="","",IF(AND(Table1[Start Date]&gt;42094,Table1[Start Date]&lt;42461),Table1[Offending],""))</f>
        <v/>
      </c>
      <c r="FK529" s="44" t="str">
        <f>IF(Table1[Leaving Date]="","",IF(Table1[Date of Initial Assessment]="","",IF(AND(Table1[Leaving Date]&gt;42094,Table1[Leaving Date]&lt;42461),IF(Table1[Date of Last Assessment]="",Table1[Motivation and Taking Responsibility],Table1[Motivation and Taking Responsibility2]),"")))</f>
        <v/>
      </c>
      <c r="FL529" s="44" t="str">
        <f>IF(Table1[Leaving Date]="","",IF(Table1[Date of Initial Assessment]="","",IF(AND(Table1[Leaving Date]&gt;42094,Table1[Leaving Date]&lt;42461),IF(Table1[Date of Last Assessment]="",Table1[Self-Care and Living Skills],Table1[Self-Care and Living Skills2]),"")))</f>
        <v/>
      </c>
      <c r="FM529" s="44" t="str">
        <f>IF(Table1[Leaving Date]="","",IF(Table1[Date of Initial Assessment]="","",IF(AND(Table1[Leaving Date]&gt;42094,Table1[Leaving Date]&lt;42461),IF(Table1[Date of Last Assessment]="",Table1[Managing Money and Personal Administration],Table1[Managing Money and Personal Administration2]),"")))</f>
        <v/>
      </c>
      <c r="FN529" s="44" t="str">
        <f>IF(Table1[Leaving Date]="","",IF(Table1[Date of Initial Assessment]="","",IF(AND(Table1[Leaving Date]&gt;42094,Table1[Leaving Date]&lt;42461),IF(Table1[Date of Last Assessment]="",Table1[Social Networks and Relationships],Table1[Social Networks and Relationships2]),"")))</f>
        <v/>
      </c>
      <c r="FO529" s="44" t="str">
        <f>IF(Table1[Leaving Date]="","",IF(Table1[Date of Initial Assessment]="","",IF(AND(Table1[Leaving Date]&gt;42094,Table1[Leaving Date]&lt;42461),IF(Table1[Date of Last Assessment]="",Table1[Drug and Alcohol Misuse],Table1[Drug and Alcohol Misuse2]),"")))</f>
        <v/>
      </c>
      <c r="FP529" s="44" t="str">
        <f>IF(Table1[Leaving Date]="","",IF(Table1[Date of Initial Assessment]="","",IF(AND(Table1[Leaving Date]&gt;42094,Table1[Leaving Date]&lt;42461),IF(Table1[Date of Last Assessment]="",Table1[Physical Health],Table1[Physical Health2]),"")))</f>
        <v/>
      </c>
      <c r="FQ529" s="44" t="str">
        <f>IF(Table1[Leaving Date]="","",IF(Table1[Date of Initial Assessment]="","",IF(AND(Table1[Leaving Date]&gt;42094,Table1[Leaving Date]&lt;42461),IF(Table1[Date of Last Assessment]="",Table1[Emotional and Mental Health],Table1[Emotional and Mental Health2]),"")))</f>
        <v/>
      </c>
      <c r="FR529" s="44" t="str">
        <f>IF(Table1[Leaving Date]="","",IF(Table1[Date of Initial Assessment]="","",IF(AND(Table1[Leaving Date]&gt;42094,Table1[Leaving Date]&lt;42461),IF(Table1[Date of Last Assessment]="",Table1[Meaningful Use of Time],Table1[Meaningful Use of Time2]),"")))</f>
        <v/>
      </c>
      <c r="FS529" s="44" t="str">
        <f>IF(Table1[Leaving Date]="","",IF(Table1[Date of Initial Assessment]="","",IF(AND(Table1[Leaving Date]&gt;42094,Table1[Leaving Date]&lt;42461),IF(Table1[Date of Last Assessment]="",Table1[Managing Tenancy and Accommodation],Table1[Managing Tenancy and Accommodation2]),"")))</f>
        <v/>
      </c>
      <c r="FT529" s="44" t="str">
        <f>IF(Table1[Leaving Date]="","",IF(Table1[Date of Initial Assessment]="","",IF(AND(Table1[Leaving Date]&gt;42094,Table1[Leaving Date]&lt;42461),IF(Table1[Date of Last Assessment]="",Table1[Offending],Table1[Offending2]),"")))</f>
        <v/>
      </c>
      <c r="FU529" s="44" t="str">
        <f>IF(Table1[Date of Initial Assessment]="","",IF(AND(Table1[Start Date]&gt;42460,Table1[Start Date]&lt;42826),Table1[Motivation and Taking Responsibility],""))</f>
        <v/>
      </c>
      <c r="FV529" s="44" t="str">
        <f>IF(Table1[Date of Initial Assessment]="","",IF(AND(Table1[Start Date]&gt;42460,Table1[Start Date]&lt;42826),Table1[Self-Care and Living Skills],""))</f>
        <v/>
      </c>
      <c r="FW529" s="44" t="str">
        <f>IF(Table1[Date of Initial Assessment]="","",IF(AND(Table1[Start Date]&gt;42460,Table1[Start Date]&lt;42826),Table1[Managing Money and Personal Administration],""))</f>
        <v/>
      </c>
      <c r="FX529" s="44" t="str">
        <f>IF(Table1[Date of Initial Assessment]="","",IF(AND(Table1[Start Date]&gt;42460,Table1[Start Date]&lt;42826),Table1[Social Networks and Relationships],""))</f>
        <v/>
      </c>
      <c r="FY529" s="44" t="str">
        <f>IF(Table1[Date of Initial Assessment]="","",IF(AND(Table1[Start Date]&gt;42460,Table1[Start Date]&lt;42826),Table1[Drug and Alcohol Misuse],""))</f>
        <v/>
      </c>
      <c r="FZ529" s="44" t="str">
        <f>IF(Table1[Date of Initial Assessment]="","",IF(AND(Table1[Start Date]&gt;42460,Table1[Start Date]&lt;42826),Table1[Physical Health],""))</f>
        <v/>
      </c>
      <c r="GA529" s="44" t="str">
        <f>IF(Table1[Date of Initial Assessment]="","",IF(AND(Table1[Start Date]&gt;42460,Table1[Start Date]&lt;42826),Table1[Emotional and Mental Health],""))</f>
        <v/>
      </c>
      <c r="GB529" s="44" t="str">
        <f>IF(Table1[Date of Initial Assessment]="","",IF(AND(Table1[Start Date]&gt;42460,Table1[Start Date]&lt;42826),Table1[Meaningful Use of Time],""))</f>
        <v/>
      </c>
      <c r="GC529" s="44" t="str">
        <f>IF(Table1[Date of Initial Assessment]="","",IF(AND(Table1[Start Date]&gt;42460,Table1[Start Date]&lt;42826),Table1[Managing Tenancy and Accommodation],""))</f>
        <v/>
      </c>
      <c r="GD529" s="44" t="str">
        <f>IF(Table1[Date of Initial Assessment]="","",IF(AND(Table1[Start Date]&gt;42460,Table1[Start Date]&lt;42826),Table1[Offending],""))</f>
        <v/>
      </c>
      <c r="GE529" s="44" t="str">
        <f>IF(Table1[Leaving Date]="","",IF(AND(Table1[Leaving Date]&gt;42460,Table1[Leaving Date]&lt;42826),IF(Table1[Date of Last Assessment]="",Table1[Motivation and Taking Responsibility],Table1[Motivation and Taking Responsibility2]),""))</f>
        <v/>
      </c>
      <c r="GF529" s="44" t="str">
        <f>IF(Table1[Leaving Date]="","",IF(AND(Table1[Leaving Date]&gt;42460,Table1[Leaving Date]&lt;42826),IF(Table1[Date of Last Assessment]="",Table1[Self-Care and Living Skills],Table1[Self-Care and Living Skills2]),""))</f>
        <v/>
      </c>
      <c r="GG529" s="44" t="str">
        <f>IF(Table1[Leaving Date]="","",IF(AND(Table1[Leaving Date]&gt;42460,Table1[Leaving Date]&lt;42826),IF(Table1[Date of Last Assessment]="",Table1[Managing Money and Personal Administration],Table1[Managing Money and Personal Administration2]),""))</f>
        <v/>
      </c>
      <c r="GH529" s="44" t="str">
        <f>IF(Table1[Leaving Date]="","",IF(AND(Table1[Leaving Date]&gt;42460,Table1[Leaving Date]&lt;42826),IF(Table1[Date of Last Assessment]="",Table1[Social Networks and Relationships],Table1[Social Networks and Relationships2]),""))</f>
        <v/>
      </c>
      <c r="GI529" s="44" t="str">
        <f>IF(Table1[Leaving Date]="","",IF(AND(Table1[Leaving Date]&gt;42460,Table1[Leaving Date]&lt;42826),IF(Table1[Date of Last Assessment]="",Table1[Drug and Alcohol Misuse],Table1[Drug and Alcohol Misuse2]),""))</f>
        <v/>
      </c>
      <c r="GJ529" s="44" t="str">
        <f>IF(Table1[Leaving Date]="","",IF(AND(Table1[Leaving Date]&gt;42460,Table1[Leaving Date]&lt;42826),IF(Table1[Date of Last Assessment]="",Table1[Physical Health],Table1[Physical Health2]),""))</f>
        <v/>
      </c>
      <c r="GK529" s="44" t="str">
        <f>IF(Table1[Leaving Date]="","",IF(AND(Table1[Leaving Date]&gt;42460,Table1[Leaving Date]&lt;42826),IF(Table1[Date of Last Assessment]="",Table1[Emotional and Mental Health],Table1[Emotional and Mental Health2]),""))</f>
        <v/>
      </c>
      <c r="GL529" s="44" t="str">
        <f>IF(Table1[Leaving Date]="","",IF(AND(Table1[Leaving Date]&gt;42460,Table1[Leaving Date]&lt;42826),IF(Table1[Date of Last Assessment]="",Table1[Meaningful Use of Time],Table1[Meaningful Use of Time2]),""))</f>
        <v/>
      </c>
      <c r="GM529" s="44" t="str">
        <f>IF(Table1[Leaving Date]="","",IF(AND(Table1[Leaving Date]&gt;42460,Table1[Leaving Date]&lt;42826),IF(Table1[Date of Last Assessment]="",Table1[Managing Tenancy and Accommodation],Table1[Managing Tenancy and Accommodation2]),""))</f>
        <v/>
      </c>
      <c r="GN529" s="44" t="str">
        <f>IF(Table1[Leaving Date]="","",IF(AND(Table1[Leaving Date]&gt;42460,Table1[Leaving Date]&lt;42826),IF(Table1[Date of Last Assessment]="",Table1[Offending],Table1[Offending2]),""))</f>
        <v/>
      </c>
    </row>
    <row r="530" spans="2:196" ht="20.100000000000001" customHeight="1" x14ac:dyDescent="0.2">
      <c r="B530" s="86">
        <f>+'Service Data'!$C$5:$C$5</f>
        <v>0</v>
      </c>
      <c r="C530" s="86"/>
      <c r="D530" s="86"/>
      <c r="E530" s="86"/>
      <c r="F530" s="86"/>
      <c r="G530" s="86"/>
      <c r="H530" s="6"/>
      <c r="I530" s="99" t="str">
        <f ca="1">IF(Table1[[#This Row],[Date of Birth]]="","",SUM(TODAY()-Table1[[#This Row],[Date of Birth]])/365)</f>
        <v/>
      </c>
      <c r="L530" s="86"/>
      <c r="M530" s="77"/>
      <c r="N530" s="86"/>
      <c r="O530" s="86"/>
      <c r="P530" s="91"/>
      <c r="Q530" s="86"/>
      <c r="R530" s="77"/>
      <c r="S530" s="77"/>
      <c r="T530" s="68"/>
      <c r="U530" s="68"/>
      <c r="V530" s="67"/>
      <c r="W530" s="67"/>
      <c r="X530" s="67"/>
      <c r="Y530" s="67"/>
      <c r="Z530" s="67"/>
      <c r="AA530" s="67"/>
      <c r="AB530" s="67"/>
      <c r="AC530" s="67"/>
      <c r="AD530" s="67"/>
      <c r="AE530" s="67"/>
      <c r="AF530" s="67"/>
      <c r="AG530" s="67"/>
      <c r="AH530" s="67"/>
      <c r="AI530" s="67"/>
      <c r="AJ530" s="67"/>
      <c r="AK530" s="67"/>
      <c r="AL530" s="67"/>
      <c r="AM530" s="67"/>
      <c r="AN530" s="77"/>
      <c r="AO530" s="76"/>
      <c r="AP530" s="77"/>
      <c r="AQ530" s="76"/>
      <c r="AR530" s="76"/>
      <c r="AS530" s="76"/>
      <c r="AT530" s="76"/>
      <c r="AU530" s="76"/>
      <c r="AV530" s="77"/>
      <c r="AW530" s="76"/>
      <c r="AX530" s="77"/>
      <c r="AY530" s="76"/>
      <c r="AZ530" s="76"/>
      <c r="BA530" s="76"/>
      <c r="BB530" s="76"/>
      <c r="BC530" s="76"/>
      <c r="BD530" s="77"/>
      <c r="BE530" s="76"/>
      <c r="BF530" s="77"/>
      <c r="BG530" s="76"/>
      <c r="BH530" s="76"/>
      <c r="BI530" s="76"/>
      <c r="BJ530" s="76"/>
      <c r="BK530" s="76"/>
      <c r="BL530" s="77"/>
      <c r="BM530" s="76"/>
      <c r="BN530" s="77"/>
      <c r="BO530" s="76"/>
      <c r="BP530" s="76"/>
      <c r="BQ530" s="76"/>
      <c r="BR530" s="76"/>
      <c r="BS530" s="76"/>
      <c r="BT530" s="77"/>
      <c r="BU530" s="76"/>
      <c r="BV530" s="77"/>
      <c r="BW530" s="76"/>
      <c r="BX530" s="76"/>
      <c r="BY530" s="76"/>
      <c r="BZ530" s="76"/>
      <c r="CA530" s="76"/>
      <c r="CB530" s="77"/>
      <c r="CC530" s="76"/>
      <c r="CD530" s="77"/>
      <c r="CE530" s="76"/>
      <c r="CF530" s="76"/>
      <c r="CG530" s="76"/>
      <c r="CH530" s="76"/>
      <c r="CI530" s="76"/>
      <c r="CJ530" s="77"/>
      <c r="CK530" s="76"/>
      <c r="CL530" s="77"/>
      <c r="CM530" s="76"/>
      <c r="CN530" s="76"/>
      <c r="CO530" s="76"/>
      <c r="CP530" s="76"/>
      <c r="CQ530" s="76"/>
      <c r="CR530" s="78" t="str">
        <f t="shared" si="143"/>
        <v/>
      </c>
      <c r="CS530" s="79" t="str">
        <f t="shared" si="144"/>
        <v/>
      </c>
      <c r="CT530" s="79" t="str">
        <f t="shared" si="145"/>
        <v/>
      </c>
      <c r="CU530" s="79" t="str">
        <f t="shared" si="146"/>
        <v/>
      </c>
      <c r="CV530" s="79" t="str">
        <f t="shared" si="147"/>
        <v/>
      </c>
      <c r="CW530" s="79" t="str">
        <f t="shared" si="148"/>
        <v/>
      </c>
      <c r="CX530" s="79" t="str">
        <f t="shared" si="149"/>
        <v/>
      </c>
      <c r="CY530" s="79" t="str">
        <f t="shared" si="150"/>
        <v/>
      </c>
      <c r="CZ530" s="79" t="str">
        <f t="shared" si="151"/>
        <v/>
      </c>
      <c r="DA530" s="79" t="str">
        <f t="shared" si="152"/>
        <v/>
      </c>
      <c r="DB530" s="79" t="str">
        <f t="shared" si="153"/>
        <v/>
      </c>
      <c r="DC530" s="79" t="str">
        <f t="shared" si="154"/>
        <v/>
      </c>
      <c r="DD530" s="79" t="str">
        <f t="shared" si="155"/>
        <v/>
      </c>
      <c r="DE530" s="79" t="str">
        <f t="shared" si="156"/>
        <v/>
      </c>
      <c r="DF530" s="79" t="str">
        <f t="shared" si="157"/>
        <v/>
      </c>
      <c r="DG530" s="79" t="str">
        <f t="shared" si="158"/>
        <v/>
      </c>
      <c r="DH530" s="76"/>
      <c r="DI530" s="78"/>
      <c r="DJ530" s="76"/>
      <c r="DK530" s="77"/>
      <c r="DL530" s="77"/>
      <c r="DM530" s="77"/>
      <c r="DN530" s="80"/>
      <c r="DO530" s="80"/>
      <c r="DP530" s="92" t="str">
        <f>IF(Table1[Start Date]="","",IF(Table1[Start Date]&gt;42185,"",IF(AND(Table1[Leaving Date]&gt;1,Table1[Leaving Date]&lt;42095),"",1)))</f>
        <v/>
      </c>
      <c r="DQ530" s="92" t="str">
        <f>IF(Table1[Start Date]="","",IF(Table1[Start Date]&gt;42277,"",IF(AND(Table1[Leaving Date]&gt;1,Table1[Leaving Date]&lt;42186),"",1)))</f>
        <v/>
      </c>
      <c r="DR530" s="92" t="str">
        <f>IF(Table1[Start Date]="","",IF(Table1[Start Date]&gt;42369,"",IF(AND(Table1[Leaving Date]&gt;1,Table1[Leaving Date]&lt;42278),"",1)))</f>
        <v/>
      </c>
      <c r="DS530" s="92" t="str">
        <f>IF(Table1[Start Date]="","",IF(Table1[Start Date]&gt;42460,"",IF(AND(Table1[Leaving Date]&gt;1,Table1[Leaving Date]&lt;42370),"",1)))</f>
        <v/>
      </c>
      <c r="DT530" s="92" t="str">
        <f>IF(Table1[Start Date]="","",IF(Table1[Start Date]&gt;42551,"",IF(AND(Table1[Leaving Date]&gt;1,Table1[Leaving Date]&lt;42461),"",1)))</f>
        <v/>
      </c>
      <c r="DU530" s="92" t="str">
        <f>IF(Table1[Start Date]="","",IF(Table1[Start Date]&gt;42643,"",IF(AND(Table1[Leaving Date]&gt;1,Table1[Leaving Date]&lt;42552),"",1)))</f>
        <v/>
      </c>
      <c r="DV530" s="92" t="str">
        <f>IF(Table1[Start Date]="","",IF(Table1[Start Date]&gt;42735,"",IF(AND(Table1[Leaving Date]&gt;1,Table1[Leaving Date]&lt;42644),"",1)))</f>
        <v/>
      </c>
      <c r="DW530" s="92" t="str">
        <f>IF(Table1[Start Date]="","",IF(Table1[Start Date]&gt;42825,"",IF(AND(Table1[Leaving Date]&gt;1,Table1[Leaving Date]&lt;42736),"",1)))</f>
        <v/>
      </c>
      <c r="DX530"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530" s="44" t="e">
        <f>VLOOKUP(Table1[Referral Source],Lists!$G$2:$H$20,2,FALSE)</f>
        <v>#N/A</v>
      </c>
      <c r="DZ530" s="93" t="e">
        <f>SUM(Table1[Data Referral Quarter]+Table1[Data Referral Source])</f>
        <v>#N/A</v>
      </c>
      <c r="EA530" s="44" t="b">
        <f>IF(Table1[Referral Decision]="Accepted",100,IF(Table1[Referral Decision]="Rejected by Provider",200,IF(Table1[Referral Decision]="Rejected by Applicant",300)))</f>
        <v>0</v>
      </c>
      <c r="EB530" s="44">
        <f>SUM(Table1[Data Referral Quarter]+Table1[Data Referral Decision])</f>
        <v>0</v>
      </c>
      <c r="EC530" s="44" t="b">
        <f>IF(Table1[Start Date]&gt;42735,8000,IF(Table1[Start Date]&gt;42643,7000,IF(Table1[Start Date]&gt;42551,6000,IF(Table1[Start Date]&gt;42460,5000,IF(Table1[Start Date]&gt;42369,4000,IF(Table1[Start Date]&gt;42277,3000,IF(Table1[Start Date]&gt;42185,2000,IF(Table1[Start Date]&gt;42094,1000))))))))</f>
        <v>0</v>
      </c>
      <c r="ED530" s="44" t="str">
        <f>IF(Table1[Start Date]="","",IF(Table1[Current Local Authority]="Swindon",1,"2"))</f>
        <v/>
      </c>
      <c r="EE530" s="44" t="e">
        <f>SUM(Table1[Data Start Date]+Table1[Data Local Authority])</f>
        <v>#VALUE!</v>
      </c>
      <c r="EF530" s="44">
        <f>IF(Table1[Registered with GP]="Yes",1,0)</f>
        <v>0</v>
      </c>
      <c r="EG530" s="44">
        <f>SUM(Table1[Data Start Date]+Table1[Data GP Start])</f>
        <v>0</v>
      </c>
      <c r="EH530" s="44" t="str">
        <f>IF(Table1[EET]="NEET",1,IF(Table1[EET]="Education",2,IF(Table1[EET]="Employment",2,IF(Table1[EET]="Training",2,IF(Table1[EET]="Retired",3,"")))))</f>
        <v/>
      </c>
      <c r="EI530" s="44" t="e">
        <f>Table1[Data Start Date]+Table1[Data EET Start]</f>
        <v>#VALUE!</v>
      </c>
      <c r="EJ530" s="44" t="b">
        <f>IF(Table1[Leaving Date]&gt;42735,8000,IF(Table1[Leaving Date]&gt;42643,7000,IF(Table1[Leaving Date]&gt;42551,6000,IF(Table1[Leaving Date]&gt;42460,5000,IF(Table1[Leaving Date]&gt;42369,4000,IF(Table1[Leaving Date]&gt;42277,3000,IF(Table1[Leaving Date]&gt;42185,2000,IF(Table1[Leaving Date]&gt;42094,1000))))))))</f>
        <v>0</v>
      </c>
      <c r="EK530" s="44" t="e">
        <f>VLOOKUP(Table1[Reason for Leaving],Lists!$T$2:$U$15,2,FALSE)</f>
        <v>#N/A</v>
      </c>
      <c r="EL530" s="44" t="e">
        <f>SUM(Table1[Data Leavers Date]+Table1[Data Move On])</f>
        <v>#N/A</v>
      </c>
      <c r="EM530" s="44" t="b">
        <f>IF(Table1[Registered with GP2]="Yes",1,IF(Table1[Registered with GP2]="No",0,IF(Table1[Registered with GP]="Yes",1,IF(Table1[Registered with GP]="No",0))))</f>
        <v>0</v>
      </c>
      <c r="EN530" s="44">
        <f>SUM(Table1[Data Leavers Date]+Table1[Data GP End])</f>
        <v>0</v>
      </c>
      <c r="EO530" s="44" t="str">
        <f>IF(Table1[EET2]="NEET",1,IF(Table1[EET2]="Employment",2,IF(Table1[EET2]="Education",2,IF(Table1[EET2]="Training",2,IF(Table1[EET2]="Retired",3,IF(Table1[EET]="NEET",1,IF(Table1[EET]="Employment",2,IF(Table1[EET]="Education",2,IF(Table1[EET]="Training",2,IF(Table1[EET]="Retired",3,""))))))))))</f>
        <v/>
      </c>
      <c r="EP530" s="44" t="e">
        <f>+Table1[[#This Row],[Data Leavers Date]]+Table1[[#This Row],[Data EET End]]</f>
        <v>#VALUE!</v>
      </c>
      <c r="EQ530" s="44">
        <f>IF(Table1[Exit Form Received]="Yes",1,0)</f>
        <v>0</v>
      </c>
      <c r="ER530" s="44">
        <f>+Table1[[#This Row],[Data Leavers Date]]+Table1[[#This Row],[Data Exit Forms]]</f>
        <v>0</v>
      </c>
      <c r="ES530" s="44" t="str">
        <f>IF(Table1[Data Leavers Date]=1000,SUM(Table1[Leaving Date]-Table1[Start Date]),"")</f>
        <v/>
      </c>
      <c r="ET530" s="44" t="str">
        <f>IF(Table1[Data Leavers Date]=2000,SUM(Table1[Leaving Date]-Table1[Start Date]),"")</f>
        <v/>
      </c>
      <c r="EU530" s="44" t="str">
        <f>IF(Table1[Data Leavers Date]=3000,SUM(Table1[Leaving Date]-Table1[Start Date]),"")</f>
        <v/>
      </c>
      <c r="EV530" s="44" t="str">
        <f>IF(Table1[Data Leavers Date]=4000,SUM(Table1[Leaving Date]-Table1[Start Date]),"")</f>
        <v/>
      </c>
      <c r="EW530" s="44" t="str">
        <f>IF(Table1[Data Leavers Date]=5000,SUM(Table1[Leaving Date]-Table1[Start Date]),"")</f>
        <v/>
      </c>
      <c r="EX530" s="44" t="str">
        <f>IF(Table1[Data Leavers Date]=6000,SUM(Table1[Leaving Date]-Table1[Start Date]),"")</f>
        <v/>
      </c>
      <c r="EY530" s="44" t="str">
        <f>IF(Table1[Data Leavers Date]=7000,SUM(Table1[Leaving Date]-Table1[Start Date]),"")</f>
        <v/>
      </c>
      <c r="EZ530" s="44" t="str">
        <f>IF(Table1[Data Leavers Date]=8000,SUM(Table1[Leaving Date]-Table1[Start Date]),"")</f>
        <v/>
      </c>
      <c r="FA530" s="44" t="str">
        <f>IF(Table1[Date of Initial Assessment]="","",IF(AND(Table1[Start Date]&gt;42094,Table1[Start Date]&lt;42461),Table1[Motivation and Taking Responsibility],""))</f>
        <v/>
      </c>
      <c r="FB530" s="44" t="str">
        <f>IF(Table1[Date of Initial Assessment]="","",IF(AND(Table1[Start Date]&gt;42094,Table1[Start Date]&lt;42461),Table1[Self-Care and Living Skills],""))</f>
        <v/>
      </c>
      <c r="FC530" s="44" t="str">
        <f>IF(Table1[Date of Initial Assessment]="","",IF(AND(Table1[Start Date]&gt;42094,Table1[Start Date]&lt;42461),Table1[Managing Money and Personal Administration],""))</f>
        <v/>
      </c>
      <c r="FD530" s="44" t="str">
        <f>IF(Table1[Date of Initial Assessment]="","",IF(AND(Table1[Start Date]&gt;42094,Table1[Start Date]&lt;42461),Table1[Social Networks and Relationships],""))</f>
        <v/>
      </c>
      <c r="FE530" s="44" t="str">
        <f>IF(Table1[Date of Initial Assessment]="","",IF(AND(Table1[Start Date]&gt;42094,Table1[Start Date]&lt;42461),Table1[Drug and Alcohol Misuse],""))</f>
        <v/>
      </c>
      <c r="FF530" s="44" t="str">
        <f>IF(Table1[Date of Initial Assessment]="","",IF(AND(Table1[Start Date]&gt;42094,Table1[Start Date]&lt;42461),Table1[Physical Health],""))</f>
        <v/>
      </c>
      <c r="FG530" s="44" t="str">
        <f>IF(Table1[Date of Initial Assessment]="","",IF(AND(Table1[Start Date]&gt;42094,Table1[Start Date]&lt;42461),Table1[Emotional and Mental Health],""))</f>
        <v/>
      </c>
      <c r="FH530" s="44" t="str">
        <f>IF(Table1[Date of Initial Assessment]="","",IF(AND(Table1[Start Date]&gt;42094,Table1[Start Date]&lt;42461),Table1[Meaningful Use of Time],""))</f>
        <v/>
      </c>
      <c r="FI530" s="44" t="str">
        <f>IF(Table1[Date of Initial Assessment]="","",IF(AND(Table1[Start Date]&gt;42094,Table1[Start Date]&lt;42461),Table1[Managing Tenancy and Accommodation],""))</f>
        <v/>
      </c>
      <c r="FJ530" s="44" t="str">
        <f>IF(Table1[Date of Initial Assessment]="","",IF(AND(Table1[Start Date]&gt;42094,Table1[Start Date]&lt;42461),Table1[Offending],""))</f>
        <v/>
      </c>
      <c r="FK530" s="44" t="str">
        <f>IF(Table1[Leaving Date]="","",IF(Table1[Date of Initial Assessment]="","",IF(AND(Table1[Leaving Date]&gt;42094,Table1[Leaving Date]&lt;42461),IF(Table1[Date of Last Assessment]="",Table1[Motivation and Taking Responsibility],Table1[Motivation and Taking Responsibility2]),"")))</f>
        <v/>
      </c>
      <c r="FL530" s="44" t="str">
        <f>IF(Table1[Leaving Date]="","",IF(Table1[Date of Initial Assessment]="","",IF(AND(Table1[Leaving Date]&gt;42094,Table1[Leaving Date]&lt;42461),IF(Table1[Date of Last Assessment]="",Table1[Self-Care and Living Skills],Table1[Self-Care and Living Skills2]),"")))</f>
        <v/>
      </c>
      <c r="FM530" s="44" t="str">
        <f>IF(Table1[Leaving Date]="","",IF(Table1[Date of Initial Assessment]="","",IF(AND(Table1[Leaving Date]&gt;42094,Table1[Leaving Date]&lt;42461),IF(Table1[Date of Last Assessment]="",Table1[Managing Money and Personal Administration],Table1[Managing Money and Personal Administration2]),"")))</f>
        <v/>
      </c>
      <c r="FN530" s="44" t="str">
        <f>IF(Table1[Leaving Date]="","",IF(Table1[Date of Initial Assessment]="","",IF(AND(Table1[Leaving Date]&gt;42094,Table1[Leaving Date]&lt;42461),IF(Table1[Date of Last Assessment]="",Table1[Social Networks and Relationships],Table1[Social Networks and Relationships2]),"")))</f>
        <v/>
      </c>
      <c r="FO530" s="44" t="str">
        <f>IF(Table1[Leaving Date]="","",IF(Table1[Date of Initial Assessment]="","",IF(AND(Table1[Leaving Date]&gt;42094,Table1[Leaving Date]&lt;42461),IF(Table1[Date of Last Assessment]="",Table1[Drug and Alcohol Misuse],Table1[Drug and Alcohol Misuse2]),"")))</f>
        <v/>
      </c>
      <c r="FP530" s="44" t="str">
        <f>IF(Table1[Leaving Date]="","",IF(Table1[Date of Initial Assessment]="","",IF(AND(Table1[Leaving Date]&gt;42094,Table1[Leaving Date]&lt;42461),IF(Table1[Date of Last Assessment]="",Table1[Physical Health],Table1[Physical Health2]),"")))</f>
        <v/>
      </c>
      <c r="FQ530" s="44" t="str">
        <f>IF(Table1[Leaving Date]="","",IF(Table1[Date of Initial Assessment]="","",IF(AND(Table1[Leaving Date]&gt;42094,Table1[Leaving Date]&lt;42461),IF(Table1[Date of Last Assessment]="",Table1[Emotional and Mental Health],Table1[Emotional and Mental Health2]),"")))</f>
        <v/>
      </c>
      <c r="FR530" s="44" t="str">
        <f>IF(Table1[Leaving Date]="","",IF(Table1[Date of Initial Assessment]="","",IF(AND(Table1[Leaving Date]&gt;42094,Table1[Leaving Date]&lt;42461),IF(Table1[Date of Last Assessment]="",Table1[Meaningful Use of Time],Table1[Meaningful Use of Time2]),"")))</f>
        <v/>
      </c>
      <c r="FS530" s="44" t="str">
        <f>IF(Table1[Leaving Date]="","",IF(Table1[Date of Initial Assessment]="","",IF(AND(Table1[Leaving Date]&gt;42094,Table1[Leaving Date]&lt;42461),IF(Table1[Date of Last Assessment]="",Table1[Managing Tenancy and Accommodation],Table1[Managing Tenancy and Accommodation2]),"")))</f>
        <v/>
      </c>
      <c r="FT530" s="44" t="str">
        <f>IF(Table1[Leaving Date]="","",IF(Table1[Date of Initial Assessment]="","",IF(AND(Table1[Leaving Date]&gt;42094,Table1[Leaving Date]&lt;42461),IF(Table1[Date of Last Assessment]="",Table1[Offending],Table1[Offending2]),"")))</f>
        <v/>
      </c>
      <c r="FU530" s="44" t="str">
        <f>IF(Table1[Date of Initial Assessment]="","",IF(AND(Table1[Start Date]&gt;42460,Table1[Start Date]&lt;42826),Table1[Motivation and Taking Responsibility],""))</f>
        <v/>
      </c>
      <c r="FV530" s="44" t="str">
        <f>IF(Table1[Date of Initial Assessment]="","",IF(AND(Table1[Start Date]&gt;42460,Table1[Start Date]&lt;42826),Table1[Self-Care and Living Skills],""))</f>
        <v/>
      </c>
      <c r="FW530" s="44" t="str">
        <f>IF(Table1[Date of Initial Assessment]="","",IF(AND(Table1[Start Date]&gt;42460,Table1[Start Date]&lt;42826),Table1[Managing Money and Personal Administration],""))</f>
        <v/>
      </c>
      <c r="FX530" s="44" t="str">
        <f>IF(Table1[Date of Initial Assessment]="","",IF(AND(Table1[Start Date]&gt;42460,Table1[Start Date]&lt;42826),Table1[Social Networks and Relationships],""))</f>
        <v/>
      </c>
      <c r="FY530" s="44" t="str">
        <f>IF(Table1[Date of Initial Assessment]="","",IF(AND(Table1[Start Date]&gt;42460,Table1[Start Date]&lt;42826),Table1[Drug and Alcohol Misuse],""))</f>
        <v/>
      </c>
      <c r="FZ530" s="44" t="str">
        <f>IF(Table1[Date of Initial Assessment]="","",IF(AND(Table1[Start Date]&gt;42460,Table1[Start Date]&lt;42826),Table1[Physical Health],""))</f>
        <v/>
      </c>
      <c r="GA530" s="44" t="str">
        <f>IF(Table1[Date of Initial Assessment]="","",IF(AND(Table1[Start Date]&gt;42460,Table1[Start Date]&lt;42826),Table1[Emotional and Mental Health],""))</f>
        <v/>
      </c>
      <c r="GB530" s="44" t="str">
        <f>IF(Table1[Date of Initial Assessment]="","",IF(AND(Table1[Start Date]&gt;42460,Table1[Start Date]&lt;42826),Table1[Meaningful Use of Time],""))</f>
        <v/>
      </c>
      <c r="GC530" s="44" t="str">
        <f>IF(Table1[Date of Initial Assessment]="","",IF(AND(Table1[Start Date]&gt;42460,Table1[Start Date]&lt;42826),Table1[Managing Tenancy and Accommodation],""))</f>
        <v/>
      </c>
      <c r="GD530" s="44" t="str">
        <f>IF(Table1[Date of Initial Assessment]="","",IF(AND(Table1[Start Date]&gt;42460,Table1[Start Date]&lt;42826),Table1[Offending],""))</f>
        <v/>
      </c>
      <c r="GE530" s="44" t="str">
        <f>IF(Table1[Leaving Date]="","",IF(AND(Table1[Leaving Date]&gt;42460,Table1[Leaving Date]&lt;42826),IF(Table1[Date of Last Assessment]="",Table1[Motivation and Taking Responsibility],Table1[Motivation and Taking Responsibility2]),""))</f>
        <v/>
      </c>
      <c r="GF530" s="44" t="str">
        <f>IF(Table1[Leaving Date]="","",IF(AND(Table1[Leaving Date]&gt;42460,Table1[Leaving Date]&lt;42826),IF(Table1[Date of Last Assessment]="",Table1[Self-Care and Living Skills],Table1[Self-Care and Living Skills2]),""))</f>
        <v/>
      </c>
      <c r="GG530" s="44" t="str">
        <f>IF(Table1[Leaving Date]="","",IF(AND(Table1[Leaving Date]&gt;42460,Table1[Leaving Date]&lt;42826),IF(Table1[Date of Last Assessment]="",Table1[Managing Money and Personal Administration],Table1[Managing Money and Personal Administration2]),""))</f>
        <v/>
      </c>
      <c r="GH530" s="44" t="str">
        <f>IF(Table1[Leaving Date]="","",IF(AND(Table1[Leaving Date]&gt;42460,Table1[Leaving Date]&lt;42826),IF(Table1[Date of Last Assessment]="",Table1[Social Networks and Relationships],Table1[Social Networks and Relationships2]),""))</f>
        <v/>
      </c>
      <c r="GI530" s="44" t="str">
        <f>IF(Table1[Leaving Date]="","",IF(AND(Table1[Leaving Date]&gt;42460,Table1[Leaving Date]&lt;42826),IF(Table1[Date of Last Assessment]="",Table1[Drug and Alcohol Misuse],Table1[Drug and Alcohol Misuse2]),""))</f>
        <v/>
      </c>
      <c r="GJ530" s="44" t="str">
        <f>IF(Table1[Leaving Date]="","",IF(AND(Table1[Leaving Date]&gt;42460,Table1[Leaving Date]&lt;42826),IF(Table1[Date of Last Assessment]="",Table1[Physical Health],Table1[Physical Health2]),""))</f>
        <v/>
      </c>
      <c r="GK530" s="44" t="str">
        <f>IF(Table1[Leaving Date]="","",IF(AND(Table1[Leaving Date]&gt;42460,Table1[Leaving Date]&lt;42826),IF(Table1[Date of Last Assessment]="",Table1[Emotional and Mental Health],Table1[Emotional and Mental Health2]),""))</f>
        <v/>
      </c>
      <c r="GL530" s="44" t="str">
        <f>IF(Table1[Leaving Date]="","",IF(AND(Table1[Leaving Date]&gt;42460,Table1[Leaving Date]&lt;42826),IF(Table1[Date of Last Assessment]="",Table1[Meaningful Use of Time],Table1[Meaningful Use of Time2]),""))</f>
        <v/>
      </c>
      <c r="GM530" s="44" t="str">
        <f>IF(Table1[Leaving Date]="","",IF(AND(Table1[Leaving Date]&gt;42460,Table1[Leaving Date]&lt;42826),IF(Table1[Date of Last Assessment]="",Table1[Managing Tenancy and Accommodation],Table1[Managing Tenancy and Accommodation2]),""))</f>
        <v/>
      </c>
      <c r="GN530" s="44" t="str">
        <f>IF(Table1[Leaving Date]="","",IF(AND(Table1[Leaving Date]&gt;42460,Table1[Leaving Date]&lt;42826),IF(Table1[Date of Last Assessment]="",Table1[Offending],Table1[Offending2]),""))</f>
        <v/>
      </c>
    </row>
    <row r="531" spans="2:196" ht="20.100000000000001" customHeight="1" x14ac:dyDescent="0.2">
      <c r="B531" s="86">
        <f>+'Service Data'!$C$5:$C$5</f>
        <v>0</v>
      </c>
      <c r="C531" s="86"/>
      <c r="D531" s="86"/>
      <c r="E531" s="86"/>
      <c r="F531" s="86"/>
      <c r="G531" s="86"/>
      <c r="H531" s="6"/>
      <c r="I531" s="99" t="str">
        <f ca="1">IF(Table1[[#This Row],[Date of Birth]]="","",SUM(TODAY()-Table1[[#This Row],[Date of Birth]])/365)</f>
        <v/>
      </c>
      <c r="L531" s="86"/>
      <c r="M531" s="77"/>
      <c r="N531" s="86"/>
      <c r="O531" s="86"/>
      <c r="P531" s="91"/>
      <c r="Q531" s="86"/>
      <c r="R531" s="77"/>
      <c r="S531" s="77"/>
      <c r="T531" s="68"/>
      <c r="U531" s="68"/>
      <c r="V531" s="67"/>
      <c r="W531" s="67"/>
      <c r="X531" s="67"/>
      <c r="Y531" s="67"/>
      <c r="Z531" s="67"/>
      <c r="AA531" s="67"/>
      <c r="AB531" s="67"/>
      <c r="AC531" s="67"/>
      <c r="AD531" s="67"/>
      <c r="AE531" s="67"/>
      <c r="AF531" s="67"/>
      <c r="AG531" s="67"/>
      <c r="AH531" s="67"/>
      <c r="AI531" s="67"/>
      <c r="AJ531" s="67"/>
      <c r="AK531" s="67"/>
      <c r="AL531" s="67"/>
      <c r="AM531" s="67"/>
      <c r="AN531" s="77"/>
      <c r="AO531" s="76"/>
      <c r="AP531" s="77"/>
      <c r="AQ531" s="76"/>
      <c r="AR531" s="76"/>
      <c r="AS531" s="76"/>
      <c r="AT531" s="76"/>
      <c r="AU531" s="76"/>
      <c r="AV531" s="77"/>
      <c r="AW531" s="76"/>
      <c r="AX531" s="77"/>
      <c r="AY531" s="76"/>
      <c r="AZ531" s="76"/>
      <c r="BA531" s="76"/>
      <c r="BB531" s="76"/>
      <c r="BC531" s="76"/>
      <c r="BD531" s="77"/>
      <c r="BE531" s="76"/>
      <c r="BF531" s="77"/>
      <c r="BG531" s="76"/>
      <c r="BH531" s="76"/>
      <c r="BI531" s="76"/>
      <c r="BJ531" s="76"/>
      <c r="BK531" s="76"/>
      <c r="BL531" s="77"/>
      <c r="BM531" s="76"/>
      <c r="BN531" s="77"/>
      <c r="BO531" s="76"/>
      <c r="BP531" s="76"/>
      <c r="BQ531" s="76"/>
      <c r="BR531" s="76"/>
      <c r="BS531" s="76"/>
      <c r="BT531" s="77"/>
      <c r="BU531" s="76"/>
      <c r="BV531" s="77"/>
      <c r="BW531" s="76"/>
      <c r="BX531" s="76"/>
      <c r="BY531" s="76"/>
      <c r="BZ531" s="76"/>
      <c r="CA531" s="76"/>
      <c r="CB531" s="77"/>
      <c r="CC531" s="76"/>
      <c r="CD531" s="77"/>
      <c r="CE531" s="76"/>
      <c r="CF531" s="76"/>
      <c r="CG531" s="76"/>
      <c r="CH531" s="76"/>
      <c r="CI531" s="76"/>
      <c r="CJ531" s="77"/>
      <c r="CK531" s="76"/>
      <c r="CL531" s="77"/>
      <c r="CM531" s="76"/>
      <c r="CN531" s="76"/>
      <c r="CO531" s="76"/>
      <c r="CP531" s="76"/>
      <c r="CQ531" s="76"/>
      <c r="CR531" s="78" t="str">
        <f t="shared" si="143"/>
        <v/>
      </c>
      <c r="CS531" s="79" t="str">
        <f t="shared" si="144"/>
        <v/>
      </c>
      <c r="CT531" s="79" t="str">
        <f t="shared" si="145"/>
        <v/>
      </c>
      <c r="CU531" s="79" t="str">
        <f t="shared" si="146"/>
        <v/>
      </c>
      <c r="CV531" s="79" t="str">
        <f t="shared" si="147"/>
        <v/>
      </c>
      <c r="CW531" s="79" t="str">
        <f t="shared" si="148"/>
        <v/>
      </c>
      <c r="CX531" s="79" t="str">
        <f t="shared" si="149"/>
        <v/>
      </c>
      <c r="CY531" s="79" t="str">
        <f t="shared" si="150"/>
        <v/>
      </c>
      <c r="CZ531" s="79" t="str">
        <f t="shared" si="151"/>
        <v/>
      </c>
      <c r="DA531" s="79" t="str">
        <f t="shared" si="152"/>
        <v/>
      </c>
      <c r="DB531" s="79" t="str">
        <f t="shared" si="153"/>
        <v/>
      </c>
      <c r="DC531" s="79" t="str">
        <f t="shared" si="154"/>
        <v/>
      </c>
      <c r="DD531" s="79" t="str">
        <f t="shared" si="155"/>
        <v/>
      </c>
      <c r="DE531" s="79" t="str">
        <f t="shared" si="156"/>
        <v/>
      </c>
      <c r="DF531" s="79" t="str">
        <f t="shared" si="157"/>
        <v/>
      </c>
      <c r="DG531" s="79" t="str">
        <f t="shared" si="158"/>
        <v/>
      </c>
      <c r="DH531" s="76"/>
      <c r="DI531" s="78"/>
      <c r="DJ531" s="76"/>
      <c r="DK531" s="77"/>
      <c r="DL531" s="77"/>
      <c r="DM531" s="77"/>
      <c r="DN531" s="80"/>
      <c r="DO531" s="80"/>
      <c r="DP531" s="92" t="str">
        <f>IF(Table1[Start Date]="","",IF(Table1[Start Date]&gt;42185,"",IF(AND(Table1[Leaving Date]&gt;1,Table1[Leaving Date]&lt;42095),"",1)))</f>
        <v/>
      </c>
      <c r="DQ531" s="92" t="str">
        <f>IF(Table1[Start Date]="","",IF(Table1[Start Date]&gt;42277,"",IF(AND(Table1[Leaving Date]&gt;1,Table1[Leaving Date]&lt;42186),"",1)))</f>
        <v/>
      </c>
      <c r="DR531" s="92" t="str">
        <f>IF(Table1[Start Date]="","",IF(Table1[Start Date]&gt;42369,"",IF(AND(Table1[Leaving Date]&gt;1,Table1[Leaving Date]&lt;42278),"",1)))</f>
        <v/>
      </c>
      <c r="DS531" s="92" t="str">
        <f>IF(Table1[Start Date]="","",IF(Table1[Start Date]&gt;42460,"",IF(AND(Table1[Leaving Date]&gt;1,Table1[Leaving Date]&lt;42370),"",1)))</f>
        <v/>
      </c>
      <c r="DT531" s="92" t="str">
        <f>IF(Table1[Start Date]="","",IF(Table1[Start Date]&gt;42551,"",IF(AND(Table1[Leaving Date]&gt;1,Table1[Leaving Date]&lt;42461),"",1)))</f>
        <v/>
      </c>
      <c r="DU531" s="92" t="str">
        <f>IF(Table1[Start Date]="","",IF(Table1[Start Date]&gt;42643,"",IF(AND(Table1[Leaving Date]&gt;1,Table1[Leaving Date]&lt;42552),"",1)))</f>
        <v/>
      </c>
      <c r="DV531" s="92" t="str">
        <f>IF(Table1[Start Date]="","",IF(Table1[Start Date]&gt;42735,"",IF(AND(Table1[Leaving Date]&gt;1,Table1[Leaving Date]&lt;42644),"",1)))</f>
        <v/>
      </c>
      <c r="DW531" s="92" t="str">
        <f>IF(Table1[Start Date]="","",IF(Table1[Start Date]&gt;42825,"",IF(AND(Table1[Leaving Date]&gt;1,Table1[Leaving Date]&lt;42736),"",1)))</f>
        <v/>
      </c>
      <c r="DX531"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531" s="44" t="e">
        <f>VLOOKUP(Table1[Referral Source],Lists!$G$2:$H$20,2,FALSE)</f>
        <v>#N/A</v>
      </c>
      <c r="DZ531" s="93" t="e">
        <f>SUM(Table1[Data Referral Quarter]+Table1[Data Referral Source])</f>
        <v>#N/A</v>
      </c>
      <c r="EA531" s="44" t="b">
        <f>IF(Table1[Referral Decision]="Accepted",100,IF(Table1[Referral Decision]="Rejected by Provider",200,IF(Table1[Referral Decision]="Rejected by Applicant",300)))</f>
        <v>0</v>
      </c>
      <c r="EB531" s="44">
        <f>SUM(Table1[Data Referral Quarter]+Table1[Data Referral Decision])</f>
        <v>0</v>
      </c>
      <c r="EC531" s="44" t="b">
        <f>IF(Table1[Start Date]&gt;42735,8000,IF(Table1[Start Date]&gt;42643,7000,IF(Table1[Start Date]&gt;42551,6000,IF(Table1[Start Date]&gt;42460,5000,IF(Table1[Start Date]&gt;42369,4000,IF(Table1[Start Date]&gt;42277,3000,IF(Table1[Start Date]&gt;42185,2000,IF(Table1[Start Date]&gt;42094,1000))))))))</f>
        <v>0</v>
      </c>
      <c r="ED531" s="44" t="str">
        <f>IF(Table1[Start Date]="","",IF(Table1[Current Local Authority]="Swindon",1,"2"))</f>
        <v/>
      </c>
      <c r="EE531" s="44" t="e">
        <f>SUM(Table1[Data Start Date]+Table1[Data Local Authority])</f>
        <v>#VALUE!</v>
      </c>
      <c r="EF531" s="44">
        <f>IF(Table1[Registered with GP]="Yes",1,0)</f>
        <v>0</v>
      </c>
      <c r="EG531" s="44">
        <f>SUM(Table1[Data Start Date]+Table1[Data GP Start])</f>
        <v>0</v>
      </c>
      <c r="EH531" s="44" t="str">
        <f>IF(Table1[EET]="NEET",1,IF(Table1[EET]="Education",2,IF(Table1[EET]="Employment",2,IF(Table1[EET]="Training",2,IF(Table1[EET]="Retired",3,"")))))</f>
        <v/>
      </c>
      <c r="EI531" s="44" t="e">
        <f>Table1[Data Start Date]+Table1[Data EET Start]</f>
        <v>#VALUE!</v>
      </c>
      <c r="EJ531" s="44" t="b">
        <f>IF(Table1[Leaving Date]&gt;42735,8000,IF(Table1[Leaving Date]&gt;42643,7000,IF(Table1[Leaving Date]&gt;42551,6000,IF(Table1[Leaving Date]&gt;42460,5000,IF(Table1[Leaving Date]&gt;42369,4000,IF(Table1[Leaving Date]&gt;42277,3000,IF(Table1[Leaving Date]&gt;42185,2000,IF(Table1[Leaving Date]&gt;42094,1000))))))))</f>
        <v>0</v>
      </c>
      <c r="EK531" s="44" t="e">
        <f>VLOOKUP(Table1[Reason for Leaving],Lists!$T$2:$U$15,2,FALSE)</f>
        <v>#N/A</v>
      </c>
      <c r="EL531" s="44" t="e">
        <f>SUM(Table1[Data Leavers Date]+Table1[Data Move On])</f>
        <v>#N/A</v>
      </c>
      <c r="EM531" s="44" t="b">
        <f>IF(Table1[Registered with GP2]="Yes",1,IF(Table1[Registered with GP2]="No",0,IF(Table1[Registered with GP]="Yes",1,IF(Table1[Registered with GP]="No",0))))</f>
        <v>0</v>
      </c>
      <c r="EN531" s="44">
        <f>SUM(Table1[Data Leavers Date]+Table1[Data GP End])</f>
        <v>0</v>
      </c>
      <c r="EO531" s="44" t="str">
        <f>IF(Table1[EET2]="NEET",1,IF(Table1[EET2]="Employment",2,IF(Table1[EET2]="Education",2,IF(Table1[EET2]="Training",2,IF(Table1[EET2]="Retired",3,IF(Table1[EET]="NEET",1,IF(Table1[EET]="Employment",2,IF(Table1[EET]="Education",2,IF(Table1[EET]="Training",2,IF(Table1[EET]="Retired",3,""))))))))))</f>
        <v/>
      </c>
      <c r="EP531" s="44" t="e">
        <f>+Table1[[#This Row],[Data Leavers Date]]+Table1[[#This Row],[Data EET End]]</f>
        <v>#VALUE!</v>
      </c>
      <c r="EQ531" s="44">
        <f>IF(Table1[Exit Form Received]="Yes",1,0)</f>
        <v>0</v>
      </c>
      <c r="ER531" s="44">
        <f>+Table1[[#This Row],[Data Leavers Date]]+Table1[[#This Row],[Data Exit Forms]]</f>
        <v>0</v>
      </c>
      <c r="ES531" s="44" t="str">
        <f>IF(Table1[Data Leavers Date]=1000,SUM(Table1[Leaving Date]-Table1[Start Date]),"")</f>
        <v/>
      </c>
      <c r="ET531" s="44" t="str">
        <f>IF(Table1[Data Leavers Date]=2000,SUM(Table1[Leaving Date]-Table1[Start Date]),"")</f>
        <v/>
      </c>
      <c r="EU531" s="44" t="str">
        <f>IF(Table1[Data Leavers Date]=3000,SUM(Table1[Leaving Date]-Table1[Start Date]),"")</f>
        <v/>
      </c>
      <c r="EV531" s="44" t="str">
        <f>IF(Table1[Data Leavers Date]=4000,SUM(Table1[Leaving Date]-Table1[Start Date]),"")</f>
        <v/>
      </c>
      <c r="EW531" s="44" t="str">
        <f>IF(Table1[Data Leavers Date]=5000,SUM(Table1[Leaving Date]-Table1[Start Date]),"")</f>
        <v/>
      </c>
      <c r="EX531" s="44" t="str">
        <f>IF(Table1[Data Leavers Date]=6000,SUM(Table1[Leaving Date]-Table1[Start Date]),"")</f>
        <v/>
      </c>
      <c r="EY531" s="44" t="str">
        <f>IF(Table1[Data Leavers Date]=7000,SUM(Table1[Leaving Date]-Table1[Start Date]),"")</f>
        <v/>
      </c>
      <c r="EZ531" s="44" t="str">
        <f>IF(Table1[Data Leavers Date]=8000,SUM(Table1[Leaving Date]-Table1[Start Date]),"")</f>
        <v/>
      </c>
      <c r="FA531" s="44" t="str">
        <f>IF(Table1[Date of Initial Assessment]="","",IF(AND(Table1[Start Date]&gt;42094,Table1[Start Date]&lt;42461),Table1[Motivation and Taking Responsibility],""))</f>
        <v/>
      </c>
      <c r="FB531" s="44" t="str">
        <f>IF(Table1[Date of Initial Assessment]="","",IF(AND(Table1[Start Date]&gt;42094,Table1[Start Date]&lt;42461),Table1[Self-Care and Living Skills],""))</f>
        <v/>
      </c>
      <c r="FC531" s="44" t="str">
        <f>IF(Table1[Date of Initial Assessment]="","",IF(AND(Table1[Start Date]&gt;42094,Table1[Start Date]&lt;42461),Table1[Managing Money and Personal Administration],""))</f>
        <v/>
      </c>
      <c r="FD531" s="44" t="str">
        <f>IF(Table1[Date of Initial Assessment]="","",IF(AND(Table1[Start Date]&gt;42094,Table1[Start Date]&lt;42461),Table1[Social Networks and Relationships],""))</f>
        <v/>
      </c>
      <c r="FE531" s="44" t="str">
        <f>IF(Table1[Date of Initial Assessment]="","",IF(AND(Table1[Start Date]&gt;42094,Table1[Start Date]&lt;42461),Table1[Drug and Alcohol Misuse],""))</f>
        <v/>
      </c>
      <c r="FF531" s="44" t="str">
        <f>IF(Table1[Date of Initial Assessment]="","",IF(AND(Table1[Start Date]&gt;42094,Table1[Start Date]&lt;42461),Table1[Physical Health],""))</f>
        <v/>
      </c>
      <c r="FG531" s="44" t="str">
        <f>IF(Table1[Date of Initial Assessment]="","",IF(AND(Table1[Start Date]&gt;42094,Table1[Start Date]&lt;42461),Table1[Emotional and Mental Health],""))</f>
        <v/>
      </c>
      <c r="FH531" s="44" t="str">
        <f>IF(Table1[Date of Initial Assessment]="","",IF(AND(Table1[Start Date]&gt;42094,Table1[Start Date]&lt;42461),Table1[Meaningful Use of Time],""))</f>
        <v/>
      </c>
      <c r="FI531" s="44" t="str">
        <f>IF(Table1[Date of Initial Assessment]="","",IF(AND(Table1[Start Date]&gt;42094,Table1[Start Date]&lt;42461),Table1[Managing Tenancy and Accommodation],""))</f>
        <v/>
      </c>
      <c r="FJ531" s="44" t="str">
        <f>IF(Table1[Date of Initial Assessment]="","",IF(AND(Table1[Start Date]&gt;42094,Table1[Start Date]&lt;42461),Table1[Offending],""))</f>
        <v/>
      </c>
      <c r="FK531" s="44" t="str">
        <f>IF(Table1[Leaving Date]="","",IF(Table1[Date of Initial Assessment]="","",IF(AND(Table1[Leaving Date]&gt;42094,Table1[Leaving Date]&lt;42461),IF(Table1[Date of Last Assessment]="",Table1[Motivation and Taking Responsibility],Table1[Motivation and Taking Responsibility2]),"")))</f>
        <v/>
      </c>
      <c r="FL531" s="44" t="str">
        <f>IF(Table1[Leaving Date]="","",IF(Table1[Date of Initial Assessment]="","",IF(AND(Table1[Leaving Date]&gt;42094,Table1[Leaving Date]&lt;42461),IF(Table1[Date of Last Assessment]="",Table1[Self-Care and Living Skills],Table1[Self-Care and Living Skills2]),"")))</f>
        <v/>
      </c>
      <c r="FM531" s="44" t="str">
        <f>IF(Table1[Leaving Date]="","",IF(Table1[Date of Initial Assessment]="","",IF(AND(Table1[Leaving Date]&gt;42094,Table1[Leaving Date]&lt;42461),IF(Table1[Date of Last Assessment]="",Table1[Managing Money and Personal Administration],Table1[Managing Money and Personal Administration2]),"")))</f>
        <v/>
      </c>
      <c r="FN531" s="44" t="str">
        <f>IF(Table1[Leaving Date]="","",IF(Table1[Date of Initial Assessment]="","",IF(AND(Table1[Leaving Date]&gt;42094,Table1[Leaving Date]&lt;42461),IF(Table1[Date of Last Assessment]="",Table1[Social Networks and Relationships],Table1[Social Networks and Relationships2]),"")))</f>
        <v/>
      </c>
      <c r="FO531" s="44" t="str">
        <f>IF(Table1[Leaving Date]="","",IF(Table1[Date of Initial Assessment]="","",IF(AND(Table1[Leaving Date]&gt;42094,Table1[Leaving Date]&lt;42461),IF(Table1[Date of Last Assessment]="",Table1[Drug and Alcohol Misuse],Table1[Drug and Alcohol Misuse2]),"")))</f>
        <v/>
      </c>
      <c r="FP531" s="44" t="str">
        <f>IF(Table1[Leaving Date]="","",IF(Table1[Date of Initial Assessment]="","",IF(AND(Table1[Leaving Date]&gt;42094,Table1[Leaving Date]&lt;42461),IF(Table1[Date of Last Assessment]="",Table1[Physical Health],Table1[Physical Health2]),"")))</f>
        <v/>
      </c>
      <c r="FQ531" s="44" t="str">
        <f>IF(Table1[Leaving Date]="","",IF(Table1[Date of Initial Assessment]="","",IF(AND(Table1[Leaving Date]&gt;42094,Table1[Leaving Date]&lt;42461),IF(Table1[Date of Last Assessment]="",Table1[Emotional and Mental Health],Table1[Emotional and Mental Health2]),"")))</f>
        <v/>
      </c>
      <c r="FR531" s="44" t="str">
        <f>IF(Table1[Leaving Date]="","",IF(Table1[Date of Initial Assessment]="","",IF(AND(Table1[Leaving Date]&gt;42094,Table1[Leaving Date]&lt;42461),IF(Table1[Date of Last Assessment]="",Table1[Meaningful Use of Time],Table1[Meaningful Use of Time2]),"")))</f>
        <v/>
      </c>
      <c r="FS531" s="44" t="str">
        <f>IF(Table1[Leaving Date]="","",IF(Table1[Date of Initial Assessment]="","",IF(AND(Table1[Leaving Date]&gt;42094,Table1[Leaving Date]&lt;42461),IF(Table1[Date of Last Assessment]="",Table1[Managing Tenancy and Accommodation],Table1[Managing Tenancy and Accommodation2]),"")))</f>
        <v/>
      </c>
      <c r="FT531" s="44" t="str">
        <f>IF(Table1[Leaving Date]="","",IF(Table1[Date of Initial Assessment]="","",IF(AND(Table1[Leaving Date]&gt;42094,Table1[Leaving Date]&lt;42461),IF(Table1[Date of Last Assessment]="",Table1[Offending],Table1[Offending2]),"")))</f>
        <v/>
      </c>
      <c r="FU531" s="44" t="str">
        <f>IF(Table1[Date of Initial Assessment]="","",IF(AND(Table1[Start Date]&gt;42460,Table1[Start Date]&lt;42826),Table1[Motivation and Taking Responsibility],""))</f>
        <v/>
      </c>
      <c r="FV531" s="44" t="str">
        <f>IF(Table1[Date of Initial Assessment]="","",IF(AND(Table1[Start Date]&gt;42460,Table1[Start Date]&lt;42826),Table1[Self-Care and Living Skills],""))</f>
        <v/>
      </c>
      <c r="FW531" s="44" t="str">
        <f>IF(Table1[Date of Initial Assessment]="","",IF(AND(Table1[Start Date]&gt;42460,Table1[Start Date]&lt;42826),Table1[Managing Money and Personal Administration],""))</f>
        <v/>
      </c>
      <c r="FX531" s="44" t="str">
        <f>IF(Table1[Date of Initial Assessment]="","",IF(AND(Table1[Start Date]&gt;42460,Table1[Start Date]&lt;42826),Table1[Social Networks and Relationships],""))</f>
        <v/>
      </c>
      <c r="FY531" s="44" t="str">
        <f>IF(Table1[Date of Initial Assessment]="","",IF(AND(Table1[Start Date]&gt;42460,Table1[Start Date]&lt;42826),Table1[Drug and Alcohol Misuse],""))</f>
        <v/>
      </c>
      <c r="FZ531" s="44" t="str">
        <f>IF(Table1[Date of Initial Assessment]="","",IF(AND(Table1[Start Date]&gt;42460,Table1[Start Date]&lt;42826),Table1[Physical Health],""))</f>
        <v/>
      </c>
      <c r="GA531" s="44" t="str">
        <f>IF(Table1[Date of Initial Assessment]="","",IF(AND(Table1[Start Date]&gt;42460,Table1[Start Date]&lt;42826),Table1[Emotional and Mental Health],""))</f>
        <v/>
      </c>
      <c r="GB531" s="44" t="str">
        <f>IF(Table1[Date of Initial Assessment]="","",IF(AND(Table1[Start Date]&gt;42460,Table1[Start Date]&lt;42826),Table1[Meaningful Use of Time],""))</f>
        <v/>
      </c>
      <c r="GC531" s="44" t="str">
        <f>IF(Table1[Date of Initial Assessment]="","",IF(AND(Table1[Start Date]&gt;42460,Table1[Start Date]&lt;42826),Table1[Managing Tenancy and Accommodation],""))</f>
        <v/>
      </c>
      <c r="GD531" s="44" t="str">
        <f>IF(Table1[Date of Initial Assessment]="","",IF(AND(Table1[Start Date]&gt;42460,Table1[Start Date]&lt;42826),Table1[Offending],""))</f>
        <v/>
      </c>
      <c r="GE531" s="44" t="str">
        <f>IF(Table1[Leaving Date]="","",IF(AND(Table1[Leaving Date]&gt;42460,Table1[Leaving Date]&lt;42826),IF(Table1[Date of Last Assessment]="",Table1[Motivation and Taking Responsibility],Table1[Motivation and Taking Responsibility2]),""))</f>
        <v/>
      </c>
      <c r="GF531" s="44" t="str">
        <f>IF(Table1[Leaving Date]="","",IF(AND(Table1[Leaving Date]&gt;42460,Table1[Leaving Date]&lt;42826),IF(Table1[Date of Last Assessment]="",Table1[Self-Care and Living Skills],Table1[Self-Care and Living Skills2]),""))</f>
        <v/>
      </c>
      <c r="GG531" s="44" t="str">
        <f>IF(Table1[Leaving Date]="","",IF(AND(Table1[Leaving Date]&gt;42460,Table1[Leaving Date]&lt;42826),IF(Table1[Date of Last Assessment]="",Table1[Managing Money and Personal Administration],Table1[Managing Money and Personal Administration2]),""))</f>
        <v/>
      </c>
      <c r="GH531" s="44" t="str">
        <f>IF(Table1[Leaving Date]="","",IF(AND(Table1[Leaving Date]&gt;42460,Table1[Leaving Date]&lt;42826),IF(Table1[Date of Last Assessment]="",Table1[Social Networks and Relationships],Table1[Social Networks and Relationships2]),""))</f>
        <v/>
      </c>
      <c r="GI531" s="44" t="str">
        <f>IF(Table1[Leaving Date]="","",IF(AND(Table1[Leaving Date]&gt;42460,Table1[Leaving Date]&lt;42826),IF(Table1[Date of Last Assessment]="",Table1[Drug and Alcohol Misuse],Table1[Drug and Alcohol Misuse2]),""))</f>
        <v/>
      </c>
      <c r="GJ531" s="44" t="str">
        <f>IF(Table1[Leaving Date]="","",IF(AND(Table1[Leaving Date]&gt;42460,Table1[Leaving Date]&lt;42826),IF(Table1[Date of Last Assessment]="",Table1[Physical Health],Table1[Physical Health2]),""))</f>
        <v/>
      </c>
      <c r="GK531" s="44" t="str">
        <f>IF(Table1[Leaving Date]="","",IF(AND(Table1[Leaving Date]&gt;42460,Table1[Leaving Date]&lt;42826),IF(Table1[Date of Last Assessment]="",Table1[Emotional and Mental Health],Table1[Emotional and Mental Health2]),""))</f>
        <v/>
      </c>
      <c r="GL531" s="44" t="str">
        <f>IF(Table1[Leaving Date]="","",IF(AND(Table1[Leaving Date]&gt;42460,Table1[Leaving Date]&lt;42826),IF(Table1[Date of Last Assessment]="",Table1[Meaningful Use of Time],Table1[Meaningful Use of Time2]),""))</f>
        <v/>
      </c>
      <c r="GM531" s="44" t="str">
        <f>IF(Table1[Leaving Date]="","",IF(AND(Table1[Leaving Date]&gt;42460,Table1[Leaving Date]&lt;42826),IF(Table1[Date of Last Assessment]="",Table1[Managing Tenancy and Accommodation],Table1[Managing Tenancy and Accommodation2]),""))</f>
        <v/>
      </c>
      <c r="GN531" s="44" t="str">
        <f>IF(Table1[Leaving Date]="","",IF(AND(Table1[Leaving Date]&gt;42460,Table1[Leaving Date]&lt;42826),IF(Table1[Date of Last Assessment]="",Table1[Offending],Table1[Offending2]),""))</f>
        <v/>
      </c>
    </row>
    <row r="532" spans="2:196" ht="20.100000000000001" customHeight="1" x14ac:dyDescent="0.2">
      <c r="B532" s="86">
        <f>+'Service Data'!$C$5:$C$5</f>
        <v>0</v>
      </c>
      <c r="C532" s="86"/>
      <c r="D532" s="86"/>
      <c r="E532" s="86"/>
      <c r="F532" s="86"/>
      <c r="G532" s="86"/>
      <c r="H532" s="6"/>
      <c r="I532" s="99" t="str">
        <f ca="1">IF(Table1[[#This Row],[Date of Birth]]="","",SUM(TODAY()-Table1[[#This Row],[Date of Birth]])/365)</f>
        <v/>
      </c>
      <c r="L532" s="86"/>
      <c r="M532" s="77"/>
      <c r="N532" s="86"/>
      <c r="O532" s="86"/>
      <c r="P532" s="91"/>
      <c r="Q532" s="86"/>
      <c r="R532" s="77"/>
      <c r="S532" s="77"/>
      <c r="T532" s="68"/>
      <c r="U532" s="68"/>
      <c r="V532" s="67"/>
      <c r="W532" s="67"/>
      <c r="X532" s="67"/>
      <c r="Y532" s="67"/>
      <c r="Z532" s="67"/>
      <c r="AA532" s="67"/>
      <c r="AB532" s="67"/>
      <c r="AC532" s="67"/>
      <c r="AD532" s="67"/>
      <c r="AE532" s="67"/>
      <c r="AF532" s="67"/>
      <c r="AG532" s="67"/>
      <c r="AH532" s="67"/>
      <c r="AI532" s="67"/>
      <c r="AJ532" s="67"/>
      <c r="AK532" s="67"/>
      <c r="AL532" s="67"/>
      <c r="AM532" s="67"/>
      <c r="AN532" s="77"/>
      <c r="AO532" s="76"/>
      <c r="AP532" s="77"/>
      <c r="AQ532" s="76"/>
      <c r="AR532" s="76"/>
      <c r="AS532" s="76"/>
      <c r="AT532" s="76"/>
      <c r="AU532" s="76"/>
      <c r="AV532" s="77"/>
      <c r="AW532" s="76"/>
      <c r="AX532" s="77"/>
      <c r="AY532" s="76"/>
      <c r="AZ532" s="76"/>
      <c r="BA532" s="76"/>
      <c r="BB532" s="76"/>
      <c r="BC532" s="76"/>
      <c r="BD532" s="77"/>
      <c r="BE532" s="76"/>
      <c r="BF532" s="77"/>
      <c r="BG532" s="76"/>
      <c r="BH532" s="76"/>
      <c r="BI532" s="76"/>
      <c r="BJ532" s="76"/>
      <c r="BK532" s="76"/>
      <c r="BL532" s="77"/>
      <c r="BM532" s="76"/>
      <c r="BN532" s="77"/>
      <c r="BO532" s="76"/>
      <c r="BP532" s="76"/>
      <c r="BQ532" s="76"/>
      <c r="BR532" s="76"/>
      <c r="BS532" s="76"/>
      <c r="BT532" s="77"/>
      <c r="BU532" s="76"/>
      <c r="BV532" s="77"/>
      <c r="BW532" s="76"/>
      <c r="BX532" s="76"/>
      <c r="BY532" s="76"/>
      <c r="BZ532" s="76"/>
      <c r="CA532" s="76"/>
      <c r="CB532" s="77"/>
      <c r="CC532" s="76"/>
      <c r="CD532" s="77"/>
      <c r="CE532" s="76"/>
      <c r="CF532" s="76"/>
      <c r="CG532" s="76"/>
      <c r="CH532" s="76"/>
      <c r="CI532" s="76"/>
      <c r="CJ532" s="77"/>
      <c r="CK532" s="76"/>
      <c r="CL532" s="77"/>
      <c r="CM532" s="76"/>
      <c r="CN532" s="76"/>
      <c r="CO532" s="76"/>
      <c r="CP532" s="76"/>
      <c r="CQ532" s="76"/>
      <c r="CR532" s="78" t="str">
        <f t="shared" si="143"/>
        <v/>
      </c>
      <c r="CS532" s="79" t="str">
        <f t="shared" si="144"/>
        <v/>
      </c>
      <c r="CT532" s="79" t="str">
        <f t="shared" si="145"/>
        <v/>
      </c>
      <c r="CU532" s="79" t="str">
        <f t="shared" si="146"/>
        <v/>
      </c>
      <c r="CV532" s="79" t="str">
        <f t="shared" si="147"/>
        <v/>
      </c>
      <c r="CW532" s="79" t="str">
        <f t="shared" si="148"/>
        <v/>
      </c>
      <c r="CX532" s="79" t="str">
        <f t="shared" si="149"/>
        <v/>
      </c>
      <c r="CY532" s="79" t="str">
        <f t="shared" si="150"/>
        <v/>
      </c>
      <c r="CZ532" s="79" t="str">
        <f t="shared" si="151"/>
        <v/>
      </c>
      <c r="DA532" s="79" t="str">
        <f t="shared" si="152"/>
        <v/>
      </c>
      <c r="DB532" s="79" t="str">
        <f t="shared" si="153"/>
        <v/>
      </c>
      <c r="DC532" s="79" t="str">
        <f t="shared" si="154"/>
        <v/>
      </c>
      <c r="DD532" s="79" t="str">
        <f t="shared" si="155"/>
        <v/>
      </c>
      <c r="DE532" s="79" t="str">
        <f t="shared" si="156"/>
        <v/>
      </c>
      <c r="DF532" s="79" t="str">
        <f t="shared" si="157"/>
        <v/>
      </c>
      <c r="DG532" s="79" t="str">
        <f t="shared" si="158"/>
        <v/>
      </c>
      <c r="DH532" s="76"/>
      <c r="DI532" s="78"/>
      <c r="DJ532" s="76"/>
      <c r="DK532" s="77"/>
      <c r="DL532" s="77"/>
      <c r="DM532" s="77"/>
      <c r="DN532" s="80"/>
      <c r="DO532" s="80"/>
      <c r="DP532" s="92" t="str">
        <f>IF(Table1[Start Date]="","",IF(Table1[Start Date]&gt;42185,"",IF(AND(Table1[Leaving Date]&gt;1,Table1[Leaving Date]&lt;42095),"",1)))</f>
        <v/>
      </c>
      <c r="DQ532" s="92" t="str">
        <f>IF(Table1[Start Date]="","",IF(Table1[Start Date]&gt;42277,"",IF(AND(Table1[Leaving Date]&gt;1,Table1[Leaving Date]&lt;42186),"",1)))</f>
        <v/>
      </c>
      <c r="DR532" s="92" t="str">
        <f>IF(Table1[Start Date]="","",IF(Table1[Start Date]&gt;42369,"",IF(AND(Table1[Leaving Date]&gt;1,Table1[Leaving Date]&lt;42278),"",1)))</f>
        <v/>
      </c>
      <c r="DS532" s="92" t="str">
        <f>IF(Table1[Start Date]="","",IF(Table1[Start Date]&gt;42460,"",IF(AND(Table1[Leaving Date]&gt;1,Table1[Leaving Date]&lt;42370),"",1)))</f>
        <v/>
      </c>
      <c r="DT532" s="92" t="str">
        <f>IF(Table1[Start Date]="","",IF(Table1[Start Date]&gt;42551,"",IF(AND(Table1[Leaving Date]&gt;1,Table1[Leaving Date]&lt;42461),"",1)))</f>
        <v/>
      </c>
      <c r="DU532" s="92" t="str">
        <f>IF(Table1[Start Date]="","",IF(Table1[Start Date]&gt;42643,"",IF(AND(Table1[Leaving Date]&gt;1,Table1[Leaving Date]&lt;42552),"",1)))</f>
        <v/>
      </c>
      <c r="DV532" s="92" t="str">
        <f>IF(Table1[Start Date]="","",IF(Table1[Start Date]&gt;42735,"",IF(AND(Table1[Leaving Date]&gt;1,Table1[Leaving Date]&lt;42644),"",1)))</f>
        <v/>
      </c>
      <c r="DW532" s="92" t="str">
        <f>IF(Table1[Start Date]="","",IF(Table1[Start Date]&gt;42825,"",IF(AND(Table1[Leaving Date]&gt;1,Table1[Leaving Date]&lt;42736),"",1)))</f>
        <v/>
      </c>
      <c r="DX532"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532" s="44" t="e">
        <f>VLOOKUP(Table1[Referral Source],Lists!$G$2:$H$20,2,FALSE)</f>
        <v>#N/A</v>
      </c>
      <c r="DZ532" s="93" t="e">
        <f>SUM(Table1[Data Referral Quarter]+Table1[Data Referral Source])</f>
        <v>#N/A</v>
      </c>
      <c r="EA532" s="44" t="b">
        <f>IF(Table1[Referral Decision]="Accepted",100,IF(Table1[Referral Decision]="Rejected by Provider",200,IF(Table1[Referral Decision]="Rejected by Applicant",300)))</f>
        <v>0</v>
      </c>
      <c r="EB532" s="44">
        <f>SUM(Table1[Data Referral Quarter]+Table1[Data Referral Decision])</f>
        <v>0</v>
      </c>
      <c r="EC532" s="44" t="b">
        <f>IF(Table1[Start Date]&gt;42735,8000,IF(Table1[Start Date]&gt;42643,7000,IF(Table1[Start Date]&gt;42551,6000,IF(Table1[Start Date]&gt;42460,5000,IF(Table1[Start Date]&gt;42369,4000,IF(Table1[Start Date]&gt;42277,3000,IF(Table1[Start Date]&gt;42185,2000,IF(Table1[Start Date]&gt;42094,1000))))))))</f>
        <v>0</v>
      </c>
      <c r="ED532" s="44" t="str">
        <f>IF(Table1[Start Date]="","",IF(Table1[Current Local Authority]="Swindon",1,"2"))</f>
        <v/>
      </c>
      <c r="EE532" s="44" t="e">
        <f>SUM(Table1[Data Start Date]+Table1[Data Local Authority])</f>
        <v>#VALUE!</v>
      </c>
      <c r="EF532" s="44">
        <f>IF(Table1[Registered with GP]="Yes",1,0)</f>
        <v>0</v>
      </c>
      <c r="EG532" s="44">
        <f>SUM(Table1[Data Start Date]+Table1[Data GP Start])</f>
        <v>0</v>
      </c>
      <c r="EH532" s="44" t="str">
        <f>IF(Table1[EET]="NEET",1,IF(Table1[EET]="Education",2,IF(Table1[EET]="Employment",2,IF(Table1[EET]="Training",2,IF(Table1[EET]="Retired",3,"")))))</f>
        <v/>
      </c>
      <c r="EI532" s="44" t="e">
        <f>Table1[Data Start Date]+Table1[Data EET Start]</f>
        <v>#VALUE!</v>
      </c>
      <c r="EJ532" s="44" t="b">
        <f>IF(Table1[Leaving Date]&gt;42735,8000,IF(Table1[Leaving Date]&gt;42643,7000,IF(Table1[Leaving Date]&gt;42551,6000,IF(Table1[Leaving Date]&gt;42460,5000,IF(Table1[Leaving Date]&gt;42369,4000,IF(Table1[Leaving Date]&gt;42277,3000,IF(Table1[Leaving Date]&gt;42185,2000,IF(Table1[Leaving Date]&gt;42094,1000))))))))</f>
        <v>0</v>
      </c>
      <c r="EK532" s="44" t="e">
        <f>VLOOKUP(Table1[Reason for Leaving],Lists!$T$2:$U$15,2,FALSE)</f>
        <v>#N/A</v>
      </c>
      <c r="EL532" s="44" t="e">
        <f>SUM(Table1[Data Leavers Date]+Table1[Data Move On])</f>
        <v>#N/A</v>
      </c>
      <c r="EM532" s="44" t="b">
        <f>IF(Table1[Registered with GP2]="Yes",1,IF(Table1[Registered with GP2]="No",0,IF(Table1[Registered with GP]="Yes",1,IF(Table1[Registered with GP]="No",0))))</f>
        <v>0</v>
      </c>
      <c r="EN532" s="44">
        <f>SUM(Table1[Data Leavers Date]+Table1[Data GP End])</f>
        <v>0</v>
      </c>
      <c r="EO532" s="44" t="str">
        <f>IF(Table1[EET2]="NEET",1,IF(Table1[EET2]="Employment",2,IF(Table1[EET2]="Education",2,IF(Table1[EET2]="Training",2,IF(Table1[EET2]="Retired",3,IF(Table1[EET]="NEET",1,IF(Table1[EET]="Employment",2,IF(Table1[EET]="Education",2,IF(Table1[EET]="Training",2,IF(Table1[EET]="Retired",3,""))))))))))</f>
        <v/>
      </c>
      <c r="EP532" s="44" t="e">
        <f>+Table1[[#This Row],[Data Leavers Date]]+Table1[[#This Row],[Data EET End]]</f>
        <v>#VALUE!</v>
      </c>
      <c r="EQ532" s="44">
        <f>IF(Table1[Exit Form Received]="Yes",1,0)</f>
        <v>0</v>
      </c>
      <c r="ER532" s="44">
        <f>+Table1[[#This Row],[Data Leavers Date]]+Table1[[#This Row],[Data Exit Forms]]</f>
        <v>0</v>
      </c>
      <c r="ES532" s="44" t="str">
        <f>IF(Table1[Data Leavers Date]=1000,SUM(Table1[Leaving Date]-Table1[Start Date]),"")</f>
        <v/>
      </c>
      <c r="ET532" s="44" t="str">
        <f>IF(Table1[Data Leavers Date]=2000,SUM(Table1[Leaving Date]-Table1[Start Date]),"")</f>
        <v/>
      </c>
      <c r="EU532" s="44" t="str">
        <f>IF(Table1[Data Leavers Date]=3000,SUM(Table1[Leaving Date]-Table1[Start Date]),"")</f>
        <v/>
      </c>
      <c r="EV532" s="44" t="str">
        <f>IF(Table1[Data Leavers Date]=4000,SUM(Table1[Leaving Date]-Table1[Start Date]),"")</f>
        <v/>
      </c>
      <c r="EW532" s="44" t="str">
        <f>IF(Table1[Data Leavers Date]=5000,SUM(Table1[Leaving Date]-Table1[Start Date]),"")</f>
        <v/>
      </c>
      <c r="EX532" s="44" t="str">
        <f>IF(Table1[Data Leavers Date]=6000,SUM(Table1[Leaving Date]-Table1[Start Date]),"")</f>
        <v/>
      </c>
      <c r="EY532" s="44" t="str">
        <f>IF(Table1[Data Leavers Date]=7000,SUM(Table1[Leaving Date]-Table1[Start Date]),"")</f>
        <v/>
      </c>
      <c r="EZ532" s="44" t="str">
        <f>IF(Table1[Data Leavers Date]=8000,SUM(Table1[Leaving Date]-Table1[Start Date]),"")</f>
        <v/>
      </c>
      <c r="FA532" s="44" t="str">
        <f>IF(Table1[Date of Initial Assessment]="","",IF(AND(Table1[Start Date]&gt;42094,Table1[Start Date]&lt;42461),Table1[Motivation and Taking Responsibility],""))</f>
        <v/>
      </c>
      <c r="FB532" s="44" t="str">
        <f>IF(Table1[Date of Initial Assessment]="","",IF(AND(Table1[Start Date]&gt;42094,Table1[Start Date]&lt;42461),Table1[Self-Care and Living Skills],""))</f>
        <v/>
      </c>
      <c r="FC532" s="44" t="str">
        <f>IF(Table1[Date of Initial Assessment]="","",IF(AND(Table1[Start Date]&gt;42094,Table1[Start Date]&lt;42461),Table1[Managing Money and Personal Administration],""))</f>
        <v/>
      </c>
      <c r="FD532" s="44" t="str">
        <f>IF(Table1[Date of Initial Assessment]="","",IF(AND(Table1[Start Date]&gt;42094,Table1[Start Date]&lt;42461),Table1[Social Networks and Relationships],""))</f>
        <v/>
      </c>
      <c r="FE532" s="44" t="str">
        <f>IF(Table1[Date of Initial Assessment]="","",IF(AND(Table1[Start Date]&gt;42094,Table1[Start Date]&lt;42461),Table1[Drug and Alcohol Misuse],""))</f>
        <v/>
      </c>
      <c r="FF532" s="44" t="str">
        <f>IF(Table1[Date of Initial Assessment]="","",IF(AND(Table1[Start Date]&gt;42094,Table1[Start Date]&lt;42461),Table1[Physical Health],""))</f>
        <v/>
      </c>
      <c r="FG532" s="44" t="str">
        <f>IF(Table1[Date of Initial Assessment]="","",IF(AND(Table1[Start Date]&gt;42094,Table1[Start Date]&lt;42461),Table1[Emotional and Mental Health],""))</f>
        <v/>
      </c>
      <c r="FH532" s="44" t="str">
        <f>IF(Table1[Date of Initial Assessment]="","",IF(AND(Table1[Start Date]&gt;42094,Table1[Start Date]&lt;42461),Table1[Meaningful Use of Time],""))</f>
        <v/>
      </c>
      <c r="FI532" s="44" t="str">
        <f>IF(Table1[Date of Initial Assessment]="","",IF(AND(Table1[Start Date]&gt;42094,Table1[Start Date]&lt;42461),Table1[Managing Tenancy and Accommodation],""))</f>
        <v/>
      </c>
      <c r="FJ532" s="44" t="str">
        <f>IF(Table1[Date of Initial Assessment]="","",IF(AND(Table1[Start Date]&gt;42094,Table1[Start Date]&lt;42461),Table1[Offending],""))</f>
        <v/>
      </c>
      <c r="FK532" s="44" t="str">
        <f>IF(Table1[Leaving Date]="","",IF(Table1[Date of Initial Assessment]="","",IF(AND(Table1[Leaving Date]&gt;42094,Table1[Leaving Date]&lt;42461),IF(Table1[Date of Last Assessment]="",Table1[Motivation and Taking Responsibility],Table1[Motivation and Taking Responsibility2]),"")))</f>
        <v/>
      </c>
      <c r="FL532" s="44" t="str">
        <f>IF(Table1[Leaving Date]="","",IF(Table1[Date of Initial Assessment]="","",IF(AND(Table1[Leaving Date]&gt;42094,Table1[Leaving Date]&lt;42461),IF(Table1[Date of Last Assessment]="",Table1[Self-Care and Living Skills],Table1[Self-Care and Living Skills2]),"")))</f>
        <v/>
      </c>
      <c r="FM532" s="44" t="str">
        <f>IF(Table1[Leaving Date]="","",IF(Table1[Date of Initial Assessment]="","",IF(AND(Table1[Leaving Date]&gt;42094,Table1[Leaving Date]&lt;42461),IF(Table1[Date of Last Assessment]="",Table1[Managing Money and Personal Administration],Table1[Managing Money and Personal Administration2]),"")))</f>
        <v/>
      </c>
      <c r="FN532" s="44" t="str">
        <f>IF(Table1[Leaving Date]="","",IF(Table1[Date of Initial Assessment]="","",IF(AND(Table1[Leaving Date]&gt;42094,Table1[Leaving Date]&lt;42461),IF(Table1[Date of Last Assessment]="",Table1[Social Networks and Relationships],Table1[Social Networks and Relationships2]),"")))</f>
        <v/>
      </c>
      <c r="FO532" s="44" t="str">
        <f>IF(Table1[Leaving Date]="","",IF(Table1[Date of Initial Assessment]="","",IF(AND(Table1[Leaving Date]&gt;42094,Table1[Leaving Date]&lt;42461),IF(Table1[Date of Last Assessment]="",Table1[Drug and Alcohol Misuse],Table1[Drug and Alcohol Misuse2]),"")))</f>
        <v/>
      </c>
      <c r="FP532" s="44" t="str">
        <f>IF(Table1[Leaving Date]="","",IF(Table1[Date of Initial Assessment]="","",IF(AND(Table1[Leaving Date]&gt;42094,Table1[Leaving Date]&lt;42461),IF(Table1[Date of Last Assessment]="",Table1[Physical Health],Table1[Physical Health2]),"")))</f>
        <v/>
      </c>
      <c r="FQ532" s="44" t="str">
        <f>IF(Table1[Leaving Date]="","",IF(Table1[Date of Initial Assessment]="","",IF(AND(Table1[Leaving Date]&gt;42094,Table1[Leaving Date]&lt;42461),IF(Table1[Date of Last Assessment]="",Table1[Emotional and Mental Health],Table1[Emotional and Mental Health2]),"")))</f>
        <v/>
      </c>
      <c r="FR532" s="44" t="str">
        <f>IF(Table1[Leaving Date]="","",IF(Table1[Date of Initial Assessment]="","",IF(AND(Table1[Leaving Date]&gt;42094,Table1[Leaving Date]&lt;42461),IF(Table1[Date of Last Assessment]="",Table1[Meaningful Use of Time],Table1[Meaningful Use of Time2]),"")))</f>
        <v/>
      </c>
      <c r="FS532" s="44" t="str">
        <f>IF(Table1[Leaving Date]="","",IF(Table1[Date of Initial Assessment]="","",IF(AND(Table1[Leaving Date]&gt;42094,Table1[Leaving Date]&lt;42461),IF(Table1[Date of Last Assessment]="",Table1[Managing Tenancy and Accommodation],Table1[Managing Tenancy and Accommodation2]),"")))</f>
        <v/>
      </c>
      <c r="FT532" s="44" t="str">
        <f>IF(Table1[Leaving Date]="","",IF(Table1[Date of Initial Assessment]="","",IF(AND(Table1[Leaving Date]&gt;42094,Table1[Leaving Date]&lt;42461),IF(Table1[Date of Last Assessment]="",Table1[Offending],Table1[Offending2]),"")))</f>
        <v/>
      </c>
      <c r="FU532" s="44" t="str">
        <f>IF(Table1[Date of Initial Assessment]="","",IF(AND(Table1[Start Date]&gt;42460,Table1[Start Date]&lt;42826),Table1[Motivation and Taking Responsibility],""))</f>
        <v/>
      </c>
      <c r="FV532" s="44" t="str">
        <f>IF(Table1[Date of Initial Assessment]="","",IF(AND(Table1[Start Date]&gt;42460,Table1[Start Date]&lt;42826),Table1[Self-Care and Living Skills],""))</f>
        <v/>
      </c>
      <c r="FW532" s="44" t="str">
        <f>IF(Table1[Date of Initial Assessment]="","",IF(AND(Table1[Start Date]&gt;42460,Table1[Start Date]&lt;42826),Table1[Managing Money and Personal Administration],""))</f>
        <v/>
      </c>
      <c r="FX532" s="44" t="str">
        <f>IF(Table1[Date of Initial Assessment]="","",IF(AND(Table1[Start Date]&gt;42460,Table1[Start Date]&lt;42826),Table1[Social Networks and Relationships],""))</f>
        <v/>
      </c>
      <c r="FY532" s="44" t="str">
        <f>IF(Table1[Date of Initial Assessment]="","",IF(AND(Table1[Start Date]&gt;42460,Table1[Start Date]&lt;42826),Table1[Drug and Alcohol Misuse],""))</f>
        <v/>
      </c>
      <c r="FZ532" s="44" t="str">
        <f>IF(Table1[Date of Initial Assessment]="","",IF(AND(Table1[Start Date]&gt;42460,Table1[Start Date]&lt;42826),Table1[Physical Health],""))</f>
        <v/>
      </c>
      <c r="GA532" s="44" t="str">
        <f>IF(Table1[Date of Initial Assessment]="","",IF(AND(Table1[Start Date]&gt;42460,Table1[Start Date]&lt;42826),Table1[Emotional and Mental Health],""))</f>
        <v/>
      </c>
      <c r="GB532" s="44" t="str">
        <f>IF(Table1[Date of Initial Assessment]="","",IF(AND(Table1[Start Date]&gt;42460,Table1[Start Date]&lt;42826),Table1[Meaningful Use of Time],""))</f>
        <v/>
      </c>
      <c r="GC532" s="44" t="str">
        <f>IF(Table1[Date of Initial Assessment]="","",IF(AND(Table1[Start Date]&gt;42460,Table1[Start Date]&lt;42826),Table1[Managing Tenancy and Accommodation],""))</f>
        <v/>
      </c>
      <c r="GD532" s="44" t="str">
        <f>IF(Table1[Date of Initial Assessment]="","",IF(AND(Table1[Start Date]&gt;42460,Table1[Start Date]&lt;42826),Table1[Offending],""))</f>
        <v/>
      </c>
      <c r="GE532" s="44" t="str">
        <f>IF(Table1[Leaving Date]="","",IF(AND(Table1[Leaving Date]&gt;42460,Table1[Leaving Date]&lt;42826),IF(Table1[Date of Last Assessment]="",Table1[Motivation and Taking Responsibility],Table1[Motivation and Taking Responsibility2]),""))</f>
        <v/>
      </c>
      <c r="GF532" s="44" t="str">
        <f>IF(Table1[Leaving Date]="","",IF(AND(Table1[Leaving Date]&gt;42460,Table1[Leaving Date]&lt;42826),IF(Table1[Date of Last Assessment]="",Table1[Self-Care and Living Skills],Table1[Self-Care and Living Skills2]),""))</f>
        <v/>
      </c>
      <c r="GG532" s="44" t="str">
        <f>IF(Table1[Leaving Date]="","",IF(AND(Table1[Leaving Date]&gt;42460,Table1[Leaving Date]&lt;42826),IF(Table1[Date of Last Assessment]="",Table1[Managing Money and Personal Administration],Table1[Managing Money and Personal Administration2]),""))</f>
        <v/>
      </c>
      <c r="GH532" s="44" t="str">
        <f>IF(Table1[Leaving Date]="","",IF(AND(Table1[Leaving Date]&gt;42460,Table1[Leaving Date]&lt;42826),IF(Table1[Date of Last Assessment]="",Table1[Social Networks and Relationships],Table1[Social Networks and Relationships2]),""))</f>
        <v/>
      </c>
      <c r="GI532" s="44" t="str">
        <f>IF(Table1[Leaving Date]="","",IF(AND(Table1[Leaving Date]&gt;42460,Table1[Leaving Date]&lt;42826),IF(Table1[Date of Last Assessment]="",Table1[Drug and Alcohol Misuse],Table1[Drug and Alcohol Misuse2]),""))</f>
        <v/>
      </c>
      <c r="GJ532" s="44" t="str">
        <f>IF(Table1[Leaving Date]="","",IF(AND(Table1[Leaving Date]&gt;42460,Table1[Leaving Date]&lt;42826),IF(Table1[Date of Last Assessment]="",Table1[Physical Health],Table1[Physical Health2]),""))</f>
        <v/>
      </c>
      <c r="GK532" s="44" t="str">
        <f>IF(Table1[Leaving Date]="","",IF(AND(Table1[Leaving Date]&gt;42460,Table1[Leaving Date]&lt;42826),IF(Table1[Date of Last Assessment]="",Table1[Emotional and Mental Health],Table1[Emotional and Mental Health2]),""))</f>
        <v/>
      </c>
      <c r="GL532" s="44" t="str">
        <f>IF(Table1[Leaving Date]="","",IF(AND(Table1[Leaving Date]&gt;42460,Table1[Leaving Date]&lt;42826),IF(Table1[Date of Last Assessment]="",Table1[Meaningful Use of Time],Table1[Meaningful Use of Time2]),""))</f>
        <v/>
      </c>
      <c r="GM532" s="44" t="str">
        <f>IF(Table1[Leaving Date]="","",IF(AND(Table1[Leaving Date]&gt;42460,Table1[Leaving Date]&lt;42826),IF(Table1[Date of Last Assessment]="",Table1[Managing Tenancy and Accommodation],Table1[Managing Tenancy and Accommodation2]),""))</f>
        <v/>
      </c>
      <c r="GN532" s="44" t="str">
        <f>IF(Table1[Leaving Date]="","",IF(AND(Table1[Leaving Date]&gt;42460,Table1[Leaving Date]&lt;42826),IF(Table1[Date of Last Assessment]="",Table1[Offending],Table1[Offending2]),""))</f>
        <v/>
      </c>
    </row>
    <row r="533" spans="2:196" ht="20.100000000000001" customHeight="1" x14ac:dyDescent="0.2">
      <c r="B533" s="86">
        <f>+'Service Data'!$C$5:$C$5</f>
        <v>0</v>
      </c>
      <c r="C533" s="86"/>
      <c r="D533" s="86"/>
      <c r="E533" s="86"/>
      <c r="F533" s="86"/>
      <c r="G533" s="86"/>
      <c r="H533" s="6"/>
      <c r="I533" s="99" t="str">
        <f ca="1">IF(Table1[[#This Row],[Date of Birth]]="","",SUM(TODAY()-Table1[[#This Row],[Date of Birth]])/365)</f>
        <v/>
      </c>
      <c r="L533" s="86"/>
      <c r="M533" s="77"/>
      <c r="N533" s="86"/>
      <c r="O533" s="86"/>
      <c r="P533" s="91"/>
      <c r="Q533" s="86"/>
      <c r="R533" s="77"/>
      <c r="S533" s="77"/>
      <c r="T533" s="68"/>
      <c r="U533" s="68"/>
      <c r="V533" s="67"/>
      <c r="W533" s="67"/>
      <c r="X533" s="67"/>
      <c r="Y533" s="67"/>
      <c r="Z533" s="67"/>
      <c r="AA533" s="67"/>
      <c r="AB533" s="67"/>
      <c r="AC533" s="67"/>
      <c r="AD533" s="67"/>
      <c r="AE533" s="67"/>
      <c r="AF533" s="67"/>
      <c r="AG533" s="67"/>
      <c r="AH533" s="67"/>
      <c r="AI533" s="67"/>
      <c r="AJ533" s="67"/>
      <c r="AK533" s="67"/>
      <c r="AL533" s="67"/>
      <c r="AM533" s="67"/>
      <c r="AN533" s="77"/>
      <c r="AO533" s="76"/>
      <c r="AP533" s="77"/>
      <c r="AQ533" s="76"/>
      <c r="AR533" s="76"/>
      <c r="AS533" s="76"/>
      <c r="AT533" s="76"/>
      <c r="AU533" s="76"/>
      <c r="AV533" s="77"/>
      <c r="AW533" s="76"/>
      <c r="AX533" s="77"/>
      <c r="AY533" s="76"/>
      <c r="AZ533" s="76"/>
      <c r="BA533" s="76"/>
      <c r="BB533" s="76"/>
      <c r="BC533" s="76"/>
      <c r="BD533" s="77"/>
      <c r="BE533" s="76"/>
      <c r="BF533" s="77"/>
      <c r="BG533" s="76"/>
      <c r="BH533" s="76"/>
      <c r="BI533" s="76"/>
      <c r="BJ533" s="76"/>
      <c r="BK533" s="76"/>
      <c r="BL533" s="77"/>
      <c r="BM533" s="76"/>
      <c r="BN533" s="77"/>
      <c r="BO533" s="76"/>
      <c r="BP533" s="76"/>
      <c r="BQ533" s="76"/>
      <c r="BR533" s="76"/>
      <c r="BS533" s="76"/>
      <c r="BT533" s="77"/>
      <c r="BU533" s="76"/>
      <c r="BV533" s="77"/>
      <c r="BW533" s="76"/>
      <c r="BX533" s="76"/>
      <c r="BY533" s="76"/>
      <c r="BZ533" s="76"/>
      <c r="CA533" s="76"/>
      <c r="CB533" s="77"/>
      <c r="CC533" s="76"/>
      <c r="CD533" s="77"/>
      <c r="CE533" s="76"/>
      <c r="CF533" s="76"/>
      <c r="CG533" s="76"/>
      <c r="CH533" s="76"/>
      <c r="CI533" s="76"/>
      <c r="CJ533" s="77"/>
      <c r="CK533" s="76"/>
      <c r="CL533" s="77"/>
      <c r="CM533" s="76"/>
      <c r="CN533" s="76"/>
      <c r="CO533" s="76"/>
      <c r="CP533" s="76"/>
      <c r="CQ533" s="76"/>
      <c r="CR533" s="78" t="str">
        <f t="shared" si="143"/>
        <v/>
      </c>
      <c r="CS533" s="79" t="str">
        <f t="shared" si="144"/>
        <v/>
      </c>
      <c r="CT533" s="79" t="str">
        <f t="shared" si="145"/>
        <v/>
      </c>
      <c r="CU533" s="79" t="str">
        <f t="shared" si="146"/>
        <v/>
      </c>
      <c r="CV533" s="79" t="str">
        <f t="shared" si="147"/>
        <v/>
      </c>
      <c r="CW533" s="79" t="str">
        <f t="shared" si="148"/>
        <v/>
      </c>
      <c r="CX533" s="79" t="str">
        <f t="shared" si="149"/>
        <v/>
      </c>
      <c r="CY533" s="79" t="str">
        <f t="shared" si="150"/>
        <v/>
      </c>
      <c r="CZ533" s="79" t="str">
        <f t="shared" si="151"/>
        <v/>
      </c>
      <c r="DA533" s="79" t="str">
        <f t="shared" si="152"/>
        <v/>
      </c>
      <c r="DB533" s="79" t="str">
        <f t="shared" si="153"/>
        <v/>
      </c>
      <c r="DC533" s="79" t="str">
        <f t="shared" si="154"/>
        <v/>
      </c>
      <c r="DD533" s="79" t="str">
        <f t="shared" si="155"/>
        <v/>
      </c>
      <c r="DE533" s="79" t="str">
        <f t="shared" si="156"/>
        <v/>
      </c>
      <c r="DF533" s="79" t="str">
        <f t="shared" si="157"/>
        <v/>
      </c>
      <c r="DG533" s="79" t="str">
        <f t="shared" si="158"/>
        <v/>
      </c>
      <c r="DH533" s="76"/>
      <c r="DI533" s="78"/>
      <c r="DJ533" s="76"/>
      <c r="DK533" s="77"/>
      <c r="DL533" s="77"/>
      <c r="DM533" s="77"/>
      <c r="DN533" s="80"/>
      <c r="DO533" s="80"/>
      <c r="DP533" s="92" t="str">
        <f>IF(Table1[Start Date]="","",IF(Table1[Start Date]&gt;42185,"",IF(AND(Table1[Leaving Date]&gt;1,Table1[Leaving Date]&lt;42095),"",1)))</f>
        <v/>
      </c>
      <c r="DQ533" s="92" t="str">
        <f>IF(Table1[Start Date]="","",IF(Table1[Start Date]&gt;42277,"",IF(AND(Table1[Leaving Date]&gt;1,Table1[Leaving Date]&lt;42186),"",1)))</f>
        <v/>
      </c>
      <c r="DR533" s="92" t="str">
        <f>IF(Table1[Start Date]="","",IF(Table1[Start Date]&gt;42369,"",IF(AND(Table1[Leaving Date]&gt;1,Table1[Leaving Date]&lt;42278),"",1)))</f>
        <v/>
      </c>
      <c r="DS533" s="92" t="str">
        <f>IF(Table1[Start Date]="","",IF(Table1[Start Date]&gt;42460,"",IF(AND(Table1[Leaving Date]&gt;1,Table1[Leaving Date]&lt;42370),"",1)))</f>
        <v/>
      </c>
      <c r="DT533" s="92" t="str">
        <f>IF(Table1[Start Date]="","",IF(Table1[Start Date]&gt;42551,"",IF(AND(Table1[Leaving Date]&gt;1,Table1[Leaving Date]&lt;42461),"",1)))</f>
        <v/>
      </c>
      <c r="DU533" s="92" t="str">
        <f>IF(Table1[Start Date]="","",IF(Table1[Start Date]&gt;42643,"",IF(AND(Table1[Leaving Date]&gt;1,Table1[Leaving Date]&lt;42552),"",1)))</f>
        <v/>
      </c>
      <c r="DV533" s="92" t="str">
        <f>IF(Table1[Start Date]="","",IF(Table1[Start Date]&gt;42735,"",IF(AND(Table1[Leaving Date]&gt;1,Table1[Leaving Date]&lt;42644),"",1)))</f>
        <v/>
      </c>
      <c r="DW533" s="92" t="str">
        <f>IF(Table1[Start Date]="","",IF(Table1[Start Date]&gt;42825,"",IF(AND(Table1[Leaving Date]&gt;1,Table1[Leaving Date]&lt;42736),"",1)))</f>
        <v/>
      </c>
      <c r="DX533"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533" s="44" t="e">
        <f>VLOOKUP(Table1[Referral Source],Lists!$G$2:$H$20,2,FALSE)</f>
        <v>#N/A</v>
      </c>
      <c r="DZ533" s="93" t="e">
        <f>SUM(Table1[Data Referral Quarter]+Table1[Data Referral Source])</f>
        <v>#N/A</v>
      </c>
      <c r="EA533" s="44" t="b">
        <f>IF(Table1[Referral Decision]="Accepted",100,IF(Table1[Referral Decision]="Rejected by Provider",200,IF(Table1[Referral Decision]="Rejected by Applicant",300)))</f>
        <v>0</v>
      </c>
      <c r="EB533" s="44">
        <f>SUM(Table1[Data Referral Quarter]+Table1[Data Referral Decision])</f>
        <v>0</v>
      </c>
      <c r="EC533" s="44" t="b">
        <f>IF(Table1[Start Date]&gt;42735,8000,IF(Table1[Start Date]&gt;42643,7000,IF(Table1[Start Date]&gt;42551,6000,IF(Table1[Start Date]&gt;42460,5000,IF(Table1[Start Date]&gt;42369,4000,IF(Table1[Start Date]&gt;42277,3000,IF(Table1[Start Date]&gt;42185,2000,IF(Table1[Start Date]&gt;42094,1000))))))))</f>
        <v>0</v>
      </c>
      <c r="ED533" s="44" t="str">
        <f>IF(Table1[Start Date]="","",IF(Table1[Current Local Authority]="Swindon",1,"2"))</f>
        <v/>
      </c>
      <c r="EE533" s="44" t="e">
        <f>SUM(Table1[Data Start Date]+Table1[Data Local Authority])</f>
        <v>#VALUE!</v>
      </c>
      <c r="EF533" s="44">
        <f>IF(Table1[Registered with GP]="Yes",1,0)</f>
        <v>0</v>
      </c>
      <c r="EG533" s="44">
        <f>SUM(Table1[Data Start Date]+Table1[Data GP Start])</f>
        <v>0</v>
      </c>
      <c r="EH533" s="44" t="str">
        <f>IF(Table1[EET]="NEET",1,IF(Table1[EET]="Education",2,IF(Table1[EET]="Employment",2,IF(Table1[EET]="Training",2,IF(Table1[EET]="Retired",3,"")))))</f>
        <v/>
      </c>
      <c r="EI533" s="44" t="e">
        <f>Table1[Data Start Date]+Table1[Data EET Start]</f>
        <v>#VALUE!</v>
      </c>
      <c r="EJ533" s="44" t="b">
        <f>IF(Table1[Leaving Date]&gt;42735,8000,IF(Table1[Leaving Date]&gt;42643,7000,IF(Table1[Leaving Date]&gt;42551,6000,IF(Table1[Leaving Date]&gt;42460,5000,IF(Table1[Leaving Date]&gt;42369,4000,IF(Table1[Leaving Date]&gt;42277,3000,IF(Table1[Leaving Date]&gt;42185,2000,IF(Table1[Leaving Date]&gt;42094,1000))))))))</f>
        <v>0</v>
      </c>
      <c r="EK533" s="44" t="e">
        <f>VLOOKUP(Table1[Reason for Leaving],Lists!$T$2:$U$15,2,FALSE)</f>
        <v>#N/A</v>
      </c>
      <c r="EL533" s="44" t="e">
        <f>SUM(Table1[Data Leavers Date]+Table1[Data Move On])</f>
        <v>#N/A</v>
      </c>
      <c r="EM533" s="44" t="b">
        <f>IF(Table1[Registered with GP2]="Yes",1,IF(Table1[Registered with GP2]="No",0,IF(Table1[Registered with GP]="Yes",1,IF(Table1[Registered with GP]="No",0))))</f>
        <v>0</v>
      </c>
      <c r="EN533" s="44">
        <f>SUM(Table1[Data Leavers Date]+Table1[Data GP End])</f>
        <v>0</v>
      </c>
      <c r="EO533" s="44" t="str">
        <f>IF(Table1[EET2]="NEET",1,IF(Table1[EET2]="Employment",2,IF(Table1[EET2]="Education",2,IF(Table1[EET2]="Training",2,IF(Table1[EET2]="Retired",3,IF(Table1[EET]="NEET",1,IF(Table1[EET]="Employment",2,IF(Table1[EET]="Education",2,IF(Table1[EET]="Training",2,IF(Table1[EET]="Retired",3,""))))))))))</f>
        <v/>
      </c>
      <c r="EP533" s="44" t="e">
        <f>+Table1[[#This Row],[Data Leavers Date]]+Table1[[#This Row],[Data EET End]]</f>
        <v>#VALUE!</v>
      </c>
      <c r="EQ533" s="44">
        <f>IF(Table1[Exit Form Received]="Yes",1,0)</f>
        <v>0</v>
      </c>
      <c r="ER533" s="44">
        <f>+Table1[[#This Row],[Data Leavers Date]]+Table1[[#This Row],[Data Exit Forms]]</f>
        <v>0</v>
      </c>
      <c r="ES533" s="44" t="str">
        <f>IF(Table1[Data Leavers Date]=1000,SUM(Table1[Leaving Date]-Table1[Start Date]),"")</f>
        <v/>
      </c>
      <c r="ET533" s="44" t="str">
        <f>IF(Table1[Data Leavers Date]=2000,SUM(Table1[Leaving Date]-Table1[Start Date]),"")</f>
        <v/>
      </c>
      <c r="EU533" s="44" t="str">
        <f>IF(Table1[Data Leavers Date]=3000,SUM(Table1[Leaving Date]-Table1[Start Date]),"")</f>
        <v/>
      </c>
      <c r="EV533" s="44" t="str">
        <f>IF(Table1[Data Leavers Date]=4000,SUM(Table1[Leaving Date]-Table1[Start Date]),"")</f>
        <v/>
      </c>
      <c r="EW533" s="44" t="str">
        <f>IF(Table1[Data Leavers Date]=5000,SUM(Table1[Leaving Date]-Table1[Start Date]),"")</f>
        <v/>
      </c>
      <c r="EX533" s="44" t="str">
        <f>IF(Table1[Data Leavers Date]=6000,SUM(Table1[Leaving Date]-Table1[Start Date]),"")</f>
        <v/>
      </c>
      <c r="EY533" s="44" t="str">
        <f>IF(Table1[Data Leavers Date]=7000,SUM(Table1[Leaving Date]-Table1[Start Date]),"")</f>
        <v/>
      </c>
      <c r="EZ533" s="44" t="str">
        <f>IF(Table1[Data Leavers Date]=8000,SUM(Table1[Leaving Date]-Table1[Start Date]),"")</f>
        <v/>
      </c>
      <c r="FA533" s="44" t="str">
        <f>IF(Table1[Date of Initial Assessment]="","",IF(AND(Table1[Start Date]&gt;42094,Table1[Start Date]&lt;42461),Table1[Motivation and Taking Responsibility],""))</f>
        <v/>
      </c>
      <c r="FB533" s="44" t="str">
        <f>IF(Table1[Date of Initial Assessment]="","",IF(AND(Table1[Start Date]&gt;42094,Table1[Start Date]&lt;42461),Table1[Self-Care and Living Skills],""))</f>
        <v/>
      </c>
      <c r="FC533" s="44" t="str">
        <f>IF(Table1[Date of Initial Assessment]="","",IF(AND(Table1[Start Date]&gt;42094,Table1[Start Date]&lt;42461),Table1[Managing Money and Personal Administration],""))</f>
        <v/>
      </c>
      <c r="FD533" s="44" t="str">
        <f>IF(Table1[Date of Initial Assessment]="","",IF(AND(Table1[Start Date]&gt;42094,Table1[Start Date]&lt;42461),Table1[Social Networks and Relationships],""))</f>
        <v/>
      </c>
      <c r="FE533" s="44" t="str">
        <f>IF(Table1[Date of Initial Assessment]="","",IF(AND(Table1[Start Date]&gt;42094,Table1[Start Date]&lt;42461),Table1[Drug and Alcohol Misuse],""))</f>
        <v/>
      </c>
      <c r="FF533" s="44" t="str">
        <f>IF(Table1[Date of Initial Assessment]="","",IF(AND(Table1[Start Date]&gt;42094,Table1[Start Date]&lt;42461),Table1[Physical Health],""))</f>
        <v/>
      </c>
      <c r="FG533" s="44" t="str">
        <f>IF(Table1[Date of Initial Assessment]="","",IF(AND(Table1[Start Date]&gt;42094,Table1[Start Date]&lt;42461),Table1[Emotional and Mental Health],""))</f>
        <v/>
      </c>
      <c r="FH533" s="44" t="str">
        <f>IF(Table1[Date of Initial Assessment]="","",IF(AND(Table1[Start Date]&gt;42094,Table1[Start Date]&lt;42461),Table1[Meaningful Use of Time],""))</f>
        <v/>
      </c>
      <c r="FI533" s="44" t="str">
        <f>IF(Table1[Date of Initial Assessment]="","",IF(AND(Table1[Start Date]&gt;42094,Table1[Start Date]&lt;42461),Table1[Managing Tenancy and Accommodation],""))</f>
        <v/>
      </c>
      <c r="FJ533" s="44" t="str">
        <f>IF(Table1[Date of Initial Assessment]="","",IF(AND(Table1[Start Date]&gt;42094,Table1[Start Date]&lt;42461),Table1[Offending],""))</f>
        <v/>
      </c>
      <c r="FK533" s="44" t="str">
        <f>IF(Table1[Leaving Date]="","",IF(Table1[Date of Initial Assessment]="","",IF(AND(Table1[Leaving Date]&gt;42094,Table1[Leaving Date]&lt;42461),IF(Table1[Date of Last Assessment]="",Table1[Motivation and Taking Responsibility],Table1[Motivation and Taking Responsibility2]),"")))</f>
        <v/>
      </c>
      <c r="FL533" s="44" t="str">
        <f>IF(Table1[Leaving Date]="","",IF(Table1[Date of Initial Assessment]="","",IF(AND(Table1[Leaving Date]&gt;42094,Table1[Leaving Date]&lt;42461),IF(Table1[Date of Last Assessment]="",Table1[Self-Care and Living Skills],Table1[Self-Care and Living Skills2]),"")))</f>
        <v/>
      </c>
      <c r="FM533" s="44" t="str">
        <f>IF(Table1[Leaving Date]="","",IF(Table1[Date of Initial Assessment]="","",IF(AND(Table1[Leaving Date]&gt;42094,Table1[Leaving Date]&lt;42461),IF(Table1[Date of Last Assessment]="",Table1[Managing Money and Personal Administration],Table1[Managing Money and Personal Administration2]),"")))</f>
        <v/>
      </c>
      <c r="FN533" s="44" t="str">
        <f>IF(Table1[Leaving Date]="","",IF(Table1[Date of Initial Assessment]="","",IF(AND(Table1[Leaving Date]&gt;42094,Table1[Leaving Date]&lt;42461),IF(Table1[Date of Last Assessment]="",Table1[Social Networks and Relationships],Table1[Social Networks and Relationships2]),"")))</f>
        <v/>
      </c>
      <c r="FO533" s="44" t="str">
        <f>IF(Table1[Leaving Date]="","",IF(Table1[Date of Initial Assessment]="","",IF(AND(Table1[Leaving Date]&gt;42094,Table1[Leaving Date]&lt;42461),IF(Table1[Date of Last Assessment]="",Table1[Drug and Alcohol Misuse],Table1[Drug and Alcohol Misuse2]),"")))</f>
        <v/>
      </c>
      <c r="FP533" s="44" t="str">
        <f>IF(Table1[Leaving Date]="","",IF(Table1[Date of Initial Assessment]="","",IF(AND(Table1[Leaving Date]&gt;42094,Table1[Leaving Date]&lt;42461),IF(Table1[Date of Last Assessment]="",Table1[Physical Health],Table1[Physical Health2]),"")))</f>
        <v/>
      </c>
      <c r="FQ533" s="44" t="str">
        <f>IF(Table1[Leaving Date]="","",IF(Table1[Date of Initial Assessment]="","",IF(AND(Table1[Leaving Date]&gt;42094,Table1[Leaving Date]&lt;42461),IF(Table1[Date of Last Assessment]="",Table1[Emotional and Mental Health],Table1[Emotional and Mental Health2]),"")))</f>
        <v/>
      </c>
      <c r="FR533" s="44" t="str">
        <f>IF(Table1[Leaving Date]="","",IF(Table1[Date of Initial Assessment]="","",IF(AND(Table1[Leaving Date]&gt;42094,Table1[Leaving Date]&lt;42461),IF(Table1[Date of Last Assessment]="",Table1[Meaningful Use of Time],Table1[Meaningful Use of Time2]),"")))</f>
        <v/>
      </c>
      <c r="FS533" s="44" t="str">
        <f>IF(Table1[Leaving Date]="","",IF(Table1[Date of Initial Assessment]="","",IF(AND(Table1[Leaving Date]&gt;42094,Table1[Leaving Date]&lt;42461),IF(Table1[Date of Last Assessment]="",Table1[Managing Tenancy and Accommodation],Table1[Managing Tenancy and Accommodation2]),"")))</f>
        <v/>
      </c>
      <c r="FT533" s="44" t="str">
        <f>IF(Table1[Leaving Date]="","",IF(Table1[Date of Initial Assessment]="","",IF(AND(Table1[Leaving Date]&gt;42094,Table1[Leaving Date]&lt;42461),IF(Table1[Date of Last Assessment]="",Table1[Offending],Table1[Offending2]),"")))</f>
        <v/>
      </c>
      <c r="FU533" s="44" t="str">
        <f>IF(Table1[Date of Initial Assessment]="","",IF(AND(Table1[Start Date]&gt;42460,Table1[Start Date]&lt;42826),Table1[Motivation and Taking Responsibility],""))</f>
        <v/>
      </c>
      <c r="FV533" s="44" t="str">
        <f>IF(Table1[Date of Initial Assessment]="","",IF(AND(Table1[Start Date]&gt;42460,Table1[Start Date]&lt;42826),Table1[Self-Care and Living Skills],""))</f>
        <v/>
      </c>
      <c r="FW533" s="44" t="str">
        <f>IF(Table1[Date of Initial Assessment]="","",IF(AND(Table1[Start Date]&gt;42460,Table1[Start Date]&lt;42826),Table1[Managing Money and Personal Administration],""))</f>
        <v/>
      </c>
      <c r="FX533" s="44" t="str">
        <f>IF(Table1[Date of Initial Assessment]="","",IF(AND(Table1[Start Date]&gt;42460,Table1[Start Date]&lt;42826),Table1[Social Networks and Relationships],""))</f>
        <v/>
      </c>
      <c r="FY533" s="44" t="str">
        <f>IF(Table1[Date of Initial Assessment]="","",IF(AND(Table1[Start Date]&gt;42460,Table1[Start Date]&lt;42826),Table1[Drug and Alcohol Misuse],""))</f>
        <v/>
      </c>
      <c r="FZ533" s="44" t="str">
        <f>IF(Table1[Date of Initial Assessment]="","",IF(AND(Table1[Start Date]&gt;42460,Table1[Start Date]&lt;42826),Table1[Physical Health],""))</f>
        <v/>
      </c>
      <c r="GA533" s="44" t="str">
        <f>IF(Table1[Date of Initial Assessment]="","",IF(AND(Table1[Start Date]&gt;42460,Table1[Start Date]&lt;42826),Table1[Emotional and Mental Health],""))</f>
        <v/>
      </c>
      <c r="GB533" s="44" t="str">
        <f>IF(Table1[Date of Initial Assessment]="","",IF(AND(Table1[Start Date]&gt;42460,Table1[Start Date]&lt;42826),Table1[Meaningful Use of Time],""))</f>
        <v/>
      </c>
      <c r="GC533" s="44" t="str">
        <f>IF(Table1[Date of Initial Assessment]="","",IF(AND(Table1[Start Date]&gt;42460,Table1[Start Date]&lt;42826),Table1[Managing Tenancy and Accommodation],""))</f>
        <v/>
      </c>
      <c r="GD533" s="44" t="str">
        <f>IF(Table1[Date of Initial Assessment]="","",IF(AND(Table1[Start Date]&gt;42460,Table1[Start Date]&lt;42826),Table1[Offending],""))</f>
        <v/>
      </c>
      <c r="GE533" s="44" t="str">
        <f>IF(Table1[Leaving Date]="","",IF(AND(Table1[Leaving Date]&gt;42460,Table1[Leaving Date]&lt;42826),IF(Table1[Date of Last Assessment]="",Table1[Motivation and Taking Responsibility],Table1[Motivation and Taking Responsibility2]),""))</f>
        <v/>
      </c>
      <c r="GF533" s="44" t="str">
        <f>IF(Table1[Leaving Date]="","",IF(AND(Table1[Leaving Date]&gt;42460,Table1[Leaving Date]&lt;42826),IF(Table1[Date of Last Assessment]="",Table1[Self-Care and Living Skills],Table1[Self-Care and Living Skills2]),""))</f>
        <v/>
      </c>
      <c r="GG533" s="44" t="str">
        <f>IF(Table1[Leaving Date]="","",IF(AND(Table1[Leaving Date]&gt;42460,Table1[Leaving Date]&lt;42826),IF(Table1[Date of Last Assessment]="",Table1[Managing Money and Personal Administration],Table1[Managing Money and Personal Administration2]),""))</f>
        <v/>
      </c>
      <c r="GH533" s="44" t="str">
        <f>IF(Table1[Leaving Date]="","",IF(AND(Table1[Leaving Date]&gt;42460,Table1[Leaving Date]&lt;42826),IF(Table1[Date of Last Assessment]="",Table1[Social Networks and Relationships],Table1[Social Networks and Relationships2]),""))</f>
        <v/>
      </c>
      <c r="GI533" s="44" t="str">
        <f>IF(Table1[Leaving Date]="","",IF(AND(Table1[Leaving Date]&gt;42460,Table1[Leaving Date]&lt;42826),IF(Table1[Date of Last Assessment]="",Table1[Drug and Alcohol Misuse],Table1[Drug and Alcohol Misuse2]),""))</f>
        <v/>
      </c>
      <c r="GJ533" s="44" t="str">
        <f>IF(Table1[Leaving Date]="","",IF(AND(Table1[Leaving Date]&gt;42460,Table1[Leaving Date]&lt;42826),IF(Table1[Date of Last Assessment]="",Table1[Physical Health],Table1[Physical Health2]),""))</f>
        <v/>
      </c>
      <c r="GK533" s="44" t="str">
        <f>IF(Table1[Leaving Date]="","",IF(AND(Table1[Leaving Date]&gt;42460,Table1[Leaving Date]&lt;42826),IF(Table1[Date of Last Assessment]="",Table1[Emotional and Mental Health],Table1[Emotional and Mental Health2]),""))</f>
        <v/>
      </c>
      <c r="GL533" s="44" t="str">
        <f>IF(Table1[Leaving Date]="","",IF(AND(Table1[Leaving Date]&gt;42460,Table1[Leaving Date]&lt;42826),IF(Table1[Date of Last Assessment]="",Table1[Meaningful Use of Time],Table1[Meaningful Use of Time2]),""))</f>
        <v/>
      </c>
      <c r="GM533" s="44" t="str">
        <f>IF(Table1[Leaving Date]="","",IF(AND(Table1[Leaving Date]&gt;42460,Table1[Leaving Date]&lt;42826),IF(Table1[Date of Last Assessment]="",Table1[Managing Tenancy and Accommodation],Table1[Managing Tenancy and Accommodation2]),""))</f>
        <v/>
      </c>
      <c r="GN533" s="44" t="str">
        <f>IF(Table1[Leaving Date]="","",IF(AND(Table1[Leaving Date]&gt;42460,Table1[Leaving Date]&lt;42826),IF(Table1[Date of Last Assessment]="",Table1[Offending],Table1[Offending2]),""))</f>
        <v/>
      </c>
    </row>
    <row r="534" spans="2:196" ht="20.100000000000001" customHeight="1" x14ac:dyDescent="0.2">
      <c r="B534" s="86">
        <f>+'Service Data'!$C$5:$C$5</f>
        <v>0</v>
      </c>
      <c r="C534" s="86"/>
      <c r="D534" s="86"/>
      <c r="E534" s="86"/>
      <c r="F534" s="86"/>
      <c r="G534" s="86"/>
      <c r="H534" s="6"/>
      <c r="I534" s="99" t="str">
        <f ca="1">IF(Table1[[#This Row],[Date of Birth]]="","",SUM(TODAY()-Table1[[#This Row],[Date of Birth]])/365)</f>
        <v/>
      </c>
      <c r="L534" s="86"/>
      <c r="M534" s="77"/>
      <c r="N534" s="86"/>
      <c r="O534" s="86"/>
      <c r="P534" s="91"/>
      <c r="Q534" s="86"/>
      <c r="R534" s="77"/>
      <c r="S534" s="77"/>
      <c r="T534" s="68"/>
      <c r="U534" s="68"/>
      <c r="V534" s="67"/>
      <c r="W534" s="67"/>
      <c r="X534" s="67"/>
      <c r="Y534" s="67"/>
      <c r="Z534" s="67"/>
      <c r="AA534" s="67"/>
      <c r="AB534" s="67"/>
      <c r="AC534" s="67"/>
      <c r="AD534" s="67"/>
      <c r="AE534" s="67"/>
      <c r="AF534" s="67"/>
      <c r="AG534" s="67"/>
      <c r="AH534" s="67"/>
      <c r="AI534" s="67"/>
      <c r="AJ534" s="67"/>
      <c r="AK534" s="67"/>
      <c r="AL534" s="67"/>
      <c r="AM534" s="67"/>
      <c r="AN534" s="77"/>
      <c r="AO534" s="76"/>
      <c r="AP534" s="77"/>
      <c r="AQ534" s="76"/>
      <c r="AR534" s="76"/>
      <c r="AS534" s="76"/>
      <c r="AT534" s="76"/>
      <c r="AU534" s="76"/>
      <c r="AV534" s="77"/>
      <c r="AW534" s="76"/>
      <c r="AX534" s="77"/>
      <c r="AY534" s="76"/>
      <c r="AZ534" s="76"/>
      <c r="BA534" s="76"/>
      <c r="BB534" s="76"/>
      <c r="BC534" s="76"/>
      <c r="BD534" s="77"/>
      <c r="BE534" s="76"/>
      <c r="BF534" s="77"/>
      <c r="BG534" s="76"/>
      <c r="BH534" s="76"/>
      <c r="BI534" s="76"/>
      <c r="BJ534" s="76"/>
      <c r="BK534" s="76"/>
      <c r="BL534" s="77"/>
      <c r="BM534" s="76"/>
      <c r="BN534" s="77"/>
      <c r="BO534" s="76"/>
      <c r="BP534" s="76"/>
      <c r="BQ534" s="76"/>
      <c r="BR534" s="76"/>
      <c r="BS534" s="76"/>
      <c r="BT534" s="77"/>
      <c r="BU534" s="76"/>
      <c r="BV534" s="77"/>
      <c r="BW534" s="76"/>
      <c r="BX534" s="76"/>
      <c r="BY534" s="76"/>
      <c r="BZ534" s="76"/>
      <c r="CA534" s="76"/>
      <c r="CB534" s="77"/>
      <c r="CC534" s="76"/>
      <c r="CD534" s="77"/>
      <c r="CE534" s="76"/>
      <c r="CF534" s="76"/>
      <c r="CG534" s="76"/>
      <c r="CH534" s="76"/>
      <c r="CI534" s="76"/>
      <c r="CJ534" s="77"/>
      <c r="CK534" s="76"/>
      <c r="CL534" s="77"/>
      <c r="CM534" s="76"/>
      <c r="CN534" s="76"/>
      <c r="CO534" s="76"/>
      <c r="CP534" s="76"/>
      <c r="CQ534" s="76"/>
      <c r="CR534" s="78" t="str">
        <f t="shared" si="143"/>
        <v/>
      </c>
      <c r="CS534" s="79" t="str">
        <f t="shared" si="144"/>
        <v/>
      </c>
      <c r="CT534" s="79" t="str">
        <f t="shared" si="145"/>
        <v/>
      </c>
      <c r="CU534" s="79" t="str">
        <f t="shared" si="146"/>
        <v/>
      </c>
      <c r="CV534" s="79" t="str">
        <f t="shared" si="147"/>
        <v/>
      </c>
      <c r="CW534" s="79" t="str">
        <f t="shared" si="148"/>
        <v/>
      </c>
      <c r="CX534" s="79" t="str">
        <f t="shared" si="149"/>
        <v/>
      </c>
      <c r="CY534" s="79" t="str">
        <f t="shared" si="150"/>
        <v/>
      </c>
      <c r="CZ534" s="79" t="str">
        <f t="shared" si="151"/>
        <v/>
      </c>
      <c r="DA534" s="79" t="str">
        <f t="shared" si="152"/>
        <v/>
      </c>
      <c r="DB534" s="79" t="str">
        <f t="shared" si="153"/>
        <v/>
      </c>
      <c r="DC534" s="79" t="str">
        <f t="shared" si="154"/>
        <v/>
      </c>
      <c r="DD534" s="79" t="str">
        <f t="shared" si="155"/>
        <v/>
      </c>
      <c r="DE534" s="79" t="str">
        <f t="shared" si="156"/>
        <v/>
      </c>
      <c r="DF534" s="79" t="str">
        <f t="shared" si="157"/>
        <v/>
      </c>
      <c r="DG534" s="79" t="str">
        <f t="shared" si="158"/>
        <v/>
      </c>
      <c r="DH534" s="76"/>
      <c r="DI534" s="78"/>
      <c r="DJ534" s="76"/>
      <c r="DK534" s="77"/>
      <c r="DL534" s="77"/>
      <c r="DM534" s="77"/>
      <c r="DN534" s="80"/>
      <c r="DO534" s="80"/>
      <c r="DP534" s="92" t="str">
        <f>IF(Table1[Start Date]="","",IF(Table1[Start Date]&gt;42185,"",IF(AND(Table1[Leaving Date]&gt;1,Table1[Leaving Date]&lt;42095),"",1)))</f>
        <v/>
      </c>
      <c r="DQ534" s="92" t="str">
        <f>IF(Table1[Start Date]="","",IF(Table1[Start Date]&gt;42277,"",IF(AND(Table1[Leaving Date]&gt;1,Table1[Leaving Date]&lt;42186),"",1)))</f>
        <v/>
      </c>
      <c r="DR534" s="92" t="str">
        <f>IF(Table1[Start Date]="","",IF(Table1[Start Date]&gt;42369,"",IF(AND(Table1[Leaving Date]&gt;1,Table1[Leaving Date]&lt;42278),"",1)))</f>
        <v/>
      </c>
      <c r="DS534" s="92" t="str">
        <f>IF(Table1[Start Date]="","",IF(Table1[Start Date]&gt;42460,"",IF(AND(Table1[Leaving Date]&gt;1,Table1[Leaving Date]&lt;42370),"",1)))</f>
        <v/>
      </c>
      <c r="DT534" s="92" t="str">
        <f>IF(Table1[Start Date]="","",IF(Table1[Start Date]&gt;42551,"",IF(AND(Table1[Leaving Date]&gt;1,Table1[Leaving Date]&lt;42461),"",1)))</f>
        <v/>
      </c>
      <c r="DU534" s="92" t="str">
        <f>IF(Table1[Start Date]="","",IF(Table1[Start Date]&gt;42643,"",IF(AND(Table1[Leaving Date]&gt;1,Table1[Leaving Date]&lt;42552),"",1)))</f>
        <v/>
      </c>
      <c r="DV534" s="92" t="str">
        <f>IF(Table1[Start Date]="","",IF(Table1[Start Date]&gt;42735,"",IF(AND(Table1[Leaving Date]&gt;1,Table1[Leaving Date]&lt;42644),"",1)))</f>
        <v/>
      </c>
      <c r="DW534" s="92" t="str">
        <f>IF(Table1[Start Date]="","",IF(Table1[Start Date]&gt;42825,"",IF(AND(Table1[Leaving Date]&gt;1,Table1[Leaving Date]&lt;42736),"",1)))</f>
        <v/>
      </c>
      <c r="DX534"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534" s="44" t="e">
        <f>VLOOKUP(Table1[Referral Source],Lists!$G$2:$H$20,2,FALSE)</f>
        <v>#N/A</v>
      </c>
      <c r="DZ534" s="93" t="e">
        <f>SUM(Table1[Data Referral Quarter]+Table1[Data Referral Source])</f>
        <v>#N/A</v>
      </c>
      <c r="EA534" s="44" t="b">
        <f>IF(Table1[Referral Decision]="Accepted",100,IF(Table1[Referral Decision]="Rejected by Provider",200,IF(Table1[Referral Decision]="Rejected by Applicant",300)))</f>
        <v>0</v>
      </c>
      <c r="EB534" s="44">
        <f>SUM(Table1[Data Referral Quarter]+Table1[Data Referral Decision])</f>
        <v>0</v>
      </c>
      <c r="EC534" s="44" t="b">
        <f>IF(Table1[Start Date]&gt;42735,8000,IF(Table1[Start Date]&gt;42643,7000,IF(Table1[Start Date]&gt;42551,6000,IF(Table1[Start Date]&gt;42460,5000,IF(Table1[Start Date]&gt;42369,4000,IF(Table1[Start Date]&gt;42277,3000,IF(Table1[Start Date]&gt;42185,2000,IF(Table1[Start Date]&gt;42094,1000))))))))</f>
        <v>0</v>
      </c>
      <c r="ED534" s="44" t="str">
        <f>IF(Table1[Start Date]="","",IF(Table1[Current Local Authority]="Swindon",1,"2"))</f>
        <v/>
      </c>
      <c r="EE534" s="44" t="e">
        <f>SUM(Table1[Data Start Date]+Table1[Data Local Authority])</f>
        <v>#VALUE!</v>
      </c>
      <c r="EF534" s="44">
        <f>IF(Table1[Registered with GP]="Yes",1,0)</f>
        <v>0</v>
      </c>
      <c r="EG534" s="44">
        <f>SUM(Table1[Data Start Date]+Table1[Data GP Start])</f>
        <v>0</v>
      </c>
      <c r="EH534" s="44" t="str">
        <f>IF(Table1[EET]="NEET",1,IF(Table1[EET]="Education",2,IF(Table1[EET]="Employment",2,IF(Table1[EET]="Training",2,IF(Table1[EET]="Retired",3,"")))))</f>
        <v/>
      </c>
      <c r="EI534" s="44" t="e">
        <f>Table1[Data Start Date]+Table1[Data EET Start]</f>
        <v>#VALUE!</v>
      </c>
      <c r="EJ534" s="44" t="b">
        <f>IF(Table1[Leaving Date]&gt;42735,8000,IF(Table1[Leaving Date]&gt;42643,7000,IF(Table1[Leaving Date]&gt;42551,6000,IF(Table1[Leaving Date]&gt;42460,5000,IF(Table1[Leaving Date]&gt;42369,4000,IF(Table1[Leaving Date]&gt;42277,3000,IF(Table1[Leaving Date]&gt;42185,2000,IF(Table1[Leaving Date]&gt;42094,1000))))))))</f>
        <v>0</v>
      </c>
      <c r="EK534" s="44" t="e">
        <f>VLOOKUP(Table1[Reason for Leaving],Lists!$T$2:$U$15,2,FALSE)</f>
        <v>#N/A</v>
      </c>
      <c r="EL534" s="44" t="e">
        <f>SUM(Table1[Data Leavers Date]+Table1[Data Move On])</f>
        <v>#N/A</v>
      </c>
      <c r="EM534" s="44" t="b">
        <f>IF(Table1[Registered with GP2]="Yes",1,IF(Table1[Registered with GP2]="No",0,IF(Table1[Registered with GP]="Yes",1,IF(Table1[Registered with GP]="No",0))))</f>
        <v>0</v>
      </c>
      <c r="EN534" s="44">
        <f>SUM(Table1[Data Leavers Date]+Table1[Data GP End])</f>
        <v>0</v>
      </c>
      <c r="EO534" s="44" t="str">
        <f>IF(Table1[EET2]="NEET",1,IF(Table1[EET2]="Employment",2,IF(Table1[EET2]="Education",2,IF(Table1[EET2]="Training",2,IF(Table1[EET2]="Retired",3,IF(Table1[EET]="NEET",1,IF(Table1[EET]="Employment",2,IF(Table1[EET]="Education",2,IF(Table1[EET]="Training",2,IF(Table1[EET]="Retired",3,""))))))))))</f>
        <v/>
      </c>
      <c r="EP534" s="44" t="e">
        <f>+Table1[[#This Row],[Data Leavers Date]]+Table1[[#This Row],[Data EET End]]</f>
        <v>#VALUE!</v>
      </c>
      <c r="EQ534" s="44">
        <f>IF(Table1[Exit Form Received]="Yes",1,0)</f>
        <v>0</v>
      </c>
      <c r="ER534" s="44">
        <f>+Table1[[#This Row],[Data Leavers Date]]+Table1[[#This Row],[Data Exit Forms]]</f>
        <v>0</v>
      </c>
      <c r="ES534" s="44" t="str">
        <f>IF(Table1[Data Leavers Date]=1000,SUM(Table1[Leaving Date]-Table1[Start Date]),"")</f>
        <v/>
      </c>
      <c r="ET534" s="44" t="str">
        <f>IF(Table1[Data Leavers Date]=2000,SUM(Table1[Leaving Date]-Table1[Start Date]),"")</f>
        <v/>
      </c>
      <c r="EU534" s="44" t="str">
        <f>IF(Table1[Data Leavers Date]=3000,SUM(Table1[Leaving Date]-Table1[Start Date]),"")</f>
        <v/>
      </c>
      <c r="EV534" s="44" t="str">
        <f>IF(Table1[Data Leavers Date]=4000,SUM(Table1[Leaving Date]-Table1[Start Date]),"")</f>
        <v/>
      </c>
      <c r="EW534" s="44" t="str">
        <f>IF(Table1[Data Leavers Date]=5000,SUM(Table1[Leaving Date]-Table1[Start Date]),"")</f>
        <v/>
      </c>
      <c r="EX534" s="44" t="str">
        <f>IF(Table1[Data Leavers Date]=6000,SUM(Table1[Leaving Date]-Table1[Start Date]),"")</f>
        <v/>
      </c>
      <c r="EY534" s="44" t="str">
        <f>IF(Table1[Data Leavers Date]=7000,SUM(Table1[Leaving Date]-Table1[Start Date]),"")</f>
        <v/>
      </c>
      <c r="EZ534" s="44" t="str">
        <f>IF(Table1[Data Leavers Date]=8000,SUM(Table1[Leaving Date]-Table1[Start Date]),"")</f>
        <v/>
      </c>
      <c r="FA534" s="44" t="str">
        <f>IF(Table1[Date of Initial Assessment]="","",IF(AND(Table1[Start Date]&gt;42094,Table1[Start Date]&lt;42461),Table1[Motivation and Taking Responsibility],""))</f>
        <v/>
      </c>
      <c r="FB534" s="44" t="str">
        <f>IF(Table1[Date of Initial Assessment]="","",IF(AND(Table1[Start Date]&gt;42094,Table1[Start Date]&lt;42461),Table1[Self-Care and Living Skills],""))</f>
        <v/>
      </c>
      <c r="FC534" s="44" t="str">
        <f>IF(Table1[Date of Initial Assessment]="","",IF(AND(Table1[Start Date]&gt;42094,Table1[Start Date]&lt;42461),Table1[Managing Money and Personal Administration],""))</f>
        <v/>
      </c>
      <c r="FD534" s="44" t="str">
        <f>IF(Table1[Date of Initial Assessment]="","",IF(AND(Table1[Start Date]&gt;42094,Table1[Start Date]&lt;42461),Table1[Social Networks and Relationships],""))</f>
        <v/>
      </c>
      <c r="FE534" s="44" t="str">
        <f>IF(Table1[Date of Initial Assessment]="","",IF(AND(Table1[Start Date]&gt;42094,Table1[Start Date]&lt;42461),Table1[Drug and Alcohol Misuse],""))</f>
        <v/>
      </c>
      <c r="FF534" s="44" t="str">
        <f>IF(Table1[Date of Initial Assessment]="","",IF(AND(Table1[Start Date]&gt;42094,Table1[Start Date]&lt;42461),Table1[Physical Health],""))</f>
        <v/>
      </c>
      <c r="FG534" s="44" t="str">
        <f>IF(Table1[Date of Initial Assessment]="","",IF(AND(Table1[Start Date]&gt;42094,Table1[Start Date]&lt;42461),Table1[Emotional and Mental Health],""))</f>
        <v/>
      </c>
      <c r="FH534" s="44" t="str">
        <f>IF(Table1[Date of Initial Assessment]="","",IF(AND(Table1[Start Date]&gt;42094,Table1[Start Date]&lt;42461),Table1[Meaningful Use of Time],""))</f>
        <v/>
      </c>
      <c r="FI534" s="44" t="str">
        <f>IF(Table1[Date of Initial Assessment]="","",IF(AND(Table1[Start Date]&gt;42094,Table1[Start Date]&lt;42461),Table1[Managing Tenancy and Accommodation],""))</f>
        <v/>
      </c>
      <c r="FJ534" s="44" t="str">
        <f>IF(Table1[Date of Initial Assessment]="","",IF(AND(Table1[Start Date]&gt;42094,Table1[Start Date]&lt;42461),Table1[Offending],""))</f>
        <v/>
      </c>
      <c r="FK534" s="44" t="str">
        <f>IF(Table1[Leaving Date]="","",IF(Table1[Date of Initial Assessment]="","",IF(AND(Table1[Leaving Date]&gt;42094,Table1[Leaving Date]&lt;42461),IF(Table1[Date of Last Assessment]="",Table1[Motivation and Taking Responsibility],Table1[Motivation and Taking Responsibility2]),"")))</f>
        <v/>
      </c>
      <c r="FL534" s="44" t="str">
        <f>IF(Table1[Leaving Date]="","",IF(Table1[Date of Initial Assessment]="","",IF(AND(Table1[Leaving Date]&gt;42094,Table1[Leaving Date]&lt;42461),IF(Table1[Date of Last Assessment]="",Table1[Self-Care and Living Skills],Table1[Self-Care and Living Skills2]),"")))</f>
        <v/>
      </c>
      <c r="FM534" s="44" t="str">
        <f>IF(Table1[Leaving Date]="","",IF(Table1[Date of Initial Assessment]="","",IF(AND(Table1[Leaving Date]&gt;42094,Table1[Leaving Date]&lt;42461),IF(Table1[Date of Last Assessment]="",Table1[Managing Money and Personal Administration],Table1[Managing Money and Personal Administration2]),"")))</f>
        <v/>
      </c>
      <c r="FN534" s="44" t="str">
        <f>IF(Table1[Leaving Date]="","",IF(Table1[Date of Initial Assessment]="","",IF(AND(Table1[Leaving Date]&gt;42094,Table1[Leaving Date]&lt;42461),IF(Table1[Date of Last Assessment]="",Table1[Social Networks and Relationships],Table1[Social Networks and Relationships2]),"")))</f>
        <v/>
      </c>
      <c r="FO534" s="44" t="str">
        <f>IF(Table1[Leaving Date]="","",IF(Table1[Date of Initial Assessment]="","",IF(AND(Table1[Leaving Date]&gt;42094,Table1[Leaving Date]&lt;42461),IF(Table1[Date of Last Assessment]="",Table1[Drug and Alcohol Misuse],Table1[Drug and Alcohol Misuse2]),"")))</f>
        <v/>
      </c>
      <c r="FP534" s="44" t="str">
        <f>IF(Table1[Leaving Date]="","",IF(Table1[Date of Initial Assessment]="","",IF(AND(Table1[Leaving Date]&gt;42094,Table1[Leaving Date]&lt;42461),IF(Table1[Date of Last Assessment]="",Table1[Physical Health],Table1[Physical Health2]),"")))</f>
        <v/>
      </c>
      <c r="FQ534" s="44" t="str">
        <f>IF(Table1[Leaving Date]="","",IF(Table1[Date of Initial Assessment]="","",IF(AND(Table1[Leaving Date]&gt;42094,Table1[Leaving Date]&lt;42461),IF(Table1[Date of Last Assessment]="",Table1[Emotional and Mental Health],Table1[Emotional and Mental Health2]),"")))</f>
        <v/>
      </c>
      <c r="FR534" s="44" t="str">
        <f>IF(Table1[Leaving Date]="","",IF(Table1[Date of Initial Assessment]="","",IF(AND(Table1[Leaving Date]&gt;42094,Table1[Leaving Date]&lt;42461),IF(Table1[Date of Last Assessment]="",Table1[Meaningful Use of Time],Table1[Meaningful Use of Time2]),"")))</f>
        <v/>
      </c>
      <c r="FS534" s="44" t="str">
        <f>IF(Table1[Leaving Date]="","",IF(Table1[Date of Initial Assessment]="","",IF(AND(Table1[Leaving Date]&gt;42094,Table1[Leaving Date]&lt;42461),IF(Table1[Date of Last Assessment]="",Table1[Managing Tenancy and Accommodation],Table1[Managing Tenancy and Accommodation2]),"")))</f>
        <v/>
      </c>
      <c r="FT534" s="44" t="str">
        <f>IF(Table1[Leaving Date]="","",IF(Table1[Date of Initial Assessment]="","",IF(AND(Table1[Leaving Date]&gt;42094,Table1[Leaving Date]&lt;42461),IF(Table1[Date of Last Assessment]="",Table1[Offending],Table1[Offending2]),"")))</f>
        <v/>
      </c>
      <c r="FU534" s="44" t="str">
        <f>IF(Table1[Date of Initial Assessment]="","",IF(AND(Table1[Start Date]&gt;42460,Table1[Start Date]&lt;42826),Table1[Motivation and Taking Responsibility],""))</f>
        <v/>
      </c>
      <c r="FV534" s="44" t="str">
        <f>IF(Table1[Date of Initial Assessment]="","",IF(AND(Table1[Start Date]&gt;42460,Table1[Start Date]&lt;42826),Table1[Self-Care and Living Skills],""))</f>
        <v/>
      </c>
      <c r="FW534" s="44" t="str">
        <f>IF(Table1[Date of Initial Assessment]="","",IF(AND(Table1[Start Date]&gt;42460,Table1[Start Date]&lt;42826),Table1[Managing Money and Personal Administration],""))</f>
        <v/>
      </c>
      <c r="FX534" s="44" t="str">
        <f>IF(Table1[Date of Initial Assessment]="","",IF(AND(Table1[Start Date]&gt;42460,Table1[Start Date]&lt;42826),Table1[Social Networks and Relationships],""))</f>
        <v/>
      </c>
      <c r="FY534" s="44" t="str">
        <f>IF(Table1[Date of Initial Assessment]="","",IF(AND(Table1[Start Date]&gt;42460,Table1[Start Date]&lt;42826),Table1[Drug and Alcohol Misuse],""))</f>
        <v/>
      </c>
      <c r="FZ534" s="44" t="str">
        <f>IF(Table1[Date of Initial Assessment]="","",IF(AND(Table1[Start Date]&gt;42460,Table1[Start Date]&lt;42826),Table1[Physical Health],""))</f>
        <v/>
      </c>
      <c r="GA534" s="44" t="str">
        <f>IF(Table1[Date of Initial Assessment]="","",IF(AND(Table1[Start Date]&gt;42460,Table1[Start Date]&lt;42826),Table1[Emotional and Mental Health],""))</f>
        <v/>
      </c>
      <c r="GB534" s="44" t="str">
        <f>IF(Table1[Date of Initial Assessment]="","",IF(AND(Table1[Start Date]&gt;42460,Table1[Start Date]&lt;42826),Table1[Meaningful Use of Time],""))</f>
        <v/>
      </c>
      <c r="GC534" s="44" t="str">
        <f>IF(Table1[Date of Initial Assessment]="","",IF(AND(Table1[Start Date]&gt;42460,Table1[Start Date]&lt;42826),Table1[Managing Tenancy and Accommodation],""))</f>
        <v/>
      </c>
      <c r="GD534" s="44" t="str">
        <f>IF(Table1[Date of Initial Assessment]="","",IF(AND(Table1[Start Date]&gt;42460,Table1[Start Date]&lt;42826),Table1[Offending],""))</f>
        <v/>
      </c>
      <c r="GE534" s="44" t="str">
        <f>IF(Table1[Leaving Date]="","",IF(AND(Table1[Leaving Date]&gt;42460,Table1[Leaving Date]&lt;42826),IF(Table1[Date of Last Assessment]="",Table1[Motivation and Taking Responsibility],Table1[Motivation and Taking Responsibility2]),""))</f>
        <v/>
      </c>
      <c r="GF534" s="44" t="str">
        <f>IF(Table1[Leaving Date]="","",IF(AND(Table1[Leaving Date]&gt;42460,Table1[Leaving Date]&lt;42826),IF(Table1[Date of Last Assessment]="",Table1[Self-Care and Living Skills],Table1[Self-Care and Living Skills2]),""))</f>
        <v/>
      </c>
      <c r="GG534" s="44" t="str">
        <f>IF(Table1[Leaving Date]="","",IF(AND(Table1[Leaving Date]&gt;42460,Table1[Leaving Date]&lt;42826),IF(Table1[Date of Last Assessment]="",Table1[Managing Money and Personal Administration],Table1[Managing Money and Personal Administration2]),""))</f>
        <v/>
      </c>
      <c r="GH534" s="44" t="str">
        <f>IF(Table1[Leaving Date]="","",IF(AND(Table1[Leaving Date]&gt;42460,Table1[Leaving Date]&lt;42826),IF(Table1[Date of Last Assessment]="",Table1[Social Networks and Relationships],Table1[Social Networks and Relationships2]),""))</f>
        <v/>
      </c>
      <c r="GI534" s="44" t="str">
        <f>IF(Table1[Leaving Date]="","",IF(AND(Table1[Leaving Date]&gt;42460,Table1[Leaving Date]&lt;42826),IF(Table1[Date of Last Assessment]="",Table1[Drug and Alcohol Misuse],Table1[Drug and Alcohol Misuse2]),""))</f>
        <v/>
      </c>
      <c r="GJ534" s="44" t="str">
        <f>IF(Table1[Leaving Date]="","",IF(AND(Table1[Leaving Date]&gt;42460,Table1[Leaving Date]&lt;42826),IF(Table1[Date of Last Assessment]="",Table1[Physical Health],Table1[Physical Health2]),""))</f>
        <v/>
      </c>
      <c r="GK534" s="44" t="str">
        <f>IF(Table1[Leaving Date]="","",IF(AND(Table1[Leaving Date]&gt;42460,Table1[Leaving Date]&lt;42826),IF(Table1[Date of Last Assessment]="",Table1[Emotional and Mental Health],Table1[Emotional and Mental Health2]),""))</f>
        <v/>
      </c>
      <c r="GL534" s="44" t="str">
        <f>IF(Table1[Leaving Date]="","",IF(AND(Table1[Leaving Date]&gt;42460,Table1[Leaving Date]&lt;42826),IF(Table1[Date of Last Assessment]="",Table1[Meaningful Use of Time],Table1[Meaningful Use of Time2]),""))</f>
        <v/>
      </c>
      <c r="GM534" s="44" t="str">
        <f>IF(Table1[Leaving Date]="","",IF(AND(Table1[Leaving Date]&gt;42460,Table1[Leaving Date]&lt;42826),IF(Table1[Date of Last Assessment]="",Table1[Managing Tenancy and Accommodation],Table1[Managing Tenancy and Accommodation2]),""))</f>
        <v/>
      </c>
      <c r="GN534" s="44" t="str">
        <f>IF(Table1[Leaving Date]="","",IF(AND(Table1[Leaving Date]&gt;42460,Table1[Leaving Date]&lt;42826),IF(Table1[Date of Last Assessment]="",Table1[Offending],Table1[Offending2]),""))</f>
        <v/>
      </c>
    </row>
    <row r="535" spans="2:196" ht="20.100000000000001" customHeight="1" x14ac:dyDescent="0.2">
      <c r="B535" s="86">
        <f>+'Service Data'!$C$5:$C$5</f>
        <v>0</v>
      </c>
      <c r="C535" s="86"/>
      <c r="D535" s="86"/>
      <c r="E535" s="86"/>
      <c r="F535" s="86"/>
      <c r="G535" s="86"/>
      <c r="H535" s="6"/>
      <c r="I535" s="99" t="str">
        <f ca="1">IF(Table1[[#This Row],[Date of Birth]]="","",SUM(TODAY()-Table1[[#This Row],[Date of Birth]])/365)</f>
        <v/>
      </c>
      <c r="L535" s="86"/>
      <c r="M535" s="77"/>
      <c r="N535" s="86"/>
      <c r="O535" s="86"/>
      <c r="P535" s="91"/>
      <c r="Q535" s="86"/>
      <c r="R535" s="77"/>
      <c r="S535" s="77"/>
      <c r="T535" s="68"/>
      <c r="U535" s="68"/>
      <c r="V535" s="67"/>
      <c r="W535" s="67"/>
      <c r="X535" s="67"/>
      <c r="Y535" s="67"/>
      <c r="Z535" s="67"/>
      <c r="AA535" s="67"/>
      <c r="AB535" s="67"/>
      <c r="AC535" s="67"/>
      <c r="AD535" s="67"/>
      <c r="AE535" s="67"/>
      <c r="AF535" s="67"/>
      <c r="AG535" s="67"/>
      <c r="AH535" s="67"/>
      <c r="AI535" s="67"/>
      <c r="AJ535" s="67"/>
      <c r="AK535" s="67"/>
      <c r="AL535" s="67"/>
      <c r="AM535" s="67"/>
      <c r="AN535" s="77"/>
      <c r="AO535" s="76"/>
      <c r="AP535" s="77"/>
      <c r="AQ535" s="76"/>
      <c r="AR535" s="76"/>
      <c r="AS535" s="76"/>
      <c r="AT535" s="76"/>
      <c r="AU535" s="76"/>
      <c r="AV535" s="77"/>
      <c r="AW535" s="76"/>
      <c r="AX535" s="77"/>
      <c r="AY535" s="76"/>
      <c r="AZ535" s="76"/>
      <c r="BA535" s="76"/>
      <c r="BB535" s="76"/>
      <c r="BC535" s="76"/>
      <c r="BD535" s="77"/>
      <c r="BE535" s="76"/>
      <c r="BF535" s="77"/>
      <c r="BG535" s="76"/>
      <c r="BH535" s="76"/>
      <c r="BI535" s="76"/>
      <c r="BJ535" s="76"/>
      <c r="BK535" s="76"/>
      <c r="BL535" s="77"/>
      <c r="BM535" s="76"/>
      <c r="BN535" s="77"/>
      <c r="BO535" s="76"/>
      <c r="BP535" s="76"/>
      <c r="BQ535" s="76"/>
      <c r="BR535" s="76"/>
      <c r="BS535" s="76"/>
      <c r="BT535" s="77"/>
      <c r="BU535" s="76"/>
      <c r="BV535" s="77"/>
      <c r="BW535" s="76"/>
      <c r="BX535" s="76"/>
      <c r="BY535" s="76"/>
      <c r="BZ535" s="76"/>
      <c r="CA535" s="76"/>
      <c r="CB535" s="77"/>
      <c r="CC535" s="76"/>
      <c r="CD535" s="77"/>
      <c r="CE535" s="76"/>
      <c r="CF535" s="76"/>
      <c r="CG535" s="76"/>
      <c r="CH535" s="76"/>
      <c r="CI535" s="76"/>
      <c r="CJ535" s="77"/>
      <c r="CK535" s="76"/>
      <c r="CL535" s="77"/>
      <c r="CM535" s="76"/>
      <c r="CN535" s="76"/>
      <c r="CO535" s="76"/>
      <c r="CP535" s="76"/>
      <c r="CQ535" s="76"/>
      <c r="CR535" s="78" t="str">
        <f t="shared" si="143"/>
        <v/>
      </c>
      <c r="CS535" s="79" t="str">
        <f t="shared" si="144"/>
        <v/>
      </c>
      <c r="CT535" s="79" t="str">
        <f t="shared" si="145"/>
        <v/>
      </c>
      <c r="CU535" s="79" t="str">
        <f t="shared" si="146"/>
        <v/>
      </c>
      <c r="CV535" s="79" t="str">
        <f t="shared" si="147"/>
        <v/>
      </c>
      <c r="CW535" s="79" t="str">
        <f t="shared" si="148"/>
        <v/>
      </c>
      <c r="CX535" s="79" t="str">
        <f t="shared" si="149"/>
        <v/>
      </c>
      <c r="CY535" s="79" t="str">
        <f t="shared" si="150"/>
        <v/>
      </c>
      <c r="CZ535" s="79" t="str">
        <f t="shared" si="151"/>
        <v/>
      </c>
      <c r="DA535" s="79" t="str">
        <f t="shared" si="152"/>
        <v/>
      </c>
      <c r="DB535" s="79" t="str">
        <f t="shared" si="153"/>
        <v/>
      </c>
      <c r="DC535" s="79" t="str">
        <f t="shared" si="154"/>
        <v/>
      </c>
      <c r="DD535" s="79" t="str">
        <f t="shared" si="155"/>
        <v/>
      </c>
      <c r="DE535" s="79" t="str">
        <f t="shared" si="156"/>
        <v/>
      </c>
      <c r="DF535" s="79" t="str">
        <f t="shared" si="157"/>
        <v/>
      </c>
      <c r="DG535" s="79" t="str">
        <f t="shared" si="158"/>
        <v/>
      </c>
      <c r="DH535" s="76"/>
      <c r="DI535" s="78"/>
      <c r="DJ535" s="76"/>
      <c r="DK535" s="77"/>
      <c r="DL535" s="77"/>
      <c r="DM535" s="77"/>
      <c r="DN535" s="80"/>
      <c r="DO535" s="80"/>
      <c r="DP535" s="92" t="str">
        <f>IF(Table1[Start Date]="","",IF(Table1[Start Date]&gt;42185,"",IF(AND(Table1[Leaving Date]&gt;1,Table1[Leaving Date]&lt;42095),"",1)))</f>
        <v/>
      </c>
      <c r="DQ535" s="92" t="str">
        <f>IF(Table1[Start Date]="","",IF(Table1[Start Date]&gt;42277,"",IF(AND(Table1[Leaving Date]&gt;1,Table1[Leaving Date]&lt;42186),"",1)))</f>
        <v/>
      </c>
      <c r="DR535" s="92" t="str">
        <f>IF(Table1[Start Date]="","",IF(Table1[Start Date]&gt;42369,"",IF(AND(Table1[Leaving Date]&gt;1,Table1[Leaving Date]&lt;42278),"",1)))</f>
        <v/>
      </c>
      <c r="DS535" s="92" t="str">
        <f>IF(Table1[Start Date]="","",IF(Table1[Start Date]&gt;42460,"",IF(AND(Table1[Leaving Date]&gt;1,Table1[Leaving Date]&lt;42370),"",1)))</f>
        <v/>
      </c>
      <c r="DT535" s="92" t="str">
        <f>IF(Table1[Start Date]="","",IF(Table1[Start Date]&gt;42551,"",IF(AND(Table1[Leaving Date]&gt;1,Table1[Leaving Date]&lt;42461),"",1)))</f>
        <v/>
      </c>
      <c r="DU535" s="92" t="str">
        <f>IF(Table1[Start Date]="","",IF(Table1[Start Date]&gt;42643,"",IF(AND(Table1[Leaving Date]&gt;1,Table1[Leaving Date]&lt;42552),"",1)))</f>
        <v/>
      </c>
      <c r="DV535" s="92" t="str">
        <f>IF(Table1[Start Date]="","",IF(Table1[Start Date]&gt;42735,"",IF(AND(Table1[Leaving Date]&gt;1,Table1[Leaving Date]&lt;42644),"",1)))</f>
        <v/>
      </c>
      <c r="DW535" s="92" t="str">
        <f>IF(Table1[Start Date]="","",IF(Table1[Start Date]&gt;42825,"",IF(AND(Table1[Leaving Date]&gt;1,Table1[Leaving Date]&lt;42736),"",1)))</f>
        <v/>
      </c>
      <c r="DX535"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535" s="44" t="e">
        <f>VLOOKUP(Table1[Referral Source],Lists!$G$2:$H$20,2,FALSE)</f>
        <v>#N/A</v>
      </c>
      <c r="DZ535" s="93" t="e">
        <f>SUM(Table1[Data Referral Quarter]+Table1[Data Referral Source])</f>
        <v>#N/A</v>
      </c>
      <c r="EA535" s="44" t="b">
        <f>IF(Table1[Referral Decision]="Accepted",100,IF(Table1[Referral Decision]="Rejected by Provider",200,IF(Table1[Referral Decision]="Rejected by Applicant",300)))</f>
        <v>0</v>
      </c>
      <c r="EB535" s="44">
        <f>SUM(Table1[Data Referral Quarter]+Table1[Data Referral Decision])</f>
        <v>0</v>
      </c>
      <c r="EC535" s="44" t="b">
        <f>IF(Table1[Start Date]&gt;42735,8000,IF(Table1[Start Date]&gt;42643,7000,IF(Table1[Start Date]&gt;42551,6000,IF(Table1[Start Date]&gt;42460,5000,IF(Table1[Start Date]&gt;42369,4000,IF(Table1[Start Date]&gt;42277,3000,IF(Table1[Start Date]&gt;42185,2000,IF(Table1[Start Date]&gt;42094,1000))))))))</f>
        <v>0</v>
      </c>
      <c r="ED535" s="44" t="str">
        <f>IF(Table1[Start Date]="","",IF(Table1[Current Local Authority]="Swindon",1,"2"))</f>
        <v/>
      </c>
      <c r="EE535" s="44" t="e">
        <f>SUM(Table1[Data Start Date]+Table1[Data Local Authority])</f>
        <v>#VALUE!</v>
      </c>
      <c r="EF535" s="44">
        <f>IF(Table1[Registered with GP]="Yes",1,0)</f>
        <v>0</v>
      </c>
      <c r="EG535" s="44">
        <f>SUM(Table1[Data Start Date]+Table1[Data GP Start])</f>
        <v>0</v>
      </c>
      <c r="EH535" s="44" t="str">
        <f>IF(Table1[EET]="NEET",1,IF(Table1[EET]="Education",2,IF(Table1[EET]="Employment",2,IF(Table1[EET]="Training",2,IF(Table1[EET]="Retired",3,"")))))</f>
        <v/>
      </c>
      <c r="EI535" s="44" t="e">
        <f>Table1[Data Start Date]+Table1[Data EET Start]</f>
        <v>#VALUE!</v>
      </c>
      <c r="EJ535" s="44" t="b">
        <f>IF(Table1[Leaving Date]&gt;42735,8000,IF(Table1[Leaving Date]&gt;42643,7000,IF(Table1[Leaving Date]&gt;42551,6000,IF(Table1[Leaving Date]&gt;42460,5000,IF(Table1[Leaving Date]&gt;42369,4000,IF(Table1[Leaving Date]&gt;42277,3000,IF(Table1[Leaving Date]&gt;42185,2000,IF(Table1[Leaving Date]&gt;42094,1000))))))))</f>
        <v>0</v>
      </c>
      <c r="EK535" s="44" t="e">
        <f>VLOOKUP(Table1[Reason for Leaving],Lists!$T$2:$U$15,2,FALSE)</f>
        <v>#N/A</v>
      </c>
      <c r="EL535" s="44" t="e">
        <f>SUM(Table1[Data Leavers Date]+Table1[Data Move On])</f>
        <v>#N/A</v>
      </c>
      <c r="EM535" s="44" t="b">
        <f>IF(Table1[Registered with GP2]="Yes",1,IF(Table1[Registered with GP2]="No",0,IF(Table1[Registered with GP]="Yes",1,IF(Table1[Registered with GP]="No",0))))</f>
        <v>0</v>
      </c>
      <c r="EN535" s="44">
        <f>SUM(Table1[Data Leavers Date]+Table1[Data GP End])</f>
        <v>0</v>
      </c>
      <c r="EO535" s="44" t="str">
        <f>IF(Table1[EET2]="NEET",1,IF(Table1[EET2]="Employment",2,IF(Table1[EET2]="Education",2,IF(Table1[EET2]="Training",2,IF(Table1[EET2]="Retired",3,IF(Table1[EET]="NEET",1,IF(Table1[EET]="Employment",2,IF(Table1[EET]="Education",2,IF(Table1[EET]="Training",2,IF(Table1[EET]="Retired",3,""))))))))))</f>
        <v/>
      </c>
      <c r="EP535" s="44" t="e">
        <f>+Table1[[#This Row],[Data Leavers Date]]+Table1[[#This Row],[Data EET End]]</f>
        <v>#VALUE!</v>
      </c>
      <c r="EQ535" s="44">
        <f>IF(Table1[Exit Form Received]="Yes",1,0)</f>
        <v>0</v>
      </c>
      <c r="ER535" s="44">
        <f>+Table1[[#This Row],[Data Leavers Date]]+Table1[[#This Row],[Data Exit Forms]]</f>
        <v>0</v>
      </c>
      <c r="ES535" s="44" t="str">
        <f>IF(Table1[Data Leavers Date]=1000,SUM(Table1[Leaving Date]-Table1[Start Date]),"")</f>
        <v/>
      </c>
      <c r="ET535" s="44" t="str">
        <f>IF(Table1[Data Leavers Date]=2000,SUM(Table1[Leaving Date]-Table1[Start Date]),"")</f>
        <v/>
      </c>
      <c r="EU535" s="44" t="str">
        <f>IF(Table1[Data Leavers Date]=3000,SUM(Table1[Leaving Date]-Table1[Start Date]),"")</f>
        <v/>
      </c>
      <c r="EV535" s="44" t="str">
        <f>IF(Table1[Data Leavers Date]=4000,SUM(Table1[Leaving Date]-Table1[Start Date]),"")</f>
        <v/>
      </c>
      <c r="EW535" s="44" t="str">
        <f>IF(Table1[Data Leavers Date]=5000,SUM(Table1[Leaving Date]-Table1[Start Date]),"")</f>
        <v/>
      </c>
      <c r="EX535" s="44" t="str">
        <f>IF(Table1[Data Leavers Date]=6000,SUM(Table1[Leaving Date]-Table1[Start Date]),"")</f>
        <v/>
      </c>
      <c r="EY535" s="44" t="str">
        <f>IF(Table1[Data Leavers Date]=7000,SUM(Table1[Leaving Date]-Table1[Start Date]),"")</f>
        <v/>
      </c>
      <c r="EZ535" s="44" t="str">
        <f>IF(Table1[Data Leavers Date]=8000,SUM(Table1[Leaving Date]-Table1[Start Date]),"")</f>
        <v/>
      </c>
      <c r="FA535" s="44" t="str">
        <f>IF(Table1[Date of Initial Assessment]="","",IF(AND(Table1[Start Date]&gt;42094,Table1[Start Date]&lt;42461),Table1[Motivation and Taking Responsibility],""))</f>
        <v/>
      </c>
      <c r="FB535" s="44" t="str">
        <f>IF(Table1[Date of Initial Assessment]="","",IF(AND(Table1[Start Date]&gt;42094,Table1[Start Date]&lt;42461),Table1[Self-Care and Living Skills],""))</f>
        <v/>
      </c>
      <c r="FC535" s="44" t="str">
        <f>IF(Table1[Date of Initial Assessment]="","",IF(AND(Table1[Start Date]&gt;42094,Table1[Start Date]&lt;42461),Table1[Managing Money and Personal Administration],""))</f>
        <v/>
      </c>
      <c r="FD535" s="44" t="str">
        <f>IF(Table1[Date of Initial Assessment]="","",IF(AND(Table1[Start Date]&gt;42094,Table1[Start Date]&lt;42461),Table1[Social Networks and Relationships],""))</f>
        <v/>
      </c>
      <c r="FE535" s="44" t="str">
        <f>IF(Table1[Date of Initial Assessment]="","",IF(AND(Table1[Start Date]&gt;42094,Table1[Start Date]&lt;42461),Table1[Drug and Alcohol Misuse],""))</f>
        <v/>
      </c>
      <c r="FF535" s="44" t="str">
        <f>IF(Table1[Date of Initial Assessment]="","",IF(AND(Table1[Start Date]&gt;42094,Table1[Start Date]&lt;42461),Table1[Physical Health],""))</f>
        <v/>
      </c>
      <c r="FG535" s="44" t="str">
        <f>IF(Table1[Date of Initial Assessment]="","",IF(AND(Table1[Start Date]&gt;42094,Table1[Start Date]&lt;42461),Table1[Emotional and Mental Health],""))</f>
        <v/>
      </c>
      <c r="FH535" s="44" t="str">
        <f>IF(Table1[Date of Initial Assessment]="","",IF(AND(Table1[Start Date]&gt;42094,Table1[Start Date]&lt;42461),Table1[Meaningful Use of Time],""))</f>
        <v/>
      </c>
      <c r="FI535" s="44" t="str">
        <f>IF(Table1[Date of Initial Assessment]="","",IF(AND(Table1[Start Date]&gt;42094,Table1[Start Date]&lt;42461),Table1[Managing Tenancy and Accommodation],""))</f>
        <v/>
      </c>
      <c r="FJ535" s="44" t="str">
        <f>IF(Table1[Date of Initial Assessment]="","",IF(AND(Table1[Start Date]&gt;42094,Table1[Start Date]&lt;42461),Table1[Offending],""))</f>
        <v/>
      </c>
      <c r="FK535" s="44" t="str">
        <f>IF(Table1[Leaving Date]="","",IF(Table1[Date of Initial Assessment]="","",IF(AND(Table1[Leaving Date]&gt;42094,Table1[Leaving Date]&lt;42461),IF(Table1[Date of Last Assessment]="",Table1[Motivation and Taking Responsibility],Table1[Motivation and Taking Responsibility2]),"")))</f>
        <v/>
      </c>
      <c r="FL535" s="44" t="str">
        <f>IF(Table1[Leaving Date]="","",IF(Table1[Date of Initial Assessment]="","",IF(AND(Table1[Leaving Date]&gt;42094,Table1[Leaving Date]&lt;42461),IF(Table1[Date of Last Assessment]="",Table1[Self-Care and Living Skills],Table1[Self-Care and Living Skills2]),"")))</f>
        <v/>
      </c>
      <c r="FM535" s="44" t="str">
        <f>IF(Table1[Leaving Date]="","",IF(Table1[Date of Initial Assessment]="","",IF(AND(Table1[Leaving Date]&gt;42094,Table1[Leaving Date]&lt;42461),IF(Table1[Date of Last Assessment]="",Table1[Managing Money and Personal Administration],Table1[Managing Money and Personal Administration2]),"")))</f>
        <v/>
      </c>
      <c r="FN535" s="44" t="str">
        <f>IF(Table1[Leaving Date]="","",IF(Table1[Date of Initial Assessment]="","",IF(AND(Table1[Leaving Date]&gt;42094,Table1[Leaving Date]&lt;42461),IF(Table1[Date of Last Assessment]="",Table1[Social Networks and Relationships],Table1[Social Networks and Relationships2]),"")))</f>
        <v/>
      </c>
      <c r="FO535" s="44" t="str">
        <f>IF(Table1[Leaving Date]="","",IF(Table1[Date of Initial Assessment]="","",IF(AND(Table1[Leaving Date]&gt;42094,Table1[Leaving Date]&lt;42461),IF(Table1[Date of Last Assessment]="",Table1[Drug and Alcohol Misuse],Table1[Drug and Alcohol Misuse2]),"")))</f>
        <v/>
      </c>
      <c r="FP535" s="44" t="str">
        <f>IF(Table1[Leaving Date]="","",IF(Table1[Date of Initial Assessment]="","",IF(AND(Table1[Leaving Date]&gt;42094,Table1[Leaving Date]&lt;42461),IF(Table1[Date of Last Assessment]="",Table1[Physical Health],Table1[Physical Health2]),"")))</f>
        <v/>
      </c>
      <c r="FQ535" s="44" t="str">
        <f>IF(Table1[Leaving Date]="","",IF(Table1[Date of Initial Assessment]="","",IF(AND(Table1[Leaving Date]&gt;42094,Table1[Leaving Date]&lt;42461),IF(Table1[Date of Last Assessment]="",Table1[Emotional and Mental Health],Table1[Emotional and Mental Health2]),"")))</f>
        <v/>
      </c>
      <c r="FR535" s="44" t="str">
        <f>IF(Table1[Leaving Date]="","",IF(Table1[Date of Initial Assessment]="","",IF(AND(Table1[Leaving Date]&gt;42094,Table1[Leaving Date]&lt;42461),IF(Table1[Date of Last Assessment]="",Table1[Meaningful Use of Time],Table1[Meaningful Use of Time2]),"")))</f>
        <v/>
      </c>
      <c r="FS535" s="44" t="str">
        <f>IF(Table1[Leaving Date]="","",IF(Table1[Date of Initial Assessment]="","",IF(AND(Table1[Leaving Date]&gt;42094,Table1[Leaving Date]&lt;42461),IF(Table1[Date of Last Assessment]="",Table1[Managing Tenancy and Accommodation],Table1[Managing Tenancy and Accommodation2]),"")))</f>
        <v/>
      </c>
      <c r="FT535" s="44" t="str">
        <f>IF(Table1[Leaving Date]="","",IF(Table1[Date of Initial Assessment]="","",IF(AND(Table1[Leaving Date]&gt;42094,Table1[Leaving Date]&lt;42461),IF(Table1[Date of Last Assessment]="",Table1[Offending],Table1[Offending2]),"")))</f>
        <v/>
      </c>
      <c r="FU535" s="44" t="str">
        <f>IF(Table1[Date of Initial Assessment]="","",IF(AND(Table1[Start Date]&gt;42460,Table1[Start Date]&lt;42826),Table1[Motivation and Taking Responsibility],""))</f>
        <v/>
      </c>
      <c r="FV535" s="44" t="str">
        <f>IF(Table1[Date of Initial Assessment]="","",IF(AND(Table1[Start Date]&gt;42460,Table1[Start Date]&lt;42826),Table1[Self-Care and Living Skills],""))</f>
        <v/>
      </c>
      <c r="FW535" s="44" t="str">
        <f>IF(Table1[Date of Initial Assessment]="","",IF(AND(Table1[Start Date]&gt;42460,Table1[Start Date]&lt;42826),Table1[Managing Money and Personal Administration],""))</f>
        <v/>
      </c>
      <c r="FX535" s="44" t="str">
        <f>IF(Table1[Date of Initial Assessment]="","",IF(AND(Table1[Start Date]&gt;42460,Table1[Start Date]&lt;42826),Table1[Social Networks and Relationships],""))</f>
        <v/>
      </c>
      <c r="FY535" s="44" t="str">
        <f>IF(Table1[Date of Initial Assessment]="","",IF(AND(Table1[Start Date]&gt;42460,Table1[Start Date]&lt;42826),Table1[Drug and Alcohol Misuse],""))</f>
        <v/>
      </c>
      <c r="FZ535" s="44" t="str">
        <f>IF(Table1[Date of Initial Assessment]="","",IF(AND(Table1[Start Date]&gt;42460,Table1[Start Date]&lt;42826),Table1[Physical Health],""))</f>
        <v/>
      </c>
      <c r="GA535" s="44" t="str">
        <f>IF(Table1[Date of Initial Assessment]="","",IF(AND(Table1[Start Date]&gt;42460,Table1[Start Date]&lt;42826),Table1[Emotional and Mental Health],""))</f>
        <v/>
      </c>
      <c r="GB535" s="44" t="str">
        <f>IF(Table1[Date of Initial Assessment]="","",IF(AND(Table1[Start Date]&gt;42460,Table1[Start Date]&lt;42826),Table1[Meaningful Use of Time],""))</f>
        <v/>
      </c>
      <c r="GC535" s="44" t="str">
        <f>IF(Table1[Date of Initial Assessment]="","",IF(AND(Table1[Start Date]&gt;42460,Table1[Start Date]&lt;42826),Table1[Managing Tenancy and Accommodation],""))</f>
        <v/>
      </c>
      <c r="GD535" s="44" t="str">
        <f>IF(Table1[Date of Initial Assessment]="","",IF(AND(Table1[Start Date]&gt;42460,Table1[Start Date]&lt;42826),Table1[Offending],""))</f>
        <v/>
      </c>
      <c r="GE535" s="44" t="str">
        <f>IF(Table1[Leaving Date]="","",IF(AND(Table1[Leaving Date]&gt;42460,Table1[Leaving Date]&lt;42826),IF(Table1[Date of Last Assessment]="",Table1[Motivation and Taking Responsibility],Table1[Motivation and Taking Responsibility2]),""))</f>
        <v/>
      </c>
      <c r="GF535" s="44" t="str">
        <f>IF(Table1[Leaving Date]="","",IF(AND(Table1[Leaving Date]&gt;42460,Table1[Leaving Date]&lt;42826),IF(Table1[Date of Last Assessment]="",Table1[Self-Care and Living Skills],Table1[Self-Care and Living Skills2]),""))</f>
        <v/>
      </c>
      <c r="GG535" s="44" t="str">
        <f>IF(Table1[Leaving Date]="","",IF(AND(Table1[Leaving Date]&gt;42460,Table1[Leaving Date]&lt;42826),IF(Table1[Date of Last Assessment]="",Table1[Managing Money and Personal Administration],Table1[Managing Money and Personal Administration2]),""))</f>
        <v/>
      </c>
      <c r="GH535" s="44" t="str">
        <f>IF(Table1[Leaving Date]="","",IF(AND(Table1[Leaving Date]&gt;42460,Table1[Leaving Date]&lt;42826),IF(Table1[Date of Last Assessment]="",Table1[Social Networks and Relationships],Table1[Social Networks and Relationships2]),""))</f>
        <v/>
      </c>
      <c r="GI535" s="44" t="str">
        <f>IF(Table1[Leaving Date]="","",IF(AND(Table1[Leaving Date]&gt;42460,Table1[Leaving Date]&lt;42826),IF(Table1[Date of Last Assessment]="",Table1[Drug and Alcohol Misuse],Table1[Drug and Alcohol Misuse2]),""))</f>
        <v/>
      </c>
      <c r="GJ535" s="44" t="str">
        <f>IF(Table1[Leaving Date]="","",IF(AND(Table1[Leaving Date]&gt;42460,Table1[Leaving Date]&lt;42826),IF(Table1[Date of Last Assessment]="",Table1[Physical Health],Table1[Physical Health2]),""))</f>
        <v/>
      </c>
      <c r="GK535" s="44" t="str">
        <f>IF(Table1[Leaving Date]="","",IF(AND(Table1[Leaving Date]&gt;42460,Table1[Leaving Date]&lt;42826),IF(Table1[Date of Last Assessment]="",Table1[Emotional and Mental Health],Table1[Emotional and Mental Health2]),""))</f>
        <v/>
      </c>
      <c r="GL535" s="44" t="str">
        <f>IF(Table1[Leaving Date]="","",IF(AND(Table1[Leaving Date]&gt;42460,Table1[Leaving Date]&lt;42826),IF(Table1[Date of Last Assessment]="",Table1[Meaningful Use of Time],Table1[Meaningful Use of Time2]),""))</f>
        <v/>
      </c>
      <c r="GM535" s="44" t="str">
        <f>IF(Table1[Leaving Date]="","",IF(AND(Table1[Leaving Date]&gt;42460,Table1[Leaving Date]&lt;42826),IF(Table1[Date of Last Assessment]="",Table1[Managing Tenancy and Accommodation],Table1[Managing Tenancy and Accommodation2]),""))</f>
        <v/>
      </c>
      <c r="GN535" s="44" t="str">
        <f>IF(Table1[Leaving Date]="","",IF(AND(Table1[Leaving Date]&gt;42460,Table1[Leaving Date]&lt;42826),IF(Table1[Date of Last Assessment]="",Table1[Offending],Table1[Offending2]),""))</f>
        <v/>
      </c>
    </row>
    <row r="536" spans="2:196" ht="20.100000000000001" customHeight="1" x14ac:dyDescent="0.2">
      <c r="B536" s="86">
        <f>+'Service Data'!$C$5:$C$5</f>
        <v>0</v>
      </c>
      <c r="C536" s="86"/>
      <c r="D536" s="86"/>
      <c r="E536" s="86"/>
      <c r="F536" s="86"/>
      <c r="G536" s="86"/>
      <c r="H536" s="6"/>
      <c r="I536" s="99" t="str">
        <f ca="1">IF(Table1[[#This Row],[Date of Birth]]="","",SUM(TODAY()-Table1[[#This Row],[Date of Birth]])/365)</f>
        <v/>
      </c>
      <c r="L536" s="86"/>
      <c r="M536" s="77"/>
      <c r="N536" s="86"/>
      <c r="O536" s="86"/>
      <c r="P536" s="91"/>
      <c r="Q536" s="86"/>
      <c r="R536" s="77"/>
      <c r="S536" s="77"/>
      <c r="T536" s="68"/>
      <c r="U536" s="68"/>
      <c r="V536" s="67"/>
      <c r="W536" s="67"/>
      <c r="X536" s="67"/>
      <c r="Y536" s="67"/>
      <c r="Z536" s="67"/>
      <c r="AA536" s="67"/>
      <c r="AB536" s="67"/>
      <c r="AC536" s="67"/>
      <c r="AD536" s="67"/>
      <c r="AE536" s="67"/>
      <c r="AF536" s="67"/>
      <c r="AG536" s="67"/>
      <c r="AH536" s="67"/>
      <c r="AI536" s="67"/>
      <c r="AJ536" s="67"/>
      <c r="AK536" s="67"/>
      <c r="AL536" s="67"/>
      <c r="AM536" s="67"/>
      <c r="AN536" s="77"/>
      <c r="AO536" s="76"/>
      <c r="AP536" s="77"/>
      <c r="AQ536" s="76"/>
      <c r="AR536" s="76"/>
      <c r="AS536" s="76"/>
      <c r="AT536" s="76"/>
      <c r="AU536" s="76"/>
      <c r="AV536" s="77"/>
      <c r="AW536" s="76"/>
      <c r="AX536" s="77"/>
      <c r="AY536" s="76"/>
      <c r="AZ536" s="76"/>
      <c r="BA536" s="76"/>
      <c r="BB536" s="76"/>
      <c r="BC536" s="76"/>
      <c r="BD536" s="77"/>
      <c r="BE536" s="76"/>
      <c r="BF536" s="77"/>
      <c r="BG536" s="76"/>
      <c r="BH536" s="76"/>
      <c r="BI536" s="76"/>
      <c r="BJ536" s="76"/>
      <c r="BK536" s="76"/>
      <c r="BL536" s="77"/>
      <c r="BM536" s="76"/>
      <c r="BN536" s="77"/>
      <c r="BO536" s="76"/>
      <c r="BP536" s="76"/>
      <c r="BQ536" s="76"/>
      <c r="BR536" s="76"/>
      <c r="BS536" s="76"/>
      <c r="BT536" s="77"/>
      <c r="BU536" s="76"/>
      <c r="BV536" s="77"/>
      <c r="BW536" s="76"/>
      <c r="BX536" s="76"/>
      <c r="BY536" s="76"/>
      <c r="BZ536" s="76"/>
      <c r="CA536" s="76"/>
      <c r="CB536" s="77"/>
      <c r="CC536" s="76"/>
      <c r="CD536" s="77"/>
      <c r="CE536" s="76"/>
      <c r="CF536" s="76"/>
      <c r="CG536" s="76"/>
      <c r="CH536" s="76"/>
      <c r="CI536" s="76"/>
      <c r="CJ536" s="77"/>
      <c r="CK536" s="76"/>
      <c r="CL536" s="77"/>
      <c r="CM536" s="76"/>
      <c r="CN536" s="76"/>
      <c r="CO536" s="76"/>
      <c r="CP536" s="76"/>
      <c r="CQ536" s="76"/>
      <c r="CR536" s="78" t="str">
        <f t="shared" si="143"/>
        <v/>
      </c>
      <c r="CS536" s="79" t="str">
        <f t="shared" si="144"/>
        <v/>
      </c>
      <c r="CT536" s="79" t="str">
        <f t="shared" si="145"/>
        <v/>
      </c>
      <c r="CU536" s="79" t="str">
        <f t="shared" si="146"/>
        <v/>
      </c>
      <c r="CV536" s="79" t="str">
        <f t="shared" si="147"/>
        <v/>
      </c>
      <c r="CW536" s="79" t="str">
        <f t="shared" si="148"/>
        <v/>
      </c>
      <c r="CX536" s="79" t="str">
        <f t="shared" si="149"/>
        <v/>
      </c>
      <c r="CY536" s="79" t="str">
        <f t="shared" si="150"/>
        <v/>
      </c>
      <c r="CZ536" s="79" t="str">
        <f t="shared" si="151"/>
        <v/>
      </c>
      <c r="DA536" s="79" t="str">
        <f t="shared" si="152"/>
        <v/>
      </c>
      <c r="DB536" s="79" t="str">
        <f t="shared" si="153"/>
        <v/>
      </c>
      <c r="DC536" s="79" t="str">
        <f t="shared" si="154"/>
        <v/>
      </c>
      <c r="DD536" s="79" t="str">
        <f t="shared" si="155"/>
        <v/>
      </c>
      <c r="DE536" s="79" t="str">
        <f t="shared" si="156"/>
        <v/>
      </c>
      <c r="DF536" s="79" t="str">
        <f t="shared" si="157"/>
        <v/>
      </c>
      <c r="DG536" s="79" t="str">
        <f t="shared" si="158"/>
        <v/>
      </c>
      <c r="DH536" s="76"/>
      <c r="DI536" s="78"/>
      <c r="DJ536" s="76"/>
      <c r="DK536" s="77"/>
      <c r="DL536" s="77"/>
      <c r="DM536" s="77"/>
      <c r="DN536" s="80"/>
      <c r="DO536" s="80"/>
      <c r="DP536" s="92" t="str">
        <f>IF(Table1[Start Date]="","",IF(Table1[Start Date]&gt;42185,"",IF(AND(Table1[Leaving Date]&gt;1,Table1[Leaving Date]&lt;42095),"",1)))</f>
        <v/>
      </c>
      <c r="DQ536" s="92" t="str">
        <f>IF(Table1[Start Date]="","",IF(Table1[Start Date]&gt;42277,"",IF(AND(Table1[Leaving Date]&gt;1,Table1[Leaving Date]&lt;42186),"",1)))</f>
        <v/>
      </c>
      <c r="DR536" s="92" t="str">
        <f>IF(Table1[Start Date]="","",IF(Table1[Start Date]&gt;42369,"",IF(AND(Table1[Leaving Date]&gt;1,Table1[Leaving Date]&lt;42278),"",1)))</f>
        <v/>
      </c>
      <c r="DS536" s="92" t="str">
        <f>IF(Table1[Start Date]="","",IF(Table1[Start Date]&gt;42460,"",IF(AND(Table1[Leaving Date]&gt;1,Table1[Leaving Date]&lt;42370),"",1)))</f>
        <v/>
      </c>
      <c r="DT536" s="92" t="str">
        <f>IF(Table1[Start Date]="","",IF(Table1[Start Date]&gt;42551,"",IF(AND(Table1[Leaving Date]&gt;1,Table1[Leaving Date]&lt;42461),"",1)))</f>
        <v/>
      </c>
      <c r="DU536" s="92" t="str">
        <f>IF(Table1[Start Date]="","",IF(Table1[Start Date]&gt;42643,"",IF(AND(Table1[Leaving Date]&gt;1,Table1[Leaving Date]&lt;42552),"",1)))</f>
        <v/>
      </c>
      <c r="DV536" s="92" t="str">
        <f>IF(Table1[Start Date]="","",IF(Table1[Start Date]&gt;42735,"",IF(AND(Table1[Leaving Date]&gt;1,Table1[Leaving Date]&lt;42644),"",1)))</f>
        <v/>
      </c>
      <c r="DW536" s="92" t="str">
        <f>IF(Table1[Start Date]="","",IF(Table1[Start Date]&gt;42825,"",IF(AND(Table1[Leaving Date]&gt;1,Table1[Leaving Date]&lt;42736),"",1)))</f>
        <v/>
      </c>
      <c r="DX536"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536" s="44" t="e">
        <f>VLOOKUP(Table1[Referral Source],Lists!$G$2:$H$20,2,FALSE)</f>
        <v>#N/A</v>
      </c>
      <c r="DZ536" s="93" t="e">
        <f>SUM(Table1[Data Referral Quarter]+Table1[Data Referral Source])</f>
        <v>#N/A</v>
      </c>
      <c r="EA536" s="44" t="b">
        <f>IF(Table1[Referral Decision]="Accepted",100,IF(Table1[Referral Decision]="Rejected by Provider",200,IF(Table1[Referral Decision]="Rejected by Applicant",300)))</f>
        <v>0</v>
      </c>
      <c r="EB536" s="44">
        <f>SUM(Table1[Data Referral Quarter]+Table1[Data Referral Decision])</f>
        <v>0</v>
      </c>
      <c r="EC536" s="44" t="b">
        <f>IF(Table1[Start Date]&gt;42735,8000,IF(Table1[Start Date]&gt;42643,7000,IF(Table1[Start Date]&gt;42551,6000,IF(Table1[Start Date]&gt;42460,5000,IF(Table1[Start Date]&gt;42369,4000,IF(Table1[Start Date]&gt;42277,3000,IF(Table1[Start Date]&gt;42185,2000,IF(Table1[Start Date]&gt;42094,1000))))))))</f>
        <v>0</v>
      </c>
      <c r="ED536" s="44" t="str">
        <f>IF(Table1[Start Date]="","",IF(Table1[Current Local Authority]="Swindon",1,"2"))</f>
        <v/>
      </c>
      <c r="EE536" s="44" t="e">
        <f>SUM(Table1[Data Start Date]+Table1[Data Local Authority])</f>
        <v>#VALUE!</v>
      </c>
      <c r="EF536" s="44">
        <f>IF(Table1[Registered with GP]="Yes",1,0)</f>
        <v>0</v>
      </c>
      <c r="EG536" s="44">
        <f>SUM(Table1[Data Start Date]+Table1[Data GP Start])</f>
        <v>0</v>
      </c>
      <c r="EH536" s="44" t="str">
        <f>IF(Table1[EET]="NEET",1,IF(Table1[EET]="Education",2,IF(Table1[EET]="Employment",2,IF(Table1[EET]="Training",2,IF(Table1[EET]="Retired",3,"")))))</f>
        <v/>
      </c>
      <c r="EI536" s="44" t="e">
        <f>Table1[Data Start Date]+Table1[Data EET Start]</f>
        <v>#VALUE!</v>
      </c>
      <c r="EJ536" s="44" t="b">
        <f>IF(Table1[Leaving Date]&gt;42735,8000,IF(Table1[Leaving Date]&gt;42643,7000,IF(Table1[Leaving Date]&gt;42551,6000,IF(Table1[Leaving Date]&gt;42460,5000,IF(Table1[Leaving Date]&gt;42369,4000,IF(Table1[Leaving Date]&gt;42277,3000,IF(Table1[Leaving Date]&gt;42185,2000,IF(Table1[Leaving Date]&gt;42094,1000))))))))</f>
        <v>0</v>
      </c>
      <c r="EK536" s="44" t="e">
        <f>VLOOKUP(Table1[Reason for Leaving],Lists!$T$2:$U$15,2,FALSE)</f>
        <v>#N/A</v>
      </c>
      <c r="EL536" s="44" t="e">
        <f>SUM(Table1[Data Leavers Date]+Table1[Data Move On])</f>
        <v>#N/A</v>
      </c>
      <c r="EM536" s="44" t="b">
        <f>IF(Table1[Registered with GP2]="Yes",1,IF(Table1[Registered with GP2]="No",0,IF(Table1[Registered with GP]="Yes",1,IF(Table1[Registered with GP]="No",0))))</f>
        <v>0</v>
      </c>
      <c r="EN536" s="44">
        <f>SUM(Table1[Data Leavers Date]+Table1[Data GP End])</f>
        <v>0</v>
      </c>
      <c r="EO536" s="44" t="str">
        <f>IF(Table1[EET2]="NEET",1,IF(Table1[EET2]="Employment",2,IF(Table1[EET2]="Education",2,IF(Table1[EET2]="Training",2,IF(Table1[EET2]="Retired",3,IF(Table1[EET]="NEET",1,IF(Table1[EET]="Employment",2,IF(Table1[EET]="Education",2,IF(Table1[EET]="Training",2,IF(Table1[EET]="Retired",3,""))))))))))</f>
        <v/>
      </c>
      <c r="EP536" s="44" t="e">
        <f>+Table1[[#This Row],[Data Leavers Date]]+Table1[[#This Row],[Data EET End]]</f>
        <v>#VALUE!</v>
      </c>
      <c r="EQ536" s="44">
        <f>IF(Table1[Exit Form Received]="Yes",1,0)</f>
        <v>0</v>
      </c>
      <c r="ER536" s="44">
        <f>+Table1[[#This Row],[Data Leavers Date]]+Table1[[#This Row],[Data Exit Forms]]</f>
        <v>0</v>
      </c>
      <c r="ES536" s="44" t="str">
        <f>IF(Table1[Data Leavers Date]=1000,SUM(Table1[Leaving Date]-Table1[Start Date]),"")</f>
        <v/>
      </c>
      <c r="ET536" s="44" t="str">
        <f>IF(Table1[Data Leavers Date]=2000,SUM(Table1[Leaving Date]-Table1[Start Date]),"")</f>
        <v/>
      </c>
      <c r="EU536" s="44" t="str">
        <f>IF(Table1[Data Leavers Date]=3000,SUM(Table1[Leaving Date]-Table1[Start Date]),"")</f>
        <v/>
      </c>
      <c r="EV536" s="44" t="str">
        <f>IF(Table1[Data Leavers Date]=4000,SUM(Table1[Leaving Date]-Table1[Start Date]),"")</f>
        <v/>
      </c>
      <c r="EW536" s="44" t="str">
        <f>IF(Table1[Data Leavers Date]=5000,SUM(Table1[Leaving Date]-Table1[Start Date]),"")</f>
        <v/>
      </c>
      <c r="EX536" s="44" t="str">
        <f>IF(Table1[Data Leavers Date]=6000,SUM(Table1[Leaving Date]-Table1[Start Date]),"")</f>
        <v/>
      </c>
      <c r="EY536" s="44" t="str">
        <f>IF(Table1[Data Leavers Date]=7000,SUM(Table1[Leaving Date]-Table1[Start Date]),"")</f>
        <v/>
      </c>
      <c r="EZ536" s="44" t="str">
        <f>IF(Table1[Data Leavers Date]=8000,SUM(Table1[Leaving Date]-Table1[Start Date]),"")</f>
        <v/>
      </c>
      <c r="FA536" s="44" t="str">
        <f>IF(Table1[Date of Initial Assessment]="","",IF(AND(Table1[Start Date]&gt;42094,Table1[Start Date]&lt;42461),Table1[Motivation and Taking Responsibility],""))</f>
        <v/>
      </c>
      <c r="FB536" s="44" t="str">
        <f>IF(Table1[Date of Initial Assessment]="","",IF(AND(Table1[Start Date]&gt;42094,Table1[Start Date]&lt;42461),Table1[Self-Care and Living Skills],""))</f>
        <v/>
      </c>
      <c r="FC536" s="44" t="str">
        <f>IF(Table1[Date of Initial Assessment]="","",IF(AND(Table1[Start Date]&gt;42094,Table1[Start Date]&lt;42461),Table1[Managing Money and Personal Administration],""))</f>
        <v/>
      </c>
      <c r="FD536" s="44" t="str">
        <f>IF(Table1[Date of Initial Assessment]="","",IF(AND(Table1[Start Date]&gt;42094,Table1[Start Date]&lt;42461),Table1[Social Networks and Relationships],""))</f>
        <v/>
      </c>
      <c r="FE536" s="44" t="str">
        <f>IF(Table1[Date of Initial Assessment]="","",IF(AND(Table1[Start Date]&gt;42094,Table1[Start Date]&lt;42461),Table1[Drug and Alcohol Misuse],""))</f>
        <v/>
      </c>
      <c r="FF536" s="44" t="str">
        <f>IF(Table1[Date of Initial Assessment]="","",IF(AND(Table1[Start Date]&gt;42094,Table1[Start Date]&lt;42461),Table1[Physical Health],""))</f>
        <v/>
      </c>
      <c r="FG536" s="44" t="str">
        <f>IF(Table1[Date of Initial Assessment]="","",IF(AND(Table1[Start Date]&gt;42094,Table1[Start Date]&lt;42461),Table1[Emotional and Mental Health],""))</f>
        <v/>
      </c>
      <c r="FH536" s="44" t="str">
        <f>IF(Table1[Date of Initial Assessment]="","",IF(AND(Table1[Start Date]&gt;42094,Table1[Start Date]&lt;42461),Table1[Meaningful Use of Time],""))</f>
        <v/>
      </c>
      <c r="FI536" s="44" t="str">
        <f>IF(Table1[Date of Initial Assessment]="","",IF(AND(Table1[Start Date]&gt;42094,Table1[Start Date]&lt;42461),Table1[Managing Tenancy and Accommodation],""))</f>
        <v/>
      </c>
      <c r="FJ536" s="44" t="str">
        <f>IF(Table1[Date of Initial Assessment]="","",IF(AND(Table1[Start Date]&gt;42094,Table1[Start Date]&lt;42461),Table1[Offending],""))</f>
        <v/>
      </c>
      <c r="FK536" s="44" t="str">
        <f>IF(Table1[Leaving Date]="","",IF(Table1[Date of Initial Assessment]="","",IF(AND(Table1[Leaving Date]&gt;42094,Table1[Leaving Date]&lt;42461),IF(Table1[Date of Last Assessment]="",Table1[Motivation and Taking Responsibility],Table1[Motivation and Taking Responsibility2]),"")))</f>
        <v/>
      </c>
      <c r="FL536" s="44" t="str">
        <f>IF(Table1[Leaving Date]="","",IF(Table1[Date of Initial Assessment]="","",IF(AND(Table1[Leaving Date]&gt;42094,Table1[Leaving Date]&lt;42461),IF(Table1[Date of Last Assessment]="",Table1[Self-Care and Living Skills],Table1[Self-Care and Living Skills2]),"")))</f>
        <v/>
      </c>
      <c r="FM536" s="44" t="str">
        <f>IF(Table1[Leaving Date]="","",IF(Table1[Date of Initial Assessment]="","",IF(AND(Table1[Leaving Date]&gt;42094,Table1[Leaving Date]&lt;42461),IF(Table1[Date of Last Assessment]="",Table1[Managing Money and Personal Administration],Table1[Managing Money and Personal Administration2]),"")))</f>
        <v/>
      </c>
      <c r="FN536" s="44" t="str">
        <f>IF(Table1[Leaving Date]="","",IF(Table1[Date of Initial Assessment]="","",IF(AND(Table1[Leaving Date]&gt;42094,Table1[Leaving Date]&lt;42461),IF(Table1[Date of Last Assessment]="",Table1[Social Networks and Relationships],Table1[Social Networks and Relationships2]),"")))</f>
        <v/>
      </c>
      <c r="FO536" s="44" t="str">
        <f>IF(Table1[Leaving Date]="","",IF(Table1[Date of Initial Assessment]="","",IF(AND(Table1[Leaving Date]&gt;42094,Table1[Leaving Date]&lt;42461),IF(Table1[Date of Last Assessment]="",Table1[Drug and Alcohol Misuse],Table1[Drug and Alcohol Misuse2]),"")))</f>
        <v/>
      </c>
      <c r="FP536" s="44" t="str">
        <f>IF(Table1[Leaving Date]="","",IF(Table1[Date of Initial Assessment]="","",IF(AND(Table1[Leaving Date]&gt;42094,Table1[Leaving Date]&lt;42461),IF(Table1[Date of Last Assessment]="",Table1[Physical Health],Table1[Physical Health2]),"")))</f>
        <v/>
      </c>
      <c r="FQ536" s="44" t="str">
        <f>IF(Table1[Leaving Date]="","",IF(Table1[Date of Initial Assessment]="","",IF(AND(Table1[Leaving Date]&gt;42094,Table1[Leaving Date]&lt;42461),IF(Table1[Date of Last Assessment]="",Table1[Emotional and Mental Health],Table1[Emotional and Mental Health2]),"")))</f>
        <v/>
      </c>
      <c r="FR536" s="44" t="str">
        <f>IF(Table1[Leaving Date]="","",IF(Table1[Date of Initial Assessment]="","",IF(AND(Table1[Leaving Date]&gt;42094,Table1[Leaving Date]&lt;42461),IF(Table1[Date of Last Assessment]="",Table1[Meaningful Use of Time],Table1[Meaningful Use of Time2]),"")))</f>
        <v/>
      </c>
      <c r="FS536" s="44" t="str">
        <f>IF(Table1[Leaving Date]="","",IF(Table1[Date of Initial Assessment]="","",IF(AND(Table1[Leaving Date]&gt;42094,Table1[Leaving Date]&lt;42461),IF(Table1[Date of Last Assessment]="",Table1[Managing Tenancy and Accommodation],Table1[Managing Tenancy and Accommodation2]),"")))</f>
        <v/>
      </c>
      <c r="FT536" s="44" t="str">
        <f>IF(Table1[Leaving Date]="","",IF(Table1[Date of Initial Assessment]="","",IF(AND(Table1[Leaving Date]&gt;42094,Table1[Leaving Date]&lt;42461),IF(Table1[Date of Last Assessment]="",Table1[Offending],Table1[Offending2]),"")))</f>
        <v/>
      </c>
      <c r="FU536" s="44" t="str">
        <f>IF(Table1[Date of Initial Assessment]="","",IF(AND(Table1[Start Date]&gt;42460,Table1[Start Date]&lt;42826),Table1[Motivation and Taking Responsibility],""))</f>
        <v/>
      </c>
      <c r="FV536" s="44" t="str">
        <f>IF(Table1[Date of Initial Assessment]="","",IF(AND(Table1[Start Date]&gt;42460,Table1[Start Date]&lt;42826),Table1[Self-Care and Living Skills],""))</f>
        <v/>
      </c>
      <c r="FW536" s="44" t="str">
        <f>IF(Table1[Date of Initial Assessment]="","",IF(AND(Table1[Start Date]&gt;42460,Table1[Start Date]&lt;42826),Table1[Managing Money and Personal Administration],""))</f>
        <v/>
      </c>
      <c r="FX536" s="44" t="str">
        <f>IF(Table1[Date of Initial Assessment]="","",IF(AND(Table1[Start Date]&gt;42460,Table1[Start Date]&lt;42826),Table1[Social Networks and Relationships],""))</f>
        <v/>
      </c>
      <c r="FY536" s="44" t="str">
        <f>IF(Table1[Date of Initial Assessment]="","",IF(AND(Table1[Start Date]&gt;42460,Table1[Start Date]&lt;42826),Table1[Drug and Alcohol Misuse],""))</f>
        <v/>
      </c>
      <c r="FZ536" s="44" t="str">
        <f>IF(Table1[Date of Initial Assessment]="","",IF(AND(Table1[Start Date]&gt;42460,Table1[Start Date]&lt;42826),Table1[Physical Health],""))</f>
        <v/>
      </c>
      <c r="GA536" s="44" t="str">
        <f>IF(Table1[Date of Initial Assessment]="","",IF(AND(Table1[Start Date]&gt;42460,Table1[Start Date]&lt;42826),Table1[Emotional and Mental Health],""))</f>
        <v/>
      </c>
      <c r="GB536" s="44" t="str">
        <f>IF(Table1[Date of Initial Assessment]="","",IF(AND(Table1[Start Date]&gt;42460,Table1[Start Date]&lt;42826),Table1[Meaningful Use of Time],""))</f>
        <v/>
      </c>
      <c r="GC536" s="44" t="str">
        <f>IF(Table1[Date of Initial Assessment]="","",IF(AND(Table1[Start Date]&gt;42460,Table1[Start Date]&lt;42826),Table1[Managing Tenancy and Accommodation],""))</f>
        <v/>
      </c>
      <c r="GD536" s="44" t="str">
        <f>IF(Table1[Date of Initial Assessment]="","",IF(AND(Table1[Start Date]&gt;42460,Table1[Start Date]&lt;42826),Table1[Offending],""))</f>
        <v/>
      </c>
      <c r="GE536" s="44" t="str">
        <f>IF(Table1[Leaving Date]="","",IF(AND(Table1[Leaving Date]&gt;42460,Table1[Leaving Date]&lt;42826),IF(Table1[Date of Last Assessment]="",Table1[Motivation and Taking Responsibility],Table1[Motivation and Taking Responsibility2]),""))</f>
        <v/>
      </c>
      <c r="GF536" s="44" t="str">
        <f>IF(Table1[Leaving Date]="","",IF(AND(Table1[Leaving Date]&gt;42460,Table1[Leaving Date]&lt;42826),IF(Table1[Date of Last Assessment]="",Table1[Self-Care and Living Skills],Table1[Self-Care and Living Skills2]),""))</f>
        <v/>
      </c>
      <c r="GG536" s="44" t="str">
        <f>IF(Table1[Leaving Date]="","",IF(AND(Table1[Leaving Date]&gt;42460,Table1[Leaving Date]&lt;42826),IF(Table1[Date of Last Assessment]="",Table1[Managing Money and Personal Administration],Table1[Managing Money and Personal Administration2]),""))</f>
        <v/>
      </c>
      <c r="GH536" s="44" t="str">
        <f>IF(Table1[Leaving Date]="","",IF(AND(Table1[Leaving Date]&gt;42460,Table1[Leaving Date]&lt;42826),IF(Table1[Date of Last Assessment]="",Table1[Social Networks and Relationships],Table1[Social Networks and Relationships2]),""))</f>
        <v/>
      </c>
      <c r="GI536" s="44" t="str">
        <f>IF(Table1[Leaving Date]="","",IF(AND(Table1[Leaving Date]&gt;42460,Table1[Leaving Date]&lt;42826),IF(Table1[Date of Last Assessment]="",Table1[Drug and Alcohol Misuse],Table1[Drug and Alcohol Misuse2]),""))</f>
        <v/>
      </c>
      <c r="GJ536" s="44" t="str">
        <f>IF(Table1[Leaving Date]="","",IF(AND(Table1[Leaving Date]&gt;42460,Table1[Leaving Date]&lt;42826),IF(Table1[Date of Last Assessment]="",Table1[Physical Health],Table1[Physical Health2]),""))</f>
        <v/>
      </c>
      <c r="GK536" s="44" t="str">
        <f>IF(Table1[Leaving Date]="","",IF(AND(Table1[Leaving Date]&gt;42460,Table1[Leaving Date]&lt;42826),IF(Table1[Date of Last Assessment]="",Table1[Emotional and Mental Health],Table1[Emotional and Mental Health2]),""))</f>
        <v/>
      </c>
      <c r="GL536" s="44" t="str">
        <f>IF(Table1[Leaving Date]="","",IF(AND(Table1[Leaving Date]&gt;42460,Table1[Leaving Date]&lt;42826),IF(Table1[Date of Last Assessment]="",Table1[Meaningful Use of Time],Table1[Meaningful Use of Time2]),""))</f>
        <v/>
      </c>
      <c r="GM536" s="44" t="str">
        <f>IF(Table1[Leaving Date]="","",IF(AND(Table1[Leaving Date]&gt;42460,Table1[Leaving Date]&lt;42826),IF(Table1[Date of Last Assessment]="",Table1[Managing Tenancy and Accommodation],Table1[Managing Tenancy and Accommodation2]),""))</f>
        <v/>
      </c>
      <c r="GN536" s="44" t="str">
        <f>IF(Table1[Leaving Date]="","",IF(AND(Table1[Leaving Date]&gt;42460,Table1[Leaving Date]&lt;42826),IF(Table1[Date of Last Assessment]="",Table1[Offending],Table1[Offending2]),""))</f>
        <v/>
      </c>
    </row>
    <row r="537" spans="2:196" ht="20.100000000000001" customHeight="1" x14ac:dyDescent="0.2">
      <c r="B537" s="86">
        <f>+'Service Data'!$C$5:$C$5</f>
        <v>0</v>
      </c>
      <c r="C537" s="86"/>
      <c r="D537" s="86"/>
      <c r="E537" s="86"/>
      <c r="F537" s="86"/>
      <c r="G537" s="86"/>
      <c r="H537" s="6"/>
      <c r="I537" s="99" t="str">
        <f ca="1">IF(Table1[[#This Row],[Date of Birth]]="","",SUM(TODAY()-Table1[[#This Row],[Date of Birth]])/365)</f>
        <v/>
      </c>
      <c r="L537" s="86"/>
      <c r="M537" s="77"/>
      <c r="N537" s="86"/>
      <c r="O537" s="86"/>
      <c r="P537" s="91"/>
      <c r="Q537" s="86"/>
      <c r="R537" s="77"/>
      <c r="S537" s="77"/>
      <c r="T537" s="68"/>
      <c r="U537" s="68"/>
      <c r="V537" s="67"/>
      <c r="W537" s="67"/>
      <c r="X537" s="67"/>
      <c r="Y537" s="67"/>
      <c r="Z537" s="67"/>
      <c r="AA537" s="67"/>
      <c r="AB537" s="67"/>
      <c r="AC537" s="67"/>
      <c r="AD537" s="67"/>
      <c r="AE537" s="67"/>
      <c r="AF537" s="67"/>
      <c r="AG537" s="67"/>
      <c r="AH537" s="67"/>
      <c r="AI537" s="67"/>
      <c r="AJ537" s="67"/>
      <c r="AK537" s="67"/>
      <c r="AL537" s="67"/>
      <c r="AM537" s="67"/>
      <c r="AN537" s="77"/>
      <c r="AO537" s="76"/>
      <c r="AP537" s="77"/>
      <c r="AQ537" s="76"/>
      <c r="AR537" s="76"/>
      <c r="AS537" s="76"/>
      <c r="AT537" s="76"/>
      <c r="AU537" s="76"/>
      <c r="AV537" s="77"/>
      <c r="AW537" s="76"/>
      <c r="AX537" s="77"/>
      <c r="AY537" s="76"/>
      <c r="AZ537" s="76"/>
      <c r="BA537" s="76"/>
      <c r="BB537" s="76"/>
      <c r="BC537" s="76"/>
      <c r="BD537" s="77"/>
      <c r="BE537" s="76"/>
      <c r="BF537" s="77"/>
      <c r="BG537" s="76"/>
      <c r="BH537" s="76"/>
      <c r="BI537" s="76"/>
      <c r="BJ537" s="76"/>
      <c r="BK537" s="76"/>
      <c r="BL537" s="77"/>
      <c r="BM537" s="76"/>
      <c r="BN537" s="77"/>
      <c r="BO537" s="76"/>
      <c r="BP537" s="76"/>
      <c r="BQ537" s="76"/>
      <c r="BR537" s="76"/>
      <c r="BS537" s="76"/>
      <c r="BT537" s="77"/>
      <c r="BU537" s="76"/>
      <c r="BV537" s="77"/>
      <c r="BW537" s="76"/>
      <c r="BX537" s="76"/>
      <c r="BY537" s="76"/>
      <c r="BZ537" s="76"/>
      <c r="CA537" s="76"/>
      <c r="CB537" s="77"/>
      <c r="CC537" s="76"/>
      <c r="CD537" s="77"/>
      <c r="CE537" s="76"/>
      <c r="CF537" s="76"/>
      <c r="CG537" s="76"/>
      <c r="CH537" s="76"/>
      <c r="CI537" s="76"/>
      <c r="CJ537" s="77"/>
      <c r="CK537" s="76"/>
      <c r="CL537" s="77"/>
      <c r="CM537" s="76"/>
      <c r="CN537" s="76"/>
      <c r="CO537" s="76"/>
      <c r="CP537" s="76"/>
      <c r="CQ537" s="76"/>
      <c r="CR537" s="78" t="str">
        <f t="shared" si="143"/>
        <v/>
      </c>
      <c r="CS537" s="79" t="str">
        <f t="shared" si="144"/>
        <v/>
      </c>
      <c r="CT537" s="79" t="str">
        <f t="shared" si="145"/>
        <v/>
      </c>
      <c r="CU537" s="79" t="str">
        <f t="shared" si="146"/>
        <v/>
      </c>
      <c r="CV537" s="79" t="str">
        <f t="shared" si="147"/>
        <v/>
      </c>
      <c r="CW537" s="79" t="str">
        <f t="shared" si="148"/>
        <v/>
      </c>
      <c r="CX537" s="79" t="str">
        <f t="shared" si="149"/>
        <v/>
      </c>
      <c r="CY537" s="79" t="str">
        <f t="shared" si="150"/>
        <v/>
      </c>
      <c r="CZ537" s="79" t="str">
        <f t="shared" si="151"/>
        <v/>
      </c>
      <c r="DA537" s="79" t="str">
        <f t="shared" si="152"/>
        <v/>
      </c>
      <c r="DB537" s="79" t="str">
        <f t="shared" si="153"/>
        <v/>
      </c>
      <c r="DC537" s="79" t="str">
        <f t="shared" si="154"/>
        <v/>
      </c>
      <c r="DD537" s="79" t="str">
        <f t="shared" si="155"/>
        <v/>
      </c>
      <c r="DE537" s="79" t="str">
        <f t="shared" si="156"/>
        <v/>
      </c>
      <c r="DF537" s="79" t="str">
        <f t="shared" si="157"/>
        <v/>
      </c>
      <c r="DG537" s="79" t="str">
        <f t="shared" si="158"/>
        <v/>
      </c>
      <c r="DH537" s="76"/>
      <c r="DI537" s="78"/>
      <c r="DJ537" s="76"/>
      <c r="DK537" s="77"/>
      <c r="DL537" s="77"/>
      <c r="DM537" s="77"/>
      <c r="DN537" s="80"/>
      <c r="DO537" s="80"/>
      <c r="DP537" s="92" t="str">
        <f>IF(Table1[Start Date]="","",IF(Table1[Start Date]&gt;42185,"",IF(AND(Table1[Leaving Date]&gt;1,Table1[Leaving Date]&lt;42095),"",1)))</f>
        <v/>
      </c>
      <c r="DQ537" s="92" t="str">
        <f>IF(Table1[Start Date]="","",IF(Table1[Start Date]&gt;42277,"",IF(AND(Table1[Leaving Date]&gt;1,Table1[Leaving Date]&lt;42186),"",1)))</f>
        <v/>
      </c>
      <c r="DR537" s="92" t="str">
        <f>IF(Table1[Start Date]="","",IF(Table1[Start Date]&gt;42369,"",IF(AND(Table1[Leaving Date]&gt;1,Table1[Leaving Date]&lt;42278),"",1)))</f>
        <v/>
      </c>
      <c r="DS537" s="92" t="str">
        <f>IF(Table1[Start Date]="","",IF(Table1[Start Date]&gt;42460,"",IF(AND(Table1[Leaving Date]&gt;1,Table1[Leaving Date]&lt;42370),"",1)))</f>
        <v/>
      </c>
      <c r="DT537" s="92" t="str">
        <f>IF(Table1[Start Date]="","",IF(Table1[Start Date]&gt;42551,"",IF(AND(Table1[Leaving Date]&gt;1,Table1[Leaving Date]&lt;42461),"",1)))</f>
        <v/>
      </c>
      <c r="DU537" s="92" t="str">
        <f>IF(Table1[Start Date]="","",IF(Table1[Start Date]&gt;42643,"",IF(AND(Table1[Leaving Date]&gt;1,Table1[Leaving Date]&lt;42552),"",1)))</f>
        <v/>
      </c>
      <c r="DV537" s="92" t="str">
        <f>IF(Table1[Start Date]="","",IF(Table1[Start Date]&gt;42735,"",IF(AND(Table1[Leaving Date]&gt;1,Table1[Leaving Date]&lt;42644),"",1)))</f>
        <v/>
      </c>
      <c r="DW537" s="92" t="str">
        <f>IF(Table1[Start Date]="","",IF(Table1[Start Date]&gt;42825,"",IF(AND(Table1[Leaving Date]&gt;1,Table1[Leaving Date]&lt;42736),"",1)))</f>
        <v/>
      </c>
      <c r="DX537"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537" s="44" t="e">
        <f>VLOOKUP(Table1[Referral Source],Lists!$G$2:$H$20,2,FALSE)</f>
        <v>#N/A</v>
      </c>
      <c r="DZ537" s="93" t="e">
        <f>SUM(Table1[Data Referral Quarter]+Table1[Data Referral Source])</f>
        <v>#N/A</v>
      </c>
      <c r="EA537" s="44" t="b">
        <f>IF(Table1[Referral Decision]="Accepted",100,IF(Table1[Referral Decision]="Rejected by Provider",200,IF(Table1[Referral Decision]="Rejected by Applicant",300)))</f>
        <v>0</v>
      </c>
      <c r="EB537" s="44">
        <f>SUM(Table1[Data Referral Quarter]+Table1[Data Referral Decision])</f>
        <v>0</v>
      </c>
      <c r="EC537" s="44" t="b">
        <f>IF(Table1[Start Date]&gt;42735,8000,IF(Table1[Start Date]&gt;42643,7000,IF(Table1[Start Date]&gt;42551,6000,IF(Table1[Start Date]&gt;42460,5000,IF(Table1[Start Date]&gt;42369,4000,IF(Table1[Start Date]&gt;42277,3000,IF(Table1[Start Date]&gt;42185,2000,IF(Table1[Start Date]&gt;42094,1000))))))))</f>
        <v>0</v>
      </c>
      <c r="ED537" s="44" t="str">
        <f>IF(Table1[Start Date]="","",IF(Table1[Current Local Authority]="Swindon",1,"2"))</f>
        <v/>
      </c>
      <c r="EE537" s="44" t="e">
        <f>SUM(Table1[Data Start Date]+Table1[Data Local Authority])</f>
        <v>#VALUE!</v>
      </c>
      <c r="EF537" s="44">
        <f>IF(Table1[Registered with GP]="Yes",1,0)</f>
        <v>0</v>
      </c>
      <c r="EG537" s="44">
        <f>SUM(Table1[Data Start Date]+Table1[Data GP Start])</f>
        <v>0</v>
      </c>
      <c r="EH537" s="44" t="str">
        <f>IF(Table1[EET]="NEET",1,IF(Table1[EET]="Education",2,IF(Table1[EET]="Employment",2,IF(Table1[EET]="Training",2,IF(Table1[EET]="Retired",3,"")))))</f>
        <v/>
      </c>
      <c r="EI537" s="44" t="e">
        <f>Table1[Data Start Date]+Table1[Data EET Start]</f>
        <v>#VALUE!</v>
      </c>
      <c r="EJ537" s="44" t="b">
        <f>IF(Table1[Leaving Date]&gt;42735,8000,IF(Table1[Leaving Date]&gt;42643,7000,IF(Table1[Leaving Date]&gt;42551,6000,IF(Table1[Leaving Date]&gt;42460,5000,IF(Table1[Leaving Date]&gt;42369,4000,IF(Table1[Leaving Date]&gt;42277,3000,IF(Table1[Leaving Date]&gt;42185,2000,IF(Table1[Leaving Date]&gt;42094,1000))))))))</f>
        <v>0</v>
      </c>
      <c r="EK537" s="44" t="e">
        <f>VLOOKUP(Table1[Reason for Leaving],Lists!$T$2:$U$15,2,FALSE)</f>
        <v>#N/A</v>
      </c>
      <c r="EL537" s="44" t="e">
        <f>SUM(Table1[Data Leavers Date]+Table1[Data Move On])</f>
        <v>#N/A</v>
      </c>
      <c r="EM537" s="44" t="b">
        <f>IF(Table1[Registered with GP2]="Yes",1,IF(Table1[Registered with GP2]="No",0,IF(Table1[Registered with GP]="Yes",1,IF(Table1[Registered with GP]="No",0))))</f>
        <v>0</v>
      </c>
      <c r="EN537" s="44">
        <f>SUM(Table1[Data Leavers Date]+Table1[Data GP End])</f>
        <v>0</v>
      </c>
      <c r="EO537" s="44" t="str">
        <f>IF(Table1[EET2]="NEET",1,IF(Table1[EET2]="Employment",2,IF(Table1[EET2]="Education",2,IF(Table1[EET2]="Training",2,IF(Table1[EET2]="Retired",3,IF(Table1[EET]="NEET",1,IF(Table1[EET]="Employment",2,IF(Table1[EET]="Education",2,IF(Table1[EET]="Training",2,IF(Table1[EET]="Retired",3,""))))))))))</f>
        <v/>
      </c>
      <c r="EP537" s="44" t="e">
        <f>+Table1[[#This Row],[Data Leavers Date]]+Table1[[#This Row],[Data EET End]]</f>
        <v>#VALUE!</v>
      </c>
      <c r="EQ537" s="44">
        <f>IF(Table1[Exit Form Received]="Yes",1,0)</f>
        <v>0</v>
      </c>
      <c r="ER537" s="44">
        <f>+Table1[[#This Row],[Data Leavers Date]]+Table1[[#This Row],[Data Exit Forms]]</f>
        <v>0</v>
      </c>
      <c r="ES537" s="44" t="str">
        <f>IF(Table1[Data Leavers Date]=1000,SUM(Table1[Leaving Date]-Table1[Start Date]),"")</f>
        <v/>
      </c>
      <c r="ET537" s="44" t="str">
        <f>IF(Table1[Data Leavers Date]=2000,SUM(Table1[Leaving Date]-Table1[Start Date]),"")</f>
        <v/>
      </c>
      <c r="EU537" s="44" t="str">
        <f>IF(Table1[Data Leavers Date]=3000,SUM(Table1[Leaving Date]-Table1[Start Date]),"")</f>
        <v/>
      </c>
      <c r="EV537" s="44" t="str">
        <f>IF(Table1[Data Leavers Date]=4000,SUM(Table1[Leaving Date]-Table1[Start Date]),"")</f>
        <v/>
      </c>
      <c r="EW537" s="44" t="str">
        <f>IF(Table1[Data Leavers Date]=5000,SUM(Table1[Leaving Date]-Table1[Start Date]),"")</f>
        <v/>
      </c>
      <c r="EX537" s="44" t="str">
        <f>IF(Table1[Data Leavers Date]=6000,SUM(Table1[Leaving Date]-Table1[Start Date]),"")</f>
        <v/>
      </c>
      <c r="EY537" s="44" t="str">
        <f>IF(Table1[Data Leavers Date]=7000,SUM(Table1[Leaving Date]-Table1[Start Date]),"")</f>
        <v/>
      </c>
      <c r="EZ537" s="44" t="str">
        <f>IF(Table1[Data Leavers Date]=8000,SUM(Table1[Leaving Date]-Table1[Start Date]),"")</f>
        <v/>
      </c>
      <c r="FA537" s="44" t="str">
        <f>IF(Table1[Date of Initial Assessment]="","",IF(AND(Table1[Start Date]&gt;42094,Table1[Start Date]&lt;42461),Table1[Motivation and Taking Responsibility],""))</f>
        <v/>
      </c>
      <c r="FB537" s="44" t="str">
        <f>IF(Table1[Date of Initial Assessment]="","",IF(AND(Table1[Start Date]&gt;42094,Table1[Start Date]&lt;42461),Table1[Self-Care and Living Skills],""))</f>
        <v/>
      </c>
      <c r="FC537" s="44" t="str">
        <f>IF(Table1[Date of Initial Assessment]="","",IF(AND(Table1[Start Date]&gt;42094,Table1[Start Date]&lt;42461),Table1[Managing Money and Personal Administration],""))</f>
        <v/>
      </c>
      <c r="FD537" s="44" t="str">
        <f>IF(Table1[Date of Initial Assessment]="","",IF(AND(Table1[Start Date]&gt;42094,Table1[Start Date]&lt;42461),Table1[Social Networks and Relationships],""))</f>
        <v/>
      </c>
      <c r="FE537" s="44" t="str">
        <f>IF(Table1[Date of Initial Assessment]="","",IF(AND(Table1[Start Date]&gt;42094,Table1[Start Date]&lt;42461),Table1[Drug and Alcohol Misuse],""))</f>
        <v/>
      </c>
      <c r="FF537" s="44" t="str">
        <f>IF(Table1[Date of Initial Assessment]="","",IF(AND(Table1[Start Date]&gt;42094,Table1[Start Date]&lt;42461),Table1[Physical Health],""))</f>
        <v/>
      </c>
      <c r="FG537" s="44" t="str">
        <f>IF(Table1[Date of Initial Assessment]="","",IF(AND(Table1[Start Date]&gt;42094,Table1[Start Date]&lt;42461),Table1[Emotional and Mental Health],""))</f>
        <v/>
      </c>
      <c r="FH537" s="44" t="str">
        <f>IF(Table1[Date of Initial Assessment]="","",IF(AND(Table1[Start Date]&gt;42094,Table1[Start Date]&lt;42461),Table1[Meaningful Use of Time],""))</f>
        <v/>
      </c>
      <c r="FI537" s="44" t="str">
        <f>IF(Table1[Date of Initial Assessment]="","",IF(AND(Table1[Start Date]&gt;42094,Table1[Start Date]&lt;42461),Table1[Managing Tenancy and Accommodation],""))</f>
        <v/>
      </c>
      <c r="FJ537" s="44" t="str">
        <f>IF(Table1[Date of Initial Assessment]="","",IF(AND(Table1[Start Date]&gt;42094,Table1[Start Date]&lt;42461),Table1[Offending],""))</f>
        <v/>
      </c>
      <c r="FK537" s="44" t="str">
        <f>IF(Table1[Leaving Date]="","",IF(Table1[Date of Initial Assessment]="","",IF(AND(Table1[Leaving Date]&gt;42094,Table1[Leaving Date]&lt;42461),IF(Table1[Date of Last Assessment]="",Table1[Motivation and Taking Responsibility],Table1[Motivation and Taking Responsibility2]),"")))</f>
        <v/>
      </c>
      <c r="FL537" s="44" t="str">
        <f>IF(Table1[Leaving Date]="","",IF(Table1[Date of Initial Assessment]="","",IF(AND(Table1[Leaving Date]&gt;42094,Table1[Leaving Date]&lt;42461),IF(Table1[Date of Last Assessment]="",Table1[Self-Care and Living Skills],Table1[Self-Care and Living Skills2]),"")))</f>
        <v/>
      </c>
      <c r="FM537" s="44" t="str">
        <f>IF(Table1[Leaving Date]="","",IF(Table1[Date of Initial Assessment]="","",IF(AND(Table1[Leaving Date]&gt;42094,Table1[Leaving Date]&lt;42461),IF(Table1[Date of Last Assessment]="",Table1[Managing Money and Personal Administration],Table1[Managing Money and Personal Administration2]),"")))</f>
        <v/>
      </c>
      <c r="FN537" s="44" t="str">
        <f>IF(Table1[Leaving Date]="","",IF(Table1[Date of Initial Assessment]="","",IF(AND(Table1[Leaving Date]&gt;42094,Table1[Leaving Date]&lt;42461),IF(Table1[Date of Last Assessment]="",Table1[Social Networks and Relationships],Table1[Social Networks and Relationships2]),"")))</f>
        <v/>
      </c>
      <c r="FO537" s="44" t="str">
        <f>IF(Table1[Leaving Date]="","",IF(Table1[Date of Initial Assessment]="","",IF(AND(Table1[Leaving Date]&gt;42094,Table1[Leaving Date]&lt;42461),IF(Table1[Date of Last Assessment]="",Table1[Drug and Alcohol Misuse],Table1[Drug and Alcohol Misuse2]),"")))</f>
        <v/>
      </c>
      <c r="FP537" s="44" t="str">
        <f>IF(Table1[Leaving Date]="","",IF(Table1[Date of Initial Assessment]="","",IF(AND(Table1[Leaving Date]&gt;42094,Table1[Leaving Date]&lt;42461),IF(Table1[Date of Last Assessment]="",Table1[Physical Health],Table1[Physical Health2]),"")))</f>
        <v/>
      </c>
      <c r="FQ537" s="44" t="str">
        <f>IF(Table1[Leaving Date]="","",IF(Table1[Date of Initial Assessment]="","",IF(AND(Table1[Leaving Date]&gt;42094,Table1[Leaving Date]&lt;42461),IF(Table1[Date of Last Assessment]="",Table1[Emotional and Mental Health],Table1[Emotional and Mental Health2]),"")))</f>
        <v/>
      </c>
      <c r="FR537" s="44" t="str">
        <f>IF(Table1[Leaving Date]="","",IF(Table1[Date of Initial Assessment]="","",IF(AND(Table1[Leaving Date]&gt;42094,Table1[Leaving Date]&lt;42461),IF(Table1[Date of Last Assessment]="",Table1[Meaningful Use of Time],Table1[Meaningful Use of Time2]),"")))</f>
        <v/>
      </c>
      <c r="FS537" s="44" t="str">
        <f>IF(Table1[Leaving Date]="","",IF(Table1[Date of Initial Assessment]="","",IF(AND(Table1[Leaving Date]&gt;42094,Table1[Leaving Date]&lt;42461),IF(Table1[Date of Last Assessment]="",Table1[Managing Tenancy and Accommodation],Table1[Managing Tenancy and Accommodation2]),"")))</f>
        <v/>
      </c>
      <c r="FT537" s="44" t="str">
        <f>IF(Table1[Leaving Date]="","",IF(Table1[Date of Initial Assessment]="","",IF(AND(Table1[Leaving Date]&gt;42094,Table1[Leaving Date]&lt;42461),IF(Table1[Date of Last Assessment]="",Table1[Offending],Table1[Offending2]),"")))</f>
        <v/>
      </c>
      <c r="FU537" s="44" t="str">
        <f>IF(Table1[Date of Initial Assessment]="","",IF(AND(Table1[Start Date]&gt;42460,Table1[Start Date]&lt;42826),Table1[Motivation and Taking Responsibility],""))</f>
        <v/>
      </c>
      <c r="FV537" s="44" t="str">
        <f>IF(Table1[Date of Initial Assessment]="","",IF(AND(Table1[Start Date]&gt;42460,Table1[Start Date]&lt;42826),Table1[Self-Care and Living Skills],""))</f>
        <v/>
      </c>
      <c r="FW537" s="44" t="str">
        <f>IF(Table1[Date of Initial Assessment]="","",IF(AND(Table1[Start Date]&gt;42460,Table1[Start Date]&lt;42826),Table1[Managing Money and Personal Administration],""))</f>
        <v/>
      </c>
      <c r="FX537" s="44" t="str">
        <f>IF(Table1[Date of Initial Assessment]="","",IF(AND(Table1[Start Date]&gt;42460,Table1[Start Date]&lt;42826),Table1[Social Networks and Relationships],""))</f>
        <v/>
      </c>
      <c r="FY537" s="44" t="str">
        <f>IF(Table1[Date of Initial Assessment]="","",IF(AND(Table1[Start Date]&gt;42460,Table1[Start Date]&lt;42826),Table1[Drug and Alcohol Misuse],""))</f>
        <v/>
      </c>
      <c r="FZ537" s="44" t="str">
        <f>IF(Table1[Date of Initial Assessment]="","",IF(AND(Table1[Start Date]&gt;42460,Table1[Start Date]&lt;42826),Table1[Physical Health],""))</f>
        <v/>
      </c>
      <c r="GA537" s="44" t="str">
        <f>IF(Table1[Date of Initial Assessment]="","",IF(AND(Table1[Start Date]&gt;42460,Table1[Start Date]&lt;42826),Table1[Emotional and Mental Health],""))</f>
        <v/>
      </c>
      <c r="GB537" s="44" t="str">
        <f>IF(Table1[Date of Initial Assessment]="","",IF(AND(Table1[Start Date]&gt;42460,Table1[Start Date]&lt;42826),Table1[Meaningful Use of Time],""))</f>
        <v/>
      </c>
      <c r="GC537" s="44" t="str">
        <f>IF(Table1[Date of Initial Assessment]="","",IF(AND(Table1[Start Date]&gt;42460,Table1[Start Date]&lt;42826),Table1[Managing Tenancy and Accommodation],""))</f>
        <v/>
      </c>
      <c r="GD537" s="44" t="str">
        <f>IF(Table1[Date of Initial Assessment]="","",IF(AND(Table1[Start Date]&gt;42460,Table1[Start Date]&lt;42826),Table1[Offending],""))</f>
        <v/>
      </c>
      <c r="GE537" s="44" t="str">
        <f>IF(Table1[Leaving Date]="","",IF(AND(Table1[Leaving Date]&gt;42460,Table1[Leaving Date]&lt;42826),IF(Table1[Date of Last Assessment]="",Table1[Motivation and Taking Responsibility],Table1[Motivation and Taking Responsibility2]),""))</f>
        <v/>
      </c>
      <c r="GF537" s="44" t="str">
        <f>IF(Table1[Leaving Date]="","",IF(AND(Table1[Leaving Date]&gt;42460,Table1[Leaving Date]&lt;42826),IF(Table1[Date of Last Assessment]="",Table1[Self-Care and Living Skills],Table1[Self-Care and Living Skills2]),""))</f>
        <v/>
      </c>
      <c r="GG537" s="44" t="str">
        <f>IF(Table1[Leaving Date]="","",IF(AND(Table1[Leaving Date]&gt;42460,Table1[Leaving Date]&lt;42826),IF(Table1[Date of Last Assessment]="",Table1[Managing Money and Personal Administration],Table1[Managing Money and Personal Administration2]),""))</f>
        <v/>
      </c>
      <c r="GH537" s="44" t="str">
        <f>IF(Table1[Leaving Date]="","",IF(AND(Table1[Leaving Date]&gt;42460,Table1[Leaving Date]&lt;42826),IF(Table1[Date of Last Assessment]="",Table1[Social Networks and Relationships],Table1[Social Networks and Relationships2]),""))</f>
        <v/>
      </c>
      <c r="GI537" s="44" t="str">
        <f>IF(Table1[Leaving Date]="","",IF(AND(Table1[Leaving Date]&gt;42460,Table1[Leaving Date]&lt;42826),IF(Table1[Date of Last Assessment]="",Table1[Drug and Alcohol Misuse],Table1[Drug and Alcohol Misuse2]),""))</f>
        <v/>
      </c>
      <c r="GJ537" s="44" t="str">
        <f>IF(Table1[Leaving Date]="","",IF(AND(Table1[Leaving Date]&gt;42460,Table1[Leaving Date]&lt;42826),IF(Table1[Date of Last Assessment]="",Table1[Physical Health],Table1[Physical Health2]),""))</f>
        <v/>
      </c>
      <c r="GK537" s="44" t="str">
        <f>IF(Table1[Leaving Date]="","",IF(AND(Table1[Leaving Date]&gt;42460,Table1[Leaving Date]&lt;42826),IF(Table1[Date of Last Assessment]="",Table1[Emotional and Mental Health],Table1[Emotional and Mental Health2]),""))</f>
        <v/>
      </c>
      <c r="GL537" s="44" t="str">
        <f>IF(Table1[Leaving Date]="","",IF(AND(Table1[Leaving Date]&gt;42460,Table1[Leaving Date]&lt;42826),IF(Table1[Date of Last Assessment]="",Table1[Meaningful Use of Time],Table1[Meaningful Use of Time2]),""))</f>
        <v/>
      </c>
      <c r="GM537" s="44" t="str">
        <f>IF(Table1[Leaving Date]="","",IF(AND(Table1[Leaving Date]&gt;42460,Table1[Leaving Date]&lt;42826),IF(Table1[Date of Last Assessment]="",Table1[Managing Tenancy and Accommodation],Table1[Managing Tenancy and Accommodation2]),""))</f>
        <v/>
      </c>
      <c r="GN537" s="44" t="str">
        <f>IF(Table1[Leaving Date]="","",IF(AND(Table1[Leaving Date]&gt;42460,Table1[Leaving Date]&lt;42826),IF(Table1[Date of Last Assessment]="",Table1[Offending],Table1[Offending2]),""))</f>
        <v/>
      </c>
    </row>
    <row r="538" spans="2:196" ht="20.100000000000001" customHeight="1" x14ac:dyDescent="0.2">
      <c r="B538" s="86">
        <f>+'Service Data'!$C$5:$C$5</f>
        <v>0</v>
      </c>
      <c r="C538" s="86"/>
      <c r="D538" s="86"/>
      <c r="E538" s="86"/>
      <c r="F538" s="86"/>
      <c r="G538" s="86"/>
      <c r="H538" s="6"/>
      <c r="I538" s="99" t="str">
        <f ca="1">IF(Table1[[#This Row],[Date of Birth]]="","",SUM(TODAY()-Table1[[#This Row],[Date of Birth]])/365)</f>
        <v/>
      </c>
      <c r="L538" s="86"/>
      <c r="M538" s="77"/>
      <c r="N538" s="86"/>
      <c r="O538" s="86"/>
      <c r="P538" s="91"/>
      <c r="Q538" s="86"/>
      <c r="R538" s="77"/>
      <c r="S538" s="77"/>
      <c r="T538" s="68"/>
      <c r="U538" s="68"/>
      <c r="V538" s="67"/>
      <c r="W538" s="67"/>
      <c r="X538" s="67"/>
      <c r="Y538" s="67"/>
      <c r="Z538" s="67"/>
      <c r="AA538" s="67"/>
      <c r="AB538" s="67"/>
      <c r="AC538" s="67"/>
      <c r="AD538" s="67"/>
      <c r="AE538" s="67"/>
      <c r="AF538" s="67"/>
      <c r="AG538" s="67"/>
      <c r="AH538" s="67"/>
      <c r="AI538" s="67"/>
      <c r="AJ538" s="67"/>
      <c r="AK538" s="67"/>
      <c r="AL538" s="67"/>
      <c r="AM538" s="67"/>
      <c r="AN538" s="77"/>
      <c r="AO538" s="76"/>
      <c r="AP538" s="77"/>
      <c r="AQ538" s="76"/>
      <c r="AR538" s="76"/>
      <c r="AS538" s="76"/>
      <c r="AT538" s="76"/>
      <c r="AU538" s="76"/>
      <c r="AV538" s="77"/>
      <c r="AW538" s="76"/>
      <c r="AX538" s="77"/>
      <c r="AY538" s="76"/>
      <c r="AZ538" s="76"/>
      <c r="BA538" s="76"/>
      <c r="BB538" s="76"/>
      <c r="BC538" s="76"/>
      <c r="BD538" s="77"/>
      <c r="BE538" s="76"/>
      <c r="BF538" s="77"/>
      <c r="BG538" s="76"/>
      <c r="BH538" s="76"/>
      <c r="BI538" s="76"/>
      <c r="BJ538" s="76"/>
      <c r="BK538" s="76"/>
      <c r="BL538" s="77"/>
      <c r="BM538" s="76"/>
      <c r="BN538" s="77"/>
      <c r="BO538" s="76"/>
      <c r="BP538" s="76"/>
      <c r="BQ538" s="76"/>
      <c r="BR538" s="76"/>
      <c r="BS538" s="76"/>
      <c r="BT538" s="77"/>
      <c r="BU538" s="76"/>
      <c r="BV538" s="77"/>
      <c r="BW538" s="76"/>
      <c r="BX538" s="76"/>
      <c r="BY538" s="76"/>
      <c r="BZ538" s="76"/>
      <c r="CA538" s="76"/>
      <c r="CB538" s="77"/>
      <c r="CC538" s="76"/>
      <c r="CD538" s="77"/>
      <c r="CE538" s="76"/>
      <c r="CF538" s="76"/>
      <c r="CG538" s="76"/>
      <c r="CH538" s="76"/>
      <c r="CI538" s="76"/>
      <c r="CJ538" s="77"/>
      <c r="CK538" s="76"/>
      <c r="CL538" s="77"/>
      <c r="CM538" s="76"/>
      <c r="CN538" s="76"/>
      <c r="CO538" s="76"/>
      <c r="CP538" s="76"/>
      <c r="CQ538" s="76"/>
      <c r="CR538" s="78" t="str">
        <f t="shared" si="143"/>
        <v/>
      </c>
      <c r="CS538" s="79" t="str">
        <f t="shared" si="144"/>
        <v/>
      </c>
      <c r="CT538" s="79" t="str">
        <f t="shared" si="145"/>
        <v/>
      </c>
      <c r="CU538" s="79" t="str">
        <f t="shared" si="146"/>
        <v/>
      </c>
      <c r="CV538" s="79" t="str">
        <f t="shared" si="147"/>
        <v/>
      </c>
      <c r="CW538" s="79" t="str">
        <f t="shared" si="148"/>
        <v/>
      </c>
      <c r="CX538" s="79" t="str">
        <f t="shared" si="149"/>
        <v/>
      </c>
      <c r="CY538" s="79" t="str">
        <f t="shared" si="150"/>
        <v/>
      </c>
      <c r="CZ538" s="79" t="str">
        <f t="shared" si="151"/>
        <v/>
      </c>
      <c r="DA538" s="79" t="str">
        <f t="shared" si="152"/>
        <v/>
      </c>
      <c r="DB538" s="79" t="str">
        <f t="shared" si="153"/>
        <v/>
      </c>
      <c r="DC538" s="79" t="str">
        <f t="shared" si="154"/>
        <v/>
      </c>
      <c r="DD538" s="79" t="str">
        <f t="shared" si="155"/>
        <v/>
      </c>
      <c r="DE538" s="79" t="str">
        <f t="shared" si="156"/>
        <v/>
      </c>
      <c r="DF538" s="79" t="str">
        <f t="shared" si="157"/>
        <v/>
      </c>
      <c r="DG538" s="79" t="str">
        <f t="shared" si="158"/>
        <v/>
      </c>
      <c r="DH538" s="76"/>
      <c r="DI538" s="78"/>
      <c r="DJ538" s="76"/>
      <c r="DK538" s="77"/>
      <c r="DL538" s="77"/>
      <c r="DM538" s="77"/>
      <c r="DN538" s="80"/>
      <c r="DO538" s="80"/>
      <c r="DP538" s="92" t="str">
        <f>IF(Table1[Start Date]="","",IF(Table1[Start Date]&gt;42185,"",IF(AND(Table1[Leaving Date]&gt;1,Table1[Leaving Date]&lt;42095),"",1)))</f>
        <v/>
      </c>
      <c r="DQ538" s="92" t="str">
        <f>IF(Table1[Start Date]="","",IF(Table1[Start Date]&gt;42277,"",IF(AND(Table1[Leaving Date]&gt;1,Table1[Leaving Date]&lt;42186),"",1)))</f>
        <v/>
      </c>
      <c r="DR538" s="92" t="str">
        <f>IF(Table1[Start Date]="","",IF(Table1[Start Date]&gt;42369,"",IF(AND(Table1[Leaving Date]&gt;1,Table1[Leaving Date]&lt;42278),"",1)))</f>
        <v/>
      </c>
      <c r="DS538" s="92" t="str">
        <f>IF(Table1[Start Date]="","",IF(Table1[Start Date]&gt;42460,"",IF(AND(Table1[Leaving Date]&gt;1,Table1[Leaving Date]&lt;42370),"",1)))</f>
        <v/>
      </c>
      <c r="DT538" s="92" t="str">
        <f>IF(Table1[Start Date]="","",IF(Table1[Start Date]&gt;42551,"",IF(AND(Table1[Leaving Date]&gt;1,Table1[Leaving Date]&lt;42461),"",1)))</f>
        <v/>
      </c>
      <c r="DU538" s="92" t="str">
        <f>IF(Table1[Start Date]="","",IF(Table1[Start Date]&gt;42643,"",IF(AND(Table1[Leaving Date]&gt;1,Table1[Leaving Date]&lt;42552),"",1)))</f>
        <v/>
      </c>
      <c r="DV538" s="92" t="str">
        <f>IF(Table1[Start Date]="","",IF(Table1[Start Date]&gt;42735,"",IF(AND(Table1[Leaving Date]&gt;1,Table1[Leaving Date]&lt;42644),"",1)))</f>
        <v/>
      </c>
      <c r="DW538" s="92" t="str">
        <f>IF(Table1[Start Date]="","",IF(Table1[Start Date]&gt;42825,"",IF(AND(Table1[Leaving Date]&gt;1,Table1[Leaving Date]&lt;42736),"",1)))</f>
        <v/>
      </c>
      <c r="DX538"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538" s="44" t="e">
        <f>VLOOKUP(Table1[Referral Source],Lists!$G$2:$H$20,2,FALSE)</f>
        <v>#N/A</v>
      </c>
      <c r="DZ538" s="93" t="e">
        <f>SUM(Table1[Data Referral Quarter]+Table1[Data Referral Source])</f>
        <v>#N/A</v>
      </c>
      <c r="EA538" s="44" t="b">
        <f>IF(Table1[Referral Decision]="Accepted",100,IF(Table1[Referral Decision]="Rejected by Provider",200,IF(Table1[Referral Decision]="Rejected by Applicant",300)))</f>
        <v>0</v>
      </c>
      <c r="EB538" s="44">
        <f>SUM(Table1[Data Referral Quarter]+Table1[Data Referral Decision])</f>
        <v>0</v>
      </c>
      <c r="EC538" s="44" t="b">
        <f>IF(Table1[Start Date]&gt;42735,8000,IF(Table1[Start Date]&gt;42643,7000,IF(Table1[Start Date]&gt;42551,6000,IF(Table1[Start Date]&gt;42460,5000,IF(Table1[Start Date]&gt;42369,4000,IF(Table1[Start Date]&gt;42277,3000,IF(Table1[Start Date]&gt;42185,2000,IF(Table1[Start Date]&gt;42094,1000))))))))</f>
        <v>0</v>
      </c>
      <c r="ED538" s="44" t="str">
        <f>IF(Table1[Start Date]="","",IF(Table1[Current Local Authority]="Swindon",1,"2"))</f>
        <v/>
      </c>
      <c r="EE538" s="44" t="e">
        <f>SUM(Table1[Data Start Date]+Table1[Data Local Authority])</f>
        <v>#VALUE!</v>
      </c>
      <c r="EF538" s="44">
        <f>IF(Table1[Registered with GP]="Yes",1,0)</f>
        <v>0</v>
      </c>
      <c r="EG538" s="44">
        <f>SUM(Table1[Data Start Date]+Table1[Data GP Start])</f>
        <v>0</v>
      </c>
      <c r="EH538" s="44" t="str">
        <f>IF(Table1[EET]="NEET",1,IF(Table1[EET]="Education",2,IF(Table1[EET]="Employment",2,IF(Table1[EET]="Training",2,IF(Table1[EET]="Retired",3,"")))))</f>
        <v/>
      </c>
      <c r="EI538" s="44" t="e">
        <f>Table1[Data Start Date]+Table1[Data EET Start]</f>
        <v>#VALUE!</v>
      </c>
      <c r="EJ538" s="44" t="b">
        <f>IF(Table1[Leaving Date]&gt;42735,8000,IF(Table1[Leaving Date]&gt;42643,7000,IF(Table1[Leaving Date]&gt;42551,6000,IF(Table1[Leaving Date]&gt;42460,5000,IF(Table1[Leaving Date]&gt;42369,4000,IF(Table1[Leaving Date]&gt;42277,3000,IF(Table1[Leaving Date]&gt;42185,2000,IF(Table1[Leaving Date]&gt;42094,1000))))))))</f>
        <v>0</v>
      </c>
      <c r="EK538" s="44" t="e">
        <f>VLOOKUP(Table1[Reason for Leaving],Lists!$T$2:$U$15,2,FALSE)</f>
        <v>#N/A</v>
      </c>
      <c r="EL538" s="44" t="e">
        <f>SUM(Table1[Data Leavers Date]+Table1[Data Move On])</f>
        <v>#N/A</v>
      </c>
      <c r="EM538" s="44" t="b">
        <f>IF(Table1[Registered with GP2]="Yes",1,IF(Table1[Registered with GP2]="No",0,IF(Table1[Registered with GP]="Yes",1,IF(Table1[Registered with GP]="No",0))))</f>
        <v>0</v>
      </c>
      <c r="EN538" s="44">
        <f>SUM(Table1[Data Leavers Date]+Table1[Data GP End])</f>
        <v>0</v>
      </c>
      <c r="EO538" s="44" t="str">
        <f>IF(Table1[EET2]="NEET",1,IF(Table1[EET2]="Employment",2,IF(Table1[EET2]="Education",2,IF(Table1[EET2]="Training",2,IF(Table1[EET2]="Retired",3,IF(Table1[EET]="NEET",1,IF(Table1[EET]="Employment",2,IF(Table1[EET]="Education",2,IF(Table1[EET]="Training",2,IF(Table1[EET]="Retired",3,""))))))))))</f>
        <v/>
      </c>
      <c r="EP538" s="44" t="e">
        <f>+Table1[[#This Row],[Data Leavers Date]]+Table1[[#This Row],[Data EET End]]</f>
        <v>#VALUE!</v>
      </c>
      <c r="EQ538" s="44">
        <f>IF(Table1[Exit Form Received]="Yes",1,0)</f>
        <v>0</v>
      </c>
      <c r="ER538" s="44">
        <f>+Table1[[#This Row],[Data Leavers Date]]+Table1[[#This Row],[Data Exit Forms]]</f>
        <v>0</v>
      </c>
      <c r="ES538" s="44" t="str">
        <f>IF(Table1[Data Leavers Date]=1000,SUM(Table1[Leaving Date]-Table1[Start Date]),"")</f>
        <v/>
      </c>
      <c r="ET538" s="44" t="str">
        <f>IF(Table1[Data Leavers Date]=2000,SUM(Table1[Leaving Date]-Table1[Start Date]),"")</f>
        <v/>
      </c>
      <c r="EU538" s="44" t="str">
        <f>IF(Table1[Data Leavers Date]=3000,SUM(Table1[Leaving Date]-Table1[Start Date]),"")</f>
        <v/>
      </c>
      <c r="EV538" s="44" t="str">
        <f>IF(Table1[Data Leavers Date]=4000,SUM(Table1[Leaving Date]-Table1[Start Date]),"")</f>
        <v/>
      </c>
      <c r="EW538" s="44" t="str">
        <f>IF(Table1[Data Leavers Date]=5000,SUM(Table1[Leaving Date]-Table1[Start Date]),"")</f>
        <v/>
      </c>
      <c r="EX538" s="44" t="str">
        <f>IF(Table1[Data Leavers Date]=6000,SUM(Table1[Leaving Date]-Table1[Start Date]),"")</f>
        <v/>
      </c>
      <c r="EY538" s="44" t="str">
        <f>IF(Table1[Data Leavers Date]=7000,SUM(Table1[Leaving Date]-Table1[Start Date]),"")</f>
        <v/>
      </c>
      <c r="EZ538" s="44" t="str">
        <f>IF(Table1[Data Leavers Date]=8000,SUM(Table1[Leaving Date]-Table1[Start Date]),"")</f>
        <v/>
      </c>
      <c r="FA538" s="44" t="str">
        <f>IF(Table1[Date of Initial Assessment]="","",IF(AND(Table1[Start Date]&gt;42094,Table1[Start Date]&lt;42461),Table1[Motivation and Taking Responsibility],""))</f>
        <v/>
      </c>
      <c r="FB538" s="44" t="str">
        <f>IF(Table1[Date of Initial Assessment]="","",IF(AND(Table1[Start Date]&gt;42094,Table1[Start Date]&lt;42461),Table1[Self-Care and Living Skills],""))</f>
        <v/>
      </c>
      <c r="FC538" s="44" t="str">
        <f>IF(Table1[Date of Initial Assessment]="","",IF(AND(Table1[Start Date]&gt;42094,Table1[Start Date]&lt;42461),Table1[Managing Money and Personal Administration],""))</f>
        <v/>
      </c>
      <c r="FD538" s="44" t="str">
        <f>IF(Table1[Date of Initial Assessment]="","",IF(AND(Table1[Start Date]&gt;42094,Table1[Start Date]&lt;42461),Table1[Social Networks and Relationships],""))</f>
        <v/>
      </c>
      <c r="FE538" s="44" t="str">
        <f>IF(Table1[Date of Initial Assessment]="","",IF(AND(Table1[Start Date]&gt;42094,Table1[Start Date]&lt;42461),Table1[Drug and Alcohol Misuse],""))</f>
        <v/>
      </c>
      <c r="FF538" s="44" t="str">
        <f>IF(Table1[Date of Initial Assessment]="","",IF(AND(Table1[Start Date]&gt;42094,Table1[Start Date]&lt;42461),Table1[Physical Health],""))</f>
        <v/>
      </c>
      <c r="FG538" s="44" t="str">
        <f>IF(Table1[Date of Initial Assessment]="","",IF(AND(Table1[Start Date]&gt;42094,Table1[Start Date]&lt;42461),Table1[Emotional and Mental Health],""))</f>
        <v/>
      </c>
      <c r="FH538" s="44" t="str">
        <f>IF(Table1[Date of Initial Assessment]="","",IF(AND(Table1[Start Date]&gt;42094,Table1[Start Date]&lt;42461),Table1[Meaningful Use of Time],""))</f>
        <v/>
      </c>
      <c r="FI538" s="44" t="str">
        <f>IF(Table1[Date of Initial Assessment]="","",IF(AND(Table1[Start Date]&gt;42094,Table1[Start Date]&lt;42461),Table1[Managing Tenancy and Accommodation],""))</f>
        <v/>
      </c>
      <c r="FJ538" s="44" t="str">
        <f>IF(Table1[Date of Initial Assessment]="","",IF(AND(Table1[Start Date]&gt;42094,Table1[Start Date]&lt;42461),Table1[Offending],""))</f>
        <v/>
      </c>
      <c r="FK538" s="44" t="str">
        <f>IF(Table1[Leaving Date]="","",IF(Table1[Date of Initial Assessment]="","",IF(AND(Table1[Leaving Date]&gt;42094,Table1[Leaving Date]&lt;42461),IF(Table1[Date of Last Assessment]="",Table1[Motivation and Taking Responsibility],Table1[Motivation and Taking Responsibility2]),"")))</f>
        <v/>
      </c>
      <c r="FL538" s="44" t="str">
        <f>IF(Table1[Leaving Date]="","",IF(Table1[Date of Initial Assessment]="","",IF(AND(Table1[Leaving Date]&gt;42094,Table1[Leaving Date]&lt;42461),IF(Table1[Date of Last Assessment]="",Table1[Self-Care and Living Skills],Table1[Self-Care and Living Skills2]),"")))</f>
        <v/>
      </c>
      <c r="FM538" s="44" t="str">
        <f>IF(Table1[Leaving Date]="","",IF(Table1[Date of Initial Assessment]="","",IF(AND(Table1[Leaving Date]&gt;42094,Table1[Leaving Date]&lt;42461),IF(Table1[Date of Last Assessment]="",Table1[Managing Money and Personal Administration],Table1[Managing Money and Personal Administration2]),"")))</f>
        <v/>
      </c>
      <c r="FN538" s="44" t="str">
        <f>IF(Table1[Leaving Date]="","",IF(Table1[Date of Initial Assessment]="","",IF(AND(Table1[Leaving Date]&gt;42094,Table1[Leaving Date]&lt;42461),IF(Table1[Date of Last Assessment]="",Table1[Social Networks and Relationships],Table1[Social Networks and Relationships2]),"")))</f>
        <v/>
      </c>
      <c r="FO538" s="44" t="str">
        <f>IF(Table1[Leaving Date]="","",IF(Table1[Date of Initial Assessment]="","",IF(AND(Table1[Leaving Date]&gt;42094,Table1[Leaving Date]&lt;42461),IF(Table1[Date of Last Assessment]="",Table1[Drug and Alcohol Misuse],Table1[Drug and Alcohol Misuse2]),"")))</f>
        <v/>
      </c>
      <c r="FP538" s="44" t="str">
        <f>IF(Table1[Leaving Date]="","",IF(Table1[Date of Initial Assessment]="","",IF(AND(Table1[Leaving Date]&gt;42094,Table1[Leaving Date]&lt;42461),IF(Table1[Date of Last Assessment]="",Table1[Physical Health],Table1[Physical Health2]),"")))</f>
        <v/>
      </c>
      <c r="FQ538" s="44" t="str">
        <f>IF(Table1[Leaving Date]="","",IF(Table1[Date of Initial Assessment]="","",IF(AND(Table1[Leaving Date]&gt;42094,Table1[Leaving Date]&lt;42461),IF(Table1[Date of Last Assessment]="",Table1[Emotional and Mental Health],Table1[Emotional and Mental Health2]),"")))</f>
        <v/>
      </c>
      <c r="FR538" s="44" t="str">
        <f>IF(Table1[Leaving Date]="","",IF(Table1[Date of Initial Assessment]="","",IF(AND(Table1[Leaving Date]&gt;42094,Table1[Leaving Date]&lt;42461),IF(Table1[Date of Last Assessment]="",Table1[Meaningful Use of Time],Table1[Meaningful Use of Time2]),"")))</f>
        <v/>
      </c>
      <c r="FS538" s="44" t="str">
        <f>IF(Table1[Leaving Date]="","",IF(Table1[Date of Initial Assessment]="","",IF(AND(Table1[Leaving Date]&gt;42094,Table1[Leaving Date]&lt;42461),IF(Table1[Date of Last Assessment]="",Table1[Managing Tenancy and Accommodation],Table1[Managing Tenancy and Accommodation2]),"")))</f>
        <v/>
      </c>
      <c r="FT538" s="44" t="str">
        <f>IF(Table1[Leaving Date]="","",IF(Table1[Date of Initial Assessment]="","",IF(AND(Table1[Leaving Date]&gt;42094,Table1[Leaving Date]&lt;42461),IF(Table1[Date of Last Assessment]="",Table1[Offending],Table1[Offending2]),"")))</f>
        <v/>
      </c>
      <c r="FU538" s="44" t="str">
        <f>IF(Table1[Date of Initial Assessment]="","",IF(AND(Table1[Start Date]&gt;42460,Table1[Start Date]&lt;42826),Table1[Motivation and Taking Responsibility],""))</f>
        <v/>
      </c>
      <c r="FV538" s="44" t="str">
        <f>IF(Table1[Date of Initial Assessment]="","",IF(AND(Table1[Start Date]&gt;42460,Table1[Start Date]&lt;42826),Table1[Self-Care and Living Skills],""))</f>
        <v/>
      </c>
      <c r="FW538" s="44" t="str">
        <f>IF(Table1[Date of Initial Assessment]="","",IF(AND(Table1[Start Date]&gt;42460,Table1[Start Date]&lt;42826),Table1[Managing Money and Personal Administration],""))</f>
        <v/>
      </c>
      <c r="FX538" s="44" t="str">
        <f>IF(Table1[Date of Initial Assessment]="","",IF(AND(Table1[Start Date]&gt;42460,Table1[Start Date]&lt;42826),Table1[Social Networks and Relationships],""))</f>
        <v/>
      </c>
      <c r="FY538" s="44" t="str">
        <f>IF(Table1[Date of Initial Assessment]="","",IF(AND(Table1[Start Date]&gt;42460,Table1[Start Date]&lt;42826),Table1[Drug and Alcohol Misuse],""))</f>
        <v/>
      </c>
      <c r="FZ538" s="44" t="str">
        <f>IF(Table1[Date of Initial Assessment]="","",IF(AND(Table1[Start Date]&gt;42460,Table1[Start Date]&lt;42826),Table1[Physical Health],""))</f>
        <v/>
      </c>
      <c r="GA538" s="44" t="str">
        <f>IF(Table1[Date of Initial Assessment]="","",IF(AND(Table1[Start Date]&gt;42460,Table1[Start Date]&lt;42826),Table1[Emotional and Mental Health],""))</f>
        <v/>
      </c>
      <c r="GB538" s="44" t="str">
        <f>IF(Table1[Date of Initial Assessment]="","",IF(AND(Table1[Start Date]&gt;42460,Table1[Start Date]&lt;42826),Table1[Meaningful Use of Time],""))</f>
        <v/>
      </c>
      <c r="GC538" s="44" t="str">
        <f>IF(Table1[Date of Initial Assessment]="","",IF(AND(Table1[Start Date]&gt;42460,Table1[Start Date]&lt;42826),Table1[Managing Tenancy and Accommodation],""))</f>
        <v/>
      </c>
      <c r="GD538" s="44" t="str">
        <f>IF(Table1[Date of Initial Assessment]="","",IF(AND(Table1[Start Date]&gt;42460,Table1[Start Date]&lt;42826),Table1[Offending],""))</f>
        <v/>
      </c>
      <c r="GE538" s="44" t="str">
        <f>IF(Table1[Leaving Date]="","",IF(AND(Table1[Leaving Date]&gt;42460,Table1[Leaving Date]&lt;42826),IF(Table1[Date of Last Assessment]="",Table1[Motivation and Taking Responsibility],Table1[Motivation and Taking Responsibility2]),""))</f>
        <v/>
      </c>
      <c r="GF538" s="44" t="str">
        <f>IF(Table1[Leaving Date]="","",IF(AND(Table1[Leaving Date]&gt;42460,Table1[Leaving Date]&lt;42826),IF(Table1[Date of Last Assessment]="",Table1[Self-Care and Living Skills],Table1[Self-Care and Living Skills2]),""))</f>
        <v/>
      </c>
      <c r="GG538" s="44" t="str">
        <f>IF(Table1[Leaving Date]="","",IF(AND(Table1[Leaving Date]&gt;42460,Table1[Leaving Date]&lt;42826),IF(Table1[Date of Last Assessment]="",Table1[Managing Money and Personal Administration],Table1[Managing Money and Personal Administration2]),""))</f>
        <v/>
      </c>
      <c r="GH538" s="44" t="str">
        <f>IF(Table1[Leaving Date]="","",IF(AND(Table1[Leaving Date]&gt;42460,Table1[Leaving Date]&lt;42826),IF(Table1[Date of Last Assessment]="",Table1[Social Networks and Relationships],Table1[Social Networks and Relationships2]),""))</f>
        <v/>
      </c>
      <c r="GI538" s="44" t="str">
        <f>IF(Table1[Leaving Date]="","",IF(AND(Table1[Leaving Date]&gt;42460,Table1[Leaving Date]&lt;42826),IF(Table1[Date of Last Assessment]="",Table1[Drug and Alcohol Misuse],Table1[Drug and Alcohol Misuse2]),""))</f>
        <v/>
      </c>
      <c r="GJ538" s="44" t="str">
        <f>IF(Table1[Leaving Date]="","",IF(AND(Table1[Leaving Date]&gt;42460,Table1[Leaving Date]&lt;42826),IF(Table1[Date of Last Assessment]="",Table1[Physical Health],Table1[Physical Health2]),""))</f>
        <v/>
      </c>
      <c r="GK538" s="44" t="str">
        <f>IF(Table1[Leaving Date]="","",IF(AND(Table1[Leaving Date]&gt;42460,Table1[Leaving Date]&lt;42826),IF(Table1[Date of Last Assessment]="",Table1[Emotional and Mental Health],Table1[Emotional and Mental Health2]),""))</f>
        <v/>
      </c>
      <c r="GL538" s="44" t="str">
        <f>IF(Table1[Leaving Date]="","",IF(AND(Table1[Leaving Date]&gt;42460,Table1[Leaving Date]&lt;42826),IF(Table1[Date of Last Assessment]="",Table1[Meaningful Use of Time],Table1[Meaningful Use of Time2]),""))</f>
        <v/>
      </c>
      <c r="GM538" s="44" t="str">
        <f>IF(Table1[Leaving Date]="","",IF(AND(Table1[Leaving Date]&gt;42460,Table1[Leaving Date]&lt;42826),IF(Table1[Date of Last Assessment]="",Table1[Managing Tenancy and Accommodation],Table1[Managing Tenancy and Accommodation2]),""))</f>
        <v/>
      </c>
      <c r="GN538" s="44" t="str">
        <f>IF(Table1[Leaving Date]="","",IF(AND(Table1[Leaving Date]&gt;42460,Table1[Leaving Date]&lt;42826),IF(Table1[Date of Last Assessment]="",Table1[Offending],Table1[Offending2]),""))</f>
        <v/>
      </c>
    </row>
    <row r="539" spans="2:196" ht="20.100000000000001" customHeight="1" x14ac:dyDescent="0.2">
      <c r="B539" s="86">
        <f>+'Service Data'!$C$5:$C$5</f>
        <v>0</v>
      </c>
      <c r="C539" s="86"/>
      <c r="D539" s="86"/>
      <c r="E539" s="86"/>
      <c r="F539" s="86"/>
      <c r="G539" s="86"/>
      <c r="H539" s="6"/>
      <c r="I539" s="99" t="str">
        <f ca="1">IF(Table1[[#This Row],[Date of Birth]]="","",SUM(TODAY()-Table1[[#This Row],[Date of Birth]])/365)</f>
        <v/>
      </c>
      <c r="L539" s="86"/>
      <c r="M539" s="77"/>
      <c r="N539" s="86"/>
      <c r="O539" s="86"/>
      <c r="P539" s="91"/>
      <c r="Q539" s="86"/>
      <c r="R539" s="77"/>
      <c r="S539" s="77"/>
      <c r="T539" s="68"/>
      <c r="U539" s="68"/>
      <c r="V539" s="67"/>
      <c r="W539" s="67"/>
      <c r="X539" s="67"/>
      <c r="Y539" s="67"/>
      <c r="Z539" s="67"/>
      <c r="AA539" s="67"/>
      <c r="AB539" s="67"/>
      <c r="AC539" s="67"/>
      <c r="AD539" s="67"/>
      <c r="AE539" s="67"/>
      <c r="AF539" s="67"/>
      <c r="AG539" s="67"/>
      <c r="AH539" s="67"/>
      <c r="AI539" s="67"/>
      <c r="AJ539" s="67"/>
      <c r="AK539" s="67"/>
      <c r="AL539" s="67"/>
      <c r="AM539" s="67"/>
      <c r="AN539" s="77"/>
      <c r="AO539" s="76"/>
      <c r="AP539" s="77"/>
      <c r="AQ539" s="76"/>
      <c r="AR539" s="76"/>
      <c r="AS539" s="76"/>
      <c r="AT539" s="76"/>
      <c r="AU539" s="76"/>
      <c r="AV539" s="77"/>
      <c r="AW539" s="76"/>
      <c r="AX539" s="77"/>
      <c r="AY539" s="76"/>
      <c r="AZ539" s="76"/>
      <c r="BA539" s="76"/>
      <c r="BB539" s="76"/>
      <c r="BC539" s="76"/>
      <c r="BD539" s="77"/>
      <c r="BE539" s="76"/>
      <c r="BF539" s="77"/>
      <c r="BG539" s="76"/>
      <c r="BH539" s="76"/>
      <c r="BI539" s="76"/>
      <c r="BJ539" s="76"/>
      <c r="BK539" s="76"/>
      <c r="BL539" s="77"/>
      <c r="BM539" s="76"/>
      <c r="BN539" s="77"/>
      <c r="BO539" s="76"/>
      <c r="BP539" s="76"/>
      <c r="BQ539" s="76"/>
      <c r="BR539" s="76"/>
      <c r="BS539" s="76"/>
      <c r="BT539" s="77"/>
      <c r="BU539" s="76"/>
      <c r="BV539" s="77"/>
      <c r="BW539" s="76"/>
      <c r="BX539" s="76"/>
      <c r="BY539" s="76"/>
      <c r="BZ539" s="76"/>
      <c r="CA539" s="76"/>
      <c r="CB539" s="77"/>
      <c r="CC539" s="76"/>
      <c r="CD539" s="77"/>
      <c r="CE539" s="76"/>
      <c r="CF539" s="76"/>
      <c r="CG539" s="76"/>
      <c r="CH539" s="76"/>
      <c r="CI539" s="76"/>
      <c r="CJ539" s="77"/>
      <c r="CK539" s="76"/>
      <c r="CL539" s="77"/>
      <c r="CM539" s="76"/>
      <c r="CN539" s="76"/>
      <c r="CO539" s="76"/>
      <c r="CP539" s="76"/>
      <c r="CQ539" s="76"/>
      <c r="CR539" s="78" t="str">
        <f t="shared" si="143"/>
        <v/>
      </c>
      <c r="CS539" s="79" t="str">
        <f t="shared" si="144"/>
        <v/>
      </c>
      <c r="CT539" s="79" t="str">
        <f t="shared" si="145"/>
        <v/>
      </c>
      <c r="CU539" s="79" t="str">
        <f t="shared" si="146"/>
        <v/>
      </c>
      <c r="CV539" s="79" t="str">
        <f t="shared" si="147"/>
        <v/>
      </c>
      <c r="CW539" s="79" t="str">
        <f t="shared" si="148"/>
        <v/>
      </c>
      <c r="CX539" s="79" t="str">
        <f t="shared" si="149"/>
        <v/>
      </c>
      <c r="CY539" s="79" t="str">
        <f t="shared" si="150"/>
        <v/>
      </c>
      <c r="CZ539" s="79" t="str">
        <f t="shared" si="151"/>
        <v/>
      </c>
      <c r="DA539" s="79" t="str">
        <f t="shared" si="152"/>
        <v/>
      </c>
      <c r="DB539" s="79" t="str">
        <f t="shared" si="153"/>
        <v/>
      </c>
      <c r="DC539" s="79" t="str">
        <f t="shared" si="154"/>
        <v/>
      </c>
      <c r="DD539" s="79" t="str">
        <f t="shared" si="155"/>
        <v/>
      </c>
      <c r="DE539" s="79" t="str">
        <f t="shared" si="156"/>
        <v/>
      </c>
      <c r="DF539" s="79" t="str">
        <f t="shared" si="157"/>
        <v/>
      </c>
      <c r="DG539" s="79" t="str">
        <f t="shared" si="158"/>
        <v/>
      </c>
      <c r="DH539" s="76"/>
      <c r="DI539" s="78"/>
      <c r="DJ539" s="76"/>
      <c r="DK539" s="77"/>
      <c r="DL539" s="77"/>
      <c r="DM539" s="77"/>
      <c r="DN539" s="80"/>
      <c r="DO539" s="80"/>
      <c r="DP539" s="92" t="str">
        <f>IF(Table1[Start Date]="","",IF(Table1[Start Date]&gt;42185,"",IF(AND(Table1[Leaving Date]&gt;1,Table1[Leaving Date]&lt;42095),"",1)))</f>
        <v/>
      </c>
      <c r="DQ539" s="92" t="str">
        <f>IF(Table1[Start Date]="","",IF(Table1[Start Date]&gt;42277,"",IF(AND(Table1[Leaving Date]&gt;1,Table1[Leaving Date]&lt;42186),"",1)))</f>
        <v/>
      </c>
      <c r="DR539" s="92" t="str">
        <f>IF(Table1[Start Date]="","",IF(Table1[Start Date]&gt;42369,"",IF(AND(Table1[Leaving Date]&gt;1,Table1[Leaving Date]&lt;42278),"",1)))</f>
        <v/>
      </c>
      <c r="DS539" s="92" t="str">
        <f>IF(Table1[Start Date]="","",IF(Table1[Start Date]&gt;42460,"",IF(AND(Table1[Leaving Date]&gt;1,Table1[Leaving Date]&lt;42370),"",1)))</f>
        <v/>
      </c>
      <c r="DT539" s="92" t="str">
        <f>IF(Table1[Start Date]="","",IF(Table1[Start Date]&gt;42551,"",IF(AND(Table1[Leaving Date]&gt;1,Table1[Leaving Date]&lt;42461),"",1)))</f>
        <v/>
      </c>
      <c r="DU539" s="92" t="str">
        <f>IF(Table1[Start Date]="","",IF(Table1[Start Date]&gt;42643,"",IF(AND(Table1[Leaving Date]&gt;1,Table1[Leaving Date]&lt;42552),"",1)))</f>
        <v/>
      </c>
      <c r="DV539" s="92" t="str">
        <f>IF(Table1[Start Date]="","",IF(Table1[Start Date]&gt;42735,"",IF(AND(Table1[Leaving Date]&gt;1,Table1[Leaving Date]&lt;42644),"",1)))</f>
        <v/>
      </c>
      <c r="DW539" s="92" t="str">
        <f>IF(Table1[Start Date]="","",IF(Table1[Start Date]&gt;42825,"",IF(AND(Table1[Leaving Date]&gt;1,Table1[Leaving Date]&lt;42736),"",1)))</f>
        <v/>
      </c>
      <c r="DX539"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539" s="44" t="e">
        <f>VLOOKUP(Table1[Referral Source],Lists!$G$2:$H$20,2,FALSE)</f>
        <v>#N/A</v>
      </c>
      <c r="DZ539" s="93" t="e">
        <f>SUM(Table1[Data Referral Quarter]+Table1[Data Referral Source])</f>
        <v>#N/A</v>
      </c>
      <c r="EA539" s="44" t="b">
        <f>IF(Table1[Referral Decision]="Accepted",100,IF(Table1[Referral Decision]="Rejected by Provider",200,IF(Table1[Referral Decision]="Rejected by Applicant",300)))</f>
        <v>0</v>
      </c>
      <c r="EB539" s="44">
        <f>SUM(Table1[Data Referral Quarter]+Table1[Data Referral Decision])</f>
        <v>0</v>
      </c>
      <c r="EC539" s="44" t="b">
        <f>IF(Table1[Start Date]&gt;42735,8000,IF(Table1[Start Date]&gt;42643,7000,IF(Table1[Start Date]&gt;42551,6000,IF(Table1[Start Date]&gt;42460,5000,IF(Table1[Start Date]&gt;42369,4000,IF(Table1[Start Date]&gt;42277,3000,IF(Table1[Start Date]&gt;42185,2000,IF(Table1[Start Date]&gt;42094,1000))))))))</f>
        <v>0</v>
      </c>
      <c r="ED539" s="44" t="str">
        <f>IF(Table1[Start Date]="","",IF(Table1[Current Local Authority]="Swindon",1,"2"))</f>
        <v/>
      </c>
      <c r="EE539" s="44" t="e">
        <f>SUM(Table1[Data Start Date]+Table1[Data Local Authority])</f>
        <v>#VALUE!</v>
      </c>
      <c r="EF539" s="44">
        <f>IF(Table1[Registered with GP]="Yes",1,0)</f>
        <v>0</v>
      </c>
      <c r="EG539" s="44">
        <f>SUM(Table1[Data Start Date]+Table1[Data GP Start])</f>
        <v>0</v>
      </c>
      <c r="EH539" s="44" t="str">
        <f>IF(Table1[EET]="NEET",1,IF(Table1[EET]="Education",2,IF(Table1[EET]="Employment",2,IF(Table1[EET]="Training",2,IF(Table1[EET]="Retired",3,"")))))</f>
        <v/>
      </c>
      <c r="EI539" s="44" t="e">
        <f>Table1[Data Start Date]+Table1[Data EET Start]</f>
        <v>#VALUE!</v>
      </c>
      <c r="EJ539" s="44" t="b">
        <f>IF(Table1[Leaving Date]&gt;42735,8000,IF(Table1[Leaving Date]&gt;42643,7000,IF(Table1[Leaving Date]&gt;42551,6000,IF(Table1[Leaving Date]&gt;42460,5000,IF(Table1[Leaving Date]&gt;42369,4000,IF(Table1[Leaving Date]&gt;42277,3000,IF(Table1[Leaving Date]&gt;42185,2000,IF(Table1[Leaving Date]&gt;42094,1000))))))))</f>
        <v>0</v>
      </c>
      <c r="EK539" s="44" t="e">
        <f>VLOOKUP(Table1[Reason for Leaving],Lists!$T$2:$U$15,2,FALSE)</f>
        <v>#N/A</v>
      </c>
      <c r="EL539" s="44" t="e">
        <f>SUM(Table1[Data Leavers Date]+Table1[Data Move On])</f>
        <v>#N/A</v>
      </c>
      <c r="EM539" s="44" t="b">
        <f>IF(Table1[Registered with GP2]="Yes",1,IF(Table1[Registered with GP2]="No",0,IF(Table1[Registered with GP]="Yes",1,IF(Table1[Registered with GP]="No",0))))</f>
        <v>0</v>
      </c>
      <c r="EN539" s="44">
        <f>SUM(Table1[Data Leavers Date]+Table1[Data GP End])</f>
        <v>0</v>
      </c>
      <c r="EO539" s="44" t="str">
        <f>IF(Table1[EET2]="NEET",1,IF(Table1[EET2]="Employment",2,IF(Table1[EET2]="Education",2,IF(Table1[EET2]="Training",2,IF(Table1[EET2]="Retired",3,IF(Table1[EET]="NEET",1,IF(Table1[EET]="Employment",2,IF(Table1[EET]="Education",2,IF(Table1[EET]="Training",2,IF(Table1[EET]="Retired",3,""))))))))))</f>
        <v/>
      </c>
      <c r="EP539" s="44" t="e">
        <f>+Table1[[#This Row],[Data Leavers Date]]+Table1[[#This Row],[Data EET End]]</f>
        <v>#VALUE!</v>
      </c>
      <c r="EQ539" s="44">
        <f>IF(Table1[Exit Form Received]="Yes",1,0)</f>
        <v>0</v>
      </c>
      <c r="ER539" s="44">
        <f>+Table1[[#This Row],[Data Leavers Date]]+Table1[[#This Row],[Data Exit Forms]]</f>
        <v>0</v>
      </c>
      <c r="ES539" s="44" t="str">
        <f>IF(Table1[Data Leavers Date]=1000,SUM(Table1[Leaving Date]-Table1[Start Date]),"")</f>
        <v/>
      </c>
      <c r="ET539" s="44" t="str">
        <f>IF(Table1[Data Leavers Date]=2000,SUM(Table1[Leaving Date]-Table1[Start Date]),"")</f>
        <v/>
      </c>
      <c r="EU539" s="44" t="str">
        <f>IF(Table1[Data Leavers Date]=3000,SUM(Table1[Leaving Date]-Table1[Start Date]),"")</f>
        <v/>
      </c>
      <c r="EV539" s="44" t="str">
        <f>IF(Table1[Data Leavers Date]=4000,SUM(Table1[Leaving Date]-Table1[Start Date]),"")</f>
        <v/>
      </c>
      <c r="EW539" s="44" t="str">
        <f>IF(Table1[Data Leavers Date]=5000,SUM(Table1[Leaving Date]-Table1[Start Date]),"")</f>
        <v/>
      </c>
      <c r="EX539" s="44" t="str">
        <f>IF(Table1[Data Leavers Date]=6000,SUM(Table1[Leaving Date]-Table1[Start Date]),"")</f>
        <v/>
      </c>
      <c r="EY539" s="44" t="str">
        <f>IF(Table1[Data Leavers Date]=7000,SUM(Table1[Leaving Date]-Table1[Start Date]),"")</f>
        <v/>
      </c>
      <c r="EZ539" s="44" t="str">
        <f>IF(Table1[Data Leavers Date]=8000,SUM(Table1[Leaving Date]-Table1[Start Date]),"")</f>
        <v/>
      </c>
      <c r="FA539" s="44" t="str">
        <f>IF(Table1[Date of Initial Assessment]="","",IF(AND(Table1[Start Date]&gt;42094,Table1[Start Date]&lt;42461),Table1[Motivation and Taking Responsibility],""))</f>
        <v/>
      </c>
      <c r="FB539" s="44" t="str">
        <f>IF(Table1[Date of Initial Assessment]="","",IF(AND(Table1[Start Date]&gt;42094,Table1[Start Date]&lt;42461),Table1[Self-Care and Living Skills],""))</f>
        <v/>
      </c>
      <c r="FC539" s="44" t="str">
        <f>IF(Table1[Date of Initial Assessment]="","",IF(AND(Table1[Start Date]&gt;42094,Table1[Start Date]&lt;42461),Table1[Managing Money and Personal Administration],""))</f>
        <v/>
      </c>
      <c r="FD539" s="44" t="str">
        <f>IF(Table1[Date of Initial Assessment]="","",IF(AND(Table1[Start Date]&gt;42094,Table1[Start Date]&lt;42461),Table1[Social Networks and Relationships],""))</f>
        <v/>
      </c>
      <c r="FE539" s="44" t="str">
        <f>IF(Table1[Date of Initial Assessment]="","",IF(AND(Table1[Start Date]&gt;42094,Table1[Start Date]&lt;42461),Table1[Drug and Alcohol Misuse],""))</f>
        <v/>
      </c>
      <c r="FF539" s="44" t="str">
        <f>IF(Table1[Date of Initial Assessment]="","",IF(AND(Table1[Start Date]&gt;42094,Table1[Start Date]&lt;42461),Table1[Physical Health],""))</f>
        <v/>
      </c>
      <c r="FG539" s="44" t="str">
        <f>IF(Table1[Date of Initial Assessment]="","",IF(AND(Table1[Start Date]&gt;42094,Table1[Start Date]&lt;42461),Table1[Emotional and Mental Health],""))</f>
        <v/>
      </c>
      <c r="FH539" s="44" t="str">
        <f>IF(Table1[Date of Initial Assessment]="","",IF(AND(Table1[Start Date]&gt;42094,Table1[Start Date]&lt;42461),Table1[Meaningful Use of Time],""))</f>
        <v/>
      </c>
      <c r="FI539" s="44" t="str">
        <f>IF(Table1[Date of Initial Assessment]="","",IF(AND(Table1[Start Date]&gt;42094,Table1[Start Date]&lt;42461),Table1[Managing Tenancy and Accommodation],""))</f>
        <v/>
      </c>
      <c r="FJ539" s="44" t="str">
        <f>IF(Table1[Date of Initial Assessment]="","",IF(AND(Table1[Start Date]&gt;42094,Table1[Start Date]&lt;42461),Table1[Offending],""))</f>
        <v/>
      </c>
      <c r="FK539" s="44" t="str">
        <f>IF(Table1[Leaving Date]="","",IF(Table1[Date of Initial Assessment]="","",IF(AND(Table1[Leaving Date]&gt;42094,Table1[Leaving Date]&lt;42461),IF(Table1[Date of Last Assessment]="",Table1[Motivation and Taking Responsibility],Table1[Motivation and Taking Responsibility2]),"")))</f>
        <v/>
      </c>
      <c r="FL539" s="44" t="str">
        <f>IF(Table1[Leaving Date]="","",IF(Table1[Date of Initial Assessment]="","",IF(AND(Table1[Leaving Date]&gt;42094,Table1[Leaving Date]&lt;42461),IF(Table1[Date of Last Assessment]="",Table1[Self-Care and Living Skills],Table1[Self-Care and Living Skills2]),"")))</f>
        <v/>
      </c>
      <c r="FM539" s="44" t="str">
        <f>IF(Table1[Leaving Date]="","",IF(Table1[Date of Initial Assessment]="","",IF(AND(Table1[Leaving Date]&gt;42094,Table1[Leaving Date]&lt;42461),IF(Table1[Date of Last Assessment]="",Table1[Managing Money and Personal Administration],Table1[Managing Money and Personal Administration2]),"")))</f>
        <v/>
      </c>
      <c r="FN539" s="44" t="str">
        <f>IF(Table1[Leaving Date]="","",IF(Table1[Date of Initial Assessment]="","",IF(AND(Table1[Leaving Date]&gt;42094,Table1[Leaving Date]&lt;42461),IF(Table1[Date of Last Assessment]="",Table1[Social Networks and Relationships],Table1[Social Networks and Relationships2]),"")))</f>
        <v/>
      </c>
      <c r="FO539" s="44" t="str">
        <f>IF(Table1[Leaving Date]="","",IF(Table1[Date of Initial Assessment]="","",IF(AND(Table1[Leaving Date]&gt;42094,Table1[Leaving Date]&lt;42461),IF(Table1[Date of Last Assessment]="",Table1[Drug and Alcohol Misuse],Table1[Drug and Alcohol Misuse2]),"")))</f>
        <v/>
      </c>
      <c r="FP539" s="44" t="str">
        <f>IF(Table1[Leaving Date]="","",IF(Table1[Date of Initial Assessment]="","",IF(AND(Table1[Leaving Date]&gt;42094,Table1[Leaving Date]&lt;42461),IF(Table1[Date of Last Assessment]="",Table1[Physical Health],Table1[Physical Health2]),"")))</f>
        <v/>
      </c>
      <c r="FQ539" s="44" t="str">
        <f>IF(Table1[Leaving Date]="","",IF(Table1[Date of Initial Assessment]="","",IF(AND(Table1[Leaving Date]&gt;42094,Table1[Leaving Date]&lt;42461),IF(Table1[Date of Last Assessment]="",Table1[Emotional and Mental Health],Table1[Emotional and Mental Health2]),"")))</f>
        <v/>
      </c>
      <c r="FR539" s="44" t="str">
        <f>IF(Table1[Leaving Date]="","",IF(Table1[Date of Initial Assessment]="","",IF(AND(Table1[Leaving Date]&gt;42094,Table1[Leaving Date]&lt;42461),IF(Table1[Date of Last Assessment]="",Table1[Meaningful Use of Time],Table1[Meaningful Use of Time2]),"")))</f>
        <v/>
      </c>
      <c r="FS539" s="44" t="str">
        <f>IF(Table1[Leaving Date]="","",IF(Table1[Date of Initial Assessment]="","",IF(AND(Table1[Leaving Date]&gt;42094,Table1[Leaving Date]&lt;42461),IF(Table1[Date of Last Assessment]="",Table1[Managing Tenancy and Accommodation],Table1[Managing Tenancy and Accommodation2]),"")))</f>
        <v/>
      </c>
      <c r="FT539" s="44" t="str">
        <f>IF(Table1[Leaving Date]="","",IF(Table1[Date of Initial Assessment]="","",IF(AND(Table1[Leaving Date]&gt;42094,Table1[Leaving Date]&lt;42461),IF(Table1[Date of Last Assessment]="",Table1[Offending],Table1[Offending2]),"")))</f>
        <v/>
      </c>
      <c r="FU539" s="44" t="str">
        <f>IF(Table1[Date of Initial Assessment]="","",IF(AND(Table1[Start Date]&gt;42460,Table1[Start Date]&lt;42826),Table1[Motivation and Taking Responsibility],""))</f>
        <v/>
      </c>
      <c r="FV539" s="44" t="str">
        <f>IF(Table1[Date of Initial Assessment]="","",IF(AND(Table1[Start Date]&gt;42460,Table1[Start Date]&lt;42826),Table1[Self-Care and Living Skills],""))</f>
        <v/>
      </c>
      <c r="FW539" s="44" t="str">
        <f>IF(Table1[Date of Initial Assessment]="","",IF(AND(Table1[Start Date]&gt;42460,Table1[Start Date]&lt;42826),Table1[Managing Money and Personal Administration],""))</f>
        <v/>
      </c>
      <c r="FX539" s="44" t="str">
        <f>IF(Table1[Date of Initial Assessment]="","",IF(AND(Table1[Start Date]&gt;42460,Table1[Start Date]&lt;42826),Table1[Social Networks and Relationships],""))</f>
        <v/>
      </c>
      <c r="FY539" s="44" t="str">
        <f>IF(Table1[Date of Initial Assessment]="","",IF(AND(Table1[Start Date]&gt;42460,Table1[Start Date]&lt;42826),Table1[Drug and Alcohol Misuse],""))</f>
        <v/>
      </c>
      <c r="FZ539" s="44" t="str">
        <f>IF(Table1[Date of Initial Assessment]="","",IF(AND(Table1[Start Date]&gt;42460,Table1[Start Date]&lt;42826),Table1[Physical Health],""))</f>
        <v/>
      </c>
      <c r="GA539" s="44" t="str">
        <f>IF(Table1[Date of Initial Assessment]="","",IF(AND(Table1[Start Date]&gt;42460,Table1[Start Date]&lt;42826),Table1[Emotional and Mental Health],""))</f>
        <v/>
      </c>
      <c r="GB539" s="44" t="str">
        <f>IF(Table1[Date of Initial Assessment]="","",IF(AND(Table1[Start Date]&gt;42460,Table1[Start Date]&lt;42826),Table1[Meaningful Use of Time],""))</f>
        <v/>
      </c>
      <c r="GC539" s="44" t="str">
        <f>IF(Table1[Date of Initial Assessment]="","",IF(AND(Table1[Start Date]&gt;42460,Table1[Start Date]&lt;42826),Table1[Managing Tenancy and Accommodation],""))</f>
        <v/>
      </c>
      <c r="GD539" s="44" t="str">
        <f>IF(Table1[Date of Initial Assessment]="","",IF(AND(Table1[Start Date]&gt;42460,Table1[Start Date]&lt;42826),Table1[Offending],""))</f>
        <v/>
      </c>
      <c r="GE539" s="44" t="str">
        <f>IF(Table1[Leaving Date]="","",IF(AND(Table1[Leaving Date]&gt;42460,Table1[Leaving Date]&lt;42826),IF(Table1[Date of Last Assessment]="",Table1[Motivation and Taking Responsibility],Table1[Motivation and Taking Responsibility2]),""))</f>
        <v/>
      </c>
      <c r="GF539" s="44" t="str">
        <f>IF(Table1[Leaving Date]="","",IF(AND(Table1[Leaving Date]&gt;42460,Table1[Leaving Date]&lt;42826),IF(Table1[Date of Last Assessment]="",Table1[Self-Care and Living Skills],Table1[Self-Care and Living Skills2]),""))</f>
        <v/>
      </c>
      <c r="GG539" s="44" t="str">
        <f>IF(Table1[Leaving Date]="","",IF(AND(Table1[Leaving Date]&gt;42460,Table1[Leaving Date]&lt;42826),IF(Table1[Date of Last Assessment]="",Table1[Managing Money and Personal Administration],Table1[Managing Money and Personal Administration2]),""))</f>
        <v/>
      </c>
      <c r="GH539" s="44" t="str">
        <f>IF(Table1[Leaving Date]="","",IF(AND(Table1[Leaving Date]&gt;42460,Table1[Leaving Date]&lt;42826),IF(Table1[Date of Last Assessment]="",Table1[Social Networks and Relationships],Table1[Social Networks and Relationships2]),""))</f>
        <v/>
      </c>
      <c r="GI539" s="44" t="str">
        <f>IF(Table1[Leaving Date]="","",IF(AND(Table1[Leaving Date]&gt;42460,Table1[Leaving Date]&lt;42826),IF(Table1[Date of Last Assessment]="",Table1[Drug and Alcohol Misuse],Table1[Drug and Alcohol Misuse2]),""))</f>
        <v/>
      </c>
      <c r="GJ539" s="44" t="str">
        <f>IF(Table1[Leaving Date]="","",IF(AND(Table1[Leaving Date]&gt;42460,Table1[Leaving Date]&lt;42826),IF(Table1[Date of Last Assessment]="",Table1[Physical Health],Table1[Physical Health2]),""))</f>
        <v/>
      </c>
      <c r="GK539" s="44" t="str">
        <f>IF(Table1[Leaving Date]="","",IF(AND(Table1[Leaving Date]&gt;42460,Table1[Leaving Date]&lt;42826),IF(Table1[Date of Last Assessment]="",Table1[Emotional and Mental Health],Table1[Emotional and Mental Health2]),""))</f>
        <v/>
      </c>
      <c r="GL539" s="44" t="str">
        <f>IF(Table1[Leaving Date]="","",IF(AND(Table1[Leaving Date]&gt;42460,Table1[Leaving Date]&lt;42826),IF(Table1[Date of Last Assessment]="",Table1[Meaningful Use of Time],Table1[Meaningful Use of Time2]),""))</f>
        <v/>
      </c>
      <c r="GM539" s="44" t="str">
        <f>IF(Table1[Leaving Date]="","",IF(AND(Table1[Leaving Date]&gt;42460,Table1[Leaving Date]&lt;42826),IF(Table1[Date of Last Assessment]="",Table1[Managing Tenancy and Accommodation],Table1[Managing Tenancy and Accommodation2]),""))</f>
        <v/>
      </c>
      <c r="GN539" s="44" t="str">
        <f>IF(Table1[Leaving Date]="","",IF(AND(Table1[Leaving Date]&gt;42460,Table1[Leaving Date]&lt;42826),IF(Table1[Date of Last Assessment]="",Table1[Offending],Table1[Offending2]),""))</f>
        <v/>
      </c>
    </row>
    <row r="540" spans="2:196" ht="20.100000000000001" customHeight="1" x14ac:dyDescent="0.2">
      <c r="B540" s="86">
        <f>+'Service Data'!$C$5:$C$5</f>
        <v>0</v>
      </c>
      <c r="C540" s="86"/>
      <c r="D540" s="86"/>
      <c r="E540" s="86"/>
      <c r="F540" s="86"/>
      <c r="G540" s="86"/>
      <c r="H540" s="6"/>
      <c r="I540" s="99" t="str">
        <f ca="1">IF(Table1[[#This Row],[Date of Birth]]="","",SUM(TODAY()-Table1[[#This Row],[Date of Birth]])/365)</f>
        <v/>
      </c>
      <c r="L540" s="86"/>
      <c r="M540" s="77"/>
      <c r="N540" s="86"/>
      <c r="O540" s="86"/>
      <c r="P540" s="91"/>
      <c r="Q540" s="86"/>
      <c r="R540" s="77"/>
      <c r="S540" s="77"/>
      <c r="T540" s="68"/>
      <c r="U540" s="68"/>
      <c r="V540" s="67"/>
      <c r="W540" s="67"/>
      <c r="X540" s="67"/>
      <c r="Y540" s="67"/>
      <c r="Z540" s="67"/>
      <c r="AA540" s="67"/>
      <c r="AB540" s="67"/>
      <c r="AC540" s="67"/>
      <c r="AD540" s="67"/>
      <c r="AE540" s="67"/>
      <c r="AF540" s="67"/>
      <c r="AG540" s="67"/>
      <c r="AH540" s="67"/>
      <c r="AI540" s="67"/>
      <c r="AJ540" s="67"/>
      <c r="AK540" s="67"/>
      <c r="AL540" s="67"/>
      <c r="AM540" s="67"/>
      <c r="AN540" s="77"/>
      <c r="AO540" s="76"/>
      <c r="AP540" s="77"/>
      <c r="AQ540" s="76"/>
      <c r="AR540" s="76"/>
      <c r="AS540" s="76"/>
      <c r="AT540" s="76"/>
      <c r="AU540" s="76"/>
      <c r="AV540" s="77"/>
      <c r="AW540" s="76"/>
      <c r="AX540" s="77"/>
      <c r="AY540" s="76"/>
      <c r="AZ540" s="76"/>
      <c r="BA540" s="76"/>
      <c r="BB540" s="76"/>
      <c r="BC540" s="76"/>
      <c r="BD540" s="77"/>
      <c r="BE540" s="76"/>
      <c r="BF540" s="77"/>
      <c r="BG540" s="76"/>
      <c r="BH540" s="76"/>
      <c r="BI540" s="76"/>
      <c r="BJ540" s="76"/>
      <c r="BK540" s="76"/>
      <c r="BL540" s="77"/>
      <c r="BM540" s="76"/>
      <c r="BN540" s="77"/>
      <c r="BO540" s="76"/>
      <c r="BP540" s="76"/>
      <c r="BQ540" s="76"/>
      <c r="BR540" s="76"/>
      <c r="BS540" s="76"/>
      <c r="BT540" s="77"/>
      <c r="BU540" s="76"/>
      <c r="BV540" s="77"/>
      <c r="BW540" s="76"/>
      <c r="BX540" s="76"/>
      <c r="BY540" s="76"/>
      <c r="BZ540" s="76"/>
      <c r="CA540" s="76"/>
      <c r="CB540" s="77"/>
      <c r="CC540" s="76"/>
      <c r="CD540" s="77"/>
      <c r="CE540" s="76"/>
      <c r="CF540" s="76"/>
      <c r="CG540" s="76"/>
      <c r="CH540" s="76"/>
      <c r="CI540" s="76"/>
      <c r="CJ540" s="77"/>
      <c r="CK540" s="76"/>
      <c r="CL540" s="77"/>
      <c r="CM540" s="76"/>
      <c r="CN540" s="76"/>
      <c r="CO540" s="76"/>
      <c r="CP540" s="76"/>
      <c r="CQ540" s="76"/>
      <c r="CR540" s="78" t="str">
        <f t="shared" si="143"/>
        <v/>
      </c>
      <c r="CS540" s="79" t="str">
        <f t="shared" si="144"/>
        <v/>
      </c>
      <c r="CT540" s="79" t="str">
        <f t="shared" si="145"/>
        <v/>
      </c>
      <c r="CU540" s="79" t="str">
        <f t="shared" si="146"/>
        <v/>
      </c>
      <c r="CV540" s="79" t="str">
        <f t="shared" si="147"/>
        <v/>
      </c>
      <c r="CW540" s="79" t="str">
        <f t="shared" si="148"/>
        <v/>
      </c>
      <c r="CX540" s="79" t="str">
        <f t="shared" si="149"/>
        <v/>
      </c>
      <c r="CY540" s="79" t="str">
        <f t="shared" si="150"/>
        <v/>
      </c>
      <c r="CZ540" s="79" t="str">
        <f t="shared" si="151"/>
        <v/>
      </c>
      <c r="DA540" s="79" t="str">
        <f t="shared" si="152"/>
        <v/>
      </c>
      <c r="DB540" s="79" t="str">
        <f t="shared" si="153"/>
        <v/>
      </c>
      <c r="DC540" s="79" t="str">
        <f t="shared" si="154"/>
        <v/>
      </c>
      <c r="DD540" s="79" t="str">
        <f t="shared" si="155"/>
        <v/>
      </c>
      <c r="DE540" s="79" t="str">
        <f t="shared" si="156"/>
        <v/>
      </c>
      <c r="DF540" s="79" t="str">
        <f t="shared" si="157"/>
        <v/>
      </c>
      <c r="DG540" s="79" t="str">
        <f t="shared" si="158"/>
        <v/>
      </c>
      <c r="DH540" s="76"/>
      <c r="DI540" s="78"/>
      <c r="DJ540" s="76"/>
      <c r="DK540" s="77"/>
      <c r="DL540" s="77"/>
      <c r="DM540" s="77"/>
      <c r="DN540" s="80"/>
      <c r="DO540" s="80"/>
      <c r="DP540" s="92" t="str">
        <f>IF(Table1[Start Date]="","",IF(Table1[Start Date]&gt;42185,"",IF(AND(Table1[Leaving Date]&gt;1,Table1[Leaving Date]&lt;42095),"",1)))</f>
        <v/>
      </c>
      <c r="DQ540" s="92" t="str">
        <f>IF(Table1[Start Date]="","",IF(Table1[Start Date]&gt;42277,"",IF(AND(Table1[Leaving Date]&gt;1,Table1[Leaving Date]&lt;42186),"",1)))</f>
        <v/>
      </c>
      <c r="DR540" s="92" t="str">
        <f>IF(Table1[Start Date]="","",IF(Table1[Start Date]&gt;42369,"",IF(AND(Table1[Leaving Date]&gt;1,Table1[Leaving Date]&lt;42278),"",1)))</f>
        <v/>
      </c>
      <c r="DS540" s="92" t="str">
        <f>IF(Table1[Start Date]="","",IF(Table1[Start Date]&gt;42460,"",IF(AND(Table1[Leaving Date]&gt;1,Table1[Leaving Date]&lt;42370),"",1)))</f>
        <v/>
      </c>
      <c r="DT540" s="92" t="str">
        <f>IF(Table1[Start Date]="","",IF(Table1[Start Date]&gt;42551,"",IF(AND(Table1[Leaving Date]&gt;1,Table1[Leaving Date]&lt;42461),"",1)))</f>
        <v/>
      </c>
      <c r="DU540" s="92" t="str">
        <f>IF(Table1[Start Date]="","",IF(Table1[Start Date]&gt;42643,"",IF(AND(Table1[Leaving Date]&gt;1,Table1[Leaving Date]&lt;42552),"",1)))</f>
        <v/>
      </c>
      <c r="DV540" s="92" t="str">
        <f>IF(Table1[Start Date]="","",IF(Table1[Start Date]&gt;42735,"",IF(AND(Table1[Leaving Date]&gt;1,Table1[Leaving Date]&lt;42644),"",1)))</f>
        <v/>
      </c>
      <c r="DW540" s="92" t="str">
        <f>IF(Table1[Start Date]="","",IF(Table1[Start Date]&gt;42825,"",IF(AND(Table1[Leaving Date]&gt;1,Table1[Leaving Date]&lt;42736),"",1)))</f>
        <v/>
      </c>
      <c r="DX540"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540" s="44" t="e">
        <f>VLOOKUP(Table1[Referral Source],Lists!$G$2:$H$20,2,FALSE)</f>
        <v>#N/A</v>
      </c>
      <c r="DZ540" s="93" t="e">
        <f>SUM(Table1[Data Referral Quarter]+Table1[Data Referral Source])</f>
        <v>#N/A</v>
      </c>
      <c r="EA540" s="44" t="b">
        <f>IF(Table1[Referral Decision]="Accepted",100,IF(Table1[Referral Decision]="Rejected by Provider",200,IF(Table1[Referral Decision]="Rejected by Applicant",300)))</f>
        <v>0</v>
      </c>
      <c r="EB540" s="44">
        <f>SUM(Table1[Data Referral Quarter]+Table1[Data Referral Decision])</f>
        <v>0</v>
      </c>
      <c r="EC540" s="44" t="b">
        <f>IF(Table1[Start Date]&gt;42735,8000,IF(Table1[Start Date]&gt;42643,7000,IF(Table1[Start Date]&gt;42551,6000,IF(Table1[Start Date]&gt;42460,5000,IF(Table1[Start Date]&gt;42369,4000,IF(Table1[Start Date]&gt;42277,3000,IF(Table1[Start Date]&gt;42185,2000,IF(Table1[Start Date]&gt;42094,1000))))))))</f>
        <v>0</v>
      </c>
      <c r="ED540" s="44" t="str">
        <f>IF(Table1[Start Date]="","",IF(Table1[Current Local Authority]="Swindon",1,"2"))</f>
        <v/>
      </c>
      <c r="EE540" s="44" t="e">
        <f>SUM(Table1[Data Start Date]+Table1[Data Local Authority])</f>
        <v>#VALUE!</v>
      </c>
      <c r="EF540" s="44">
        <f>IF(Table1[Registered with GP]="Yes",1,0)</f>
        <v>0</v>
      </c>
      <c r="EG540" s="44">
        <f>SUM(Table1[Data Start Date]+Table1[Data GP Start])</f>
        <v>0</v>
      </c>
      <c r="EH540" s="44" t="str">
        <f>IF(Table1[EET]="NEET",1,IF(Table1[EET]="Education",2,IF(Table1[EET]="Employment",2,IF(Table1[EET]="Training",2,IF(Table1[EET]="Retired",3,"")))))</f>
        <v/>
      </c>
      <c r="EI540" s="44" t="e">
        <f>Table1[Data Start Date]+Table1[Data EET Start]</f>
        <v>#VALUE!</v>
      </c>
      <c r="EJ540" s="44" t="b">
        <f>IF(Table1[Leaving Date]&gt;42735,8000,IF(Table1[Leaving Date]&gt;42643,7000,IF(Table1[Leaving Date]&gt;42551,6000,IF(Table1[Leaving Date]&gt;42460,5000,IF(Table1[Leaving Date]&gt;42369,4000,IF(Table1[Leaving Date]&gt;42277,3000,IF(Table1[Leaving Date]&gt;42185,2000,IF(Table1[Leaving Date]&gt;42094,1000))))))))</f>
        <v>0</v>
      </c>
      <c r="EK540" s="44" t="e">
        <f>VLOOKUP(Table1[Reason for Leaving],Lists!$T$2:$U$15,2,FALSE)</f>
        <v>#N/A</v>
      </c>
      <c r="EL540" s="44" t="e">
        <f>SUM(Table1[Data Leavers Date]+Table1[Data Move On])</f>
        <v>#N/A</v>
      </c>
      <c r="EM540" s="44" t="b">
        <f>IF(Table1[Registered with GP2]="Yes",1,IF(Table1[Registered with GP2]="No",0,IF(Table1[Registered with GP]="Yes",1,IF(Table1[Registered with GP]="No",0))))</f>
        <v>0</v>
      </c>
      <c r="EN540" s="44">
        <f>SUM(Table1[Data Leavers Date]+Table1[Data GP End])</f>
        <v>0</v>
      </c>
      <c r="EO540" s="44" t="str">
        <f>IF(Table1[EET2]="NEET",1,IF(Table1[EET2]="Employment",2,IF(Table1[EET2]="Education",2,IF(Table1[EET2]="Training",2,IF(Table1[EET2]="Retired",3,IF(Table1[EET]="NEET",1,IF(Table1[EET]="Employment",2,IF(Table1[EET]="Education",2,IF(Table1[EET]="Training",2,IF(Table1[EET]="Retired",3,""))))))))))</f>
        <v/>
      </c>
      <c r="EP540" s="44" t="e">
        <f>+Table1[[#This Row],[Data Leavers Date]]+Table1[[#This Row],[Data EET End]]</f>
        <v>#VALUE!</v>
      </c>
      <c r="EQ540" s="44">
        <f>IF(Table1[Exit Form Received]="Yes",1,0)</f>
        <v>0</v>
      </c>
      <c r="ER540" s="44">
        <f>+Table1[[#This Row],[Data Leavers Date]]+Table1[[#This Row],[Data Exit Forms]]</f>
        <v>0</v>
      </c>
      <c r="ES540" s="44" t="str">
        <f>IF(Table1[Data Leavers Date]=1000,SUM(Table1[Leaving Date]-Table1[Start Date]),"")</f>
        <v/>
      </c>
      <c r="ET540" s="44" t="str">
        <f>IF(Table1[Data Leavers Date]=2000,SUM(Table1[Leaving Date]-Table1[Start Date]),"")</f>
        <v/>
      </c>
      <c r="EU540" s="44" t="str">
        <f>IF(Table1[Data Leavers Date]=3000,SUM(Table1[Leaving Date]-Table1[Start Date]),"")</f>
        <v/>
      </c>
      <c r="EV540" s="44" t="str">
        <f>IF(Table1[Data Leavers Date]=4000,SUM(Table1[Leaving Date]-Table1[Start Date]),"")</f>
        <v/>
      </c>
      <c r="EW540" s="44" t="str">
        <f>IF(Table1[Data Leavers Date]=5000,SUM(Table1[Leaving Date]-Table1[Start Date]),"")</f>
        <v/>
      </c>
      <c r="EX540" s="44" t="str">
        <f>IF(Table1[Data Leavers Date]=6000,SUM(Table1[Leaving Date]-Table1[Start Date]),"")</f>
        <v/>
      </c>
      <c r="EY540" s="44" t="str">
        <f>IF(Table1[Data Leavers Date]=7000,SUM(Table1[Leaving Date]-Table1[Start Date]),"")</f>
        <v/>
      </c>
      <c r="EZ540" s="44" t="str">
        <f>IF(Table1[Data Leavers Date]=8000,SUM(Table1[Leaving Date]-Table1[Start Date]),"")</f>
        <v/>
      </c>
      <c r="FA540" s="44" t="str">
        <f>IF(Table1[Date of Initial Assessment]="","",IF(AND(Table1[Start Date]&gt;42094,Table1[Start Date]&lt;42461),Table1[Motivation and Taking Responsibility],""))</f>
        <v/>
      </c>
      <c r="FB540" s="44" t="str">
        <f>IF(Table1[Date of Initial Assessment]="","",IF(AND(Table1[Start Date]&gt;42094,Table1[Start Date]&lt;42461),Table1[Self-Care and Living Skills],""))</f>
        <v/>
      </c>
      <c r="FC540" s="44" t="str">
        <f>IF(Table1[Date of Initial Assessment]="","",IF(AND(Table1[Start Date]&gt;42094,Table1[Start Date]&lt;42461),Table1[Managing Money and Personal Administration],""))</f>
        <v/>
      </c>
      <c r="FD540" s="44" t="str">
        <f>IF(Table1[Date of Initial Assessment]="","",IF(AND(Table1[Start Date]&gt;42094,Table1[Start Date]&lt;42461),Table1[Social Networks and Relationships],""))</f>
        <v/>
      </c>
      <c r="FE540" s="44" t="str">
        <f>IF(Table1[Date of Initial Assessment]="","",IF(AND(Table1[Start Date]&gt;42094,Table1[Start Date]&lt;42461),Table1[Drug and Alcohol Misuse],""))</f>
        <v/>
      </c>
      <c r="FF540" s="44" t="str">
        <f>IF(Table1[Date of Initial Assessment]="","",IF(AND(Table1[Start Date]&gt;42094,Table1[Start Date]&lt;42461),Table1[Physical Health],""))</f>
        <v/>
      </c>
      <c r="FG540" s="44" t="str">
        <f>IF(Table1[Date of Initial Assessment]="","",IF(AND(Table1[Start Date]&gt;42094,Table1[Start Date]&lt;42461),Table1[Emotional and Mental Health],""))</f>
        <v/>
      </c>
      <c r="FH540" s="44" t="str">
        <f>IF(Table1[Date of Initial Assessment]="","",IF(AND(Table1[Start Date]&gt;42094,Table1[Start Date]&lt;42461),Table1[Meaningful Use of Time],""))</f>
        <v/>
      </c>
      <c r="FI540" s="44" t="str">
        <f>IF(Table1[Date of Initial Assessment]="","",IF(AND(Table1[Start Date]&gt;42094,Table1[Start Date]&lt;42461),Table1[Managing Tenancy and Accommodation],""))</f>
        <v/>
      </c>
      <c r="FJ540" s="44" t="str">
        <f>IF(Table1[Date of Initial Assessment]="","",IF(AND(Table1[Start Date]&gt;42094,Table1[Start Date]&lt;42461),Table1[Offending],""))</f>
        <v/>
      </c>
      <c r="FK540" s="44" t="str">
        <f>IF(Table1[Leaving Date]="","",IF(Table1[Date of Initial Assessment]="","",IF(AND(Table1[Leaving Date]&gt;42094,Table1[Leaving Date]&lt;42461),IF(Table1[Date of Last Assessment]="",Table1[Motivation and Taking Responsibility],Table1[Motivation and Taking Responsibility2]),"")))</f>
        <v/>
      </c>
      <c r="FL540" s="44" t="str">
        <f>IF(Table1[Leaving Date]="","",IF(Table1[Date of Initial Assessment]="","",IF(AND(Table1[Leaving Date]&gt;42094,Table1[Leaving Date]&lt;42461),IF(Table1[Date of Last Assessment]="",Table1[Self-Care and Living Skills],Table1[Self-Care and Living Skills2]),"")))</f>
        <v/>
      </c>
      <c r="FM540" s="44" t="str">
        <f>IF(Table1[Leaving Date]="","",IF(Table1[Date of Initial Assessment]="","",IF(AND(Table1[Leaving Date]&gt;42094,Table1[Leaving Date]&lt;42461),IF(Table1[Date of Last Assessment]="",Table1[Managing Money and Personal Administration],Table1[Managing Money and Personal Administration2]),"")))</f>
        <v/>
      </c>
      <c r="FN540" s="44" t="str">
        <f>IF(Table1[Leaving Date]="","",IF(Table1[Date of Initial Assessment]="","",IF(AND(Table1[Leaving Date]&gt;42094,Table1[Leaving Date]&lt;42461),IF(Table1[Date of Last Assessment]="",Table1[Social Networks and Relationships],Table1[Social Networks and Relationships2]),"")))</f>
        <v/>
      </c>
      <c r="FO540" s="44" t="str">
        <f>IF(Table1[Leaving Date]="","",IF(Table1[Date of Initial Assessment]="","",IF(AND(Table1[Leaving Date]&gt;42094,Table1[Leaving Date]&lt;42461),IF(Table1[Date of Last Assessment]="",Table1[Drug and Alcohol Misuse],Table1[Drug and Alcohol Misuse2]),"")))</f>
        <v/>
      </c>
      <c r="FP540" s="44" t="str">
        <f>IF(Table1[Leaving Date]="","",IF(Table1[Date of Initial Assessment]="","",IF(AND(Table1[Leaving Date]&gt;42094,Table1[Leaving Date]&lt;42461),IF(Table1[Date of Last Assessment]="",Table1[Physical Health],Table1[Physical Health2]),"")))</f>
        <v/>
      </c>
      <c r="FQ540" s="44" t="str">
        <f>IF(Table1[Leaving Date]="","",IF(Table1[Date of Initial Assessment]="","",IF(AND(Table1[Leaving Date]&gt;42094,Table1[Leaving Date]&lt;42461),IF(Table1[Date of Last Assessment]="",Table1[Emotional and Mental Health],Table1[Emotional and Mental Health2]),"")))</f>
        <v/>
      </c>
      <c r="FR540" s="44" t="str">
        <f>IF(Table1[Leaving Date]="","",IF(Table1[Date of Initial Assessment]="","",IF(AND(Table1[Leaving Date]&gt;42094,Table1[Leaving Date]&lt;42461),IF(Table1[Date of Last Assessment]="",Table1[Meaningful Use of Time],Table1[Meaningful Use of Time2]),"")))</f>
        <v/>
      </c>
      <c r="FS540" s="44" t="str">
        <f>IF(Table1[Leaving Date]="","",IF(Table1[Date of Initial Assessment]="","",IF(AND(Table1[Leaving Date]&gt;42094,Table1[Leaving Date]&lt;42461),IF(Table1[Date of Last Assessment]="",Table1[Managing Tenancy and Accommodation],Table1[Managing Tenancy and Accommodation2]),"")))</f>
        <v/>
      </c>
      <c r="FT540" s="44" t="str">
        <f>IF(Table1[Leaving Date]="","",IF(Table1[Date of Initial Assessment]="","",IF(AND(Table1[Leaving Date]&gt;42094,Table1[Leaving Date]&lt;42461),IF(Table1[Date of Last Assessment]="",Table1[Offending],Table1[Offending2]),"")))</f>
        <v/>
      </c>
      <c r="FU540" s="44" t="str">
        <f>IF(Table1[Date of Initial Assessment]="","",IF(AND(Table1[Start Date]&gt;42460,Table1[Start Date]&lt;42826),Table1[Motivation and Taking Responsibility],""))</f>
        <v/>
      </c>
      <c r="FV540" s="44" t="str">
        <f>IF(Table1[Date of Initial Assessment]="","",IF(AND(Table1[Start Date]&gt;42460,Table1[Start Date]&lt;42826),Table1[Self-Care and Living Skills],""))</f>
        <v/>
      </c>
      <c r="FW540" s="44" t="str">
        <f>IF(Table1[Date of Initial Assessment]="","",IF(AND(Table1[Start Date]&gt;42460,Table1[Start Date]&lt;42826),Table1[Managing Money and Personal Administration],""))</f>
        <v/>
      </c>
      <c r="FX540" s="44" t="str">
        <f>IF(Table1[Date of Initial Assessment]="","",IF(AND(Table1[Start Date]&gt;42460,Table1[Start Date]&lt;42826),Table1[Social Networks and Relationships],""))</f>
        <v/>
      </c>
      <c r="FY540" s="44" t="str">
        <f>IF(Table1[Date of Initial Assessment]="","",IF(AND(Table1[Start Date]&gt;42460,Table1[Start Date]&lt;42826),Table1[Drug and Alcohol Misuse],""))</f>
        <v/>
      </c>
      <c r="FZ540" s="44" t="str">
        <f>IF(Table1[Date of Initial Assessment]="","",IF(AND(Table1[Start Date]&gt;42460,Table1[Start Date]&lt;42826),Table1[Physical Health],""))</f>
        <v/>
      </c>
      <c r="GA540" s="44" t="str">
        <f>IF(Table1[Date of Initial Assessment]="","",IF(AND(Table1[Start Date]&gt;42460,Table1[Start Date]&lt;42826),Table1[Emotional and Mental Health],""))</f>
        <v/>
      </c>
      <c r="GB540" s="44" t="str">
        <f>IF(Table1[Date of Initial Assessment]="","",IF(AND(Table1[Start Date]&gt;42460,Table1[Start Date]&lt;42826),Table1[Meaningful Use of Time],""))</f>
        <v/>
      </c>
      <c r="GC540" s="44" t="str">
        <f>IF(Table1[Date of Initial Assessment]="","",IF(AND(Table1[Start Date]&gt;42460,Table1[Start Date]&lt;42826),Table1[Managing Tenancy and Accommodation],""))</f>
        <v/>
      </c>
      <c r="GD540" s="44" t="str">
        <f>IF(Table1[Date of Initial Assessment]="","",IF(AND(Table1[Start Date]&gt;42460,Table1[Start Date]&lt;42826),Table1[Offending],""))</f>
        <v/>
      </c>
      <c r="GE540" s="44" t="str">
        <f>IF(Table1[Leaving Date]="","",IF(AND(Table1[Leaving Date]&gt;42460,Table1[Leaving Date]&lt;42826),IF(Table1[Date of Last Assessment]="",Table1[Motivation and Taking Responsibility],Table1[Motivation and Taking Responsibility2]),""))</f>
        <v/>
      </c>
      <c r="GF540" s="44" t="str">
        <f>IF(Table1[Leaving Date]="","",IF(AND(Table1[Leaving Date]&gt;42460,Table1[Leaving Date]&lt;42826),IF(Table1[Date of Last Assessment]="",Table1[Self-Care and Living Skills],Table1[Self-Care and Living Skills2]),""))</f>
        <v/>
      </c>
      <c r="GG540" s="44" t="str">
        <f>IF(Table1[Leaving Date]="","",IF(AND(Table1[Leaving Date]&gt;42460,Table1[Leaving Date]&lt;42826),IF(Table1[Date of Last Assessment]="",Table1[Managing Money and Personal Administration],Table1[Managing Money and Personal Administration2]),""))</f>
        <v/>
      </c>
      <c r="GH540" s="44" t="str">
        <f>IF(Table1[Leaving Date]="","",IF(AND(Table1[Leaving Date]&gt;42460,Table1[Leaving Date]&lt;42826),IF(Table1[Date of Last Assessment]="",Table1[Social Networks and Relationships],Table1[Social Networks and Relationships2]),""))</f>
        <v/>
      </c>
      <c r="GI540" s="44" t="str">
        <f>IF(Table1[Leaving Date]="","",IF(AND(Table1[Leaving Date]&gt;42460,Table1[Leaving Date]&lt;42826),IF(Table1[Date of Last Assessment]="",Table1[Drug and Alcohol Misuse],Table1[Drug and Alcohol Misuse2]),""))</f>
        <v/>
      </c>
      <c r="GJ540" s="44" t="str">
        <f>IF(Table1[Leaving Date]="","",IF(AND(Table1[Leaving Date]&gt;42460,Table1[Leaving Date]&lt;42826),IF(Table1[Date of Last Assessment]="",Table1[Physical Health],Table1[Physical Health2]),""))</f>
        <v/>
      </c>
      <c r="GK540" s="44" t="str">
        <f>IF(Table1[Leaving Date]="","",IF(AND(Table1[Leaving Date]&gt;42460,Table1[Leaving Date]&lt;42826),IF(Table1[Date of Last Assessment]="",Table1[Emotional and Mental Health],Table1[Emotional and Mental Health2]),""))</f>
        <v/>
      </c>
      <c r="GL540" s="44" t="str">
        <f>IF(Table1[Leaving Date]="","",IF(AND(Table1[Leaving Date]&gt;42460,Table1[Leaving Date]&lt;42826),IF(Table1[Date of Last Assessment]="",Table1[Meaningful Use of Time],Table1[Meaningful Use of Time2]),""))</f>
        <v/>
      </c>
      <c r="GM540" s="44" t="str">
        <f>IF(Table1[Leaving Date]="","",IF(AND(Table1[Leaving Date]&gt;42460,Table1[Leaving Date]&lt;42826),IF(Table1[Date of Last Assessment]="",Table1[Managing Tenancy and Accommodation],Table1[Managing Tenancy and Accommodation2]),""))</f>
        <v/>
      </c>
      <c r="GN540" s="44" t="str">
        <f>IF(Table1[Leaving Date]="","",IF(AND(Table1[Leaving Date]&gt;42460,Table1[Leaving Date]&lt;42826),IF(Table1[Date of Last Assessment]="",Table1[Offending],Table1[Offending2]),""))</f>
        <v/>
      </c>
    </row>
    <row r="541" spans="2:196" ht="20.100000000000001" customHeight="1" x14ac:dyDescent="0.2">
      <c r="B541" s="86">
        <f>+'Service Data'!$C$5:$C$5</f>
        <v>0</v>
      </c>
      <c r="C541" s="86"/>
      <c r="D541" s="86"/>
      <c r="E541" s="86"/>
      <c r="F541" s="86"/>
      <c r="G541" s="86"/>
      <c r="H541" s="6"/>
      <c r="I541" s="99" t="str">
        <f ca="1">IF(Table1[[#This Row],[Date of Birth]]="","",SUM(TODAY()-Table1[[#This Row],[Date of Birth]])/365)</f>
        <v/>
      </c>
      <c r="L541" s="86"/>
      <c r="M541" s="77"/>
      <c r="N541" s="86"/>
      <c r="O541" s="86"/>
      <c r="P541" s="91"/>
      <c r="Q541" s="86"/>
      <c r="R541" s="77"/>
      <c r="S541" s="77"/>
      <c r="T541" s="68"/>
      <c r="U541" s="68"/>
      <c r="V541" s="67"/>
      <c r="W541" s="67"/>
      <c r="X541" s="67"/>
      <c r="Y541" s="67"/>
      <c r="Z541" s="67"/>
      <c r="AA541" s="67"/>
      <c r="AB541" s="67"/>
      <c r="AC541" s="67"/>
      <c r="AD541" s="67"/>
      <c r="AE541" s="67"/>
      <c r="AF541" s="67"/>
      <c r="AG541" s="67"/>
      <c r="AH541" s="67"/>
      <c r="AI541" s="67"/>
      <c r="AJ541" s="67"/>
      <c r="AK541" s="67"/>
      <c r="AL541" s="67"/>
      <c r="AM541" s="67"/>
      <c r="AN541" s="77"/>
      <c r="AO541" s="76"/>
      <c r="AP541" s="77"/>
      <c r="AQ541" s="76"/>
      <c r="AR541" s="76"/>
      <c r="AS541" s="76"/>
      <c r="AT541" s="76"/>
      <c r="AU541" s="76"/>
      <c r="AV541" s="77"/>
      <c r="AW541" s="76"/>
      <c r="AX541" s="77"/>
      <c r="AY541" s="76"/>
      <c r="AZ541" s="76"/>
      <c r="BA541" s="76"/>
      <c r="BB541" s="76"/>
      <c r="BC541" s="76"/>
      <c r="BD541" s="77"/>
      <c r="BE541" s="76"/>
      <c r="BF541" s="77"/>
      <c r="BG541" s="76"/>
      <c r="BH541" s="76"/>
      <c r="BI541" s="76"/>
      <c r="BJ541" s="76"/>
      <c r="BK541" s="76"/>
      <c r="BL541" s="77"/>
      <c r="BM541" s="76"/>
      <c r="BN541" s="77"/>
      <c r="BO541" s="76"/>
      <c r="BP541" s="76"/>
      <c r="BQ541" s="76"/>
      <c r="BR541" s="76"/>
      <c r="BS541" s="76"/>
      <c r="BT541" s="77"/>
      <c r="BU541" s="76"/>
      <c r="BV541" s="77"/>
      <c r="BW541" s="76"/>
      <c r="BX541" s="76"/>
      <c r="BY541" s="76"/>
      <c r="BZ541" s="76"/>
      <c r="CA541" s="76"/>
      <c r="CB541" s="77"/>
      <c r="CC541" s="76"/>
      <c r="CD541" s="77"/>
      <c r="CE541" s="76"/>
      <c r="CF541" s="76"/>
      <c r="CG541" s="76"/>
      <c r="CH541" s="76"/>
      <c r="CI541" s="76"/>
      <c r="CJ541" s="77"/>
      <c r="CK541" s="76"/>
      <c r="CL541" s="77"/>
      <c r="CM541" s="76"/>
      <c r="CN541" s="76"/>
      <c r="CO541" s="76"/>
      <c r="CP541" s="76"/>
      <c r="CQ541" s="76"/>
      <c r="CR541" s="78" t="str">
        <f t="shared" si="143"/>
        <v/>
      </c>
      <c r="CS541" s="79" t="str">
        <f t="shared" si="144"/>
        <v/>
      </c>
      <c r="CT541" s="79" t="str">
        <f t="shared" si="145"/>
        <v/>
      </c>
      <c r="CU541" s="79" t="str">
        <f t="shared" si="146"/>
        <v/>
      </c>
      <c r="CV541" s="79" t="str">
        <f t="shared" si="147"/>
        <v/>
      </c>
      <c r="CW541" s="79" t="str">
        <f t="shared" si="148"/>
        <v/>
      </c>
      <c r="CX541" s="79" t="str">
        <f t="shared" si="149"/>
        <v/>
      </c>
      <c r="CY541" s="79" t="str">
        <f t="shared" si="150"/>
        <v/>
      </c>
      <c r="CZ541" s="79" t="str">
        <f t="shared" si="151"/>
        <v/>
      </c>
      <c r="DA541" s="79" t="str">
        <f t="shared" si="152"/>
        <v/>
      </c>
      <c r="DB541" s="79" t="str">
        <f t="shared" si="153"/>
        <v/>
      </c>
      <c r="DC541" s="79" t="str">
        <f t="shared" si="154"/>
        <v/>
      </c>
      <c r="DD541" s="79" t="str">
        <f t="shared" si="155"/>
        <v/>
      </c>
      <c r="DE541" s="79" t="str">
        <f t="shared" si="156"/>
        <v/>
      </c>
      <c r="DF541" s="79" t="str">
        <f t="shared" si="157"/>
        <v/>
      </c>
      <c r="DG541" s="79" t="str">
        <f t="shared" si="158"/>
        <v/>
      </c>
      <c r="DH541" s="76"/>
      <c r="DI541" s="78"/>
      <c r="DJ541" s="76"/>
      <c r="DK541" s="77"/>
      <c r="DL541" s="77"/>
      <c r="DM541" s="77"/>
      <c r="DN541" s="80"/>
      <c r="DO541" s="80"/>
      <c r="DP541" s="92" t="str">
        <f>IF(Table1[Start Date]="","",IF(Table1[Start Date]&gt;42185,"",IF(AND(Table1[Leaving Date]&gt;1,Table1[Leaving Date]&lt;42095),"",1)))</f>
        <v/>
      </c>
      <c r="DQ541" s="92" t="str">
        <f>IF(Table1[Start Date]="","",IF(Table1[Start Date]&gt;42277,"",IF(AND(Table1[Leaving Date]&gt;1,Table1[Leaving Date]&lt;42186),"",1)))</f>
        <v/>
      </c>
      <c r="DR541" s="92" t="str">
        <f>IF(Table1[Start Date]="","",IF(Table1[Start Date]&gt;42369,"",IF(AND(Table1[Leaving Date]&gt;1,Table1[Leaving Date]&lt;42278),"",1)))</f>
        <v/>
      </c>
      <c r="DS541" s="92" t="str">
        <f>IF(Table1[Start Date]="","",IF(Table1[Start Date]&gt;42460,"",IF(AND(Table1[Leaving Date]&gt;1,Table1[Leaving Date]&lt;42370),"",1)))</f>
        <v/>
      </c>
      <c r="DT541" s="92" t="str">
        <f>IF(Table1[Start Date]="","",IF(Table1[Start Date]&gt;42551,"",IF(AND(Table1[Leaving Date]&gt;1,Table1[Leaving Date]&lt;42461),"",1)))</f>
        <v/>
      </c>
      <c r="DU541" s="92" t="str">
        <f>IF(Table1[Start Date]="","",IF(Table1[Start Date]&gt;42643,"",IF(AND(Table1[Leaving Date]&gt;1,Table1[Leaving Date]&lt;42552),"",1)))</f>
        <v/>
      </c>
      <c r="DV541" s="92" t="str">
        <f>IF(Table1[Start Date]="","",IF(Table1[Start Date]&gt;42735,"",IF(AND(Table1[Leaving Date]&gt;1,Table1[Leaving Date]&lt;42644),"",1)))</f>
        <v/>
      </c>
      <c r="DW541" s="92" t="str">
        <f>IF(Table1[Start Date]="","",IF(Table1[Start Date]&gt;42825,"",IF(AND(Table1[Leaving Date]&gt;1,Table1[Leaving Date]&lt;42736),"",1)))</f>
        <v/>
      </c>
      <c r="DX541"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541" s="44" t="e">
        <f>VLOOKUP(Table1[Referral Source],Lists!$G$2:$H$20,2,FALSE)</f>
        <v>#N/A</v>
      </c>
      <c r="DZ541" s="93" t="e">
        <f>SUM(Table1[Data Referral Quarter]+Table1[Data Referral Source])</f>
        <v>#N/A</v>
      </c>
      <c r="EA541" s="44" t="b">
        <f>IF(Table1[Referral Decision]="Accepted",100,IF(Table1[Referral Decision]="Rejected by Provider",200,IF(Table1[Referral Decision]="Rejected by Applicant",300)))</f>
        <v>0</v>
      </c>
      <c r="EB541" s="44">
        <f>SUM(Table1[Data Referral Quarter]+Table1[Data Referral Decision])</f>
        <v>0</v>
      </c>
      <c r="EC541" s="44" t="b">
        <f>IF(Table1[Start Date]&gt;42735,8000,IF(Table1[Start Date]&gt;42643,7000,IF(Table1[Start Date]&gt;42551,6000,IF(Table1[Start Date]&gt;42460,5000,IF(Table1[Start Date]&gt;42369,4000,IF(Table1[Start Date]&gt;42277,3000,IF(Table1[Start Date]&gt;42185,2000,IF(Table1[Start Date]&gt;42094,1000))))))))</f>
        <v>0</v>
      </c>
      <c r="ED541" s="44" t="str">
        <f>IF(Table1[Start Date]="","",IF(Table1[Current Local Authority]="Swindon",1,"2"))</f>
        <v/>
      </c>
      <c r="EE541" s="44" t="e">
        <f>SUM(Table1[Data Start Date]+Table1[Data Local Authority])</f>
        <v>#VALUE!</v>
      </c>
      <c r="EF541" s="44">
        <f>IF(Table1[Registered with GP]="Yes",1,0)</f>
        <v>0</v>
      </c>
      <c r="EG541" s="44">
        <f>SUM(Table1[Data Start Date]+Table1[Data GP Start])</f>
        <v>0</v>
      </c>
      <c r="EH541" s="44" t="str">
        <f>IF(Table1[EET]="NEET",1,IF(Table1[EET]="Education",2,IF(Table1[EET]="Employment",2,IF(Table1[EET]="Training",2,IF(Table1[EET]="Retired",3,"")))))</f>
        <v/>
      </c>
      <c r="EI541" s="44" t="e">
        <f>Table1[Data Start Date]+Table1[Data EET Start]</f>
        <v>#VALUE!</v>
      </c>
      <c r="EJ541" s="44" t="b">
        <f>IF(Table1[Leaving Date]&gt;42735,8000,IF(Table1[Leaving Date]&gt;42643,7000,IF(Table1[Leaving Date]&gt;42551,6000,IF(Table1[Leaving Date]&gt;42460,5000,IF(Table1[Leaving Date]&gt;42369,4000,IF(Table1[Leaving Date]&gt;42277,3000,IF(Table1[Leaving Date]&gt;42185,2000,IF(Table1[Leaving Date]&gt;42094,1000))))))))</f>
        <v>0</v>
      </c>
      <c r="EK541" s="44" t="e">
        <f>VLOOKUP(Table1[Reason for Leaving],Lists!$T$2:$U$15,2,FALSE)</f>
        <v>#N/A</v>
      </c>
      <c r="EL541" s="44" t="e">
        <f>SUM(Table1[Data Leavers Date]+Table1[Data Move On])</f>
        <v>#N/A</v>
      </c>
      <c r="EM541" s="44" t="b">
        <f>IF(Table1[Registered with GP2]="Yes",1,IF(Table1[Registered with GP2]="No",0,IF(Table1[Registered with GP]="Yes",1,IF(Table1[Registered with GP]="No",0))))</f>
        <v>0</v>
      </c>
      <c r="EN541" s="44">
        <f>SUM(Table1[Data Leavers Date]+Table1[Data GP End])</f>
        <v>0</v>
      </c>
      <c r="EO541" s="44" t="str">
        <f>IF(Table1[EET2]="NEET",1,IF(Table1[EET2]="Employment",2,IF(Table1[EET2]="Education",2,IF(Table1[EET2]="Training",2,IF(Table1[EET2]="Retired",3,IF(Table1[EET]="NEET",1,IF(Table1[EET]="Employment",2,IF(Table1[EET]="Education",2,IF(Table1[EET]="Training",2,IF(Table1[EET]="Retired",3,""))))))))))</f>
        <v/>
      </c>
      <c r="EP541" s="44" t="e">
        <f>+Table1[[#This Row],[Data Leavers Date]]+Table1[[#This Row],[Data EET End]]</f>
        <v>#VALUE!</v>
      </c>
      <c r="EQ541" s="44">
        <f>IF(Table1[Exit Form Received]="Yes",1,0)</f>
        <v>0</v>
      </c>
      <c r="ER541" s="44">
        <f>+Table1[[#This Row],[Data Leavers Date]]+Table1[[#This Row],[Data Exit Forms]]</f>
        <v>0</v>
      </c>
      <c r="ES541" s="44" t="str">
        <f>IF(Table1[Data Leavers Date]=1000,SUM(Table1[Leaving Date]-Table1[Start Date]),"")</f>
        <v/>
      </c>
      <c r="ET541" s="44" t="str">
        <f>IF(Table1[Data Leavers Date]=2000,SUM(Table1[Leaving Date]-Table1[Start Date]),"")</f>
        <v/>
      </c>
      <c r="EU541" s="44" t="str">
        <f>IF(Table1[Data Leavers Date]=3000,SUM(Table1[Leaving Date]-Table1[Start Date]),"")</f>
        <v/>
      </c>
      <c r="EV541" s="44" t="str">
        <f>IF(Table1[Data Leavers Date]=4000,SUM(Table1[Leaving Date]-Table1[Start Date]),"")</f>
        <v/>
      </c>
      <c r="EW541" s="44" t="str">
        <f>IF(Table1[Data Leavers Date]=5000,SUM(Table1[Leaving Date]-Table1[Start Date]),"")</f>
        <v/>
      </c>
      <c r="EX541" s="44" t="str">
        <f>IF(Table1[Data Leavers Date]=6000,SUM(Table1[Leaving Date]-Table1[Start Date]),"")</f>
        <v/>
      </c>
      <c r="EY541" s="44" t="str">
        <f>IF(Table1[Data Leavers Date]=7000,SUM(Table1[Leaving Date]-Table1[Start Date]),"")</f>
        <v/>
      </c>
      <c r="EZ541" s="44" t="str">
        <f>IF(Table1[Data Leavers Date]=8000,SUM(Table1[Leaving Date]-Table1[Start Date]),"")</f>
        <v/>
      </c>
      <c r="FA541" s="44" t="str">
        <f>IF(Table1[Date of Initial Assessment]="","",IF(AND(Table1[Start Date]&gt;42094,Table1[Start Date]&lt;42461),Table1[Motivation and Taking Responsibility],""))</f>
        <v/>
      </c>
      <c r="FB541" s="44" t="str">
        <f>IF(Table1[Date of Initial Assessment]="","",IF(AND(Table1[Start Date]&gt;42094,Table1[Start Date]&lt;42461),Table1[Self-Care and Living Skills],""))</f>
        <v/>
      </c>
      <c r="FC541" s="44" t="str">
        <f>IF(Table1[Date of Initial Assessment]="","",IF(AND(Table1[Start Date]&gt;42094,Table1[Start Date]&lt;42461),Table1[Managing Money and Personal Administration],""))</f>
        <v/>
      </c>
      <c r="FD541" s="44" t="str">
        <f>IF(Table1[Date of Initial Assessment]="","",IF(AND(Table1[Start Date]&gt;42094,Table1[Start Date]&lt;42461),Table1[Social Networks and Relationships],""))</f>
        <v/>
      </c>
      <c r="FE541" s="44" t="str">
        <f>IF(Table1[Date of Initial Assessment]="","",IF(AND(Table1[Start Date]&gt;42094,Table1[Start Date]&lt;42461),Table1[Drug and Alcohol Misuse],""))</f>
        <v/>
      </c>
      <c r="FF541" s="44" t="str">
        <f>IF(Table1[Date of Initial Assessment]="","",IF(AND(Table1[Start Date]&gt;42094,Table1[Start Date]&lt;42461),Table1[Physical Health],""))</f>
        <v/>
      </c>
      <c r="FG541" s="44" t="str">
        <f>IF(Table1[Date of Initial Assessment]="","",IF(AND(Table1[Start Date]&gt;42094,Table1[Start Date]&lt;42461),Table1[Emotional and Mental Health],""))</f>
        <v/>
      </c>
      <c r="FH541" s="44" t="str">
        <f>IF(Table1[Date of Initial Assessment]="","",IF(AND(Table1[Start Date]&gt;42094,Table1[Start Date]&lt;42461),Table1[Meaningful Use of Time],""))</f>
        <v/>
      </c>
      <c r="FI541" s="44" t="str">
        <f>IF(Table1[Date of Initial Assessment]="","",IF(AND(Table1[Start Date]&gt;42094,Table1[Start Date]&lt;42461),Table1[Managing Tenancy and Accommodation],""))</f>
        <v/>
      </c>
      <c r="FJ541" s="44" t="str">
        <f>IF(Table1[Date of Initial Assessment]="","",IF(AND(Table1[Start Date]&gt;42094,Table1[Start Date]&lt;42461),Table1[Offending],""))</f>
        <v/>
      </c>
      <c r="FK541" s="44" t="str">
        <f>IF(Table1[Leaving Date]="","",IF(Table1[Date of Initial Assessment]="","",IF(AND(Table1[Leaving Date]&gt;42094,Table1[Leaving Date]&lt;42461),IF(Table1[Date of Last Assessment]="",Table1[Motivation and Taking Responsibility],Table1[Motivation and Taking Responsibility2]),"")))</f>
        <v/>
      </c>
      <c r="FL541" s="44" t="str">
        <f>IF(Table1[Leaving Date]="","",IF(Table1[Date of Initial Assessment]="","",IF(AND(Table1[Leaving Date]&gt;42094,Table1[Leaving Date]&lt;42461),IF(Table1[Date of Last Assessment]="",Table1[Self-Care and Living Skills],Table1[Self-Care and Living Skills2]),"")))</f>
        <v/>
      </c>
      <c r="FM541" s="44" t="str">
        <f>IF(Table1[Leaving Date]="","",IF(Table1[Date of Initial Assessment]="","",IF(AND(Table1[Leaving Date]&gt;42094,Table1[Leaving Date]&lt;42461),IF(Table1[Date of Last Assessment]="",Table1[Managing Money and Personal Administration],Table1[Managing Money and Personal Administration2]),"")))</f>
        <v/>
      </c>
      <c r="FN541" s="44" t="str">
        <f>IF(Table1[Leaving Date]="","",IF(Table1[Date of Initial Assessment]="","",IF(AND(Table1[Leaving Date]&gt;42094,Table1[Leaving Date]&lt;42461),IF(Table1[Date of Last Assessment]="",Table1[Social Networks and Relationships],Table1[Social Networks and Relationships2]),"")))</f>
        <v/>
      </c>
      <c r="FO541" s="44" t="str">
        <f>IF(Table1[Leaving Date]="","",IF(Table1[Date of Initial Assessment]="","",IF(AND(Table1[Leaving Date]&gt;42094,Table1[Leaving Date]&lt;42461),IF(Table1[Date of Last Assessment]="",Table1[Drug and Alcohol Misuse],Table1[Drug and Alcohol Misuse2]),"")))</f>
        <v/>
      </c>
      <c r="FP541" s="44" t="str">
        <f>IF(Table1[Leaving Date]="","",IF(Table1[Date of Initial Assessment]="","",IF(AND(Table1[Leaving Date]&gt;42094,Table1[Leaving Date]&lt;42461),IF(Table1[Date of Last Assessment]="",Table1[Physical Health],Table1[Physical Health2]),"")))</f>
        <v/>
      </c>
      <c r="FQ541" s="44" t="str">
        <f>IF(Table1[Leaving Date]="","",IF(Table1[Date of Initial Assessment]="","",IF(AND(Table1[Leaving Date]&gt;42094,Table1[Leaving Date]&lt;42461),IF(Table1[Date of Last Assessment]="",Table1[Emotional and Mental Health],Table1[Emotional and Mental Health2]),"")))</f>
        <v/>
      </c>
      <c r="FR541" s="44" t="str">
        <f>IF(Table1[Leaving Date]="","",IF(Table1[Date of Initial Assessment]="","",IF(AND(Table1[Leaving Date]&gt;42094,Table1[Leaving Date]&lt;42461),IF(Table1[Date of Last Assessment]="",Table1[Meaningful Use of Time],Table1[Meaningful Use of Time2]),"")))</f>
        <v/>
      </c>
      <c r="FS541" s="44" t="str">
        <f>IF(Table1[Leaving Date]="","",IF(Table1[Date of Initial Assessment]="","",IF(AND(Table1[Leaving Date]&gt;42094,Table1[Leaving Date]&lt;42461),IF(Table1[Date of Last Assessment]="",Table1[Managing Tenancy and Accommodation],Table1[Managing Tenancy and Accommodation2]),"")))</f>
        <v/>
      </c>
      <c r="FT541" s="44" t="str">
        <f>IF(Table1[Leaving Date]="","",IF(Table1[Date of Initial Assessment]="","",IF(AND(Table1[Leaving Date]&gt;42094,Table1[Leaving Date]&lt;42461),IF(Table1[Date of Last Assessment]="",Table1[Offending],Table1[Offending2]),"")))</f>
        <v/>
      </c>
      <c r="FU541" s="44" t="str">
        <f>IF(Table1[Date of Initial Assessment]="","",IF(AND(Table1[Start Date]&gt;42460,Table1[Start Date]&lt;42826),Table1[Motivation and Taking Responsibility],""))</f>
        <v/>
      </c>
      <c r="FV541" s="44" t="str">
        <f>IF(Table1[Date of Initial Assessment]="","",IF(AND(Table1[Start Date]&gt;42460,Table1[Start Date]&lt;42826),Table1[Self-Care and Living Skills],""))</f>
        <v/>
      </c>
      <c r="FW541" s="44" t="str">
        <f>IF(Table1[Date of Initial Assessment]="","",IF(AND(Table1[Start Date]&gt;42460,Table1[Start Date]&lt;42826),Table1[Managing Money and Personal Administration],""))</f>
        <v/>
      </c>
      <c r="FX541" s="44" t="str">
        <f>IF(Table1[Date of Initial Assessment]="","",IF(AND(Table1[Start Date]&gt;42460,Table1[Start Date]&lt;42826),Table1[Social Networks and Relationships],""))</f>
        <v/>
      </c>
      <c r="FY541" s="44" t="str">
        <f>IF(Table1[Date of Initial Assessment]="","",IF(AND(Table1[Start Date]&gt;42460,Table1[Start Date]&lt;42826),Table1[Drug and Alcohol Misuse],""))</f>
        <v/>
      </c>
      <c r="FZ541" s="44" t="str">
        <f>IF(Table1[Date of Initial Assessment]="","",IF(AND(Table1[Start Date]&gt;42460,Table1[Start Date]&lt;42826),Table1[Physical Health],""))</f>
        <v/>
      </c>
      <c r="GA541" s="44" t="str">
        <f>IF(Table1[Date of Initial Assessment]="","",IF(AND(Table1[Start Date]&gt;42460,Table1[Start Date]&lt;42826),Table1[Emotional and Mental Health],""))</f>
        <v/>
      </c>
      <c r="GB541" s="44" t="str">
        <f>IF(Table1[Date of Initial Assessment]="","",IF(AND(Table1[Start Date]&gt;42460,Table1[Start Date]&lt;42826),Table1[Meaningful Use of Time],""))</f>
        <v/>
      </c>
      <c r="GC541" s="44" t="str">
        <f>IF(Table1[Date of Initial Assessment]="","",IF(AND(Table1[Start Date]&gt;42460,Table1[Start Date]&lt;42826),Table1[Managing Tenancy and Accommodation],""))</f>
        <v/>
      </c>
      <c r="GD541" s="44" t="str">
        <f>IF(Table1[Date of Initial Assessment]="","",IF(AND(Table1[Start Date]&gt;42460,Table1[Start Date]&lt;42826),Table1[Offending],""))</f>
        <v/>
      </c>
      <c r="GE541" s="44" t="str">
        <f>IF(Table1[Leaving Date]="","",IF(AND(Table1[Leaving Date]&gt;42460,Table1[Leaving Date]&lt;42826),IF(Table1[Date of Last Assessment]="",Table1[Motivation and Taking Responsibility],Table1[Motivation and Taking Responsibility2]),""))</f>
        <v/>
      </c>
      <c r="GF541" s="44" t="str">
        <f>IF(Table1[Leaving Date]="","",IF(AND(Table1[Leaving Date]&gt;42460,Table1[Leaving Date]&lt;42826),IF(Table1[Date of Last Assessment]="",Table1[Self-Care and Living Skills],Table1[Self-Care and Living Skills2]),""))</f>
        <v/>
      </c>
      <c r="GG541" s="44" t="str">
        <f>IF(Table1[Leaving Date]="","",IF(AND(Table1[Leaving Date]&gt;42460,Table1[Leaving Date]&lt;42826),IF(Table1[Date of Last Assessment]="",Table1[Managing Money and Personal Administration],Table1[Managing Money and Personal Administration2]),""))</f>
        <v/>
      </c>
      <c r="GH541" s="44" t="str">
        <f>IF(Table1[Leaving Date]="","",IF(AND(Table1[Leaving Date]&gt;42460,Table1[Leaving Date]&lt;42826),IF(Table1[Date of Last Assessment]="",Table1[Social Networks and Relationships],Table1[Social Networks and Relationships2]),""))</f>
        <v/>
      </c>
      <c r="GI541" s="44" t="str">
        <f>IF(Table1[Leaving Date]="","",IF(AND(Table1[Leaving Date]&gt;42460,Table1[Leaving Date]&lt;42826),IF(Table1[Date of Last Assessment]="",Table1[Drug and Alcohol Misuse],Table1[Drug and Alcohol Misuse2]),""))</f>
        <v/>
      </c>
      <c r="GJ541" s="44" t="str">
        <f>IF(Table1[Leaving Date]="","",IF(AND(Table1[Leaving Date]&gt;42460,Table1[Leaving Date]&lt;42826),IF(Table1[Date of Last Assessment]="",Table1[Physical Health],Table1[Physical Health2]),""))</f>
        <v/>
      </c>
      <c r="GK541" s="44" t="str">
        <f>IF(Table1[Leaving Date]="","",IF(AND(Table1[Leaving Date]&gt;42460,Table1[Leaving Date]&lt;42826),IF(Table1[Date of Last Assessment]="",Table1[Emotional and Mental Health],Table1[Emotional and Mental Health2]),""))</f>
        <v/>
      </c>
      <c r="GL541" s="44" t="str">
        <f>IF(Table1[Leaving Date]="","",IF(AND(Table1[Leaving Date]&gt;42460,Table1[Leaving Date]&lt;42826),IF(Table1[Date of Last Assessment]="",Table1[Meaningful Use of Time],Table1[Meaningful Use of Time2]),""))</f>
        <v/>
      </c>
      <c r="GM541" s="44" t="str">
        <f>IF(Table1[Leaving Date]="","",IF(AND(Table1[Leaving Date]&gt;42460,Table1[Leaving Date]&lt;42826),IF(Table1[Date of Last Assessment]="",Table1[Managing Tenancy and Accommodation],Table1[Managing Tenancy and Accommodation2]),""))</f>
        <v/>
      </c>
      <c r="GN541" s="44" t="str">
        <f>IF(Table1[Leaving Date]="","",IF(AND(Table1[Leaving Date]&gt;42460,Table1[Leaving Date]&lt;42826),IF(Table1[Date of Last Assessment]="",Table1[Offending],Table1[Offending2]),""))</f>
        <v/>
      </c>
    </row>
    <row r="542" spans="2:196" ht="20.100000000000001" customHeight="1" x14ac:dyDescent="0.2">
      <c r="B542" s="86">
        <f>+'Service Data'!$C$5:$C$5</f>
        <v>0</v>
      </c>
      <c r="C542" s="86"/>
      <c r="D542" s="86"/>
      <c r="E542" s="86"/>
      <c r="F542" s="86"/>
      <c r="G542" s="86"/>
      <c r="H542" s="6"/>
      <c r="I542" s="99" t="str">
        <f ca="1">IF(Table1[[#This Row],[Date of Birth]]="","",SUM(TODAY()-Table1[[#This Row],[Date of Birth]])/365)</f>
        <v/>
      </c>
      <c r="L542" s="86"/>
      <c r="M542" s="77"/>
      <c r="N542" s="86"/>
      <c r="O542" s="86"/>
      <c r="P542" s="91"/>
      <c r="Q542" s="86"/>
      <c r="R542" s="77"/>
      <c r="S542" s="77"/>
      <c r="T542" s="68"/>
      <c r="U542" s="68"/>
      <c r="V542" s="67"/>
      <c r="W542" s="67"/>
      <c r="X542" s="67"/>
      <c r="Y542" s="67"/>
      <c r="Z542" s="67"/>
      <c r="AA542" s="67"/>
      <c r="AB542" s="67"/>
      <c r="AC542" s="67"/>
      <c r="AD542" s="67"/>
      <c r="AE542" s="67"/>
      <c r="AF542" s="67"/>
      <c r="AG542" s="67"/>
      <c r="AH542" s="67"/>
      <c r="AI542" s="67"/>
      <c r="AJ542" s="67"/>
      <c r="AK542" s="67"/>
      <c r="AL542" s="67"/>
      <c r="AM542" s="67"/>
      <c r="AN542" s="77"/>
      <c r="AO542" s="76"/>
      <c r="AP542" s="77"/>
      <c r="AQ542" s="76"/>
      <c r="AR542" s="76"/>
      <c r="AS542" s="76"/>
      <c r="AT542" s="76"/>
      <c r="AU542" s="76"/>
      <c r="AV542" s="77"/>
      <c r="AW542" s="76"/>
      <c r="AX542" s="77"/>
      <c r="AY542" s="76"/>
      <c r="AZ542" s="76"/>
      <c r="BA542" s="76"/>
      <c r="BB542" s="76"/>
      <c r="BC542" s="76"/>
      <c r="BD542" s="77"/>
      <c r="BE542" s="76"/>
      <c r="BF542" s="77"/>
      <c r="BG542" s="76"/>
      <c r="BH542" s="76"/>
      <c r="BI542" s="76"/>
      <c r="BJ542" s="76"/>
      <c r="BK542" s="76"/>
      <c r="BL542" s="77"/>
      <c r="BM542" s="76"/>
      <c r="BN542" s="77"/>
      <c r="BO542" s="76"/>
      <c r="BP542" s="76"/>
      <c r="BQ542" s="76"/>
      <c r="BR542" s="76"/>
      <c r="BS542" s="76"/>
      <c r="BT542" s="77"/>
      <c r="BU542" s="76"/>
      <c r="BV542" s="77"/>
      <c r="BW542" s="76"/>
      <c r="BX542" s="76"/>
      <c r="BY542" s="76"/>
      <c r="BZ542" s="76"/>
      <c r="CA542" s="76"/>
      <c r="CB542" s="77"/>
      <c r="CC542" s="76"/>
      <c r="CD542" s="77"/>
      <c r="CE542" s="76"/>
      <c r="CF542" s="76"/>
      <c r="CG542" s="76"/>
      <c r="CH542" s="76"/>
      <c r="CI542" s="76"/>
      <c r="CJ542" s="77"/>
      <c r="CK542" s="76"/>
      <c r="CL542" s="77"/>
      <c r="CM542" s="76"/>
      <c r="CN542" s="76"/>
      <c r="CO542" s="76"/>
      <c r="CP542" s="76"/>
      <c r="CQ542" s="76"/>
      <c r="CR542" s="78" t="str">
        <f t="shared" si="143"/>
        <v/>
      </c>
      <c r="CS542" s="79" t="str">
        <f t="shared" si="144"/>
        <v/>
      </c>
      <c r="CT542" s="79" t="str">
        <f t="shared" si="145"/>
        <v/>
      </c>
      <c r="CU542" s="79" t="str">
        <f t="shared" si="146"/>
        <v/>
      </c>
      <c r="CV542" s="79" t="str">
        <f t="shared" si="147"/>
        <v/>
      </c>
      <c r="CW542" s="79" t="str">
        <f t="shared" si="148"/>
        <v/>
      </c>
      <c r="CX542" s="79" t="str">
        <f t="shared" si="149"/>
        <v/>
      </c>
      <c r="CY542" s="79" t="str">
        <f t="shared" si="150"/>
        <v/>
      </c>
      <c r="CZ542" s="79" t="str">
        <f t="shared" si="151"/>
        <v/>
      </c>
      <c r="DA542" s="79" t="str">
        <f t="shared" si="152"/>
        <v/>
      </c>
      <c r="DB542" s="79" t="str">
        <f t="shared" si="153"/>
        <v/>
      </c>
      <c r="DC542" s="79" t="str">
        <f t="shared" si="154"/>
        <v/>
      </c>
      <c r="DD542" s="79" t="str">
        <f t="shared" si="155"/>
        <v/>
      </c>
      <c r="DE542" s="79" t="str">
        <f t="shared" si="156"/>
        <v/>
      </c>
      <c r="DF542" s="79" t="str">
        <f t="shared" si="157"/>
        <v/>
      </c>
      <c r="DG542" s="79" t="str">
        <f t="shared" si="158"/>
        <v/>
      </c>
      <c r="DH542" s="76"/>
      <c r="DI542" s="78"/>
      <c r="DJ542" s="76"/>
      <c r="DK542" s="77"/>
      <c r="DL542" s="77"/>
      <c r="DM542" s="77"/>
      <c r="DN542" s="80"/>
      <c r="DO542" s="80"/>
      <c r="DP542" s="92" t="str">
        <f>IF(Table1[Start Date]="","",IF(Table1[Start Date]&gt;42185,"",IF(AND(Table1[Leaving Date]&gt;1,Table1[Leaving Date]&lt;42095),"",1)))</f>
        <v/>
      </c>
      <c r="DQ542" s="92" t="str">
        <f>IF(Table1[Start Date]="","",IF(Table1[Start Date]&gt;42277,"",IF(AND(Table1[Leaving Date]&gt;1,Table1[Leaving Date]&lt;42186),"",1)))</f>
        <v/>
      </c>
      <c r="DR542" s="92" t="str">
        <f>IF(Table1[Start Date]="","",IF(Table1[Start Date]&gt;42369,"",IF(AND(Table1[Leaving Date]&gt;1,Table1[Leaving Date]&lt;42278),"",1)))</f>
        <v/>
      </c>
      <c r="DS542" s="92" t="str">
        <f>IF(Table1[Start Date]="","",IF(Table1[Start Date]&gt;42460,"",IF(AND(Table1[Leaving Date]&gt;1,Table1[Leaving Date]&lt;42370),"",1)))</f>
        <v/>
      </c>
      <c r="DT542" s="92" t="str">
        <f>IF(Table1[Start Date]="","",IF(Table1[Start Date]&gt;42551,"",IF(AND(Table1[Leaving Date]&gt;1,Table1[Leaving Date]&lt;42461),"",1)))</f>
        <v/>
      </c>
      <c r="DU542" s="92" t="str">
        <f>IF(Table1[Start Date]="","",IF(Table1[Start Date]&gt;42643,"",IF(AND(Table1[Leaving Date]&gt;1,Table1[Leaving Date]&lt;42552),"",1)))</f>
        <v/>
      </c>
      <c r="DV542" s="92" t="str">
        <f>IF(Table1[Start Date]="","",IF(Table1[Start Date]&gt;42735,"",IF(AND(Table1[Leaving Date]&gt;1,Table1[Leaving Date]&lt;42644),"",1)))</f>
        <v/>
      </c>
      <c r="DW542" s="92" t="str">
        <f>IF(Table1[Start Date]="","",IF(Table1[Start Date]&gt;42825,"",IF(AND(Table1[Leaving Date]&gt;1,Table1[Leaving Date]&lt;42736),"",1)))</f>
        <v/>
      </c>
      <c r="DX542"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542" s="44" t="e">
        <f>VLOOKUP(Table1[Referral Source],Lists!$G$2:$H$20,2,FALSE)</f>
        <v>#N/A</v>
      </c>
      <c r="DZ542" s="93" t="e">
        <f>SUM(Table1[Data Referral Quarter]+Table1[Data Referral Source])</f>
        <v>#N/A</v>
      </c>
      <c r="EA542" s="44" t="b">
        <f>IF(Table1[Referral Decision]="Accepted",100,IF(Table1[Referral Decision]="Rejected by Provider",200,IF(Table1[Referral Decision]="Rejected by Applicant",300)))</f>
        <v>0</v>
      </c>
      <c r="EB542" s="44">
        <f>SUM(Table1[Data Referral Quarter]+Table1[Data Referral Decision])</f>
        <v>0</v>
      </c>
      <c r="EC542" s="44" t="b">
        <f>IF(Table1[Start Date]&gt;42735,8000,IF(Table1[Start Date]&gt;42643,7000,IF(Table1[Start Date]&gt;42551,6000,IF(Table1[Start Date]&gt;42460,5000,IF(Table1[Start Date]&gt;42369,4000,IF(Table1[Start Date]&gt;42277,3000,IF(Table1[Start Date]&gt;42185,2000,IF(Table1[Start Date]&gt;42094,1000))))))))</f>
        <v>0</v>
      </c>
      <c r="ED542" s="44" t="str">
        <f>IF(Table1[Start Date]="","",IF(Table1[Current Local Authority]="Swindon",1,"2"))</f>
        <v/>
      </c>
      <c r="EE542" s="44" t="e">
        <f>SUM(Table1[Data Start Date]+Table1[Data Local Authority])</f>
        <v>#VALUE!</v>
      </c>
      <c r="EF542" s="44">
        <f>IF(Table1[Registered with GP]="Yes",1,0)</f>
        <v>0</v>
      </c>
      <c r="EG542" s="44">
        <f>SUM(Table1[Data Start Date]+Table1[Data GP Start])</f>
        <v>0</v>
      </c>
      <c r="EH542" s="44" t="str">
        <f>IF(Table1[EET]="NEET",1,IF(Table1[EET]="Education",2,IF(Table1[EET]="Employment",2,IF(Table1[EET]="Training",2,IF(Table1[EET]="Retired",3,"")))))</f>
        <v/>
      </c>
      <c r="EI542" s="44" t="e">
        <f>Table1[Data Start Date]+Table1[Data EET Start]</f>
        <v>#VALUE!</v>
      </c>
      <c r="EJ542" s="44" t="b">
        <f>IF(Table1[Leaving Date]&gt;42735,8000,IF(Table1[Leaving Date]&gt;42643,7000,IF(Table1[Leaving Date]&gt;42551,6000,IF(Table1[Leaving Date]&gt;42460,5000,IF(Table1[Leaving Date]&gt;42369,4000,IF(Table1[Leaving Date]&gt;42277,3000,IF(Table1[Leaving Date]&gt;42185,2000,IF(Table1[Leaving Date]&gt;42094,1000))))))))</f>
        <v>0</v>
      </c>
      <c r="EK542" s="44" t="e">
        <f>VLOOKUP(Table1[Reason for Leaving],Lists!$T$2:$U$15,2,FALSE)</f>
        <v>#N/A</v>
      </c>
      <c r="EL542" s="44" t="e">
        <f>SUM(Table1[Data Leavers Date]+Table1[Data Move On])</f>
        <v>#N/A</v>
      </c>
      <c r="EM542" s="44" t="b">
        <f>IF(Table1[Registered with GP2]="Yes",1,IF(Table1[Registered with GP2]="No",0,IF(Table1[Registered with GP]="Yes",1,IF(Table1[Registered with GP]="No",0))))</f>
        <v>0</v>
      </c>
      <c r="EN542" s="44">
        <f>SUM(Table1[Data Leavers Date]+Table1[Data GP End])</f>
        <v>0</v>
      </c>
      <c r="EO542" s="44" t="str">
        <f>IF(Table1[EET2]="NEET",1,IF(Table1[EET2]="Employment",2,IF(Table1[EET2]="Education",2,IF(Table1[EET2]="Training",2,IF(Table1[EET2]="Retired",3,IF(Table1[EET]="NEET",1,IF(Table1[EET]="Employment",2,IF(Table1[EET]="Education",2,IF(Table1[EET]="Training",2,IF(Table1[EET]="Retired",3,""))))))))))</f>
        <v/>
      </c>
      <c r="EP542" s="44" t="e">
        <f>+Table1[[#This Row],[Data Leavers Date]]+Table1[[#This Row],[Data EET End]]</f>
        <v>#VALUE!</v>
      </c>
      <c r="EQ542" s="44">
        <f>IF(Table1[Exit Form Received]="Yes",1,0)</f>
        <v>0</v>
      </c>
      <c r="ER542" s="44">
        <f>+Table1[[#This Row],[Data Leavers Date]]+Table1[[#This Row],[Data Exit Forms]]</f>
        <v>0</v>
      </c>
      <c r="ES542" s="44" t="str">
        <f>IF(Table1[Data Leavers Date]=1000,SUM(Table1[Leaving Date]-Table1[Start Date]),"")</f>
        <v/>
      </c>
      <c r="ET542" s="44" t="str">
        <f>IF(Table1[Data Leavers Date]=2000,SUM(Table1[Leaving Date]-Table1[Start Date]),"")</f>
        <v/>
      </c>
      <c r="EU542" s="44" t="str">
        <f>IF(Table1[Data Leavers Date]=3000,SUM(Table1[Leaving Date]-Table1[Start Date]),"")</f>
        <v/>
      </c>
      <c r="EV542" s="44" t="str">
        <f>IF(Table1[Data Leavers Date]=4000,SUM(Table1[Leaving Date]-Table1[Start Date]),"")</f>
        <v/>
      </c>
      <c r="EW542" s="44" t="str">
        <f>IF(Table1[Data Leavers Date]=5000,SUM(Table1[Leaving Date]-Table1[Start Date]),"")</f>
        <v/>
      </c>
      <c r="EX542" s="44" t="str">
        <f>IF(Table1[Data Leavers Date]=6000,SUM(Table1[Leaving Date]-Table1[Start Date]),"")</f>
        <v/>
      </c>
      <c r="EY542" s="44" t="str">
        <f>IF(Table1[Data Leavers Date]=7000,SUM(Table1[Leaving Date]-Table1[Start Date]),"")</f>
        <v/>
      </c>
      <c r="EZ542" s="44" t="str">
        <f>IF(Table1[Data Leavers Date]=8000,SUM(Table1[Leaving Date]-Table1[Start Date]),"")</f>
        <v/>
      </c>
      <c r="FA542" s="44" t="str">
        <f>IF(Table1[Date of Initial Assessment]="","",IF(AND(Table1[Start Date]&gt;42094,Table1[Start Date]&lt;42461),Table1[Motivation and Taking Responsibility],""))</f>
        <v/>
      </c>
      <c r="FB542" s="44" t="str">
        <f>IF(Table1[Date of Initial Assessment]="","",IF(AND(Table1[Start Date]&gt;42094,Table1[Start Date]&lt;42461),Table1[Self-Care and Living Skills],""))</f>
        <v/>
      </c>
      <c r="FC542" s="44" t="str">
        <f>IF(Table1[Date of Initial Assessment]="","",IF(AND(Table1[Start Date]&gt;42094,Table1[Start Date]&lt;42461),Table1[Managing Money and Personal Administration],""))</f>
        <v/>
      </c>
      <c r="FD542" s="44" t="str">
        <f>IF(Table1[Date of Initial Assessment]="","",IF(AND(Table1[Start Date]&gt;42094,Table1[Start Date]&lt;42461),Table1[Social Networks and Relationships],""))</f>
        <v/>
      </c>
      <c r="FE542" s="44" t="str">
        <f>IF(Table1[Date of Initial Assessment]="","",IF(AND(Table1[Start Date]&gt;42094,Table1[Start Date]&lt;42461),Table1[Drug and Alcohol Misuse],""))</f>
        <v/>
      </c>
      <c r="FF542" s="44" t="str">
        <f>IF(Table1[Date of Initial Assessment]="","",IF(AND(Table1[Start Date]&gt;42094,Table1[Start Date]&lt;42461),Table1[Physical Health],""))</f>
        <v/>
      </c>
      <c r="FG542" s="44" t="str">
        <f>IF(Table1[Date of Initial Assessment]="","",IF(AND(Table1[Start Date]&gt;42094,Table1[Start Date]&lt;42461),Table1[Emotional and Mental Health],""))</f>
        <v/>
      </c>
      <c r="FH542" s="44" t="str">
        <f>IF(Table1[Date of Initial Assessment]="","",IF(AND(Table1[Start Date]&gt;42094,Table1[Start Date]&lt;42461),Table1[Meaningful Use of Time],""))</f>
        <v/>
      </c>
      <c r="FI542" s="44" t="str">
        <f>IF(Table1[Date of Initial Assessment]="","",IF(AND(Table1[Start Date]&gt;42094,Table1[Start Date]&lt;42461),Table1[Managing Tenancy and Accommodation],""))</f>
        <v/>
      </c>
      <c r="FJ542" s="44" t="str">
        <f>IF(Table1[Date of Initial Assessment]="","",IF(AND(Table1[Start Date]&gt;42094,Table1[Start Date]&lt;42461),Table1[Offending],""))</f>
        <v/>
      </c>
      <c r="FK542" s="44" t="str">
        <f>IF(Table1[Leaving Date]="","",IF(Table1[Date of Initial Assessment]="","",IF(AND(Table1[Leaving Date]&gt;42094,Table1[Leaving Date]&lt;42461),IF(Table1[Date of Last Assessment]="",Table1[Motivation and Taking Responsibility],Table1[Motivation and Taking Responsibility2]),"")))</f>
        <v/>
      </c>
      <c r="FL542" s="44" t="str">
        <f>IF(Table1[Leaving Date]="","",IF(Table1[Date of Initial Assessment]="","",IF(AND(Table1[Leaving Date]&gt;42094,Table1[Leaving Date]&lt;42461),IF(Table1[Date of Last Assessment]="",Table1[Self-Care and Living Skills],Table1[Self-Care and Living Skills2]),"")))</f>
        <v/>
      </c>
      <c r="FM542" s="44" t="str">
        <f>IF(Table1[Leaving Date]="","",IF(Table1[Date of Initial Assessment]="","",IF(AND(Table1[Leaving Date]&gt;42094,Table1[Leaving Date]&lt;42461),IF(Table1[Date of Last Assessment]="",Table1[Managing Money and Personal Administration],Table1[Managing Money and Personal Administration2]),"")))</f>
        <v/>
      </c>
      <c r="FN542" s="44" t="str">
        <f>IF(Table1[Leaving Date]="","",IF(Table1[Date of Initial Assessment]="","",IF(AND(Table1[Leaving Date]&gt;42094,Table1[Leaving Date]&lt;42461),IF(Table1[Date of Last Assessment]="",Table1[Social Networks and Relationships],Table1[Social Networks and Relationships2]),"")))</f>
        <v/>
      </c>
      <c r="FO542" s="44" t="str">
        <f>IF(Table1[Leaving Date]="","",IF(Table1[Date of Initial Assessment]="","",IF(AND(Table1[Leaving Date]&gt;42094,Table1[Leaving Date]&lt;42461),IF(Table1[Date of Last Assessment]="",Table1[Drug and Alcohol Misuse],Table1[Drug and Alcohol Misuse2]),"")))</f>
        <v/>
      </c>
      <c r="FP542" s="44" t="str">
        <f>IF(Table1[Leaving Date]="","",IF(Table1[Date of Initial Assessment]="","",IF(AND(Table1[Leaving Date]&gt;42094,Table1[Leaving Date]&lt;42461),IF(Table1[Date of Last Assessment]="",Table1[Physical Health],Table1[Physical Health2]),"")))</f>
        <v/>
      </c>
      <c r="FQ542" s="44" t="str">
        <f>IF(Table1[Leaving Date]="","",IF(Table1[Date of Initial Assessment]="","",IF(AND(Table1[Leaving Date]&gt;42094,Table1[Leaving Date]&lt;42461),IF(Table1[Date of Last Assessment]="",Table1[Emotional and Mental Health],Table1[Emotional and Mental Health2]),"")))</f>
        <v/>
      </c>
      <c r="FR542" s="44" t="str">
        <f>IF(Table1[Leaving Date]="","",IF(Table1[Date of Initial Assessment]="","",IF(AND(Table1[Leaving Date]&gt;42094,Table1[Leaving Date]&lt;42461),IF(Table1[Date of Last Assessment]="",Table1[Meaningful Use of Time],Table1[Meaningful Use of Time2]),"")))</f>
        <v/>
      </c>
      <c r="FS542" s="44" t="str">
        <f>IF(Table1[Leaving Date]="","",IF(Table1[Date of Initial Assessment]="","",IF(AND(Table1[Leaving Date]&gt;42094,Table1[Leaving Date]&lt;42461),IF(Table1[Date of Last Assessment]="",Table1[Managing Tenancy and Accommodation],Table1[Managing Tenancy and Accommodation2]),"")))</f>
        <v/>
      </c>
      <c r="FT542" s="44" t="str">
        <f>IF(Table1[Leaving Date]="","",IF(Table1[Date of Initial Assessment]="","",IF(AND(Table1[Leaving Date]&gt;42094,Table1[Leaving Date]&lt;42461),IF(Table1[Date of Last Assessment]="",Table1[Offending],Table1[Offending2]),"")))</f>
        <v/>
      </c>
      <c r="FU542" s="44" t="str">
        <f>IF(Table1[Date of Initial Assessment]="","",IF(AND(Table1[Start Date]&gt;42460,Table1[Start Date]&lt;42826),Table1[Motivation and Taking Responsibility],""))</f>
        <v/>
      </c>
      <c r="FV542" s="44" t="str">
        <f>IF(Table1[Date of Initial Assessment]="","",IF(AND(Table1[Start Date]&gt;42460,Table1[Start Date]&lt;42826),Table1[Self-Care and Living Skills],""))</f>
        <v/>
      </c>
      <c r="FW542" s="44" t="str">
        <f>IF(Table1[Date of Initial Assessment]="","",IF(AND(Table1[Start Date]&gt;42460,Table1[Start Date]&lt;42826),Table1[Managing Money and Personal Administration],""))</f>
        <v/>
      </c>
      <c r="FX542" s="44" t="str">
        <f>IF(Table1[Date of Initial Assessment]="","",IF(AND(Table1[Start Date]&gt;42460,Table1[Start Date]&lt;42826),Table1[Social Networks and Relationships],""))</f>
        <v/>
      </c>
      <c r="FY542" s="44" t="str">
        <f>IF(Table1[Date of Initial Assessment]="","",IF(AND(Table1[Start Date]&gt;42460,Table1[Start Date]&lt;42826),Table1[Drug and Alcohol Misuse],""))</f>
        <v/>
      </c>
      <c r="FZ542" s="44" t="str">
        <f>IF(Table1[Date of Initial Assessment]="","",IF(AND(Table1[Start Date]&gt;42460,Table1[Start Date]&lt;42826),Table1[Physical Health],""))</f>
        <v/>
      </c>
      <c r="GA542" s="44" t="str">
        <f>IF(Table1[Date of Initial Assessment]="","",IF(AND(Table1[Start Date]&gt;42460,Table1[Start Date]&lt;42826),Table1[Emotional and Mental Health],""))</f>
        <v/>
      </c>
      <c r="GB542" s="44" t="str">
        <f>IF(Table1[Date of Initial Assessment]="","",IF(AND(Table1[Start Date]&gt;42460,Table1[Start Date]&lt;42826),Table1[Meaningful Use of Time],""))</f>
        <v/>
      </c>
      <c r="GC542" s="44" t="str">
        <f>IF(Table1[Date of Initial Assessment]="","",IF(AND(Table1[Start Date]&gt;42460,Table1[Start Date]&lt;42826),Table1[Managing Tenancy and Accommodation],""))</f>
        <v/>
      </c>
      <c r="GD542" s="44" t="str">
        <f>IF(Table1[Date of Initial Assessment]="","",IF(AND(Table1[Start Date]&gt;42460,Table1[Start Date]&lt;42826),Table1[Offending],""))</f>
        <v/>
      </c>
      <c r="GE542" s="44" t="str">
        <f>IF(Table1[Leaving Date]="","",IF(AND(Table1[Leaving Date]&gt;42460,Table1[Leaving Date]&lt;42826),IF(Table1[Date of Last Assessment]="",Table1[Motivation and Taking Responsibility],Table1[Motivation and Taking Responsibility2]),""))</f>
        <v/>
      </c>
      <c r="GF542" s="44" t="str">
        <f>IF(Table1[Leaving Date]="","",IF(AND(Table1[Leaving Date]&gt;42460,Table1[Leaving Date]&lt;42826),IF(Table1[Date of Last Assessment]="",Table1[Self-Care and Living Skills],Table1[Self-Care and Living Skills2]),""))</f>
        <v/>
      </c>
      <c r="GG542" s="44" t="str">
        <f>IF(Table1[Leaving Date]="","",IF(AND(Table1[Leaving Date]&gt;42460,Table1[Leaving Date]&lt;42826),IF(Table1[Date of Last Assessment]="",Table1[Managing Money and Personal Administration],Table1[Managing Money and Personal Administration2]),""))</f>
        <v/>
      </c>
      <c r="GH542" s="44" t="str">
        <f>IF(Table1[Leaving Date]="","",IF(AND(Table1[Leaving Date]&gt;42460,Table1[Leaving Date]&lt;42826),IF(Table1[Date of Last Assessment]="",Table1[Social Networks and Relationships],Table1[Social Networks and Relationships2]),""))</f>
        <v/>
      </c>
      <c r="GI542" s="44" t="str">
        <f>IF(Table1[Leaving Date]="","",IF(AND(Table1[Leaving Date]&gt;42460,Table1[Leaving Date]&lt;42826),IF(Table1[Date of Last Assessment]="",Table1[Drug and Alcohol Misuse],Table1[Drug and Alcohol Misuse2]),""))</f>
        <v/>
      </c>
      <c r="GJ542" s="44" t="str">
        <f>IF(Table1[Leaving Date]="","",IF(AND(Table1[Leaving Date]&gt;42460,Table1[Leaving Date]&lt;42826),IF(Table1[Date of Last Assessment]="",Table1[Physical Health],Table1[Physical Health2]),""))</f>
        <v/>
      </c>
      <c r="GK542" s="44" t="str">
        <f>IF(Table1[Leaving Date]="","",IF(AND(Table1[Leaving Date]&gt;42460,Table1[Leaving Date]&lt;42826),IF(Table1[Date of Last Assessment]="",Table1[Emotional and Mental Health],Table1[Emotional and Mental Health2]),""))</f>
        <v/>
      </c>
      <c r="GL542" s="44" t="str">
        <f>IF(Table1[Leaving Date]="","",IF(AND(Table1[Leaving Date]&gt;42460,Table1[Leaving Date]&lt;42826),IF(Table1[Date of Last Assessment]="",Table1[Meaningful Use of Time],Table1[Meaningful Use of Time2]),""))</f>
        <v/>
      </c>
      <c r="GM542" s="44" t="str">
        <f>IF(Table1[Leaving Date]="","",IF(AND(Table1[Leaving Date]&gt;42460,Table1[Leaving Date]&lt;42826),IF(Table1[Date of Last Assessment]="",Table1[Managing Tenancy and Accommodation],Table1[Managing Tenancy and Accommodation2]),""))</f>
        <v/>
      </c>
      <c r="GN542" s="44" t="str">
        <f>IF(Table1[Leaving Date]="","",IF(AND(Table1[Leaving Date]&gt;42460,Table1[Leaving Date]&lt;42826),IF(Table1[Date of Last Assessment]="",Table1[Offending],Table1[Offending2]),""))</f>
        <v/>
      </c>
    </row>
    <row r="543" spans="2:196" ht="20.100000000000001" customHeight="1" x14ac:dyDescent="0.2">
      <c r="B543" s="86">
        <f>+'Service Data'!$C$5:$C$5</f>
        <v>0</v>
      </c>
      <c r="C543" s="86"/>
      <c r="D543" s="86"/>
      <c r="E543" s="86"/>
      <c r="F543" s="86"/>
      <c r="G543" s="86"/>
      <c r="H543" s="6"/>
      <c r="I543" s="99" t="str">
        <f ca="1">IF(Table1[[#This Row],[Date of Birth]]="","",SUM(TODAY()-Table1[[#This Row],[Date of Birth]])/365)</f>
        <v/>
      </c>
      <c r="L543" s="86"/>
      <c r="M543" s="77"/>
      <c r="N543" s="86"/>
      <c r="O543" s="86"/>
      <c r="P543" s="91"/>
      <c r="Q543" s="86"/>
      <c r="R543" s="77"/>
      <c r="S543" s="77"/>
      <c r="T543" s="68"/>
      <c r="U543" s="68"/>
      <c r="V543" s="67"/>
      <c r="W543" s="67"/>
      <c r="X543" s="67"/>
      <c r="Y543" s="67"/>
      <c r="Z543" s="67"/>
      <c r="AA543" s="67"/>
      <c r="AB543" s="67"/>
      <c r="AC543" s="67"/>
      <c r="AD543" s="67"/>
      <c r="AE543" s="67"/>
      <c r="AF543" s="67"/>
      <c r="AG543" s="67"/>
      <c r="AH543" s="67"/>
      <c r="AI543" s="67"/>
      <c r="AJ543" s="67"/>
      <c r="AK543" s="67"/>
      <c r="AL543" s="67"/>
      <c r="AM543" s="67"/>
      <c r="AN543" s="77"/>
      <c r="AO543" s="76"/>
      <c r="AP543" s="77"/>
      <c r="AQ543" s="76"/>
      <c r="AR543" s="76"/>
      <c r="AS543" s="76"/>
      <c r="AT543" s="76"/>
      <c r="AU543" s="76"/>
      <c r="AV543" s="77"/>
      <c r="AW543" s="76"/>
      <c r="AX543" s="77"/>
      <c r="AY543" s="76"/>
      <c r="AZ543" s="76"/>
      <c r="BA543" s="76"/>
      <c r="BB543" s="76"/>
      <c r="BC543" s="76"/>
      <c r="BD543" s="77"/>
      <c r="BE543" s="76"/>
      <c r="BF543" s="77"/>
      <c r="BG543" s="76"/>
      <c r="BH543" s="76"/>
      <c r="BI543" s="76"/>
      <c r="BJ543" s="76"/>
      <c r="BK543" s="76"/>
      <c r="BL543" s="77"/>
      <c r="BM543" s="76"/>
      <c r="BN543" s="77"/>
      <c r="BO543" s="76"/>
      <c r="BP543" s="76"/>
      <c r="BQ543" s="76"/>
      <c r="BR543" s="76"/>
      <c r="BS543" s="76"/>
      <c r="BT543" s="77"/>
      <c r="BU543" s="76"/>
      <c r="BV543" s="77"/>
      <c r="BW543" s="76"/>
      <c r="BX543" s="76"/>
      <c r="BY543" s="76"/>
      <c r="BZ543" s="76"/>
      <c r="CA543" s="76"/>
      <c r="CB543" s="77"/>
      <c r="CC543" s="76"/>
      <c r="CD543" s="77"/>
      <c r="CE543" s="76"/>
      <c r="CF543" s="76"/>
      <c r="CG543" s="76"/>
      <c r="CH543" s="76"/>
      <c r="CI543" s="76"/>
      <c r="CJ543" s="77"/>
      <c r="CK543" s="76"/>
      <c r="CL543" s="77"/>
      <c r="CM543" s="76"/>
      <c r="CN543" s="76"/>
      <c r="CO543" s="76"/>
      <c r="CP543" s="76"/>
      <c r="CQ543" s="76"/>
      <c r="CR543" s="78" t="str">
        <f t="shared" si="143"/>
        <v/>
      </c>
      <c r="CS543" s="79" t="str">
        <f t="shared" si="144"/>
        <v/>
      </c>
      <c r="CT543" s="79" t="str">
        <f t="shared" si="145"/>
        <v/>
      </c>
      <c r="CU543" s="79" t="str">
        <f t="shared" si="146"/>
        <v/>
      </c>
      <c r="CV543" s="79" t="str">
        <f t="shared" si="147"/>
        <v/>
      </c>
      <c r="CW543" s="79" t="str">
        <f t="shared" si="148"/>
        <v/>
      </c>
      <c r="CX543" s="79" t="str">
        <f t="shared" si="149"/>
        <v/>
      </c>
      <c r="CY543" s="79" t="str">
        <f t="shared" si="150"/>
        <v/>
      </c>
      <c r="CZ543" s="79" t="str">
        <f t="shared" si="151"/>
        <v/>
      </c>
      <c r="DA543" s="79" t="str">
        <f t="shared" si="152"/>
        <v/>
      </c>
      <c r="DB543" s="79" t="str">
        <f t="shared" si="153"/>
        <v/>
      </c>
      <c r="DC543" s="79" t="str">
        <f t="shared" si="154"/>
        <v/>
      </c>
      <c r="DD543" s="79" t="str">
        <f t="shared" si="155"/>
        <v/>
      </c>
      <c r="DE543" s="79" t="str">
        <f t="shared" si="156"/>
        <v/>
      </c>
      <c r="DF543" s="79" t="str">
        <f t="shared" si="157"/>
        <v/>
      </c>
      <c r="DG543" s="79" t="str">
        <f t="shared" si="158"/>
        <v/>
      </c>
      <c r="DH543" s="76"/>
      <c r="DI543" s="78"/>
      <c r="DJ543" s="76"/>
      <c r="DK543" s="77"/>
      <c r="DL543" s="77"/>
      <c r="DM543" s="77"/>
      <c r="DN543" s="80"/>
      <c r="DO543" s="80"/>
      <c r="DP543" s="92" t="str">
        <f>IF(Table1[Start Date]="","",IF(Table1[Start Date]&gt;42185,"",IF(AND(Table1[Leaving Date]&gt;1,Table1[Leaving Date]&lt;42095),"",1)))</f>
        <v/>
      </c>
      <c r="DQ543" s="92" t="str">
        <f>IF(Table1[Start Date]="","",IF(Table1[Start Date]&gt;42277,"",IF(AND(Table1[Leaving Date]&gt;1,Table1[Leaving Date]&lt;42186),"",1)))</f>
        <v/>
      </c>
      <c r="DR543" s="92" t="str">
        <f>IF(Table1[Start Date]="","",IF(Table1[Start Date]&gt;42369,"",IF(AND(Table1[Leaving Date]&gt;1,Table1[Leaving Date]&lt;42278),"",1)))</f>
        <v/>
      </c>
      <c r="DS543" s="92" t="str">
        <f>IF(Table1[Start Date]="","",IF(Table1[Start Date]&gt;42460,"",IF(AND(Table1[Leaving Date]&gt;1,Table1[Leaving Date]&lt;42370),"",1)))</f>
        <v/>
      </c>
      <c r="DT543" s="92" t="str">
        <f>IF(Table1[Start Date]="","",IF(Table1[Start Date]&gt;42551,"",IF(AND(Table1[Leaving Date]&gt;1,Table1[Leaving Date]&lt;42461),"",1)))</f>
        <v/>
      </c>
      <c r="DU543" s="92" t="str">
        <f>IF(Table1[Start Date]="","",IF(Table1[Start Date]&gt;42643,"",IF(AND(Table1[Leaving Date]&gt;1,Table1[Leaving Date]&lt;42552),"",1)))</f>
        <v/>
      </c>
      <c r="DV543" s="92" t="str">
        <f>IF(Table1[Start Date]="","",IF(Table1[Start Date]&gt;42735,"",IF(AND(Table1[Leaving Date]&gt;1,Table1[Leaving Date]&lt;42644),"",1)))</f>
        <v/>
      </c>
      <c r="DW543" s="92" t="str">
        <f>IF(Table1[Start Date]="","",IF(Table1[Start Date]&gt;42825,"",IF(AND(Table1[Leaving Date]&gt;1,Table1[Leaving Date]&lt;42736),"",1)))</f>
        <v/>
      </c>
      <c r="DX543"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543" s="44" t="e">
        <f>VLOOKUP(Table1[Referral Source],Lists!$G$2:$H$20,2,FALSE)</f>
        <v>#N/A</v>
      </c>
      <c r="DZ543" s="93" t="e">
        <f>SUM(Table1[Data Referral Quarter]+Table1[Data Referral Source])</f>
        <v>#N/A</v>
      </c>
      <c r="EA543" s="44" t="b">
        <f>IF(Table1[Referral Decision]="Accepted",100,IF(Table1[Referral Decision]="Rejected by Provider",200,IF(Table1[Referral Decision]="Rejected by Applicant",300)))</f>
        <v>0</v>
      </c>
      <c r="EB543" s="44">
        <f>SUM(Table1[Data Referral Quarter]+Table1[Data Referral Decision])</f>
        <v>0</v>
      </c>
      <c r="EC543" s="44" t="b">
        <f>IF(Table1[Start Date]&gt;42735,8000,IF(Table1[Start Date]&gt;42643,7000,IF(Table1[Start Date]&gt;42551,6000,IF(Table1[Start Date]&gt;42460,5000,IF(Table1[Start Date]&gt;42369,4000,IF(Table1[Start Date]&gt;42277,3000,IF(Table1[Start Date]&gt;42185,2000,IF(Table1[Start Date]&gt;42094,1000))))))))</f>
        <v>0</v>
      </c>
      <c r="ED543" s="44" t="str">
        <f>IF(Table1[Start Date]="","",IF(Table1[Current Local Authority]="Swindon",1,"2"))</f>
        <v/>
      </c>
      <c r="EE543" s="44" t="e">
        <f>SUM(Table1[Data Start Date]+Table1[Data Local Authority])</f>
        <v>#VALUE!</v>
      </c>
      <c r="EF543" s="44">
        <f>IF(Table1[Registered with GP]="Yes",1,0)</f>
        <v>0</v>
      </c>
      <c r="EG543" s="44">
        <f>SUM(Table1[Data Start Date]+Table1[Data GP Start])</f>
        <v>0</v>
      </c>
      <c r="EH543" s="44" t="str">
        <f>IF(Table1[EET]="NEET",1,IF(Table1[EET]="Education",2,IF(Table1[EET]="Employment",2,IF(Table1[EET]="Training",2,IF(Table1[EET]="Retired",3,"")))))</f>
        <v/>
      </c>
      <c r="EI543" s="44" t="e">
        <f>Table1[Data Start Date]+Table1[Data EET Start]</f>
        <v>#VALUE!</v>
      </c>
      <c r="EJ543" s="44" t="b">
        <f>IF(Table1[Leaving Date]&gt;42735,8000,IF(Table1[Leaving Date]&gt;42643,7000,IF(Table1[Leaving Date]&gt;42551,6000,IF(Table1[Leaving Date]&gt;42460,5000,IF(Table1[Leaving Date]&gt;42369,4000,IF(Table1[Leaving Date]&gt;42277,3000,IF(Table1[Leaving Date]&gt;42185,2000,IF(Table1[Leaving Date]&gt;42094,1000))))))))</f>
        <v>0</v>
      </c>
      <c r="EK543" s="44" t="e">
        <f>VLOOKUP(Table1[Reason for Leaving],Lists!$T$2:$U$15,2,FALSE)</f>
        <v>#N/A</v>
      </c>
      <c r="EL543" s="44" t="e">
        <f>SUM(Table1[Data Leavers Date]+Table1[Data Move On])</f>
        <v>#N/A</v>
      </c>
      <c r="EM543" s="44" t="b">
        <f>IF(Table1[Registered with GP2]="Yes",1,IF(Table1[Registered with GP2]="No",0,IF(Table1[Registered with GP]="Yes",1,IF(Table1[Registered with GP]="No",0))))</f>
        <v>0</v>
      </c>
      <c r="EN543" s="44">
        <f>SUM(Table1[Data Leavers Date]+Table1[Data GP End])</f>
        <v>0</v>
      </c>
      <c r="EO543" s="44" t="str">
        <f>IF(Table1[EET2]="NEET",1,IF(Table1[EET2]="Employment",2,IF(Table1[EET2]="Education",2,IF(Table1[EET2]="Training",2,IF(Table1[EET2]="Retired",3,IF(Table1[EET]="NEET",1,IF(Table1[EET]="Employment",2,IF(Table1[EET]="Education",2,IF(Table1[EET]="Training",2,IF(Table1[EET]="Retired",3,""))))))))))</f>
        <v/>
      </c>
      <c r="EP543" s="44" t="e">
        <f>+Table1[[#This Row],[Data Leavers Date]]+Table1[[#This Row],[Data EET End]]</f>
        <v>#VALUE!</v>
      </c>
      <c r="EQ543" s="44">
        <f>IF(Table1[Exit Form Received]="Yes",1,0)</f>
        <v>0</v>
      </c>
      <c r="ER543" s="44">
        <f>+Table1[[#This Row],[Data Leavers Date]]+Table1[[#This Row],[Data Exit Forms]]</f>
        <v>0</v>
      </c>
      <c r="ES543" s="44" t="str">
        <f>IF(Table1[Data Leavers Date]=1000,SUM(Table1[Leaving Date]-Table1[Start Date]),"")</f>
        <v/>
      </c>
      <c r="ET543" s="44" t="str">
        <f>IF(Table1[Data Leavers Date]=2000,SUM(Table1[Leaving Date]-Table1[Start Date]),"")</f>
        <v/>
      </c>
      <c r="EU543" s="44" t="str">
        <f>IF(Table1[Data Leavers Date]=3000,SUM(Table1[Leaving Date]-Table1[Start Date]),"")</f>
        <v/>
      </c>
      <c r="EV543" s="44" t="str">
        <f>IF(Table1[Data Leavers Date]=4000,SUM(Table1[Leaving Date]-Table1[Start Date]),"")</f>
        <v/>
      </c>
      <c r="EW543" s="44" t="str">
        <f>IF(Table1[Data Leavers Date]=5000,SUM(Table1[Leaving Date]-Table1[Start Date]),"")</f>
        <v/>
      </c>
      <c r="EX543" s="44" t="str">
        <f>IF(Table1[Data Leavers Date]=6000,SUM(Table1[Leaving Date]-Table1[Start Date]),"")</f>
        <v/>
      </c>
      <c r="EY543" s="44" t="str">
        <f>IF(Table1[Data Leavers Date]=7000,SUM(Table1[Leaving Date]-Table1[Start Date]),"")</f>
        <v/>
      </c>
      <c r="EZ543" s="44" t="str">
        <f>IF(Table1[Data Leavers Date]=8000,SUM(Table1[Leaving Date]-Table1[Start Date]),"")</f>
        <v/>
      </c>
      <c r="FA543" s="44" t="str">
        <f>IF(Table1[Date of Initial Assessment]="","",IF(AND(Table1[Start Date]&gt;42094,Table1[Start Date]&lt;42461),Table1[Motivation and Taking Responsibility],""))</f>
        <v/>
      </c>
      <c r="FB543" s="44" t="str">
        <f>IF(Table1[Date of Initial Assessment]="","",IF(AND(Table1[Start Date]&gt;42094,Table1[Start Date]&lt;42461),Table1[Self-Care and Living Skills],""))</f>
        <v/>
      </c>
      <c r="FC543" s="44" t="str">
        <f>IF(Table1[Date of Initial Assessment]="","",IF(AND(Table1[Start Date]&gt;42094,Table1[Start Date]&lt;42461),Table1[Managing Money and Personal Administration],""))</f>
        <v/>
      </c>
      <c r="FD543" s="44" t="str">
        <f>IF(Table1[Date of Initial Assessment]="","",IF(AND(Table1[Start Date]&gt;42094,Table1[Start Date]&lt;42461),Table1[Social Networks and Relationships],""))</f>
        <v/>
      </c>
      <c r="FE543" s="44" t="str">
        <f>IF(Table1[Date of Initial Assessment]="","",IF(AND(Table1[Start Date]&gt;42094,Table1[Start Date]&lt;42461),Table1[Drug and Alcohol Misuse],""))</f>
        <v/>
      </c>
      <c r="FF543" s="44" t="str">
        <f>IF(Table1[Date of Initial Assessment]="","",IF(AND(Table1[Start Date]&gt;42094,Table1[Start Date]&lt;42461),Table1[Physical Health],""))</f>
        <v/>
      </c>
      <c r="FG543" s="44" t="str">
        <f>IF(Table1[Date of Initial Assessment]="","",IF(AND(Table1[Start Date]&gt;42094,Table1[Start Date]&lt;42461),Table1[Emotional and Mental Health],""))</f>
        <v/>
      </c>
      <c r="FH543" s="44" t="str">
        <f>IF(Table1[Date of Initial Assessment]="","",IF(AND(Table1[Start Date]&gt;42094,Table1[Start Date]&lt;42461),Table1[Meaningful Use of Time],""))</f>
        <v/>
      </c>
      <c r="FI543" s="44" t="str">
        <f>IF(Table1[Date of Initial Assessment]="","",IF(AND(Table1[Start Date]&gt;42094,Table1[Start Date]&lt;42461),Table1[Managing Tenancy and Accommodation],""))</f>
        <v/>
      </c>
      <c r="FJ543" s="44" t="str">
        <f>IF(Table1[Date of Initial Assessment]="","",IF(AND(Table1[Start Date]&gt;42094,Table1[Start Date]&lt;42461),Table1[Offending],""))</f>
        <v/>
      </c>
      <c r="FK543" s="44" t="str">
        <f>IF(Table1[Leaving Date]="","",IF(Table1[Date of Initial Assessment]="","",IF(AND(Table1[Leaving Date]&gt;42094,Table1[Leaving Date]&lt;42461),IF(Table1[Date of Last Assessment]="",Table1[Motivation and Taking Responsibility],Table1[Motivation and Taking Responsibility2]),"")))</f>
        <v/>
      </c>
      <c r="FL543" s="44" t="str">
        <f>IF(Table1[Leaving Date]="","",IF(Table1[Date of Initial Assessment]="","",IF(AND(Table1[Leaving Date]&gt;42094,Table1[Leaving Date]&lt;42461),IF(Table1[Date of Last Assessment]="",Table1[Self-Care and Living Skills],Table1[Self-Care and Living Skills2]),"")))</f>
        <v/>
      </c>
      <c r="FM543" s="44" t="str">
        <f>IF(Table1[Leaving Date]="","",IF(Table1[Date of Initial Assessment]="","",IF(AND(Table1[Leaving Date]&gt;42094,Table1[Leaving Date]&lt;42461),IF(Table1[Date of Last Assessment]="",Table1[Managing Money and Personal Administration],Table1[Managing Money and Personal Administration2]),"")))</f>
        <v/>
      </c>
      <c r="FN543" s="44" t="str">
        <f>IF(Table1[Leaving Date]="","",IF(Table1[Date of Initial Assessment]="","",IF(AND(Table1[Leaving Date]&gt;42094,Table1[Leaving Date]&lt;42461),IF(Table1[Date of Last Assessment]="",Table1[Social Networks and Relationships],Table1[Social Networks and Relationships2]),"")))</f>
        <v/>
      </c>
      <c r="FO543" s="44" t="str">
        <f>IF(Table1[Leaving Date]="","",IF(Table1[Date of Initial Assessment]="","",IF(AND(Table1[Leaving Date]&gt;42094,Table1[Leaving Date]&lt;42461),IF(Table1[Date of Last Assessment]="",Table1[Drug and Alcohol Misuse],Table1[Drug and Alcohol Misuse2]),"")))</f>
        <v/>
      </c>
      <c r="FP543" s="44" t="str">
        <f>IF(Table1[Leaving Date]="","",IF(Table1[Date of Initial Assessment]="","",IF(AND(Table1[Leaving Date]&gt;42094,Table1[Leaving Date]&lt;42461),IF(Table1[Date of Last Assessment]="",Table1[Physical Health],Table1[Physical Health2]),"")))</f>
        <v/>
      </c>
      <c r="FQ543" s="44" t="str">
        <f>IF(Table1[Leaving Date]="","",IF(Table1[Date of Initial Assessment]="","",IF(AND(Table1[Leaving Date]&gt;42094,Table1[Leaving Date]&lt;42461),IF(Table1[Date of Last Assessment]="",Table1[Emotional and Mental Health],Table1[Emotional and Mental Health2]),"")))</f>
        <v/>
      </c>
      <c r="FR543" s="44" t="str">
        <f>IF(Table1[Leaving Date]="","",IF(Table1[Date of Initial Assessment]="","",IF(AND(Table1[Leaving Date]&gt;42094,Table1[Leaving Date]&lt;42461),IF(Table1[Date of Last Assessment]="",Table1[Meaningful Use of Time],Table1[Meaningful Use of Time2]),"")))</f>
        <v/>
      </c>
      <c r="FS543" s="44" t="str">
        <f>IF(Table1[Leaving Date]="","",IF(Table1[Date of Initial Assessment]="","",IF(AND(Table1[Leaving Date]&gt;42094,Table1[Leaving Date]&lt;42461),IF(Table1[Date of Last Assessment]="",Table1[Managing Tenancy and Accommodation],Table1[Managing Tenancy and Accommodation2]),"")))</f>
        <v/>
      </c>
      <c r="FT543" s="44" t="str">
        <f>IF(Table1[Leaving Date]="","",IF(Table1[Date of Initial Assessment]="","",IF(AND(Table1[Leaving Date]&gt;42094,Table1[Leaving Date]&lt;42461),IF(Table1[Date of Last Assessment]="",Table1[Offending],Table1[Offending2]),"")))</f>
        <v/>
      </c>
      <c r="FU543" s="44" t="str">
        <f>IF(Table1[Date of Initial Assessment]="","",IF(AND(Table1[Start Date]&gt;42460,Table1[Start Date]&lt;42826),Table1[Motivation and Taking Responsibility],""))</f>
        <v/>
      </c>
      <c r="FV543" s="44" t="str">
        <f>IF(Table1[Date of Initial Assessment]="","",IF(AND(Table1[Start Date]&gt;42460,Table1[Start Date]&lt;42826),Table1[Self-Care and Living Skills],""))</f>
        <v/>
      </c>
      <c r="FW543" s="44" t="str">
        <f>IF(Table1[Date of Initial Assessment]="","",IF(AND(Table1[Start Date]&gt;42460,Table1[Start Date]&lt;42826),Table1[Managing Money and Personal Administration],""))</f>
        <v/>
      </c>
      <c r="FX543" s="44" t="str">
        <f>IF(Table1[Date of Initial Assessment]="","",IF(AND(Table1[Start Date]&gt;42460,Table1[Start Date]&lt;42826),Table1[Social Networks and Relationships],""))</f>
        <v/>
      </c>
      <c r="FY543" s="44" t="str">
        <f>IF(Table1[Date of Initial Assessment]="","",IF(AND(Table1[Start Date]&gt;42460,Table1[Start Date]&lt;42826),Table1[Drug and Alcohol Misuse],""))</f>
        <v/>
      </c>
      <c r="FZ543" s="44" t="str">
        <f>IF(Table1[Date of Initial Assessment]="","",IF(AND(Table1[Start Date]&gt;42460,Table1[Start Date]&lt;42826),Table1[Physical Health],""))</f>
        <v/>
      </c>
      <c r="GA543" s="44" t="str">
        <f>IF(Table1[Date of Initial Assessment]="","",IF(AND(Table1[Start Date]&gt;42460,Table1[Start Date]&lt;42826),Table1[Emotional and Mental Health],""))</f>
        <v/>
      </c>
      <c r="GB543" s="44" t="str">
        <f>IF(Table1[Date of Initial Assessment]="","",IF(AND(Table1[Start Date]&gt;42460,Table1[Start Date]&lt;42826),Table1[Meaningful Use of Time],""))</f>
        <v/>
      </c>
      <c r="GC543" s="44" t="str">
        <f>IF(Table1[Date of Initial Assessment]="","",IF(AND(Table1[Start Date]&gt;42460,Table1[Start Date]&lt;42826),Table1[Managing Tenancy and Accommodation],""))</f>
        <v/>
      </c>
      <c r="GD543" s="44" t="str">
        <f>IF(Table1[Date of Initial Assessment]="","",IF(AND(Table1[Start Date]&gt;42460,Table1[Start Date]&lt;42826),Table1[Offending],""))</f>
        <v/>
      </c>
      <c r="GE543" s="44" t="str">
        <f>IF(Table1[Leaving Date]="","",IF(AND(Table1[Leaving Date]&gt;42460,Table1[Leaving Date]&lt;42826),IF(Table1[Date of Last Assessment]="",Table1[Motivation and Taking Responsibility],Table1[Motivation and Taking Responsibility2]),""))</f>
        <v/>
      </c>
      <c r="GF543" s="44" t="str">
        <f>IF(Table1[Leaving Date]="","",IF(AND(Table1[Leaving Date]&gt;42460,Table1[Leaving Date]&lt;42826),IF(Table1[Date of Last Assessment]="",Table1[Self-Care and Living Skills],Table1[Self-Care and Living Skills2]),""))</f>
        <v/>
      </c>
      <c r="GG543" s="44" t="str">
        <f>IF(Table1[Leaving Date]="","",IF(AND(Table1[Leaving Date]&gt;42460,Table1[Leaving Date]&lt;42826),IF(Table1[Date of Last Assessment]="",Table1[Managing Money and Personal Administration],Table1[Managing Money and Personal Administration2]),""))</f>
        <v/>
      </c>
      <c r="GH543" s="44" t="str">
        <f>IF(Table1[Leaving Date]="","",IF(AND(Table1[Leaving Date]&gt;42460,Table1[Leaving Date]&lt;42826),IF(Table1[Date of Last Assessment]="",Table1[Social Networks and Relationships],Table1[Social Networks and Relationships2]),""))</f>
        <v/>
      </c>
      <c r="GI543" s="44" t="str">
        <f>IF(Table1[Leaving Date]="","",IF(AND(Table1[Leaving Date]&gt;42460,Table1[Leaving Date]&lt;42826),IF(Table1[Date of Last Assessment]="",Table1[Drug and Alcohol Misuse],Table1[Drug and Alcohol Misuse2]),""))</f>
        <v/>
      </c>
      <c r="GJ543" s="44" t="str">
        <f>IF(Table1[Leaving Date]="","",IF(AND(Table1[Leaving Date]&gt;42460,Table1[Leaving Date]&lt;42826),IF(Table1[Date of Last Assessment]="",Table1[Physical Health],Table1[Physical Health2]),""))</f>
        <v/>
      </c>
      <c r="GK543" s="44" t="str">
        <f>IF(Table1[Leaving Date]="","",IF(AND(Table1[Leaving Date]&gt;42460,Table1[Leaving Date]&lt;42826),IF(Table1[Date of Last Assessment]="",Table1[Emotional and Mental Health],Table1[Emotional and Mental Health2]),""))</f>
        <v/>
      </c>
      <c r="GL543" s="44" t="str">
        <f>IF(Table1[Leaving Date]="","",IF(AND(Table1[Leaving Date]&gt;42460,Table1[Leaving Date]&lt;42826),IF(Table1[Date of Last Assessment]="",Table1[Meaningful Use of Time],Table1[Meaningful Use of Time2]),""))</f>
        <v/>
      </c>
      <c r="GM543" s="44" t="str">
        <f>IF(Table1[Leaving Date]="","",IF(AND(Table1[Leaving Date]&gt;42460,Table1[Leaving Date]&lt;42826),IF(Table1[Date of Last Assessment]="",Table1[Managing Tenancy and Accommodation],Table1[Managing Tenancy and Accommodation2]),""))</f>
        <v/>
      </c>
      <c r="GN543" s="44" t="str">
        <f>IF(Table1[Leaving Date]="","",IF(AND(Table1[Leaving Date]&gt;42460,Table1[Leaving Date]&lt;42826),IF(Table1[Date of Last Assessment]="",Table1[Offending],Table1[Offending2]),""))</f>
        <v/>
      </c>
    </row>
    <row r="544" spans="2:196" ht="20.100000000000001" customHeight="1" x14ac:dyDescent="0.2">
      <c r="B544" s="86">
        <f>+'Service Data'!$C$5:$C$5</f>
        <v>0</v>
      </c>
      <c r="C544" s="86"/>
      <c r="D544" s="86"/>
      <c r="E544" s="86"/>
      <c r="F544" s="86"/>
      <c r="G544" s="86"/>
      <c r="H544" s="6"/>
      <c r="I544" s="99" t="str">
        <f ca="1">IF(Table1[[#This Row],[Date of Birth]]="","",SUM(TODAY()-Table1[[#This Row],[Date of Birth]])/365)</f>
        <v/>
      </c>
      <c r="L544" s="86"/>
      <c r="M544" s="77"/>
      <c r="N544" s="86"/>
      <c r="O544" s="86"/>
      <c r="P544" s="91"/>
      <c r="Q544" s="86"/>
      <c r="R544" s="77"/>
      <c r="S544" s="77"/>
      <c r="T544" s="68"/>
      <c r="U544" s="68"/>
      <c r="V544" s="67"/>
      <c r="W544" s="67"/>
      <c r="X544" s="67"/>
      <c r="Y544" s="67"/>
      <c r="Z544" s="67"/>
      <c r="AA544" s="67"/>
      <c r="AB544" s="67"/>
      <c r="AC544" s="67"/>
      <c r="AD544" s="67"/>
      <c r="AE544" s="67"/>
      <c r="AF544" s="67"/>
      <c r="AG544" s="67"/>
      <c r="AH544" s="67"/>
      <c r="AI544" s="67"/>
      <c r="AJ544" s="67"/>
      <c r="AK544" s="67"/>
      <c r="AL544" s="67"/>
      <c r="AM544" s="67"/>
      <c r="AN544" s="77"/>
      <c r="AO544" s="76"/>
      <c r="AP544" s="77"/>
      <c r="AQ544" s="76"/>
      <c r="AR544" s="76"/>
      <c r="AS544" s="76"/>
      <c r="AT544" s="76"/>
      <c r="AU544" s="76"/>
      <c r="AV544" s="77"/>
      <c r="AW544" s="76"/>
      <c r="AX544" s="77"/>
      <c r="AY544" s="76"/>
      <c r="AZ544" s="76"/>
      <c r="BA544" s="76"/>
      <c r="BB544" s="76"/>
      <c r="BC544" s="76"/>
      <c r="BD544" s="77"/>
      <c r="BE544" s="76"/>
      <c r="BF544" s="77"/>
      <c r="BG544" s="76"/>
      <c r="BH544" s="76"/>
      <c r="BI544" s="76"/>
      <c r="BJ544" s="76"/>
      <c r="BK544" s="76"/>
      <c r="BL544" s="77"/>
      <c r="BM544" s="76"/>
      <c r="BN544" s="77"/>
      <c r="BO544" s="76"/>
      <c r="BP544" s="76"/>
      <c r="BQ544" s="76"/>
      <c r="BR544" s="76"/>
      <c r="BS544" s="76"/>
      <c r="BT544" s="77"/>
      <c r="BU544" s="76"/>
      <c r="BV544" s="77"/>
      <c r="BW544" s="76"/>
      <c r="BX544" s="76"/>
      <c r="BY544" s="76"/>
      <c r="BZ544" s="76"/>
      <c r="CA544" s="76"/>
      <c r="CB544" s="77"/>
      <c r="CC544" s="76"/>
      <c r="CD544" s="77"/>
      <c r="CE544" s="76"/>
      <c r="CF544" s="76"/>
      <c r="CG544" s="76"/>
      <c r="CH544" s="76"/>
      <c r="CI544" s="76"/>
      <c r="CJ544" s="77"/>
      <c r="CK544" s="76"/>
      <c r="CL544" s="77"/>
      <c r="CM544" s="76"/>
      <c r="CN544" s="76"/>
      <c r="CO544" s="76"/>
      <c r="CP544" s="76"/>
      <c r="CQ544" s="76"/>
      <c r="CR544" s="78" t="str">
        <f t="shared" si="143"/>
        <v/>
      </c>
      <c r="CS544" s="79" t="str">
        <f t="shared" si="144"/>
        <v/>
      </c>
      <c r="CT544" s="79" t="str">
        <f t="shared" si="145"/>
        <v/>
      </c>
      <c r="CU544" s="79" t="str">
        <f t="shared" si="146"/>
        <v/>
      </c>
      <c r="CV544" s="79" t="str">
        <f t="shared" si="147"/>
        <v/>
      </c>
      <c r="CW544" s="79" t="str">
        <f t="shared" si="148"/>
        <v/>
      </c>
      <c r="CX544" s="79" t="str">
        <f t="shared" si="149"/>
        <v/>
      </c>
      <c r="CY544" s="79" t="str">
        <f t="shared" si="150"/>
        <v/>
      </c>
      <c r="CZ544" s="79" t="str">
        <f t="shared" si="151"/>
        <v/>
      </c>
      <c r="DA544" s="79" t="str">
        <f t="shared" si="152"/>
        <v/>
      </c>
      <c r="DB544" s="79" t="str">
        <f t="shared" si="153"/>
        <v/>
      </c>
      <c r="DC544" s="79" t="str">
        <f t="shared" si="154"/>
        <v/>
      </c>
      <c r="DD544" s="79" t="str">
        <f t="shared" si="155"/>
        <v/>
      </c>
      <c r="DE544" s="79" t="str">
        <f t="shared" si="156"/>
        <v/>
      </c>
      <c r="DF544" s="79" t="str">
        <f t="shared" si="157"/>
        <v/>
      </c>
      <c r="DG544" s="79" t="str">
        <f t="shared" si="158"/>
        <v/>
      </c>
      <c r="DH544" s="76"/>
      <c r="DI544" s="78"/>
      <c r="DJ544" s="76"/>
      <c r="DK544" s="77"/>
      <c r="DL544" s="77"/>
      <c r="DM544" s="77"/>
      <c r="DN544" s="80"/>
      <c r="DO544" s="80"/>
      <c r="DP544" s="92" t="str">
        <f>IF(Table1[Start Date]="","",IF(Table1[Start Date]&gt;42185,"",IF(AND(Table1[Leaving Date]&gt;1,Table1[Leaving Date]&lt;42095),"",1)))</f>
        <v/>
      </c>
      <c r="DQ544" s="92" t="str">
        <f>IF(Table1[Start Date]="","",IF(Table1[Start Date]&gt;42277,"",IF(AND(Table1[Leaving Date]&gt;1,Table1[Leaving Date]&lt;42186),"",1)))</f>
        <v/>
      </c>
      <c r="DR544" s="92" t="str">
        <f>IF(Table1[Start Date]="","",IF(Table1[Start Date]&gt;42369,"",IF(AND(Table1[Leaving Date]&gt;1,Table1[Leaving Date]&lt;42278),"",1)))</f>
        <v/>
      </c>
      <c r="DS544" s="92" t="str">
        <f>IF(Table1[Start Date]="","",IF(Table1[Start Date]&gt;42460,"",IF(AND(Table1[Leaving Date]&gt;1,Table1[Leaving Date]&lt;42370),"",1)))</f>
        <v/>
      </c>
      <c r="DT544" s="92" t="str">
        <f>IF(Table1[Start Date]="","",IF(Table1[Start Date]&gt;42551,"",IF(AND(Table1[Leaving Date]&gt;1,Table1[Leaving Date]&lt;42461),"",1)))</f>
        <v/>
      </c>
      <c r="DU544" s="92" t="str">
        <f>IF(Table1[Start Date]="","",IF(Table1[Start Date]&gt;42643,"",IF(AND(Table1[Leaving Date]&gt;1,Table1[Leaving Date]&lt;42552),"",1)))</f>
        <v/>
      </c>
      <c r="DV544" s="92" t="str">
        <f>IF(Table1[Start Date]="","",IF(Table1[Start Date]&gt;42735,"",IF(AND(Table1[Leaving Date]&gt;1,Table1[Leaving Date]&lt;42644),"",1)))</f>
        <v/>
      </c>
      <c r="DW544" s="92" t="str">
        <f>IF(Table1[Start Date]="","",IF(Table1[Start Date]&gt;42825,"",IF(AND(Table1[Leaving Date]&gt;1,Table1[Leaving Date]&lt;42736),"",1)))</f>
        <v/>
      </c>
      <c r="DX544"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544" s="44" t="e">
        <f>VLOOKUP(Table1[Referral Source],Lists!$G$2:$H$20,2,FALSE)</f>
        <v>#N/A</v>
      </c>
      <c r="DZ544" s="93" t="e">
        <f>SUM(Table1[Data Referral Quarter]+Table1[Data Referral Source])</f>
        <v>#N/A</v>
      </c>
      <c r="EA544" s="44" t="b">
        <f>IF(Table1[Referral Decision]="Accepted",100,IF(Table1[Referral Decision]="Rejected by Provider",200,IF(Table1[Referral Decision]="Rejected by Applicant",300)))</f>
        <v>0</v>
      </c>
      <c r="EB544" s="44">
        <f>SUM(Table1[Data Referral Quarter]+Table1[Data Referral Decision])</f>
        <v>0</v>
      </c>
      <c r="EC544" s="44" t="b">
        <f>IF(Table1[Start Date]&gt;42735,8000,IF(Table1[Start Date]&gt;42643,7000,IF(Table1[Start Date]&gt;42551,6000,IF(Table1[Start Date]&gt;42460,5000,IF(Table1[Start Date]&gt;42369,4000,IF(Table1[Start Date]&gt;42277,3000,IF(Table1[Start Date]&gt;42185,2000,IF(Table1[Start Date]&gt;42094,1000))))))))</f>
        <v>0</v>
      </c>
      <c r="ED544" s="44" t="str">
        <f>IF(Table1[Start Date]="","",IF(Table1[Current Local Authority]="Swindon",1,"2"))</f>
        <v/>
      </c>
      <c r="EE544" s="44" t="e">
        <f>SUM(Table1[Data Start Date]+Table1[Data Local Authority])</f>
        <v>#VALUE!</v>
      </c>
      <c r="EF544" s="44">
        <f>IF(Table1[Registered with GP]="Yes",1,0)</f>
        <v>0</v>
      </c>
      <c r="EG544" s="44">
        <f>SUM(Table1[Data Start Date]+Table1[Data GP Start])</f>
        <v>0</v>
      </c>
      <c r="EH544" s="44" t="str">
        <f>IF(Table1[EET]="NEET",1,IF(Table1[EET]="Education",2,IF(Table1[EET]="Employment",2,IF(Table1[EET]="Training",2,IF(Table1[EET]="Retired",3,"")))))</f>
        <v/>
      </c>
      <c r="EI544" s="44" t="e">
        <f>Table1[Data Start Date]+Table1[Data EET Start]</f>
        <v>#VALUE!</v>
      </c>
      <c r="EJ544" s="44" t="b">
        <f>IF(Table1[Leaving Date]&gt;42735,8000,IF(Table1[Leaving Date]&gt;42643,7000,IF(Table1[Leaving Date]&gt;42551,6000,IF(Table1[Leaving Date]&gt;42460,5000,IF(Table1[Leaving Date]&gt;42369,4000,IF(Table1[Leaving Date]&gt;42277,3000,IF(Table1[Leaving Date]&gt;42185,2000,IF(Table1[Leaving Date]&gt;42094,1000))))))))</f>
        <v>0</v>
      </c>
      <c r="EK544" s="44" t="e">
        <f>VLOOKUP(Table1[Reason for Leaving],Lists!$T$2:$U$15,2,FALSE)</f>
        <v>#N/A</v>
      </c>
      <c r="EL544" s="44" t="e">
        <f>SUM(Table1[Data Leavers Date]+Table1[Data Move On])</f>
        <v>#N/A</v>
      </c>
      <c r="EM544" s="44" t="b">
        <f>IF(Table1[Registered with GP2]="Yes",1,IF(Table1[Registered with GP2]="No",0,IF(Table1[Registered with GP]="Yes",1,IF(Table1[Registered with GP]="No",0))))</f>
        <v>0</v>
      </c>
      <c r="EN544" s="44">
        <f>SUM(Table1[Data Leavers Date]+Table1[Data GP End])</f>
        <v>0</v>
      </c>
      <c r="EO544" s="44" t="str">
        <f>IF(Table1[EET2]="NEET",1,IF(Table1[EET2]="Employment",2,IF(Table1[EET2]="Education",2,IF(Table1[EET2]="Training",2,IF(Table1[EET2]="Retired",3,IF(Table1[EET]="NEET",1,IF(Table1[EET]="Employment",2,IF(Table1[EET]="Education",2,IF(Table1[EET]="Training",2,IF(Table1[EET]="Retired",3,""))))))))))</f>
        <v/>
      </c>
      <c r="EP544" s="44" t="e">
        <f>+Table1[[#This Row],[Data Leavers Date]]+Table1[[#This Row],[Data EET End]]</f>
        <v>#VALUE!</v>
      </c>
      <c r="EQ544" s="44">
        <f>IF(Table1[Exit Form Received]="Yes",1,0)</f>
        <v>0</v>
      </c>
      <c r="ER544" s="44">
        <f>+Table1[[#This Row],[Data Leavers Date]]+Table1[[#This Row],[Data Exit Forms]]</f>
        <v>0</v>
      </c>
      <c r="ES544" s="44" t="str">
        <f>IF(Table1[Data Leavers Date]=1000,SUM(Table1[Leaving Date]-Table1[Start Date]),"")</f>
        <v/>
      </c>
      <c r="ET544" s="44" t="str">
        <f>IF(Table1[Data Leavers Date]=2000,SUM(Table1[Leaving Date]-Table1[Start Date]),"")</f>
        <v/>
      </c>
      <c r="EU544" s="44" t="str">
        <f>IF(Table1[Data Leavers Date]=3000,SUM(Table1[Leaving Date]-Table1[Start Date]),"")</f>
        <v/>
      </c>
      <c r="EV544" s="44" t="str">
        <f>IF(Table1[Data Leavers Date]=4000,SUM(Table1[Leaving Date]-Table1[Start Date]),"")</f>
        <v/>
      </c>
      <c r="EW544" s="44" t="str">
        <f>IF(Table1[Data Leavers Date]=5000,SUM(Table1[Leaving Date]-Table1[Start Date]),"")</f>
        <v/>
      </c>
      <c r="EX544" s="44" t="str">
        <f>IF(Table1[Data Leavers Date]=6000,SUM(Table1[Leaving Date]-Table1[Start Date]),"")</f>
        <v/>
      </c>
      <c r="EY544" s="44" t="str">
        <f>IF(Table1[Data Leavers Date]=7000,SUM(Table1[Leaving Date]-Table1[Start Date]),"")</f>
        <v/>
      </c>
      <c r="EZ544" s="44" t="str">
        <f>IF(Table1[Data Leavers Date]=8000,SUM(Table1[Leaving Date]-Table1[Start Date]),"")</f>
        <v/>
      </c>
      <c r="FA544" s="44" t="str">
        <f>IF(Table1[Date of Initial Assessment]="","",IF(AND(Table1[Start Date]&gt;42094,Table1[Start Date]&lt;42461),Table1[Motivation and Taking Responsibility],""))</f>
        <v/>
      </c>
      <c r="FB544" s="44" t="str">
        <f>IF(Table1[Date of Initial Assessment]="","",IF(AND(Table1[Start Date]&gt;42094,Table1[Start Date]&lt;42461),Table1[Self-Care and Living Skills],""))</f>
        <v/>
      </c>
      <c r="FC544" s="44" t="str">
        <f>IF(Table1[Date of Initial Assessment]="","",IF(AND(Table1[Start Date]&gt;42094,Table1[Start Date]&lt;42461),Table1[Managing Money and Personal Administration],""))</f>
        <v/>
      </c>
      <c r="FD544" s="44" t="str">
        <f>IF(Table1[Date of Initial Assessment]="","",IF(AND(Table1[Start Date]&gt;42094,Table1[Start Date]&lt;42461),Table1[Social Networks and Relationships],""))</f>
        <v/>
      </c>
      <c r="FE544" s="44" t="str">
        <f>IF(Table1[Date of Initial Assessment]="","",IF(AND(Table1[Start Date]&gt;42094,Table1[Start Date]&lt;42461),Table1[Drug and Alcohol Misuse],""))</f>
        <v/>
      </c>
      <c r="FF544" s="44" t="str">
        <f>IF(Table1[Date of Initial Assessment]="","",IF(AND(Table1[Start Date]&gt;42094,Table1[Start Date]&lt;42461),Table1[Physical Health],""))</f>
        <v/>
      </c>
      <c r="FG544" s="44" t="str">
        <f>IF(Table1[Date of Initial Assessment]="","",IF(AND(Table1[Start Date]&gt;42094,Table1[Start Date]&lt;42461),Table1[Emotional and Mental Health],""))</f>
        <v/>
      </c>
      <c r="FH544" s="44" t="str">
        <f>IF(Table1[Date of Initial Assessment]="","",IF(AND(Table1[Start Date]&gt;42094,Table1[Start Date]&lt;42461),Table1[Meaningful Use of Time],""))</f>
        <v/>
      </c>
      <c r="FI544" s="44" t="str">
        <f>IF(Table1[Date of Initial Assessment]="","",IF(AND(Table1[Start Date]&gt;42094,Table1[Start Date]&lt;42461),Table1[Managing Tenancy and Accommodation],""))</f>
        <v/>
      </c>
      <c r="FJ544" s="44" t="str">
        <f>IF(Table1[Date of Initial Assessment]="","",IF(AND(Table1[Start Date]&gt;42094,Table1[Start Date]&lt;42461),Table1[Offending],""))</f>
        <v/>
      </c>
      <c r="FK544" s="44" t="str">
        <f>IF(Table1[Leaving Date]="","",IF(Table1[Date of Initial Assessment]="","",IF(AND(Table1[Leaving Date]&gt;42094,Table1[Leaving Date]&lt;42461),IF(Table1[Date of Last Assessment]="",Table1[Motivation and Taking Responsibility],Table1[Motivation and Taking Responsibility2]),"")))</f>
        <v/>
      </c>
      <c r="FL544" s="44" t="str">
        <f>IF(Table1[Leaving Date]="","",IF(Table1[Date of Initial Assessment]="","",IF(AND(Table1[Leaving Date]&gt;42094,Table1[Leaving Date]&lt;42461),IF(Table1[Date of Last Assessment]="",Table1[Self-Care and Living Skills],Table1[Self-Care and Living Skills2]),"")))</f>
        <v/>
      </c>
      <c r="FM544" s="44" t="str">
        <f>IF(Table1[Leaving Date]="","",IF(Table1[Date of Initial Assessment]="","",IF(AND(Table1[Leaving Date]&gt;42094,Table1[Leaving Date]&lt;42461),IF(Table1[Date of Last Assessment]="",Table1[Managing Money and Personal Administration],Table1[Managing Money and Personal Administration2]),"")))</f>
        <v/>
      </c>
      <c r="FN544" s="44" t="str">
        <f>IF(Table1[Leaving Date]="","",IF(Table1[Date of Initial Assessment]="","",IF(AND(Table1[Leaving Date]&gt;42094,Table1[Leaving Date]&lt;42461),IF(Table1[Date of Last Assessment]="",Table1[Social Networks and Relationships],Table1[Social Networks and Relationships2]),"")))</f>
        <v/>
      </c>
      <c r="FO544" s="44" t="str">
        <f>IF(Table1[Leaving Date]="","",IF(Table1[Date of Initial Assessment]="","",IF(AND(Table1[Leaving Date]&gt;42094,Table1[Leaving Date]&lt;42461),IF(Table1[Date of Last Assessment]="",Table1[Drug and Alcohol Misuse],Table1[Drug and Alcohol Misuse2]),"")))</f>
        <v/>
      </c>
      <c r="FP544" s="44" t="str">
        <f>IF(Table1[Leaving Date]="","",IF(Table1[Date of Initial Assessment]="","",IF(AND(Table1[Leaving Date]&gt;42094,Table1[Leaving Date]&lt;42461),IF(Table1[Date of Last Assessment]="",Table1[Physical Health],Table1[Physical Health2]),"")))</f>
        <v/>
      </c>
      <c r="FQ544" s="44" t="str">
        <f>IF(Table1[Leaving Date]="","",IF(Table1[Date of Initial Assessment]="","",IF(AND(Table1[Leaving Date]&gt;42094,Table1[Leaving Date]&lt;42461),IF(Table1[Date of Last Assessment]="",Table1[Emotional and Mental Health],Table1[Emotional and Mental Health2]),"")))</f>
        <v/>
      </c>
      <c r="FR544" s="44" t="str">
        <f>IF(Table1[Leaving Date]="","",IF(Table1[Date of Initial Assessment]="","",IF(AND(Table1[Leaving Date]&gt;42094,Table1[Leaving Date]&lt;42461),IF(Table1[Date of Last Assessment]="",Table1[Meaningful Use of Time],Table1[Meaningful Use of Time2]),"")))</f>
        <v/>
      </c>
      <c r="FS544" s="44" t="str">
        <f>IF(Table1[Leaving Date]="","",IF(Table1[Date of Initial Assessment]="","",IF(AND(Table1[Leaving Date]&gt;42094,Table1[Leaving Date]&lt;42461),IF(Table1[Date of Last Assessment]="",Table1[Managing Tenancy and Accommodation],Table1[Managing Tenancy and Accommodation2]),"")))</f>
        <v/>
      </c>
      <c r="FT544" s="44" t="str">
        <f>IF(Table1[Leaving Date]="","",IF(Table1[Date of Initial Assessment]="","",IF(AND(Table1[Leaving Date]&gt;42094,Table1[Leaving Date]&lt;42461),IF(Table1[Date of Last Assessment]="",Table1[Offending],Table1[Offending2]),"")))</f>
        <v/>
      </c>
      <c r="FU544" s="44" t="str">
        <f>IF(Table1[Date of Initial Assessment]="","",IF(AND(Table1[Start Date]&gt;42460,Table1[Start Date]&lt;42826),Table1[Motivation and Taking Responsibility],""))</f>
        <v/>
      </c>
      <c r="FV544" s="44" t="str">
        <f>IF(Table1[Date of Initial Assessment]="","",IF(AND(Table1[Start Date]&gt;42460,Table1[Start Date]&lt;42826),Table1[Self-Care and Living Skills],""))</f>
        <v/>
      </c>
      <c r="FW544" s="44" t="str">
        <f>IF(Table1[Date of Initial Assessment]="","",IF(AND(Table1[Start Date]&gt;42460,Table1[Start Date]&lt;42826),Table1[Managing Money and Personal Administration],""))</f>
        <v/>
      </c>
      <c r="FX544" s="44" t="str">
        <f>IF(Table1[Date of Initial Assessment]="","",IF(AND(Table1[Start Date]&gt;42460,Table1[Start Date]&lt;42826),Table1[Social Networks and Relationships],""))</f>
        <v/>
      </c>
      <c r="FY544" s="44" t="str">
        <f>IF(Table1[Date of Initial Assessment]="","",IF(AND(Table1[Start Date]&gt;42460,Table1[Start Date]&lt;42826),Table1[Drug and Alcohol Misuse],""))</f>
        <v/>
      </c>
      <c r="FZ544" s="44" t="str">
        <f>IF(Table1[Date of Initial Assessment]="","",IF(AND(Table1[Start Date]&gt;42460,Table1[Start Date]&lt;42826),Table1[Physical Health],""))</f>
        <v/>
      </c>
      <c r="GA544" s="44" t="str">
        <f>IF(Table1[Date of Initial Assessment]="","",IF(AND(Table1[Start Date]&gt;42460,Table1[Start Date]&lt;42826),Table1[Emotional and Mental Health],""))</f>
        <v/>
      </c>
      <c r="GB544" s="44" t="str">
        <f>IF(Table1[Date of Initial Assessment]="","",IF(AND(Table1[Start Date]&gt;42460,Table1[Start Date]&lt;42826),Table1[Meaningful Use of Time],""))</f>
        <v/>
      </c>
      <c r="GC544" s="44" t="str">
        <f>IF(Table1[Date of Initial Assessment]="","",IF(AND(Table1[Start Date]&gt;42460,Table1[Start Date]&lt;42826),Table1[Managing Tenancy and Accommodation],""))</f>
        <v/>
      </c>
      <c r="GD544" s="44" t="str">
        <f>IF(Table1[Date of Initial Assessment]="","",IF(AND(Table1[Start Date]&gt;42460,Table1[Start Date]&lt;42826),Table1[Offending],""))</f>
        <v/>
      </c>
      <c r="GE544" s="44" t="str">
        <f>IF(Table1[Leaving Date]="","",IF(AND(Table1[Leaving Date]&gt;42460,Table1[Leaving Date]&lt;42826),IF(Table1[Date of Last Assessment]="",Table1[Motivation and Taking Responsibility],Table1[Motivation and Taking Responsibility2]),""))</f>
        <v/>
      </c>
      <c r="GF544" s="44" t="str">
        <f>IF(Table1[Leaving Date]="","",IF(AND(Table1[Leaving Date]&gt;42460,Table1[Leaving Date]&lt;42826),IF(Table1[Date of Last Assessment]="",Table1[Self-Care and Living Skills],Table1[Self-Care and Living Skills2]),""))</f>
        <v/>
      </c>
      <c r="GG544" s="44" t="str">
        <f>IF(Table1[Leaving Date]="","",IF(AND(Table1[Leaving Date]&gt;42460,Table1[Leaving Date]&lt;42826),IF(Table1[Date of Last Assessment]="",Table1[Managing Money and Personal Administration],Table1[Managing Money and Personal Administration2]),""))</f>
        <v/>
      </c>
      <c r="GH544" s="44" t="str">
        <f>IF(Table1[Leaving Date]="","",IF(AND(Table1[Leaving Date]&gt;42460,Table1[Leaving Date]&lt;42826),IF(Table1[Date of Last Assessment]="",Table1[Social Networks and Relationships],Table1[Social Networks and Relationships2]),""))</f>
        <v/>
      </c>
      <c r="GI544" s="44" t="str">
        <f>IF(Table1[Leaving Date]="","",IF(AND(Table1[Leaving Date]&gt;42460,Table1[Leaving Date]&lt;42826),IF(Table1[Date of Last Assessment]="",Table1[Drug and Alcohol Misuse],Table1[Drug and Alcohol Misuse2]),""))</f>
        <v/>
      </c>
      <c r="GJ544" s="44" t="str">
        <f>IF(Table1[Leaving Date]="","",IF(AND(Table1[Leaving Date]&gt;42460,Table1[Leaving Date]&lt;42826),IF(Table1[Date of Last Assessment]="",Table1[Physical Health],Table1[Physical Health2]),""))</f>
        <v/>
      </c>
      <c r="GK544" s="44" t="str">
        <f>IF(Table1[Leaving Date]="","",IF(AND(Table1[Leaving Date]&gt;42460,Table1[Leaving Date]&lt;42826),IF(Table1[Date of Last Assessment]="",Table1[Emotional and Mental Health],Table1[Emotional and Mental Health2]),""))</f>
        <v/>
      </c>
      <c r="GL544" s="44" t="str">
        <f>IF(Table1[Leaving Date]="","",IF(AND(Table1[Leaving Date]&gt;42460,Table1[Leaving Date]&lt;42826),IF(Table1[Date of Last Assessment]="",Table1[Meaningful Use of Time],Table1[Meaningful Use of Time2]),""))</f>
        <v/>
      </c>
      <c r="GM544" s="44" t="str">
        <f>IF(Table1[Leaving Date]="","",IF(AND(Table1[Leaving Date]&gt;42460,Table1[Leaving Date]&lt;42826),IF(Table1[Date of Last Assessment]="",Table1[Managing Tenancy and Accommodation],Table1[Managing Tenancy and Accommodation2]),""))</f>
        <v/>
      </c>
      <c r="GN544" s="44" t="str">
        <f>IF(Table1[Leaving Date]="","",IF(AND(Table1[Leaving Date]&gt;42460,Table1[Leaving Date]&lt;42826),IF(Table1[Date of Last Assessment]="",Table1[Offending],Table1[Offending2]),""))</f>
        <v/>
      </c>
    </row>
    <row r="545" spans="2:196" ht="20.100000000000001" customHeight="1" x14ac:dyDescent="0.2">
      <c r="B545" s="86">
        <f>+'Service Data'!$C$5:$C$5</f>
        <v>0</v>
      </c>
      <c r="C545" s="86"/>
      <c r="D545" s="86"/>
      <c r="E545" s="86"/>
      <c r="F545" s="86"/>
      <c r="G545" s="86"/>
      <c r="H545" s="6"/>
      <c r="I545" s="99" t="str">
        <f ca="1">IF(Table1[[#This Row],[Date of Birth]]="","",SUM(TODAY()-Table1[[#This Row],[Date of Birth]])/365)</f>
        <v/>
      </c>
      <c r="L545" s="86"/>
      <c r="M545" s="77"/>
      <c r="N545" s="86"/>
      <c r="O545" s="86"/>
      <c r="P545" s="91"/>
      <c r="Q545" s="86"/>
      <c r="R545" s="77"/>
      <c r="S545" s="77"/>
      <c r="T545" s="68"/>
      <c r="U545" s="68"/>
      <c r="V545" s="67"/>
      <c r="W545" s="67"/>
      <c r="X545" s="67"/>
      <c r="Y545" s="67"/>
      <c r="Z545" s="67"/>
      <c r="AA545" s="67"/>
      <c r="AB545" s="67"/>
      <c r="AC545" s="67"/>
      <c r="AD545" s="67"/>
      <c r="AE545" s="67"/>
      <c r="AF545" s="67"/>
      <c r="AG545" s="67"/>
      <c r="AH545" s="67"/>
      <c r="AI545" s="67"/>
      <c r="AJ545" s="67"/>
      <c r="AK545" s="67"/>
      <c r="AL545" s="67"/>
      <c r="AM545" s="67"/>
      <c r="AN545" s="77"/>
      <c r="AO545" s="76"/>
      <c r="AP545" s="77"/>
      <c r="AQ545" s="76"/>
      <c r="AR545" s="76"/>
      <c r="AS545" s="76"/>
      <c r="AT545" s="76"/>
      <c r="AU545" s="76"/>
      <c r="AV545" s="77"/>
      <c r="AW545" s="76"/>
      <c r="AX545" s="77"/>
      <c r="AY545" s="76"/>
      <c r="AZ545" s="76"/>
      <c r="BA545" s="76"/>
      <c r="BB545" s="76"/>
      <c r="BC545" s="76"/>
      <c r="BD545" s="77"/>
      <c r="BE545" s="76"/>
      <c r="BF545" s="77"/>
      <c r="BG545" s="76"/>
      <c r="BH545" s="76"/>
      <c r="BI545" s="76"/>
      <c r="BJ545" s="76"/>
      <c r="BK545" s="76"/>
      <c r="BL545" s="77"/>
      <c r="BM545" s="76"/>
      <c r="BN545" s="77"/>
      <c r="BO545" s="76"/>
      <c r="BP545" s="76"/>
      <c r="BQ545" s="76"/>
      <c r="BR545" s="76"/>
      <c r="BS545" s="76"/>
      <c r="BT545" s="77"/>
      <c r="BU545" s="76"/>
      <c r="BV545" s="77"/>
      <c r="BW545" s="76"/>
      <c r="BX545" s="76"/>
      <c r="BY545" s="76"/>
      <c r="BZ545" s="76"/>
      <c r="CA545" s="76"/>
      <c r="CB545" s="77"/>
      <c r="CC545" s="76"/>
      <c r="CD545" s="77"/>
      <c r="CE545" s="76"/>
      <c r="CF545" s="76"/>
      <c r="CG545" s="76"/>
      <c r="CH545" s="76"/>
      <c r="CI545" s="76"/>
      <c r="CJ545" s="77"/>
      <c r="CK545" s="76"/>
      <c r="CL545" s="77"/>
      <c r="CM545" s="76"/>
      <c r="CN545" s="76"/>
      <c r="CO545" s="76"/>
      <c r="CP545" s="76"/>
      <c r="CQ545" s="76"/>
      <c r="CR545" s="78" t="str">
        <f t="shared" si="143"/>
        <v/>
      </c>
      <c r="CS545" s="79" t="str">
        <f t="shared" si="144"/>
        <v/>
      </c>
      <c r="CT545" s="79" t="str">
        <f t="shared" si="145"/>
        <v/>
      </c>
      <c r="CU545" s="79" t="str">
        <f t="shared" si="146"/>
        <v/>
      </c>
      <c r="CV545" s="79" t="str">
        <f t="shared" si="147"/>
        <v/>
      </c>
      <c r="CW545" s="79" t="str">
        <f t="shared" si="148"/>
        <v/>
      </c>
      <c r="CX545" s="79" t="str">
        <f t="shared" si="149"/>
        <v/>
      </c>
      <c r="CY545" s="79" t="str">
        <f t="shared" si="150"/>
        <v/>
      </c>
      <c r="CZ545" s="79" t="str">
        <f t="shared" si="151"/>
        <v/>
      </c>
      <c r="DA545" s="79" t="str">
        <f t="shared" si="152"/>
        <v/>
      </c>
      <c r="DB545" s="79" t="str">
        <f t="shared" si="153"/>
        <v/>
      </c>
      <c r="DC545" s="79" t="str">
        <f t="shared" si="154"/>
        <v/>
      </c>
      <c r="DD545" s="79" t="str">
        <f t="shared" si="155"/>
        <v/>
      </c>
      <c r="DE545" s="79" t="str">
        <f t="shared" si="156"/>
        <v/>
      </c>
      <c r="DF545" s="79" t="str">
        <f t="shared" si="157"/>
        <v/>
      </c>
      <c r="DG545" s="79" t="str">
        <f t="shared" si="158"/>
        <v/>
      </c>
      <c r="DH545" s="76"/>
      <c r="DI545" s="78"/>
      <c r="DJ545" s="76"/>
      <c r="DK545" s="77"/>
      <c r="DL545" s="77"/>
      <c r="DM545" s="77"/>
      <c r="DN545" s="80"/>
      <c r="DO545" s="80"/>
      <c r="DP545" s="92" t="str">
        <f>IF(Table1[Start Date]="","",IF(Table1[Start Date]&gt;42185,"",IF(AND(Table1[Leaving Date]&gt;1,Table1[Leaving Date]&lt;42095),"",1)))</f>
        <v/>
      </c>
      <c r="DQ545" s="92" t="str">
        <f>IF(Table1[Start Date]="","",IF(Table1[Start Date]&gt;42277,"",IF(AND(Table1[Leaving Date]&gt;1,Table1[Leaving Date]&lt;42186),"",1)))</f>
        <v/>
      </c>
      <c r="DR545" s="92" t="str">
        <f>IF(Table1[Start Date]="","",IF(Table1[Start Date]&gt;42369,"",IF(AND(Table1[Leaving Date]&gt;1,Table1[Leaving Date]&lt;42278),"",1)))</f>
        <v/>
      </c>
      <c r="DS545" s="92" t="str">
        <f>IF(Table1[Start Date]="","",IF(Table1[Start Date]&gt;42460,"",IF(AND(Table1[Leaving Date]&gt;1,Table1[Leaving Date]&lt;42370),"",1)))</f>
        <v/>
      </c>
      <c r="DT545" s="92" t="str">
        <f>IF(Table1[Start Date]="","",IF(Table1[Start Date]&gt;42551,"",IF(AND(Table1[Leaving Date]&gt;1,Table1[Leaving Date]&lt;42461),"",1)))</f>
        <v/>
      </c>
      <c r="DU545" s="92" t="str">
        <f>IF(Table1[Start Date]="","",IF(Table1[Start Date]&gt;42643,"",IF(AND(Table1[Leaving Date]&gt;1,Table1[Leaving Date]&lt;42552),"",1)))</f>
        <v/>
      </c>
      <c r="DV545" s="92" t="str">
        <f>IF(Table1[Start Date]="","",IF(Table1[Start Date]&gt;42735,"",IF(AND(Table1[Leaving Date]&gt;1,Table1[Leaving Date]&lt;42644),"",1)))</f>
        <v/>
      </c>
      <c r="DW545" s="92" t="str">
        <f>IF(Table1[Start Date]="","",IF(Table1[Start Date]&gt;42825,"",IF(AND(Table1[Leaving Date]&gt;1,Table1[Leaving Date]&lt;42736),"",1)))</f>
        <v/>
      </c>
      <c r="DX545"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545" s="44" t="e">
        <f>VLOOKUP(Table1[Referral Source],Lists!$G$2:$H$20,2,FALSE)</f>
        <v>#N/A</v>
      </c>
      <c r="DZ545" s="93" t="e">
        <f>SUM(Table1[Data Referral Quarter]+Table1[Data Referral Source])</f>
        <v>#N/A</v>
      </c>
      <c r="EA545" s="44" t="b">
        <f>IF(Table1[Referral Decision]="Accepted",100,IF(Table1[Referral Decision]="Rejected by Provider",200,IF(Table1[Referral Decision]="Rejected by Applicant",300)))</f>
        <v>0</v>
      </c>
      <c r="EB545" s="44">
        <f>SUM(Table1[Data Referral Quarter]+Table1[Data Referral Decision])</f>
        <v>0</v>
      </c>
      <c r="EC545" s="44" t="b">
        <f>IF(Table1[Start Date]&gt;42735,8000,IF(Table1[Start Date]&gt;42643,7000,IF(Table1[Start Date]&gt;42551,6000,IF(Table1[Start Date]&gt;42460,5000,IF(Table1[Start Date]&gt;42369,4000,IF(Table1[Start Date]&gt;42277,3000,IF(Table1[Start Date]&gt;42185,2000,IF(Table1[Start Date]&gt;42094,1000))))))))</f>
        <v>0</v>
      </c>
      <c r="ED545" s="44" t="str">
        <f>IF(Table1[Start Date]="","",IF(Table1[Current Local Authority]="Swindon",1,"2"))</f>
        <v/>
      </c>
      <c r="EE545" s="44" t="e">
        <f>SUM(Table1[Data Start Date]+Table1[Data Local Authority])</f>
        <v>#VALUE!</v>
      </c>
      <c r="EF545" s="44">
        <f>IF(Table1[Registered with GP]="Yes",1,0)</f>
        <v>0</v>
      </c>
      <c r="EG545" s="44">
        <f>SUM(Table1[Data Start Date]+Table1[Data GP Start])</f>
        <v>0</v>
      </c>
      <c r="EH545" s="44" t="str">
        <f>IF(Table1[EET]="NEET",1,IF(Table1[EET]="Education",2,IF(Table1[EET]="Employment",2,IF(Table1[EET]="Training",2,IF(Table1[EET]="Retired",3,"")))))</f>
        <v/>
      </c>
      <c r="EI545" s="44" t="e">
        <f>Table1[Data Start Date]+Table1[Data EET Start]</f>
        <v>#VALUE!</v>
      </c>
      <c r="EJ545" s="44" t="b">
        <f>IF(Table1[Leaving Date]&gt;42735,8000,IF(Table1[Leaving Date]&gt;42643,7000,IF(Table1[Leaving Date]&gt;42551,6000,IF(Table1[Leaving Date]&gt;42460,5000,IF(Table1[Leaving Date]&gt;42369,4000,IF(Table1[Leaving Date]&gt;42277,3000,IF(Table1[Leaving Date]&gt;42185,2000,IF(Table1[Leaving Date]&gt;42094,1000))))))))</f>
        <v>0</v>
      </c>
      <c r="EK545" s="44" t="e">
        <f>VLOOKUP(Table1[Reason for Leaving],Lists!$T$2:$U$15,2,FALSE)</f>
        <v>#N/A</v>
      </c>
      <c r="EL545" s="44" t="e">
        <f>SUM(Table1[Data Leavers Date]+Table1[Data Move On])</f>
        <v>#N/A</v>
      </c>
      <c r="EM545" s="44" t="b">
        <f>IF(Table1[Registered with GP2]="Yes",1,IF(Table1[Registered with GP2]="No",0,IF(Table1[Registered with GP]="Yes",1,IF(Table1[Registered with GP]="No",0))))</f>
        <v>0</v>
      </c>
      <c r="EN545" s="44">
        <f>SUM(Table1[Data Leavers Date]+Table1[Data GP End])</f>
        <v>0</v>
      </c>
      <c r="EO545" s="44" t="str">
        <f>IF(Table1[EET2]="NEET",1,IF(Table1[EET2]="Employment",2,IF(Table1[EET2]="Education",2,IF(Table1[EET2]="Training",2,IF(Table1[EET2]="Retired",3,IF(Table1[EET]="NEET",1,IF(Table1[EET]="Employment",2,IF(Table1[EET]="Education",2,IF(Table1[EET]="Training",2,IF(Table1[EET]="Retired",3,""))))))))))</f>
        <v/>
      </c>
      <c r="EP545" s="44" t="e">
        <f>+Table1[[#This Row],[Data Leavers Date]]+Table1[[#This Row],[Data EET End]]</f>
        <v>#VALUE!</v>
      </c>
      <c r="EQ545" s="44">
        <f>IF(Table1[Exit Form Received]="Yes",1,0)</f>
        <v>0</v>
      </c>
      <c r="ER545" s="44">
        <f>+Table1[[#This Row],[Data Leavers Date]]+Table1[[#This Row],[Data Exit Forms]]</f>
        <v>0</v>
      </c>
      <c r="ES545" s="44" t="str">
        <f>IF(Table1[Data Leavers Date]=1000,SUM(Table1[Leaving Date]-Table1[Start Date]),"")</f>
        <v/>
      </c>
      <c r="ET545" s="44" t="str">
        <f>IF(Table1[Data Leavers Date]=2000,SUM(Table1[Leaving Date]-Table1[Start Date]),"")</f>
        <v/>
      </c>
      <c r="EU545" s="44" t="str">
        <f>IF(Table1[Data Leavers Date]=3000,SUM(Table1[Leaving Date]-Table1[Start Date]),"")</f>
        <v/>
      </c>
      <c r="EV545" s="44" t="str">
        <f>IF(Table1[Data Leavers Date]=4000,SUM(Table1[Leaving Date]-Table1[Start Date]),"")</f>
        <v/>
      </c>
      <c r="EW545" s="44" t="str">
        <f>IF(Table1[Data Leavers Date]=5000,SUM(Table1[Leaving Date]-Table1[Start Date]),"")</f>
        <v/>
      </c>
      <c r="EX545" s="44" t="str">
        <f>IF(Table1[Data Leavers Date]=6000,SUM(Table1[Leaving Date]-Table1[Start Date]),"")</f>
        <v/>
      </c>
      <c r="EY545" s="44" t="str">
        <f>IF(Table1[Data Leavers Date]=7000,SUM(Table1[Leaving Date]-Table1[Start Date]),"")</f>
        <v/>
      </c>
      <c r="EZ545" s="44" t="str">
        <f>IF(Table1[Data Leavers Date]=8000,SUM(Table1[Leaving Date]-Table1[Start Date]),"")</f>
        <v/>
      </c>
      <c r="FA545" s="44" t="str">
        <f>IF(Table1[Date of Initial Assessment]="","",IF(AND(Table1[Start Date]&gt;42094,Table1[Start Date]&lt;42461),Table1[Motivation and Taking Responsibility],""))</f>
        <v/>
      </c>
      <c r="FB545" s="44" t="str">
        <f>IF(Table1[Date of Initial Assessment]="","",IF(AND(Table1[Start Date]&gt;42094,Table1[Start Date]&lt;42461),Table1[Self-Care and Living Skills],""))</f>
        <v/>
      </c>
      <c r="FC545" s="44" t="str">
        <f>IF(Table1[Date of Initial Assessment]="","",IF(AND(Table1[Start Date]&gt;42094,Table1[Start Date]&lt;42461),Table1[Managing Money and Personal Administration],""))</f>
        <v/>
      </c>
      <c r="FD545" s="44" t="str">
        <f>IF(Table1[Date of Initial Assessment]="","",IF(AND(Table1[Start Date]&gt;42094,Table1[Start Date]&lt;42461),Table1[Social Networks and Relationships],""))</f>
        <v/>
      </c>
      <c r="FE545" s="44" t="str">
        <f>IF(Table1[Date of Initial Assessment]="","",IF(AND(Table1[Start Date]&gt;42094,Table1[Start Date]&lt;42461),Table1[Drug and Alcohol Misuse],""))</f>
        <v/>
      </c>
      <c r="FF545" s="44" t="str">
        <f>IF(Table1[Date of Initial Assessment]="","",IF(AND(Table1[Start Date]&gt;42094,Table1[Start Date]&lt;42461),Table1[Physical Health],""))</f>
        <v/>
      </c>
      <c r="FG545" s="44" t="str">
        <f>IF(Table1[Date of Initial Assessment]="","",IF(AND(Table1[Start Date]&gt;42094,Table1[Start Date]&lt;42461),Table1[Emotional and Mental Health],""))</f>
        <v/>
      </c>
      <c r="FH545" s="44" t="str">
        <f>IF(Table1[Date of Initial Assessment]="","",IF(AND(Table1[Start Date]&gt;42094,Table1[Start Date]&lt;42461),Table1[Meaningful Use of Time],""))</f>
        <v/>
      </c>
      <c r="FI545" s="44" t="str">
        <f>IF(Table1[Date of Initial Assessment]="","",IF(AND(Table1[Start Date]&gt;42094,Table1[Start Date]&lt;42461),Table1[Managing Tenancy and Accommodation],""))</f>
        <v/>
      </c>
      <c r="FJ545" s="44" t="str">
        <f>IF(Table1[Date of Initial Assessment]="","",IF(AND(Table1[Start Date]&gt;42094,Table1[Start Date]&lt;42461),Table1[Offending],""))</f>
        <v/>
      </c>
      <c r="FK545" s="44" t="str">
        <f>IF(Table1[Leaving Date]="","",IF(Table1[Date of Initial Assessment]="","",IF(AND(Table1[Leaving Date]&gt;42094,Table1[Leaving Date]&lt;42461),IF(Table1[Date of Last Assessment]="",Table1[Motivation and Taking Responsibility],Table1[Motivation and Taking Responsibility2]),"")))</f>
        <v/>
      </c>
      <c r="FL545" s="44" t="str">
        <f>IF(Table1[Leaving Date]="","",IF(Table1[Date of Initial Assessment]="","",IF(AND(Table1[Leaving Date]&gt;42094,Table1[Leaving Date]&lt;42461),IF(Table1[Date of Last Assessment]="",Table1[Self-Care and Living Skills],Table1[Self-Care and Living Skills2]),"")))</f>
        <v/>
      </c>
      <c r="FM545" s="44" t="str">
        <f>IF(Table1[Leaving Date]="","",IF(Table1[Date of Initial Assessment]="","",IF(AND(Table1[Leaving Date]&gt;42094,Table1[Leaving Date]&lt;42461),IF(Table1[Date of Last Assessment]="",Table1[Managing Money and Personal Administration],Table1[Managing Money and Personal Administration2]),"")))</f>
        <v/>
      </c>
      <c r="FN545" s="44" t="str">
        <f>IF(Table1[Leaving Date]="","",IF(Table1[Date of Initial Assessment]="","",IF(AND(Table1[Leaving Date]&gt;42094,Table1[Leaving Date]&lt;42461),IF(Table1[Date of Last Assessment]="",Table1[Social Networks and Relationships],Table1[Social Networks and Relationships2]),"")))</f>
        <v/>
      </c>
      <c r="FO545" s="44" t="str">
        <f>IF(Table1[Leaving Date]="","",IF(Table1[Date of Initial Assessment]="","",IF(AND(Table1[Leaving Date]&gt;42094,Table1[Leaving Date]&lt;42461),IF(Table1[Date of Last Assessment]="",Table1[Drug and Alcohol Misuse],Table1[Drug and Alcohol Misuse2]),"")))</f>
        <v/>
      </c>
      <c r="FP545" s="44" t="str">
        <f>IF(Table1[Leaving Date]="","",IF(Table1[Date of Initial Assessment]="","",IF(AND(Table1[Leaving Date]&gt;42094,Table1[Leaving Date]&lt;42461),IF(Table1[Date of Last Assessment]="",Table1[Physical Health],Table1[Physical Health2]),"")))</f>
        <v/>
      </c>
      <c r="FQ545" s="44" t="str">
        <f>IF(Table1[Leaving Date]="","",IF(Table1[Date of Initial Assessment]="","",IF(AND(Table1[Leaving Date]&gt;42094,Table1[Leaving Date]&lt;42461),IF(Table1[Date of Last Assessment]="",Table1[Emotional and Mental Health],Table1[Emotional and Mental Health2]),"")))</f>
        <v/>
      </c>
      <c r="FR545" s="44" t="str">
        <f>IF(Table1[Leaving Date]="","",IF(Table1[Date of Initial Assessment]="","",IF(AND(Table1[Leaving Date]&gt;42094,Table1[Leaving Date]&lt;42461),IF(Table1[Date of Last Assessment]="",Table1[Meaningful Use of Time],Table1[Meaningful Use of Time2]),"")))</f>
        <v/>
      </c>
      <c r="FS545" s="44" t="str">
        <f>IF(Table1[Leaving Date]="","",IF(Table1[Date of Initial Assessment]="","",IF(AND(Table1[Leaving Date]&gt;42094,Table1[Leaving Date]&lt;42461),IF(Table1[Date of Last Assessment]="",Table1[Managing Tenancy and Accommodation],Table1[Managing Tenancy and Accommodation2]),"")))</f>
        <v/>
      </c>
      <c r="FT545" s="44" t="str">
        <f>IF(Table1[Leaving Date]="","",IF(Table1[Date of Initial Assessment]="","",IF(AND(Table1[Leaving Date]&gt;42094,Table1[Leaving Date]&lt;42461),IF(Table1[Date of Last Assessment]="",Table1[Offending],Table1[Offending2]),"")))</f>
        <v/>
      </c>
      <c r="FU545" s="44" t="str">
        <f>IF(Table1[Date of Initial Assessment]="","",IF(AND(Table1[Start Date]&gt;42460,Table1[Start Date]&lt;42826),Table1[Motivation and Taking Responsibility],""))</f>
        <v/>
      </c>
      <c r="FV545" s="44" t="str">
        <f>IF(Table1[Date of Initial Assessment]="","",IF(AND(Table1[Start Date]&gt;42460,Table1[Start Date]&lt;42826),Table1[Self-Care and Living Skills],""))</f>
        <v/>
      </c>
      <c r="FW545" s="44" t="str">
        <f>IF(Table1[Date of Initial Assessment]="","",IF(AND(Table1[Start Date]&gt;42460,Table1[Start Date]&lt;42826),Table1[Managing Money and Personal Administration],""))</f>
        <v/>
      </c>
      <c r="FX545" s="44" t="str">
        <f>IF(Table1[Date of Initial Assessment]="","",IF(AND(Table1[Start Date]&gt;42460,Table1[Start Date]&lt;42826),Table1[Social Networks and Relationships],""))</f>
        <v/>
      </c>
      <c r="FY545" s="44" t="str">
        <f>IF(Table1[Date of Initial Assessment]="","",IF(AND(Table1[Start Date]&gt;42460,Table1[Start Date]&lt;42826),Table1[Drug and Alcohol Misuse],""))</f>
        <v/>
      </c>
      <c r="FZ545" s="44" t="str">
        <f>IF(Table1[Date of Initial Assessment]="","",IF(AND(Table1[Start Date]&gt;42460,Table1[Start Date]&lt;42826),Table1[Physical Health],""))</f>
        <v/>
      </c>
      <c r="GA545" s="44" t="str">
        <f>IF(Table1[Date of Initial Assessment]="","",IF(AND(Table1[Start Date]&gt;42460,Table1[Start Date]&lt;42826),Table1[Emotional and Mental Health],""))</f>
        <v/>
      </c>
      <c r="GB545" s="44" t="str">
        <f>IF(Table1[Date of Initial Assessment]="","",IF(AND(Table1[Start Date]&gt;42460,Table1[Start Date]&lt;42826),Table1[Meaningful Use of Time],""))</f>
        <v/>
      </c>
      <c r="GC545" s="44" t="str">
        <f>IF(Table1[Date of Initial Assessment]="","",IF(AND(Table1[Start Date]&gt;42460,Table1[Start Date]&lt;42826),Table1[Managing Tenancy and Accommodation],""))</f>
        <v/>
      </c>
      <c r="GD545" s="44" t="str">
        <f>IF(Table1[Date of Initial Assessment]="","",IF(AND(Table1[Start Date]&gt;42460,Table1[Start Date]&lt;42826),Table1[Offending],""))</f>
        <v/>
      </c>
      <c r="GE545" s="44" t="str">
        <f>IF(Table1[Leaving Date]="","",IF(AND(Table1[Leaving Date]&gt;42460,Table1[Leaving Date]&lt;42826),IF(Table1[Date of Last Assessment]="",Table1[Motivation and Taking Responsibility],Table1[Motivation and Taking Responsibility2]),""))</f>
        <v/>
      </c>
      <c r="GF545" s="44" t="str">
        <f>IF(Table1[Leaving Date]="","",IF(AND(Table1[Leaving Date]&gt;42460,Table1[Leaving Date]&lt;42826),IF(Table1[Date of Last Assessment]="",Table1[Self-Care and Living Skills],Table1[Self-Care and Living Skills2]),""))</f>
        <v/>
      </c>
      <c r="GG545" s="44" t="str">
        <f>IF(Table1[Leaving Date]="","",IF(AND(Table1[Leaving Date]&gt;42460,Table1[Leaving Date]&lt;42826),IF(Table1[Date of Last Assessment]="",Table1[Managing Money and Personal Administration],Table1[Managing Money and Personal Administration2]),""))</f>
        <v/>
      </c>
      <c r="GH545" s="44" t="str">
        <f>IF(Table1[Leaving Date]="","",IF(AND(Table1[Leaving Date]&gt;42460,Table1[Leaving Date]&lt;42826),IF(Table1[Date of Last Assessment]="",Table1[Social Networks and Relationships],Table1[Social Networks and Relationships2]),""))</f>
        <v/>
      </c>
      <c r="GI545" s="44" t="str">
        <f>IF(Table1[Leaving Date]="","",IF(AND(Table1[Leaving Date]&gt;42460,Table1[Leaving Date]&lt;42826),IF(Table1[Date of Last Assessment]="",Table1[Drug and Alcohol Misuse],Table1[Drug and Alcohol Misuse2]),""))</f>
        <v/>
      </c>
      <c r="GJ545" s="44" t="str">
        <f>IF(Table1[Leaving Date]="","",IF(AND(Table1[Leaving Date]&gt;42460,Table1[Leaving Date]&lt;42826),IF(Table1[Date of Last Assessment]="",Table1[Physical Health],Table1[Physical Health2]),""))</f>
        <v/>
      </c>
      <c r="GK545" s="44" t="str">
        <f>IF(Table1[Leaving Date]="","",IF(AND(Table1[Leaving Date]&gt;42460,Table1[Leaving Date]&lt;42826),IF(Table1[Date of Last Assessment]="",Table1[Emotional and Mental Health],Table1[Emotional and Mental Health2]),""))</f>
        <v/>
      </c>
      <c r="GL545" s="44" t="str">
        <f>IF(Table1[Leaving Date]="","",IF(AND(Table1[Leaving Date]&gt;42460,Table1[Leaving Date]&lt;42826),IF(Table1[Date of Last Assessment]="",Table1[Meaningful Use of Time],Table1[Meaningful Use of Time2]),""))</f>
        <v/>
      </c>
      <c r="GM545" s="44" t="str">
        <f>IF(Table1[Leaving Date]="","",IF(AND(Table1[Leaving Date]&gt;42460,Table1[Leaving Date]&lt;42826),IF(Table1[Date of Last Assessment]="",Table1[Managing Tenancy and Accommodation],Table1[Managing Tenancy and Accommodation2]),""))</f>
        <v/>
      </c>
      <c r="GN545" s="44" t="str">
        <f>IF(Table1[Leaving Date]="","",IF(AND(Table1[Leaving Date]&gt;42460,Table1[Leaving Date]&lt;42826),IF(Table1[Date of Last Assessment]="",Table1[Offending],Table1[Offending2]),""))</f>
        <v/>
      </c>
    </row>
    <row r="546" spans="2:196" ht="20.100000000000001" customHeight="1" x14ac:dyDescent="0.2">
      <c r="B546" s="86">
        <f>+'Service Data'!$C$5:$C$5</f>
        <v>0</v>
      </c>
      <c r="C546" s="86"/>
      <c r="D546" s="86"/>
      <c r="E546" s="86"/>
      <c r="F546" s="86"/>
      <c r="G546" s="86"/>
      <c r="H546" s="6"/>
      <c r="I546" s="99" t="str">
        <f ca="1">IF(Table1[[#This Row],[Date of Birth]]="","",SUM(TODAY()-Table1[[#This Row],[Date of Birth]])/365)</f>
        <v/>
      </c>
      <c r="L546" s="86"/>
      <c r="M546" s="77"/>
      <c r="N546" s="86"/>
      <c r="O546" s="86"/>
      <c r="P546" s="91"/>
      <c r="Q546" s="86"/>
      <c r="R546" s="77"/>
      <c r="S546" s="77"/>
      <c r="T546" s="68"/>
      <c r="U546" s="68"/>
      <c r="V546" s="67"/>
      <c r="W546" s="67"/>
      <c r="X546" s="67"/>
      <c r="Y546" s="67"/>
      <c r="Z546" s="67"/>
      <c r="AA546" s="67"/>
      <c r="AB546" s="67"/>
      <c r="AC546" s="67"/>
      <c r="AD546" s="67"/>
      <c r="AE546" s="67"/>
      <c r="AF546" s="67"/>
      <c r="AG546" s="67"/>
      <c r="AH546" s="67"/>
      <c r="AI546" s="67"/>
      <c r="AJ546" s="67"/>
      <c r="AK546" s="67"/>
      <c r="AL546" s="67"/>
      <c r="AM546" s="67"/>
      <c r="AN546" s="77"/>
      <c r="AO546" s="76"/>
      <c r="AP546" s="77"/>
      <c r="AQ546" s="76"/>
      <c r="AR546" s="76"/>
      <c r="AS546" s="76"/>
      <c r="AT546" s="76"/>
      <c r="AU546" s="76"/>
      <c r="AV546" s="77"/>
      <c r="AW546" s="76"/>
      <c r="AX546" s="77"/>
      <c r="AY546" s="76"/>
      <c r="AZ546" s="76"/>
      <c r="BA546" s="76"/>
      <c r="BB546" s="76"/>
      <c r="BC546" s="76"/>
      <c r="BD546" s="77"/>
      <c r="BE546" s="76"/>
      <c r="BF546" s="77"/>
      <c r="BG546" s="76"/>
      <c r="BH546" s="76"/>
      <c r="BI546" s="76"/>
      <c r="BJ546" s="76"/>
      <c r="BK546" s="76"/>
      <c r="BL546" s="77"/>
      <c r="BM546" s="76"/>
      <c r="BN546" s="77"/>
      <c r="BO546" s="76"/>
      <c r="BP546" s="76"/>
      <c r="BQ546" s="76"/>
      <c r="BR546" s="76"/>
      <c r="BS546" s="76"/>
      <c r="BT546" s="77"/>
      <c r="BU546" s="76"/>
      <c r="BV546" s="77"/>
      <c r="BW546" s="76"/>
      <c r="BX546" s="76"/>
      <c r="BY546" s="76"/>
      <c r="BZ546" s="76"/>
      <c r="CA546" s="76"/>
      <c r="CB546" s="77"/>
      <c r="CC546" s="76"/>
      <c r="CD546" s="77"/>
      <c r="CE546" s="76"/>
      <c r="CF546" s="76"/>
      <c r="CG546" s="76"/>
      <c r="CH546" s="76"/>
      <c r="CI546" s="76"/>
      <c r="CJ546" s="77"/>
      <c r="CK546" s="76"/>
      <c r="CL546" s="77"/>
      <c r="CM546" s="76"/>
      <c r="CN546" s="76"/>
      <c r="CO546" s="76"/>
      <c r="CP546" s="76"/>
      <c r="CQ546" s="76"/>
      <c r="CR546" s="78" t="str">
        <f t="shared" si="143"/>
        <v/>
      </c>
      <c r="CS546" s="79" t="str">
        <f t="shared" si="144"/>
        <v/>
      </c>
      <c r="CT546" s="79" t="str">
        <f t="shared" si="145"/>
        <v/>
      </c>
      <c r="CU546" s="79" t="str">
        <f t="shared" si="146"/>
        <v/>
      </c>
      <c r="CV546" s="79" t="str">
        <f t="shared" si="147"/>
        <v/>
      </c>
      <c r="CW546" s="79" t="str">
        <f t="shared" si="148"/>
        <v/>
      </c>
      <c r="CX546" s="79" t="str">
        <f t="shared" si="149"/>
        <v/>
      </c>
      <c r="CY546" s="79" t="str">
        <f t="shared" si="150"/>
        <v/>
      </c>
      <c r="CZ546" s="79" t="str">
        <f t="shared" si="151"/>
        <v/>
      </c>
      <c r="DA546" s="79" t="str">
        <f t="shared" si="152"/>
        <v/>
      </c>
      <c r="DB546" s="79" t="str">
        <f t="shared" si="153"/>
        <v/>
      </c>
      <c r="DC546" s="79" t="str">
        <f t="shared" si="154"/>
        <v/>
      </c>
      <c r="DD546" s="79" t="str">
        <f t="shared" si="155"/>
        <v/>
      </c>
      <c r="DE546" s="79" t="str">
        <f t="shared" si="156"/>
        <v/>
      </c>
      <c r="DF546" s="79" t="str">
        <f t="shared" si="157"/>
        <v/>
      </c>
      <c r="DG546" s="79" t="str">
        <f t="shared" si="158"/>
        <v/>
      </c>
      <c r="DH546" s="76"/>
      <c r="DI546" s="78"/>
      <c r="DJ546" s="76"/>
      <c r="DK546" s="77"/>
      <c r="DL546" s="77"/>
      <c r="DM546" s="77"/>
      <c r="DN546" s="80"/>
      <c r="DO546" s="80"/>
      <c r="DP546" s="92" t="str">
        <f>IF(Table1[Start Date]="","",IF(Table1[Start Date]&gt;42185,"",IF(AND(Table1[Leaving Date]&gt;1,Table1[Leaving Date]&lt;42095),"",1)))</f>
        <v/>
      </c>
      <c r="DQ546" s="92" t="str">
        <f>IF(Table1[Start Date]="","",IF(Table1[Start Date]&gt;42277,"",IF(AND(Table1[Leaving Date]&gt;1,Table1[Leaving Date]&lt;42186),"",1)))</f>
        <v/>
      </c>
      <c r="DR546" s="92" t="str">
        <f>IF(Table1[Start Date]="","",IF(Table1[Start Date]&gt;42369,"",IF(AND(Table1[Leaving Date]&gt;1,Table1[Leaving Date]&lt;42278),"",1)))</f>
        <v/>
      </c>
      <c r="DS546" s="92" t="str">
        <f>IF(Table1[Start Date]="","",IF(Table1[Start Date]&gt;42460,"",IF(AND(Table1[Leaving Date]&gt;1,Table1[Leaving Date]&lt;42370),"",1)))</f>
        <v/>
      </c>
      <c r="DT546" s="92" t="str">
        <f>IF(Table1[Start Date]="","",IF(Table1[Start Date]&gt;42551,"",IF(AND(Table1[Leaving Date]&gt;1,Table1[Leaving Date]&lt;42461),"",1)))</f>
        <v/>
      </c>
      <c r="DU546" s="92" t="str">
        <f>IF(Table1[Start Date]="","",IF(Table1[Start Date]&gt;42643,"",IF(AND(Table1[Leaving Date]&gt;1,Table1[Leaving Date]&lt;42552),"",1)))</f>
        <v/>
      </c>
      <c r="DV546" s="92" t="str">
        <f>IF(Table1[Start Date]="","",IF(Table1[Start Date]&gt;42735,"",IF(AND(Table1[Leaving Date]&gt;1,Table1[Leaving Date]&lt;42644),"",1)))</f>
        <v/>
      </c>
      <c r="DW546" s="92" t="str">
        <f>IF(Table1[Start Date]="","",IF(Table1[Start Date]&gt;42825,"",IF(AND(Table1[Leaving Date]&gt;1,Table1[Leaving Date]&lt;42736),"",1)))</f>
        <v/>
      </c>
      <c r="DX546"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546" s="44" t="e">
        <f>VLOOKUP(Table1[Referral Source],Lists!$G$2:$H$20,2,FALSE)</f>
        <v>#N/A</v>
      </c>
      <c r="DZ546" s="93" t="e">
        <f>SUM(Table1[Data Referral Quarter]+Table1[Data Referral Source])</f>
        <v>#N/A</v>
      </c>
      <c r="EA546" s="44" t="b">
        <f>IF(Table1[Referral Decision]="Accepted",100,IF(Table1[Referral Decision]="Rejected by Provider",200,IF(Table1[Referral Decision]="Rejected by Applicant",300)))</f>
        <v>0</v>
      </c>
      <c r="EB546" s="44">
        <f>SUM(Table1[Data Referral Quarter]+Table1[Data Referral Decision])</f>
        <v>0</v>
      </c>
      <c r="EC546" s="44" t="b">
        <f>IF(Table1[Start Date]&gt;42735,8000,IF(Table1[Start Date]&gt;42643,7000,IF(Table1[Start Date]&gt;42551,6000,IF(Table1[Start Date]&gt;42460,5000,IF(Table1[Start Date]&gt;42369,4000,IF(Table1[Start Date]&gt;42277,3000,IF(Table1[Start Date]&gt;42185,2000,IF(Table1[Start Date]&gt;42094,1000))))))))</f>
        <v>0</v>
      </c>
      <c r="ED546" s="44" t="str">
        <f>IF(Table1[Start Date]="","",IF(Table1[Current Local Authority]="Swindon",1,"2"))</f>
        <v/>
      </c>
      <c r="EE546" s="44" t="e">
        <f>SUM(Table1[Data Start Date]+Table1[Data Local Authority])</f>
        <v>#VALUE!</v>
      </c>
      <c r="EF546" s="44">
        <f>IF(Table1[Registered with GP]="Yes",1,0)</f>
        <v>0</v>
      </c>
      <c r="EG546" s="44">
        <f>SUM(Table1[Data Start Date]+Table1[Data GP Start])</f>
        <v>0</v>
      </c>
      <c r="EH546" s="44" t="str">
        <f>IF(Table1[EET]="NEET",1,IF(Table1[EET]="Education",2,IF(Table1[EET]="Employment",2,IF(Table1[EET]="Training",2,IF(Table1[EET]="Retired",3,"")))))</f>
        <v/>
      </c>
      <c r="EI546" s="44" t="e">
        <f>Table1[Data Start Date]+Table1[Data EET Start]</f>
        <v>#VALUE!</v>
      </c>
      <c r="EJ546" s="44" t="b">
        <f>IF(Table1[Leaving Date]&gt;42735,8000,IF(Table1[Leaving Date]&gt;42643,7000,IF(Table1[Leaving Date]&gt;42551,6000,IF(Table1[Leaving Date]&gt;42460,5000,IF(Table1[Leaving Date]&gt;42369,4000,IF(Table1[Leaving Date]&gt;42277,3000,IF(Table1[Leaving Date]&gt;42185,2000,IF(Table1[Leaving Date]&gt;42094,1000))))))))</f>
        <v>0</v>
      </c>
      <c r="EK546" s="44" t="e">
        <f>VLOOKUP(Table1[Reason for Leaving],Lists!$T$2:$U$15,2,FALSE)</f>
        <v>#N/A</v>
      </c>
      <c r="EL546" s="44" t="e">
        <f>SUM(Table1[Data Leavers Date]+Table1[Data Move On])</f>
        <v>#N/A</v>
      </c>
      <c r="EM546" s="44" t="b">
        <f>IF(Table1[Registered with GP2]="Yes",1,IF(Table1[Registered with GP2]="No",0,IF(Table1[Registered with GP]="Yes",1,IF(Table1[Registered with GP]="No",0))))</f>
        <v>0</v>
      </c>
      <c r="EN546" s="44">
        <f>SUM(Table1[Data Leavers Date]+Table1[Data GP End])</f>
        <v>0</v>
      </c>
      <c r="EO546" s="44" t="str">
        <f>IF(Table1[EET2]="NEET",1,IF(Table1[EET2]="Employment",2,IF(Table1[EET2]="Education",2,IF(Table1[EET2]="Training",2,IF(Table1[EET2]="Retired",3,IF(Table1[EET]="NEET",1,IF(Table1[EET]="Employment",2,IF(Table1[EET]="Education",2,IF(Table1[EET]="Training",2,IF(Table1[EET]="Retired",3,""))))))))))</f>
        <v/>
      </c>
      <c r="EP546" s="44" t="e">
        <f>+Table1[[#This Row],[Data Leavers Date]]+Table1[[#This Row],[Data EET End]]</f>
        <v>#VALUE!</v>
      </c>
      <c r="EQ546" s="44">
        <f>IF(Table1[Exit Form Received]="Yes",1,0)</f>
        <v>0</v>
      </c>
      <c r="ER546" s="44">
        <f>+Table1[[#This Row],[Data Leavers Date]]+Table1[[#This Row],[Data Exit Forms]]</f>
        <v>0</v>
      </c>
      <c r="ES546" s="44" t="str">
        <f>IF(Table1[Data Leavers Date]=1000,SUM(Table1[Leaving Date]-Table1[Start Date]),"")</f>
        <v/>
      </c>
      <c r="ET546" s="44" t="str">
        <f>IF(Table1[Data Leavers Date]=2000,SUM(Table1[Leaving Date]-Table1[Start Date]),"")</f>
        <v/>
      </c>
      <c r="EU546" s="44" t="str">
        <f>IF(Table1[Data Leavers Date]=3000,SUM(Table1[Leaving Date]-Table1[Start Date]),"")</f>
        <v/>
      </c>
      <c r="EV546" s="44" t="str">
        <f>IF(Table1[Data Leavers Date]=4000,SUM(Table1[Leaving Date]-Table1[Start Date]),"")</f>
        <v/>
      </c>
      <c r="EW546" s="44" t="str">
        <f>IF(Table1[Data Leavers Date]=5000,SUM(Table1[Leaving Date]-Table1[Start Date]),"")</f>
        <v/>
      </c>
      <c r="EX546" s="44" t="str">
        <f>IF(Table1[Data Leavers Date]=6000,SUM(Table1[Leaving Date]-Table1[Start Date]),"")</f>
        <v/>
      </c>
      <c r="EY546" s="44" t="str">
        <f>IF(Table1[Data Leavers Date]=7000,SUM(Table1[Leaving Date]-Table1[Start Date]),"")</f>
        <v/>
      </c>
      <c r="EZ546" s="44" t="str">
        <f>IF(Table1[Data Leavers Date]=8000,SUM(Table1[Leaving Date]-Table1[Start Date]),"")</f>
        <v/>
      </c>
      <c r="FA546" s="44" t="str">
        <f>IF(Table1[Date of Initial Assessment]="","",IF(AND(Table1[Start Date]&gt;42094,Table1[Start Date]&lt;42461),Table1[Motivation and Taking Responsibility],""))</f>
        <v/>
      </c>
      <c r="FB546" s="44" t="str">
        <f>IF(Table1[Date of Initial Assessment]="","",IF(AND(Table1[Start Date]&gt;42094,Table1[Start Date]&lt;42461),Table1[Self-Care and Living Skills],""))</f>
        <v/>
      </c>
      <c r="FC546" s="44" t="str">
        <f>IF(Table1[Date of Initial Assessment]="","",IF(AND(Table1[Start Date]&gt;42094,Table1[Start Date]&lt;42461),Table1[Managing Money and Personal Administration],""))</f>
        <v/>
      </c>
      <c r="FD546" s="44" t="str">
        <f>IF(Table1[Date of Initial Assessment]="","",IF(AND(Table1[Start Date]&gt;42094,Table1[Start Date]&lt;42461),Table1[Social Networks and Relationships],""))</f>
        <v/>
      </c>
      <c r="FE546" s="44" t="str">
        <f>IF(Table1[Date of Initial Assessment]="","",IF(AND(Table1[Start Date]&gt;42094,Table1[Start Date]&lt;42461),Table1[Drug and Alcohol Misuse],""))</f>
        <v/>
      </c>
      <c r="FF546" s="44" t="str">
        <f>IF(Table1[Date of Initial Assessment]="","",IF(AND(Table1[Start Date]&gt;42094,Table1[Start Date]&lt;42461),Table1[Physical Health],""))</f>
        <v/>
      </c>
      <c r="FG546" s="44" t="str">
        <f>IF(Table1[Date of Initial Assessment]="","",IF(AND(Table1[Start Date]&gt;42094,Table1[Start Date]&lt;42461),Table1[Emotional and Mental Health],""))</f>
        <v/>
      </c>
      <c r="FH546" s="44" t="str">
        <f>IF(Table1[Date of Initial Assessment]="","",IF(AND(Table1[Start Date]&gt;42094,Table1[Start Date]&lt;42461),Table1[Meaningful Use of Time],""))</f>
        <v/>
      </c>
      <c r="FI546" s="44" t="str">
        <f>IF(Table1[Date of Initial Assessment]="","",IF(AND(Table1[Start Date]&gt;42094,Table1[Start Date]&lt;42461),Table1[Managing Tenancy and Accommodation],""))</f>
        <v/>
      </c>
      <c r="FJ546" s="44" t="str">
        <f>IF(Table1[Date of Initial Assessment]="","",IF(AND(Table1[Start Date]&gt;42094,Table1[Start Date]&lt;42461),Table1[Offending],""))</f>
        <v/>
      </c>
      <c r="FK546" s="44" t="str">
        <f>IF(Table1[Leaving Date]="","",IF(Table1[Date of Initial Assessment]="","",IF(AND(Table1[Leaving Date]&gt;42094,Table1[Leaving Date]&lt;42461),IF(Table1[Date of Last Assessment]="",Table1[Motivation and Taking Responsibility],Table1[Motivation and Taking Responsibility2]),"")))</f>
        <v/>
      </c>
      <c r="FL546" s="44" t="str">
        <f>IF(Table1[Leaving Date]="","",IF(Table1[Date of Initial Assessment]="","",IF(AND(Table1[Leaving Date]&gt;42094,Table1[Leaving Date]&lt;42461),IF(Table1[Date of Last Assessment]="",Table1[Self-Care and Living Skills],Table1[Self-Care and Living Skills2]),"")))</f>
        <v/>
      </c>
      <c r="FM546" s="44" t="str">
        <f>IF(Table1[Leaving Date]="","",IF(Table1[Date of Initial Assessment]="","",IF(AND(Table1[Leaving Date]&gt;42094,Table1[Leaving Date]&lt;42461),IF(Table1[Date of Last Assessment]="",Table1[Managing Money and Personal Administration],Table1[Managing Money and Personal Administration2]),"")))</f>
        <v/>
      </c>
      <c r="FN546" s="44" t="str">
        <f>IF(Table1[Leaving Date]="","",IF(Table1[Date of Initial Assessment]="","",IF(AND(Table1[Leaving Date]&gt;42094,Table1[Leaving Date]&lt;42461),IF(Table1[Date of Last Assessment]="",Table1[Social Networks and Relationships],Table1[Social Networks and Relationships2]),"")))</f>
        <v/>
      </c>
      <c r="FO546" s="44" t="str">
        <f>IF(Table1[Leaving Date]="","",IF(Table1[Date of Initial Assessment]="","",IF(AND(Table1[Leaving Date]&gt;42094,Table1[Leaving Date]&lt;42461),IF(Table1[Date of Last Assessment]="",Table1[Drug and Alcohol Misuse],Table1[Drug and Alcohol Misuse2]),"")))</f>
        <v/>
      </c>
      <c r="FP546" s="44" t="str">
        <f>IF(Table1[Leaving Date]="","",IF(Table1[Date of Initial Assessment]="","",IF(AND(Table1[Leaving Date]&gt;42094,Table1[Leaving Date]&lt;42461),IF(Table1[Date of Last Assessment]="",Table1[Physical Health],Table1[Physical Health2]),"")))</f>
        <v/>
      </c>
      <c r="FQ546" s="44" t="str">
        <f>IF(Table1[Leaving Date]="","",IF(Table1[Date of Initial Assessment]="","",IF(AND(Table1[Leaving Date]&gt;42094,Table1[Leaving Date]&lt;42461),IF(Table1[Date of Last Assessment]="",Table1[Emotional and Mental Health],Table1[Emotional and Mental Health2]),"")))</f>
        <v/>
      </c>
      <c r="FR546" s="44" t="str">
        <f>IF(Table1[Leaving Date]="","",IF(Table1[Date of Initial Assessment]="","",IF(AND(Table1[Leaving Date]&gt;42094,Table1[Leaving Date]&lt;42461),IF(Table1[Date of Last Assessment]="",Table1[Meaningful Use of Time],Table1[Meaningful Use of Time2]),"")))</f>
        <v/>
      </c>
      <c r="FS546" s="44" t="str">
        <f>IF(Table1[Leaving Date]="","",IF(Table1[Date of Initial Assessment]="","",IF(AND(Table1[Leaving Date]&gt;42094,Table1[Leaving Date]&lt;42461),IF(Table1[Date of Last Assessment]="",Table1[Managing Tenancy and Accommodation],Table1[Managing Tenancy and Accommodation2]),"")))</f>
        <v/>
      </c>
      <c r="FT546" s="44" t="str">
        <f>IF(Table1[Leaving Date]="","",IF(Table1[Date of Initial Assessment]="","",IF(AND(Table1[Leaving Date]&gt;42094,Table1[Leaving Date]&lt;42461),IF(Table1[Date of Last Assessment]="",Table1[Offending],Table1[Offending2]),"")))</f>
        <v/>
      </c>
      <c r="FU546" s="44" t="str">
        <f>IF(Table1[Date of Initial Assessment]="","",IF(AND(Table1[Start Date]&gt;42460,Table1[Start Date]&lt;42826),Table1[Motivation and Taking Responsibility],""))</f>
        <v/>
      </c>
      <c r="FV546" s="44" t="str">
        <f>IF(Table1[Date of Initial Assessment]="","",IF(AND(Table1[Start Date]&gt;42460,Table1[Start Date]&lt;42826),Table1[Self-Care and Living Skills],""))</f>
        <v/>
      </c>
      <c r="FW546" s="44" t="str">
        <f>IF(Table1[Date of Initial Assessment]="","",IF(AND(Table1[Start Date]&gt;42460,Table1[Start Date]&lt;42826),Table1[Managing Money and Personal Administration],""))</f>
        <v/>
      </c>
      <c r="FX546" s="44" t="str">
        <f>IF(Table1[Date of Initial Assessment]="","",IF(AND(Table1[Start Date]&gt;42460,Table1[Start Date]&lt;42826),Table1[Social Networks and Relationships],""))</f>
        <v/>
      </c>
      <c r="FY546" s="44" t="str">
        <f>IF(Table1[Date of Initial Assessment]="","",IF(AND(Table1[Start Date]&gt;42460,Table1[Start Date]&lt;42826),Table1[Drug and Alcohol Misuse],""))</f>
        <v/>
      </c>
      <c r="FZ546" s="44" t="str">
        <f>IF(Table1[Date of Initial Assessment]="","",IF(AND(Table1[Start Date]&gt;42460,Table1[Start Date]&lt;42826),Table1[Physical Health],""))</f>
        <v/>
      </c>
      <c r="GA546" s="44" t="str">
        <f>IF(Table1[Date of Initial Assessment]="","",IF(AND(Table1[Start Date]&gt;42460,Table1[Start Date]&lt;42826),Table1[Emotional and Mental Health],""))</f>
        <v/>
      </c>
      <c r="GB546" s="44" t="str">
        <f>IF(Table1[Date of Initial Assessment]="","",IF(AND(Table1[Start Date]&gt;42460,Table1[Start Date]&lt;42826),Table1[Meaningful Use of Time],""))</f>
        <v/>
      </c>
      <c r="GC546" s="44" t="str">
        <f>IF(Table1[Date of Initial Assessment]="","",IF(AND(Table1[Start Date]&gt;42460,Table1[Start Date]&lt;42826),Table1[Managing Tenancy and Accommodation],""))</f>
        <v/>
      </c>
      <c r="GD546" s="44" t="str">
        <f>IF(Table1[Date of Initial Assessment]="","",IF(AND(Table1[Start Date]&gt;42460,Table1[Start Date]&lt;42826),Table1[Offending],""))</f>
        <v/>
      </c>
      <c r="GE546" s="44" t="str">
        <f>IF(Table1[Leaving Date]="","",IF(AND(Table1[Leaving Date]&gt;42460,Table1[Leaving Date]&lt;42826),IF(Table1[Date of Last Assessment]="",Table1[Motivation and Taking Responsibility],Table1[Motivation and Taking Responsibility2]),""))</f>
        <v/>
      </c>
      <c r="GF546" s="44" t="str">
        <f>IF(Table1[Leaving Date]="","",IF(AND(Table1[Leaving Date]&gt;42460,Table1[Leaving Date]&lt;42826),IF(Table1[Date of Last Assessment]="",Table1[Self-Care and Living Skills],Table1[Self-Care and Living Skills2]),""))</f>
        <v/>
      </c>
      <c r="GG546" s="44" t="str">
        <f>IF(Table1[Leaving Date]="","",IF(AND(Table1[Leaving Date]&gt;42460,Table1[Leaving Date]&lt;42826),IF(Table1[Date of Last Assessment]="",Table1[Managing Money and Personal Administration],Table1[Managing Money and Personal Administration2]),""))</f>
        <v/>
      </c>
      <c r="GH546" s="44" t="str">
        <f>IF(Table1[Leaving Date]="","",IF(AND(Table1[Leaving Date]&gt;42460,Table1[Leaving Date]&lt;42826),IF(Table1[Date of Last Assessment]="",Table1[Social Networks and Relationships],Table1[Social Networks and Relationships2]),""))</f>
        <v/>
      </c>
      <c r="GI546" s="44" t="str">
        <f>IF(Table1[Leaving Date]="","",IF(AND(Table1[Leaving Date]&gt;42460,Table1[Leaving Date]&lt;42826),IF(Table1[Date of Last Assessment]="",Table1[Drug and Alcohol Misuse],Table1[Drug and Alcohol Misuse2]),""))</f>
        <v/>
      </c>
      <c r="GJ546" s="44" t="str">
        <f>IF(Table1[Leaving Date]="","",IF(AND(Table1[Leaving Date]&gt;42460,Table1[Leaving Date]&lt;42826),IF(Table1[Date of Last Assessment]="",Table1[Physical Health],Table1[Physical Health2]),""))</f>
        <v/>
      </c>
      <c r="GK546" s="44" t="str">
        <f>IF(Table1[Leaving Date]="","",IF(AND(Table1[Leaving Date]&gt;42460,Table1[Leaving Date]&lt;42826),IF(Table1[Date of Last Assessment]="",Table1[Emotional and Mental Health],Table1[Emotional and Mental Health2]),""))</f>
        <v/>
      </c>
      <c r="GL546" s="44" t="str">
        <f>IF(Table1[Leaving Date]="","",IF(AND(Table1[Leaving Date]&gt;42460,Table1[Leaving Date]&lt;42826),IF(Table1[Date of Last Assessment]="",Table1[Meaningful Use of Time],Table1[Meaningful Use of Time2]),""))</f>
        <v/>
      </c>
      <c r="GM546" s="44" t="str">
        <f>IF(Table1[Leaving Date]="","",IF(AND(Table1[Leaving Date]&gt;42460,Table1[Leaving Date]&lt;42826),IF(Table1[Date of Last Assessment]="",Table1[Managing Tenancy and Accommodation],Table1[Managing Tenancy and Accommodation2]),""))</f>
        <v/>
      </c>
      <c r="GN546" s="44" t="str">
        <f>IF(Table1[Leaving Date]="","",IF(AND(Table1[Leaving Date]&gt;42460,Table1[Leaving Date]&lt;42826),IF(Table1[Date of Last Assessment]="",Table1[Offending],Table1[Offending2]),""))</f>
        <v/>
      </c>
    </row>
    <row r="547" spans="2:196" ht="20.100000000000001" customHeight="1" x14ac:dyDescent="0.2">
      <c r="B547" s="86">
        <f>+'Service Data'!$C$5:$C$5</f>
        <v>0</v>
      </c>
      <c r="C547" s="86"/>
      <c r="D547" s="86"/>
      <c r="E547" s="86"/>
      <c r="F547" s="86"/>
      <c r="G547" s="86"/>
      <c r="H547" s="6"/>
      <c r="I547" s="99" t="str">
        <f ca="1">IF(Table1[[#This Row],[Date of Birth]]="","",SUM(TODAY()-Table1[[#This Row],[Date of Birth]])/365)</f>
        <v/>
      </c>
      <c r="L547" s="86"/>
      <c r="M547" s="77"/>
      <c r="N547" s="86"/>
      <c r="O547" s="86"/>
      <c r="P547" s="91"/>
      <c r="Q547" s="86"/>
      <c r="R547" s="77"/>
      <c r="S547" s="77"/>
      <c r="T547" s="68"/>
      <c r="U547" s="68"/>
      <c r="V547" s="67"/>
      <c r="W547" s="67"/>
      <c r="X547" s="67"/>
      <c r="Y547" s="67"/>
      <c r="Z547" s="67"/>
      <c r="AA547" s="67"/>
      <c r="AB547" s="67"/>
      <c r="AC547" s="67"/>
      <c r="AD547" s="67"/>
      <c r="AE547" s="67"/>
      <c r="AF547" s="67"/>
      <c r="AG547" s="67"/>
      <c r="AH547" s="67"/>
      <c r="AI547" s="67"/>
      <c r="AJ547" s="67"/>
      <c r="AK547" s="67"/>
      <c r="AL547" s="67"/>
      <c r="AM547" s="67"/>
      <c r="AN547" s="77"/>
      <c r="AO547" s="76"/>
      <c r="AP547" s="77"/>
      <c r="AQ547" s="76"/>
      <c r="AR547" s="76"/>
      <c r="AS547" s="76"/>
      <c r="AT547" s="76"/>
      <c r="AU547" s="76"/>
      <c r="AV547" s="77"/>
      <c r="AW547" s="76"/>
      <c r="AX547" s="77"/>
      <c r="AY547" s="76"/>
      <c r="AZ547" s="76"/>
      <c r="BA547" s="76"/>
      <c r="BB547" s="76"/>
      <c r="BC547" s="76"/>
      <c r="BD547" s="77"/>
      <c r="BE547" s="76"/>
      <c r="BF547" s="77"/>
      <c r="BG547" s="76"/>
      <c r="BH547" s="76"/>
      <c r="BI547" s="76"/>
      <c r="BJ547" s="76"/>
      <c r="BK547" s="76"/>
      <c r="BL547" s="77"/>
      <c r="BM547" s="76"/>
      <c r="BN547" s="77"/>
      <c r="BO547" s="76"/>
      <c r="BP547" s="76"/>
      <c r="BQ547" s="76"/>
      <c r="BR547" s="76"/>
      <c r="BS547" s="76"/>
      <c r="BT547" s="77"/>
      <c r="BU547" s="76"/>
      <c r="BV547" s="77"/>
      <c r="BW547" s="76"/>
      <c r="BX547" s="76"/>
      <c r="BY547" s="76"/>
      <c r="BZ547" s="76"/>
      <c r="CA547" s="76"/>
      <c r="CB547" s="77"/>
      <c r="CC547" s="76"/>
      <c r="CD547" s="77"/>
      <c r="CE547" s="76"/>
      <c r="CF547" s="76"/>
      <c r="CG547" s="76"/>
      <c r="CH547" s="76"/>
      <c r="CI547" s="76"/>
      <c r="CJ547" s="77"/>
      <c r="CK547" s="76"/>
      <c r="CL547" s="77"/>
      <c r="CM547" s="76"/>
      <c r="CN547" s="76"/>
      <c r="CO547" s="76"/>
      <c r="CP547" s="76"/>
      <c r="CQ547" s="76"/>
      <c r="CR547" s="78" t="str">
        <f t="shared" si="143"/>
        <v/>
      </c>
      <c r="CS547" s="79" t="str">
        <f t="shared" si="144"/>
        <v/>
      </c>
      <c r="CT547" s="79" t="str">
        <f t="shared" si="145"/>
        <v/>
      </c>
      <c r="CU547" s="79" t="str">
        <f t="shared" si="146"/>
        <v/>
      </c>
      <c r="CV547" s="79" t="str">
        <f t="shared" si="147"/>
        <v/>
      </c>
      <c r="CW547" s="79" t="str">
        <f t="shared" si="148"/>
        <v/>
      </c>
      <c r="CX547" s="79" t="str">
        <f t="shared" si="149"/>
        <v/>
      </c>
      <c r="CY547" s="79" t="str">
        <f t="shared" si="150"/>
        <v/>
      </c>
      <c r="CZ547" s="79" t="str">
        <f t="shared" si="151"/>
        <v/>
      </c>
      <c r="DA547" s="79" t="str">
        <f t="shared" si="152"/>
        <v/>
      </c>
      <c r="DB547" s="79" t="str">
        <f t="shared" si="153"/>
        <v/>
      </c>
      <c r="DC547" s="79" t="str">
        <f t="shared" si="154"/>
        <v/>
      </c>
      <c r="DD547" s="79" t="str">
        <f t="shared" si="155"/>
        <v/>
      </c>
      <c r="DE547" s="79" t="str">
        <f t="shared" si="156"/>
        <v/>
      </c>
      <c r="DF547" s="79" t="str">
        <f t="shared" si="157"/>
        <v/>
      </c>
      <c r="DG547" s="79" t="str">
        <f t="shared" si="158"/>
        <v/>
      </c>
      <c r="DH547" s="76"/>
      <c r="DI547" s="78"/>
      <c r="DJ547" s="76"/>
      <c r="DK547" s="77"/>
      <c r="DL547" s="77"/>
      <c r="DM547" s="77"/>
      <c r="DN547" s="80"/>
      <c r="DO547" s="80"/>
      <c r="DP547" s="92" t="str">
        <f>IF(Table1[Start Date]="","",IF(Table1[Start Date]&gt;42185,"",IF(AND(Table1[Leaving Date]&gt;1,Table1[Leaving Date]&lt;42095),"",1)))</f>
        <v/>
      </c>
      <c r="DQ547" s="92" t="str">
        <f>IF(Table1[Start Date]="","",IF(Table1[Start Date]&gt;42277,"",IF(AND(Table1[Leaving Date]&gt;1,Table1[Leaving Date]&lt;42186),"",1)))</f>
        <v/>
      </c>
      <c r="DR547" s="92" t="str">
        <f>IF(Table1[Start Date]="","",IF(Table1[Start Date]&gt;42369,"",IF(AND(Table1[Leaving Date]&gt;1,Table1[Leaving Date]&lt;42278),"",1)))</f>
        <v/>
      </c>
      <c r="DS547" s="92" t="str">
        <f>IF(Table1[Start Date]="","",IF(Table1[Start Date]&gt;42460,"",IF(AND(Table1[Leaving Date]&gt;1,Table1[Leaving Date]&lt;42370),"",1)))</f>
        <v/>
      </c>
      <c r="DT547" s="92" t="str">
        <f>IF(Table1[Start Date]="","",IF(Table1[Start Date]&gt;42551,"",IF(AND(Table1[Leaving Date]&gt;1,Table1[Leaving Date]&lt;42461),"",1)))</f>
        <v/>
      </c>
      <c r="DU547" s="92" t="str">
        <f>IF(Table1[Start Date]="","",IF(Table1[Start Date]&gt;42643,"",IF(AND(Table1[Leaving Date]&gt;1,Table1[Leaving Date]&lt;42552),"",1)))</f>
        <v/>
      </c>
      <c r="DV547" s="92" t="str">
        <f>IF(Table1[Start Date]="","",IF(Table1[Start Date]&gt;42735,"",IF(AND(Table1[Leaving Date]&gt;1,Table1[Leaving Date]&lt;42644),"",1)))</f>
        <v/>
      </c>
      <c r="DW547" s="92" t="str">
        <f>IF(Table1[Start Date]="","",IF(Table1[Start Date]&gt;42825,"",IF(AND(Table1[Leaving Date]&gt;1,Table1[Leaving Date]&lt;42736),"",1)))</f>
        <v/>
      </c>
      <c r="DX547"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547" s="44" t="e">
        <f>VLOOKUP(Table1[Referral Source],Lists!$G$2:$H$20,2,FALSE)</f>
        <v>#N/A</v>
      </c>
      <c r="DZ547" s="93" t="e">
        <f>SUM(Table1[Data Referral Quarter]+Table1[Data Referral Source])</f>
        <v>#N/A</v>
      </c>
      <c r="EA547" s="44" t="b">
        <f>IF(Table1[Referral Decision]="Accepted",100,IF(Table1[Referral Decision]="Rejected by Provider",200,IF(Table1[Referral Decision]="Rejected by Applicant",300)))</f>
        <v>0</v>
      </c>
      <c r="EB547" s="44">
        <f>SUM(Table1[Data Referral Quarter]+Table1[Data Referral Decision])</f>
        <v>0</v>
      </c>
      <c r="EC547" s="44" t="b">
        <f>IF(Table1[Start Date]&gt;42735,8000,IF(Table1[Start Date]&gt;42643,7000,IF(Table1[Start Date]&gt;42551,6000,IF(Table1[Start Date]&gt;42460,5000,IF(Table1[Start Date]&gt;42369,4000,IF(Table1[Start Date]&gt;42277,3000,IF(Table1[Start Date]&gt;42185,2000,IF(Table1[Start Date]&gt;42094,1000))))))))</f>
        <v>0</v>
      </c>
      <c r="ED547" s="44" t="str">
        <f>IF(Table1[Start Date]="","",IF(Table1[Current Local Authority]="Swindon",1,"2"))</f>
        <v/>
      </c>
      <c r="EE547" s="44" t="e">
        <f>SUM(Table1[Data Start Date]+Table1[Data Local Authority])</f>
        <v>#VALUE!</v>
      </c>
      <c r="EF547" s="44">
        <f>IF(Table1[Registered with GP]="Yes",1,0)</f>
        <v>0</v>
      </c>
      <c r="EG547" s="44">
        <f>SUM(Table1[Data Start Date]+Table1[Data GP Start])</f>
        <v>0</v>
      </c>
      <c r="EH547" s="44" t="str">
        <f>IF(Table1[EET]="NEET",1,IF(Table1[EET]="Education",2,IF(Table1[EET]="Employment",2,IF(Table1[EET]="Training",2,IF(Table1[EET]="Retired",3,"")))))</f>
        <v/>
      </c>
      <c r="EI547" s="44" t="e">
        <f>Table1[Data Start Date]+Table1[Data EET Start]</f>
        <v>#VALUE!</v>
      </c>
      <c r="EJ547" s="44" t="b">
        <f>IF(Table1[Leaving Date]&gt;42735,8000,IF(Table1[Leaving Date]&gt;42643,7000,IF(Table1[Leaving Date]&gt;42551,6000,IF(Table1[Leaving Date]&gt;42460,5000,IF(Table1[Leaving Date]&gt;42369,4000,IF(Table1[Leaving Date]&gt;42277,3000,IF(Table1[Leaving Date]&gt;42185,2000,IF(Table1[Leaving Date]&gt;42094,1000))))))))</f>
        <v>0</v>
      </c>
      <c r="EK547" s="44" t="e">
        <f>VLOOKUP(Table1[Reason for Leaving],Lists!$T$2:$U$15,2,FALSE)</f>
        <v>#N/A</v>
      </c>
      <c r="EL547" s="44" t="e">
        <f>SUM(Table1[Data Leavers Date]+Table1[Data Move On])</f>
        <v>#N/A</v>
      </c>
      <c r="EM547" s="44" t="b">
        <f>IF(Table1[Registered with GP2]="Yes",1,IF(Table1[Registered with GP2]="No",0,IF(Table1[Registered with GP]="Yes",1,IF(Table1[Registered with GP]="No",0))))</f>
        <v>0</v>
      </c>
      <c r="EN547" s="44">
        <f>SUM(Table1[Data Leavers Date]+Table1[Data GP End])</f>
        <v>0</v>
      </c>
      <c r="EO547" s="44" t="str">
        <f>IF(Table1[EET2]="NEET",1,IF(Table1[EET2]="Employment",2,IF(Table1[EET2]="Education",2,IF(Table1[EET2]="Training",2,IF(Table1[EET2]="Retired",3,IF(Table1[EET]="NEET",1,IF(Table1[EET]="Employment",2,IF(Table1[EET]="Education",2,IF(Table1[EET]="Training",2,IF(Table1[EET]="Retired",3,""))))))))))</f>
        <v/>
      </c>
      <c r="EP547" s="44" t="e">
        <f>+Table1[[#This Row],[Data Leavers Date]]+Table1[[#This Row],[Data EET End]]</f>
        <v>#VALUE!</v>
      </c>
      <c r="EQ547" s="44">
        <f>IF(Table1[Exit Form Received]="Yes",1,0)</f>
        <v>0</v>
      </c>
      <c r="ER547" s="44">
        <f>+Table1[[#This Row],[Data Leavers Date]]+Table1[[#This Row],[Data Exit Forms]]</f>
        <v>0</v>
      </c>
      <c r="ES547" s="44" t="str">
        <f>IF(Table1[Data Leavers Date]=1000,SUM(Table1[Leaving Date]-Table1[Start Date]),"")</f>
        <v/>
      </c>
      <c r="ET547" s="44" t="str">
        <f>IF(Table1[Data Leavers Date]=2000,SUM(Table1[Leaving Date]-Table1[Start Date]),"")</f>
        <v/>
      </c>
      <c r="EU547" s="44" t="str">
        <f>IF(Table1[Data Leavers Date]=3000,SUM(Table1[Leaving Date]-Table1[Start Date]),"")</f>
        <v/>
      </c>
      <c r="EV547" s="44" t="str">
        <f>IF(Table1[Data Leavers Date]=4000,SUM(Table1[Leaving Date]-Table1[Start Date]),"")</f>
        <v/>
      </c>
      <c r="EW547" s="44" t="str">
        <f>IF(Table1[Data Leavers Date]=5000,SUM(Table1[Leaving Date]-Table1[Start Date]),"")</f>
        <v/>
      </c>
      <c r="EX547" s="44" t="str">
        <f>IF(Table1[Data Leavers Date]=6000,SUM(Table1[Leaving Date]-Table1[Start Date]),"")</f>
        <v/>
      </c>
      <c r="EY547" s="44" t="str">
        <f>IF(Table1[Data Leavers Date]=7000,SUM(Table1[Leaving Date]-Table1[Start Date]),"")</f>
        <v/>
      </c>
      <c r="EZ547" s="44" t="str">
        <f>IF(Table1[Data Leavers Date]=8000,SUM(Table1[Leaving Date]-Table1[Start Date]),"")</f>
        <v/>
      </c>
      <c r="FA547" s="44" t="str">
        <f>IF(Table1[Date of Initial Assessment]="","",IF(AND(Table1[Start Date]&gt;42094,Table1[Start Date]&lt;42461),Table1[Motivation and Taking Responsibility],""))</f>
        <v/>
      </c>
      <c r="FB547" s="44" t="str">
        <f>IF(Table1[Date of Initial Assessment]="","",IF(AND(Table1[Start Date]&gt;42094,Table1[Start Date]&lt;42461),Table1[Self-Care and Living Skills],""))</f>
        <v/>
      </c>
      <c r="FC547" s="44" t="str">
        <f>IF(Table1[Date of Initial Assessment]="","",IF(AND(Table1[Start Date]&gt;42094,Table1[Start Date]&lt;42461),Table1[Managing Money and Personal Administration],""))</f>
        <v/>
      </c>
      <c r="FD547" s="44" t="str">
        <f>IF(Table1[Date of Initial Assessment]="","",IF(AND(Table1[Start Date]&gt;42094,Table1[Start Date]&lt;42461),Table1[Social Networks and Relationships],""))</f>
        <v/>
      </c>
      <c r="FE547" s="44" t="str">
        <f>IF(Table1[Date of Initial Assessment]="","",IF(AND(Table1[Start Date]&gt;42094,Table1[Start Date]&lt;42461),Table1[Drug and Alcohol Misuse],""))</f>
        <v/>
      </c>
      <c r="FF547" s="44" t="str">
        <f>IF(Table1[Date of Initial Assessment]="","",IF(AND(Table1[Start Date]&gt;42094,Table1[Start Date]&lt;42461),Table1[Physical Health],""))</f>
        <v/>
      </c>
      <c r="FG547" s="44" t="str">
        <f>IF(Table1[Date of Initial Assessment]="","",IF(AND(Table1[Start Date]&gt;42094,Table1[Start Date]&lt;42461),Table1[Emotional and Mental Health],""))</f>
        <v/>
      </c>
      <c r="FH547" s="44" t="str">
        <f>IF(Table1[Date of Initial Assessment]="","",IF(AND(Table1[Start Date]&gt;42094,Table1[Start Date]&lt;42461),Table1[Meaningful Use of Time],""))</f>
        <v/>
      </c>
      <c r="FI547" s="44" t="str">
        <f>IF(Table1[Date of Initial Assessment]="","",IF(AND(Table1[Start Date]&gt;42094,Table1[Start Date]&lt;42461),Table1[Managing Tenancy and Accommodation],""))</f>
        <v/>
      </c>
      <c r="FJ547" s="44" t="str">
        <f>IF(Table1[Date of Initial Assessment]="","",IF(AND(Table1[Start Date]&gt;42094,Table1[Start Date]&lt;42461),Table1[Offending],""))</f>
        <v/>
      </c>
      <c r="FK547" s="44" t="str">
        <f>IF(Table1[Leaving Date]="","",IF(Table1[Date of Initial Assessment]="","",IF(AND(Table1[Leaving Date]&gt;42094,Table1[Leaving Date]&lt;42461),IF(Table1[Date of Last Assessment]="",Table1[Motivation and Taking Responsibility],Table1[Motivation and Taking Responsibility2]),"")))</f>
        <v/>
      </c>
      <c r="FL547" s="44" t="str">
        <f>IF(Table1[Leaving Date]="","",IF(Table1[Date of Initial Assessment]="","",IF(AND(Table1[Leaving Date]&gt;42094,Table1[Leaving Date]&lt;42461),IF(Table1[Date of Last Assessment]="",Table1[Self-Care and Living Skills],Table1[Self-Care and Living Skills2]),"")))</f>
        <v/>
      </c>
      <c r="FM547" s="44" t="str">
        <f>IF(Table1[Leaving Date]="","",IF(Table1[Date of Initial Assessment]="","",IF(AND(Table1[Leaving Date]&gt;42094,Table1[Leaving Date]&lt;42461),IF(Table1[Date of Last Assessment]="",Table1[Managing Money and Personal Administration],Table1[Managing Money and Personal Administration2]),"")))</f>
        <v/>
      </c>
      <c r="FN547" s="44" t="str">
        <f>IF(Table1[Leaving Date]="","",IF(Table1[Date of Initial Assessment]="","",IF(AND(Table1[Leaving Date]&gt;42094,Table1[Leaving Date]&lt;42461),IF(Table1[Date of Last Assessment]="",Table1[Social Networks and Relationships],Table1[Social Networks and Relationships2]),"")))</f>
        <v/>
      </c>
      <c r="FO547" s="44" t="str">
        <f>IF(Table1[Leaving Date]="","",IF(Table1[Date of Initial Assessment]="","",IF(AND(Table1[Leaving Date]&gt;42094,Table1[Leaving Date]&lt;42461),IF(Table1[Date of Last Assessment]="",Table1[Drug and Alcohol Misuse],Table1[Drug and Alcohol Misuse2]),"")))</f>
        <v/>
      </c>
      <c r="FP547" s="44" t="str">
        <f>IF(Table1[Leaving Date]="","",IF(Table1[Date of Initial Assessment]="","",IF(AND(Table1[Leaving Date]&gt;42094,Table1[Leaving Date]&lt;42461),IF(Table1[Date of Last Assessment]="",Table1[Physical Health],Table1[Physical Health2]),"")))</f>
        <v/>
      </c>
      <c r="FQ547" s="44" t="str">
        <f>IF(Table1[Leaving Date]="","",IF(Table1[Date of Initial Assessment]="","",IF(AND(Table1[Leaving Date]&gt;42094,Table1[Leaving Date]&lt;42461),IF(Table1[Date of Last Assessment]="",Table1[Emotional and Mental Health],Table1[Emotional and Mental Health2]),"")))</f>
        <v/>
      </c>
      <c r="FR547" s="44" t="str">
        <f>IF(Table1[Leaving Date]="","",IF(Table1[Date of Initial Assessment]="","",IF(AND(Table1[Leaving Date]&gt;42094,Table1[Leaving Date]&lt;42461),IF(Table1[Date of Last Assessment]="",Table1[Meaningful Use of Time],Table1[Meaningful Use of Time2]),"")))</f>
        <v/>
      </c>
      <c r="FS547" s="44" t="str">
        <f>IF(Table1[Leaving Date]="","",IF(Table1[Date of Initial Assessment]="","",IF(AND(Table1[Leaving Date]&gt;42094,Table1[Leaving Date]&lt;42461),IF(Table1[Date of Last Assessment]="",Table1[Managing Tenancy and Accommodation],Table1[Managing Tenancy and Accommodation2]),"")))</f>
        <v/>
      </c>
      <c r="FT547" s="44" t="str">
        <f>IF(Table1[Leaving Date]="","",IF(Table1[Date of Initial Assessment]="","",IF(AND(Table1[Leaving Date]&gt;42094,Table1[Leaving Date]&lt;42461),IF(Table1[Date of Last Assessment]="",Table1[Offending],Table1[Offending2]),"")))</f>
        <v/>
      </c>
      <c r="FU547" s="44" t="str">
        <f>IF(Table1[Date of Initial Assessment]="","",IF(AND(Table1[Start Date]&gt;42460,Table1[Start Date]&lt;42826),Table1[Motivation and Taking Responsibility],""))</f>
        <v/>
      </c>
      <c r="FV547" s="44" t="str">
        <f>IF(Table1[Date of Initial Assessment]="","",IF(AND(Table1[Start Date]&gt;42460,Table1[Start Date]&lt;42826),Table1[Self-Care and Living Skills],""))</f>
        <v/>
      </c>
      <c r="FW547" s="44" t="str">
        <f>IF(Table1[Date of Initial Assessment]="","",IF(AND(Table1[Start Date]&gt;42460,Table1[Start Date]&lt;42826),Table1[Managing Money and Personal Administration],""))</f>
        <v/>
      </c>
      <c r="FX547" s="44" t="str">
        <f>IF(Table1[Date of Initial Assessment]="","",IF(AND(Table1[Start Date]&gt;42460,Table1[Start Date]&lt;42826),Table1[Social Networks and Relationships],""))</f>
        <v/>
      </c>
      <c r="FY547" s="44" t="str">
        <f>IF(Table1[Date of Initial Assessment]="","",IF(AND(Table1[Start Date]&gt;42460,Table1[Start Date]&lt;42826),Table1[Drug and Alcohol Misuse],""))</f>
        <v/>
      </c>
      <c r="FZ547" s="44" t="str">
        <f>IF(Table1[Date of Initial Assessment]="","",IF(AND(Table1[Start Date]&gt;42460,Table1[Start Date]&lt;42826),Table1[Physical Health],""))</f>
        <v/>
      </c>
      <c r="GA547" s="44" t="str">
        <f>IF(Table1[Date of Initial Assessment]="","",IF(AND(Table1[Start Date]&gt;42460,Table1[Start Date]&lt;42826),Table1[Emotional and Mental Health],""))</f>
        <v/>
      </c>
      <c r="GB547" s="44" t="str">
        <f>IF(Table1[Date of Initial Assessment]="","",IF(AND(Table1[Start Date]&gt;42460,Table1[Start Date]&lt;42826),Table1[Meaningful Use of Time],""))</f>
        <v/>
      </c>
      <c r="GC547" s="44" t="str">
        <f>IF(Table1[Date of Initial Assessment]="","",IF(AND(Table1[Start Date]&gt;42460,Table1[Start Date]&lt;42826),Table1[Managing Tenancy and Accommodation],""))</f>
        <v/>
      </c>
      <c r="GD547" s="44" t="str">
        <f>IF(Table1[Date of Initial Assessment]="","",IF(AND(Table1[Start Date]&gt;42460,Table1[Start Date]&lt;42826),Table1[Offending],""))</f>
        <v/>
      </c>
      <c r="GE547" s="44" t="str">
        <f>IF(Table1[Leaving Date]="","",IF(AND(Table1[Leaving Date]&gt;42460,Table1[Leaving Date]&lt;42826),IF(Table1[Date of Last Assessment]="",Table1[Motivation and Taking Responsibility],Table1[Motivation and Taking Responsibility2]),""))</f>
        <v/>
      </c>
      <c r="GF547" s="44" t="str">
        <f>IF(Table1[Leaving Date]="","",IF(AND(Table1[Leaving Date]&gt;42460,Table1[Leaving Date]&lt;42826),IF(Table1[Date of Last Assessment]="",Table1[Self-Care and Living Skills],Table1[Self-Care and Living Skills2]),""))</f>
        <v/>
      </c>
      <c r="GG547" s="44" t="str">
        <f>IF(Table1[Leaving Date]="","",IF(AND(Table1[Leaving Date]&gt;42460,Table1[Leaving Date]&lt;42826),IF(Table1[Date of Last Assessment]="",Table1[Managing Money and Personal Administration],Table1[Managing Money and Personal Administration2]),""))</f>
        <v/>
      </c>
      <c r="GH547" s="44" t="str">
        <f>IF(Table1[Leaving Date]="","",IF(AND(Table1[Leaving Date]&gt;42460,Table1[Leaving Date]&lt;42826),IF(Table1[Date of Last Assessment]="",Table1[Social Networks and Relationships],Table1[Social Networks and Relationships2]),""))</f>
        <v/>
      </c>
      <c r="GI547" s="44" t="str">
        <f>IF(Table1[Leaving Date]="","",IF(AND(Table1[Leaving Date]&gt;42460,Table1[Leaving Date]&lt;42826),IF(Table1[Date of Last Assessment]="",Table1[Drug and Alcohol Misuse],Table1[Drug and Alcohol Misuse2]),""))</f>
        <v/>
      </c>
      <c r="GJ547" s="44" t="str">
        <f>IF(Table1[Leaving Date]="","",IF(AND(Table1[Leaving Date]&gt;42460,Table1[Leaving Date]&lt;42826),IF(Table1[Date of Last Assessment]="",Table1[Physical Health],Table1[Physical Health2]),""))</f>
        <v/>
      </c>
      <c r="GK547" s="44" t="str">
        <f>IF(Table1[Leaving Date]="","",IF(AND(Table1[Leaving Date]&gt;42460,Table1[Leaving Date]&lt;42826),IF(Table1[Date of Last Assessment]="",Table1[Emotional and Mental Health],Table1[Emotional and Mental Health2]),""))</f>
        <v/>
      </c>
      <c r="GL547" s="44" t="str">
        <f>IF(Table1[Leaving Date]="","",IF(AND(Table1[Leaving Date]&gt;42460,Table1[Leaving Date]&lt;42826),IF(Table1[Date of Last Assessment]="",Table1[Meaningful Use of Time],Table1[Meaningful Use of Time2]),""))</f>
        <v/>
      </c>
      <c r="GM547" s="44" t="str">
        <f>IF(Table1[Leaving Date]="","",IF(AND(Table1[Leaving Date]&gt;42460,Table1[Leaving Date]&lt;42826),IF(Table1[Date of Last Assessment]="",Table1[Managing Tenancy and Accommodation],Table1[Managing Tenancy and Accommodation2]),""))</f>
        <v/>
      </c>
      <c r="GN547" s="44" t="str">
        <f>IF(Table1[Leaving Date]="","",IF(AND(Table1[Leaving Date]&gt;42460,Table1[Leaving Date]&lt;42826),IF(Table1[Date of Last Assessment]="",Table1[Offending],Table1[Offending2]),""))</f>
        <v/>
      </c>
    </row>
    <row r="548" spans="2:196" ht="20.100000000000001" customHeight="1" x14ac:dyDescent="0.2">
      <c r="B548" s="86">
        <f>+'Service Data'!$C$5:$C$5</f>
        <v>0</v>
      </c>
      <c r="C548" s="86"/>
      <c r="D548" s="86"/>
      <c r="E548" s="86"/>
      <c r="F548" s="86"/>
      <c r="G548" s="86"/>
      <c r="H548" s="6"/>
      <c r="I548" s="99" t="str">
        <f ca="1">IF(Table1[[#This Row],[Date of Birth]]="","",SUM(TODAY()-Table1[[#This Row],[Date of Birth]])/365)</f>
        <v/>
      </c>
      <c r="L548" s="86"/>
      <c r="M548" s="77"/>
      <c r="N548" s="86"/>
      <c r="O548" s="86"/>
      <c r="P548" s="91"/>
      <c r="Q548" s="86"/>
      <c r="R548" s="77"/>
      <c r="S548" s="77"/>
      <c r="T548" s="68"/>
      <c r="U548" s="68"/>
      <c r="V548" s="67"/>
      <c r="W548" s="67"/>
      <c r="X548" s="67"/>
      <c r="Y548" s="67"/>
      <c r="Z548" s="67"/>
      <c r="AA548" s="67"/>
      <c r="AB548" s="67"/>
      <c r="AC548" s="67"/>
      <c r="AD548" s="67"/>
      <c r="AE548" s="67"/>
      <c r="AF548" s="67"/>
      <c r="AG548" s="67"/>
      <c r="AH548" s="67"/>
      <c r="AI548" s="67"/>
      <c r="AJ548" s="67"/>
      <c r="AK548" s="67"/>
      <c r="AL548" s="67"/>
      <c r="AM548" s="67"/>
      <c r="AN548" s="77"/>
      <c r="AO548" s="76"/>
      <c r="AP548" s="77"/>
      <c r="AQ548" s="76"/>
      <c r="AR548" s="76"/>
      <c r="AS548" s="76"/>
      <c r="AT548" s="76"/>
      <c r="AU548" s="76"/>
      <c r="AV548" s="77"/>
      <c r="AW548" s="76"/>
      <c r="AX548" s="77"/>
      <c r="AY548" s="76"/>
      <c r="AZ548" s="76"/>
      <c r="BA548" s="76"/>
      <c r="BB548" s="76"/>
      <c r="BC548" s="76"/>
      <c r="BD548" s="77"/>
      <c r="BE548" s="76"/>
      <c r="BF548" s="77"/>
      <c r="BG548" s="76"/>
      <c r="BH548" s="76"/>
      <c r="BI548" s="76"/>
      <c r="BJ548" s="76"/>
      <c r="BK548" s="76"/>
      <c r="BL548" s="77"/>
      <c r="BM548" s="76"/>
      <c r="BN548" s="77"/>
      <c r="BO548" s="76"/>
      <c r="BP548" s="76"/>
      <c r="BQ548" s="76"/>
      <c r="BR548" s="76"/>
      <c r="BS548" s="76"/>
      <c r="BT548" s="77"/>
      <c r="BU548" s="76"/>
      <c r="BV548" s="77"/>
      <c r="BW548" s="76"/>
      <c r="BX548" s="76"/>
      <c r="BY548" s="76"/>
      <c r="BZ548" s="76"/>
      <c r="CA548" s="76"/>
      <c r="CB548" s="77"/>
      <c r="CC548" s="76"/>
      <c r="CD548" s="77"/>
      <c r="CE548" s="76"/>
      <c r="CF548" s="76"/>
      <c r="CG548" s="76"/>
      <c r="CH548" s="76"/>
      <c r="CI548" s="76"/>
      <c r="CJ548" s="77"/>
      <c r="CK548" s="76"/>
      <c r="CL548" s="77"/>
      <c r="CM548" s="76"/>
      <c r="CN548" s="76"/>
      <c r="CO548" s="76"/>
      <c r="CP548" s="76"/>
      <c r="CQ548" s="76"/>
      <c r="CR548" s="78" t="str">
        <f t="shared" si="143"/>
        <v/>
      </c>
      <c r="CS548" s="79" t="str">
        <f t="shared" si="144"/>
        <v/>
      </c>
      <c r="CT548" s="79" t="str">
        <f t="shared" si="145"/>
        <v/>
      </c>
      <c r="CU548" s="79" t="str">
        <f t="shared" si="146"/>
        <v/>
      </c>
      <c r="CV548" s="79" t="str">
        <f t="shared" si="147"/>
        <v/>
      </c>
      <c r="CW548" s="79" t="str">
        <f t="shared" si="148"/>
        <v/>
      </c>
      <c r="CX548" s="79" t="str">
        <f t="shared" si="149"/>
        <v/>
      </c>
      <c r="CY548" s="79" t="str">
        <f t="shared" si="150"/>
        <v/>
      </c>
      <c r="CZ548" s="79" t="str">
        <f t="shared" si="151"/>
        <v/>
      </c>
      <c r="DA548" s="79" t="str">
        <f t="shared" si="152"/>
        <v/>
      </c>
      <c r="DB548" s="79" t="str">
        <f t="shared" si="153"/>
        <v/>
      </c>
      <c r="DC548" s="79" t="str">
        <f t="shared" si="154"/>
        <v/>
      </c>
      <c r="DD548" s="79" t="str">
        <f t="shared" si="155"/>
        <v/>
      </c>
      <c r="DE548" s="79" t="str">
        <f t="shared" si="156"/>
        <v/>
      </c>
      <c r="DF548" s="79" t="str">
        <f t="shared" si="157"/>
        <v/>
      </c>
      <c r="DG548" s="79" t="str">
        <f t="shared" si="158"/>
        <v/>
      </c>
      <c r="DH548" s="76"/>
      <c r="DI548" s="78"/>
      <c r="DJ548" s="76"/>
      <c r="DK548" s="77"/>
      <c r="DL548" s="77"/>
      <c r="DM548" s="77"/>
      <c r="DN548" s="80"/>
      <c r="DO548" s="80"/>
      <c r="DP548" s="92" t="str">
        <f>IF(Table1[Start Date]="","",IF(Table1[Start Date]&gt;42185,"",IF(AND(Table1[Leaving Date]&gt;1,Table1[Leaving Date]&lt;42095),"",1)))</f>
        <v/>
      </c>
      <c r="DQ548" s="92" t="str">
        <f>IF(Table1[Start Date]="","",IF(Table1[Start Date]&gt;42277,"",IF(AND(Table1[Leaving Date]&gt;1,Table1[Leaving Date]&lt;42186),"",1)))</f>
        <v/>
      </c>
      <c r="DR548" s="92" t="str">
        <f>IF(Table1[Start Date]="","",IF(Table1[Start Date]&gt;42369,"",IF(AND(Table1[Leaving Date]&gt;1,Table1[Leaving Date]&lt;42278),"",1)))</f>
        <v/>
      </c>
      <c r="DS548" s="92" t="str">
        <f>IF(Table1[Start Date]="","",IF(Table1[Start Date]&gt;42460,"",IF(AND(Table1[Leaving Date]&gt;1,Table1[Leaving Date]&lt;42370),"",1)))</f>
        <v/>
      </c>
      <c r="DT548" s="92" t="str">
        <f>IF(Table1[Start Date]="","",IF(Table1[Start Date]&gt;42551,"",IF(AND(Table1[Leaving Date]&gt;1,Table1[Leaving Date]&lt;42461),"",1)))</f>
        <v/>
      </c>
      <c r="DU548" s="92" t="str">
        <f>IF(Table1[Start Date]="","",IF(Table1[Start Date]&gt;42643,"",IF(AND(Table1[Leaving Date]&gt;1,Table1[Leaving Date]&lt;42552),"",1)))</f>
        <v/>
      </c>
      <c r="DV548" s="92" t="str">
        <f>IF(Table1[Start Date]="","",IF(Table1[Start Date]&gt;42735,"",IF(AND(Table1[Leaving Date]&gt;1,Table1[Leaving Date]&lt;42644),"",1)))</f>
        <v/>
      </c>
      <c r="DW548" s="92" t="str">
        <f>IF(Table1[Start Date]="","",IF(Table1[Start Date]&gt;42825,"",IF(AND(Table1[Leaving Date]&gt;1,Table1[Leaving Date]&lt;42736),"",1)))</f>
        <v/>
      </c>
      <c r="DX548"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548" s="44" t="e">
        <f>VLOOKUP(Table1[Referral Source],Lists!$G$2:$H$20,2,FALSE)</f>
        <v>#N/A</v>
      </c>
      <c r="DZ548" s="93" t="e">
        <f>SUM(Table1[Data Referral Quarter]+Table1[Data Referral Source])</f>
        <v>#N/A</v>
      </c>
      <c r="EA548" s="44" t="b">
        <f>IF(Table1[Referral Decision]="Accepted",100,IF(Table1[Referral Decision]="Rejected by Provider",200,IF(Table1[Referral Decision]="Rejected by Applicant",300)))</f>
        <v>0</v>
      </c>
      <c r="EB548" s="44">
        <f>SUM(Table1[Data Referral Quarter]+Table1[Data Referral Decision])</f>
        <v>0</v>
      </c>
      <c r="EC548" s="44" t="b">
        <f>IF(Table1[Start Date]&gt;42735,8000,IF(Table1[Start Date]&gt;42643,7000,IF(Table1[Start Date]&gt;42551,6000,IF(Table1[Start Date]&gt;42460,5000,IF(Table1[Start Date]&gt;42369,4000,IF(Table1[Start Date]&gt;42277,3000,IF(Table1[Start Date]&gt;42185,2000,IF(Table1[Start Date]&gt;42094,1000))))))))</f>
        <v>0</v>
      </c>
      <c r="ED548" s="44" t="str">
        <f>IF(Table1[Start Date]="","",IF(Table1[Current Local Authority]="Swindon",1,"2"))</f>
        <v/>
      </c>
      <c r="EE548" s="44" t="e">
        <f>SUM(Table1[Data Start Date]+Table1[Data Local Authority])</f>
        <v>#VALUE!</v>
      </c>
      <c r="EF548" s="44">
        <f>IF(Table1[Registered with GP]="Yes",1,0)</f>
        <v>0</v>
      </c>
      <c r="EG548" s="44">
        <f>SUM(Table1[Data Start Date]+Table1[Data GP Start])</f>
        <v>0</v>
      </c>
      <c r="EH548" s="44" t="str">
        <f>IF(Table1[EET]="NEET",1,IF(Table1[EET]="Education",2,IF(Table1[EET]="Employment",2,IF(Table1[EET]="Training",2,IF(Table1[EET]="Retired",3,"")))))</f>
        <v/>
      </c>
      <c r="EI548" s="44" t="e">
        <f>Table1[Data Start Date]+Table1[Data EET Start]</f>
        <v>#VALUE!</v>
      </c>
      <c r="EJ548" s="44" t="b">
        <f>IF(Table1[Leaving Date]&gt;42735,8000,IF(Table1[Leaving Date]&gt;42643,7000,IF(Table1[Leaving Date]&gt;42551,6000,IF(Table1[Leaving Date]&gt;42460,5000,IF(Table1[Leaving Date]&gt;42369,4000,IF(Table1[Leaving Date]&gt;42277,3000,IF(Table1[Leaving Date]&gt;42185,2000,IF(Table1[Leaving Date]&gt;42094,1000))))))))</f>
        <v>0</v>
      </c>
      <c r="EK548" s="44" t="e">
        <f>VLOOKUP(Table1[Reason for Leaving],Lists!$T$2:$U$15,2,FALSE)</f>
        <v>#N/A</v>
      </c>
      <c r="EL548" s="44" t="e">
        <f>SUM(Table1[Data Leavers Date]+Table1[Data Move On])</f>
        <v>#N/A</v>
      </c>
      <c r="EM548" s="44" t="b">
        <f>IF(Table1[Registered with GP2]="Yes",1,IF(Table1[Registered with GP2]="No",0,IF(Table1[Registered with GP]="Yes",1,IF(Table1[Registered with GP]="No",0))))</f>
        <v>0</v>
      </c>
      <c r="EN548" s="44">
        <f>SUM(Table1[Data Leavers Date]+Table1[Data GP End])</f>
        <v>0</v>
      </c>
      <c r="EO548" s="44" t="str">
        <f>IF(Table1[EET2]="NEET",1,IF(Table1[EET2]="Employment",2,IF(Table1[EET2]="Education",2,IF(Table1[EET2]="Training",2,IF(Table1[EET2]="Retired",3,IF(Table1[EET]="NEET",1,IF(Table1[EET]="Employment",2,IF(Table1[EET]="Education",2,IF(Table1[EET]="Training",2,IF(Table1[EET]="Retired",3,""))))))))))</f>
        <v/>
      </c>
      <c r="EP548" s="44" t="e">
        <f>+Table1[[#This Row],[Data Leavers Date]]+Table1[[#This Row],[Data EET End]]</f>
        <v>#VALUE!</v>
      </c>
      <c r="EQ548" s="44">
        <f>IF(Table1[Exit Form Received]="Yes",1,0)</f>
        <v>0</v>
      </c>
      <c r="ER548" s="44">
        <f>+Table1[[#This Row],[Data Leavers Date]]+Table1[[#This Row],[Data Exit Forms]]</f>
        <v>0</v>
      </c>
      <c r="ES548" s="44" t="str">
        <f>IF(Table1[Data Leavers Date]=1000,SUM(Table1[Leaving Date]-Table1[Start Date]),"")</f>
        <v/>
      </c>
      <c r="ET548" s="44" t="str">
        <f>IF(Table1[Data Leavers Date]=2000,SUM(Table1[Leaving Date]-Table1[Start Date]),"")</f>
        <v/>
      </c>
      <c r="EU548" s="44" t="str">
        <f>IF(Table1[Data Leavers Date]=3000,SUM(Table1[Leaving Date]-Table1[Start Date]),"")</f>
        <v/>
      </c>
      <c r="EV548" s="44" t="str">
        <f>IF(Table1[Data Leavers Date]=4000,SUM(Table1[Leaving Date]-Table1[Start Date]),"")</f>
        <v/>
      </c>
      <c r="EW548" s="44" t="str">
        <f>IF(Table1[Data Leavers Date]=5000,SUM(Table1[Leaving Date]-Table1[Start Date]),"")</f>
        <v/>
      </c>
      <c r="EX548" s="44" t="str">
        <f>IF(Table1[Data Leavers Date]=6000,SUM(Table1[Leaving Date]-Table1[Start Date]),"")</f>
        <v/>
      </c>
      <c r="EY548" s="44" t="str">
        <f>IF(Table1[Data Leavers Date]=7000,SUM(Table1[Leaving Date]-Table1[Start Date]),"")</f>
        <v/>
      </c>
      <c r="EZ548" s="44" t="str">
        <f>IF(Table1[Data Leavers Date]=8000,SUM(Table1[Leaving Date]-Table1[Start Date]),"")</f>
        <v/>
      </c>
      <c r="FA548" s="44" t="str">
        <f>IF(Table1[Date of Initial Assessment]="","",IF(AND(Table1[Start Date]&gt;42094,Table1[Start Date]&lt;42461),Table1[Motivation and Taking Responsibility],""))</f>
        <v/>
      </c>
      <c r="FB548" s="44" t="str">
        <f>IF(Table1[Date of Initial Assessment]="","",IF(AND(Table1[Start Date]&gt;42094,Table1[Start Date]&lt;42461),Table1[Self-Care and Living Skills],""))</f>
        <v/>
      </c>
      <c r="FC548" s="44" t="str">
        <f>IF(Table1[Date of Initial Assessment]="","",IF(AND(Table1[Start Date]&gt;42094,Table1[Start Date]&lt;42461),Table1[Managing Money and Personal Administration],""))</f>
        <v/>
      </c>
      <c r="FD548" s="44" t="str">
        <f>IF(Table1[Date of Initial Assessment]="","",IF(AND(Table1[Start Date]&gt;42094,Table1[Start Date]&lt;42461),Table1[Social Networks and Relationships],""))</f>
        <v/>
      </c>
      <c r="FE548" s="44" t="str">
        <f>IF(Table1[Date of Initial Assessment]="","",IF(AND(Table1[Start Date]&gt;42094,Table1[Start Date]&lt;42461),Table1[Drug and Alcohol Misuse],""))</f>
        <v/>
      </c>
      <c r="FF548" s="44" t="str">
        <f>IF(Table1[Date of Initial Assessment]="","",IF(AND(Table1[Start Date]&gt;42094,Table1[Start Date]&lt;42461),Table1[Physical Health],""))</f>
        <v/>
      </c>
      <c r="FG548" s="44" t="str">
        <f>IF(Table1[Date of Initial Assessment]="","",IF(AND(Table1[Start Date]&gt;42094,Table1[Start Date]&lt;42461),Table1[Emotional and Mental Health],""))</f>
        <v/>
      </c>
      <c r="FH548" s="44" t="str">
        <f>IF(Table1[Date of Initial Assessment]="","",IF(AND(Table1[Start Date]&gt;42094,Table1[Start Date]&lt;42461),Table1[Meaningful Use of Time],""))</f>
        <v/>
      </c>
      <c r="FI548" s="44" t="str">
        <f>IF(Table1[Date of Initial Assessment]="","",IF(AND(Table1[Start Date]&gt;42094,Table1[Start Date]&lt;42461),Table1[Managing Tenancy and Accommodation],""))</f>
        <v/>
      </c>
      <c r="FJ548" s="44" t="str">
        <f>IF(Table1[Date of Initial Assessment]="","",IF(AND(Table1[Start Date]&gt;42094,Table1[Start Date]&lt;42461),Table1[Offending],""))</f>
        <v/>
      </c>
      <c r="FK548" s="44" t="str">
        <f>IF(Table1[Leaving Date]="","",IF(Table1[Date of Initial Assessment]="","",IF(AND(Table1[Leaving Date]&gt;42094,Table1[Leaving Date]&lt;42461),IF(Table1[Date of Last Assessment]="",Table1[Motivation and Taking Responsibility],Table1[Motivation and Taking Responsibility2]),"")))</f>
        <v/>
      </c>
      <c r="FL548" s="44" t="str">
        <f>IF(Table1[Leaving Date]="","",IF(Table1[Date of Initial Assessment]="","",IF(AND(Table1[Leaving Date]&gt;42094,Table1[Leaving Date]&lt;42461),IF(Table1[Date of Last Assessment]="",Table1[Self-Care and Living Skills],Table1[Self-Care and Living Skills2]),"")))</f>
        <v/>
      </c>
      <c r="FM548" s="44" t="str">
        <f>IF(Table1[Leaving Date]="","",IF(Table1[Date of Initial Assessment]="","",IF(AND(Table1[Leaving Date]&gt;42094,Table1[Leaving Date]&lt;42461),IF(Table1[Date of Last Assessment]="",Table1[Managing Money and Personal Administration],Table1[Managing Money and Personal Administration2]),"")))</f>
        <v/>
      </c>
      <c r="FN548" s="44" t="str">
        <f>IF(Table1[Leaving Date]="","",IF(Table1[Date of Initial Assessment]="","",IF(AND(Table1[Leaving Date]&gt;42094,Table1[Leaving Date]&lt;42461),IF(Table1[Date of Last Assessment]="",Table1[Social Networks and Relationships],Table1[Social Networks and Relationships2]),"")))</f>
        <v/>
      </c>
      <c r="FO548" s="44" t="str">
        <f>IF(Table1[Leaving Date]="","",IF(Table1[Date of Initial Assessment]="","",IF(AND(Table1[Leaving Date]&gt;42094,Table1[Leaving Date]&lt;42461),IF(Table1[Date of Last Assessment]="",Table1[Drug and Alcohol Misuse],Table1[Drug and Alcohol Misuse2]),"")))</f>
        <v/>
      </c>
      <c r="FP548" s="44" t="str">
        <f>IF(Table1[Leaving Date]="","",IF(Table1[Date of Initial Assessment]="","",IF(AND(Table1[Leaving Date]&gt;42094,Table1[Leaving Date]&lt;42461),IF(Table1[Date of Last Assessment]="",Table1[Physical Health],Table1[Physical Health2]),"")))</f>
        <v/>
      </c>
      <c r="FQ548" s="44" t="str">
        <f>IF(Table1[Leaving Date]="","",IF(Table1[Date of Initial Assessment]="","",IF(AND(Table1[Leaving Date]&gt;42094,Table1[Leaving Date]&lt;42461),IF(Table1[Date of Last Assessment]="",Table1[Emotional and Mental Health],Table1[Emotional and Mental Health2]),"")))</f>
        <v/>
      </c>
      <c r="FR548" s="44" t="str">
        <f>IF(Table1[Leaving Date]="","",IF(Table1[Date of Initial Assessment]="","",IF(AND(Table1[Leaving Date]&gt;42094,Table1[Leaving Date]&lt;42461),IF(Table1[Date of Last Assessment]="",Table1[Meaningful Use of Time],Table1[Meaningful Use of Time2]),"")))</f>
        <v/>
      </c>
      <c r="FS548" s="44" t="str">
        <f>IF(Table1[Leaving Date]="","",IF(Table1[Date of Initial Assessment]="","",IF(AND(Table1[Leaving Date]&gt;42094,Table1[Leaving Date]&lt;42461),IF(Table1[Date of Last Assessment]="",Table1[Managing Tenancy and Accommodation],Table1[Managing Tenancy and Accommodation2]),"")))</f>
        <v/>
      </c>
      <c r="FT548" s="44" t="str">
        <f>IF(Table1[Leaving Date]="","",IF(Table1[Date of Initial Assessment]="","",IF(AND(Table1[Leaving Date]&gt;42094,Table1[Leaving Date]&lt;42461),IF(Table1[Date of Last Assessment]="",Table1[Offending],Table1[Offending2]),"")))</f>
        <v/>
      </c>
      <c r="FU548" s="44" t="str">
        <f>IF(Table1[Date of Initial Assessment]="","",IF(AND(Table1[Start Date]&gt;42460,Table1[Start Date]&lt;42826),Table1[Motivation and Taking Responsibility],""))</f>
        <v/>
      </c>
      <c r="FV548" s="44" t="str">
        <f>IF(Table1[Date of Initial Assessment]="","",IF(AND(Table1[Start Date]&gt;42460,Table1[Start Date]&lt;42826),Table1[Self-Care and Living Skills],""))</f>
        <v/>
      </c>
      <c r="FW548" s="44" t="str">
        <f>IF(Table1[Date of Initial Assessment]="","",IF(AND(Table1[Start Date]&gt;42460,Table1[Start Date]&lt;42826),Table1[Managing Money and Personal Administration],""))</f>
        <v/>
      </c>
      <c r="FX548" s="44" t="str">
        <f>IF(Table1[Date of Initial Assessment]="","",IF(AND(Table1[Start Date]&gt;42460,Table1[Start Date]&lt;42826),Table1[Social Networks and Relationships],""))</f>
        <v/>
      </c>
      <c r="FY548" s="44" t="str">
        <f>IF(Table1[Date of Initial Assessment]="","",IF(AND(Table1[Start Date]&gt;42460,Table1[Start Date]&lt;42826),Table1[Drug and Alcohol Misuse],""))</f>
        <v/>
      </c>
      <c r="FZ548" s="44" t="str">
        <f>IF(Table1[Date of Initial Assessment]="","",IF(AND(Table1[Start Date]&gt;42460,Table1[Start Date]&lt;42826),Table1[Physical Health],""))</f>
        <v/>
      </c>
      <c r="GA548" s="44" t="str">
        <f>IF(Table1[Date of Initial Assessment]="","",IF(AND(Table1[Start Date]&gt;42460,Table1[Start Date]&lt;42826),Table1[Emotional and Mental Health],""))</f>
        <v/>
      </c>
      <c r="GB548" s="44" t="str">
        <f>IF(Table1[Date of Initial Assessment]="","",IF(AND(Table1[Start Date]&gt;42460,Table1[Start Date]&lt;42826),Table1[Meaningful Use of Time],""))</f>
        <v/>
      </c>
      <c r="GC548" s="44" t="str">
        <f>IF(Table1[Date of Initial Assessment]="","",IF(AND(Table1[Start Date]&gt;42460,Table1[Start Date]&lt;42826),Table1[Managing Tenancy and Accommodation],""))</f>
        <v/>
      </c>
      <c r="GD548" s="44" t="str">
        <f>IF(Table1[Date of Initial Assessment]="","",IF(AND(Table1[Start Date]&gt;42460,Table1[Start Date]&lt;42826),Table1[Offending],""))</f>
        <v/>
      </c>
      <c r="GE548" s="44" t="str">
        <f>IF(Table1[Leaving Date]="","",IF(AND(Table1[Leaving Date]&gt;42460,Table1[Leaving Date]&lt;42826),IF(Table1[Date of Last Assessment]="",Table1[Motivation and Taking Responsibility],Table1[Motivation and Taking Responsibility2]),""))</f>
        <v/>
      </c>
      <c r="GF548" s="44" t="str">
        <f>IF(Table1[Leaving Date]="","",IF(AND(Table1[Leaving Date]&gt;42460,Table1[Leaving Date]&lt;42826),IF(Table1[Date of Last Assessment]="",Table1[Self-Care and Living Skills],Table1[Self-Care and Living Skills2]),""))</f>
        <v/>
      </c>
      <c r="GG548" s="44" t="str">
        <f>IF(Table1[Leaving Date]="","",IF(AND(Table1[Leaving Date]&gt;42460,Table1[Leaving Date]&lt;42826),IF(Table1[Date of Last Assessment]="",Table1[Managing Money and Personal Administration],Table1[Managing Money and Personal Administration2]),""))</f>
        <v/>
      </c>
      <c r="GH548" s="44" t="str">
        <f>IF(Table1[Leaving Date]="","",IF(AND(Table1[Leaving Date]&gt;42460,Table1[Leaving Date]&lt;42826),IF(Table1[Date of Last Assessment]="",Table1[Social Networks and Relationships],Table1[Social Networks and Relationships2]),""))</f>
        <v/>
      </c>
      <c r="GI548" s="44" t="str">
        <f>IF(Table1[Leaving Date]="","",IF(AND(Table1[Leaving Date]&gt;42460,Table1[Leaving Date]&lt;42826),IF(Table1[Date of Last Assessment]="",Table1[Drug and Alcohol Misuse],Table1[Drug and Alcohol Misuse2]),""))</f>
        <v/>
      </c>
      <c r="GJ548" s="44" t="str">
        <f>IF(Table1[Leaving Date]="","",IF(AND(Table1[Leaving Date]&gt;42460,Table1[Leaving Date]&lt;42826),IF(Table1[Date of Last Assessment]="",Table1[Physical Health],Table1[Physical Health2]),""))</f>
        <v/>
      </c>
      <c r="GK548" s="44" t="str">
        <f>IF(Table1[Leaving Date]="","",IF(AND(Table1[Leaving Date]&gt;42460,Table1[Leaving Date]&lt;42826),IF(Table1[Date of Last Assessment]="",Table1[Emotional and Mental Health],Table1[Emotional and Mental Health2]),""))</f>
        <v/>
      </c>
      <c r="GL548" s="44" t="str">
        <f>IF(Table1[Leaving Date]="","",IF(AND(Table1[Leaving Date]&gt;42460,Table1[Leaving Date]&lt;42826),IF(Table1[Date of Last Assessment]="",Table1[Meaningful Use of Time],Table1[Meaningful Use of Time2]),""))</f>
        <v/>
      </c>
      <c r="GM548" s="44" t="str">
        <f>IF(Table1[Leaving Date]="","",IF(AND(Table1[Leaving Date]&gt;42460,Table1[Leaving Date]&lt;42826),IF(Table1[Date of Last Assessment]="",Table1[Managing Tenancy and Accommodation],Table1[Managing Tenancy and Accommodation2]),""))</f>
        <v/>
      </c>
      <c r="GN548" s="44" t="str">
        <f>IF(Table1[Leaving Date]="","",IF(AND(Table1[Leaving Date]&gt;42460,Table1[Leaving Date]&lt;42826),IF(Table1[Date of Last Assessment]="",Table1[Offending],Table1[Offending2]),""))</f>
        <v/>
      </c>
    </row>
    <row r="549" spans="2:196" ht="20.100000000000001" customHeight="1" x14ac:dyDescent="0.2">
      <c r="B549" s="86">
        <f>+'Service Data'!$C$5:$C$5</f>
        <v>0</v>
      </c>
      <c r="C549" s="86"/>
      <c r="D549" s="86"/>
      <c r="E549" s="86"/>
      <c r="F549" s="86"/>
      <c r="G549" s="86"/>
      <c r="H549" s="6"/>
      <c r="I549" s="99" t="str">
        <f ca="1">IF(Table1[[#This Row],[Date of Birth]]="","",SUM(TODAY()-Table1[[#This Row],[Date of Birth]])/365)</f>
        <v/>
      </c>
      <c r="L549" s="86"/>
      <c r="M549" s="77"/>
      <c r="N549" s="86"/>
      <c r="O549" s="86"/>
      <c r="P549" s="91"/>
      <c r="Q549" s="86"/>
      <c r="R549" s="77"/>
      <c r="S549" s="77"/>
      <c r="T549" s="68"/>
      <c r="U549" s="68"/>
      <c r="V549" s="67"/>
      <c r="W549" s="67"/>
      <c r="X549" s="67"/>
      <c r="Y549" s="67"/>
      <c r="Z549" s="67"/>
      <c r="AA549" s="67"/>
      <c r="AB549" s="67"/>
      <c r="AC549" s="67"/>
      <c r="AD549" s="67"/>
      <c r="AE549" s="67"/>
      <c r="AF549" s="67"/>
      <c r="AG549" s="67"/>
      <c r="AH549" s="67"/>
      <c r="AI549" s="67"/>
      <c r="AJ549" s="67"/>
      <c r="AK549" s="67"/>
      <c r="AL549" s="67"/>
      <c r="AM549" s="67"/>
      <c r="AN549" s="77"/>
      <c r="AO549" s="76"/>
      <c r="AP549" s="77"/>
      <c r="AQ549" s="76"/>
      <c r="AR549" s="76"/>
      <c r="AS549" s="76"/>
      <c r="AT549" s="76"/>
      <c r="AU549" s="76"/>
      <c r="AV549" s="77"/>
      <c r="AW549" s="76"/>
      <c r="AX549" s="77"/>
      <c r="AY549" s="76"/>
      <c r="AZ549" s="76"/>
      <c r="BA549" s="76"/>
      <c r="BB549" s="76"/>
      <c r="BC549" s="76"/>
      <c r="BD549" s="77"/>
      <c r="BE549" s="76"/>
      <c r="BF549" s="77"/>
      <c r="BG549" s="76"/>
      <c r="BH549" s="76"/>
      <c r="BI549" s="76"/>
      <c r="BJ549" s="76"/>
      <c r="BK549" s="76"/>
      <c r="BL549" s="77"/>
      <c r="BM549" s="76"/>
      <c r="BN549" s="77"/>
      <c r="BO549" s="76"/>
      <c r="BP549" s="76"/>
      <c r="BQ549" s="76"/>
      <c r="BR549" s="76"/>
      <c r="BS549" s="76"/>
      <c r="BT549" s="77"/>
      <c r="BU549" s="76"/>
      <c r="BV549" s="77"/>
      <c r="BW549" s="76"/>
      <c r="BX549" s="76"/>
      <c r="BY549" s="76"/>
      <c r="BZ549" s="76"/>
      <c r="CA549" s="76"/>
      <c r="CB549" s="77"/>
      <c r="CC549" s="76"/>
      <c r="CD549" s="77"/>
      <c r="CE549" s="76"/>
      <c r="CF549" s="76"/>
      <c r="CG549" s="76"/>
      <c r="CH549" s="76"/>
      <c r="CI549" s="76"/>
      <c r="CJ549" s="77"/>
      <c r="CK549" s="76"/>
      <c r="CL549" s="77"/>
      <c r="CM549" s="76"/>
      <c r="CN549" s="76"/>
      <c r="CO549" s="76"/>
      <c r="CP549" s="76"/>
      <c r="CQ549" s="76"/>
      <c r="CR549" s="78" t="str">
        <f t="shared" si="143"/>
        <v/>
      </c>
      <c r="CS549" s="79" t="str">
        <f t="shared" si="144"/>
        <v/>
      </c>
      <c r="CT549" s="79" t="str">
        <f t="shared" si="145"/>
        <v/>
      </c>
      <c r="CU549" s="79" t="str">
        <f t="shared" si="146"/>
        <v/>
      </c>
      <c r="CV549" s="79" t="str">
        <f t="shared" si="147"/>
        <v/>
      </c>
      <c r="CW549" s="79" t="str">
        <f t="shared" si="148"/>
        <v/>
      </c>
      <c r="CX549" s="79" t="str">
        <f t="shared" si="149"/>
        <v/>
      </c>
      <c r="CY549" s="79" t="str">
        <f t="shared" si="150"/>
        <v/>
      </c>
      <c r="CZ549" s="79" t="str">
        <f t="shared" si="151"/>
        <v/>
      </c>
      <c r="DA549" s="79" t="str">
        <f t="shared" si="152"/>
        <v/>
      </c>
      <c r="DB549" s="79" t="str">
        <f t="shared" si="153"/>
        <v/>
      </c>
      <c r="DC549" s="79" t="str">
        <f t="shared" si="154"/>
        <v/>
      </c>
      <c r="DD549" s="79" t="str">
        <f t="shared" si="155"/>
        <v/>
      </c>
      <c r="DE549" s="79" t="str">
        <f t="shared" si="156"/>
        <v/>
      </c>
      <c r="DF549" s="79" t="str">
        <f t="shared" si="157"/>
        <v/>
      </c>
      <c r="DG549" s="79" t="str">
        <f t="shared" si="158"/>
        <v/>
      </c>
      <c r="DH549" s="76"/>
      <c r="DI549" s="78"/>
      <c r="DJ549" s="76"/>
      <c r="DK549" s="77"/>
      <c r="DL549" s="77"/>
      <c r="DM549" s="77"/>
      <c r="DN549" s="80"/>
      <c r="DO549" s="80"/>
      <c r="DP549" s="92" t="str">
        <f>IF(Table1[Start Date]="","",IF(Table1[Start Date]&gt;42185,"",IF(AND(Table1[Leaving Date]&gt;1,Table1[Leaving Date]&lt;42095),"",1)))</f>
        <v/>
      </c>
      <c r="DQ549" s="92" t="str">
        <f>IF(Table1[Start Date]="","",IF(Table1[Start Date]&gt;42277,"",IF(AND(Table1[Leaving Date]&gt;1,Table1[Leaving Date]&lt;42186),"",1)))</f>
        <v/>
      </c>
      <c r="DR549" s="92" t="str">
        <f>IF(Table1[Start Date]="","",IF(Table1[Start Date]&gt;42369,"",IF(AND(Table1[Leaving Date]&gt;1,Table1[Leaving Date]&lt;42278),"",1)))</f>
        <v/>
      </c>
      <c r="DS549" s="92" t="str">
        <f>IF(Table1[Start Date]="","",IF(Table1[Start Date]&gt;42460,"",IF(AND(Table1[Leaving Date]&gt;1,Table1[Leaving Date]&lt;42370),"",1)))</f>
        <v/>
      </c>
      <c r="DT549" s="92" t="str">
        <f>IF(Table1[Start Date]="","",IF(Table1[Start Date]&gt;42551,"",IF(AND(Table1[Leaving Date]&gt;1,Table1[Leaving Date]&lt;42461),"",1)))</f>
        <v/>
      </c>
      <c r="DU549" s="92" t="str">
        <f>IF(Table1[Start Date]="","",IF(Table1[Start Date]&gt;42643,"",IF(AND(Table1[Leaving Date]&gt;1,Table1[Leaving Date]&lt;42552),"",1)))</f>
        <v/>
      </c>
      <c r="DV549" s="92" t="str">
        <f>IF(Table1[Start Date]="","",IF(Table1[Start Date]&gt;42735,"",IF(AND(Table1[Leaving Date]&gt;1,Table1[Leaving Date]&lt;42644),"",1)))</f>
        <v/>
      </c>
      <c r="DW549" s="92" t="str">
        <f>IF(Table1[Start Date]="","",IF(Table1[Start Date]&gt;42825,"",IF(AND(Table1[Leaving Date]&gt;1,Table1[Leaving Date]&lt;42736),"",1)))</f>
        <v/>
      </c>
      <c r="DX549"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549" s="44" t="e">
        <f>VLOOKUP(Table1[Referral Source],Lists!$G$2:$H$20,2,FALSE)</f>
        <v>#N/A</v>
      </c>
      <c r="DZ549" s="93" t="e">
        <f>SUM(Table1[Data Referral Quarter]+Table1[Data Referral Source])</f>
        <v>#N/A</v>
      </c>
      <c r="EA549" s="44" t="b">
        <f>IF(Table1[Referral Decision]="Accepted",100,IF(Table1[Referral Decision]="Rejected by Provider",200,IF(Table1[Referral Decision]="Rejected by Applicant",300)))</f>
        <v>0</v>
      </c>
      <c r="EB549" s="44">
        <f>SUM(Table1[Data Referral Quarter]+Table1[Data Referral Decision])</f>
        <v>0</v>
      </c>
      <c r="EC549" s="44" t="b">
        <f>IF(Table1[Start Date]&gt;42735,8000,IF(Table1[Start Date]&gt;42643,7000,IF(Table1[Start Date]&gt;42551,6000,IF(Table1[Start Date]&gt;42460,5000,IF(Table1[Start Date]&gt;42369,4000,IF(Table1[Start Date]&gt;42277,3000,IF(Table1[Start Date]&gt;42185,2000,IF(Table1[Start Date]&gt;42094,1000))))))))</f>
        <v>0</v>
      </c>
      <c r="ED549" s="44" t="str">
        <f>IF(Table1[Start Date]="","",IF(Table1[Current Local Authority]="Swindon",1,"2"))</f>
        <v/>
      </c>
      <c r="EE549" s="44" t="e">
        <f>SUM(Table1[Data Start Date]+Table1[Data Local Authority])</f>
        <v>#VALUE!</v>
      </c>
      <c r="EF549" s="44">
        <f>IF(Table1[Registered with GP]="Yes",1,0)</f>
        <v>0</v>
      </c>
      <c r="EG549" s="44">
        <f>SUM(Table1[Data Start Date]+Table1[Data GP Start])</f>
        <v>0</v>
      </c>
      <c r="EH549" s="44" t="str">
        <f>IF(Table1[EET]="NEET",1,IF(Table1[EET]="Education",2,IF(Table1[EET]="Employment",2,IF(Table1[EET]="Training",2,IF(Table1[EET]="Retired",3,"")))))</f>
        <v/>
      </c>
      <c r="EI549" s="44" t="e">
        <f>Table1[Data Start Date]+Table1[Data EET Start]</f>
        <v>#VALUE!</v>
      </c>
      <c r="EJ549" s="44" t="b">
        <f>IF(Table1[Leaving Date]&gt;42735,8000,IF(Table1[Leaving Date]&gt;42643,7000,IF(Table1[Leaving Date]&gt;42551,6000,IF(Table1[Leaving Date]&gt;42460,5000,IF(Table1[Leaving Date]&gt;42369,4000,IF(Table1[Leaving Date]&gt;42277,3000,IF(Table1[Leaving Date]&gt;42185,2000,IF(Table1[Leaving Date]&gt;42094,1000))))))))</f>
        <v>0</v>
      </c>
      <c r="EK549" s="44" t="e">
        <f>VLOOKUP(Table1[Reason for Leaving],Lists!$T$2:$U$15,2,FALSE)</f>
        <v>#N/A</v>
      </c>
      <c r="EL549" s="44" t="e">
        <f>SUM(Table1[Data Leavers Date]+Table1[Data Move On])</f>
        <v>#N/A</v>
      </c>
      <c r="EM549" s="44" t="b">
        <f>IF(Table1[Registered with GP2]="Yes",1,IF(Table1[Registered with GP2]="No",0,IF(Table1[Registered with GP]="Yes",1,IF(Table1[Registered with GP]="No",0))))</f>
        <v>0</v>
      </c>
      <c r="EN549" s="44">
        <f>SUM(Table1[Data Leavers Date]+Table1[Data GP End])</f>
        <v>0</v>
      </c>
      <c r="EO549" s="44" t="str">
        <f>IF(Table1[EET2]="NEET",1,IF(Table1[EET2]="Employment",2,IF(Table1[EET2]="Education",2,IF(Table1[EET2]="Training",2,IF(Table1[EET2]="Retired",3,IF(Table1[EET]="NEET",1,IF(Table1[EET]="Employment",2,IF(Table1[EET]="Education",2,IF(Table1[EET]="Training",2,IF(Table1[EET]="Retired",3,""))))))))))</f>
        <v/>
      </c>
      <c r="EP549" s="44" t="e">
        <f>+Table1[[#This Row],[Data Leavers Date]]+Table1[[#This Row],[Data EET End]]</f>
        <v>#VALUE!</v>
      </c>
      <c r="EQ549" s="44">
        <f>IF(Table1[Exit Form Received]="Yes",1,0)</f>
        <v>0</v>
      </c>
      <c r="ER549" s="44">
        <f>+Table1[[#This Row],[Data Leavers Date]]+Table1[[#This Row],[Data Exit Forms]]</f>
        <v>0</v>
      </c>
      <c r="ES549" s="44" t="str">
        <f>IF(Table1[Data Leavers Date]=1000,SUM(Table1[Leaving Date]-Table1[Start Date]),"")</f>
        <v/>
      </c>
      <c r="ET549" s="44" t="str">
        <f>IF(Table1[Data Leavers Date]=2000,SUM(Table1[Leaving Date]-Table1[Start Date]),"")</f>
        <v/>
      </c>
      <c r="EU549" s="44" t="str">
        <f>IF(Table1[Data Leavers Date]=3000,SUM(Table1[Leaving Date]-Table1[Start Date]),"")</f>
        <v/>
      </c>
      <c r="EV549" s="44" t="str">
        <f>IF(Table1[Data Leavers Date]=4000,SUM(Table1[Leaving Date]-Table1[Start Date]),"")</f>
        <v/>
      </c>
      <c r="EW549" s="44" t="str">
        <f>IF(Table1[Data Leavers Date]=5000,SUM(Table1[Leaving Date]-Table1[Start Date]),"")</f>
        <v/>
      </c>
      <c r="EX549" s="44" t="str">
        <f>IF(Table1[Data Leavers Date]=6000,SUM(Table1[Leaving Date]-Table1[Start Date]),"")</f>
        <v/>
      </c>
      <c r="EY549" s="44" t="str">
        <f>IF(Table1[Data Leavers Date]=7000,SUM(Table1[Leaving Date]-Table1[Start Date]),"")</f>
        <v/>
      </c>
      <c r="EZ549" s="44" t="str">
        <f>IF(Table1[Data Leavers Date]=8000,SUM(Table1[Leaving Date]-Table1[Start Date]),"")</f>
        <v/>
      </c>
      <c r="FA549" s="44" t="str">
        <f>IF(Table1[Date of Initial Assessment]="","",IF(AND(Table1[Start Date]&gt;42094,Table1[Start Date]&lt;42461),Table1[Motivation and Taking Responsibility],""))</f>
        <v/>
      </c>
      <c r="FB549" s="44" t="str">
        <f>IF(Table1[Date of Initial Assessment]="","",IF(AND(Table1[Start Date]&gt;42094,Table1[Start Date]&lt;42461),Table1[Self-Care and Living Skills],""))</f>
        <v/>
      </c>
      <c r="FC549" s="44" t="str">
        <f>IF(Table1[Date of Initial Assessment]="","",IF(AND(Table1[Start Date]&gt;42094,Table1[Start Date]&lt;42461),Table1[Managing Money and Personal Administration],""))</f>
        <v/>
      </c>
      <c r="FD549" s="44" t="str">
        <f>IF(Table1[Date of Initial Assessment]="","",IF(AND(Table1[Start Date]&gt;42094,Table1[Start Date]&lt;42461),Table1[Social Networks and Relationships],""))</f>
        <v/>
      </c>
      <c r="FE549" s="44" t="str">
        <f>IF(Table1[Date of Initial Assessment]="","",IF(AND(Table1[Start Date]&gt;42094,Table1[Start Date]&lt;42461),Table1[Drug and Alcohol Misuse],""))</f>
        <v/>
      </c>
      <c r="FF549" s="44" t="str">
        <f>IF(Table1[Date of Initial Assessment]="","",IF(AND(Table1[Start Date]&gt;42094,Table1[Start Date]&lt;42461),Table1[Physical Health],""))</f>
        <v/>
      </c>
      <c r="FG549" s="44" t="str">
        <f>IF(Table1[Date of Initial Assessment]="","",IF(AND(Table1[Start Date]&gt;42094,Table1[Start Date]&lt;42461),Table1[Emotional and Mental Health],""))</f>
        <v/>
      </c>
      <c r="FH549" s="44" t="str">
        <f>IF(Table1[Date of Initial Assessment]="","",IF(AND(Table1[Start Date]&gt;42094,Table1[Start Date]&lt;42461),Table1[Meaningful Use of Time],""))</f>
        <v/>
      </c>
      <c r="FI549" s="44" t="str">
        <f>IF(Table1[Date of Initial Assessment]="","",IF(AND(Table1[Start Date]&gt;42094,Table1[Start Date]&lt;42461),Table1[Managing Tenancy and Accommodation],""))</f>
        <v/>
      </c>
      <c r="FJ549" s="44" t="str">
        <f>IF(Table1[Date of Initial Assessment]="","",IF(AND(Table1[Start Date]&gt;42094,Table1[Start Date]&lt;42461),Table1[Offending],""))</f>
        <v/>
      </c>
      <c r="FK549" s="44" t="str">
        <f>IF(Table1[Leaving Date]="","",IF(Table1[Date of Initial Assessment]="","",IF(AND(Table1[Leaving Date]&gt;42094,Table1[Leaving Date]&lt;42461),IF(Table1[Date of Last Assessment]="",Table1[Motivation and Taking Responsibility],Table1[Motivation and Taking Responsibility2]),"")))</f>
        <v/>
      </c>
      <c r="FL549" s="44" t="str">
        <f>IF(Table1[Leaving Date]="","",IF(Table1[Date of Initial Assessment]="","",IF(AND(Table1[Leaving Date]&gt;42094,Table1[Leaving Date]&lt;42461),IF(Table1[Date of Last Assessment]="",Table1[Self-Care and Living Skills],Table1[Self-Care and Living Skills2]),"")))</f>
        <v/>
      </c>
      <c r="FM549" s="44" t="str">
        <f>IF(Table1[Leaving Date]="","",IF(Table1[Date of Initial Assessment]="","",IF(AND(Table1[Leaving Date]&gt;42094,Table1[Leaving Date]&lt;42461),IF(Table1[Date of Last Assessment]="",Table1[Managing Money and Personal Administration],Table1[Managing Money and Personal Administration2]),"")))</f>
        <v/>
      </c>
      <c r="FN549" s="44" t="str">
        <f>IF(Table1[Leaving Date]="","",IF(Table1[Date of Initial Assessment]="","",IF(AND(Table1[Leaving Date]&gt;42094,Table1[Leaving Date]&lt;42461),IF(Table1[Date of Last Assessment]="",Table1[Social Networks and Relationships],Table1[Social Networks and Relationships2]),"")))</f>
        <v/>
      </c>
      <c r="FO549" s="44" t="str">
        <f>IF(Table1[Leaving Date]="","",IF(Table1[Date of Initial Assessment]="","",IF(AND(Table1[Leaving Date]&gt;42094,Table1[Leaving Date]&lt;42461),IF(Table1[Date of Last Assessment]="",Table1[Drug and Alcohol Misuse],Table1[Drug and Alcohol Misuse2]),"")))</f>
        <v/>
      </c>
      <c r="FP549" s="44" t="str">
        <f>IF(Table1[Leaving Date]="","",IF(Table1[Date of Initial Assessment]="","",IF(AND(Table1[Leaving Date]&gt;42094,Table1[Leaving Date]&lt;42461),IF(Table1[Date of Last Assessment]="",Table1[Physical Health],Table1[Physical Health2]),"")))</f>
        <v/>
      </c>
      <c r="FQ549" s="44" t="str">
        <f>IF(Table1[Leaving Date]="","",IF(Table1[Date of Initial Assessment]="","",IF(AND(Table1[Leaving Date]&gt;42094,Table1[Leaving Date]&lt;42461),IF(Table1[Date of Last Assessment]="",Table1[Emotional and Mental Health],Table1[Emotional and Mental Health2]),"")))</f>
        <v/>
      </c>
      <c r="FR549" s="44" t="str">
        <f>IF(Table1[Leaving Date]="","",IF(Table1[Date of Initial Assessment]="","",IF(AND(Table1[Leaving Date]&gt;42094,Table1[Leaving Date]&lt;42461),IF(Table1[Date of Last Assessment]="",Table1[Meaningful Use of Time],Table1[Meaningful Use of Time2]),"")))</f>
        <v/>
      </c>
      <c r="FS549" s="44" t="str">
        <f>IF(Table1[Leaving Date]="","",IF(Table1[Date of Initial Assessment]="","",IF(AND(Table1[Leaving Date]&gt;42094,Table1[Leaving Date]&lt;42461),IF(Table1[Date of Last Assessment]="",Table1[Managing Tenancy and Accommodation],Table1[Managing Tenancy and Accommodation2]),"")))</f>
        <v/>
      </c>
      <c r="FT549" s="44" t="str">
        <f>IF(Table1[Leaving Date]="","",IF(Table1[Date of Initial Assessment]="","",IF(AND(Table1[Leaving Date]&gt;42094,Table1[Leaving Date]&lt;42461),IF(Table1[Date of Last Assessment]="",Table1[Offending],Table1[Offending2]),"")))</f>
        <v/>
      </c>
      <c r="FU549" s="44" t="str">
        <f>IF(Table1[Date of Initial Assessment]="","",IF(AND(Table1[Start Date]&gt;42460,Table1[Start Date]&lt;42826),Table1[Motivation and Taking Responsibility],""))</f>
        <v/>
      </c>
      <c r="FV549" s="44" t="str">
        <f>IF(Table1[Date of Initial Assessment]="","",IF(AND(Table1[Start Date]&gt;42460,Table1[Start Date]&lt;42826),Table1[Self-Care and Living Skills],""))</f>
        <v/>
      </c>
      <c r="FW549" s="44" t="str">
        <f>IF(Table1[Date of Initial Assessment]="","",IF(AND(Table1[Start Date]&gt;42460,Table1[Start Date]&lt;42826),Table1[Managing Money and Personal Administration],""))</f>
        <v/>
      </c>
      <c r="FX549" s="44" t="str">
        <f>IF(Table1[Date of Initial Assessment]="","",IF(AND(Table1[Start Date]&gt;42460,Table1[Start Date]&lt;42826),Table1[Social Networks and Relationships],""))</f>
        <v/>
      </c>
      <c r="FY549" s="44" t="str">
        <f>IF(Table1[Date of Initial Assessment]="","",IF(AND(Table1[Start Date]&gt;42460,Table1[Start Date]&lt;42826),Table1[Drug and Alcohol Misuse],""))</f>
        <v/>
      </c>
      <c r="FZ549" s="44" t="str">
        <f>IF(Table1[Date of Initial Assessment]="","",IF(AND(Table1[Start Date]&gt;42460,Table1[Start Date]&lt;42826),Table1[Physical Health],""))</f>
        <v/>
      </c>
      <c r="GA549" s="44" t="str">
        <f>IF(Table1[Date of Initial Assessment]="","",IF(AND(Table1[Start Date]&gt;42460,Table1[Start Date]&lt;42826),Table1[Emotional and Mental Health],""))</f>
        <v/>
      </c>
      <c r="GB549" s="44" t="str">
        <f>IF(Table1[Date of Initial Assessment]="","",IF(AND(Table1[Start Date]&gt;42460,Table1[Start Date]&lt;42826),Table1[Meaningful Use of Time],""))</f>
        <v/>
      </c>
      <c r="GC549" s="44" t="str">
        <f>IF(Table1[Date of Initial Assessment]="","",IF(AND(Table1[Start Date]&gt;42460,Table1[Start Date]&lt;42826),Table1[Managing Tenancy and Accommodation],""))</f>
        <v/>
      </c>
      <c r="GD549" s="44" t="str">
        <f>IF(Table1[Date of Initial Assessment]="","",IF(AND(Table1[Start Date]&gt;42460,Table1[Start Date]&lt;42826),Table1[Offending],""))</f>
        <v/>
      </c>
      <c r="GE549" s="44" t="str">
        <f>IF(Table1[Leaving Date]="","",IF(AND(Table1[Leaving Date]&gt;42460,Table1[Leaving Date]&lt;42826),IF(Table1[Date of Last Assessment]="",Table1[Motivation and Taking Responsibility],Table1[Motivation and Taking Responsibility2]),""))</f>
        <v/>
      </c>
      <c r="GF549" s="44" t="str">
        <f>IF(Table1[Leaving Date]="","",IF(AND(Table1[Leaving Date]&gt;42460,Table1[Leaving Date]&lt;42826),IF(Table1[Date of Last Assessment]="",Table1[Self-Care and Living Skills],Table1[Self-Care and Living Skills2]),""))</f>
        <v/>
      </c>
      <c r="GG549" s="44" t="str">
        <f>IF(Table1[Leaving Date]="","",IF(AND(Table1[Leaving Date]&gt;42460,Table1[Leaving Date]&lt;42826),IF(Table1[Date of Last Assessment]="",Table1[Managing Money and Personal Administration],Table1[Managing Money and Personal Administration2]),""))</f>
        <v/>
      </c>
      <c r="GH549" s="44" t="str">
        <f>IF(Table1[Leaving Date]="","",IF(AND(Table1[Leaving Date]&gt;42460,Table1[Leaving Date]&lt;42826),IF(Table1[Date of Last Assessment]="",Table1[Social Networks and Relationships],Table1[Social Networks and Relationships2]),""))</f>
        <v/>
      </c>
      <c r="GI549" s="44" t="str">
        <f>IF(Table1[Leaving Date]="","",IF(AND(Table1[Leaving Date]&gt;42460,Table1[Leaving Date]&lt;42826),IF(Table1[Date of Last Assessment]="",Table1[Drug and Alcohol Misuse],Table1[Drug and Alcohol Misuse2]),""))</f>
        <v/>
      </c>
      <c r="GJ549" s="44" t="str">
        <f>IF(Table1[Leaving Date]="","",IF(AND(Table1[Leaving Date]&gt;42460,Table1[Leaving Date]&lt;42826),IF(Table1[Date of Last Assessment]="",Table1[Physical Health],Table1[Physical Health2]),""))</f>
        <v/>
      </c>
      <c r="GK549" s="44" t="str">
        <f>IF(Table1[Leaving Date]="","",IF(AND(Table1[Leaving Date]&gt;42460,Table1[Leaving Date]&lt;42826),IF(Table1[Date of Last Assessment]="",Table1[Emotional and Mental Health],Table1[Emotional and Mental Health2]),""))</f>
        <v/>
      </c>
      <c r="GL549" s="44" t="str">
        <f>IF(Table1[Leaving Date]="","",IF(AND(Table1[Leaving Date]&gt;42460,Table1[Leaving Date]&lt;42826),IF(Table1[Date of Last Assessment]="",Table1[Meaningful Use of Time],Table1[Meaningful Use of Time2]),""))</f>
        <v/>
      </c>
      <c r="GM549" s="44" t="str">
        <f>IF(Table1[Leaving Date]="","",IF(AND(Table1[Leaving Date]&gt;42460,Table1[Leaving Date]&lt;42826),IF(Table1[Date of Last Assessment]="",Table1[Managing Tenancy and Accommodation],Table1[Managing Tenancy and Accommodation2]),""))</f>
        <v/>
      </c>
      <c r="GN549" s="44" t="str">
        <f>IF(Table1[Leaving Date]="","",IF(AND(Table1[Leaving Date]&gt;42460,Table1[Leaving Date]&lt;42826),IF(Table1[Date of Last Assessment]="",Table1[Offending],Table1[Offending2]),""))</f>
        <v/>
      </c>
    </row>
    <row r="550" spans="2:196" ht="20.100000000000001" customHeight="1" x14ac:dyDescent="0.2">
      <c r="B550" s="86">
        <f>+'Service Data'!$C$5:$C$5</f>
        <v>0</v>
      </c>
      <c r="C550" s="86"/>
      <c r="D550" s="86"/>
      <c r="E550" s="86"/>
      <c r="F550" s="86"/>
      <c r="G550" s="86"/>
      <c r="H550" s="6"/>
      <c r="I550" s="99" t="str">
        <f ca="1">IF(Table1[[#This Row],[Date of Birth]]="","",SUM(TODAY()-Table1[[#This Row],[Date of Birth]])/365)</f>
        <v/>
      </c>
      <c r="L550" s="86"/>
      <c r="M550" s="77"/>
      <c r="N550" s="86"/>
      <c r="O550" s="86"/>
      <c r="P550" s="91"/>
      <c r="Q550" s="86"/>
      <c r="R550" s="77"/>
      <c r="S550" s="77"/>
      <c r="T550" s="68"/>
      <c r="U550" s="68"/>
      <c r="V550" s="67"/>
      <c r="W550" s="67"/>
      <c r="X550" s="67"/>
      <c r="Y550" s="67"/>
      <c r="Z550" s="67"/>
      <c r="AA550" s="67"/>
      <c r="AB550" s="67"/>
      <c r="AC550" s="67"/>
      <c r="AD550" s="67"/>
      <c r="AE550" s="67"/>
      <c r="AF550" s="67"/>
      <c r="AG550" s="67"/>
      <c r="AH550" s="67"/>
      <c r="AI550" s="67"/>
      <c r="AJ550" s="67"/>
      <c r="AK550" s="67"/>
      <c r="AL550" s="67"/>
      <c r="AM550" s="67"/>
      <c r="AN550" s="77"/>
      <c r="AO550" s="76"/>
      <c r="AP550" s="77"/>
      <c r="AQ550" s="76"/>
      <c r="AR550" s="76"/>
      <c r="AS550" s="76"/>
      <c r="AT550" s="76"/>
      <c r="AU550" s="76"/>
      <c r="AV550" s="77"/>
      <c r="AW550" s="76"/>
      <c r="AX550" s="77"/>
      <c r="AY550" s="76"/>
      <c r="AZ550" s="76"/>
      <c r="BA550" s="76"/>
      <c r="BB550" s="76"/>
      <c r="BC550" s="76"/>
      <c r="BD550" s="77"/>
      <c r="BE550" s="76"/>
      <c r="BF550" s="77"/>
      <c r="BG550" s="76"/>
      <c r="BH550" s="76"/>
      <c r="BI550" s="76"/>
      <c r="BJ550" s="76"/>
      <c r="BK550" s="76"/>
      <c r="BL550" s="77"/>
      <c r="BM550" s="76"/>
      <c r="BN550" s="77"/>
      <c r="BO550" s="76"/>
      <c r="BP550" s="76"/>
      <c r="BQ550" s="76"/>
      <c r="BR550" s="76"/>
      <c r="BS550" s="76"/>
      <c r="BT550" s="77"/>
      <c r="BU550" s="76"/>
      <c r="BV550" s="77"/>
      <c r="BW550" s="76"/>
      <c r="BX550" s="76"/>
      <c r="BY550" s="76"/>
      <c r="BZ550" s="76"/>
      <c r="CA550" s="76"/>
      <c r="CB550" s="77"/>
      <c r="CC550" s="76"/>
      <c r="CD550" s="77"/>
      <c r="CE550" s="76"/>
      <c r="CF550" s="76"/>
      <c r="CG550" s="76"/>
      <c r="CH550" s="76"/>
      <c r="CI550" s="76"/>
      <c r="CJ550" s="77"/>
      <c r="CK550" s="76"/>
      <c r="CL550" s="77"/>
      <c r="CM550" s="76"/>
      <c r="CN550" s="76"/>
      <c r="CO550" s="76"/>
      <c r="CP550" s="76"/>
      <c r="CQ550" s="76"/>
      <c r="CR550" s="78" t="str">
        <f t="shared" si="143"/>
        <v/>
      </c>
      <c r="CS550" s="79" t="str">
        <f t="shared" si="144"/>
        <v/>
      </c>
      <c r="CT550" s="79" t="str">
        <f t="shared" si="145"/>
        <v/>
      </c>
      <c r="CU550" s="79" t="str">
        <f t="shared" si="146"/>
        <v/>
      </c>
      <c r="CV550" s="79" t="str">
        <f t="shared" si="147"/>
        <v/>
      </c>
      <c r="CW550" s="79" t="str">
        <f t="shared" si="148"/>
        <v/>
      </c>
      <c r="CX550" s="79" t="str">
        <f t="shared" si="149"/>
        <v/>
      </c>
      <c r="CY550" s="79" t="str">
        <f t="shared" si="150"/>
        <v/>
      </c>
      <c r="CZ550" s="79" t="str">
        <f t="shared" si="151"/>
        <v/>
      </c>
      <c r="DA550" s="79" t="str">
        <f t="shared" si="152"/>
        <v/>
      </c>
      <c r="DB550" s="79" t="str">
        <f t="shared" si="153"/>
        <v/>
      </c>
      <c r="DC550" s="79" t="str">
        <f t="shared" si="154"/>
        <v/>
      </c>
      <c r="DD550" s="79" t="str">
        <f t="shared" si="155"/>
        <v/>
      </c>
      <c r="DE550" s="79" t="str">
        <f t="shared" si="156"/>
        <v/>
      </c>
      <c r="DF550" s="79" t="str">
        <f t="shared" si="157"/>
        <v/>
      </c>
      <c r="DG550" s="79" t="str">
        <f t="shared" si="158"/>
        <v/>
      </c>
      <c r="DH550" s="76"/>
      <c r="DI550" s="78"/>
      <c r="DJ550" s="76"/>
      <c r="DK550" s="77"/>
      <c r="DL550" s="77"/>
      <c r="DM550" s="77"/>
      <c r="DN550" s="80"/>
      <c r="DO550" s="80"/>
      <c r="DP550" s="92" t="str">
        <f>IF(Table1[Start Date]="","",IF(Table1[Start Date]&gt;42185,"",IF(AND(Table1[Leaving Date]&gt;1,Table1[Leaving Date]&lt;42095),"",1)))</f>
        <v/>
      </c>
      <c r="DQ550" s="92" t="str">
        <f>IF(Table1[Start Date]="","",IF(Table1[Start Date]&gt;42277,"",IF(AND(Table1[Leaving Date]&gt;1,Table1[Leaving Date]&lt;42186),"",1)))</f>
        <v/>
      </c>
      <c r="DR550" s="92" t="str">
        <f>IF(Table1[Start Date]="","",IF(Table1[Start Date]&gt;42369,"",IF(AND(Table1[Leaving Date]&gt;1,Table1[Leaving Date]&lt;42278),"",1)))</f>
        <v/>
      </c>
      <c r="DS550" s="92" t="str">
        <f>IF(Table1[Start Date]="","",IF(Table1[Start Date]&gt;42460,"",IF(AND(Table1[Leaving Date]&gt;1,Table1[Leaving Date]&lt;42370),"",1)))</f>
        <v/>
      </c>
      <c r="DT550" s="92" t="str">
        <f>IF(Table1[Start Date]="","",IF(Table1[Start Date]&gt;42551,"",IF(AND(Table1[Leaving Date]&gt;1,Table1[Leaving Date]&lt;42461),"",1)))</f>
        <v/>
      </c>
      <c r="DU550" s="92" t="str">
        <f>IF(Table1[Start Date]="","",IF(Table1[Start Date]&gt;42643,"",IF(AND(Table1[Leaving Date]&gt;1,Table1[Leaving Date]&lt;42552),"",1)))</f>
        <v/>
      </c>
      <c r="DV550" s="92" t="str">
        <f>IF(Table1[Start Date]="","",IF(Table1[Start Date]&gt;42735,"",IF(AND(Table1[Leaving Date]&gt;1,Table1[Leaving Date]&lt;42644),"",1)))</f>
        <v/>
      </c>
      <c r="DW550" s="92" t="str">
        <f>IF(Table1[Start Date]="","",IF(Table1[Start Date]&gt;42825,"",IF(AND(Table1[Leaving Date]&gt;1,Table1[Leaving Date]&lt;42736),"",1)))</f>
        <v/>
      </c>
      <c r="DX550"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550" s="44" t="e">
        <f>VLOOKUP(Table1[Referral Source],Lists!$G$2:$H$20,2,FALSE)</f>
        <v>#N/A</v>
      </c>
      <c r="DZ550" s="93" t="e">
        <f>SUM(Table1[Data Referral Quarter]+Table1[Data Referral Source])</f>
        <v>#N/A</v>
      </c>
      <c r="EA550" s="44" t="b">
        <f>IF(Table1[Referral Decision]="Accepted",100,IF(Table1[Referral Decision]="Rejected by Provider",200,IF(Table1[Referral Decision]="Rejected by Applicant",300)))</f>
        <v>0</v>
      </c>
      <c r="EB550" s="44">
        <f>SUM(Table1[Data Referral Quarter]+Table1[Data Referral Decision])</f>
        <v>0</v>
      </c>
      <c r="EC550" s="44" t="b">
        <f>IF(Table1[Start Date]&gt;42735,8000,IF(Table1[Start Date]&gt;42643,7000,IF(Table1[Start Date]&gt;42551,6000,IF(Table1[Start Date]&gt;42460,5000,IF(Table1[Start Date]&gt;42369,4000,IF(Table1[Start Date]&gt;42277,3000,IF(Table1[Start Date]&gt;42185,2000,IF(Table1[Start Date]&gt;42094,1000))))))))</f>
        <v>0</v>
      </c>
      <c r="ED550" s="44" t="str">
        <f>IF(Table1[Start Date]="","",IF(Table1[Current Local Authority]="Swindon",1,"2"))</f>
        <v/>
      </c>
      <c r="EE550" s="44" t="e">
        <f>SUM(Table1[Data Start Date]+Table1[Data Local Authority])</f>
        <v>#VALUE!</v>
      </c>
      <c r="EF550" s="44">
        <f>IF(Table1[Registered with GP]="Yes",1,0)</f>
        <v>0</v>
      </c>
      <c r="EG550" s="44">
        <f>SUM(Table1[Data Start Date]+Table1[Data GP Start])</f>
        <v>0</v>
      </c>
      <c r="EH550" s="44" t="str">
        <f>IF(Table1[EET]="NEET",1,IF(Table1[EET]="Education",2,IF(Table1[EET]="Employment",2,IF(Table1[EET]="Training",2,IF(Table1[EET]="Retired",3,"")))))</f>
        <v/>
      </c>
      <c r="EI550" s="44" t="e">
        <f>Table1[Data Start Date]+Table1[Data EET Start]</f>
        <v>#VALUE!</v>
      </c>
      <c r="EJ550" s="44" t="b">
        <f>IF(Table1[Leaving Date]&gt;42735,8000,IF(Table1[Leaving Date]&gt;42643,7000,IF(Table1[Leaving Date]&gt;42551,6000,IF(Table1[Leaving Date]&gt;42460,5000,IF(Table1[Leaving Date]&gt;42369,4000,IF(Table1[Leaving Date]&gt;42277,3000,IF(Table1[Leaving Date]&gt;42185,2000,IF(Table1[Leaving Date]&gt;42094,1000))))))))</f>
        <v>0</v>
      </c>
      <c r="EK550" s="44" t="e">
        <f>VLOOKUP(Table1[Reason for Leaving],Lists!$T$2:$U$15,2,FALSE)</f>
        <v>#N/A</v>
      </c>
      <c r="EL550" s="44" t="e">
        <f>SUM(Table1[Data Leavers Date]+Table1[Data Move On])</f>
        <v>#N/A</v>
      </c>
      <c r="EM550" s="44" t="b">
        <f>IF(Table1[Registered with GP2]="Yes",1,IF(Table1[Registered with GP2]="No",0,IF(Table1[Registered with GP]="Yes",1,IF(Table1[Registered with GP]="No",0))))</f>
        <v>0</v>
      </c>
      <c r="EN550" s="44">
        <f>SUM(Table1[Data Leavers Date]+Table1[Data GP End])</f>
        <v>0</v>
      </c>
      <c r="EO550" s="44" t="str">
        <f>IF(Table1[EET2]="NEET",1,IF(Table1[EET2]="Employment",2,IF(Table1[EET2]="Education",2,IF(Table1[EET2]="Training",2,IF(Table1[EET2]="Retired",3,IF(Table1[EET]="NEET",1,IF(Table1[EET]="Employment",2,IF(Table1[EET]="Education",2,IF(Table1[EET]="Training",2,IF(Table1[EET]="Retired",3,""))))))))))</f>
        <v/>
      </c>
      <c r="EP550" s="44" t="e">
        <f>+Table1[[#This Row],[Data Leavers Date]]+Table1[[#This Row],[Data EET End]]</f>
        <v>#VALUE!</v>
      </c>
      <c r="EQ550" s="44">
        <f>IF(Table1[Exit Form Received]="Yes",1,0)</f>
        <v>0</v>
      </c>
      <c r="ER550" s="44">
        <f>+Table1[[#This Row],[Data Leavers Date]]+Table1[[#This Row],[Data Exit Forms]]</f>
        <v>0</v>
      </c>
      <c r="ES550" s="44" t="str">
        <f>IF(Table1[Data Leavers Date]=1000,SUM(Table1[Leaving Date]-Table1[Start Date]),"")</f>
        <v/>
      </c>
      <c r="ET550" s="44" t="str">
        <f>IF(Table1[Data Leavers Date]=2000,SUM(Table1[Leaving Date]-Table1[Start Date]),"")</f>
        <v/>
      </c>
      <c r="EU550" s="44" t="str">
        <f>IF(Table1[Data Leavers Date]=3000,SUM(Table1[Leaving Date]-Table1[Start Date]),"")</f>
        <v/>
      </c>
      <c r="EV550" s="44" t="str">
        <f>IF(Table1[Data Leavers Date]=4000,SUM(Table1[Leaving Date]-Table1[Start Date]),"")</f>
        <v/>
      </c>
      <c r="EW550" s="44" t="str">
        <f>IF(Table1[Data Leavers Date]=5000,SUM(Table1[Leaving Date]-Table1[Start Date]),"")</f>
        <v/>
      </c>
      <c r="EX550" s="44" t="str">
        <f>IF(Table1[Data Leavers Date]=6000,SUM(Table1[Leaving Date]-Table1[Start Date]),"")</f>
        <v/>
      </c>
      <c r="EY550" s="44" t="str">
        <f>IF(Table1[Data Leavers Date]=7000,SUM(Table1[Leaving Date]-Table1[Start Date]),"")</f>
        <v/>
      </c>
      <c r="EZ550" s="44" t="str">
        <f>IF(Table1[Data Leavers Date]=8000,SUM(Table1[Leaving Date]-Table1[Start Date]),"")</f>
        <v/>
      </c>
      <c r="FA550" s="44" t="str">
        <f>IF(Table1[Date of Initial Assessment]="","",IF(AND(Table1[Start Date]&gt;42094,Table1[Start Date]&lt;42461),Table1[Motivation and Taking Responsibility],""))</f>
        <v/>
      </c>
      <c r="FB550" s="44" t="str">
        <f>IF(Table1[Date of Initial Assessment]="","",IF(AND(Table1[Start Date]&gt;42094,Table1[Start Date]&lt;42461),Table1[Self-Care and Living Skills],""))</f>
        <v/>
      </c>
      <c r="FC550" s="44" t="str">
        <f>IF(Table1[Date of Initial Assessment]="","",IF(AND(Table1[Start Date]&gt;42094,Table1[Start Date]&lt;42461),Table1[Managing Money and Personal Administration],""))</f>
        <v/>
      </c>
      <c r="FD550" s="44" t="str">
        <f>IF(Table1[Date of Initial Assessment]="","",IF(AND(Table1[Start Date]&gt;42094,Table1[Start Date]&lt;42461),Table1[Social Networks and Relationships],""))</f>
        <v/>
      </c>
      <c r="FE550" s="44" t="str">
        <f>IF(Table1[Date of Initial Assessment]="","",IF(AND(Table1[Start Date]&gt;42094,Table1[Start Date]&lt;42461),Table1[Drug and Alcohol Misuse],""))</f>
        <v/>
      </c>
      <c r="FF550" s="44" t="str">
        <f>IF(Table1[Date of Initial Assessment]="","",IF(AND(Table1[Start Date]&gt;42094,Table1[Start Date]&lt;42461),Table1[Physical Health],""))</f>
        <v/>
      </c>
      <c r="FG550" s="44" t="str">
        <f>IF(Table1[Date of Initial Assessment]="","",IF(AND(Table1[Start Date]&gt;42094,Table1[Start Date]&lt;42461),Table1[Emotional and Mental Health],""))</f>
        <v/>
      </c>
      <c r="FH550" s="44" t="str">
        <f>IF(Table1[Date of Initial Assessment]="","",IF(AND(Table1[Start Date]&gt;42094,Table1[Start Date]&lt;42461),Table1[Meaningful Use of Time],""))</f>
        <v/>
      </c>
      <c r="FI550" s="44" t="str">
        <f>IF(Table1[Date of Initial Assessment]="","",IF(AND(Table1[Start Date]&gt;42094,Table1[Start Date]&lt;42461),Table1[Managing Tenancy and Accommodation],""))</f>
        <v/>
      </c>
      <c r="FJ550" s="44" t="str">
        <f>IF(Table1[Date of Initial Assessment]="","",IF(AND(Table1[Start Date]&gt;42094,Table1[Start Date]&lt;42461),Table1[Offending],""))</f>
        <v/>
      </c>
      <c r="FK550" s="44" t="str">
        <f>IF(Table1[Leaving Date]="","",IF(Table1[Date of Initial Assessment]="","",IF(AND(Table1[Leaving Date]&gt;42094,Table1[Leaving Date]&lt;42461),IF(Table1[Date of Last Assessment]="",Table1[Motivation and Taking Responsibility],Table1[Motivation and Taking Responsibility2]),"")))</f>
        <v/>
      </c>
      <c r="FL550" s="44" t="str">
        <f>IF(Table1[Leaving Date]="","",IF(Table1[Date of Initial Assessment]="","",IF(AND(Table1[Leaving Date]&gt;42094,Table1[Leaving Date]&lt;42461),IF(Table1[Date of Last Assessment]="",Table1[Self-Care and Living Skills],Table1[Self-Care and Living Skills2]),"")))</f>
        <v/>
      </c>
      <c r="FM550" s="44" t="str">
        <f>IF(Table1[Leaving Date]="","",IF(Table1[Date of Initial Assessment]="","",IF(AND(Table1[Leaving Date]&gt;42094,Table1[Leaving Date]&lt;42461),IF(Table1[Date of Last Assessment]="",Table1[Managing Money and Personal Administration],Table1[Managing Money and Personal Administration2]),"")))</f>
        <v/>
      </c>
      <c r="FN550" s="44" t="str">
        <f>IF(Table1[Leaving Date]="","",IF(Table1[Date of Initial Assessment]="","",IF(AND(Table1[Leaving Date]&gt;42094,Table1[Leaving Date]&lt;42461),IF(Table1[Date of Last Assessment]="",Table1[Social Networks and Relationships],Table1[Social Networks and Relationships2]),"")))</f>
        <v/>
      </c>
      <c r="FO550" s="44" t="str">
        <f>IF(Table1[Leaving Date]="","",IF(Table1[Date of Initial Assessment]="","",IF(AND(Table1[Leaving Date]&gt;42094,Table1[Leaving Date]&lt;42461),IF(Table1[Date of Last Assessment]="",Table1[Drug and Alcohol Misuse],Table1[Drug and Alcohol Misuse2]),"")))</f>
        <v/>
      </c>
      <c r="FP550" s="44" t="str">
        <f>IF(Table1[Leaving Date]="","",IF(Table1[Date of Initial Assessment]="","",IF(AND(Table1[Leaving Date]&gt;42094,Table1[Leaving Date]&lt;42461),IF(Table1[Date of Last Assessment]="",Table1[Physical Health],Table1[Physical Health2]),"")))</f>
        <v/>
      </c>
      <c r="FQ550" s="44" t="str">
        <f>IF(Table1[Leaving Date]="","",IF(Table1[Date of Initial Assessment]="","",IF(AND(Table1[Leaving Date]&gt;42094,Table1[Leaving Date]&lt;42461),IF(Table1[Date of Last Assessment]="",Table1[Emotional and Mental Health],Table1[Emotional and Mental Health2]),"")))</f>
        <v/>
      </c>
      <c r="FR550" s="44" t="str">
        <f>IF(Table1[Leaving Date]="","",IF(Table1[Date of Initial Assessment]="","",IF(AND(Table1[Leaving Date]&gt;42094,Table1[Leaving Date]&lt;42461),IF(Table1[Date of Last Assessment]="",Table1[Meaningful Use of Time],Table1[Meaningful Use of Time2]),"")))</f>
        <v/>
      </c>
      <c r="FS550" s="44" t="str">
        <f>IF(Table1[Leaving Date]="","",IF(Table1[Date of Initial Assessment]="","",IF(AND(Table1[Leaving Date]&gt;42094,Table1[Leaving Date]&lt;42461),IF(Table1[Date of Last Assessment]="",Table1[Managing Tenancy and Accommodation],Table1[Managing Tenancy and Accommodation2]),"")))</f>
        <v/>
      </c>
      <c r="FT550" s="44" t="str">
        <f>IF(Table1[Leaving Date]="","",IF(Table1[Date of Initial Assessment]="","",IF(AND(Table1[Leaving Date]&gt;42094,Table1[Leaving Date]&lt;42461),IF(Table1[Date of Last Assessment]="",Table1[Offending],Table1[Offending2]),"")))</f>
        <v/>
      </c>
      <c r="FU550" s="44" t="str">
        <f>IF(Table1[Date of Initial Assessment]="","",IF(AND(Table1[Start Date]&gt;42460,Table1[Start Date]&lt;42826),Table1[Motivation and Taking Responsibility],""))</f>
        <v/>
      </c>
      <c r="FV550" s="44" t="str">
        <f>IF(Table1[Date of Initial Assessment]="","",IF(AND(Table1[Start Date]&gt;42460,Table1[Start Date]&lt;42826),Table1[Self-Care and Living Skills],""))</f>
        <v/>
      </c>
      <c r="FW550" s="44" t="str">
        <f>IF(Table1[Date of Initial Assessment]="","",IF(AND(Table1[Start Date]&gt;42460,Table1[Start Date]&lt;42826),Table1[Managing Money and Personal Administration],""))</f>
        <v/>
      </c>
      <c r="FX550" s="44" t="str">
        <f>IF(Table1[Date of Initial Assessment]="","",IF(AND(Table1[Start Date]&gt;42460,Table1[Start Date]&lt;42826),Table1[Social Networks and Relationships],""))</f>
        <v/>
      </c>
      <c r="FY550" s="44" t="str">
        <f>IF(Table1[Date of Initial Assessment]="","",IF(AND(Table1[Start Date]&gt;42460,Table1[Start Date]&lt;42826),Table1[Drug and Alcohol Misuse],""))</f>
        <v/>
      </c>
      <c r="FZ550" s="44" t="str">
        <f>IF(Table1[Date of Initial Assessment]="","",IF(AND(Table1[Start Date]&gt;42460,Table1[Start Date]&lt;42826),Table1[Physical Health],""))</f>
        <v/>
      </c>
      <c r="GA550" s="44" t="str">
        <f>IF(Table1[Date of Initial Assessment]="","",IF(AND(Table1[Start Date]&gt;42460,Table1[Start Date]&lt;42826),Table1[Emotional and Mental Health],""))</f>
        <v/>
      </c>
      <c r="GB550" s="44" t="str">
        <f>IF(Table1[Date of Initial Assessment]="","",IF(AND(Table1[Start Date]&gt;42460,Table1[Start Date]&lt;42826),Table1[Meaningful Use of Time],""))</f>
        <v/>
      </c>
      <c r="GC550" s="44" t="str">
        <f>IF(Table1[Date of Initial Assessment]="","",IF(AND(Table1[Start Date]&gt;42460,Table1[Start Date]&lt;42826),Table1[Managing Tenancy and Accommodation],""))</f>
        <v/>
      </c>
      <c r="GD550" s="44" t="str">
        <f>IF(Table1[Date of Initial Assessment]="","",IF(AND(Table1[Start Date]&gt;42460,Table1[Start Date]&lt;42826),Table1[Offending],""))</f>
        <v/>
      </c>
      <c r="GE550" s="44" t="str">
        <f>IF(Table1[Leaving Date]="","",IF(AND(Table1[Leaving Date]&gt;42460,Table1[Leaving Date]&lt;42826),IF(Table1[Date of Last Assessment]="",Table1[Motivation and Taking Responsibility],Table1[Motivation and Taking Responsibility2]),""))</f>
        <v/>
      </c>
      <c r="GF550" s="44" t="str">
        <f>IF(Table1[Leaving Date]="","",IF(AND(Table1[Leaving Date]&gt;42460,Table1[Leaving Date]&lt;42826),IF(Table1[Date of Last Assessment]="",Table1[Self-Care and Living Skills],Table1[Self-Care and Living Skills2]),""))</f>
        <v/>
      </c>
      <c r="GG550" s="44" t="str">
        <f>IF(Table1[Leaving Date]="","",IF(AND(Table1[Leaving Date]&gt;42460,Table1[Leaving Date]&lt;42826),IF(Table1[Date of Last Assessment]="",Table1[Managing Money and Personal Administration],Table1[Managing Money and Personal Administration2]),""))</f>
        <v/>
      </c>
      <c r="GH550" s="44" t="str">
        <f>IF(Table1[Leaving Date]="","",IF(AND(Table1[Leaving Date]&gt;42460,Table1[Leaving Date]&lt;42826),IF(Table1[Date of Last Assessment]="",Table1[Social Networks and Relationships],Table1[Social Networks and Relationships2]),""))</f>
        <v/>
      </c>
      <c r="GI550" s="44" t="str">
        <f>IF(Table1[Leaving Date]="","",IF(AND(Table1[Leaving Date]&gt;42460,Table1[Leaving Date]&lt;42826),IF(Table1[Date of Last Assessment]="",Table1[Drug and Alcohol Misuse],Table1[Drug and Alcohol Misuse2]),""))</f>
        <v/>
      </c>
      <c r="GJ550" s="44" t="str">
        <f>IF(Table1[Leaving Date]="","",IF(AND(Table1[Leaving Date]&gt;42460,Table1[Leaving Date]&lt;42826),IF(Table1[Date of Last Assessment]="",Table1[Physical Health],Table1[Physical Health2]),""))</f>
        <v/>
      </c>
      <c r="GK550" s="44" t="str">
        <f>IF(Table1[Leaving Date]="","",IF(AND(Table1[Leaving Date]&gt;42460,Table1[Leaving Date]&lt;42826),IF(Table1[Date of Last Assessment]="",Table1[Emotional and Mental Health],Table1[Emotional and Mental Health2]),""))</f>
        <v/>
      </c>
      <c r="GL550" s="44" t="str">
        <f>IF(Table1[Leaving Date]="","",IF(AND(Table1[Leaving Date]&gt;42460,Table1[Leaving Date]&lt;42826),IF(Table1[Date of Last Assessment]="",Table1[Meaningful Use of Time],Table1[Meaningful Use of Time2]),""))</f>
        <v/>
      </c>
      <c r="GM550" s="44" t="str">
        <f>IF(Table1[Leaving Date]="","",IF(AND(Table1[Leaving Date]&gt;42460,Table1[Leaving Date]&lt;42826),IF(Table1[Date of Last Assessment]="",Table1[Managing Tenancy and Accommodation],Table1[Managing Tenancy and Accommodation2]),""))</f>
        <v/>
      </c>
      <c r="GN550" s="44" t="str">
        <f>IF(Table1[Leaving Date]="","",IF(AND(Table1[Leaving Date]&gt;42460,Table1[Leaving Date]&lt;42826),IF(Table1[Date of Last Assessment]="",Table1[Offending],Table1[Offending2]),""))</f>
        <v/>
      </c>
    </row>
    <row r="551" spans="2:196" ht="20.100000000000001" customHeight="1" x14ac:dyDescent="0.2">
      <c r="B551" s="86">
        <f>+'Service Data'!$C$5:$C$5</f>
        <v>0</v>
      </c>
      <c r="C551" s="86"/>
      <c r="D551" s="86"/>
      <c r="E551" s="86"/>
      <c r="F551" s="86"/>
      <c r="G551" s="86"/>
      <c r="H551" s="6"/>
      <c r="I551" s="99" t="str">
        <f ca="1">IF(Table1[[#This Row],[Date of Birth]]="","",SUM(TODAY()-Table1[[#This Row],[Date of Birth]])/365)</f>
        <v/>
      </c>
      <c r="L551" s="86"/>
      <c r="M551" s="77"/>
      <c r="N551" s="86"/>
      <c r="O551" s="86"/>
      <c r="P551" s="91"/>
      <c r="Q551" s="86"/>
      <c r="R551" s="77"/>
      <c r="S551" s="77"/>
      <c r="T551" s="68"/>
      <c r="U551" s="68"/>
      <c r="V551" s="67"/>
      <c r="W551" s="67"/>
      <c r="X551" s="67"/>
      <c r="Y551" s="67"/>
      <c r="Z551" s="67"/>
      <c r="AA551" s="67"/>
      <c r="AB551" s="67"/>
      <c r="AC551" s="67"/>
      <c r="AD551" s="67"/>
      <c r="AE551" s="67"/>
      <c r="AF551" s="67"/>
      <c r="AG551" s="67"/>
      <c r="AH551" s="67"/>
      <c r="AI551" s="67"/>
      <c r="AJ551" s="67"/>
      <c r="AK551" s="67"/>
      <c r="AL551" s="67"/>
      <c r="AM551" s="67"/>
      <c r="AN551" s="77"/>
      <c r="AO551" s="76"/>
      <c r="AP551" s="77"/>
      <c r="AQ551" s="76"/>
      <c r="AR551" s="76"/>
      <c r="AS551" s="76"/>
      <c r="AT551" s="76"/>
      <c r="AU551" s="76"/>
      <c r="AV551" s="77"/>
      <c r="AW551" s="76"/>
      <c r="AX551" s="77"/>
      <c r="AY551" s="76"/>
      <c r="AZ551" s="76"/>
      <c r="BA551" s="76"/>
      <c r="BB551" s="76"/>
      <c r="BC551" s="76"/>
      <c r="BD551" s="77"/>
      <c r="BE551" s="76"/>
      <c r="BF551" s="77"/>
      <c r="BG551" s="76"/>
      <c r="BH551" s="76"/>
      <c r="BI551" s="76"/>
      <c r="BJ551" s="76"/>
      <c r="BK551" s="76"/>
      <c r="BL551" s="77"/>
      <c r="BM551" s="76"/>
      <c r="BN551" s="77"/>
      <c r="BO551" s="76"/>
      <c r="BP551" s="76"/>
      <c r="BQ551" s="76"/>
      <c r="BR551" s="76"/>
      <c r="BS551" s="76"/>
      <c r="BT551" s="77"/>
      <c r="BU551" s="76"/>
      <c r="BV551" s="77"/>
      <c r="BW551" s="76"/>
      <c r="BX551" s="76"/>
      <c r="BY551" s="76"/>
      <c r="BZ551" s="76"/>
      <c r="CA551" s="76"/>
      <c r="CB551" s="77"/>
      <c r="CC551" s="76"/>
      <c r="CD551" s="77"/>
      <c r="CE551" s="76"/>
      <c r="CF551" s="76"/>
      <c r="CG551" s="76"/>
      <c r="CH551" s="76"/>
      <c r="CI551" s="76"/>
      <c r="CJ551" s="77"/>
      <c r="CK551" s="76"/>
      <c r="CL551" s="77"/>
      <c r="CM551" s="76"/>
      <c r="CN551" s="76"/>
      <c r="CO551" s="76"/>
      <c r="CP551" s="76"/>
      <c r="CQ551" s="76"/>
      <c r="CR551" s="78" t="str">
        <f t="shared" si="143"/>
        <v/>
      </c>
      <c r="CS551" s="79" t="str">
        <f t="shared" si="144"/>
        <v/>
      </c>
      <c r="CT551" s="79" t="str">
        <f t="shared" si="145"/>
        <v/>
      </c>
      <c r="CU551" s="79" t="str">
        <f t="shared" si="146"/>
        <v/>
      </c>
      <c r="CV551" s="79" t="str">
        <f t="shared" si="147"/>
        <v/>
      </c>
      <c r="CW551" s="79" t="str">
        <f t="shared" si="148"/>
        <v/>
      </c>
      <c r="CX551" s="79" t="str">
        <f t="shared" si="149"/>
        <v/>
      </c>
      <c r="CY551" s="79" t="str">
        <f t="shared" si="150"/>
        <v/>
      </c>
      <c r="CZ551" s="79" t="str">
        <f t="shared" si="151"/>
        <v/>
      </c>
      <c r="DA551" s="79" t="str">
        <f t="shared" si="152"/>
        <v/>
      </c>
      <c r="DB551" s="79" t="str">
        <f t="shared" si="153"/>
        <v/>
      </c>
      <c r="DC551" s="79" t="str">
        <f t="shared" si="154"/>
        <v/>
      </c>
      <c r="DD551" s="79" t="str">
        <f t="shared" si="155"/>
        <v/>
      </c>
      <c r="DE551" s="79" t="str">
        <f t="shared" si="156"/>
        <v/>
      </c>
      <c r="DF551" s="79" t="str">
        <f t="shared" si="157"/>
        <v/>
      </c>
      <c r="DG551" s="79" t="str">
        <f t="shared" si="158"/>
        <v/>
      </c>
      <c r="DH551" s="76"/>
      <c r="DI551" s="78"/>
      <c r="DJ551" s="76"/>
      <c r="DK551" s="77"/>
      <c r="DL551" s="77"/>
      <c r="DM551" s="77"/>
      <c r="DN551" s="80"/>
      <c r="DO551" s="80"/>
      <c r="DP551" s="92" t="str">
        <f>IF(Table1[Start Date]="","",IF(Table1[Start Date]&gt;42185,"",IF(AND(Table1[Leaving Date]&gt;1,Table1[Leaving Date]&lt;42095),"",1)))</f>
        <v/>
      </c>
      <c r="DQ551" s="92" t="str">
        <f>IF(Table1[Start Date]="","",IF(Table1[Start Date]&gt;42277,"",IF(AND(Table1[Leaving Date]&gt;1,Table1[Leaving Date]&lt;42186),"",1)))</f>
        <v/>
      </c>
      <c r="DR551" s="92" t="str">
        <f>IF(Table1[Start Date]="","",IF(Table1[Start Date]&gt;42369,"",IF(AND(Table1[Leaving Date]&gt;1,Table1[Leaving Date]&lt;42278),"",1)))</f>
        <v/>
      </c>
      <c r="DS551" s="92" t="str">
        <f>IF(Table1[Start Date]="","",IF(Table1[Start Date]&gt;42460,"",IF(AND(Table1[Leaving Date]&gt;1,Table1[Leaving Date]&lt;42370),"",1)))</f>
        <v/>
      </c>
      <c r="DT551" s="92" t="str">
        <f>IF(Table1[Start Date]="","",IF(Table1[Start Date]&gt;42551,"",IF(AND(Table1[Leaving Date]&gt;1,Table1[Leaving Date]&lt;42461),"",1)))</f>
        <v/>
      </c>
      <c r="DU551" s="92" t="str">
        <f>IF(Table1[Start Date]="","",IF(Table1[Start Date]&gt;42643,"",IF(AND(Table1[Leaving Date]&gt;1,Table1[Leaving Date]&lt;42552),"",1)))</f>
        <v/>
      </c>
      <c r="DV551" s="92" t="str">
        <f>IF(Table1[Start Date]="","",IF(Table1[Start Date]&gt;42735,"",IF(AND(Table1[Leaving Date]&gt;1,Table1[Leaving Date]&lt;42644),"",1)))</f>
        <v/>
      </c>
      <c r="DW551" s="92" t="str">
        <f>IF(Table1[Start Date]="","",IF(Table1[Start Date]&gt;42825,"",IF(AND(Table1[Leaving Date]&gt;1,Table1[Leaving Date]&lt;42736),"",1)))</f>
        <v/>
      </c>
      <c r="DX551"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551" s="44" t="e">
        <f>VLOOKUP(Table1[Referral Source],Lists!$G$2:$H$20,2,FALSE)</f>
        <v>#N/A</v>
      </c>
      <c r="DZ551" s="93" t="e">
        <f>SUM(Table1[Data Referral Quarter]+Table1[Data Referral Source])</f>
        <v>#N/A</v>
      </c>
      <c r="EA551" s="44" t="b">
        <f>IF(Table1[Referral Decision]="Accepted",100,IF(Table1[Referral Decision]="Rejected by Provider",200,IF(Table1[Referral Decision]="Rejected by Applicant",300)))</f>
        <v>0</v>
      </c>
      <c r="EB551" s="44">
        <f>SUM(Table1[Data Referral Quarter]+Table1[Data Referral Decision])</f>
        <v>0</v>
      </c>
      <c r="EC551" s="44" t="b">
        <f>IF(Table1[Start Date]&gt;42735,8000,IF(Table1[Start Date]&gt;42643,7000,IF(Table1[Start Date]&gt;42551,6000,IF(Table1[Start Date]&gt;42460,5000,IF(Table1[Start Date]&gt;42369,4000,IF(Table1[Start Date]&gt;42277,3000,IF(Table1[Start Date]&gt;42185,2000,IF(Table1[Start Date]&gt;42094,1000))))))))</f>
        <v>0</v>
      </c>
      <c r="ED551" s="44" t="str">
        <f>IF(Table1[Start Date]="","",IF(Table1[Current Local Authority]="Swindon",1,"2"))</f>
        <v/>
      </c>
      <c r="EE551" s="44" t="e">
        <f>SUM(Table1[Data Start Date]+Table1[Data Local Authority])</f>
        <v>#VALUE!</v>
      </c>
      <c r="EF551" s="44">
        <f>IF(Table1[Registered with GP]="Yes",1,0)</f>
        <v>0</v>
      </c>
      <c r="EG551" s="44">
        <f>SUM(Table1[Data Start Date]+Table1[Data GP Start])</f>
        <v>0</v>
      </c>
      <c r="EH551" s="44" t="str">
        <f>IF(Table1[EET]="NEET",1,IF(Table1[EET]="Education",2,IF(Table1[EET]="Employment",2,IF(Table1[EET]="Training",2,IF(Table1[EET]="Retired",3,"")))))</f>
        <v/>
      </c>
      <c r="EI551" s="44" t="e">
        <f>Table1[Data Start Date]+Table1[Data EET Start]</f>
        <v>#VALUE!</v>
      </c>
      <c r="EJ551" s="44" t="b">
        <f>IF(Table1[Leaving Date]&gt;42735,8000,IF(Table1[Leaving Date]&gt;42643,7000,IF(Table1[Leaving Date]&gt;42551,6000,IF(Table1[Leaving Date]&gt;42460,5000,IF(Table1[Leaving Date]&gt;42369,4000,IF(Table1[Leaving Date]&gt;42277,3000,IF(Table1[Leaving Date]&gt;42185,2000,IF(Table1[Leaving Date]&gt;42094,1000))))))))</f>
        <v>0</v>
      </c>
      <c r="EK551" s="44" t="e">
        <f>VLOOKUP(Table1[Reason for Leaving],Lists!$T$2:$U$15,2,FALSE)</f>
        <v>#N/A</v>
      </c>
      <c r="EL551" s="44" t="e">
        <f>SUM(Table1[Data Leavers Date]+Table1[Data Move On])</f>
        <v>#N/A</v>
      </c>
      <c r="EM551" s="44" t="b">
        <f>IF(Table1[Registered with GP2]="Yes",1,IF(Table1[Registered with GP2]="No",0,IF(Table1[Registered with GP]="Yes",1,IF(Table1[Registered with GP]="No",0))))</f>
        <v>0</v>
      </c>
      <c r="EN551" s="44">
        <f>SUM(Table1[Data Leavers Date]+Table1[Data GP End])</f>
        <v>0</v>
      </c>
      <c r="EO551" s="44" t="str">
        <f>IF(Table1[EET2]="NEET",1,IF(Table1[EET2]="Employment",2,IF(Table1[EET2]="Education",2,IF(Table1[EET2]="Training",2,IF(Table1[EET2]="Retired",3,IF(Table1[EET]="NEET",1,IF(Table1[EET]="Employment",2,IF(Table1[EET]="Education",2,IF(Table1[EET]="Training",2,IF(Table1[EET]="Retired",3,""))))))))))</f>
        <v/>
      </c>
      <c r="EP551" s="44" t="e">
        <f>+Table1[[#This Row],[Data Leavers Date]]+Table1[[#This Row],[Data EET End]]</f>
        <v>#VALUE!</v>
      </c>
      <c r="EQ551" s="44">
        <f>IF(Table1[Exit Form Received]="Yes",1,0)</f>
        <v>0</v>
      </c>
      <c r="ER551" s="44">
        <f>+Table1[[#This Row],[Data Leavers Date]]+Table1[[#This Row],[Data Exit Forms]]</f>
        <v>0</v>
      </c>
      <c r="ES551" s="44" t="str">
        <f>IF(Table1[Data Leavers Date]=1000,SUM(Table1[Leaving Date]-Table1[Start Date]),"")</f>
        <v/>
      </c>
      <c r="ET551" s="44" t="str">
        <f>IF(Table1[Data Leavers Date]=2000,SUM(Table1[Leaving Date]-Table1[Start Date]),"")</f>
        <v/>
      </c>
      <c r="EU551" s="44" t="str">
        <f>IF(Table1[Data Leavers Date]=3000,SUM(Table1[Leaving Date]-Table1[Start Date]),"")</f>
        <v/>
      </c>
      <c r="EV551" s="44" t="str">
        <f>IF(Table1[Data Leavers Date]=4000,SUM(Table1[Leaving Date]-Table1[Start Date]),"")</f>
        <v/>
      </c>
      <c r="EW551" s="44" t="str">
        <f>IF(Table1[Data Leavers Date]=5000,SUM(Table1[Leaving Date]-Table1[Start Date]),"")</f>
        <v/>
      </c>
      <c r="EX551" s="44" t="str">
        <f>IF(Table1[Data Leavers Date]=6000,SUM(Table1[Leaving Date]-Table1[Start Date]),"")</f>
        <v/>
      </c>
      <c r="EY551" s="44" t="str">
        <f>IF(Table1[Data Leavers Date]=7000,SUM(Table1[Leaving Date]-Table1[Start Date]),"")</f>
        <v/>
      </c>
      <c r="EZ551" s="44" t="str">
        <f>IF(Table1[Data Leavers Date]=8000,SUM(Table1[Leaving Date]-Table1[Start Date]),"")</f>
        <v/>
      </c>
      <c r="FA551" s="44" t="str">
        <f>IF(Table1[Date of Initial Assessment]="","",IF(AND(Table1[Start Date]&gt;42094,Table1[Start Date]&lt;42461),Table1[Motivation and Taking Responsibility],""))</f>
        <v/>
      </c>
      <c r="FB551" s="44" t="str">
        <f>IF(Table1[Date of Initial Assessment]="","",IF(AND(Table1[Start Date]&gt;42094,Table1[Start Date]&lt;42461),Table1[Self-Care and Living Skills],""))</f>
        <v/>
      </c>
      <c r="FC551" s="44" t="str">
        <f>IF(Table1[Date of Initial Assessment]="","",IF(AND(Table1[Start Date]&gt;42094,Table1[Start Date]&lt;42461),Table1[Managing Money and Personal Administration],""))</f>
        <v/>
      </c>
      <c r="FD551" s="44" t="str">
        <f>IF(Table1[Date of Initial Assessment]="","",IF(AND(Table1[Start Date]&gt;42094,Table1[Start Date]&lt;42461),Table1[Social Networks and Relationships],""))</f>
        <v/>
      </c>
      <c r="FE551" s="44" t="str">
        <f>IF(Table1[Date of Initial Assessment]="","",IF(AND(Table1[Start Date]&gt;42094,Table1[Start Date]&lt;42461),Table1[Drug and Alcohol Misuse],""))</f>
        <v/>
      </c>
      <c r="FF551" s="44" t="str">
        <f>IF(Table1[Date of Initial Assessment]="","",IF(AND(Table1[Start Date]&gt;42094,Table1[Start Date]&lt;42461),Table1[Physical Health],""))</f>
        <v/>
      </c>
      <c r="FG551" s="44" t="str">
        <f>IF(Table1[Date of Initial Assessment]="","",IF(AND(Table1[Start Date]&gt;42094,Table1[Start Date]&lt;42461),Table1[Emotional and Mental Health],""))</f>
        <v/>
      </c>
      <c r="FH551" s="44" t="str">
        <f>IF(Table1[Date of Initial Assessment]="","",IF(AND(Table1[Start Date]&gt;42094,Table1[Start Date]&lt;42461),Table1[Meaningful Use of Time],""))</f>
        <v/>
      </c>
      <c r="FI551" s="44" t="str">
        <f>IF(Table1[Date of Initial Assessment]="","",IF(AND(Table1[Start Date]&gt;42094,Table1[Start Date]&lt;42461),Table1[Managing Tenancy and Accommodation],""))</f>
        <v/>
      </c>
      <c r="FJ551" s="44" t="str">
        <f>IF(Table1[Date of Initial Assessment]="","",IF(AND(Table1[Start Date]&gt;42094,Table1[Start Date]&lt;42461),Table1[Offending],""))</f>
        <v/>
      </c>
      <c r="FK551" s="44" t="str">
        <f>IF(Table1[Leaving Date]="","",IF(Table1[Date of Initial Assessment]="","",IF(AND(Table1[Leaving Date]&gt;42094,Table1[Leaving Date]&lt;42461),IF(Table1[Date of Last Assessment]="",Table1[Motivation and Taking Responsibility],Table1[Motivation and Taking Responsibility2]),"")))</f>
        <v/>
      </c>
      <c r="FL551" s="44" t="str">
        <f>IF(Table1[Leaving Date]="","",IF(Table1[Date of Initial Assessment]="","",IF(AND(Table1[Leaving Date]&gt;42094,Table1[Leaving Date]&lt;42461),IF(Table1[Date of Last Assessment]="",Table1[Self-Care and Living Skills],Table1[Self-Care and Living Skills2]),"")))</f>
        <v/>
      </c>
      <c r="FM551" s="44" t="str">
        <f>IF(Table1[Leaving Date]="","",IF(Table1[Date of Initial Assessment]="","",IF(AND(Table1[Leaving Date]&gt;42094,Table1[Leaving Date]&lt;42461),IF(Table1[Date of Last Assessment]="",Table1[Managing Money and Personal Administration],Table1[Managing Money and Personal Administration2]),"")))</f>
        <v/>
      </c>
      <c r="FN551" s="44" t="str">
        <f>IF(Table1[Leaving Date]="","",IF(Table1[Date of Initial Assessment]="","",IF(AND(Table1[Leaving Date]&gt;42094,Table1[Leaving Date]&lt;42461),IF(Table1[Date of Last Assessment]="",Table1[Social Networks and Relationships],Table1[Social Networks and Relationships2]),"")))</f>
        <v/>
      </c>
      <c r="FO551" s="44" t="str">
        <f>IF(Table1[Leaving Date]="","",IF(Table1[Date of Initial Assessment]="","",IF(AND(Table1[Leaving Date]&gt;42094,Table1[Leaving Date]&lt;42461),IF(Table1[Date of Last Assessment]="",Table1[Drug and Alcohol Misuse],Table1[Drug and Alcohol Misuse2]),"")))</f>
        <v/>
      </c>
      <c r="FP551" s="44" t="str">
        <f>IF(Table1[Leaving Date]="","",IF(Table1[Date of Initial Assessment]="","",IF(AND(Table1[Leaving Date]&gt;42094,Table1[Leaving Date]&lt;42461),IF(Table1[Date of Last Assessment]="",Table1[Physical Health],Table1[Physical Health2]),"")))</f>
        <v/>
      </c>
      <c r="FQ551" s="44" t="str">
        <f>IF(Table1[Leaving Date]="","",IF(Table1[Date of Initial Assessment]="","",IF(AND(Table1[Leaving Date]&gt;42094,Table1[Leaving Date]&lt;42461),IF(Table1[Date of Last Assessment]="",Table1[Emotional and Mental Health],Table1[Emotional and Mental Health2]),"")))</f>
        <v/>
      </c>
      <c r="FR551" s="44" t="str">
        <f>IF(Table1[Leaving Date]="","",IF(Table1[Date of Initial Assessment]="","",IF(AND(Table1[Leaving Date]&gt;42094,Table1[Leaving Date]&lt;42461),IF(Table1[Date of Last Assessment]="",Table1[Meaningful Use of Time],Table1[Meaningful Use of Time2]),"")))</f>
        <v/>
      </c>
      <c r="FS551" s="44" t="str">
        <f>IF(Table1[Leaving Date]="","",IF(Table1[Date of Initial Assessment]="","",IF(AND(Table1[Leaving Date]&gt;42094,Table1[Leaving Date]&lt;42461),IF(Table1[Date of Last Assessment]="",Table1[Managing Tenancy and Accommodation],Table1[Managing Tenancy and Accommodation2]),"")))</f>
        <v/>
      </c>
      <c r="FT551" s="44" t="str">
        <f>IF(Table1[Leaving Date]="","",IF(Table1[Date of Initial Assessment]="","",IF(AND(Table1[Leaving Date]&gt;42094,Table1[Leaving Date]&lt;42461),IF(Table1[Date of Last Assessment]="",Table1[Offending],Table1[Offending2]),"")))</f>
        <v/>
      </c>
      <c r="FU551" s="44" t="str">
        <f>IF(Table1[Date of Initial Assessment]="","",IF(AND(Table1[Start Date]&gt;42460,Table1[Start Date]&lt;42826),Table1[Motivation and Taking Responsibility],""))</f>
        <v/>
      </c>
      <c r="FV551" s="44" t="str">
        <f>IF(Table1[Date of Initial Assessment]="","",IF(AND(Table1[Start Date]&gt;42460,Table1[Start Date]&lt;42826),Table1[Self-Care and Living Skills],""))</f>
        <v/>
      </c>
      <c r="FW551" s="44" t="str">
        <f>IF(Table1[Date of Initial Assessment]="","",IF(AND(Table1[Start Date]&gt;42460,Table1[Start Date]&lt;42826),Table1[Managing Money and Personal Administration],""))</f>
        <v/>
      </c>
      <c r="FX551" s="44" t="str">
        <f>IF(Table1[Date of Initial Assessment]="","",IF(AND(Table1[Start Date]&gt;42460,Table1[Start Date]&lt;42826),Table1[Social Networks and Relationships],""))</f>
        <v/>
      </c>
      <c r="FY551" s="44" t="str">
        <f>IF(Table1[Date of Initial Assessment]="","",IF(AND(Table1[Start Date]&gt;42460,Table1[Start Date]&lt;42826),Table1[Drug and Alcohol Misuse],""))</f>
        <v/>
      </c>
      <c r="FZ551" s="44" t="str">
        <f>IF(Table1[Date of Initial Assessment]="","",IF(AND(Table1[Start Date]&gt;42460,Table1[Start Date]&lt;42826),Table1[Physical Health],""))</f>
        <v/>
      </c>
      <c r="GA551" s="44" t="str">
        <f>IF(Table1[Date of Initial Assessment]="","",IF(AND(Table1[Start Date]&gt;42460,Table1[Start Date]&lt;42826),Table1[Emotional and Mental Health],""))</f>
        <v/>
      </c>
      <c r="GB551" s="44" t="str">
        <f>IF(Table1[Date of Initial Assessment]="","",IF(AND(Table1[Start Date]&gt;42460,Table1[Start Date]&lt;42826),Table1[Meaningful Use of Time],""))</f>
        <v/>
      </c>
      <c r="GC551" s="44" t="str">
        <f>IF(Table1[Date of Initial Assessment]="","",IF(AND(Table1[Start Date]&gt;42460,Table1[Start Date]&lt;42826),Table1[Managing Tenancy and Accommodation],""))</f>
        <v/>
      </c>
      <c r="GD551" s="44" t="str">
        <f>IF(Table1[Date of Initial Assessment]="","",IF(AND(Table1[Start Date]&gt;42460,Table1[Start Date]&lt;42826),Table1[Offending],""))</f>
        <v/>
      </c>
      <c r="GE551" s="44" t="str">
        <f>IF(Table1[Leaving Date]="","",IF(AND(Table1[Leaving Date]&gt;42460,Table1[Leaving Date]&lt;42826),IF(Table1[Date of Last Assessment]="",Table1[Motivation and Taking Responsibility],Table1[Motivation and Taking Responsibility2]),""))</f>
        <v/>
      </c>
      <c r="GF551" s="44" t="str">
        <f>IF(Table1[Leaving Date]="","",IF(AND(Table1[Leaving Date]&gt;42460,Table1[Leaving Date]&lt;42826),IF(Table1[Date of Last Assessment]="",Table1[Self-Care and Living Skills],Table1[Self-Care and Living Skills2]),""))</f>
        <v/>
      </c>
      <c r="GG551" s="44" t="str">
        <f>IF(Table1[Leaving Date]="","",IF(AND(Table1[Leaving Date]&gt;42460,Table1[Leaving Date]&lt;42826),IF(Table1[Date of Last Assessment]="",Table1[Managing Money and Personal Administration],Table1[Managing Money and Personal Administration2]),""))</f>
        <v/>
      </c>
      <c r="GH551" s="44" t="str">
        <f>IF(Table1[Leaving Date]="","",IF(AND(Table1[Leaving Date]&gt;42460,Table1[Leaving Date]&lt;42826),IF(Table1[Date of Last Assessment]="",Table1[Social Networks and Relationships],Table1[Social Networks and Relationships2]),""))</f>
        <v/>
      </c>
      <c r="GI551" s="44" t="str">
        <f>IF(Table1[Leaving Date]="","",IF(AND(Table1[Leaving Date]&gt;42460,Table1[Leaving Date]&lt;42826),IF(Table1[Date of Last Assessment]="",Table1[Drug and Alcohol Misuse],Table1[Drug and Alcohol Misuse2]),""))</f>
        <v/>
      </c>
      <c r="GJ551" s="44" t="str">
        <f>IF(Table1[Leaving Date]="","",IF(AND(Table1[Leaving Date]&gt;42460,Table1[Leaving Date]&lt;42826),IF(Table1[Date of Last Assessment]="",Table1[Physical Health],Table1[Physical Health2]),""))</f>
        <v/>
      </c>
      <c r="GK551" s="44" t="str">
        <f>IF(Table1[Leaving Date]="","",IF(AND(Table1[Leaving Date]&gt;42460,Table1[Leaving Date]&lt;42826),IF(Table1[Date of Last Assessment]="",Table1[Emotional and Mental Health],Table1[Emotional and Mental Health2]),""))</f>
        <v/>
      </c>
      <c r="GL551" s="44" t="str">
        <f>IF(Table1[Leaving Date]="","",IF(AND(Table1[Leaving Date]&gt;42460,Table1[Leaving Date]&lt;42826),IF(Table1[Date of Last Assessment]="",Table1[Meaningful Use of Time],Table1[Meaningful Use of Time2]),""))</f>
        <v/>
      </c>
      <c r="GM551" s="44" t="str">
        <f>IF(Table1[Leaving Date]="","",IF(AND(Table1[Leaving Date]&gt;42460,Table1[Leaving Date]&lt;42826),IF(Table1[Date of Last Assessment]="",Table1[Managing Tenancy and Accommodation],Table1[Managing Tenancy and Accommodation2]),""))</f>
        <v/>
      </c>
      <c r="GN551" s="44" t="str">
        <f>IF(Table1[Leaving Date]="","",IF(AND(Table1[Leaving Date]&gt;42460,Table1[Leaving Date]&lt;42826),IF(Table1[Date of Last Assessment]="",Table1[Offending],Table1[Offending2]),""))</f>
        <v/>
      </c>
    </row>
    <row r="552" spans="2:196" ht="20.100000000000001" customHeight="1" x14ac:dyDescent="0.2">
      <c r="B552" s="86">
        <f>+'Service Data'!$C$5:$C$5</f>
        <v>0</v>
      </c>
      <c r="C552" s="86"/>
      <c r="D552" s="86"/>
      <c r="E552" s="86"/>
      <c r="F552" s="86"/>
      <c r="G552" s="86"/>
      <c r="H552" s="6"/>
      <c r="I552" s="99" t="str">
        <f ca="1">IF(Table1[[#This Row],[Date of Birth]]="","",SUM(TODAY()-Table1[[#This Row],[Date of Birth]])/365)</f>
        <v/>
      </c>
      <c r="L552" s="86"/>
      <c r="M552" s="77"/>
      <c r="N552" s="86"/>
      <c r="O552" s="86"/>
      <c r="P552" s="91"/>
      <c r="Q552" s="86"/>
      <c r="R552" s="77"/>
      <c r="S552" s="77"/>
      <c r="T552" s="68"/>
      <c r="U552" s="68"/>
      <c r="V552" s="67"/>
      <c r="W552" s="67"/>
      <c r="X552" s="67"/>
      <c r="Y552" s="67"/>
      <c r="Z552" s="67"/>
      <c r="AA552" s="67"/>
      <c r="AB552" s="67"/>
      <c r="AC552" s="67"/>
      <c r="AD552" s="67"/>
      <c r="AE552" s="67"/>
      <c r="AF552" s="67"/>
      <c r="AG552" s="67"/>
      <c r="AH552" s="67"/>
      <c r="AI552" s="67"/>
      <c r="AJ552" s="67"/>
      <c r="AK552" s="67"/>
      <c r="AL552" s="67"/>
      <c r="AM552" s="67"/>
      <c r="AN552" s="77"/>
      <c r="AO552" s="76"/>
      <c r="AP552" s="77"/>
      <c r="AQ552" s="76"/>
      <c r="AR552" s="76"/>
      <c r="AS552" s="76"/>
      <c r="AT552" s="76"/>
      <c r="AU552" s="76"/>
      <c r="AV552" s="77"/>
      <c r="AW552" s="76"/>
      <c r="AX552" s="77"/>
      <c r="AY552" s="76"/>
      <c r="AZ552" s="76"/>
      <c r="BA552" s="76"/>
      <c r="BB552" s="76"/>
      <c r="BC552" s="76"/>
      <c r="BD552" s="77"/>
      <c r="BE552" s="76"/>
      <c r="BF552" s="77"/>
      <c r="BG552" s="76"/>
      <c r="BH552" s="76"/>
      <c r="BI552" s="76"/>
      <c r="BJ552" s="76"/>
      <c r="BK552" s="76"/>
      <c r="BL552" s="77"/>
      <c r="BM552" s="76"/>
      <c r="BN552" s="77"/>
      <c r="BO552" s="76"/>
      <c r="BP552" s="76"/>
      <c r="BQ552" s="76"/>
      <c r="BR552" s="76"/>
      <c r="BS552" s="76"/>
      <c r="BT552" s="77"/>
      <c r="BU552" s="76"/>
      <c r="BV552" s="77"/>
      <c r="BW552" s="76"/>
      <c r="BX552" s="76"/>
      <c r="BY552" s="76"/>
      <c r="BZ552" s="76"/>
      <c r="CA552" s="76"/>
      <c r="CB552" s="77"/>
      <c r="CC552" s="76"/>
      <c r="CD552" s="77"/>
      <c r="CE552" s="76"/>
      <c r="CF552" s="76"/>
      <c r="CG552" s="76"/>
      <c r="CH552" s="76"/>
      <c r="CI552" s="76"/>
      <c r="CJ552" s="77"/>
      <c r="CK552" s="76"/>
      <c r="CL552" s="77"/>
      <c r="CM552" s="76"/>
      <c r="CN552" s="76"/>
      <c r="CO552" s="76"/>
      <c r="CP552" s="76"/>
      <c r="CQ552" s="76"/>
      <c r="CR552" s="78" t="str">
        <f t="shared" si="143"/>
        <v/>
      </c>
      <c r="CS552" s="79" t="str">
        <f t="shared" si="144"/>
        <v/>
      </c>
      <c r="CT552" s="79" t="str">
        <f t="shared" si="145"/>
        <v/>
      </c>
      <c r="CU552" s="79" t="str">
        <f t="shared" si="146"/>
        <v/>
      </c>
      <c r="CV552" s="79" t="str">
        <f t="shared" si="147"/>
        <v/>
      </c>
      <c r="CW552" s="79" t="str">
        <f t="shared" si="148"/>
        <v/>
      </c>
      <c r="CX552" s="79" t="str">
        <f t="shared" si="149"/>
        <v/>
      </c>
      <c r="CY552" s="79" t="str">
        <f t="shared" si="150"/>
        <v/>
      </c>
      <c r="CZ552" s="79" t="str">
        <f t="shared" si="151"/>
        <v/>
      </c>
      <c r="DA552" s="79" t="str">
        <f t="shared" si="152"/>
        <v/>
      </c>
      <c r="DB552" s="79" t="str">
        <f t="shared" si="153"/>
        <v/>
      </c>
      <c r="DC552" s="79" t="str">
        <f t="shared" si="154"/>
        <v/>
      </c>
      <c r="DD552" s="79" t="str">
        <f t="shared" si="155"/>
        <v/>
      </c>
      <c r="DE552" s="79" t="str">
        <f t="shared" si="156"/>
        <v/>
      </c>
      <c r="DF552" s="79" t="str">
        <f t="shared" si="157"/>
        <v/>
      </c>
      <c r="DG552" s="79" t="str">
        <f t="shared" si="158"/>
        <v/>
      </c>
      <c r="DH552" s="76"/>
      <c r="DI552" s="78"/>
      <c r="DJ552" s="76"/>
      <c r="DK552" s="77"/>
      <c r="DL552" s="77"/>
      <c r="DM552" s="77"/>
      <c r="DN552" s="80"/>
      <c r="DO552" s="80"/>
      <c r="DP552" s="92" t="str">
        <f>IF(Table1[Start Date]="","",IF(Table1[Start Date]&gt;42185,"",IF(AND(Table1[Leaving Date]&gt;1,Table1[Leaving Date]&lt;42095),"",1)))</f>
        <v/>
      </c>
      <c r="DQ552" s="92" t="str">
        <f>IF(Table1[Start Date]="","",IF(Table1[Start Date]&gt;42277,"",IF(AND(Table1[Leaving Date]&gt;1,Table1[Leaving Date]&lt;42186),"",1)))</f>
        <v/>
      </c>
      <c r="DR552" s="92" t="str">
        <f>IF(Table1[Start Date]="","",IF(Table1[Start Date]&gt;42369,"",IF(AND(Table1[Leaving Date]&gt;1,Table1[Leaving Date]&lt;42278),"",1)))</f>
        <v/>
      </c>
      <c r="DS552" s="92" t="str">
        <f>IF(Table1[Start Date]="","",IF(Table1[Start Date]&gt;42460,"",IF(AND(Table1[Leaving Date]&gt;1,Table1[Leaving Date]&lt;42370),"",1)))</f>
        <v/>
      </c>
      <c r="DT552" s="92" t="str">
        <f>IF(Table1[Start Date]="","",IF(Table1[Start Date]&gt;42551,"",IF(AND(Table1[Leaving Date]&gt;1,Table1[Leaving Date]&lt;42461),"",1)))</f>
        <v/>
      </c>
      <c r="DU552" s="92" t="str">
        <f>IF(Table1[Start Date]="","",IF(Table1[Start Date]&gt;42643,"",IF(AND(Table1[Leaving Date]&gt;1,Table1[Leaving Date]&lt;42552),"",1)))</f>
        <v/>
      </c>
      <c r="DV552" s="92" t="str">
        <f>IF(Table1[Start Date]="","",IF(Table1[Start Date]&gt;42735,"",IF(AND(Table1[Leaving Date]&gt;1,Table1[Leaving Date]&lt;42644),"",1)))</f>
        <v/>
      </c>
      <c r="DW552" s="92" t="str">
        <f>IF(Table1[Start Date]="","",IF(Table1[Start Date]&gt;42825,"",IF(AND(Table1[Leaving Date]&gt;1,Table1[Leaving Date]&lt;42736),"",1)))</f>
        <v/>
      </c>
      <c r="DX552"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552" s="44" t="e">
        <f>VLOOKUP(Table1[Referral Source],Lists!$G$2:$H$20,2,FALSE)</f>
        <v>#N/A</v>
      </c>
      <c r="DZ552" s="93" t="e">
        <f>SUM(Table1[Data Referral Quarter]+Table1[Data Referral Source])</f>
        <v>#N/A</v>
      </c>
      <c r="EA552" s="44" t="b">
        <f>IF(Table1[Referral Decision]="Accepted",100,IF(Table1[Referral Decision]="Rejected by Provider",200,IF(Table1[Referral Decision]="Rejected by Applicant",300)))</f>
        <v>0</v>
      </c>
      <c r="EB552" s="44">
        <f>SUM(Table1[Data Referral Quarter]+Table1[Data Referral Decision])</f>
        <v>0</v>
      </c>
      <c r="EC552" s="44" t="b">
        <f>IF(Table1[Start Date]&gt;42735,8000,IF(Table1[Start Date]&gt;42643,7000,IF(Table1[Start Date]&gt;42551,6000,IF(Table1[Start Date]&gt;42460,5000,IF(Table1[Start Date]&gt;42369,4000,IF(Table1[Start Date]&gt;42277,3000,IF(Table1[Start Date]&gt;42185,2000,IF(Table1[Start Date]&gt;42094,1000))))))))</f>
        <v>0</v>
      </c>
      <c r="ED552" s="44" t="str">
        <f>IF(Table1[Start Date]="","",IF(Table1[Current Local Authority]="Swindon",1,"2"))</f>
        <v/>
      </c>
      <c r="EE552" s="44" t="e">
        <f>SUM(Table1[Data Start Date]+Table1[Data Local Authority])</f>
        <v>#VALUE!</v>
      </c>
      <c r="EF552" s="44">
        <f>IF(Table1[Registered with GP]="Yes",1,0)</f>
        <v>0</v>
      </c>
      <c r="EG552" s="44">
        <f>SUM(Table1[Data Start Date]+Table1[Data GP Start])</f>
        <v>0</v>
      </c>
      <c r="EH552" s="44" t="str">
        <f>IF(Table1[EET]="NEET",1,IF(Table1[EET]="Education",2,IF(Table1[EET]="Employment",2,IF(Table1[EET]="Training",2,IF(Table1[EET]="Retired",3,"")))))</f>
        <v/>
      </c>
      <c r="EI552" s="44" t="e">
        <f>Table1[Data Start Date]+Table1[Data EET Start]</f>
        <v>#VALUE!</v>
      </c>
      <c r="EJ552" s="44" t="b">
        <f>IF(Table1[Leaving Date]&gt;42735,8000,IF(Table1[Leaving Date]&gt;42643,7000,IF(Table1[Leaving Date]&gt;42551,6000,IF(Table1[Leaving Date]&gt;42460,5000,IF(Table1[Leaving Date]&gt;42369,4000,IF(Table1[Leaving Date]&gt;42277,3000,IF(Table1[Leaving Date]&gt;42185,2000,IF(Table1[Leaving Date]&gt;42094,1000))))))))</f>
        <v>0</v>
      </c>
      <c r="EK552" s="44" t="e">
        <f>VLOOKUP(Table1[Reason for Leaving],Lists!$T$2:$U$15,2,FALSE)</f>
        <v>#N/A</v>
      </c>
      <c r="EL552" s="44" t="e">
        <f>SUM(Table1[Data Leavers Date]+Table1[Data Move On])</f>
        <v>#N/A</v>
      </c>
      <c r="EM552" s="44" t="b">
        <f>IF(Table1[Registered with GP2]="Yes",1,IF(Table1[Registered with GP2]="No",0,IF(Table1[Registered with GP]="Yes",1,IF(Table1[Registered with GP]="No",0))))</f>
        <v>0</v>
      </c>
      <c r="EN552" s="44">
        <f>SUM(Table1[Data Leavers Date]+Table1[Data GP End])</f>
        <v>0</v>
      </c>
      <c r="EO552" s="44" t="str">
        <f>IF(Table1[EET2]="NEET",1,IF(Table1[EET2]="Employment",2,IF(Table1[EET2]="Education",2,IF(Table1[EET2]="Training",2,IF(Table1[EET2]="Retired",3,IF(Table1[EET]="NEET",1,IF(Table1[EET]="Employment",2,IF(Table1[EET]="Education",2,IF(Table1[EET]="Training",2,IF(Table1[EET]="Retired",3,""))))))))))</f>
        <v/>
      </c>
      <c r="EP552" s="44" t="e">
        <f>+Table1[[#This Row],[Data Leavers Date]]+Table1[[#This Row],[Data EET End]]</f>
        <v>#VALUE!</v>
      </c>
      <c r="EQ552" s="44">
        <f>IF(Table1[Exit Form Received]="Yes",1,0)</f>
        <v>0</v>
      </c>
      <c r="ER552" s="44">
        <f>+Table1[[#This Row],[Data Leavers Date]]+Table1[[#This Row],[Data Exit Forms]]</f>
        <v>0</v>
      </c>
      <c r="ES552" s="44" t="str">
        <f>IF(Table1[Data Leavers Date]=1000,SUM(Table1[Leaving Date]-Table1[Start Date]),"")</f>
        <v/>
      </c>
      <c r="ET552" s="44" t="str">
        <f>IF(Table1[Data Leavers Date]=2000,SUM(Table1[Leaving Date]-Table1[Start Date]),"")</f>
        <v/>
      </c>
      <c r="EU552" s="44" t="str">
        <f>IF(Table1[Data Leavers Date]=3000,SUM(Table1[Leaving Date]-Table1[Start Date]),"")</f>
        <v/>
      </c>
      <c r="EV552" s="44" t="str">
        <f>IF(Table1[Data Leavers Date]=4000,SUM(Table1[Leaving Date]-Table1[Start Date]),"")</f>
        <v/>
      </c>
      <c r="EW552" s="44" t="str">
        <f>IF(Table1[Data Leavers Date]=5000,SUM(Table1[Leaving Date]-Table1[Start Date]),"")</f>
        <v/>
      </c>
      <c r="EX552" s="44" t="str">
        <f>IF(Table1[Data Leavers Date]=6000,SUM(Table1[Leaving Date]-Table1[Start Date]),"")</f>
        <v/>
      </c>
      <c r="EY552" s="44" t="str">
        <f>IF(Table1[Data Leavers Date]=7000,SUM(Table1[Leaving Date]-Table1[Start Date]),"")</f>
        <v/>
      </c>
      <c r="EZ552" s="44" t="str">
        <f>IF(Table1[Data Leavers Date]=8000,SUM(Table1[Leaving Date]-Table1[Start Date]),"")</f>
        <v/>
      </c>
      <c r="FA552" s="44" t="str">
        <f>IF(Table1[Date of Initial Assessment]="","",IF(AND(Table1[Start Date]&gt;42094,Table1[Start Date]&lt;42461),Table1[Motivation and Taking Responsibility],""))</f>
        <v/>
      </c>
      <c r="FB552" s="44" t="str">
        <f>IF(Table1[Date of Initial Assessment]="","",IF(AND(Table1[Start Date]&gt;42094,Table1[Start Date]&lt;42461),Table1[Self-Care and Living Skills],""))</f>
        <v/>
      </c>
      <c r="FC552" s="44" t="str">
        <f>IF(Table1[Date of Initial Assessment]="","",IF(AND(Table1[Start Date]&gt;42094,Table1[Start Date]&lt;42461),Table1[Managing Money and Personal Administration],""))</f>
        <v/>
      </c>
      <c r="FD552" s="44" t="str">
        <f>IF(Table1[Date of Initial Assessment]="","",IF(AND(Table1[Start Date]&gt;42094,Table1[Start Date]&lt;42461),Table1[Social Networks and Relationships],""))</f>
        <v/>
      </c>
      <c r="FE552" s="44" t="str">
        <f>IF(Table1[Date of Initial Assessment]="","",IF(AND(Table1[Start Date]&gt;42094,Table1[Start Date]&lt;42461),Table1[Drug and Alcohol Misuse],""))</f>
        <v/>
      </c>
      <c r="FF552" s="44" t="str">
        <f>IF(Table1[Date of Initial Assessment]="","",IF(AND(Table1[Start Date]&gt;42094,Table1[Start Date]&lt;42461),Table1[Physical Health],""))</f>
        <v/>
      </c>
      <c r="FG552" s="44" t="str">
        <f>IF(Table1[Date of Initial Assessment]="","",IF(AND(Table1[Start Date]&gt;42094,Table1[Start Date]&lt;42461),Table1[Emotional and Mental Health],""))</f>
        <v/>
      </c>
      <c r="FH552" s="44" t="str">
        <f>IF(Table1[Date of Initial Assessment]="","",IF(AND(Table1[Start Date]&gt;42094,Table1[Start Date]&lt;42461),Table1[Meaningful Use of Time],""))</f>
        <v/>
      </c>
      <c r="FI552" s="44" t="str">
        <f>IF(Table1[Date of Initial Assessment]="","",IF(AND(Table1[Start Date]&gt;42094,Table1[Start Date]&lt;42461),Table1[Managing Tenancy and Accommodation],""))</f>
        <v/>
      </c>
      <c r="FJ552" s="44" t="str">
        <f>IF(Table1[Date of Initial Assessment]="","",IF(AND(Table1[Start Date]&gt;42094,Table1[Start Date]&lt;42461),Table1[Offending],""))</f>
        <v/>
      </c>
      <c r="FK552" s="44" t="str">
        <f>IF(Table1[Leaving Date]="","",IF(Table1[Date of Initial Assessment]="","",IF(AND(Table1[Leaving Date]&gt;42094,Table1[Leaving Date]&lt;42461),IF(Table1[Date of Last Assessment]="",Table1[Motivation and Taking Responsibility],Table1[Motivation and Taking Responsibility2]),"")))</f>
        <v/>
      </c>
      <c r="FL552" s="44" t="str">
        <f>IF(Table1[Leaving Date]="","",IF(Table1[Date of Initial Assessment]="","",IF(AND(Table1[Leaving Date]&gt;42094,Table1[Leaving Date]&lt;42461),IF(Table1[Date of Last Assessment]="",Table1[Self-Care and Living Skills],Table1[Self-Care and Living Skills2]),"")))</f>
        <v/>
      </c>
      <c r="FM552" s="44" t="str">
        <f>IF(Table1[Leaving Date]="","",IF(Table1[Date of Initial Assessment]="","",IF(AND(Table1[Leaving Date]&gt;42094,Table1[Leaving Date]&lt;42461),IF(Table1[Date of Last Assessment]="",Table1[Managing Money and Personal Administration],Table1[Managing Money and Personal Administration2]),"")))</f>
        <v/>
      </c>
      <c r="FN552" s="44" t="str">
        <f>IF(Table1[Leaving Date]="","",IF(Table1[Date of Initial Assessment]="","",IF(AND(Table1[Leaving Date]&gt;42094,Table1[Leaving Date]&lt;42461),IF(Table1[Date of Last Assessment]="",Table1[Social Networks and Relationships],Table1[Social Networks and Relationships2]),"")))</f>
        <v/>
      </c>
      <c r="FO552" s="44" t="str">
        <f>IF(Table1[Leaving Date]="","",IF(Table1[Date of Initial Assessment]="","",IF(AND(Table1[Leaving Date]&gt;42094,Table1[Leaving Date]&lt;42461),IF(Table1[Date of Last Assessment]="",Table1[Drug and Alcohol Misuse],Table1[Drug and Alcohol Misuse2]),"")))</f>
        <v/>
      </c>
      <c r="FP552" s="44" t="str">
        <f>IF(Table1[Leaving Date]="","",IF(Table1[Date of Initial Assessment]="","",IF(AND(Table1[Leaving Date]&gt;42094,Table1[Leaving Date]&lt;42461),IF(Table1[Date of Last Assessment]="",Table1[Physical Health],Table1[Physical Health2]),"")))</f>
        <v/>
      </c>
      <c r="FQ552" s="44" t="str">
        <f>IF(Table1[Leaving Date]="","",IF(Table1[Date of Initial Assessment]="","",IF(AND(Table1[Leaving Date]&gt;42094,Table1[Leaving Date]&lt;42461),IF(Table1[Date of Last Assessment]="",Table1[Emotional and Mental Health],Table1[Emotional and Mental Health2]),"")))</f>
        <v/>
      </c>
      <c r="FR552" s="44" t="str">
        <f>IF(Table1[Leaving Date]="","",IF(Table1[Date of Initial Assessment]="","",IF(AND(Table1[Leaving Date]&gt;42094,Table1[Leaving Date]&lt;42461),IF(Table1[Date of Last Assessment]="",Table1[Meaningful Use of Time],Table1[Meaningful Use of Time2]),"")))</f>
        <v/>
      </c>
      <c r="FS552" s="44" t="str">
        <f>IF(Table1[Leaving Date]="","",IF(Table1[Date of Initial Assessment]="","",IF(AND(Table1[Leaving Date]&gt;42094,Table1[Leaving Date]&lt;42461),IF(Table1[Date of Last Assessment]="",Table1[Managing Tenancy and Accommodation],Table1[Managing Tenancy and Accommodation2]),"")))</f>
        <v/>
      </c>
      <c r="FT552" s="44" t="str">
        <f>IF(Table1[Leaving Date]="","",IF(Table1[Date of Initial Assessment]="","",IF(AND(Table1[Leaving Date]&gt;42094,Table1[Leaving Date]&lt;42461),IF(Table1[Date of Last Assessment]="",Table1[Offending],Table1[Offending2]),"")))</f>
        <v/>
      </c>
      <c r="FU552" s="44" t="str">
        <f>IF(Table1[Date of Initial Assessment]="","",IF(AND(Table1[Start Date]&gt;42460,Table1[Start Date]&lt;42826),Table1[Motivation and Taking Responsibility],""))</f>
        <v/>
      </c>
      <c r="FV552" s="44" t="str">
        <f>IF(Table1[Date of Initial Assessment]="","",IF(AND(Table1[Start Date]&gt;42460,Table1[Start Date]&lt;42826),Table1[Self-Care and Living Skills],""))</f>
        <v/>
      </c>
      <c r="FW552" s="44" t="str">
        <f>IF(Table1[Date of Initial Assessment]="","",IF(AND(Table1[Start Date]&gt;42460,Table1[Start Date]&lt;42826),Table1[Managing Money and Personal Administration],""))</f>
        <v/>
      </c>
      <c r="FX552" s="44" t="str">
        <f>IF(Table1[Date of Initial Assessment]="","",IF(AND(Table1[Start Date]&gt;42460,Table1[Start Date]&lt;42826),Table1[Social Networks and Relationships],""))</f>
        <v/>
      </c>
      <c r="FY552" s="44" t="str">
        <f>IF(Table1[Date of Initial Assessment]="","",IF(AND(Table1[Start Date]&gt;42460,Table1[Start Date]&lt;42826),Table1[Drug and Alcohol Misuse],""))</f>
        <v/>
      </c>
      <c r="FZ552" s="44" t="str">
        <f>IF(Table1[Date of Initial Assessment]="","",IF(AND(Table1[Start Date]&gt;42460,Table1[Start Date]&lt;42826),Table1[Physical Health],""))</f>
        <v/>
      </c>
      <c r="GA552" s="44" t="str">
        <f>IF(Table1[Date of Initial Assessment]="","",IF(AND(Table1[Start Date]&gt;42460,Table1[Start Date]&lt;42826),Table1[Emotional and Mental Health],""))</f>
        <v/>
      </c>
      <c r="GB552" s="44" t="str">
        <f>IF(Table1[Date of Initial Assessment]="","",IF(AND(Table1[Start Date]&gt;42460,Table1[Start Date]&lt;42826),Table1[Meaningful Use of Time],""))</f>
        <v/>
      </c>
      <c r="GC552" s="44" t="str">
        <f>IF(Table1[Date of Initial Assessment]="","",IF(AND(Table1[Start Date]&gt;42460,Table1[Start Date]&lt;42826),Table1[Managing Tenancy and Accommodation],""))</f>
        <v/>
      </c>
      <c r="GD552" s="44" t="str">
        <f>IF(Table1[Date of Initial Assessment]="","",IF(AND(Table1[Start Date]&gt;42460,Table1[Start Date]&lt;42826),Table1[Offending],""))</f>
        <v/>
      </c>
      <c r="GE552" s="44" t="str">
        <f>IF(Table1[Leaving Date]="","",IF(AND(Table1[Leaving Date]&gt;42460,Table1[Leaving Date]&lt;42826),IF(Table1[Date of Last Assessment]="",Table1[Motivation and Taking Responsibility],Table1[Motivation and Taking Responsibility2]),""))</f>
        <v/>
      </c>
      <c r="GF552" s="44" t="str">
        <f>IF(Table1[Leaving Date]="","",IF(AND(Table1[Leaving Date]&gt;42460,Table1[Leaving Date]&lt;42826),IF(Table1[Date of Last Assessment]="",Table1[Self-Care and Living Skills],Table1[Self-Care and Living Skills2]),""))</f>
        <v/>
      </c>
      <c r="GG552" s="44" t="str">
        <f>IF(Table1[Leaving Date]="","",IF(AND(Table1[Leaving Date]&gt;42460,Table1[Leaving Date]&lt;42826),IF(Table1[Date of Last Assessment]="",Table1[Managing Money and Personal Administration],Table1[Managing Money and Personal Administration2]),""))</f>
        <v/>
      </c>
      <c r="GH552" s="44" t="str">
        <f>IF(Table1[Leaving Date]="","",IF(AND(Table1[Leaving Date]&gt;42460,Table1[Leaving Date]&lt;42826),IF(Table1[Date of Last Assessment]="",Table1[Social Networks and Relationships],Table1[Social Networks and Relationships2]),""))</f>
        <v/>
      </c>
      <c r="GI552" s="44" t="str">
        <f>IF(Table1[Leaving Date]="","",IF(AND(Table1[Leaving Date]&gt;42460,Table1[Leaving Date]&lt;42826),IF(Table1[Date of Last Assessment]="",Table1[Drug and Alcohol Misuse],Table1[Drug and Alcohol Misuse2]),""))</f>
        <v/>
      </c>
      <c r="GJ552" s="44" t="str">
        <f>IF(Table1[Leaving Date]="","",IF(AND(Table1[Leaving Date]&gt;42460,Table1[Leaving Date]&lt;42826),IF(Table1[Date of Last Assessment]="",Table1[Physical Health],Table1[Physical Health2]),""))</f>
        <v/>
      </c>
      <c r="GK552" s="44" t="str">
        <f>IF(Table1[Leaving Date]="","",IF(AND(Table1[Leaving Date]&gt;42460,Table1[Leaving Date]&lt;42826),IF(Table1[Date of Last Assessment]="",Table1[Emotional and Mental Health],Table1[Emotional and Mental Health2]),""))</f>
        <v/>
      </c>
      <c r="GL552" s="44" t="str">
        <f>IF(Table1[Leaving Date]="","",IF(AND(Table1[Leaving Date]&gt;42460,Table1[Leaving Date]&lt;42826),IF(Table1[Date of Last Assessment]="",Table1[Meaningful Use of Time],Table1[Meaningful Use of Time2]),""))</f>
        <v/>
      </c>
      <c r="GM552" s="44" t="str">
        <f>IF(Table1[Leaving Date]="","",IF(AND(Table1[Leaving Date]&gt;42460,Table1[Leaving Date]&lt;42826),IF(Table1[Date of Last Assessment]="",Table1[Managing Tenancy and Accommodation],Table1[Managing Tenancy and Accommodation2]),""))</f>
        <v/>
      </c>
      <c r="GN552" s="44" t="str">
        <f>IF(Table1[Leaving Date]="","",IF(AND(Table1[Leaving Date]&gt;42460,Table1[Leaving Date]&lt;42826),IF(Table1[Date of Last Assessment]="",Table1[Offending],Table1[Offending2]),""))</f>
        <v/>
      </c>
    </row>
    <row r="553" spans="2:196" ht="20.100000000000001" customHeight="1" x14ac:dyDescent="0.2">
      <c r="B553" s="86">
        <f>+'Service Data'!$C$5:$C$5</f>
        <v>0</v>
      </c>
      <c r="C553" s="86"/>
      <c r="D553" s="86"/>
      <c r="E553" s="86"/>
      <c r="F553" s="86"/>
      <c r="G553" s="86"/>
      <c r="H553" s="6"/>
      <c r="I553" s="99" t="str">
        <f ca="1">IF(Table1[[#This Row],[Date of Birth]]="","",SUM(TODAY()-Table1[[#This Row],[Date of Birth]])/365)</f>
        <v/>
      </c>
      <c r="L553" s="86"/>
      <c r="M553" s="77"/>
      <c r="N553" s="86"/>
      <c r="O553" s="86"/>
      <c r="P553" s="91"/>
      <c r="Q553" s="86"/>
      <c r="R553" s="77"/>
      <c r="S553" s="77"/>
      <c r="T553" s="68"/>
      <c r="U553" s="68"/>
      <c r="V553" s="67"/>
      <c r="W553" s="67"/>
      <c r="X553" s="67"/>
      <c r="Y553" s="67"/>
      <c r="Z553" s="67"/>
      <c r="AA553" s="67"/>
      <c r="AB553" s="67"/>
      <c r="AC553" s="67"/>
      <c r="AD553" s="67"/>
      <c r="AE553" s="67"/>
      <c r="AF553" s="67"/>
      <c r="AG553" s="67"/>
      <c r="AH553" s="67"/>
      <c r="AI553" s="67"/>
      <c r="AJ553" s="67"/>
      <c r="AK553" s="67"/>
      <c r="AL553" s="67"/>
      <c r="AM553" s="67"/>
      <c r="AN553" s="77"/>
      <c r="AO553" s="76"/>
      <c r="AP553" s="77"/>
      <c r="AQ553" s="76"/>
      <c r="AR553" s="76"/>
      <c r="AS553" s="76"/>
      <c r="AT553" s="76"/>
      <c r="AU553" s="76"/>
      <c r="AV553" s="77"/>
      <c r="AW553" s="76"/>
      <c r="AX553" s="77"/>
      <c r="AY553" s="76"/>
      <c r="AZ553" s="76"/>
      <c r="BA553" s="76"/>
      <c r="BB553" s="76"/>
      <c r="BC553" s="76"/>
      <c r="BD553" s="77"/>
      <c r="BE553" s="76"/>
      <c r="BF553" s="77"/>
      <c r="BG553" s="76"/>
      <c r="BH553" s="76"/>
      <c r="BI553" s="76"/>
      <c r="BJ553" s="76"/>
      <c r="BK553" s="76"/>
      <c r="BL553" s="77"/>
      <c r="BM553" s="76"/>
      <c r="BN553" s="77"/>
      <c r="BO553" s="76"/>
      <c r="BP553" s="76"/>
      <c r="BQ553" s="76"/>
      <c r="BR553" s="76"/>
      <c r="BS553" s="76"/>
      <c r="BT553" s="77"/>
      <c r="BU553" s="76"/>
      <c r="BV553" s="77"/>
      <c r="BW553" s="76"/>
      <c r="BX553" s="76"/>
      <c r="BY553" s="76"/>
      <c r="BZ553" s="76"/>
      <c r="CA553" s="76"/>
      <c r="CB553" s="77"/>
      <c r="CC553" s="76"/>
      <c r="CD553" s="77"/>
      <c r="CE553" s="76"/>
      <c r="CF553" s="76"/>
      <c r="CG553" s="76"/>
      <c r="CH553" s="76"/>
      <c r="CI553" s="76"/>
      <c r="CJ553" s="77"/>
      <c r="CK553" s="76"/>
      <c r="CL553" s="77"/>
      <c r="CM553" s="76"/>
      <c r="CN553" s="76"/>
      <c r="CO553" s="76"/>
      <c r="CP553" s="76"/>
      <c r="CQ553" s="76"/>
      <c r="CR553" s="78" t="str">
        <f t="shared" si="143"/>
        <v/>
      </c>
      <c r="CS553" s="79" t="str">
        <f t="shared" si="144"/>
        <v/>
      </c>
      <c r="CT553" s="79" t="str">
        <f t="shared" si="145"/>
        <v/>
      </c>
      <c r="CU553" s="79" t="str">
        <f t="shared" si="146"/>
        <v/>
      </c>
      <c r="CV553" s="79" t="str">
        <f t="shared" si="147"/>
        <v/>
      </c>
      <c r="CW553" s="79" t="str">
        <f t="shared" si="148"/>
        <v/>
      </c>
      <c r="CX553" s="79" t="str">
        <f t="shared" si="149"/>
        <v/>
      </c>
      <c r="CY553" s="79" t="str">
        <f t="shared" si="150"/>
        <v/>
      </c>
      <c r="CZ553" s="79" t="str">
        <f t="shared" si="151"/>
        <v/>
      </c>
      <c r="DA553" s="79" t="str">
        <f t="shared" si="152"/>
        <v/>
      </c>
      <c r="DB553" s="79" t="str">
        <f t="shared" si="153"/>
        <v/>
      </c>
      <c r="DC553" s="79" t="str">
        <f t="shared" si="154"/>
        <v/>
      </c>
      <c r="DD553" s="79" t="str">
        <f t="shared" si="155"/>
        <v/>
      </c>
      <c r="DE553" s="79" t="str">
        <f t="shared" si="156"/>
        <v/>
      </c>
      <c r="DF553" s="79" t="str">
        <f t="shared" si="157"/>
        <v/>
      </c>
      <c r="DG553" s="79" t="str">
        <f t="shared" si="158"/>
        <v/>
      </c>
      <c r="DH553" s="76"/>
      <c r="DI553" s="78"/>
      <c r="DJ553" s="76"/>
      <c r="DK553" s="77"/>
      <c r="DL553" s="77"/>
      <c r="DM553" s="77"/>
      <c r="DN553" s="80"/>
      <c r="DO553" s="80"/>
      <c r="DP553" s="92" t="str">
        <f>IF(Table1[Start Date]="","",IF(Table1[Start Date]&gt;42185,"",IF(AND(Table1[Leaving Date]&gt;1,Table1[Leaving Date]&lt;42095),"",1)))</f>
        <v/>
      </c>
      <c r="DQ553" s="92" t="str">
        <f>IF(Table1[Start Date]="","",IF(Table1[Start Date]&gt;42277,"",IF(AND(Table1[Leaving Date]&gt;1,Table1[Leaving Date]&lt;42186),"",1)))</f>
        <v/>
      </c>
      <c r="DR553" s="92" t="str">
        <f>IF(Table1[Start Date]="","",IF(Table1[Start Date]&gt;42369,"",IF(AND(Table1[Leaving Date]&gt;1,Table1[Leaving Date]&lt;42278),"",1)))</f>
        <v/>
      </c>
      <c r="DS553" s="92" t="str">
        <f>IF(Table1[Start Date]="","",IF(Table1[Start Date]&gt;42460,"",IF(AND(Table1[Leaving Date]&gt;1,Table1[Leaving Date]&lt;42370),"",1)))</f>
        <v/>
      </c>
      <c r="DT553" s="92" t="str">
        <f>IF(Table1[Start Date]="","",IF(Table1[Start Date]&gt;42551,"",IF(AND(Table1[Leaving Date]&gt;1,Table1[Leaving Date]&lt;42461),"",1)))</f>
        <v/>
      </c>
      <c r="DU553" s="92" t="str">
        <f>IF(Table1[Start Date]="","",IF(Table1[Start Date]&gt;42643,"",IF(AND(Table1[Leaving Date]&gt;1,Table1[Leaving Date]&lt;42552),"",1)))</f>
        <v/>
      </c>
      <c r="DV553" s="92" t="str">
        <f>IF(Table1[Start Date]="","",IF(Table1[Start Date]&gt;42735,"",IF(AND(Table1[Leaving Date]&gt;1,Table1[Leaving Date]&lt;42644),"",1)))</f>
        <v/>
      </c>
      <c r="DW553" s="92" t="str">
        <f>IF(Table1[Start Date]="","",IF(Table1[Start Date]&gt;42825,"",IF(AND(Table1[Leaving Date]&gt;1,Table1[Leaving Date]&lt;42736),"",1)))</f>
        <v/>
      </c>
      <c r="DX553"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553" s="44" t="e">
        <f>VLOOKUP(Table1[Referral Source],Lists!$G$2:$H$20,2,FALSE)</f>
        <v>#N/A</v>
      </c>
      <c r="DZ553" s="93" t="e">
        <f>SUM(Table1[Data Referral Quarter]+Table1[Data Referral Source])</f>
        <v>#N/A</v>
      </c>
      <c r="EA553" s="44" t="b">
        <f>IF(Table1[Referral Decision]="Accepted",100,IF(Table1[Referral Decision]="Rejected by Provider",200,IF(Table1[Referral Decision]="Rejected by Applicant",300)))</f>
        <v>0</v>
      </c>
      <c r="EB553" s="44">
        <f>SUM(Table1[Data Referral Quarter]+Table1[Data Referral Decision])</f>
        <v>0</v>
      </c>
      <c r="EC553" s="44" t="b">
        <f>IF(Table1[Start Date]&gt;42735,8000,IF(Table1[Start Date]&gt;42643,7000,IF(Table1[Start Date]&gt;42551,6000,IF(Table1[Start Date]&gt;42460,5000,IF(Table1[Start Date]&gt;42369,4000,IF(Table1[Start Date]&gt;42277,3000,IF(Table1[Start Date]&gt;42185,2000,IF(Table1[Start Date]&gt;42094,1000))))))))</f>
        <v>0</v>
      </c>
      <c r="ED553" s="44" t="str">
        <f>IF(Table1[Start Date]="","",IF(Table1[Current Local Authority]="Swindon",1,"2"))</f>
        <v/>
      </c>
      <c r="EE553" s="44" t="e">
        <f>SUM(Table1[Data Start Date]+Table1[Data Local Authority])</f>
        <v>#VALUE!</v>
      </c>
      <c r="EF553" s="44">
        <f>IF(Table1[Registered with GP]="Yes",1,0)</f>
        <v>0</v>
      </c>
      <c r="EG553" s="44">
        <f>SUM(Table1[Data Start Date]+Table1[Data GP Start])</f>
        <v>0</v>
      </c>
      <c r="EH553" s="44" t="str">
        <f>IF(Table1[EET]="NEET",1,IF(Table1[EET]="Education",2,IF(Table1[EET]="Employment",2,IF(Table1[EET]="Training",2,IF(Table1[EET]="Retired",3,"")))))</f>
        <v/>
      </c>
      <c r="EI553" s="44" t="e">
        <f>Table1[Data Start Date]+Table1[Data EET Start]</f>
        <v>#VALUE!</v>
      </c>
      <c r="EJ553" s="44" t="b">
        <f>IF(Table1[Leaving Date]&gt;42735,8000,IF(Table1[Leaving Date]&gt;42643,7000,IF(Table1[Leaving Date]&gt;42551,6000,IF(Table1[Leaving Date]&gt;42460,5000,IF(Table1[Leaving Date]&gt;42369,4000,IF(Table1[Leaving Date]&gt;42277,3000,IF(Table1[Leaving Date]&gt;42185,2000,IF(Table1[Leaving Date]&gt;42094,1000))))))))</f>
        <v>0</v>
      </c>
      <c r="EK553" s="44" t="e">
        <f>VLOOKUP(Table1[Reason for Leaving],Lists!$T$2:$U$15,2,FALSE)</f>
        <v>#N/A</v>
      </c>
      <c r="EL553" s="44" t="e">
        <f>SUM(Table1[Data Leavers Date]+Table1[Data Move On])</f>
        <v>#N/A</v>
      </c>
      <c r="EM553" s="44" t="b">
        <f>IF(Table1[Registered with GP2]="Yes",1,IF(Table1[Registered with GP2]="No",0,IF(Table1[Registered with GP]="Yes",1,IF(Table1[Registered with GP]="No",0))))</f>
        <v>0</v>
      </c>
      <c r="EN553" s="44">
        <f>SUM(Table1[Data Leavers Date]+Table1[Data GP End])</f>
        <v>0</v>
      </c>
      <c r="EO553" s="44" t="str">
        <f>IF(Table1[EET2]="NEET",1,IF(Table1[EET2]="Employment",2,IF(Table1[EET2]="Education",2,IF(Table1[EET2]="Training",2,IF(Table1[EET2]="Retired",3,IF(Table1[EET]="NEET",1,IF(Table1[EET]="Employment",2,IF(Table1[EET]="Education",2,IF(Table1[EET]="Training",2,IF(Table1[EET]="Retired",3,""))))))))))</f>
        <v/>
      </c>
      <c r="EP553" s="44" t="e">
        <f>+Table1[[#This Row],[Data Leavers Date]]+Table1[[#This Row],[Data EET End]]</f>
        <v>#VALUE!</v>
      </c>
      <c r="EQ553" s="44">
        <f>IF(Table1[Exit Form Received]="Yes",1,0)</f>
        <v>0</v>
      </c>
      <c r="ER553" s="44">
        <f>+Table1[[#This Row],[Data Leavers Date]]+Table1[[#This Row],[Data Exit Forms]]</f>
        <v>0</v>
      </c>
      <c r="ES553" s="44" t="str">
        <f>IF(Table1[Data Leavers Date]=1000,SUM(Table1[Leaving Date]-Table1[Start Date]),"")</f>
        <v/>
      </c>
      <c r="ET553" s="44" t="str">
        <f>IF(Table1[Data Leavers Date]=2000,SUM(Table1[Leaving Date]-Table1[Start Date]),"")</f>
        <v/>
      </c>
      <c r="EU553" s="44" t="str">
        <f>IF(Table1[Data Leavers Date]=3000,SUM(Table1[Leaving Date]-Table1[Start Date]),"")</f>
        <v/>
      </c>
      <c r="EV553" s="44" t="str">
        <f>IF(Table1[Data Leavers Date]=4000,SUM(Table1[Leaving Date]-Table1[Start Date]),"")</f>
        <v/>
      </c>
      <c r="EW553" s="44" t="str">
        <f>IF(Table1[Data Leavers Date]=5000,SUM(Table1[Leaving Date]-Table1[Start Date]),"")</f>
        <v/>
      </c>
      <c r="EX553" s="44" t="str">
        <f>IF(Table1[Data Leavers Date]=6000,SUM(Table1[Leaving Date]-Table1[Start Date]),"")</f>
        <v/>
      </c>
      <c r="EY553" s="44" t="str">
        <f>IF(Table1[Data Leavers Date]=7000,SUM(Table1[Leaving Date]-Table1[Start Date]),"")</f>
        <v/>
      </c>
      <c r="EZ553" s="44" t="str">
        <f>IF(Table1[Data Leavers Date]=8000,SUM(Table1[Leaving Date]-Table1[Start Date]),"")</f>
        <v/>
      </c>
      <c r="FA553" s="44" t="str">
        <f>IF(Table1[Date of Initial Assessment]="","",IF(AND(Table1[Start Date]&gt;42094,Table1[Start Date]&lt;42461),Table1[Motivation and Taking Responsibility],""))</f>
        <v/>
      </c>
      <c r="FB553" s="44" t="str">
        <f>IF(Table1[Date of Initial Assessment]="","",IF(AND(Table1[Start Date]&gt;42094,Table1[Start Date]&lt;42461),Table1[Self-Care and Living Skills],""))</f>
        <v/>
      </c>
      <c r="FC553" s="44" t="str">
        <f>IF(Table1[Date of Initial Assessment]="","",IF(AND(Table1[Start Date]&gt;42094,Table1[Start Date]&lt;42461),Table1[Managing Money and Personal Administration],""))</f>
        <v/>
      </c>
      <c r="FD553" s="44" t="str">
        <f>IF(Table1[Date of Initial Assessment]="","",IF(AND(Table1[Start Date]&gt;42094,Table1[Start Date]&lt;42461),Table1[Social Networks and Relationships],""))</f>
        <v/>
      </c>
      <c r="FE553" s="44" t="str">
        <f>IF(Table1[Date of Initial Assessment]="","",IF(AND(Table1[Start Date]&gt;42094,Table1[Start Date]&lt;42461),Table1[Drug and Alcohol Misuse],""))</f>
        <v/>
      </c>
      <c r="FF553" s="44" t="str">
        <f>IF(Table1[Date of Initial Assessment]="","",IF(AND(Table1[Start Date]&gt;42094,Table1[Start Date]&lt;42461),Table1[Physical Health],""))</f>
        <v/>
      </c>
      <c r="FG553" s="44" t="str">
        <f>IF(Table1[Date of Initial Assessment]="","",IF(AND(Table1[Start Date]&gt;42094,Table1[Start Date]&lt;42461),Table1[Emotional and Mental Health],""))</f>
        <v/>
      </c>
      <c r="FH553" s="44" t="str">
        <f>IF(Table1[Date of Initial Assessment]="","",IF(AND(Table1[Start Date]&gt;42094,Table1[Start Date]&lt;42461),Table1[Meaningful Use of Time],""))</f>
        <v/>
      </c>
      <c r="FI553" s="44" t="str">
        <f>IF(Table1[Date of Initial Assessment]="","",IF(AND(Table1[Start Date]&gt;42094,Table1[Start Date]&lt;42461),Table1[Managing Tenancy and Accommodation],""))</f>
        <v/>
      </c>
      <c r="FJ553" s="44" t="str">
        <f>IF(Table1[Date of Initial Assessment]="","",IF(AND(Table1[Start Date]&gt;42094,Table1[Start Date]&lt;42461),Table1[Offending],""))</f>
        <v/>
      </c>
      <c r="FK553" s="44" t="str">
        <f>IF(Table1[Leaving Date]="","",IF(Table1[Date of Initial Assessment]="","",IF(AND(Table1[Leaving Date]&gt;42094,Table1[Leaving Date]&lt;42461),IF(Table1[Date of Last Assessment]="",Table1[Motivation and Taking Responsibility],Table1[Motivation and Taking Responsibility2]),"")))</f>
        <v/>
      </c>
      <c r="FL553" s="44" t="str">
        <f>IF(Table1[Leaving Date]="","",IF(Table1[Date of Initial Assessment]="","",IF(AND(Table1[Leaving Date]&gt;42094,Table1[Leaving Date]&lt;42461),IF(Table1[Date of Last Assessment]="",Table1[Self-Care and Living Skills],Table1[Self-Care and Living Skills2]),"")))</f>
        <v/>
      </c>
      <c r="FM553" s="44" t="str">
        <f>IF(Table1[Leaving Date]="","",IF(Table1[Date of Initial Assessment]="","",IF(AND(Table1[Leaving Date]&gt;42094,Table1[Leaving Date]&lt;42461),IF(Table1[Date of Last Assessment]="",Table1[Managing Money and Personal Administration],Table1[Managing Money and Personal Administration2]),"")))</f>
        <v/>
      </c>
      <c r="FN553" s="44" t="str">
        <f>IF(Table1[Leaving Date]="","",IF(Table1[Date of Initial Assessment]="","",IF(AND(Table1[Leaving Date]&gt;42094,Table1[Leaving Date]&lt;42461),IF(Table1[Date of Last Assessment]="",Table1[Social Networks and Relationships],Table1[Social Networks and Relationships2]),"")))</f>
        <v/>
      </c>
      <c r="FO553" s="44" t="str">
        <f>IF(Table1[Leaving Date]="","",IF(Table1[Date of Initial Assessment]="","",IF(AND(Table1[Leaving Date]&gt;42094,Table1[Leaving Date]&lt;42461),IF(Table1[Date of Last Assessment]="",Table1[Drug and Alcohol Misuse],Table1[Drug and Alcohol Misuse2]),"")))</f>
        <v/>
      </c>
      <c r="FP553" s="44" t="str">
        <f>IF(Table1[Leaving Date]="","",IF(Table1[Date of Initial Assessment]="","",IF(AND(Table1[Leaving Date]&gt;42094,Table1[Leaving Date]&lt;42461),IF(Table1[Date of Last Assessment]="",Table1[Physical Health],Table1[Physical Health2]),"")))</f>
        <v/>
      </c>
      <c r="FQ553" s="44" t="str">
        <f>IF(Table1[Leaving Date]="","",IF(Table1[Date of Initial Assessment]="","",IF(AND(Table1[Leaving Date]&gt;42094,Table1[Leaving Date]&lt;42461),IF(Table1[Date of Last Assessment]="",Table1[Emotional and Mental Health],Table1[Emotional and Mental Health2]),"")))</f>
        <v/>
      </c>
      <c r="FR553" s="44" t="str">
        <f>IF(Table1[Leaving Date]="","",IF(Table1[Date of Initial Assessment]="","",IF(AND(Table1[Leaving Date]&gt;42094,Table1[Leaving Date]&lt;42461),IF(Table1[Date of Last Assessment]="",Table1[Meaningful Use of Time],Table1[Meaningful Use of Time2]),"")))</f>
        <v/>
      </c>
      <c r="FS553" s="44" t="str">
        <f>IF(Table1[Leaving Date]="","",IF(Table1[Date of Initial Assessment]="","",IF(AND(Table1[Leaving Date]&gt;42094,Table1[Leaving Date]&lt;42461),IF(Table1[Date of Last Assessment]="",Table1[Managing Tenancy and Accommodation],Table1[Managing Tenancy and Accommodation2]),"")))</f>
        <v/>
      </c>
      <c r="FT553" s="44" t="str">
        <f>IF(Table1[Leaving Date]="","",IF(Table1[Date of Initial Assessment]="","",IF(AND(Table1[Leaving Date]&gt;42094,Table1[Leaving Date]&lt;42461),IF(Table1[Date of Last Assessment]="",Table1[Offending],Table1[Offending2]),"")))</f>
        <v/>
      </c>
      <c r="FU553" s="44" t="str">
        <f>IF(Table1[Date of Initial Assessment]="","",IF(AND(Table1[Start Date]&gt;42460,Table1[Start Date]&lt;42826),Table1[Motivation and Taking Responsibility],""))</f>
        <v/>
      </c>
      <c r="FV553" s="44" t="str">
        <f>IF(Table1[Date of Initial Assessment]="","",IF(AND(Table1[Start Date]&gt;42460,Table1[Start Date]&lt;42826),Table1[Self-Care and Living Skills],""))</f>
        <v/>
      </c>
      <c r="FW553" s="44" t="str">
        <f>IF(Table1[Date of Initial Assessment]="","",IF(AND(Table1[Start Date]&gt;42460,Table1[Start Date]&lt;42826),Table1[Managing Money and Personal Administration],""))</f>
        <v/>
      </c>
      <c r="FX553" s="44" t="str">
        <f>IF(Table1[Date of Initial Assessment]="","",IF(AND(Table1[Start Date]&gt;42460,Table1[Start Date]&lt;42826),Table1[Social Networks and Relationships],""))</f>
        <v/>
      </c>
      <c r="FY553" s="44" t="str">
        <f>IF(Table1[Date of Initial Assessment]="","",IF(AND(Table1[Start Date]&gt;42460,Table1[Start Date]&lt;42826),Table1[Drug and Alcohol Misuse],""))</f>
        <v/>
      </c>
      <c r="FZ553" s="44" t="str">
        <f>IF(Table1[Date of Initial Assessment]="","",IF(AND(Table1[Start Date]&gt;42460,Table1[Start Date]&lt;42826),Table1[Physical Health],""))</f>
        <v/>
      </c>
      <c r="GA553" s="44" t="str">
        <f>IF(Table1[Date of Initial Assessment]="","",IF(AND(Table1[Start Date]&gt;42460,Table1[Start Date]&lt;42826),Table1[Emotional and Mental Health],""))</f>
        <v/>
      </c>
      <c r="GB553" s="44" t="str">
        <f>IF(Table1[Date of Initial Assessment]="","",IF(AND(Table1[Start Date]&gt;42460,Table1[Start Date]&lt;42826),Table1[Meaningful Use of Time],""))</f>
        <v/>
      </c>
      <c r="GC553" s="44" t="str">
        <f>IF(Table1[Date of Initial Assessment]="","",IF(AND(Table1[Start Date]&gt;42460,Table1[Start Date]&lt;42826),Table1[Managing Tenancy and Accommodation],""))</f>
        <v/>
      </c>
      <c r="GD553" s="44" t="str">
        <f>IF(Table1[Date of Initial Assessment]="","",IF(AND(Table1[Start Date]&gt;42460,Table1[Start Date]&lt;42826),Table1[Offending],""))</f>
        <v/>
      </c>
      <c r="GE553" s="44" t="str">
        <f>IF(Table1[Leaving Date]="","",IF(AND(Table1[Leaving Date]&gt;42460,Table1[Leaving Date]&lt;42826),IF(Table1[Date of Last Assessment]="",Table1[Motivation and Taking Responsibility],Table1[Motivation and Taking Responsibility2]),""))</f>
        <v/>
      </c>
      <c r="GF553" s="44" t="str">
        <f>IF(Table1[Leaving Date]="","",IF(AND(Table1[Leaving Date]&gt;42460,Table1[Leaving Date]&lt;42826),IF(Table1[Date of Last Assessment]="",Table1[Self-Care and Living Skills],Table1[Self-Care and Living Skills2]),""))</f>
        <v/>
      </c>
      <c r="GG553" s="44" t="str">
        <f>IF(Table1[Leaving Date]="","",IF(AND(Table1[Leaving Date]&gt;42460,Table1[Leaving Date]&lt;42826),IF(Table1[Date of Last Assessment]="",Table1[Managing Money and Personal Administration],Table1[Managing Money and Personal Administration2]),""))</f>
        <v/>
      </c>
      <c r="GH553" s="44" t="str">
        <f>IF(Table1[Leaving Date]="","",IF(AND(Table1[Leaving Date]&gt;42460,Table1[Leaving Date]&lt;42826),IF(Table1[Date of Last Assessment]="",Table1[Social Networks and Relationships],Table1[Social Networks and Relationships2]),""))</f>
        <v/>
      </c>
      <c r="GI553" s="44" t="str">
        <f>IF(Table1[Leaving Date]="","",IF(AND(Table1[Leaving Date]&gt;42460,Table1[Leaving Date]&lt;42826),IF(Table1[Date of Last Assessment]="",Table1[Drug and Alcohol Misuse],Table1[Drug and Alcohol Misuse2]),""))</f>
        <v/>
      </c>
      <c r="GJ553" s="44" t="str">
        <f>IF(Table1[Leaving Date]="","",IF(AND(Table1[Leaving Date]&gt;42460,Table1[Leaving Date]&lt;42826),IF(Table1[Date of Last Assessment]="",Table1[Physical Health],Table1[Physical Health2]),""))</f>
        <v/>
      </c>
      <c r="GK553" s="44" t="str">
        <f>IF(Table1[Leaving Date]="","",IF(AND(Table1[Leaving Date]&gt;42460,Table1[Leaving Date]&lt;42826),IF(Table1[Date of Last Assessment]="",Table1[Emotional and Mental Health],Table1[Emotional and Mental Health2]),""))</f>
        <v/>
      </c>
      <c r="GL553" s="44" t="str">
        <f>IF(Table1[Leaving Date]="","",IF(AND(Table1[Leaving Date]&gt;42460,Table1[Leaving Date]&lt;42826),IF(Table1[Date of Last Assessment]="",Table1[Meaningful Use of Time],Table1[Meaningful Use of Time2]),""))</f>
        <v/>
      </c>
      <c r="GM553" s="44" t="str">
        <f>IF(Table1[Leaving Date]="","",IF(AND(Table1[Leaving Date]&gt;42460,Table1[Leaving Date]&lt;42826),IF(Table1[Date of Last Assessment]="",Table1[Managing Tenancy and Accommodation],Table1[Managing Tenancy and Accommodation2]),""))</f>
        <v/>
      </c>
      <c r="GN553" s="44" t="str">
        <f>IF(Table1[Leaving Date]="","",IF(AND(Table1[Leaving Date]&gt;42460,Table1[Leaving Date]&lt;42826),IF(Table1[Date of Last Assessment]="",Table1[Offending],Table1[Offending2]),""))</f>
        <v/>
      </c>
    </row>
    <row r="554" spans="2:196" ht="20.100000000000001" customHeight="1" x14ac:dyDescent="0.2">
      <c r="B554" s="86">
        <f>+'Service Data'!$C$5:$C$5</f>
        <v>0</v>
      </c>
      <c r="C554" s="86"/>
      <c r="D554" s="86"/>
      <c r="E554" s="86"/>
      <c r="F554" s="86"/>
      <c r="G554" s="86"/>
      <c r="H554" s="6"/>
      <c r="I554" s="99" t="str">
        <f ca="1">IF(Table1[[#This Row],[Date of Birth]]="","",SUM(TODAY()-Table1[[#This Row],[Date of Birth]])/365)</f>
        <v/>
      </c>
      <c r="L554" s="86"/>
      <c r="M554" s="77"/>
      <c r="N554" s="86"/>
      <c r="O554" s="86"/>
      <c r="P554" s="91"/>
      <c r="Q554" s="86"/>
      <c r="R554" s="77"/>
      <c r="S554" s="77"/>
      <c r="T554" s="68"/>
      <c r="U554" s="68"/>
      <c r="V554" s="67"/>
      <c r="W554" s="67"/>
      <c r="X554" s="67"/>
      <c r="Y554" s="67"/>
      <c r="Z554" s="67"/>
      <c r="AA554" s="67"/>
      <c r="AB554" s="67"/>
      <c r="AC554" s="67"/>
      <c r="AD554" s="67"/>
      <c r="AE554" s="67"/>
      <c r="AF554" s="67"/>
      <c r="AG554" s="67"/>
      <c r="AH554" s="67"/>
      <c r="AI554" s="67"/>
      <c r="AJ554" s="67"/>
      <c r="AK554" s="67"/>
      <c r="AL554" s="67"/>
      <c r="AM554" s="67"/>
      <c r="AN554" s="77"/>
      <c r="AO554" s="76"/>
      <c r="AP554" s="77"/>
      <c r="AQ554" s="76"/>
      <c r="AR554" s="76"/>
      <c r="AS554" s="76"/>
      <c r="AT554" s="76"/>
      <c r="AU554" s="76"/>
      <c r="AV554" s="77"/>
      <c r="AW554" s="76"/>
      <c r="AX554" s="77"/>
      <c r="AY554" s="76"/>
      <c r="AZ554" s="76"/>
      <c r="BA554" s="76"/>
      <c r="BB554" s="76"/>
      <c r="BC554" s="76"/>
      <c r="BD554" s="77"/>
      <c r="BE554" s="76"/>
      <c r="BF554" s="77"/>
      <c r="BG554" s="76"/>
      <c r="BH554" s="76"/>
      <c r="BI554" s="76"/>
      <c r="BJ554" s="76"/>
      <c r="BK554" s="76"/>
      <c r="BL554" s="77"/>
      <c r="BM554" s="76"/>
      <c r="BN554" s="77"/>
      <c r="BO554" s="76"/>
      <c r="BP554" s="76"/>
      <c r="BQ554" s="76"/>
      <c r="BR554" s="76"/>
      <c r="BS554" s="76"/>
      <c r="BT554" s="77"/>
      <c r="BU554" s="76"/>
      <c r="BV554" s="77"/>
      <c r="BW554" s="76"/>
      <c r="BX554" s="76"/>
      <c r="BY554" s="76"/>
      <c r="BZ554" s="76"/>
      <c r="CA554" s="76"/>
      <c r="CB554" s="77"/>
      <c r="CC554" s="76"/>
      <c r="CD554" s="77"/>
      <c r="CE554" s="76"/>
      <c r="CF554" s="76"/>
      <c r="CG554" s="76"/>
      <c r="CH554" s="76"/>
      <c r="CI554" s="76"/>
      <c r="CJ554" s="77"/>
      <c r="CK554" s="76"/>
      <c r="CL554" s="77"/>
      <c r="CM554" s="76"/>
      <c r="CN554" s="76"/>
      <c r="CO554" s="76"/>
      <c r="CP554" s="76"/>
      <c r="CQ554" s="76"/>
      <c r="CR554" s="78" t="str">
        <f t="shared" si="143"/>
        <v/>
      </c>
      <c r="CS554" s="79" t="str">
        <f t="shared" si="144"/>
        <v/>
      </c>
      <c r="CT554" s="79" t="str">
        <f t="shared" si="145"/>
        <v/>
      </c>
      <c r="CU554" s="79" t="str">
        <f t="shared" si="146"/>
        <v/>
      </c>
      <c r="CV554" s="79" t="str">
        <f t="shared" si="147"/>
        <v/>
      </c>
      <c r="CW554" s="79" t="str">
        <f t="shared" si="148"/>
        <v/>
      </c>
      <c r="CX554" s="79" t="str">
        <f t="shared" si="149"/>
        <v/>
      </c>
      <c r="CY554" s="79" t="str">
        <f t="shared" si="150"/>
        <v/>
      </c>
      <c r="CZ554" s="79" t="str">
        <f t="shared" si="151"/>
        <v/>
      </c>
      <c r="DA554" s="79" t="str">
        <f t="shared" si="152"/>
        <v/>
      </c>
      <c r="DB554" s="79" t="str">
        <f t="shared" si="153"/>
        <v/>
      </c>
      <c r="DC554" s="79" t="str">
        <f t="shared" si="154"/>
        <v/>
      </c>
      <c r="DD554" s="79" t="str">
        <f t="shared" si="155"/>
        <v/>
      </c>
      <c r="DE554" s="79" t="str">
        <f t="shared" si="156"/>
        <v/>
      </c>
      <c r="DF554" s="79" t="str">
        <f t="shared" si="157"/>
        <v/>
      </c>
      <c r="DG554" s="79" t="str">
        <f t="shared" si="158"/>
        <v/>
      </c>
      <c r="DH554" s="76"/>
      <c r="DI554" s="78"/>
      <c r="DJ554" s="76"/>
      <c r="DK554" s="77"/>
      <c r="DL554" s="77"/>
      <c r="DM554" s="77"/>
      <c r="DN554" s="80"/>
      <c r="DO554" s="80"/>
      <c r="DP554" s="92" t="str">
        <f>IF(Table1[Start Date]="","",IF(Table1[Start Date]&gt;42185,"",IF(AND(Table1[Leaving Date]&gt;1,Table1[Leaving Date]&lt;42095),"",1)))</f>
        <v/>
      </c>
      <c r="DQ554" s="92" t="str">
        <f>IF(Table1[Start Date]="","",IF(Table1[Start Date]&gt;42277,"",IF(AND(Table1[Leaving Date]&gt;1,Table1[Leaving Date]&lt;42186),"",1)))</f>
        <v/>
      </c>
      <c r="DR554" s="92" t="str">
        <f>IF(Table1[Start Date]="","",IF(Table1[Start Date]&gt;42369,"",IF(AND(Table1[Leaving Date]&gt;1,Table1[Leaving Date]&lt;42278),"",1)))</f>
        <v/>
      </c>
      <c r="DS554" s="92" t="str">
        <f>IF(Table1[Start Date]="","",IF(Table1[Start Date]&gt;42460,"",IF(AND(Table1[Leaving Date]&gt;1,Table1[Leaving Date]&lt;42370),"",1)))</f>
        <v/>
      </c>
      <c r="DT554" s="92" t="str">
        <f>IF(Table1[Start Date]="","",IF(Table1[Start Date]&gt;42551,"",IF(AND(Table1[Leaving Date]&gt;1,Table1[Leaving Date]&lt;42461),"",1)))</f>
        <v/>
      </c>
      <c r="DU554" s="92" t="str">
        <f>IF(Table1[Start Date]="","",IF(Table1[Start Date]&gt;42643,"",IF(AND(Table1[Leaving Date]&gt;1,Table1[Leaving Date]&lt;42552),"",1)))</f>
        <v/>
      </c>
      <c r="DV554" s="92" t="str">
        <f>IF(Table1[Start Date]="","",IF(Table1[Start Date]&gt;42735,"",IF(AND(Table1[Leaving Date]&gt;1,Table1[Leaving Date]&lt;42644),"",1)))</f>
        <v/>
      </c>
      <c r="DW554" s="92" t="str">
        <f>IF(Table1[Start Date]="","",IF(Table1[Start Date]&gt;42825,"",IF(AND(Table1[Leaving Date]&gt;1,Table1[Leaving Date]&lt;42736),"",1)))</f>
        <v/>
      </c>
      <c r="DX554"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554" s="44" t="e">
        <f>VLOOKUP(Table1[Referral Source],Lists!$G$2:$H$20,2,FALSE)</f>
        <v>#N/A</v>
      </c>
      <c r="DZ554" s="93" t="e">
        <f>SUM(Table1[Data Referral Quarter]+Table1[Data Referral Source])</f>
        <v>#N/A</v>
      </c>
      <c r="EA554" s="44" t="b">
        <f>IF(Table1[Referral Decision]="Accepted",100,IF(Table1[Referral Decision]="Rejected by Provider",200,IF(Table1[Referral Decision]="Rejected by Applicant",300)))</f>
        <v>0</v>
      </c>
      <c r="EB554" s="44">
        <f>SUM(Table1[Data Referral Quarter]+Table1[Data Referral Decision])</f>
        <v>0</v>
      </c>
      <c r="EC554" s="44" t="b">
        <f>IF(Table1[Start Date]&gt;42735,8000,IF(Table1[Start Date]&gt;42643,7000,IF(Table1[Start Date]&gt;42551,6000,IF(Table1[Start Date]&gt;42460,5000,IF(Table1[Start Date]&gt;42369,4000,IF(Table1[Start Date]&gt;42277,3000,IF(Table1[Start Date]&gt;42185,2000,IF(Table1[Start Date]&gt;42094,1000))))))))</f>
        <v>0</v>
      </c>
      <c r="ED554" s="44" t="str">
        <f>IF(Table1[Start Date]="","",IF(Table1[Current Local Authority]="Swindon",1,"2"))</f>
        <v/>
      </c>
      <c r="EE554" s="44" t="e">
        <f>SUM(Table1[Data Start Date]+Table1[Data Local Authority])</f>
        <v>#VALUE!</v>
      </c>
      <c r="EF554" s="44">
        <f>IF(Table1[Registered with GP]="Yes",1,0)</f>
        <v>0</v>
      </c>
      <c r="EG554" s="44">
        <f>SUM(Table1[Data Start Date]+Table1[Data GP Start])</f>
        <v>0</v>
      </c>
      <c r="EH554" s="44" t="str">
        <f>IF(Table1[EET]="NEET",1,IF(Table1[EET]="Education",2,IF(Table1[EET]="Employment",2,IF(Table1[EET]="Training",2,IF(Table1[EET]="Retired",3,"")))))</f>
        <v/>
      </c>
      <c r="EI554" s="44" t="e">
        <f>Table1[Data Start Date]+Table1[Data EET Start]</f>
        <v>#VALUE!</v>
      </c>
      <c r="EJ554" s="44" t="b">
        <f>IF(Table1[Leaving Date]&gt;42735,8000,IF(Table1[Leaving Date]&gt;42643,7000,IF(Table1[Leaving Date]&gt;42551,6000,IF(Table1[Leaving Date]&gt;42460,5000,IF(Table1[Leaving Date]&gt;42369,4000,IF(Table1[Leaving Date]&gt;42277,3000,IF(Table1[Leaving Date]&gt;42185,2000,IF(Table1[Leaving Date]&gt;42094,1000))))))))</f>
        <v>0</v>
      </c>
      <c r="EK554" s="44" t="e">
        <f>VLOOKUP(Table1[Reason for Leaving],Lists!$T$2:$U$15,2,FALSE)</f>
        <v>#N/A</v>
      </c>
      <c r="EL554" s="44" t="e">
        <f>SUM(Table1[Data Leavers Date]+Table1[Data Move On])</f>
        <v>#N/A</v>
      </c>
      <c r="EM554" s="44" t="b">
        <f>IF(Table1[Registered with GP2]="Yes",1,IF(Table1[Registered with GP2]="No",0,IF(Table1[Registered with GP]="Yes",1,IF(Table1[Registered with GP]="No",0))))</f>
        <v>0</v>
      </c>
      <c r="EN554" s="44">
        <f>SUM(Table1[Data Leavers Date]+Table1[Data GP End])</f>
        <v>0</v>
      </c>
      <c r="EO554" s="44" t="str">
        <f>IF(Table1[EET2]="NEET",1,IF(Table1[EET2]="Employment",2,IF(Table1[EET2]="Education",2,IF(Table1[EET2]="Training",2,IF(Table1[EET2]="Retired",3,IF(Table1[EET]="NEET",1,IF(Table1[EET]="Employment",2,IF(Table1[EET]="Education",2,IF(Table1[EET]="Training",2,IF(Table1[EET]="Retired",3,""))))))))))</f>
        <v/>
      </c>
      <c r="EP554" s="44" t="e">
        <f>+Table1[[#This Row],[Data Leavers Date]]+Table1[[#This Row],[Data EET End]]</f>
        <v>#VALUE!</v>
      </c>
      <c r="EQ554" s="44">
        <f>IF(Table1[Exit Form Received]="Yes",1,0)</f>
        <v>0</v>
      </c>
      <c r="ER554" s="44">
        <f>+Table1[[#This Row],[Data Leavers Date]]+Table1[[#This Row],[Data Exit Forms]]</f>
        <v>0</v>
      </c>
      <c r="ES554" s="44" t="str">
        <f>IF(Table1[Data Leavers Date]=1000,SUM(Table1[Leaving Date]-Table1[Start Date]),"")</f>
        <v/>
      </c>
      <c r="ET554" s="44" t="str">
        <f>IF(Table1[Data Leavers Date]=2000,SUM(Table1[Leaving Date]-Table1[Start Date]),"")</f>
        <v/>
      </c>
      <c r="EU554" s="44" t="str">
        <f>IF(Table1[Data Leavers Date]=3000,SUM(Table1[Leaving Date]-Table1[Start Date]),"")</f>
        <v/>
      </c>
      <c r="EV554" s="44" t="str">
        <f>IF(Table1[Data Leavers Date]=4000,SUM(Table1[Leaving Date]-Table1[Start Date]),"")</f>
        <v/>
      </c>
      <c r="EW554" s="44" t="str">
        <f>IF(Table1[Data Leavers Date]=5000,SUM(Table1[Leaving Date]-Table1[Start Date]),"")</f>
        <v/>
      </c>
      <c r="EX554" s="44" t="str">
        <f>IF(Table1[Data Leavers Date]=6000,SUM(Table1[Leaving Date]-Table1[Start Date]),"")</f>
        <v/>
      </c>
      <c r="EY554" s="44" t="str">
        <f>IF(Table1[Data Leavers Date]=7000,SUM(Table1[Leaving Date]-Table1[Start Date]),"")</f>
        <v/>
      </c>
      <c r="EZ554" s="44" t="str">
        <f>IF(Table1[Data Leavers Date]=8000,SUM(Table1[Leaving Date]-Table1[Start Date]),"")</f>
        <v/>
      </c>
      <c r="FA554" s="44" t="str">
        <f>IF(Table1[Date of Initial Assessment]="","",IF(AND(Table1[Start Date]&gt;42094,Table1[Start Date]&lt;42461),Table1[Motivation and Taking Responsibility],""))</f>
        <v/>
      </c>
      <c r="FB554" s="44" t="str">
        <f>IF(Table1[Date of Initial Assessment]="","",IF(AND(Table1[Start Date]&gt;42094,Table1[Start Date]&lt;42461),Table1[Self-Care and Living Skills],""))</f>
        <v/>
      </c>
      <c r="FC554" s="44" t="str">
        <f>IF(Table1[Date of Initial Assessment]="","",IF(AND(Table1[Start Date]&gt;42094,Table1[Start Date]&lt;42461),Table1[Managing Money and Personal Administration],""))</f>
        <v/>
      </c>
      <c r="FD554" s="44" t="str">
        <f>IF(Table1[Date of Initial Assessment]="","",IF(AND(Table1[Start Date]&gt;42094,Table1[Start Date]&lt;42461),Table1[Social Networks and Relationships],""))</f>
        <v/>
      </c>
      <c r="FE554" s="44" t="str">
        <f>IF(Table1[Date of Initial Assessment]="","",IF(AND(Table1[Start Date]&gt;42094,Table1[Start Date]&lt;42461),Table1[Drug and Alcohol Misuse],""))</f>
        <v/>
      </c>
      <c r="FF554" s="44" t="str">
        <f>IF(Table1[Date of Initial Assessment]="","",IF(AND(Table1[Start Date]&gt;42094,Table1[Start Date]&lt;42461),Table1[Physical Health],""))</f>
        <v/>
      </c>
      <c r="FG554" s="44" t="str">
        <f>IF(Table1[Date of Initial Assessment]="","",IF(AND(Table1[Start Date]&gt;42094,Table1[Start Date]&lt;42461),Table1[Emotional and Mental Health],""))</f>
        <v/>
      </c>
      <c r="FH554" s="44" t="str">
        <f>IF(Table1[Date of Initial Assessment]="","",IF(AND(Table1[Start Date]&gt;42094,Table1[Start Date]&lt;42461),Table1[Meaningful Use of Time],""))</f>
        <v/>
      </c>
      <c r="FI554" s="44" t="str">
        <f>IF(Table1[Date of Initial Assessment]="","",IF(AND(Table1[Start Date]&gt;42094,Table1[Start Date]&lt;42461),Table1[Managing Tenancy and Accommodation],""))</f>
        <v/>
      </c>
      <c r="FJ554" s="44" t="str">
        <f>IF(Table1[Date of Initial Assessment]="","",IF(AND(Table1[Start Date]&gt;42094,Table1[Start Date]&lt;42461),Table1[Offending],""))</f>
        <v/>
      </c>
      <c r="FK554" s="44" t="str">
        <f>IF(Table1[Leaving Date]="","",IF(Table1[Date of Initial Assessment]="","",IF(AND(Table1[Leaving Date]&gt;42094,Table1[Leaving Date]&lt;42461),IF(Table1[Date of Last Assessment]="",Table1[Motivation and Taking Responsibility],Table1[Motivation and Taking Responsibility2]),"")))</f>
        <v/>
      </c>
      <c r="FL554" s="44" t="str">
        <f>IF(Table1[Leaving Date]="","",IF(Table1[Date of Initial Assessment]="","",IF(AND(Table1[Leaving Date]&gt;42094,Table1[Leaving Date]&lt;42461),IF(Table1[Date of Last Assessment]="",Table1[Self-Care and Living Skills],Table1[Self-Care and Living Skills2]),"")))</f>
        <v/>
      </c>
      <c r="FM554" s="44" t="str">
        <f>IF(Table1[Leaving Date]="","",IF(Table1[Date of Initial Assessment]="","",IF(AND(Table1[Leaving Date]&gt;42094,Table1[Leaving Date]&lt;42461),IF(Table1[Date of Last Assessment]="",Table1[Managing Money and Personal Administration],Table1[Managing Money and Personal Administration2]),"")))</f>
        <v/>
      </c>
      <c r="FN554" s="44" t="str">
        <f>IF(Table1[Leaving Date]="","",IF(Table1[Date of Initial Assessment]="","",IF(AND(Table1[Leaving Date]&gt;42094,Table1[Leaving Date]&lt;42461),IF(Table1[Date of Last Assessment]="",Table1[Social Networks and Relationships],Table1[Social Networks and Relationships2]),"")))</f>
        <v/>
      </c>
      <c r="FO554" s="44" t="str">
        <f>IF(Table1[Leaving Date]="","",IF(Table1[Date of Initial Assessment]="","",IF(AND(Table1[Leaving Date]&gt;42094,Table1[Leaving Date]&lt;42461),IF(Table1[Date of Last Assessment]="",Table1[Drug and Alcohol Misuse],Table1[Drug and Alcohol Misuse2]),"")))</f>
        <v/>
      </c>
      <c r="FP554" s="44" t="str">
        <f>IF(Table1[Leaving Date]="","",IF(Table1[Date of Initial Assessment]="","",IF(AND(Table1[Leaving Date]&gt;42094,Table1[Leaving Date]&lt;42461),IF(Table1[Date of Last Assessment]="",Table1[Physical Health],Table1[Physical Health2]),"")))</f>
        <v/>
      </c>
      <c r="FQ554" s="44" t="str">
        <f>IF(Table1[Leaving Date]="","",IF(Table1[Date of Initial Assessment]="","",IF(AND(Table1[Leaving Date]&gt;42094,Table1[Leaving Date]&lt;42461),IF(Table1[Date of Last Assessment]="",Table1[Emotional and Mental Health],Table1[Emotional and Mental Health2]),"")))</f>
        <v/>
      </c>
      <c r="FR554" s="44" t="str">
        <f>IF(Table1[Leaving Date]="","",IF(Table1[Date of Initial Assessment]="","",IF(AND(Table1[Leaving Date]&gt;42094,Table1[Leaving Date]&lt;42461),IF(Table1[Date of Last Assessment]="",Table1[Meaningful Use of Time],Table1[Meaningful Use of Time2]),"")))</f>
        <v/>
      </c>
      <c r="FS554" s="44" t="str">
        <f>IF(Table1[Leaving Date]="","",IF(Table1[Date of Initial Assessment]="","",IF(AND(Table1[Leaving Date]&gt;42094,Table1[Leaving Date]&lt;42461),IF(Table1[Date of Last Assessment]="",Table1[Managing Tenancy and Accommodation],Table1[Managing Tenancy and Accommodation2]),"")))</f>
        <v/>
      </c>
      <c r="FT554" s="44" t="str">
        <f>IF(Table1[Leaving Date]="","",IF(Table1[Date of Initial Assessment]="","",IF(AND(Table1[Leaving Date]&gt;42094,Table1[Leaving Date]&lt;42461),IF(Table1[Date of Last Assessment]="",Table1[Offending],Table1[Offending2]),"")))</f>
        <v/>
      </c>
      <c r="FU554" s="44" t="str">
        <f>IF(Table1[Date of Initial Assessment]="","",IF(AND(Table1[Start Date]&gt;42460,Table1[Start Date]&lt;42826),Table1[Motivation and Taking Responsibility],""))</f>
        <v/>
      </c>
      <c r="FV554" s="44" t="str">
        <f>IF(Table1[Date of Initial Assessment]="","",IF(AND(Table1[Start Date]&gt;42460,Table1[Start Date]&lt;42826),Table1[Self-Care and Living Skills],""))</f>
        <v/>
      </c>
      <c r="FW554" s="44" t="str">
        <f>IF(Table1[Date of Initial Assessment]="","",IF(AND(Table1[Start Date]&gt;42460,Table1[Start Date]&lt;42826),Table1[Managing Money and Personal Administration],""))</f>
        <v/>
      </c>
      <c r="FX554" s="44" t="str">
        <f>IF(Table1[Date of Initial Assessment]="","",IF(AND(Table1[Start Date]&gt;42460,Table1[Start Date]&lt;42826),Table1[Social Networks and Relationships],""))</f>
        <v/>
      </c>
      <c r="FY554" s="44" t="str">
        <f>IF(Table1[Date of Initial Assessment]="","",IF(AND(Table1[Start Date]&gt;42460,Table1[Start Date]&lt;42826),Table1[Drug and Alcohol Misuse],""))</f>
        <v/>
      </c>
      <c r="FZ554" s="44" t="str">
        <f>IF(Table1[Date of Initial Assessment]="","",IF(AND(Table1[Start Date]&gt;42460,Table1[Start Date]&lt;42826),Table1[Physical Health],""))</f>
        <v/>
      </c>
      <c r="GA554" s="44" t="str">
        <f>IF(Table1[Date of Initial Assessment]="","",IF(AND(Table1[Start Date]&gt;42460,Table1[Start Date]&lt;42826),Table1[Emotional and Mental Health],""))</f>
        <v/>
      </c>
      <c r="GB554" s="44" t="str">
        <f>IF(Table1[Date of Initial Assessment]="","",IF(AND(Table1[Start Date]&gt;42460,Table1[Start Date]&lt;42826),Table1[Meaningful Use of Time],""))</f>
        <v/>
      </c>
      <c r="GC554" s="44" t="str">
        <f>IF(Table1[Date of Initial Assessment]="","",IF(AND(Table1[Start Date]&gt;42460,Table1[Start Date]&lt;42826),Table1[Managing Tenancy and Accommodation],""))</f>
        <v/>
      </c>
      <c r="GD554" s="44" t="str">
        <f>IF(Table1[Date of Initial Assessment]="","",IF(AND(Table1[Start Date]&gt;42460,Table1[Start Date]&lt;42826),Table1[Offending],""))</f>
        <v/>
      </c>
      <c r="GE554" s="44" t="str">
        <f>IF(Table1[Leaving Date]="","",IF(AND(Table1[Leaving Date]&gt;42460,Table1[Leaving Date]&lt;42826),IF(Table1[Date of Last Assessment]="",Table1[Motivation and Taking Responsibility],Table1[Motivation and Taking Responsibility2]),""))</f>
        <v/>
      </c>
      <c r="GF554" s="44" t="str">
        <f>IF(Table1[Leaving Date]="","",IF(AND(Table1[Leaving Date]&gt;42460,Table1[Leaving Date]&lt;42826),IF(Table1[Date of Last Assessment]="",Table1[Self-Care and Living Skills],Table1[Self-Care and Living Skills2]),""))</f>
        <v/>
      </c>
      <c r="GG554" s="44" t="str">
        <f>IF(Table1[Leaving Date]="","",IF(AND(Table1[Leaving Date]&gt;42460,Table1[Leaving Date]&lt;42826),IF(Table1[Date of Last Assessment]="",Table1[Managing Money and Personal Administration],Table1[Managing Money and Personal Administration2]),""))</f>
        <v/>
      </c>
      <c r="GH554" s="44" t="str">
        <f>IF(Table1[Leaving Date]="","",IF(AND(Table1[Leaving Date]&gt;42460,Table1[Leaving Date]&lt;42826),IF(Table1[Date of Last Assessment]="",Table1[Social Networks and Relationships],Table1[Social Networks and Relationships2]),""))</f>
        <v/>
      </c>
      <c r="GI554" s="44" t="str">
        <f>IF(Table1[Leaving Date]="","",IF(AND(Table1[Leaving Date]&gt;42460,Table1[Leaving Date]&lt;42826),IF(Table1[Date of Last Assessment]="",Table1[Drug and Alcohol Misuse],Table1[Drug and Alcohol Misuse2]),""))</f>
        <v/>
      </c>
      <c r="GJ554" s="44" t="str">
        <f>IF(Table1[Leaving Date]="","",IF(AND(Table1[Leaving Date]&gt;42460,Table1[Leaving Date]&lt;42826),IF(Table1[Date of Last Assessment]="",Table1[Physical Health],Table1[Physical Health2]),""))</f>
        <v/>
      </c>
      <c r="GK554" s="44" t="str">
        <f>IF(Table1[Leaving Date]="","",IF(AND(Table1[Leaving Date]&gt;42460,Table1[Leaving Date]&lt;42826),IF(Table1[Date of Last Assessment]="",Table1[Emotional and Mental Health],Table1[Emotional and Mental Health2]),""))</f>
        <v/>
      </c>
      <c r="GL554" s="44" t="str">
        <f>IF(Table1[Leaving Date]="","",IF(AND(Table1[Leaving Date]&gt;42460,Table1[Leaving Date]&lt;42826),IF(Table1[Date of Last Assessment]="",Table1[Meaningful Use of Time],Table1[Meaningful Use of Time2]),""))</f>
        <v/>
      </c>
      <c r="GM554" s="44" t="str">
        <f>IF(Table1[Leaving Date]="","",IF(AND(Table1[Leaving Date]&gt;42460,Table1[Leaving Date]&lt;42826),IF(Table1[Date of Last Assessment]="",Table1[Managing Tenancy and Accommodation],Table1[Managing Tenancy and Accommodation2]),""))</f>
        <v/>
      </c>
      <c r="GN554" s="44" t="str">
        <f>IF(Table1[Leaving Date]="","",IF(AND(Table1[Leaving Date]&gt;42460,Table1[Leaving Date]&lt;42826),IF(Table1[Date of Last Assessment]="",Table1[Offending],Table1[Offending2]),""))</f>
        <v/>
      </c>
    </row>
    <row r="555" spans="2:196" ht="20.100000000000001" customHeight="1" x14ac:dyDescent="0.2">
      <c r="B555" s="86">
        <f>+'Service Data'!$C$5:$C$5</f>
        <v>0</v>
      </c>
      <c r="C555" s="86"/>
      <c r="D555" s="86"/>
      <c r="E555" s="86"/>
      <c r="F555" s="86"/>
      <c r="G555" s="86"/>
      <c r="H555" s="6"/>
      <c r="I555" s="99" t="str">
        <f ca="1">IF(Table1[[#This Row],[Date of Birth]]="","",SUM(TODAY()-Table1[[#This Row],[Date of Birth]])/365)</f>
        <v/>
      </c>
      <c r="L555" s="86"/>
      <c r="M555" s="77"/>
      <c r="N555" s="86"/>
      <c r="O555" s="86"/>
      <c r="P555" s="91"/>
      <c r="Q555" s="86"/>
      <c r="R555" s="77"/>
      <c r="S555" s="77"/>
      <c r="T555" s="68"/>
      <c r="U555" s="68"/>
      <c r="V555" s="67"/>
      <c r="W555" s="67"/>
      <c r="X555" s="67"/>
      <c r="Y555" s="67"/>
      <c r="Z555" s="67"/>
      <c r="AA555" s="67"/>
      <c r="AB555" s="67"/>
      <c r="AC555" s="67"/>
      <c r="AD555" s="67"/>
      <c r="AE555" s="67"/>
      <c r="AF555" s="67"/>
      <c r="AG555" s="67"/>
      <c r="AH555" s="67"/>
      <c r="AI555" s="67"/>
      <c r="AJ555" s="67"/>
      <c r="AK555" s="67"/>
      <c r="AL555" s="67"/>
      <c r="AM555" s="67"/>
      <c r="AN555" s="77"/>
      <c r="AO555" s="76"/>
      <c r="AP555" s="77"/>
      <c r="AQ555" s="76"/>
      <c r="AR555" s="76"/>
      <c r="AS555" s="76"/>
      <c r="AT555" s="76"/>
      <c r="AU555" s="76"/>
      <c r="AV555" s="77"/>
      <c r="AW555" s="76"/>
      <c r="AX555" s="77"/>
      <c r="AY555" s="76"/>
      <c r="AZ555" s="76"/>
      <c r="BA555" s="76"/>
      <c r="BB555" s="76"/>
      <c r="BC555" s="76"/>
      <c r="BD555" s="77"/>
      <c r="BE555" s="76"/>
      <c r="BF555" s="77"/>
      <c r="BG555" s="76"/>
      <c r="BH555" s="76"/>
      <c r="BI555" s="76"/>
      <c r="BJ555" s="76"/>
      <c r="BK555" s="76"/>
      <c r="BL555" s="77"/>
      <c r="BM555" s="76"/>
      <c r="BN555" s="77"/>
      <c r="BO555" s="76"/>
      <c r="BP555" s="76"/>
      <c r="BQ555" s="76"/>
      <c r="BR555" s="76"/>
      <c r="BS555" s="76"/>
      <c r="BT555" s="77"/>
      <c r="BU555" s="76"/>
      <c r="BV555" s="77"/>
      <c r="BW555" s="76"/>
      <c r="BX555" s="76"/>
      <c r="BY555" s="76"/>
      <c r="BZ555" s="76"/>
      <c r="CA555" s="76"/>
      <c r="CB555" s="77"/>
      <c r="CC555" s="76"/>
      <c r="CD555" s="77"/>
      <c r="CE555" s="76"/>
      <c r="CF555" s="76"/>
      <c r="CG555" s="76"/>
      <c r="CH555" s="76"/>
      <c r="CI555" s="76"/>
      <c r="CJ555" s="77"/>
      <c r="CK555" s="76"/>
      <c r="CL555" s="77"/>
      <c r="CM555" s="76"/>
      <c r="CN555" s="76"/>
      <c r="CO555" s="76"/>
      <c r="CP555" s="76"/>
      <c r="CQ555" s="76"/>
      <c r="CR555" s="78" t="str">
        <f t="shared" si="143"/>
        <v/>
      </c>
      <c r="CS555" s="79" t="str">
        <f t="shared" si="144"/>
        <v/>
      </c>
      <c r="CT555" s="79" t="str">
        <f t="shared" si="145"/>
        <v/>
      </c>
      <c r="CU555" s="79" t="str">
        <f t="shared" si="146"/>
        <v/>
      </c>
      <c r="CV555" s="79" t="str">
        <f t="shared" si="147"/>
        <v/>
      </c>
      <c r="CW555" s="79" t="str">
        <f t="shared" si="148"/>
        <v/>
      </c>
      <c r="CX555" s="79" t="str">
        <f t="shared" si="149"/>
        <v/>
      </c>
      <c r="CY555" s="79" t="str">
        <f t="shared" si="150"/>
        <v/>
      </c>
      <c r="CZ555" s="79" t="str">
        <f t="shared" si="151"/>
        <v/>
      </c>
      <c r="DA555" s="79" t="str">
        <f t="shared" si="152"/>
        <v/>
      </c>
      <c r="DB555" s="79" t="str">
        <f t="shared" si="153"/>
        <v/>
      </c>
      <c r="DC555" s="79" t="str">
        <f t="shared" si="154"/>
        <v/>
      </c>
      <c r="DD555" s="79" t="str">
        <f t="shared" si="155"/>
        <v/>
      </c>
      <c r="DE555" s="79" t="str">
        <f t="shared" si="156"/>
        <v/>
      </c>
      <c r="DF555" s="79" t="str">
        <f t="shared" si="157"/>
        <v/>
      </c>
      <c r="DG555" s="79" t="str">
        <f t="shared" si="158"/>
        <v/>
      </c>
      <c r="DH555" s="76"/>
      <c r="DI555" s="78"/>
      <c r="DJ555" s="76"/>
      <c r="DK555" s="77"/>
      <c r="DL555" s="77"/>
      <c r="DM555" s="77"/>
      <c r="DN555" s="80"/>
      <c r="DO555" s="80"/>
      <c r="DP555" s="92" t="str">
        <f>IF(Table1[Start Date]="","",IF(Table1[Start Date]&gt;42185,"",IF(AND(Table1[Leaving Date]&gt;1,Table1[Leaving Date]&lt;42095),"",1)))</f>
        <v/>
      </c>
      <c r="DQ555" s="92" t="str">
        <f>IF(Table1[Start Date]="","",IF(Table1[Start Date]&gt;42277,"",IF(AND(Table1[Leaving Date]&gt;1,Table1[Leaving Date]&lt;42186),"",1)))</f>
        <v/>
      </c>
      <c r="DR555" s="92" t="str">
        <f>IF(Table1[Start Date]="","",IF(Table1[Start Date]&gt;42369,"",IF(AND(Table1[Leaving Date]&gt;1,Table1[Leaving Date]&lt;42278),"",1)))</f>
        <v/>
      </c>
      <c r="DS555" s="92" t="str">
        <f>IF(Table1[Start Date]="","",IF(Table1[Start Date]&gt;42460,"",IF(AND(Table1[Leaving Date]&gt;1,Table1[Leaving Date]&lt;42370),"",1)))</f>
        <v/>
      </c>
      <c r="DT555" s="92" t="str">
        <f>IF(Table1[Start Date]="","",IF(Table1[Start Date]&gt;42551,"",IF(AND(Table1[Leaving Date]&gt;1,Table1[Leaving Date]&lt;42461),"",1)))</f>
        <v/>
      </c>
      <c r="DU555" s="92" t="str">
        <f>IF(Table1[Start Date]="","",IF(Table1[Start Date]&gt;42643,"",IF(AND(Table1[Leaving Date]&gt;1,Table1[Leaving Date]&lt;42552),"",1)))</f>
        <v/>
      </c>
      <c r="DV555" s="92" t="str">
        <f>IF(Table1[Start Date]="","",IF(Table1[Start Date]&gt;42735,"",IF(AND(Table1[Leaving Date]&gt;1,Table1[Leaving Date]&lt;42644),"",1)))</f>
        <v/>
      </c>
      <c r="DW555" s="92" t="str">
        <f>IF(Table1[Start Date]="","",IF(Table1[Start Date]&gt;42825,"",IF(AND(Table1[Leaving Date]&gt;1,Table1[Leaving Date]&lt;42736),"",1)))</f>
        <v/>
      </c>
      <c r="DX555"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555" s="44" t="e">
        <f>VLOOKUP(Table1[Referral Source],Lists!$G$2:$H$20,2,FALSE)</f>
        <v>#N/A</v>
      </c>
      <c r="DZ555" s="93" t="e">
        <f>SUM(Table1[Data Referral Quarter]+Table1[Data Referral Source])</f>
        <v>#N/A</v>
      </c>
      <c r="EA555" s="44" t="b">
        <f>IF(Table1[Referral Decision]="Accepted",100,IF(Table1[Referral Decision]="Rejected by Provider",200,IF(Table1[Referral Decision]="Rejected by Applicant",300)))</f>
        <v>0</v>
      </c>
      <c r="EB555" s="44">
        <f>SUM(Table1[Data Referral Quarter]+Table1[Data Referral Decision])</f>
        <v>0</v>
      </c>
      <c r="EC555" s="44" t="b">
        <f>IF(Table1[Start Date]&gt;42735,8000,IF(Table1[Start Date]&gt;42643,7000,IF(Table1[Start Date]&gt;42551,6000,IF(Table1[Start Date]&gt;42460,5000,IF(Table1[Start Date]&gt;42369,4000,IF(Table1[Start Date]&gt;42277,3000,IF(Table1[Start Date]&gt;42185,2000,IF(Table1[Start Date]&gt;42094,1000))))))))</f>
        <v>0</v>
      </c>
      <c r="ED555" s="44" t="str">
        <f>IF(Table1[Start Date]="","",IF(Table1[Current Local Authority]="Swindon",1,"2"))</f>
        <v/>
      </c>
      <c r="EE555" s="44" t="e">
        <f>SUM(Table1[Data Start Date]+Table1[Data Local Authority])</f>
        <v>#VALUE!</v>
      </c>
      <c r="EF555" s="44">
        <f>IF(Table1[Registered with GP]="Yes",1,0)</f>
        <v>0</v>
      </c>
      <c r="EG555" s="44">
        <f>SUM(Table1[Data Start Date]+Table1[Data GP Start])</f>
        <v>0</v>
      </c>
      <c r="EH555" s="44" t="str">
        <f>IF(Table1[EET]="NEET",1,IF(Table1[EET]="Education",2,IF(Table1[EET]="Employment",2,IF(Table1[EET]="Training",2,IF(Table1[EET]="Retired",3,"")))))</f>
        <v/>
      </c>
      <c r="EI555" s="44" t="e">
        <f>Table1[Data Start Date]+Table1[Data EET Start]</f>
        <v>#VALUE!</v>
      </c>
      <c r="EJ555" s="44" t="b">
        <f>IF(Table1[Leaving Date]&gt;42735,8000,IF(Table1[Leaving Date]&gt;42643,7000,IF(Table1[Leaving Date]&gt;42551,6000,IF(Table1[Leaving Date]&gt;42460,5000,IF(Table1[Leaving Date]&gt;42369,4000,IF(Table1[Leaving Date]&gt;42277,3000,IF(Table1[Leaving Date]&gt;42185,2000,IF(Table1[Leaving Date]&gt;42094,1000))))))))</f>
        <v>0</v>
      </c>
      <c r="EK555" s="44" t="e">
        <f>VLOOKUP(Table1[Reason for Leaving],Lists!$T$2:$U$15,2,FALSE)</f>
        <v>#N/A</v>
      </c>
      <c r="EL555" s="44" t="e">
        <f>SUM(Table1[Data Leavers Date]+Table1[Data Move On])</f>
        <v>#N/A</v>
      </c>
      <c r="EM555" s="44" t="b">
        <f>IF(Table1[Registered with GP2]="Yes",1,IF(Table1[Registered with GP2]="No",0,IF(Table1[Registered with GP]="Yes",1,IF(Table1[Registered with GP]="No",0))))</f>
        <v>0</v>
      </c>
      <c r="EN555" s="44">
        <f>SUM(Table1[Data Leavers Date]+Table1[Data GP End])</f>
        <v>0</v>
      </c>
      <c r="EO555" s="44" t="str">
        <f>IF(Table1[EET2]="NEET",1,IF(Table1[EET2]="Employment",2,IF(Table1[EET2]="Education",2,IF(Table1[EET2]="Training",2,IF(Table1[EET2]="Retired",3,IF(Table1[EET]="NEET",1,IF(Table1[EET]="Employment",2,IF(Table1[EET]="Education",2,IF(Table1[EET]="Training",2,IF(Table1[EET]="Retired",3,""))))))))))</f>
        <v/>
      </c>
      <c r="EP555" s="44" t="e">
        <f>+Table1[[#This Row],[Data Leavers Date]]+Table1[[#This Row],[Data EET End]]</f>
        <v>#VALUE!</v>
      </c>
      <c r="EQ555" s="44">
        <f>IF(Table1[Exit Form Received]="Yes",1,0)</f>
        <v>0</v>
      </c>
      <c r="ER555" s="44">
        <f>+Table1[[#This Row],[Data Leavers Date]]+Table1[[#This Row],[Data Exit Forms]]</f>
        <v>0</v>
      </c>
      <c r="ES555" s="44" t="str">
        <f>IF(Table1[Data Leavers Date]=1000,SUM(Table1[Leaving Date]-Table1[Start Date]),"")</f>
        <v/>
      </c>
      <c r="ET555" s="44" t="str">
        <f>IF(Table1[Data Leavers Date]=2000,SUM(Table1[Leaving Date]-Table1[Start Date]),"")</f>
        <v/>
      </c>
      <c r="EU555" s="44" t="str">
        <f>IF(Table1[Data Leavers Date]=3000,SUM(Table1[Leaving Date]-Table1[Start Date]),"")</f>
        <v/>
      </c>
      <c r="EV555" s="44" t="str">
        <f>IF(Table1[Data Leavers Date]=4000,SUM(Table1[Leaving Date]-Table1[Start Date]),"")</f>
        <v/>
      </c>
      <c r="EW555" s="44" t="str">
        <f>IF(Table1[Data Leavers Date]=5000,SUM(Table1[Leaving Date]-Table1[Start Date]),"")</f>
        <v/>
      </c>
      <c r="EX555" s="44" t="str">
        <f>IF(Table1[Data Leavers Date]=6000,SUM(Table1[Leaving Date]-Table1[Start Date]),"")</f>
        <v/>
      </c>
      <c r="EY555" s="44" t="str">
        <f>IF(Table1[Data Leavers Date]=7000,SUM(Table1[Leaving Date]-Table1[Start Date]),"")</f>
        <v/>
      </c>
      <c r="EZ555" s="44" t="str">
        <f>IF(Table1[Data Leavers Date]=8000,SUM(Table1[Leaving Date]-Table1[Start Date]),"")</f>
        <v/>
      </c>
      <c r="FA555" s="44" t="str">
        <f>IF(Table1[Date of Initial Assessment]="","",IF(AND(Table1[Start Date]&gt;42094,Table1[Start Date]&lt;42461),Table1[Motivation and Taking Responsibility],""))</f>
        <v/>
      </c>
      <c r="FB555" s="44" t="str">
        <f>IF(Table1[Date of Initial Assessment]="","",IF(AND(Table1[Start Date]&gt;42094,Table1[Start Date]&lt;42461),Table1[Self-Care and Living Skills],""))</f>
        <v/>
      </c>
      <c r="FC555" s="44" t="str">
        <f>IF(Table1[Date of Initial Assessment]="","",IF(AND(Table1[Start Date]&gt;42094,Table1[Start Date]&lt;42461),Table1[Managing Money and Personal Administration],""))</f>
        <v/>
      </c>
      <c r="FD555" s="44" t="str">
        <f>IF(Table1[Date of Initial Assessment]="","",IF(AND(Table1[Start Date]&gt;42094,Table1[Start Date]&lt;42461),Table1[Social Networks and Relationships],""))</f>
        <v/>
      </c>
      <c r="FE555" s="44" t="str">
        <f>IF(Table1[Date of Initial Assessment]="","",IF(AND(Table1[Start Date]&gt;42094,Table1[Start Date]&lt;42461),Table1[Drug and Alcohol Misuse],""))</f>
        <v/>
      </c>
      <c r="FF555" s="44" t="str">
        <f>IF(Table1[Date of Initial Assessment]="","",IF(AND(Table1[Start Date]&gt;42094,Table1[Start Date]&lt;42461),Table1[Physical Health],""))</f>
        <v/>
      </c>
      <c r="FG555" s="44" t="str">
        <f>IF(Table1[Date of Initial Assessment]="","",IF(AND(Table1[Start Date]&gt;42094,Table1[Start Date]&lt;42461),Table1[Emotional and Mental Health],""))</f>
        <v/>
      </c>
      <c r="FH555" s="44" t="str">
        <f>IF(Table1[Date of Initial Assessment]="","",IF(AND(Table1[Start Date]&gt;42094,Table1[Start Date]&lt;42461),Table1[Meaningful Use of Time],""))</f>
        <v/>
      </c>
      <c r="FI555" s="44" t="str">
        <f>IF(Table1[Date of Initial Assessment]="","",IF(AND(Table1[Start Date]&gt;42094,Table1[Start Date]&lt;42461),Table1[Managing Tenancy and Accommodation],""))</f>
        <v/>
      </c>
      <c r="FJ555" s="44" t="str">
        <f>IF(Table1[Date of Initial Assessment]="","",IF(AND(Table1[Start Date]&gt;42094,Table1[Start Date]&lt;42461),Table1[Offending],""))</f>
        <v/>
      </c>
      <c r="FK555" s="44" t="str">
        <f>IF(Table1[Leaving Date]="","",IF(Table1[Date of Initial Assessment]="","",IF(AND(Table1[Leaving Date]&gt;42094,Table1[Leaving Date]&lt;42461),IF(Table1[Date of Last Assessment]="",Table1[Motivation and Taking Responsibility],Table1[Motivation and Taking Responsibility2]),"")))</f>
        <v/>
      </c>
      <c r="FL555" s="44" t="str">
        <f>IF(Table1[Leaving Date]="","",IF(Table1[Date of Initial Assessment]="","",IF(AND(Table1[Leaving Date]&gt;42094,Table1[Leaving Date]&lt;42461),IF(Table1[Date of Last Assessment]="",Table1[Self-Care and Living Skills],Table1[Self-Care and Living Skills2]),"")))</f>
        <v/>
      </c>
      <c r="FM555" s="44" t="str">
        <f>IF(Table1[Leaving Date]="","",IF(Table1[Date of Initial Assessment]="","",IF(AND(Table1[Leaving Date]&gt;42094,Table1[Leaving Date]&lt;42461),IF(Table1[Date of Last Assessment]="",Table1[Managing Money and Personal Administration],Table1[Managing Money and Personal Administration2]),"")))</f>
        <v/>
      </c>
      <c r="FN555" s="44" t="str">
        <f>IF(Table1[Leaving Date]="","",IF(Table1[Date of Initial Assessment]="","",IF(AND(Table1[Leaving Date]&gt;42094,Table1[Leaving Date]&lt;42461),IF(Table1[Date of Last Assessment]="",Table1[Social Networks and Relationships],Table1[Social Networks and Relationships2]),"")))</f>
        <v/>
      </c>
      <c r="FO555" s="44" t="str">
        <f>IF(Table1[Leaving Date]="","",IF(Table1[Date of Initial Assessment]="","",IF(AND(Table1[Leaving Date]&gt;42094,Table1[Leaving Date]&lt;42461),IF(Table1[Date of Last Assessment]="",Table1[Drug and Alcohol Misuse],Table1[Drug and Alcohol Misuse2]),"")))</f>
        <v/>
      </c>
      <c r="FP555" s="44" t="str">
        <f>IF(Table1[Leaving Date]="","",IF(Table1[Date of Initial Assessment]="","",IF(AND(Table1[Leaving Date]&gt;42094,Table1[Leaving Date]&lt;42461),IF(Table1[Date of Last Assessment]="",Table1[Physical Health],Table1[Physical Health2]),"")))</f>
        <v/>
      </c>
      <c r="FQ555" s="44" t="str">
        <f>IF(Table1[Leaving Date]="","",IF(Table1[Date of Initial Assessment]="","",IF(AND(Table1[Leaving Date]&gt;42094,Table1[Leaving Date]&lt;42461),IF(Table1[Date of Last Assessment]="",Table1[Emotional and Mental Health],Table1[Emotional and Mental Health2]),"")))</f>
        <v/>
      </c>
      <c r="FR555" s="44" t="str">
        <f>IF(Table1[Leaving Date]="","",IF(Table1[Date of Initial Assessment]="","",IF(AND(Table1[Leaving Date]&gt;42094,Table1[Leaving Date]&lt;42461),IF(Table1[Date of Last Assessment]="",Table1[Meaningful Use of Time],Table1[Meaningful Use of Time2]),"")))</f>
        <v/>
      </c>
      <c r="FS555" s="44" t="str">
        <f>IF(Table1[Leaving Date]="","",IF(Table1[Date of Initial Assessment]="","",IF(AND(Table1[Leaving Date]&gt;42094,Table1[Leaving Date]&lt;42461),IF(Table1[Date of Last Assessment]="",Table1[Managing Tenancy and Accommodation],Table1[Managing Tenancy and Accommodation2]),"")))</f>
        <v/>
      </c>
      <c r="FT555" s="44" t="str">
        <f>IF(Table1[Leaving Date]="","",IF(Table1[Date of Initial Assessment]="","",IF(AND(Table1[Leaving Date]&gt;42094,Table1[Leaving Date]&lt;42461),IF(Table1[Date of Last Assessment]="",Table1[Offending],Table1[Offending2]),"")))</f>
        <v/>
      </c>
      <c r="FU555" s="44" t="str">
        <f>IF(Table1[Date of Initial Assessment]="","",IF(AND(Table1[Start Date]&gt;42460,Table1[Start Date]&lt;42826),Table1[Motivation and Taking Responsibility],""))</f>
        <v/>
      </c>
      <c r="FV555" s="44" t="str">
        <f>IF(Table1[Date of Initial Assessment]="","",IF(AND(Table1[Start Date]&gt;42460,Table1[Start Date]&lt;42826),Table1[Self-Care and Living Skills],""))</f>
        <v/>
      </c>
      <c r="FW555" s="44" t="str">
        <f>IF(Table1[Date of Initial Assessment]="","",IF(AND(Table1[Start Date]&gt;42460,Table1[Start Date]&lt;42826),Table1[Managing Money and Personal Administration],""))</f>
        <v/>
      </c>
      <c r="FX555" s="44" t="str">
        <f>IF(Table1[Date of Initial Assessment]="","",IF(AND(Table1[Start Date]&gt;42460,Table1[Start Date]&lt;42826),Table1[Social Networks and Relationships],""))</f>
        <v/>
      </c>
      <c r="FY555" s="44" t="str">
        <f>IF(Table1[Date of Initial Assessment]="","",IF(AND(Table1[Start Date]&gt;42460,Table1[Start Date]&lt;42826),Table1[Drug and Alcohol Misuse],""))</f>
        <v/>
      </c>
      <c r="FZ555" s="44" t="str">
        <f>IF(Table1[Date of Initial Assessment]="","",IF(AND(Table1[Start Date]&gt;42460,Table1[Start Date]&lt;42826),Table1[Physical Health],""))</f>
        <v/>
      </c>
      <c r="GA555" s="44" t="str">
        <f>IF(Table1[Date of Initial Assessment]="","",IF(AND(Table1[Start Date]&gt;42460,Table1[Start Date]&lt;42826),Table1[Emotional and Mental Health],""))</f>
        <v/>
      </c>
      <c r="GB555" s="44" t="str">
        <f>IF(Table1[Date of Initial Assessment]="","",IF(AND(Table1[Start Date]&gt;42460,Table1[Start Date]&lt;42826),Table1[Meaningful Use of Time],""))</f>
        <v/>
      </c>
      <c r="GC555" s="44" t="str">
        <f>IF(Table1[Date of Initial Assessment]="","",IF(AND(Table1[Start Date]&gt;42460,Table1[Start Date]&lt;42826),Table1[Managing Tenancy and Accommodation],""))</f>
        <v/>
      </c>
      <c r="GD555" s="44" t="str">
        <f>IF(Table1[Date of Initial Assessment]="","",IF(AND(Table1[Start Date]&gt;42460,Table1[Start Date]&lt;42826),Table1[Offending],""))</f>
        <v/>
      </c>
      <c r="GE555" s="44" t="str">
        <f>IF(Table1[Leaving Date]="","",IF(AND(Table1[Leaving Date]&gt;42460,Table1[Leaving Date]&lt;42826),IF(Table1[Date of Last Assessment]="",Table1[Motivation and Taking Responsibility],Table1[Motivation and Taking Responsibility2]),""))</f>
        <v/>
      </c>
      <c r="GF555" s="44" t="str">
        <f>IF(Table1[Leaving Date]="","",IF(AND(Table1[Leaving Date]&gt;42460,Table1[Leaving Date]&lt;42826),IF(Table1[Date of Last Assessment]="",Table1[Self-Care and Living Skills],Table1[Self-Care and Living Skills2]),""))</f>
        <v/>
      </c>
      <c r="GG555" s="44" t="str">
        <f>IF(Table1[Leaving Date]="","",IF(AND(Table1[Leaving Date]&gt;42460,Table1[Leaving Date]&lt;42826),IF(Table1[Date of Last Assessment]="",Table1[Managing Money and Personal Administration],Table1[Managing Money and Personal Administration2]),""))</f>
        <v/>
      </c>
      <c r="GH555" s="44" t="str">
        <f>IF(Table1[Leaving Date]="","",IF(AND(Table1[Leaving Date]&gt;42460,Table1[Leaving Date]&lt;42826),IF(Table1[Date of Last Assessment]="",Table1[Social Networks and Relationships],Table1[Social Networks and Relationships2]),""))</f>
        <v/>
      </c>
      <c r="GI555" s="44" t="str">
        <f>IF(Table1[Leaving Date]="","",IF(AND(Table1[Leaving Date]&gt;42460,Table1[Leaving Date]&lt;42826),IF(Table1[Date of Last Assessment]="",Table1[Drug and Alcohol Misuse],Table1[Drug and Alcohol Misuse2]),""))</f>
        <v/>
      </c>
      <c r="GJ555" s="44" t="str">
        <f>IF(Table1[Leaving Date]="","",IF(AND(Table1[Leaving Date]&gt;42460,Table1[Leaving Date]&lt;42826),IF(Table1[Date of Last Assessment]="",Table1[Physical Health],Table1[Physical Health2]),""))</f>
        <v/>
      </c>
      <c r="GK555" s="44" t="str">
        <f>IF(Table1[Leaving Date]="","",IF(AND(Table1[Leaving Date]&gt;42460,Table1[Leaving Date]&lt;42826),IF(Table1[Date of Last Assessment]="",Table1[Emotional and Mental Health],Table1[Emotional and Mental Health2]),""))</f>
        <v/>
      </c>
      <c r="GL555" s="44" t="str">
        <f>IF(Table1[Leaving Date]="","",IF(AND(Table1[Leaving Date]&gt;42460,Table1[Leaving Date]&lt;42826),IF(Table1[Date of Last Assessment]="",Table1[Meaningful Use of Time],Table1[Meaningful Use of Time2]),""))</f>
        <v/>
      </c>
      <c r="GM555" s="44" t="str">
        <f>IF(Table1[Leaving Date]="","",IF(AND(Table1[Leaving Date]&gt;42460,Table1[Leaving Date]&lt;42826),IF(Table1[Date of Last Assessment]="",Table1[Managing Tenancy and Accommodation],Table1[Managing Tenancy and Accommodation2]),""))</f>
        <v/>
      </c>
      <c r="GN555" s="44" t="str">
        <f>IF(Table1[Leaving Date]="","",IF(AND(Table1[Leaving Date]&gt;42460,Table1[Leaving Date]&lt;42826),IF(Table1[Date of Last Assessment]="",Table1[Offending],Table1[Offending2]),""))</f>
        <v/>
      </c>
    </row>
    <row r="556" spans="2:196" ht="20.100000000000001" customHeight="1" x14ac:dyDescent="0.2">
      <c r="B556" s="86">
        <f>+'Service Data'!$C$5:$C$5</f>
        <v>0</v>
      </c>
      <c r="C556" s="86"/>
      <c r="D556" s="86"/>
      <c r="E556" s="86"/>
      <c r="F556" s="86"/>
      <c r="G556" s="86"/>
      <c r="H556" s="6"/>
      <c r="I556" s="99" t="str">
        <f ca="1">IF(Table1[[#This Row],[Date of Birth]]="","",SUM(TODAY()-Table1[[#This Row],[Date of Birth]])/365)</f>
        <v/>
      </c>
      <c r="L556" s="86"/>
      <c r="M556" s="77"/>
      <c r="N556" s="86"/>
      <c r="O556" s="86"/>
      <c r="P556" s="91"/>
      <c r="Q556" s="86"/>
      <c r="R556" s="77"/>
      <c r="S556" s="77"/>
      <c r="T556" s="68"/>
      <c r="U556" s="68"/>
      <c r="V556" s="67"/>
      <c r="W556" s="67"/>
      <c r="X556" s="67"/>
      <c r="Y556" s="67"/>
      <c r="Z556" s="67"/>
      <c r="AA556" s="67"/>
      <c r="AB556" s="67"/>
      <c r="AC556" s="67"/>
      <c r="AD556" s="67"/>
      <c r="AE556" s="67"/>
      <c r="AF556" s="67"/>
      <c r="AG556" s="67"/>
      <c r="AH556" s="67"/>
      <c r="AI556" s="67"/>
      <c r="AJ556" s="67"/>
      <c r="AK556" s="67"/>
      <c r="AL556" s="67"/>
      <c r="AM556" s="67"/>
      <c r="AN556" s="77"/>
      <c r="AO556" s="76"/>
      <c r="AP556" s="77"/>
      <c r="AQ556" s="76"/>
      <c r="AR556" s="76"/>
      <c r="AS556" s="76"/>
      <c r="AT556" s="76"/>
      <c r="AU556" s="76"/>
      <c r="AV556" s="77"/>
      <c r="AW556" s="76"/>
      <c r="AX556" s="77"/>
      <c r="AY556" s="76"/>
      <c r="AZ556" s="76"/>
      <c r="BA556" s="76"/>
      <c r="BB556" s="76"/>
      <c r="BC556" s="76"/>
      <c r="BD556" s="77"/>
      <c r="BE556" s="76"/>
      <c r="BF556" s="77"/>
      <c r="BG556" s="76"/>
      <c r="BH556" s="76"/>
      <c r="BI556" s="76"/>
      <c r="BJ556" s="76"/>
      <c r="BK556" s="76"/>
      <c r="BL556" s="77"/>
      <c r="BM556" s="76"/>
      <c r="BN556" s="77"/>
      <c r="BO556" s="76"/>
      <c r="BP556" s="76"/>
      <c r="BQ556" s="76"/>
      <c r="BR556" s="76"/>
      <c r="BS556" s="76"/>
      <c r="BT556" s="77"/>
      <c r="BU556" s="76"/>
      <c r="BV556" s="77"/>
      <c r="BW556" s="76"/>
      <c r="BX556" s="76"/>
      <c r="BY556" s="76"/>
      <c r="BZ556" s="76"/>
      <c r="CA556" s="76"/>
      <c r="CB556" s="77"/>
      <c r="CC556" s="76"/>
      <c r="CD556" s="77"/>
      <c r="CE556" s="76"/>
      <c r="CF556" s="76"/>
      <c r="CG556" s="76"/>
      <c r="CH556" s="76"/>
      <c r="CI556" s="76"/>
      <c r="CJ556" s="77"/>
      <c r="CK556" s="76"/>
      <c r="CL556" s="77"/>
      <c r="CM556" s="76"/>
      <c r="CN556" s="76"/>
      <c r="CO556" s="76"/>
      <c r="CP556" s="76"/>
      <c r="CQ556" s="76"/>
      <c r="CR556" s="78" t="str">
        <f t="shared" si="143"/>
        <v/>
      </c>
      <c r="CS556" s="79" t="str">
        <f t="shared" si="144"/>
        <v/>
      </c>
      <c r="CT556" s="79" t="str">
        <f t="shared" si="145"/>
        <v/>
      </c>
      <c r="CU556" s="79" t="str">
        <f t="shared" si="146"/>
        <v/>
      </c>
      <c r="CV556" s="79" t="str">
        <f t="shared" si="147"/>
        <v/>
      </c>
      <c r="CW556" s="79" t="str">
        <f t="shared" si="148"/>
        <v/>
      </c>
      <c r="CX556" s="79" t="str">
        <f t="shared" si="149"/>
        <v/>
      </c>
      <c r="CY556" s="79" t="str">
        <f t="shared" si="150"/>
        <v/>
      </c>
      <c r="CZ556" s="79" t="str">
        <f t="shared" si="151"/>
        <v/>
      </c>
      <c r="DA556" s="79" t="str">
        <f t="shared" si="152"/>
        <v/>
      </c>
      <c r="DB556" s="79" t="str">
        <f t="shared" si="153"/>
        <v/>
      </c>
      <c r="DC556" s="79" t="str">
        <f t="shared" si="154"/>
        <v/>
      </c>
      <c r="DD556" s="79" t="str">
        <f t="shared" si="155"/>
        <v/>
      </c>
      <c r="DE556" s="79" t="str">
        <f t="shared" si="156"/>
        <v/>
      </c>
      <c r="DF556" s="79" t="str">
        <f t="shared" si="157"/>
        <v/>
      </c>
      <c r="DG556" s="79" t="str">
        <f t="shared" si="158"/>
        <v/>
      </c>
      <c r="DH556" s="76"/>
      <c r="DI556" s="78"/>
      <c r="DJ556" s="76"/>
      <c r="DK556" s="77"/>
      <c r="DL556" s="77"/>
      <c r="DM556" s="77"/>
      <c r="DN556" s="80"/>
      <c r="DO556" s="80"/>
      <c r="DP556" s="92" t="str">
        <f>IF(Table1[Start Date]="","",IF(Table1[Start Date]&gt;42185,"",IF(AND(Table1[Leaving Date]&gt;1,Table1[Leaving Date]&lt;42095),"",1)))</f>
        <v/>
      </c>
      <c r="DQ556" s="92" t="str">
        <f>IF(Table1[Start Date]="","",IF(Table1[Start Date]&gt;42277,"",IF(AND(Table1[Leaving Date]&gt;1,Table1[Leaving Date]&lt;42186),"",1)))</f>
        <v/>
      </c>
      <c r="DR556" s="92" t="str">
        <f>IF(Table1[Start Date]="","",IF(Table1[Start Date]&gt;42369,"",IF(AND(Table1[Leaving Date]&gt;1,Table1[Leaving Date]&lt;42278),"",1)))</f>
        <v/>
      </c>
      <c r="DS556" s="92" t="str">
        <f>IF(Table1[Start Date]="","",IF(Table1[Start Date]&gt;42460,"",IF(AND(Table1[Leaving Date]&gt;1,Table1[Leaving Date]&lt;42370),"",1)))</f>
        <v/>
      </c>
      <c r="DT556" s="92" t="str">
        <f>IF(Table1[Start Date]="","",IF(Table1[Start Date]&gt;42551,"",IF(AND(Table1[Leaving Date]&gt;1,Table1[Leaving Date]&lt;42461),"",1)))</f>
        <v/>
      </c>
      <c r="DU556" s="92" t="str">
        <f>IF(Table1[Start Date]="","",IF(Table1[Start Date]&gt;42643,"",IF(AND(Table1[Leaving Date]&gt;1,Table1[Leaving Date]&lt;42552),"",1)))</f>
        <v/>
      </c>
      <c r="DV556" s="92" t="str">
        <f>IF(Table1[Start Date]="","",IF(Table1[Start Date]&gt;42735,"",IF(AND(Table1[Leaving Date]&gt;1,Table1[Leaving Date]&lt;42644),"",1)))</f>
        <v/>
      </c>
      <c r="DW556" s="92" t="str">
        <f>IF(Table1[Start Date]="","",IF(Table1[Start Date]&gt;42825,"",IF(AND(Table1[Leaving Date]&gt;1,Table1[Leaving Date]&lt;42736),"",1)))</f>
        <v/>
      </c>
      <c r="DX556"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556" s="44" t="e">
        <f>VLOOKUP(Table1[Referral Source],Lists!$G$2:$H$20,2,FALSE)</f>
        <v>#N/A</v>
      </c>
      <c r="DZ556" s="93" t="e">
        <f>SUM(Table1[Data Referral Quarter]+Table1[Data Referral Source])</f>
        <v>#N/A</v>
      </c>
      <c r="EA556" s="44" t="b">
        <f>IF(Table1[Referral Decision]="Accepted",100,IF(Table1[Referral Decision]="Rejected by Provider",200,IF(Table1[Referral Decision]="Rejected by Applicant",300)))</f>
        <v>0</v>
      </c>
      <c r="EB556" s="44">
        <f>SUM(Table1[Data Referral Quarter]+Table1[Data Referral Decision])</f>
        <v>0</v>
      </c>
      <c r="EC556" s="44" t="b">
        <f>IF(Table1[Start Date]&gt;42735,8000,IF(Table1[Start Date]&gt;42643,7000,IF(Table1[Start Date]&gt;42551,6000,IF(Table1[Start Date]&gt;42460,5000,IF(Table1[Start Date]&gt;42369,4000,IF(Table1[Start Date]&gt;42277,3000,IF(Table1[Start Date]&gt;42185,2000,IF(Table1[Start Date]&gt;42094,1000))))))))</f>
        <v>0</v>
      </c>
      <c r="ED556" s="44" t="str">
        <f>IF(Table1[Start Date]="","",IF(Table1[Current Local Authority]="Swindon",1,"2"))</f>
        <v/>
      </c>
      <c r="EE556" s="44" t="e">
        <f>SUM(Table1[Data Start Date]+Table1[Data Local Authority])</f>
        <v>#VALUE!</v>
      </c>
      <c r="EF556" s="44">
        <f>IF(Table1[Registered with GP]="Yes",1,0)</f>
        <v>0</v>
      </c>
      <c r="EG556" s="44">
        <f>SUM(Table1[Data Start Date]+Table1[Data GP Start])</f>
        <v>0</v>
      </c>
      <c r="EH556" s="44" t="str">
        <f>IF(Table1[EET]="NEET",1,IF(Table1[EET]="Education",2,IF(Table1[EET]="Employment",2,IF(Table1[EET]="Training",2,IF(Table1[EET]="Retired",3,"")))))</f>
        <v/>
      </c>
      <c r="EI556" s="44" t="e">
        <f>Table1[Data Start Date]+Table1[Data EET Start]</f>
        <v>#VALUE!</v>
      </c>
      <c r="EJ556" s="44" t="b">
        <f>IF(Table1[Leaving Date]&gt;42735,8000,IF(Table1[Leaving Date]&gt;42643,7000,IF(Table1[Leaving Date]&gt;42551,6000,IF(Table1[Leaving Date]&gt;42460,5000,IF(Table1[Leaving Date]&gt;42369,4000,IF(Table1[Leaving Date]&gt;42277,3000,IF(Table1[Leaving Date]&gt;42185,2000,IF(Table1[Leaving Date]&gt;42094,1000))))))))</f>
        <v>0</v>
      </c>
      <c r="EK556" s="44" t="e">
        <f>VLOOKUP(Table1[Reason for Leaving],Lists!$T$2:$U$15,2,FALSE)</f>
        <v>#N/A</v>
      </c>
      <c r="EL556" s="44" t="e">
        <f>SUM(Table1[Data Leavers Date]+Table1[Data Move On])</f>
        <v>#N/A</v>
      </c>
      <c r="EM556" s="44" t="b">
        <f>IF(Table1[Registered with GP2]="Yes",1,IF(Table1[Registered with GP2]="No",0,IF(Table1[Registered with GP]="Yes",1,IF(Table1[Registered with GP]="No",0))))</f>
        <v>0</v>
      </c>
      <c r="EN556" s="44">
        <f>SUM(Table1[Data Leavers Date]+Table1[Data GP End])</f>
        <v>0</v>
      </c>
      <c r="EO556" s="44" t="str">
        <f>IF(Table1[EET2]="NEET",1,IF(Table1[EET2]="Employment",2,IF(Table1[EET2]="Education",2,IF(Table1[EET2]="Training",2,IF(Table1[EET2]="Retired",3,IF(Table1[EET]="NEET",1,IF(Table1[EET]="Employment",2,IF(Table1[EET]="Education",2,IF(Table1[EET]="Training",2,IF(Table1[EET]="Retired",3,""))))))))))</f>
        <v/>
      </c>
      <c r="EP556" s="44" t="e">
        <f>+Table1[[#This Row],[Data Leavers Date]]+Table1[[#This Row],[Data EET End]]</f>
        <v>#VALUE!</v>
      </c>
      <c r="EQ556" s="44">
        <f>IF(Table1[Exit Form Received]="Yes",1,0)</f>
        <v>0</v>
      </c>
      <c r="ER556" s="44">
        <f>+Table1[[#This Row],[Data Leavers Date]]+Table1[[#This Row],[Data Exit Forms]]</f>
        <v>0</v>
      </c>
      <c r="ES556" s="44" t="str">
        <f>IF(Table1[Data Leavers Date]=1000,SUM(Table1[Leaving Date]-Table1[Start Date]),"")</f>
        <v/>
      </c>
      <c r="ET556" s="44" t="str">
        <f>IF(Table1[Data Leavers Date]=2000,SUM(Table1[Leaving Date]-Table1[Start Date]),"")</f>
        <v/>
      </c>
      <c r="EU556" s="44" t="str">
        <f>IF(Table1[Data Leavers Date]=3000,SUM(Table1[Leaving Date]-Table1[Start Date]),"")</f>
        <v/>
      </c>
      <c r="EV556" s="44" t="str">
        <f>IF(Table1[Data Leavers Date]=4000,SUM(Table1[Leaving Date]-Table1[Start Date]),"")</f>
        <v/>
      </c>
      <c r="EW556" s="44" t="str">
        <f>IF(Table1[Data Leavers Date]=5000,SUM(Table1[Leaving Date]-Table1[Start Date]),"")</f>
        <v/>
      </c>
      <c r="EX556" s="44" t="str">
        <f>IF(Table1[Data Leavers Date]=6000,SUM(Table1[Leaving Date]-Table1[Start Date]),"")</f>
        <v/>
      </c>
      <c r="EY556" s="44" t="str">
        <f>IF(Table1[Data Leavers Date]=7000,SUM(Table1[Leaving Date]-Table1[Start Date]),"")</f>
        <v/>
      </c>
      <c r="EZ556" s="44" t="str">
        <f>IF(Table1[Data Leavers Date]=8000,SUM(Table1[Leaving Date]-Table1[Start Date]),"")</f>
        <v/>
      </c>
      <c r="FA556" s="44" t="str">
        <f>IF(Table1[Date of Initial Assessment]="","",IF(AND(Table1[Start Date]&gt;42094,Table1[Start Date]&lt;42461),Table1[Motivation and Taking Responsibility],""))</f>
        <v/>
      </c>
      <c r="FB556" s="44" t="str">
        <f>IF(Table1[Date of Initial Assessment]="","",IF(AND(Table1[Start Date]&gt;42094,Table1[Start Date]&lt;42461),Table1[Self-Care and Living Skills],""))</f>
        <v/>
      </c>
      <c r="FC556" s="44" t="str">
        <f>IF(Table1[Date of Initial Assessment]="","",IF(AND(Table1[Start Date]&gt;42094,Table1[Start Date]&lt;42461),Table1[Managing Money and Personal Administration],""))</f>
        <v/>
      </c>
      <c r="FD556" s="44" t="str">
        <f>IF(Table1[Date of Initial Assessment]="","",IF(AND(Table1[Start Date]&gt;42094,Table1[Start Date]&lt;42461),Table1[Social Networks and Relationships],""))</f>
        <v/>
      </c>
      <c r="FE556" s="44" t="str">
        <f>IF(Table1[Date of Initial Assessment]="","",IF(AND(Table1[Start Date]&gt;42094,Table1[Start Date]&lt;42461),Table1[Drug and Alcohol Misuse],""))</f>
        <v/>
      </c>
      <c r="FF556" s="44" t="str">
        <f>IF(Table1[Date of Initial Assessment]="","",IF(AND(Table1[Start Date]&gt;42094,Table1[Start Date]&lt;42461),Table1[Physical Health],""))</f>
        <v/>
      </c>
      <c r="FG556" s="44" t="str">
        <f>IF(Table1[Date of Initial Assessment]="","",IF(AND(Table1[Start Date]&gt;42094,Table1[Start Date]&lt;42461),Table1[Emotional and Mental Health],""))</f>
        <v/>
      </c>
      <c r="FH556" s="44" t="str">
        <f>IF(Table1[Date of Initial Assessment]="","",IF(AND(Table1[Start Date]&gt;42094,Table1[Start Date]&lt;42461),Table1[Meaningful Use of Time],""))</f>
        <v/>
      </c>
      <c r="FI556" s="44" t="str">
        <f>IF(Table1[Date of Initial Assessment]="","",IF(AND(Table1[Start Date]&gt;42094,Table1[Start Date]&lt;42461),Table1[Managing Tenancy and Accommodation],""))</f>
        <v/>
      </c>
      <c r="FJ556" s="44" t="str">
        <f>IF(Table1[Date of Initial Assessment]="","",IF(AND(Table1[Start Date]&gt;42094,Table1[Start Date]&lt;42461),Table1[Offending],""))</f>
        <v/>
      </c>
      <c r="FK556" s="44" t="str">
        <f>IF(Table1[Leaving Date]="","",IF(Table1[Date of Initial Assessment]="","",IF(AND(Table1[Leaving Date]&gt;42094,Table1[Leaving Date]&lt;42461),IF(Table1[Date of Last Assessment]="",Table1[Motivation and Taking Responsibility],Table1[Motivation and Taking Responsibility2]),"")))</f>
        <v/>
      </c>
      <c r="FL556" s="44" t="str">
        <f>IF(Table1[Leaving Date]="","",IF(Table1[Date of Initial Assessment]="","",IF(AND(Table1[Leaving Date]&gt;42094,Table1[Leaving Date]&lt;42461),IF(Table1[Date of Last Assessment]="",Table1[Self-Care and Living Skills],Table1[Self-Care and Living Skills2]),"")))</f>
        <v/>
      </c>
      <c r="FM556" s="44" t="str">
        <f>IF(Table1[Leaving Date]="","",IF(Table1[Date of Initial Assessment]="","",IF(AND(Table1[Leaving Date]&gt;42094,Table1[Leaving Date]&lt;42461),IF(Table1[Date of Last Assessment]="",Table1[Managing Money and Personal Administration],Table1[Managing Money and Personal Administration2]),"")))</f>
        <v/>
      </c>
      <c r="FN556" s="44" t="str">
        <f>IF(Table1[Leaving Date]="","",IF(Table1[Date of Initial Assessment]="","",IF(AND(Table1[Leaving Date]&gt;42094,Table1[Leaving Date]&lt;42461),IF(Table1[Date of Last Assessment]="",Table1[Social Networks and Relationships],Table1[Social Networks and Relationships2]),"")))</f>
        <v/>
      </c>
      <c r="FO556" s="44" t="str">
        <f>IF(Table1[Leaving Date]="","",IF(Table1[Date of Initial Assessment]="","",IF(AND(Table1[Leaving Date]&gt;42094,Table1[Leaving Date]&lt;42461),IF(Table1[Date of Last Assessment]="",Table1[Drug and Alcohol Misuse],Table1[Drug and Alcohol Misuse2]),"")))</f>
        <v/>
      </c>
      <c r="FP556" s="44" t="str">
        <f>IF(Table1[Leaving Date]="","",IF(Table1[Date of Initial Assessment]="","",IF(AND(Table1[Leaving Date]&gt;42094,Table1[Leaving Date]&lt;42461),IF(Table1[Date of Last Assessment]="",Table1[Physical Health],Table1[Physical Health2]),"")))</f>
        <v/>
      </c>
      <c r="FQ556" s="44" t="str">
        <f>IF(Table1[Leaving Date]="","",IF(Table1[Date of Initial Assessment]="","",IF(AND(Table1[Leaving Date]&gt;42094,Table1[Leaving Date]&lt;42461),IF(Table1[Date of Last Assessment]="",Table1[Emotional and Mental Health],Table1[Emotional and Mental Health2]),"")))</f>
        <v/>
      </c>
      <c r="FR556" s="44" t="str">
        <f>IF(Table1[Leaving Date]="","",IF(Table1[Date of Initial Assessment]="","",IF(AND(Table1[Leaving Date]&gt;42094,Table1[Leaving Date]&lt;42461),IF(Table1[Date of Last Assessment]="",Table1[Meaningful Use of Time],Table1[Meaningful Use of Time2]),"")))</f>
        <v/>
      </c>
      <c r="FS556" s="44" t="str">
        <f>IF(Table1[Leaving Date]="","",IF(Table1[Date of Initial Assessment]="","",IF(AND(Table1[Leaving Date]&gt;42094,Table1[Leaving Date]&lt;42461),IF(Table1[Date of Last Assessment]="",Table1[Managing Tenancy and Accommodation],Table1[Managing Tenancy and Accommodation2]),"")))</f>
        <v/>
      </c>
      <c r="FT556" s="44" t="str">
        <f>IF(Table1[Leaving Date]="","",IF(Table1[Date of Initial Assessment]="","",IF(AND(Table1[Leaving Date]&gt;42094,Table1[Leaving Date]&lt;42461),IF(Table1[Date of Last Assessment]="",Table1[Offending],Table1[Offending2]),"")))</f>
        <v/>
      </c>
      <c r="FU556" s="44" t="str">
        <f>IF(Table1[Date of Initial Assessment]="","",IF(AND(Table1[Start Date]&gt;42460,Table1[Start Date]&lt;42826),Table1[Motivation and Taking Responsibility],""))</f>
        <v/>
      </c>
      <c r="FV556" s="44" t="str">
        <f>IF(Table1[Date of Initial Assessment]="","",IF(AND(Table1[Start Date]&gt;42460,Table1[Start Date]&lt;42826),Table1[Self-Care and Living Skills],""))</f>
        <v/>
      </c>
      <c r="FW556" s="44" t="str">
        <f>IF(Table1[Date of Initial Assessment]="","",IF(AND(Table1[Start Date]&gt;42460,Table1[Start Date]&lt;42826),Table1[Managing Money and Personal Administration],""))</f>
        <v/>
      </c>
      <c r="FX556" s="44" t="str">
        <f>IF(Table1[Date of Initial Assessment]="","",IF(AND(Table1[Start Date]&gt;42460,Table1[Start Date]&lt;42826),Table1[Social Networks and Relationships],""))</f>
        <v/>
      </c>
      <c r="FY556" s="44" t="str">
        <f>IF(Table1[Date of Initial Assessment]="","",IF(AND(Table1[Start Date]&gt;42460,Table1[Start Date]&lt;42826),Table1[Drug and Alcohol Misuse],""))</f>
        <v/>
      </c>
      <c r="FZ556" s="44" t="str">
        <f>IF(Table1[Date of Initial Assessment]="","",IF(AND(Table1[Start Date]&gt;42460,Table1[Start Date]&lt;42826),Table1[Physical Health],""))</f>
        <v/>
      </c>
      <c r="GA556" s="44" t="str">
        <f>IF(Table1[Date of Initial Assessment]="","",IF(AND(Table1[Start Date]&gt;42460,Table1[Start Date]&lt;42826),Table1[Emotional and Mental Health],""))</f>
        <v/>
      </c>
      <c r="GB556" s="44" t="str">
        <f>IF(Table1[Date of Initial Assessment]="","",IF(AND(Table1[Start Date]&gt;42460,Table1[Start Date]&lt;42826),Table1[Meaningful Use of Time],""))</f>
        <v/>
      </c>
      <c r="GC556" s="44" t="str">
        <f>IF(Table1[Date of Initial Assessment]="","",IF(AND(Table1[Start Date]&gt;42460,Table1[Start Date]&lt;42826),Table1[Managing Tenancy and Accommodation],""))</f>
        <v/>
      </c>
      <c r="GD556" s="44" t="str">
        <f>IF(Table1[Date of Initial Assessment]="","",IF(AND(Table1[Start Date]&gt;42460,Table1[Start Date]&lt;42826),Table1[Offending],""))</f>
        <v/>
      </c>
      <c r="GE556" s="44" t="str">
        <f>IF(Table1[Leaving Date]="","",IF(AND(Table1[Leaving Date]&gt;42460,Table1[Leaving Date]&lt;42826),IF(Table1[Date of Last Assessment]="",Table1[Motivation and Taking Responsibility],Table1[Motivation and Taking Responsibility2]),""))</f>
        <v/>
      </c>
      <c r="GF556" s="44" t="str">
        <f>IF(Table1[Leaving Date]="","",IF(AND(Table1[Leaving Date]&gt;42460,Table1[Leaving Date]&lt;42826),IF(Table1[Date of Last Assessment]="",Table1[Self-Care and Living Skills],Table1[Self-Care and Living Skills2]),""))</f>
        <v/>
      </c>
      <c r="GG556" s="44" t="str">
        <f>IF(Table1[Leaving Date]="","",IF(AND(Table1[Leaving Date]&gt;42460,Table1[Leaving Date]&lt;42826),IF(Table1[Date of Last Assessment]="",Table1[Managing Money and Personal Administration],Table1[Managing Money and Personal Administration2]),""))</f>
        <v/>
      </c>
      <c r="GH556" s="44" t="str">
        <f>IF(Table1[Leaving Date]="","",IF(AND(Table1[Leaving Date]&gt;42460,Table1[Leaving Date]&lt;42826),IF(Table1[Date of Last Assessment]="",Table1[Social Networks and Relationships],Table1[Social Networks and Relationships2]),""))</f>
        <v/>
      </c>
      <c r="GI556" s="44" t="str">
        <f>IF(Table1[Leaving Date]="","",IF(AND(Table1[Leaving Date]&gt;42460,Table1[Leaving Date]&lt;42826),IF(Table1[Date of Last Assessment]="",Table1[Drug and Alcohol Misuse],Table1[Drug and Alcohol Misuse2]),""))</f>
        <v/>
      </c>
      <c r="GJ556" s="44" t="str">
        <f>IF(Table1[Leaving Date]="","",IF(AND(Table1[Leaving Date]&gt;42460,Table1[Leaving Date]&lt;42826),IF(Table1[Date of Last Assessment]="",Table1[Physical Health],Table1[Physical Health2]),""))</f>
        <v/>
      </c>
      <c r="GK556" s="44" t="str">
        <f>IF(Table1[Leaving Date]="","",IF(AND(Table1[Leaving Date]&gt;42460,Table1[Leaving Date]&lt;42826),IF(Table1[Date of Last Assessment]="",Table1[Emotional and Mental Health],Table1[Emotional and Mental Health2]),""))</f>
        <v/>
      </c>
      <c r="GL556" s="44" t="str">
        <f>IF(Table1[Leaving Date]="","",IF(AND(Table1[Leaving Date]&gt;42460,Table1[Leaving Date]&lt;42826),IF(Table1[Date of Last Assessment]="",Table1[Meaningful Use of Time],Table1[Meaningful Use of Time2]),""))</f>
        <v/>
      </c>
      <c r="GM556" s="44" t="str">
        <f>IF(Table1[Leaving Date]="","",IF(AND(Table1[Leaving Date]&gt;42460,Table1[Leaving Date]&lt;42826),IF(Table1[Date of Last Assessment]="",Table1[Managing Tenancy and Accommodation],Table1[Managing Tenancy and Accommodation2]),""))</f>
        <v/>
      </c>
      <c r="GN556" s="44" t="str">
        <f>IF(Table1[Leaving Date]="","",IF(AND(Table1[Leaving Date]&gt;42460,Table1[Leaving Date]&lt;42826),IF(Table1[Date of Last Assessment]="",Table1[Offending],Table1[Offending2]),""))</f>
        <v/>
      </c>
    </row>
    <row r="557" spans="2:196" ht="20.100000000000001" customHeight="1" x14ac:dyDescent="0.2">
      <c r="B557" s="86">
        <f>+'Service Data'!$C$5:$C$5</f>
        <v>0</v>
      </c>
      <c r="C557" s="86"/>
      <c r="D557" s="86"/>
      <c r="E557" s="86"/>
      <c r="F557" s="86"/>
      <c r="G557" s="86"/>
      <c r="H557" s="6"/>
      <c r="I557" s="99" t="str">
        <f ca="1">IF(Table1[[#This Row],[Date of Birth]]="","",SUM(TODAY()-Table1[[#This Row],[Date of Birth]])/365)</f>
        <v/>
      </c>
      <c r="L557" s="86"/>
      <c r="M557" s="77"/>
      <c r="N557" s="86"/>
      <c r="O557" s="86"/>
      <c r="P557" s="91"/>
      <c r="Q557" s="86"/>
      <c r="R557" s="77"/>
      <c r="S557" s="77"/>
      <c r="T557" s="68"/>
      <c r="U557" s="68"/>
      <c r="V557" s="67"/>
      <c r="W557" s="67"/>
      <c r="X557" s="67"/>
      <c r="Y557" s="67"/>
      <c r="Z557" s="67"/>
      <c r="AA557" s="67"/>
      <c r="AB557" s="67"/>
      <c r="AC557" s="67"/>
      <c r="AD557" s="67"/>
      <c r="AE557" s="67"/>
      <c r="AF557" s="67"/>
      <c r="AG557" s="67"/>
      <c r="AH557" s="67"/>
      <c r="AI557" s="67"/>
      <c r="AJ557" s="67"/>
      <c r="AK557" s="67"/>
      <c r="AL557" s="67"/>
      <c r="AM557" s="67"/>
      <c r="AN557" s="77"/>
      <c r="AO557" s="76"/>
      <c r="AP557" s="77"/>
      <c r="AQ557" s="76"/>
      <c r="AR557" s="76"/>
      <c r="AS557" s="76"/>
      <c r="AT557" s="76"/>
      <c r="AU557" s="76"/>
      <c r="AV557" s="77"/>
      <c r="AW557" s="76"/>
      <c r="AX557" s="77"/>
      <c r="AY557" s="76"/>
      <c r="AZ557" s="76"/>
      <c r="BA557" s="76"/>
      <c r="BB557" s="76"/>
      <c r="BC557" s="76"/>
      <c r="BD557" s="77"/>
      <c r="BE557" s="76"/>
      <c r="BF557" s="77"/>
      <c r="BG557" s="76"/>
      <c r="BH557" s="76"/>
      <c r="BI557" s="76"/>
      <c r="BJ557" s="76"/>
      <c r="BK557" s="76"/>
      <c r="BL557" s="77"/>
      <c r="BM557" s="76"/>
      <c r="BN557" s="77"/>
      <c r="BO557" s="76"/>
      <c r="BP557" s="76"/>
      <c r="BQ557" s="76"/>
      <c r="BR557" s="76"/>
      <c r="BS557" s="76"/>
      <c r="BT557" s="77"/>
      <c r="BU557" s="76"/>
      <c r="BV557" s="77"/>
      <c r="BW557" s="76"/>
      <c r="BX557" s="76"/>
      <c r="BY557" s="76"/>
      <c r="BZ557" s="76"/>
      <c r="CA557" s="76"/>
      <c r="CB557" s="77"/>
      <c r="CC557" s="76"/>
      <c r="CD557" s="77"/>
      <c r="CE557" s="76"/>
      <c r="CF557" s="76"/>
      <c r="CG557" s="76"/>
      <c r="CH557" s="76"/>
      <c r="CI557" s="76"/>
      <c r="CJ557" s="77"/>
      <c r="CK557" s="76"/>
      <c r="CL557" s="77"/>
      <c r="CM557" s="76"/>
      <c r="CN557" s="76"/>
      <c r="CO557" s="76"/>
      <c r="CP557" s="76"/>
      <c r="CQ557" s="76"/>
      <c r="CR557" s="78" t="str">
        <f t="shared" si="143"/>
        <v/>
      </c>
      <c r="CS557" s="79" t="str">
        <f t="shared" si="144"/>
        <v/>
      </c>
      <c r="CT557" s="79" t="str">
        <f t="shared" si="145"/>
        <v/>
      </c>
      <c r="CU557" s="79" t="str">
        <f t="shared" si="146"/>
        <v/>
      </c>
      <c r="CV557" s="79" t="str">
        <f t="shared" si="147"/>
        <v/>
      </c>
      <c r="CW557" s="79" t="str">
        <f t="shared" si="148"/>
        <v/>
      </c>
      <c r="CX557" s="79" t="str">
        <f t="shared" si="149"/>
        <v/>
      </c>
      <c r="CY557" s="79" t="str">
        <f t="shared" si="150"/>
        <v/>
      </c>
      <c r="CZ557" s="79" t="str">
        <f t="shared" si="151"/>
        <v/>
      </c>
      <c r="DA557" s="79" t="str">
        <f t="shared" si="152"/>
        <v/>
      </c>
      <c r="DB557" s="79" t="str">
        <f t="shared" si="153"/>
        <v/>
      </c>
      <c r="DC557" s="79" t="str">
        <f t="shared" si="154"/>
        <v/>
      </c>
      <c r="DD557" s="79" t="str">
        <f t="shared" si="155"/>
        <v/>
      </c>
      <c r="DE557" s="79" t="str">
        <f t="shared" si="156"/>
        <v/>
      </c>
      <c r="DF557" s="79" t="str">
        <f t="shared" si="157"/>
        <v/>
      </c>
      <c r="DG557" s="79" t="str">
        <f t="shared" si="158"/>
        <v/>
      </c>
      <c r="DH557" s="76"/>
      <c r="DI557" s="78"/>
      <c r="DJ557" s="76"/>
      <c r="DK557" s="77"/>
      <c r="DL557" s="77"/>
      <c r="DM557" s="77"/>
      <c r="DN557" s="80"/>
      <c r="DO557" s="80"/>
      <c r="DP557" s="92" t="str">
        <f>IF(Table1[Start Date]="","",IF(Table1[Start Date]&gt;42185,"",IF(AND(Table1[Leaving Date]&gt;1,Table1[Leaving Date]&lt;42095),"",1)))</f>
        <v/>
      </c>
      <c r="DQ557" s="92" t="str">
        <f>IF(Table1[Start Date]="","",IF(Table1[Start Date]&gt;42277,"",IF(AND(Table1[Leaving Date]&gt;1,Table1[Leaving Date]&lt;42186),"",1)))</f>
        <v/>
      </c>
      <c r="DR557" s="92" t="str">
        <f>IF(Table1[Start Date]="","",IF(Table1[Start Date]&gt;42369,"",IF(AND(Table1[Leaving Date]&gt;1,Table1[Leaving Date]&lt;42278),"",1)))</f>
        <v/>
      </c>
      <c r="DS557" s="92" t="str">
        <f>IF(Table1[Start Date]="","",IF(Table1[Start Date]&gt;42460,"",IF(AND(Table1[Leaving Date]&gt;1,Table1[Leaving Date]&lt;42370),"",1)))</f>
        <v/>
      </c>
      <c r="DT557" s="92" t="str">
        <f>IF(Table1[Start Date]="","",IF(Table1[Start Date]&gt;42551,"",IF(AND(Table1[Leaving Date]&gt;1,Table1[Leaving Date]&lt;42461),"",1)))</f>
        <v/>
      </c>
      <c r="DU557" s="92" t="str">
        <f>IF(Table1[Start Date]="","",IF(Table1[Start Date]&gt;42643,"",IF(AND(Table1[Leaving Date]&gt;1,Table1[Leaving Date]&lt;42552),"",1)))</f>
        <v/>
      </c>
      <c r="DV557" s="92" t="str">
        <f>IF(Table1[Start Date]="","",IF(Table1[Start Date]&gt;42735,"",IF(AND(Table1[Leaving Date]&gt;1,Table1[Leaving Date]&lt;42644),"",1)))</f>
        <v/>
      </c>
      <c r="DW557" s="92" t="str">
        <f>IF(Table1[Start Date]="","",IF(Table1[Start Date]&gt;42825,"",IF(AND(Table1[Leaving Date]&gt;1,Table1[Leaving Date]&lt;42736),"",1)))</f>
        <v/>
      </c>
      <c r="DX557"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557" s="44" t="e">
        <f>VLOOKUP(Table1[Referral Source],Lists!$G$2:$H$20,2,FALSE)</f>
        <v>#N/A</v>
      </c>
      <c r="DZ557" s="93" t="e">
        <f>SUM(Table1[Data Referral Quarter]+Table1[Data Referral Source])</f>
        <v>#N/A</v>
      </c>
      <c r="EA557" s="44" t="b">
        <f>IF(Table1[Referral Decision]="Accepted",100,IF(Table1[Referral Decision]="Rejected by Provider",200,IF(Table1[Referral Decision]="Rejected by Applicant",300)))</f>
        <v>0</v>
      </c>
      <c r="EB557" s="44">
        <f>SUM(Table1[Data Referral Quarter]+Table1[Data Referral Decision])</f>
        <v>0</v>
      </c>
      <c r="EC557" s="44" t="b">
        <f>IF(Table1[Start Date]&gt;42735,8000,IF(Table1[Start Date]&gt;42643,7000,IF(Table1[Start Date]&gt;42551,6000,IF(Table1[Start Date]&gt;42460,5000,IF(Table1[Start Date]&gt;42369,4000,IF(Table1[Start Date]&gt;42277,3000,IF(Table1[Start Date]&gt;42185,2000,IF(Table1[Start Date]&gt;42094,1000))))))))</f>
        <v>0</v>
      </c>
      <c r="ED557" s="44" t="str">
        <f>IF(Table1[Start Date]="","",IF(Table1[Current Local Authority]="Swindon",1,"2"))</f>
        <v/>
      </c>
      <c r="EE557" s="44" t="e">
        <f>SUM(Table1[Data Start Date]+Table1[Data Local Authority])</f>
        <v>#VALUE!</v>
      </c>
      <c r="EF557" s="44">
        <f>IF(Table1[Registered with GP]="Yes",1,0)</f>
        <v>0</v>
      </c>
      <c r="EG557" s="44">
        <f>SUM(Table1[Data Start Date]+Table1[Data GP Start])</f>
        <v>0</v>
      </c>
      <c r="EH557" s="44" t="str">
        <f>IF(Table1[EET]="NEET",1,IF(Table1[EET]="Education",2,IF(Table1[EET]="Employment",2,IF(Table1[EET]="Training",2,IF(Table1[EET]="Retired",3,"")))))</f>
        <v/>
      </c>
      <c r="EI557" s="44" t="e">
        <f>Table1[Data Start Date]+Table1[Data EET Start]</f>
        <v>#VALUE!</v>
      </c>
      <c r="EJ557" s="44" t="b">
        <f>IF(Table1[Leaving Date]&gt;42735,8000,IF(Table1[Leaving Date]&gt;42643,7000,IF(Table1[Leaving Date]&gt;42551,6000,IF(Table1[Leaving Date]&gt;42460,5000,IF(Table1[Leaving Date]&gt;42369,4000,IF(Table1[Leaving Date]&gt;42277,3000,IF(Table1[Leaving Date]&gt;42185,2000,IF(Table1[Leaving Date]&gt;42094,1000))))))))</f>
        <v>0</v>
      </c>
      <c r="EK557" s="44" t="e">
        <f>VLOOKUP(Table1[Reason for Leaving],Lists!$T$2:$U$15,2,FALSE)</f>
        <v>#N/A</v>
      </c>
      <c r="EL557" s="44" t="e">
        <f>SUM(Table1[Data Leavers Date]+Table1[Data Move On])</f>
        <v>#N/A</v>
      </c>
      <c r="EM557" s="44" t="b">
        <f>IF(Table1[Registered with GP2]="Yes",1,IF(Table1[Registered with GP2]="No",0,IF(Table1[Registered with GP]="Yes",1,IF(Table1[Registered with GP]="No",0))))</f>
        <v>0</v>
      </c>
      <c r="EN557" s="44">
        <f>SUM(Table1[Data Leavers Date]+Table1[Data GP End])</f>
        <v>0</v>
      </c>
      <c r="EO557" s="44" t="str">
        <f>IF(Table1[EET2]="NEET",1,IF(Table1[EET2]="Employment",2,IF(Table1[EET2]="Education",2,IF(Table1[EET2]="Training",2,IF(Table1[EET2]="Retired",3,IF(Table1[EET]="NEET",1,IF(Table1[EET]="Employment",2,IF(Table1[EET]="Education",2,IF(Table1[EET]="Training",2,IF(Table1[EET]="Retired",3,""))))))))))</f>
        <v/>
      </c>
      <c r="EP557" s="44" t="e">
        <f>+Table1[[#This Row],[Data Leavers Date]]+Table1[[#This Row],[Data EET End]]</f>
        <v>#VALUE!</v>
      </c>
      <c r="EQ557" s="44">
        <f>IF(Table1[Exit Form Received]="Yes",1,0)</f>
        <v>0</v>
      </c>
      <c r="ER557" s="44">
        <f>+Table1[[#This Row],[Data Leavers Date]]+Table1[[#This Row],[Data Exit Forms]]</f>
        <v>0</v>
      </c>
      <c r="ES557" s="44" t="str">
        <f>IF(Table1[Data Leavers Date]=1000,SUM(Table1[Leaving Date]-Table1[Start Date]),"")</f>
        <v/>
      </c>
      <c r="ET557" s="44" t="str">
        <f>IF(Table1[Data Leavers Date]=2000,SUM(Table1[Leaving Date]-Table1[Start Date]),"")</f>
        <v/>
      </c>
      <c r="EU557" s="44" t="str">
        <f>IF(Table1[Data Leavers Date]=3000,SUM(Table1[Leaving Date]-Table1[Start Date]),"")</f>
        <v/>
      </c>
      <c r="EV557" s="44" t="str">
        <f>IF(Table1[Data Leavers Date]=4000,SUM(Table1[Leaving Date]-Table1[Start Date]),"")</f>
        <v/>
      </c>
      <c r="EW557" s="44" t="str">
        <f>IF(Table1[Data Leavers Date]=5000,SUM(Table1[Leaving Date]-Table1[Start Date]),"")</f>
        <v/>
      </c>
      <c r="EX557" s="44" t="str">
        <f>IF(Table1[Data Leavers Date]=6000,SUM(Table1[Leaving Date]-Table1[Start Date]),"")</f>
        <v/>
      </c>
      <c r="EY557" s="44" t="str">
        <f>IF(Table1[Data Leavers Date]=7000,SUM(Table1[Leaving Date]-Table1[Start Date]),"")</f>
        <v/>
      </c>
      <c r="EZ557" s="44" t="str">
        <f>IF(Table1[Data Leavers Date]=8000,SUM(Table1[Leaving Date]-Table1[Start Date]),"")</f>
        <v/>
      </c>
      <c r="FA557" s="44" t="str">
        <f>IF(Table1[Date of Initial Assessment]="","",IF(AND(Table1[Start Date]&gt;42094,Table1[Start Date]&lt;42461),Table1[Motivation and Taking Responsibility],""))</f>
        <v/>
      </c>
      <c r="FB557" s="44" t="str">
        <f>IF(Table1[Date of Initial Assessment]="","",IF(AND(Table1[Start Date]&gt;42094,Table1[Start Date]&lt;42461),Table1[Self-Care and Living Skills],""))</f>
        <v/>
      </c>
      <c r="FC557" s="44" t="str">
        <f>IF(Table1[Date of Initial Assessment]="","",IF(AND(Table1[Start Date]&gt;42094,Table1[Start Date]&lt;42461),Table1[Managing Money and Personal Administration],""))</f>
        <v/>
      </c>
      <c r="FD557" s="44" t="str">
        <f>IF(Table1[Date of Initial Assessment]="","",IF(AND(Table1[Start Date]&gt;42094,Table1[Start Date]&lt;42461),Table1[Social Networks and Relationships],""))</f>
        <v/>
      </c>
      <c r="FE557" s="44" t="str">
        <f>IF(Table1[Date of Initial Assessment]="","",IF(AND(Table1[Start Date]&gt;42094,Table1[Start Date]&lt;42461),Table1[Drug and Alcohol Misuse],""))</f>
        <v/>
      </c>
      <c r="FF557" s="44" t="str">
        <f>IF(Table1[Date of Initial Assessment]="","",IF(AND(Table1[Start Date]&gt;42094,Table1[Start Date]&lt;42461),Table1[Physical Health],""))</f>
        <v/>
      </c>
      <c r="FG557" s="44" t="str">
        <f>IF(Table1[Date of Initial Assessment]="","",IF(AND(Table1[Start Date]&gt;42094,Table1[Start Date]&lt;42461),Table1[Emotional and Mental Health],""))</f>
        <v/>
      </c>
      <c r="FH557" s="44" t="str">
        <f>IF(Table1[Date of Initial Assessment]="","",IF(AND(Table1[Start Date]&gt;42094,Table1[Start Date]&lt;42461),Table1[Meaningful Use of Time],""))</f>
        <v/>
      </c>
      <c r="FI557" s="44" t="str">
        <f>IF(Table1[Date of Initial Assessment]="","",IF(AND(Table1[Start Date]&gt;42094,Table1[Start Date]&lt;42461),Table1[Managing Tenancy and Accommodation],""))</f>
        <v/>
      </c>
      <c r="FJ557" s="44" t="str">
        <f>IF(Table1[Date of Initial Assessment]="","",IF(AND(Table1[Start Date]&gt;42094,Table1[Start Date]&lt;42461),Table1[Offending],""))</f>
        <v/>
      </c>
      <c r="FK557" s="44" t="str">
        <f>IF(Table1[Leaving Date]="","",IF(Table1[Date of Initial Assessment]="","",IF(AND(Table1[Leaving Date]&gt;42094,Table1[Leaving Date]&lt;42461),IF(Table1[Date of Last Assessment]="",Table1[Motivation and Taking Responsibility],Table1[Motivation and Taking Responsibility2]),"")))</f>
        <v/>
      </c>
      <c r="FL557" s="44" t="str">
        <f>IF(Table1[Leaving Date]="","",IF(Table1[Date of Initial Assessment]="","",IF(AND(Table1[Leaving Date]&gt;42094,Table1[Leaving Date]&lt;42461),IF(Table1[Date of Last Assessment]="",Table1[Self-Care and Living Skills],Table1[Self-Care and Living Skills2]),"")))</f>
        <v/>
      </c>
      <c r="FM557" s="44" t="str">
        <f>IF(Table1[Leaving Date]="","",IF(Table1[Date of Initial Assessment]="","",IF(AND(Table1[Leaving Date]&gt;42094,Table1[Leaving Date]&lt;42461),IF(Table1[Date of Last Assessment]="",Table1[Managing Money and Personal Administration],Table1[Managing Money and Personal Administration2]),"")))</f>
        <v/>
      </c>
      <c r="FN557" s="44" t="str">
        <f>IF(Table1[Leaving Date]="","",IF(Table1[Date of Initial Assessment]="","",IF(AND(Table1[Leaving Date]&gt;42094,Table1[Leaving Date]&lt;42461),IF(Table1[Date of Last Assessment]="",Table1[Social Networks and Relationships],Table1[Social Networks and Relationships2]),"")))</f>
        <v/>
      </c>
      <c r="FO557" s="44" t="str">
        <f>IF(Table1[Leaving Date]="","",IF(Table1[Date of Initial Assessment]="","",IF(AND(Table1[Leaving Date]&gt;42094,Table1[Leaving Date]&lt;42461),IF(Table1[Date of Last Assessment]="",Table1[Drug and Alcohol Misuse],Table1[Drug and Alcohol Misuse2]),"")))</f>
        <v/>
      </c>
      <c r="FP557" s="44" t="str">
        <f>IF(Table1[Leaving Date]="","",IF(Table1[Date of Initial Assessment]="","",IF(AND(Table1[Leaving Date]&gt;42094,Table1[Leaving Date]&lt;42461),IF(Table1[Date of Last Assessment]="",Table1[Physical Health],Table1[Physical Health2]),"")))</f>
        <v/>
      </c>
      <c r="FQ557" s="44" t="str">
        <f>IF(Table1[Leaving Date]="","",IF(Table1[Date of Initial Assessment]="","",IF(AND(Table1[Leaving Date]&gt;42094,Table1[Leaving Date]&lt;42461),IF(Table1[Date of Last Assessment]="",Table1[Emotional and Mental Health],Table1[Emotional and Mental Health2]),"")))</f>
        <v/>
      </c>
      <c r="FR557" s="44" t="str">
        <f>IF(Table1[Leaving Date]="","",IF(Table1[Date of Initial Assessment]="","",IF(AND(Table1[Leaving Date]&gt;42094,Table1[Leaving Date]&lt;42461),IF(Table1[Date of Last Assessment]="",Table1[Meaningful Use of Time],Table1[Meaningful Use of Time2]),"")))</f>
        <v/>
      </c>
      <c r="FS557" s="44" t="str">
        <f>IF(Table1[Leaving Date]="","",IF(Table1[Date of Initial Assessment]="","",IF(AND(Table1[Leaving Date]&gt;42094,Table1[Leaving Date]&lt;42461),IF(Table1[Date of Last Assessment]="",Table1[Managing Tenancy and Accommodation],Table1[Managing Tenancy and Accommodation2]),"")))</f>
        <v/>
      </c>
      <c r="FT557" s="44" t="str">
        <f>IF(Table1[Leaving Date]="","",IF(Table1[Date of Initial Assessment]="","",IF(AND(Table1[Leaving Date]&gt;42094,Table1[Leaving Date]&lt;42461),IF(Table1[Date of Last Assessment]="",Table1[Offending],Table1[Offending2]),"")))</f>
        <v/>
      </c>
      <c r="FU557" s="44" t="str">
        <f>IF(Table1[Date of Initial Assessment]="","",IF(AND(Table1[Start Date]&gt;42460,Table1[Start Date]&lt;42826),Table1[Motivation and Taking Responsibility],""))</f>
        <v/>
      </c>
      <c r="FV557" s="44" t="str">
        <f>IF(Table1[Date of Initial Assessment]="","",IF(AND(Table1[Start Date]&gt;42460,Table1[Start Date]&lt;42826),Table1[Self-Care and Living Skills],""))</f>
        <v/>
      </c>
      <c r="FW557" s="44" t="str">
        <f>IF(Table1[Date of Initial Assessment]="","",IF(AND(Table1[Start Date]&gt;42460,Table1[Start Date]&lt;42826),Table1[Managing Money and Personal Administration],""))</f>
        <v/>
      </c>
      <c r="FX557" s="44" t="str">
        <f>IF(Table1[Date of Initial Assessment]="","",IF(AND(Table1[Start Date]&gt;42460,Table1[Start Date]&lt;42826),Table1[Social Networks and Relationships],""))</f>
        <v/>
      </c>
      <c r="FY557" s="44" t="str">
        <f>IF(Table1[Date of Initial Assessment]="","",IF(AND(Table1[Start Date]&gt;42460,Table1[Start Date]&lt;42826),Table1[Drug and Alcohol Misuse],""))</f>
        <v/>
      </c>
      <c r="FZ557" s="44" t="str">
        <f>IF(Table1[Date of Initial Assessment]="","",IF(AND(Table1[Start Date]&gt;42460,Table1[Start Date]&lt;42826),Table1[Physical Health],""))</f>
        <v/>
      </c>
      <c r="GA557" s="44" t="str">
        <f>IF(Table1[Date of Initial Assessment]="","",IF(AND(Table1[Start Date]&gt;42460,Table1[Start Date]&lt;42826),Table1[Emotional and Mental Health],""))</f>
        <v/>
      </c>
      <c r="GB557" s="44" t="str">
        <f>IF(Table1[Date of Initial Assessment]="","",IF(AND(Table1[Start Date]&gt;42460,Table1[Start Date]&lt;42826),Table1[Meaningful Use of Time],""))</f>
        <v/>
      </c>
      <c r="GC557" s="44" t="str">
        <f>IF(Table1[Date of Initial Assessment]="","",IF(AND(Table1[Start Date]&gt;42460,Table1[Start Date]&lt;42826),Table1[Managing Tenancy and Accommodation],""))</f>
        <v/>
      </c>
      <c r="GD557" s="44" t="str">
        <f>IF(Table1[Date of Initial Assessment]="","",IF(AND(Table1[Start Date]&gt;42460,Table1[Start Date]&lt;42826),Table1[Offending],""))</f>
        <v/>
      </c>
      <c r="GE557" s="44" t="str">
        <f>IF(Table1[Leaving Date]="","",IF(AND(Table1[Leaving Date]&gt;42460,Table1[Leaving Date]&lt;42826),IF(Table1[Date of Last Assessment]="",Table1[Motivation and Taking Responsibility],Table1[Motivation and Taking Responsibility2]),""))</f>
        <v/>
      </c>
      <c r="GF557" s="44" t="str">
        <f>IF(Table1[Leaving Date]="","",IF(AND(Table1[Leaving Date]&gt;42460,Table1[Leaving Date]&lt;42826),IF(Table1[Date of Last Assessment]="",Table1[Self-Care and Living Skills],Table1[Self-Care and Living Skills2]),""))</f>
        <v/>
      </c>
      <c r="GG557" s="44" t="str">
        <f>IF(Table1[Leaving Date]="","",IF(AND(Table1[Leaving Date]&gt;42460,Table1[Leaving Date]&lt;42826),IF(Table1[Date of Last Assessment]="",Table1[Managing Money and Personal Administration],Table1[Managing Money and Personal Administration2]),""))</f>
        <v/>
      </c>
      <c r="GH557" s="44" t="str">
        <f>IF(Table1[Leaving Date]="","",IF(AND(Table1[Leaving Date]&gt;42460,Table1[Leaving Date]&lt;42826),IF(Table1[Date of Last Assessment]="",Table1[Social Networks and Relationships],Table1[Social Networks and Relationships2]),""))</f>
        <v/>
      </c>
      <c r="GI557" s="44" t="str">
        <f>IF(Table1[Leaving Date]="","",IF(AND(Table1[Leaving Date]&gt;42460,Table1[Leaving Date]&lt;42826),IF(Table1[Date of Last Assessment]="",Table1[Drug and Alcohol Misuse],Table1[Drug and Alcohol Misuse2]),""))</f>
        <v/>
      </c>
      <c r="GJ557" s="44" t="str">
        <f>IF(Table1[Leaving Date]="","",IF(AND(Table1[Leaving Date]&gt;42460,Table1[Leaving Date]&lt;42826),IF(Table1[Date of Last Assessment]="",Table1[Physical Health],Table1[Physical Health2]),""))</f>
        <v/>
      </c>
      <c r="GK557" s="44" t="str">
        <f>IF(Table1[Leaving Date]="","",IF(AND(Table1[Leaving Date]&gt;42460,Table1[Leaving Date]&lt;42826),IF(Table1[Date of Last Assessment]="",Table1[Emotional and Mental Health],Table1[Emotional and Mental Health2]),""))</f>
        <v/>
      </c>
      <c r="GL557" s="44" t="str">
        <f>IF(Table1[Leaving Date]="","",IF(AND(Table1[Leaving Date]&gt;42460,Table1[Leaving Date]&lt;42826),IF(Table1[Date of Last Assessment]="",Table1[Meaningful Use of Time],Table1[Meaningful Use of Time2]),""))</f>
        <v/>
      </c>
      <c r="GM557" s="44" t="str">
        <f>IF(Table1[Leaving Date]="","",IF(AND(Table1[Leaving Date]&gt;42460,Table1[Leaving Date]&lt;42826),IF(Table1[Date of Last Assessment]="",Table1[Managing Tenancy and Accommodation],Table1[Managing Tenancy and Accommodation2]),""))</f>
        <v/>
      </c>
      <c r="GN557" s="44" t="str">
        <f>IF(Table1[Leaving Date]="","",IF(AND(Table1[Leaving Date]&gt;42460,Table1[Leaving Date]&lt;42826),IF(Table1[Date of Last Assessment]="",Table1[Offending],Table1[Offending2]),""))</f>
        <v/>
      </c>
    </row>
    <row r="558" spans="2:196" ht="20.100000000000001" customHeight="1" x14ac:dyDescent="0.2">
      <c r="B558" s="86">
        <f>+'Service Data'!$C$5:$C$5</f>
        <v>0</v>
      </c>
      <c r="C558" s="86"/>
      <c r="D558" s="86"/>
      <c r="E558" s="86"/>
      <c r="F558" s="86"/>
      <c r="G558" s="86"/>
      <c r="H558" s="6"/>
      <c r="I558" s="99" t="str">
        <f ca="1">IF(Table1[[#This Row],[Date of Birth]]="","",SUM(TODAY()-Table1[[#This Row],[Date of Birth]])/365)</f>
        <v/>
      </c>
      <c r="L558" s="86"/>
      <c r="M558" s="77"/>
      <c r="N558" s="86"/>
      <c r="O558" s="86"/>
      <c r="P558" s="91"/>
      <c r="Q558" s="86"/>
      <c r="R558" s="77"/>
      <c r="S558" s="77"/>
      <c r="T558" s="68"/>
      <c r="U558" s="68"/>
      <c r="V558" s="67"/>
      <c r="W558" s="67"/>
      <c r="X558" s="67"/>
      <c r="Y558" s="67"/>
      <c r="Z558" s="67"/>
      <c r="AA558" s="67"/>
      <c r="AB558" s="67"/>
      <c r="AC558" s="67"/>
      <c r="AD558" s="67"/>
      <c r="AE558" s="67"/>
      <c r="AF558" s="67"/>
      <c r="AG558" s="67"/>
      <c r="AH558" s="67"/>
      <c r="AI558" s="67"/>
      <c r="AJ558" s="67"/>
      <c r="AK558" s="67"/>
      <c r="AL558" s="67"/>
      <c r="AM558" s="67"/>
      <c r="AN558" s="77"/>
      <c r="AO558" s="76"/>
      <c r="AP558" s="77"/>
      <c r="AQ558" s="76"/>
      <c r="AR558" s="76"/>
      <c r="AS558" s="76"/>
      <c r="AT558" s="76"/>
      <c r="AU558" s="76"/>
      <c r="AV558" s="77"/>
      <c r="AW558" s="76"/>
      <c r="AX558" s="77"/>
      <c r="AY558" s="76"/>
      <c r="AZ558" s="76"/>
      <c r="BA558" s="76"/>
      <c r="BB558" s="76"/>
      <c r="BC558" s="76"/>
      <c r="BD558" s="77"/>
      <c r="BE558" s="76"/>
      <c r="BF558" s="77"/>
      <c r="BG558" s="76"/>
      <c r="BH558" s="76"/>
      <c r="BI558" s="76"/>
      <c r="BJ558" s="76"/>
      <c r="BK558" s="76"/>
      <c r="BL558" s="77"/>
      <c r="BM558" s="76"/>
      <c r="BN558" s="77"/>
      <c r="BO558" s="76"/>
      <c r="BP558" s="76"/>
      <c r="BQ558" s="76"/>
      <c r="BR558" s="76"/>
      <c r="BS558" s="76"/>
      <c r="BT558" s="77"/>
      <c r="BU558" s="76"/>
      <c r="BV558" s="77"/>
      <c r="BW558" s="76"/>
      <c r="BX558" s="76"/>
      <c r="BY558" s="76"/>
      <c r="BZ558" s="76"/>
      <c r="CA558" s="76"/>
      <c r="CB558" s="77"/>
      <c r="CC558" s="76"/>
      <c r="CD558" s="77"/>
      <c r="CE558" s="76"/>
      <c r="CF558" s="76"/>
      <c r="CG558" s="76"/>
      <c r="CH558" s="76"/>
      <c r="CI558" s="76"/>
      <c r="CJ558" s="77"/>
      <c r="CK558" s="76"/>
      <c r="CL558" s="77"/>
      <c r="CM558" s="76"/>
      <c r="CN558" s="76"/>
      <c r="CO558" s="76"/>
      <c r="CP558" s="76"/>
      <c r="CQ558" s="76"/>
      <c r="CR558" s="78" t="str">
        <f t="shared" si="143"/>
        <v/>
      </c>
      <c r="CS558" s="79" t="str">
        <f t="shared" si="144"/>
        <v/>
      </c>
      <c r="CT558" s="79" t="str">
        <f t="shared" si="145"/>
        <v/>
      </c>
      <c r="CU558" s="79" t="str">
        <f t="shared" si="146"/>
        <v/>
      </c>
      <c r="CV558" s="79" t="str">
        <f t="shared" si="147"/>
        <v/>
      </c>
      <c r="CW558" s="79" t="str">
        <f t="shared" si="148"/>
        <v/>
      </c>
      <c r="CX558" s="79" t="str">
        <f t="shared" si="149"/>
        <v/>
      </c>
      <c r="CY558" s="79" t="str">
        <f t="shared" si="150"/>
        <v/>
      </c>
      <c r="CZ558" s="79" t="str">
        <f t="shared" si="151"/>
        <v/>
      </c>
      <c r="DA558" s="79" t="str">
        <f t="shared" si="152"/>
        <v/>
      </c>
      <c r="DB558" s="79" t="str">
        <f t="shared" si="153"/>
        <v/>
      </c>
      <c r="DC558" s="79" t="str">
        <f t="shared" si="154"/>
        <v/>
      </c>
      <c r="DD558" s="79" t="str">
        <f t="shared" si="155"/>
        <v/>
      </c>
      <c r="DE558" s="79" t="str">
        <f t="shared" si="156"/>
        <v/>
      </c>
      <c r="DF558" s="79" t="str">
        <f t="shared" si="157"/>
        <v/>
      </c>
      <c r="DG558" s="79" t="str">
        <f t="shared" si="158"/>
        <v/>
      </c>
      <c r="DH558" s="76"/>
      <c r="DI558" s="78"/>
      <c r="DJ558" s="76"/>
      <c r="DK558" s="77"/>
      <c r="DL558" s="77"/>
      <c r="DM558" s="77"/>
      <c r="DN558" s="80"/>
      <c r="DO558" s="80"/>
      <c r="DP558" s="92" t="str">
        <f>IF(Table1[Start Date]="","",IF(Table1[Start Date]&gt;42185,"",IF(AND(Table1[Leaving Date]&gt;1,Table1[Leaving Date]&lt;42095),"",1)))</f>
        <v/>
      </c>
      <c r="DQ558" s="92" t="str">
        <f>IF(Table1[Start Date]="","",IF(Table1[Start Date]&gt;42277,"",IF(AND(Table1[Leaving Date]&gt;1,Table1[Leaving Date]&lt;42186),"",1)))</f>
        <v/>
      </c>
      <c r="DR558" s="92" t="str">
        <f>IF(Table1[Start Date]="","",IF(Table1[Start Date]&gt;42369,"",IF(AND(Table1[Leaving Date]&gt;1,Table1[Leaving Date]&lt;42278),"",1)))</f>
        <v/>
      </c>
      <c r="DS558" s="92" t="str">
        <f>IF(Table1[Start Date]="","",IF(Table1[Start Date]&gt;42460,"",IF(AND(Table1[Leaving Date]&gt;1,Table1[Leaving Date]&lt;42370),"",1)))</f>
        <v/>
      </c>
      <c r="DT558" s="92" t="str">
        <f>IF(Table1[Start Date]="","",IF(Table1[Start Date]&gt;42551,"",IF(AND(Table1[Leaving Date]&gt;1,Table1[Leaving Date]&lt;42461),"",1)))</f>
        <v/>
      </c>
      <c r="DU558" s="92" t="str">
        <f>IF(Table1[Start Date]="","",IF(Table1[Start Date]&gt;42643,"",IF(AND(Table1[Leaving Date]&gt;1,Table1[Leaving Date]&lt;42552),"",1)))</f>
        <v/>
      </c>
      <c r="DV558" s="92" t="str">
        <f>IF(Table1[Start Date]="","",IF(Table1[Start Date]&gt;42735,"",IF(AND(Table1[Leaving Date]&gt;1,Table1[Leaving Date]&lt;42644),"",1)))</f>
        <v/>
      </c>
      <c r="DW558" s="92" t="str">
        <f>IF(Table1[Start Date]="","",IF(Table1[Start Date]&gt;42825,"",IF(AND(Table1[Leaving Date]&gt;1,Table1[Leaving Date]&lt;42736),"",1)))</f>
        <v/>
      </c>
      <c r="DX558"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558" s="44" t="e">
        <f>VLOOKUP(Table1[Referral Source],Lists!$G$2:$H$20,2,FALSE)</f>
        <v>#N/A</v>
      </c>
      <c r="DZ558" s="93" t="e">
        <f>SUM(Table1[Data Referral Quarter]+Table1[Data Referral Source])</f>
        <v>#N/A</v>
      </c>
      <c r="EA558" s="44" t="b">
        <f>IF(Table1[Referral Decision]="Accepted",100,IF(Table1[Referral Decision]="Rejected by Provider",200,IF(Table1[Referral Decision]="Rejected by Applicant",300)))</f>
        <v>0</v>
      </c>
      <c r="EB558" s="44">
        <f>SUM(Table1[Data Referral Quarter]+Table1[Data Referral Decision])</f>
        <v>0</v>
      </c>
      <c r="EC558" s="44" t="b">
        <f>IF(Table1[Start Date]&gt;42735,8000,IF(Table1[Start Date]&gt;42643,7000,IF(Table1[Start Date]&gt;42551,6000,IF(Table1[Start Date]&gt;42460,5000,IF(Table1[Start Date]&gt;42369,4000,IF(Table1[Start Date]&gt;42277,3000,IF(Table1[Start Date]&gt;42185,2000,IF(Table1[Start Date]&gt;42094,1000))))))))</f>
        <v>0</v>
      </c>
      <c r="ED558" s="44" t="str">
        <f>IF(Table1[Start Date]="","",IF(Table1[Current Local Authority]="Swindon",1,"2"))</f>
        <v/>
      </c>
      <c r="EE558" s="44" t="e">
        <f>SUM(Table1[Data Start Date]+Table1[Data Local Authority])</f>
        <v>#VALUE!</v>
      </c>
      <c r="EF558" s="44">
        <f>IF(Table1[Registered with GP]="Yes",1,0)</f>
        <v>0</v>
      </c>
      <c r="EG558" s="44">
        <f>SUM(Table1[Data Start Date]+Table1[Data GP Start])</f>
        <v>0</v>
      </c>
      <c r="EH558" s="44" t="str">
        <f>IF(Table1[EET]="NEET",1,IF(Table1[EET]="Education",2,IF(Table1[EET]="Employment",2,IF(Table1[EET]="Training",2,IF(Table1[EET]="Retired",3,"")))))</f>
        <v/>
      </c>
      <c r="EI558" s="44" t="e">
        <f>Table1[Data Start Date]+Table1[Data EET Start]</f>
        <v>#VALUE!</v>
      </c>
      <c r="EJ558" s="44" t="b">
        <f>IF(Table1[Leaving Date]&gt;42735,8000,IF(Table1[Leaving Date]&gt;42643,7000,IF(Table1[Leaving Date]&gt;42551,6000,IF(Table1[Leaving Date]&gt;42460,5000,IF(Table1[Leaving Date]&gt;42369,4000,IF(Table1[Leaving Date]&gt;42277,3000,IF(Table1[Leaving Date]&gt;42185,2000,IF(Table1[Leaving Date]&gt;42094,1000))))))))</f>
        <v>0</v>
      </c>
      <c r="EK558" s="44" t="e">
        <f>VLOOKUP(Table1[Reason for Leaving],Lists!$T$2:$U$15,2,FALSE)</f>
        <v>#N/A</v>
      </c>
      <c r="EL558" s="44" t="e">
        <f>SUM(Table1[Data Leavers Date]+Table1[Data Move On])</f>
        <v>#N/A</v>
      </c>
      <c r="EM558" s="44" t="b">
        <f>IF(Table1[Registered with GP2]="Yes",1,IF(Table1[Registered with GP2]="No",0,IF(Table1[Registered with GP]="Yes",1,IF(Table1[Registered with GP]="No",0))))</f>
        <v>0</v>
      </c>
      <c r="EN558" s="44">
        <f>SUM(Table1[Data Leavers Date]+Table1[Data GP End])</f>
        <v>0</v>
      </c>
      <c r="EO558" s="44" t="str">
        <f>IF(Table1[EET2]="NEET",1,IF(Table1[EET2]="Employment",2,IF(Table1[EET2]="Education",2,IF(Table1[EET2]="Training",2,IF(Table1[EET2]="Retired",3,IF(Table1[EET]="NEET",1,IF(Table1[EET]="Employment",2,IF(Table1[EET]="Education",2,IF(Table1[EET]="Training",2,IF(Table1[EET]="Retired",3,""))))))))))</f>
        <v/>
      </c>
      <c r="EP558" s="44" t="e">
        <f>+Table1[[#This Row],[Data Leavers Date]]+Table1[[#This Row],[Data EET End]]</f>
        <v>#VALUE!</v>
      </c>
      <c r="EQ558" s="44">
        <f>IF(Table1[Exit Form Received]="Yes",1,0)</f>
        <v>0</v>
      </c>
      <c r="ER558" s="44">
        <f>+Table1[[#This Row],[Data Leavers Date]]+Table1[[#This Row],[Data Exit Forms]]</f>
        <v>0</v>
      </c>
      <c r="ES558" s="44" t="str">
        <f>IF(Table1[Data Leavers Date]=1000,SUM(Table1[Leaving Date]-Table1[Start Date]),"")</f>
        <v/>
      </c>
      <c r="ET558" s="44" t="str">
        <f>IF(Table1[Data Leavers Date]=2000,SUM(Table1[Leaving Date]-Table1[Start Date]),"")</f>
        <v/>
      </c>
      <c r="EU558" s="44" t="str">
        <f>IF(Table1[Data Leavers Date]=3000,SUM(Table1[Leaving Date]-Table1[Start Date]),"")</f>
        <v/>
      </c>
      <c r="EV558" s="44" t="str">
        <f>IF(Table1[Data Leavers Date]=4000,SUM(Table1[Leaving Date]-Table1[Start Date]),"")</f>
        <v/>
      </c>
      <c r="EW558" s="44" t="str">
        <f>IF(Table1[Data Leavers Date]=5000,SUM(Table1[Leaving Date]-Table1[Start Date]),"")</f>
        <v/>
      </c>
      <c r="EX558" s="44" t="str">
        <f>IF(Table1[Data Leavers Date]=6000,SUM(Table1[Leaving Date]-Table1[Start Date]),"")</f>
        <v/>
      </c>
      <c r="EY558" s="44" t="str">
        <f>IF(Table1[Data Leavers Date]=7000,SUM(Table1[Leaving Date]-Table1[Start Date]),"")</f>
        <v/>
      </c>
      <c r="EZ558" s="44" t="str">
        <f>IF(Table1[Data Leavers Date]=8000,SUM(Table1[Leaving Date]-Table1[Start Date]),"")</f>
        <v/>
      </c>
      <c r="FA558" s="44" t="str">
        <f>IF(Table1[Date of Initial Assessment]="","",IF(AND(Table1[Start Date]&gt;42094,Table1[Start Date]&lt;42461),Table1[Motivation and Taking Responsibility],""))</f>
        <v/>
      </c>
      <c r="FB558" s="44" t="str">
        <f>IF(Table1[Date of Initial Assessment]="","",IF(AND(Table1[Start Date]&gt;42094,Table1[Start Date]&lt;42461),Table1[Self-Care and Living Skills],""))</f>
        <v/>
      </c>
      <c r="FC558" s="44" t="str">
        <f>IF(Table1[Date of Initial Assessment]="","",IF(AND(Table1[Start Date]&gt;42094,Table1[Start Date]&lt;42461),Table1[Managing Money and Personal Administration],""))</f>
        <v/>
      </c>
      <c r="FD558" s="44" t="str">
        <f>IF(Table1[Date of Initial Assessment]="","",IF(AND(Table1[Start Date]&gt;42094,Table1[Start Date]&lt;42461),Table1[Social Networks and Relationships],""))</f>
        <v/>
      </c>
      <c r="FE558" s="44" t="str">
        <f>IF(Table1[Date of Initial Assessment]="","",IF(AND(Table1[Start Date]&gt;42094,Table1[Start Date]&lt;42461),Table1[Drug and Alcohol Misuse],""))</f>
        <v/>
      </c>
      <c r="FF558" s="44" t="str">
        <f>IF(Table1[Date of Initial Assessment]="","",IF(AND(Table1[Start Date]&gt;42094,Table1[Start Date]&lt;42461),Table1[Physical Health],""))</f>
        <v/>
      </c>
      <c r="FG558" s="44" t="str">
        <f>IF(Table1[Date of Initial Assessment]="","",IF(AND(Table1[Start Date]&gt;42094,Table1[Start Date]&lt;42461),Table1[Emotional and Mental Health],""))</f>
        <v/>
      </c>
      <c r="FH558" s="44" t="str">
        <f>IF(Table1[Date of Initial Assessment]="","",IF(AND(Table1[Start Date]&gt;42094,Table1[Start Date]&lt;42461),Table1[Meaningful Use of Time],""))</f>
        <v/>
      </c>
      <c r="FI558" s="44" t="str">
        <f>IF(Table1[Date of Initial Assessment]="","",IF(AND(Table1[Start Date]&gt;42094,Table1[Start Date]&lt;42461),Table1[Managing Tenancy and Accommodation],""))</f>
        <v/>
      </c>
      <c r="FJ558" s="44" t="str">
        <f>IF(Table1[Date of Initial Assessment]="","",IF(AND(Table1[Start Date]&gt;42094,Table1[Start Date]&lt;42461),Table1[Offending],""))</f>
        <v/>
      </c>
      <c r="FK558" s="44" t="str">
        <f>IF(Table1[Leaving Date]="","",IF(Table1[Date of Initial Assessment]="","",IF(AND(Table1[Leaving Date]&gt;42094,Table1[Leaving Date]&lt;42461),IF(Table1[Date of Last Assessment]="",Table1[Motivation and Taking Responsibility],Table1[Motivation and Taking Responsibility2]),"")))</f>
        <v/>
      </c>
      <c r="FL558" s="44" t="str">
        <f>IF(Table1[Leaving Date]="","",IF(Table1[Date of Initial Assessment]="","",IF(AND(Table1[Leaving Date]&gt;42094,Table1[Leaving Date]&lt;42461),IF(Table1[Date of Last Assessment]="",Table1[Self-Care and Living Skills],Table1[Self-Care and Living Skills2]),"")))</f>
        <v/>
      </c>
      <c r="FM558" s="44" t="str">
        <f>IF(Table1[Leaving Date]="","",IF(Table1[Date of Initial Assessment]="","",IF(AND(Table1[Leaving Date]&gt;42094,Table1[Leaving Date]&lt;42461),IF(Table1[Date of Last Assessment]="",Table1[Managing Money and Personal Administration],Table1[Managing Money and Personal Administration2]),"")))</f>
        <v/>
      </c>
      <c r="FN558" s="44" t="str">
        <f>IF(Table1[Leaving Date]="","",IF(Table1[Date of Initial Assessment]="","",IF(AND(Table1[Leaving Date]&gt;42094,Table1[Leaving Date]&lt;42461),IF(Table1[Date of Last Assessment]="",Table1[Social Networks and Relationships],Table1[Social Networks and Relationships2]),"")))</f>
        <v/>
      </c>
      <c r="FO558" s="44" t="str">
        <f>IF(Table1[Leaving Date]="","",IF(Table1[Date of Initial Assessment]="","",IF(AND(Table1[Leaving Date]&gt;42094,Table1[Leaving Date]&lt;42461),IF(Table1[Date of Last Assessment]="",Table1[Drug and Alcohol Misuse],Table1[Drug and Alcohol Misuse2]),"")))</f>
        <v/>
      </c>
      <c r="FP558" s="44" t="str">
        <f>IF(Table1[Leaving Date]="","",IF(Table1[Date of Initial Assessment]="","",IF(AND(Table1[Leaving Date]&gt;42094,Table1[Leaving Date]&lt;42461),IF(Table1[Date of Last Assessment]="",Table1[Physical Health],Table1[Physical Health2]),"")))</f>
        <v/>
      </c>
      <c r="FQ558" s="44" t="str">
        <f>IF(Table1[Leaving Date]="","",IF(Table1[Date of Initial Assessment]="","",IF(AND(Table1[Leaving Date]&gt;42094,Table1[Leaving Date]&lt;42461),IF(Table1[Date of Last Assessment]="",Table1[Emotional and Mental Health],Table1[Emotional and Mental Health2]),"")))</f>
        <v/>
      </c>
      <c r="FR558" s="44" t="str">
        <f>IF(Table1[Leaving Date]="","",IF(Table1[Date of Initial Assessment]="","",IF(AND(Table1[Leaving Date]&gt;42094,Table1[Leaving Date]&lt;42461),IF(Table1[Date of Last Assessment]="",Table1[Meaningful Use of Time],Table1[Meaningful Use of Time2]),"")))</f>
        <v/>
      </c>
      <c r="FS558" s="44" t="str">
        <f>IF(Table1[Leaving Date]="","",IF(Table1[Date of Initial Assessment]="","",IF(AND(Table1[Leaving Date]&gt;42094,Table1[Leaving Date]&lt;42461),IF(Table1[Date of Last Assessment]="",Table1[Managing Tenancy and Accommodation],Table1[Managing Tenancy and Accommodation2]),"")))</f>
        <v/>
      </c>
      <c r="FT558" s="44" t="str">
        <f>IF(Table1[Leaving Date]="","",IF(Table1[Date of Initial Assessment]="","",IF(AND(Table1[Leaving Date]&gt;42094,Table1[Leaving Date]&lt;42461),IF(Table1[Date of Last Assessment]="",Table1[Offending],Table1[Offending2]),"")))</f>
        <v/>
      </c>
      <c r="FU558" s="44" t="str">
        <f>IF(Table1[Date of Initial Assessment]="","",IF(AND(Table1[Start Date]&gt;42460,Table1[Start Date]&lt;42826),Table1[Motivation and Taking Responsibility],""))</f>
        <v/>
      </c>
      <c r="FV558" s="44" t="str">
        <f>IF(Table1[Date of Initial Assessment]="","",IF(AND(Table1[Start Date]&gt;42460,Table1[Start Date]&lt;42826),Table1[Self-Care and Living Skills],""))</f>
        <v/>
      </c>
      <c r="FW558" s="44" t="str">
        <f>IF(Table1[Date of Initial Assessment]="","",IF(AND(Table1[Start Date]&gt;42460,Table1[Start Date]&lt;42826),Table1[Managing Money and Personal Administration],""))</f>
        <v/>
      </c>
      <c r="FX558" s="44" t="str">
        <f>IF(Table1[Date of Initial Assessment]="","",IF(AND(Table1[Start Date]&gt;42460,Table1[Start Date]&lt;42826),Table1[Social Networks and Relationships],""))</f>
        <v/>
      </c>
      <c r="FY558" s="44" t="str">
        <f>IF(Table1[Date of Initial Assessment]="","",IF(AND(Table1[Start Date]&gt;42460,Table1[Start Date]&lt;42826),Table1[Drug and Alcohol Misuse],""))</f>
        <v/>
      </c>
      <c r="FZ558" s="44" t="str">
        <f>IF(Table1[Date of Initial Assessment]="","",IF(AND(Table1[Start Date]&gt;42460,Table1[Start Date]&lt;42826),Table1[Physical Health],""))</f>
        <v/>
      </c>
      <c r="GA558" s="44" t="str">
        <f>IF(Table1[Date of Initial Assessment]="","",IF(AND(Table1[Start Date]&gt;42460,Table1[Start Date]&lt;42826),Table1[Emotional and Mental Health],""))</f>
        <v/>
      </c>
      <c r="GB558" s="44" t="str">
        <f>IF(Table1[Date of Initial Assessment]="","",IF(AND(Table1[Start Date]&gt;42460,Table1[Start Date]&lt;42826),Table1[Meaningful Use of Time],""))</f>
        <v/>
      </c>
      <c r="GC558" s="44" t="str">
        <f>IF(Table1[Date of Initial Assessment]="","",IF(AND(Table1[Start Date]&gt;42460,Table1[Start Date]&lt;42826),Table1[Managing Tenancy and Accommodation],""))</f>
        <v/>
      </c>
      <c r="GD558" s="44" t="str">
        <f>IF(Table1[Date of Initial Assessment]="","",IF(AND(Table1[Start Date]&gt;42460,Table1[Start Date]&lt;42826),Table1[Offending],""))</f>
        <v/>
      </c>
      <c r="GE558" s="44" t="str">
        <f>IF(Table1[Leaving Date]="","",IF(AND(Table1[Leaving Date]&gt;42460,Table1[Leaving Date]&lt;42826),IF(Table1[Date of Last Assessment]="",Table1[Motivation and Taking Responsibility],Table1[Motivation and Taking Responsibility2]),""))</f>
        <v/>
      </c>
      <c r="GF558" s="44" t="str">
        <f>IF(Table1[Leaving Date]="","",IF(AND(Table1[Leaving Date]&gt;42460,Table1[Leaving Date]&lt;42826),IF(Table1[Date of Last Assessment]="",Table1[Self-Care and Living Skills],Table1[Self-Care and Living Skills2]),""))</f>
        <v/>
      </c>
      <c r="GG558" s="44" t="str">
        <f>IF(Table1[Leaving Date]="","",IF(AND(Table1[Leaving Date]&gt;42460,Table1[Leaving Date]&lt;42826),IF(Table1[Date of Last Assessment]="",Table1[Managing Money and Personal Administration],Table1[Managing Money and Personal Administration2]),""))</f>
        <v/>
      </c>
      <c r="GH558" s="44" t="str">
        <f>IF(Table1[Leaving Date]="","",IF(AND(Table1[Leaving Date]&gt;42460,Table1[Leaving Date]&lt;42826),IF(Table1[Date of Last Assessment]="",Table1[Social Networks and Relationships],Table1[Social Networks and Relationships2]),""))</f>
        <v/>
      </c>
      <c r="GI558" s="44" t="str">
        <f>IF(Table1[Leaving Date]="","",IF(AND(Table1[Leaving Date]&gt;42460,Table1[Leaving Date]&lt;42826),IF(Table1[Date of Last Assessment]="",Table1[Drug and Alcohol Misuse],Table1[Drug and Alcohol Misuse2]),""))</f>
        <v/>
      </c>
      <c r="GJ558" s="44" t="str">
        <f>IF(Table1[Leaving Date]="","",IF(AND(Table1[Leaving Date]&gt;42460,Table1[Leaving Date]&lt;42826),IF(Table1[Date of Last Assessment]="",Table1[Physical Health],Table1[Physical Health2]),""))</f>
        <v/>
      </c>
      <c r="GK558" s="44" t="str">
        <f>IF(Table1[Leaving Date]="","",IF(AND(Table1[Leaving Date]&gt;42460,Table1[Leaving Date]&lt;42826),IF(Table1[Date of Last Assessment]="",Table1[Emotional and Mental Health],Table1[Emotional and Mental Health2]),""))</f>
        <v/>
      </c>
      <c r="GL558" s="44" t="str">
        <f>IF(Table1[Leaving Date]="","",IF(AND(Table1[Leaving Date]&gt;42460,Table1[Leaving Date]&lt;42826),IF(Table1[Date of Last Assessment]="",Table1[Meaningful Use of Time],Table1[Meaningful Use of Time2]),""))</f>
        <v/>
      </c>
      <c r="GM558" s="44" t="str">
        <f>IF(Table1[Leaving Date]="","",IF(AND(Table1[Leaving Date]&gt;42460,Table1[Leaving Date]&lt;42826),IF(Table1[Date of Last Assessment]="",Table1[Managing Tenancy and Accommodation],Table1[Managing Tenancy and Accommodation2]),""))</f>
        <v/>
      </c>
      <c r="GN558" s="44" t="str">
        <f>IF(Table1[Leaving Date]="","",IF(AND(Table1[Leaving Date]&gt;42460,Table1[Leaving Date]&lt;42826),IF(Table1[Date of Last Assessment]="",Table1[Offending],Table1[Offending2]),""))</f>
        <v/>
      </c>
    </row>
    <row r="559" spans="2:196" ht="20.100000000000001" customHeight="1" x14ac:dyDescent="0.2">
      <c r="B559" s="86">
        <f>+'Service Data'!$C$5:$C$5</f>
        <v>0</v>
      </c>
      <c r="C559" s="86"/>
      <c r="D559" s="86"/>
      <c r="E559" s="86"/>
      <c r="F559" s="86"/>
      <c r="G559" s="86"/>
      <c r="H559" s="6"/>
      <c r="I559" s="99" t="str">
        <f ca="1">IF(Table1[[#This Row],[Date of Birth]]="","",SUM(TODAY()-Table1[[#This Row],[Date of Birth]])/365)</f>
        <v/>
      </c>
      <c r="L559" s="86"/>
      <c r="M559" s="77"/>
      <c r="N559" s="86"/>
      <c r="O559" s="86"/>
      <c r="P559" s="91"/>
      <c r="Q559" s="86"/>
      <c r="R559" s="77"/>
      <c r="S559" s="77"/>
      <c r="T559" s="68"/>
      <c r="U559" s="68"/>
      <c r="V559" s="67"/>
      <c r="W559" s="67"/>
      <c r="X559" s="67"/>
      <c r="Y559" s="67"/>
      <c r="Z559" s="67"/>
      <c r="AA559" s="67"/>
      <c r="AB559" s="67"/>
      <c r="AC559" s="67"/>
      <c r="AD559" s="67"/>
      <c r="AE559" s="67"/>
      <c r="AF559" s="67"/>
      <c r="AG559" s="67"/>
      <c r="AH559" s="67"/>
      <c r="AI559" s="67"/>
      <c r="AJ559" s="67"/>
      <c r="AK559" s="67"/>
      <c r="AL559" s="67"/>
      <c r="AM559" s="67"/>
      <c r="AN559" s="77"/>
      <c r="AO559" s="76"/>
      <c r="AP559" s="77"/>
      <c r="AQ559" s="76"/>
      <c r="AR559" s="76"/>
      <c r="AS559" s="76"/>
      <c r="AT559" s="76"/>
      <c r="AU559" s="76"/>
      <c r="AV559" s="77"/>
      <c r="AW559" s="76"/>
      <c r="AX559" s="77"/>
      <c r="AY559" s="76"/>
      <c r="AZ559" s="76"/>
      <c r="BA559" s="76"/>
      <c r="BB559" s="76"/>
      <c r="BC559" s="76"/>
      <c r="BD559" s="77"/>
      <c r="BE559" s="76"/>
      <c r="BF559" s="77"/>
      <c r="BG559" s="76"/>
      <c r="BH559" s="76"/>
      <c r="BI559" s="76"/>
      <c r="BJ559" s="76"/>
      <c r="BK559" s="76"/>
      <c r="BL559" s="77"/>
      <c r="BM559" s="76"/>
      <c r="BN559" s="77"/>
      <c r="BO559" s="76"/>
      <c r="BP559" s="76"/>
      <c r="BQ559" s="76"/>
      <c r="BR559" s="76"/>
      <c r="BS559" s="76"/>
      <c r="BT559" s="77"/>
      <c r="BU559" s="76"/>
      <c r="BV559" s="77"/>
      <c r="BW559" s="76"/>
      <c r="BX559" s="76"/>
      <c r="BY559" s="76"/>
      <c r="BZ559" s="76"/>
      <c r="CA559" s="76"/>
      <c r="CB559" s="77"/>
      <c r="CC559" s="76"/>
      <c r="CD559" s="77"/>
      <c r="CE559" s="76"/>
      <c r="CF559" s="76"/>
      <c r="CG559" s="76"/>
      <c r="CH559" s="76"/>
      <c r="CI559" s="76"/>
      <c r="CJ559" s="77"/>
      <c r="CK559" s="76"/>
      <c r="CL559" s="77"/>
      <c r="CM559" s="76"/>
      <c r="CN559" s="76"/>
      <c r="CO559" s="76"/>
      <c r="CP559" s="76"/>
      <c r="CQ559" s="76"/>
      <c r="CR559" s="78" t="str">
        <f t="shared" si="143"/>
        <v/>
      </c>
      <c r="CS559" s="79" t="str">
        <f t="shared" si="144"/>
        <v/>
      </c>
      <c r="CT559" s="79" t="str">
        <f t="shared" si="145"/>
        <v/>
      </c>
      <c r="CU559" s="79" t="str">
        <f t="shared" si="146"/>
        <v/>
      </c>
      <c r="CV559" s="79" t="str">
        <f t="shared" si="147"/>
        <v/>
      </c>
      <c r="CW559" s="79" t="str">
        <f t="shared" si="148"/>
        <v/>
      </c>
      <c r="CX559" s="79" t="str">
        <f t="shared" si="149"/>
        <v/>
      </c>
      <c r="CY559" s="79" t="str">
        <f t="shared" si="150"/>
        <v/>
      </c>
      <c r="CZ559" s="79" t="str">
        <f t="shared" si="151"/>
        <v/>
      </c>
      <c r="DA559" s="79" t="str">
        <f t="shared" si="152"/>
        <v/>
      </c>
      <c r="DB559" s="79" t="str">
        <f t="shared" si="153"/>
        <v/>
      </c>
      <c r="DC559" s="79" t="str">
        <f t="shared" si="154"/>
        <v/>
      </c>
      <c r="DD559" s="79" t="str">
        <f t="shared" si="155"/>
        <v/>
      </c>
      <c r="DE559" s="79" t="str">
        <f t="shared" si="156"/>
        <v/>
      </c>
      <c r="DF559" s="79" t="str">
        <f t="shared" si="157"/>
        <v/>
      </c>
      <c r="DG559" s="79" t="str">
        <f t="shared" si="158"/>
        <v/>
      </c>
      <c r="DH559" s="76"/>
      <c r="DI559" s="78"/>
      <c r="DJ559" s="76"/>
      <c r="DK559" s="77"/>
      <c r="DL559" s="77"/>
      <c r="DM559" s="77"/>
      <c r="DN559" s="80"/>
      <c r="DO559" s="80"/>
      <c r="DP559" s="92" t="str">
        <f>IF(Table1[Start Date]="","",IF(Table1[Start Date]&gt;42185,"",IF(AND(Table1[Leaving Date]&gt;1,Table1[Leaving Date]&lt;42095),"",1)))</f>
        <v/>
      </c>
      <c r="DQ559" s="92" t="str">
        <f>IF(Table1[Start Date]="","",IF(Table1[Start Date]&gt;42277,"",IF(AND(Table1[Leaving Date]&gt;1,Table1[Leaving Date]&lt;42186),"",1)))</f>
        <v/>
      </c>
      <c r="DR559" s="92" t="str">
        <f>IF(Table1[Start Date]="","",IF(Table1[Start Date]&gt;42369,"",IF(AND(Table1[Leaving Date]&gt;1,Table1[Leaving Date]&lt;42278),"",1)))</f>
        <v/>
      </c>
      <c r="DS559" s="92" t="str">
        <f>IF(Table1[Start Date]="","",IF(Table1[Start Date]&gt;42460,"",IF(AND(Table1[Leaving Date]&gt;1,Table1[Leaving Date]&lt;42370),"",1)))</f>
        <v/>
      </c>
      <c r="DT559" s="92" t="str">
        <f>IF(Table1[Start Date]="","",IF(Table1[Start Date]&gt;42551,"",IF(AND(Table1[Leaving Date]&gt;1,Table1[Leaving Date]&lt;42461),"",1)))</f>
        <v/>
      </c>
      <c r="DU559" s="92" t="str">
        <f>IF(Table1[Start Date]="","",IF(Table1[Start Date]&gt;42643,"",IF(AND(Table1[Leaving Date]&gt;1,Table1[Leaving Date]&lt;42552),"",1)))</f>
        <v/>
      </c>
      <c r="DV559" s="92" t="str">
        <f>IF(Table1[Start Date]="","",IF(Table1[Start Date]&gt;42735,"",IF(AND(Table1[Leaving Date]&gt;1,Table1[Leaving Date]&lt;42644),"",1)))</f>
        <v/>
      </c>
      <c r="DW559" s="92" t="str">
        <f>IF(Table1[Start Date]="","",IF(Table1[Start Date]&gt;42825,"",IF(AND(Table1[Leaving Date]&gt;1,Table1[Leaving Date]&lt;42736),"",1)))</f>
        <v/>
      </c>
      <c r="DX559"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559" s="44" t="e">
        <f>VLOOKUP(Table1[Referral Source],Lists!$G$2:$H$20,2,FALSE)</f>
        <v>#N/A</v>
      </c>
      <c r="DZ559" s="93" t="e">
        <f>SUM(Table1[Data Referral Quarter]+Table1[Data Referral Source])</f>
        <v>#N/A</v>
      </c>
      <c r="EA559" s="44" t="b">
        <f>IF(Table1[Referral Decision]="Accepted",100,IF(Table1[Referral Decision]="Rejected by Provider",200,IF(Table1[Referral Decision]="Rejected by Applicant",300)))</f>
        <v>0</v>
      </c>
      <c r="EB559" s="44">
        <f>SUM(Table1[Data Referral Quarter]+Table1[Data Referral Decision])</f>
        <v>0</v>
      </c>
      <c r="EC559" s="44" t="b">
        <f>IF(Table1[Start Date]&gt;42735,8000,IF(Table1[Start Date]&gt;42643,7000,IF(Table1[Start Date]&gt;42551,6000,IF(Table1[Start Date]&gt;42460,5000,IF(Table1[Start Date]&gt;42369,4000,IF(Table1[Start Date]&gt;42277,3000,IF(Table1[Start Date]&gt;42185,2000,IF(Table1[Start Date]&gt;42094,1000))))))))</f>
        <v>0</v>
      </c>
      <c r="ED559" s="44" t="str">
        <f>IF(Table1[Start Date]="","",IF(Table1[Current Local Authority]="Swindon",1,"2"))</f>
        <v/>
      </c>
      <c r="EE559" s="44" t="e">
        <f>SUM(Table1[Data Start Date]+Table1[Data Local Authority])</f>
        <v>#VALUE!</v>
      </c>
      <c r="EF559" s="44">
        <f>IF(Table1[Registered with GP]="Yes",1,0)</f>
        <v>0</v>
      </c>
      <c r="EG559" s="44">
        <f>SUM(Table1[Data Start Date]+Table1[Data GP Start])</f>
        <v>0</v>
      </c>
      <c r="EH559" s="44" t="str">
        <f>IF(Table1[EET]="NEET",1,IF(Table1[EET]="Education",2,IF(Table1[EET]="Employment",2,IF(Table1[EET]="Training",2,IF(Table1[EET]="Retired",3,"")))))</f>
        <v/>
      </c>
      <c r="EI559" s="44" t="e">
        <f>Table1[Data Start Date]+Table1[Data EET Start]</f>
        <v>#VALUE!</v>
      </c>
      <c r="EJ559" s="44" t="b">
        <f>IF(Table1[Leaving Date]&gt;42735,8000,IF(Table1[Leaving Date]&gt;42643,7000,IF(Table1[Leaving Date]&gt;42551,6000,IF(Table1[Leaving Date]&gt;42460,5000,IF(Table1[Leaving Date]&gt;42369,4000,IF(Table1[Leaving Date]&gt;42277,3000,IF(Table1[Leaving Date]&gt;42185,2000,IF(Table1[Leaving Date]&gt;42094,1000))))))))</f>
        <v>0</v>
      </c>
      <c r="EK559" s="44" t="e">
        <f>VLOOKUP(Table1[Reason for Leaving],Lists!$T$2:$U$15,2,FALSE)</f>
        <v>#N/A</v>
      </c>
      <c r="EL559" s="44" t="e">
        <f>SUM(Table1[Data Leavers Date]+Table1[Data Move On])</f>
        <v>#N/A</v>
      </c>
      <c r="EM559" s="44" t="b">
        <f>IF(Table1[Registered with GP2]="Yes",1,IF(Table1[Registered with GP2]="No",0,IF(Table1[Registered with GP]="Yes",1,IF(Table1[Registered with GP]="No",0))))</f>
        <v>0</v>
      </c>
      <c r="EN559" s="44">
        <f>SUM(Table1[Data Leavers Date]+Table1[Data GP End])</f>
        <v>0</v>
      </c>
      <c r="EO559" s="44" t="str">
        <f>IF(Table1[EET2]="NEET",1,IF(Table1[EET2]="Employment",2,IF(Table1[EET2]="Education",2,IF(Table1[EET2]="Training",2,IF(Table1[EET2]="Retired",3,IF(Table1[EET]="NEET",1,IF(Table1[EET]="Employment",2,IF(Table1[EET]="Education",2,IF(Table1[EET]="Training",2,IF(Table1[EET]="Retired",3,""))))))))))</f>
        <v/>
      </c>
      <c r="EP559" s="44" t="e">
        <f>+Table1[[#This Row],[Data Leavers Date]]+Table1[[#This Row],[Data EET End]]</f>
        <v>#VALUE!</v>
      </c>
      <c r="EQ559" s="44">
        <f>IF(Table1[Exit Form Received]="Yes",1,0)</f>
        <v>0</v>
      </c>
      <c r="ER559" s="44">
        <f>+Table1[[#This Row],[Data Leavers Date]]+Table1[[#This Row],[Data Exit Forms]]</f>
        <v>0</v>
      </c>
      <c r="ES559" s="44" t="str">
        <f>IF(Table1[Data Leavers Date]=1000,SUM(Table1[Leaving Date]-Table1[Start Date]),"")</f>
        <v/>
      </c>
      <c r="ET559" s="44" t="str">
        <f>IF(Table1[Data Leavers Date]=2000,SUM(Table1[Leaving Date]-Table1[Start Date]),"")</f>
        <v/>
      </c>
      <c r="EU559" s="44" t="str">
        <f>IF(Table1[Data Leavers Date]=3000,SUM(Table1[Leaving Date]-Table1[Start Date]),"")</f>
        <v/>
      </c>
      <c r="EV559" s="44" t="str">
        <f>IF(Table1[Data Leavers Date]=4000,SUM(Table1[Leaving Date]-Table1[Start Date]),"")</f>
        <v/>
      </c>
      <c r="EW559" s="44" t="str">
        <f>IF(Table1[Data Leavers Date]=5000,SUM(Table1[Leaving Date]-Table1[Start Date]),"")</f>
        <v/>
      </c>
      <c r="EX559" s="44" t="str">
        <f>IF(Table1[Data Leavers Date]=6000,SUM(Table1[Leaving Date]-Table1[Start Date]),"")</f>
        <v/>
      </c>
      <c r="EY559" s="44" t="str">
        <f>IF(Table1[Data Leavers Date]=7000,SUM(Table1[Leaving Date]-Table1[Start Date]),"")</f>
        <v/>
      </c>
      <c r="EZ559" s="44" t="str">
        <f>IF(Table1[Data Leavers Date]=8000,SUM(Table1[Leaving Date]-Table1[Start Date]),"")</f>
        <v/>
      </c>
      <c r="FA559" s="44" t="str">
        <f>IF(Table1[Date of Initial Assessment]="","",IF(AND(Table1[Start Date]&gt;42094,Table1[Start Date]&lt;42461),Table1[Motivation and Taking Responsibility],""))</f>
        <v/>
      </c>
      <c r="FB559" s="44" t="str">
        <f>IF(Table1[Date of Initial Assessment]="","",IF(AND(Table1[Start Date]&gt;42094,Table1[Start Date]&lt;42461),Table1[Self-Care and Living Skills],""))</f>
        <v/>
      </c>
      <c r="FC559" s="44" t="str">
        <f>IF(Table1[Date of Initial Assessment]="","",IF(AND(Table1[Start Date]&gt;42094,Table1[Start Date]&lt;42461),Table1[Managing Money and Personal Administration],""))</f>
        <v/>
      </c>
      <c r="FD559" s="44" t="str">
        <f>IF(Table1[Date of Initial Assessment]="","",IF(AND(Table1[Start Date]&gt;42094,Table1[Start Date]&lt;42461),Table1[Social Networks and Relationships],""))</f>
        <v/>
      </c>
      <c r="FE559" s="44" t="str">
        <f>IF(Table1[Date of Initial Assessment]="","",IF(AND(Table1[Start Date]&gt;42094,Table1[Start Date]&lt;42461),Table1[Drug and Alcohol Misuse],""))</f>
        <v/>
      </c>
      <c r="FF559" s="44" t="str">
        <f>IF(Table1[Date of Initial Assessment]="","",IF(AND(Table1[Start Date]&gt;42094,Table1[Start Date]&lt;42461),Table1[Physical Health],""))</f>
        <v/>
      </c>
      <c r="FG559" s="44" t="str">
        <f>IF(Table1[Date of Initial Assessment]="","",IF(AND(Table1[Start Date]&gt;42094,Table1[Start Date]&lt;42461),Table1[Emotional and Mental Health],""))</f>
        <v/>
      </c>
      <c r="FH559" s="44" t="str">
        <f>IF(Table1[Date of Initial Assessment]="","",IF(AND(Table1[Start Date]&gt;42094,Table1[Start Date]&lt;42461),Table1[Meaningful Use of Time],""))</f>
        <v/>
      </c>
      <c r="FI559" s="44" t="str">
        <f>IF(Table1[Date of Initial Assessment]="","",IF(AND(Table1[Start Date]&gt;42094,Table1[Start Date]&lt;42461),Table1[Managing Tenancy and Accommodation],""))</f>
        <v/>
      </c>
      <c r="FJ559" s="44" t="str">
        <f>IF(Table1[Date of Initial Assessment]="","",IF(AND(Table1[Start Date]&gt;42094,Table1[Start Date]&lt;42461),Table1[Offending],""))</f>
        <v/>
      </c>
      <c r="FK559" s="44" t="str">
        <f>IF(Table1[Leaving Date]="","",IF(Table1[Date of Initial Assessment]="","",IF(AND(Table1[Leaving Date]&gt;42094,Table1[Leaving Date]&lt;42461),IF(Table1[Date of Last Assessment]="",Table1[Motivation and Taking Responsibility],Table1[Motivation and Taking Responsibility2]),"")))</f>
        <v/>
      </c>
      <c r="FL559" s="44" t="str">
        <f>IF(Table1[Leaving Date]="","",IF(Table1[Date of Initial Assessment]="","",IF(AND(Table1[Leaving Date]&gt;42094,Table1[Leaving Date]&lt;42461),IF(Table1[Date of Last Assessment]="",Table1[Self-Care and Living Skills],Table1[Self-Care and Living Skills2]),"")))</f>
        <v/>
      </c>
      <c r="FM559" s="44" t="str">
        <f>IF(Table1[Leaving Date]="","",IF(Table1[Date of Initial Assessment]="","",IF(AND(Table1[Leaving Date]&gt;42094,Table1[Leaving Date]&lt;42461),IF(Table1[Date of Last Assessment]="",Table1[Managing Money and Personal Administration],Table1[Managing Money and Personal Administration2]),"")))</f>
        <v/>
      </c>
      <c r="FN559" s="44" t="str">
        <f>IF(Table1[Leaving Date]="","",IF(Table1[Date of Initial Assessment]="","",IF(AND(Table1[Leaving Date]&gt;42094,Table1[Leaving Date]&lt;42461),IF(Table1[Date of Last Assessment]="",Table1[Social Networks and Relationships],Table1[Social Networks and Relationships2]),"")))</f>
        <v/>
      </c>
      <c r="FO559" s="44" t="str">
        <f>IF(Table1[Leaving Date]="","",IF(Table1[Date of Initial Assessment]="","",IF(AND(Table1[Leaving Date]&gt;42094,Table1[Leaving Date]&lt;42461),IF(Table1[Date of Last Assessment]="",Table1[Drug and Alcohol Misuse],Table1[Drug and Alcohol Misuse2]),"")))</f>
        <v/>
      </c>
      <c r="FP559" s="44" t="str">
        <f>IF(Table1[Leaving Date]="","",IF(Table1[Date of Initial Assessment]="","",IF(AND(Table1[Leaving Date]&gt;42094,Table1[Leaving Date]&lt;42461),IF(Table1[Date of Last Assessment]="",Table1[Physical Health],Table1[Physical Health2]),"")))</f>
        <v/>
      </c>
      <c r="FQ559" s="44" t="str">
        <f>IF(Table1[Leaving Date]="","",IF(Table1[Date of Initial Assessment]="","",IF(AND(Table1[Leaving Date]&gt;42094,Table1[Leaving Date]&lt;42461),IF(Table1[Date of Last Assessment]="",Table1[Emotional and Mental Health],Table1[Emotional and Mental Health2]),"")))</f>
        <v/>
      </c>
      <c r="FR559" s="44" t="str">
        <f>IF(Table1[Leaving Date]="","",IF(Table1[Date of Initial Assessment]="","",IF(AND(Table1[Leaving Date]&gt;42094,Table1[Leaving Date]&lt;42461),IF(Table1[Date of Last Assessment]="",Table1[Meaningful Use of Time],Table1[Meaningful Use of Time2]),"")))</f>
        <v/>
      </c>
      <c r="FS559" s="44" t="str">
        <f>IF(Table1[Leaving Date]="","",IF(Table1[Date of Initial Assessment]="","",IF(AND(Table1[Leaving Date]&gt;42094,Table1[Leaving Date]&lt;42461),IF(Table1[Date of Last Assessment]="",Table1[Managing Tenancy and Accommodation],Table1[Managing Tenancy and Accommodation2]),"")))</f>
        <v/>
      </c>
      <c r="FT559" s="44" t="str">
        <f>IF(Table1[Leaving Date]="","",IF(Table1[Date of Initial Assessment]="","",IF(AND(Table1[Leaving Date]&gt;42094,Table1[Leaving Date]&lt;42461),IF(Table1[Date of Last Assessment]="",Table1[Offending],Table1[Offending2]),"")))</f>
        <v/>
      </c>
      <c r="FU559" s="44" t="str">
        <f>IF(Table1[Date of Initial Assessment]="","",IF(AND(Table1[Start Date]&gt;42460,Table1[Start Date]&lt;42826),Table1[Motivation and Taking Responsibility],""))</f>
        <v/>
      </c>
      <c r="FV559" s="44" t="str">
        <f>IF(Table1[Date of Initial Assessment]="","",IF(AND(Table1[Start Date]&gt;42460,Table1[Start Date]&lt;42826),Table1[Self-Care and Living Skills],""))</f>
        <v/>
      </c>
      <c r="FW559" s="44" t="str">
        <f>IF(Table1[Date of Initial Assessment]="","",IF(AND(Table1[Start Date]&gt;42460,Table1[Start Date]&lt;42826),Table1[Managing Money and Personal Administration],""))</f>
        <v/>
      </c>
      <c r="FX559" s="44" t="str">
        <f>IF(Table1[Date of Initial Assessment]="","",IF(AND(Table1[Start Date]&gt;42460,Table1[Start Date]&lt;42826),Table1[Social Networks and Relationships],""))</f>
        <v/>
      </c>
      <c r="FY559" s="44" t="str">
        <f>IF(Table1[Date of Initial Assessment]="","",IF(AND(Table1[Start Date]&gt;42460,Table1[Start Date]&lt;42826),Table1[Drug and Alcohol Misuse],""))</f>
        <v/>
      </c>
      <c r="FZ559" s="44" t="str">
        <f>IF(Table1[Date of Initial Assessment]="","",IF(AND(Table1[Start Date]&gt;42460,Table1[Start Date]&lt;42826),Table1[Physical Health],""))</f>
        <v/>
      </c>
      <c r="GA559" s="44" t="str">
        <f>IF(Table1[Date of Initial Assessment]="","",IF(AND(Table1[Start Date]&gt;42460,Table1[Start Date]&lt;42826),Table1[Emotional and Mental Health],""))</f>
        <v/>
      </c>
      <c r="GB559" s="44" t="str">
        <f>IF(Table1[Date of Initial Assessment]="","",IF(AND(Table1[Start Date]&gt;42460,Table1[Start Date]&lt;42826),Table1[Meaningful Use of Time],""))</f>
        <v/>
      </c>
      <c r="GC559" s="44" t="str">
        <f>IF(Table1[Date of Initial Assessment]="","",IF(AND(Table1[Start Date]&gt;42460,Table1[Start Date]&lt;42826),Table1[Managing Tenancy and Accommodation],""))</f>
        <v/>
      </c>
      <c r="GD559" s="44" t="str">
        <f>IF(Table1[Date of Initial Assessment]="","",IF(AND(Table1[Start Date]&gt;42460,Table1[Start Date]&lt;42826),Table1[Offending],""))</f>
        <v/>
      </c>
      <c r="GE559" s="44" t="str">
        <f>IF(Table1[Leaving Date]="","",IF(AND(Table1[Leaving Date]&gt;42460,Table1[Leaving Date]&lt;42826),IF(Table1[Date of Last Assessment]="",Table1[Motivation and Taking Responsibility],Table1[Motivation and Taking Responsibility2]),""))</f>
        <v/>
      </c>
      <c r="GF559" s="44" t="str">
        <f>IF(Table1[Leaving Date]="","",IF(AND(Table1[Leaving Date]&gt;42460,Table1[Leaving Date]&lt;42826),IF(Table1[Date of Last Assessment]="",Table1[Self-Care and Living Skills],Table1[Self-Care and Living Skills2]),""))</f>
        <v/>
      </c>
      <c r="GG559" s="44" t="str">
        <f>IF(Table1[Leaving Date]="","",IF(AND(Table1[Leaving Date]&gt;42460,Table1[Leaving Date]&lt;42826),IF(Table1[Date of Last Assessment]="",Table1[Managing Money and Personal Administration],Table1[Managing Money and Personal Administration2]),""))</f>
        <v/>
      </c>
      <c r="GH559" s="44" t="str">
        <f>IF(Table1[Leaving Date]="","",IF(AND(Table1[Leaving Date]&gt;42460,Table1[Leaving Date]&lt;42826),IF(Table1[Date of Last Assessment]="",Table1[Social Networks and Relationships],Table1[Social Networks and Relationships2]),""))</f>
        <v/>
      </c>
      <c r="GI559" s="44" t="str">
        <f>IF(Table1[Leaving Date]="","",IF(AND(Table1[Leaving Date]&gt;42460,Table1[Leaving Date]&lt;42826),IF(Table1[Date of Last Assessment]="",Table1[Drug and Alcohol Misuse],Table1[Drug and Alcohol Misuse2]),""))</f>
        <v/>
      </c>
      <c r="GJ559" s="44" t="str">
        <f>IF(Table1[Leaving Date]="","",IF(AND(Table1[Leaving Date]&gt;42460,Table1[Leaving Date]&lt;42826),IF(Table1[Date of Last Assessment]="",Table1[Physical Health],Table1[Physical Health2]),""))</f>
        <v/>
      </c>
      <c r="GK559" s="44" t="str">
        <f>IF(Table1[Leaving Date]="","",IF(AND(Table1[Leaving Date]&gt;42460,Table1[Leaving Date]&lt;42826),IF(Table1[Date of Last Assessment]="",Table1[Emotional and Mental Health],Table1[Emotional and Mental Health2]),""))</f>
        <v/>
      </c>
      <c r="GL559" s="44" t="str">
        <f>IF(Table1[Leaving Date]="","",IF(AND(Table1[Leaving Date]&gt;42460,Table1[Leaving Date]&lt;42826),IF(Table1[Date of Last Assessment]="",Table1[Meaningful Use of Time],Table1[Meaningful Use of Time2]),""))</f>
        <v/>
      </c>
      <c r="GM559" s="44" t="str">
        <f>IF(Table1[Leaving Date]="","",IF(AND(Table1[Leaving Date]&gt;42460,Table1[Leaving Date]&lt;42826),IF(Table1[Date of Last Assessment]="",Table1[Managing Tenancy and Accommodation],Table1[Managing Tenancy and Accommodation2]),""))</f>
        <v/>
      </c>
      <c r="GN559" s="44" t="str">
        <f>IF(Table1[Leaving Date]="","",IF(AND(Table1[Leaving Date]&gt;42460,Table1[Leaving Date]&lt;42826),IF(Table1[Date of Last Assessment]="",Table1[Offending],Table1[Offending2]),""))</f>
        <v/>
      </c>
    </row>
    <row r="560" spans="2:196" ht="20.100000000000001" customHeight="1" x14ac:dyDescent="0.2">
      <c r="B560" s="86">
        <f>+'Service Data'!$C$5:$C$5</f>
        <v>0</v>
      </c>
      <c r="C560" s="86"/>
      <c r="D560" s="86"/>
      <c r="E560" s="86"/>
      <c r="F560" s="86"/>
      <c r="G560" s="86"/>
      <c r="H560" s="6"/>
      <c r="I560" s="99" t="str">
        <f ca="1">IF(Table1[[#This Row],[Date of Birth]]="","",SUM(TODAY()-Table1[[#This Row],[Date of Birth]])/365)</f>
        <v/>
      </c>
      <c r="L560" s="86"/>
      <c r="M560" s="77"/>
      <c r="N560" s="86"/>
      <c r="O560" s="86"/>
      <c r="P560" s="91"/>
      <c r="Q560" s="86"/>
      <c r="R560" s="77"/>
      <c r="S560" s="77"/>
      <c r="T560" s="68"/>
      <c r="U560" s="68"/>
      <c r="V560" s="67"/>
      <c r="W560" s="67"/>
      <c r="X560" s="67"/>
      <c r="Y560" s="67"/>
      <c r="Z560" s="67"/>
      <c r="AA560" s="67"/>
      <c r="AB560" s="67"/>
      <c r="AC560" s="67"/>
      <c r="AD560" s="67"/>
      <c r="AE560" s="67"/>
      <c r="AF560" s="67"/>
      <c r="AG560" s="67"/>
      <c r="AH560" s="67"/>
      <c r="AI560" s="67"/>
      <c r="AJ560" s="67"/>
      <c r="AK560" s="67"/>
      <c r="AL560" s="67"/>
      <c r="AM560" s="67"/>
      <c r="AN560" s="77"/>
      <c r="AO560" s="76"/>
      <c r="AP560" s="77"/>
      <c r="AQ560" s="76"/>
      <c r="AR560" s="76"/>
      <c r="AS560" s="76"/>
      <c r="AT560" s="76"/>
      <c r="AU560" s="76"/>
      <c r="AV560" s="77"/>
      <c r="AW560" s="76"/>
      <c r="AX560" s="77"/>
      <c r="AY560" s="76"/>
      <c r="AZ560" s="76"/>
      <c r="BA560" s="76"/>
      <c r="BB560" s="76"/>
      <c r="BC560" s="76"/>
      <c r="BD560" s="77"/>
      <c r="BE560" s="76"/>
      <c r="BF560" s="77"/>
      <c r="BG560" s="76"/>
      <c r="BH560" s="76"/>
      <c r="BI560" s="76"/>
      <c r="BJ560" s="76"/>
      <c r="BK560" s="76"/>
      <c r="BL560" s="77"/>
      <c r="BM560" s="76"/>
      <c r="BN560" s="77"/>
      <c r="BO560" s="76"/>
      <c r="BP560" s="76"/>
      <c r="BQ560" s="76"/>
      <c r="BR560" s="76"/>
      <c r="BS560" s="76"/>
      <c r="BT560" s="77"/>
      <c r="BU560" s="76"/>
      <c r="BV560" s="77"/>
      <c r="BW560" s="76"/>
      <c r="BX560" s="76"/>
      <c r="BY560" s="76"/>
      <c r="BZ560" s="76"/>
      <c r="CA560" s="76"/>
      <c r="CB560" s="77"/>
      <c r="CC560" s="76"/>
      <c r="CD560" s="77"/>
      <c r="CE560" s="76"/>
      <c r="CF560" s="76"/>
      <c r="CG560" s="76"/>
      <c r="CH560" s="76"/>
      <c r="CI560" s="76"/>
      <c r="CJ560" s="77"/>
      <c r="CK560" s="76"/>
      <c r="CL560" s="77"/>
      <c r="CM560" s="76"/>
      <c r="CN560" s="76"/>
      <c r="CO560" s="76"/>
      <c r="CP560" s="76"/>
      <c r="CQ560" s="76"/>
      <c r="CR560" s="78" t="str">
        <f t="shared" si="143"/>
        <v/>
      </c>
      <c r="CS560" s="79" t="str">
        <f t="shared" si="144"/>
        <v/>
      </c>
      <c r="CT560" s="79" t="str">
        <f t="shared" si="145"/>
        <v/>
      </c>
      <c r="CU560" s="79" t="str">
        <f t="shared" si="146"/>
        <v/>
      </c>
      <c r="CV560" s="79" t="str">
        <f t="shared" si="147"/>
        <v/>
      </c>
      <c r="CW560" s="79" t="str">
        <f t="shared" si="148"/>
        <v/>
      </c>
      <c r="CX560" s="79" t="str">
        <f t="shared" si="149"/>
        <v/>
      </c>
      <c r="CY560" s="79" t="str">
        <f t="shared" si="150"/>
        <v/>
      </c>
      <c r="CZ560" s="79" t="str">
        <f t="shared" si="151"/>
        <v/>
      </c>
      <c r="DA560" s="79" t="str">
        <f t="shared" si="152"/>
        <v/>
      </c>
      <c r="DB560" s="79" t="str">
        <f t="shared" si="153"/>
        <v/>
      </c>
      <c r="DC560" s="79" t="str">
        <f t="shared" si="154"/>
        <v/>
      </c>
      <c r="DD560" s="79" t="str">
        <f t="shared" si="155"/>
        <v/>
      </c>
      <c r="DE560" s="79" t="str">
        <f t="shared" si="156"/>
        <v/>
      </c>
      <c r="DF560" s="79" t="str">
        <f t="shared" si="157"/>
        <v/>
      </c>
      <c r="DG560" s="79" t="str">
        <f t="shared" si="158"/>
        <v/>
      </c>
      <c r="DH560" s="76"/>
      <c r="DI560" s="78"/>
      <c r="DJ560" s="76"/>
      <c r="DK560" s="77"/>
      <c r="DL560" s="77"/>
      <c r="DM560" s="77"/>
      <c r="DN560" s="80"/>
      <c r="DO560" s="80"/>
      <c r="DP560" s="92" t="str">
        <f>IF(Table1[Start Date]="","",IF(Table1[Start Date]&gt;42185,"",IF(AND(Table1[Leaving Date]&gt;1,Table1[Leaving Date]&lt;42095),"",1)))</f>
        <v/>
      </c>
      <c r="DQ560" s="92" t="str">
        <f>IF(Table1[Start Date]="","",IF(Table1[Start Date]&gt;42277,"",IF(AND(Table1[Leaving Date]&gt;1,Table1[Leaving Date]&lt;42186),"",1)))</f>
        <v/>
      </c>
      <c r="DR560" s="92" t="str">
        <f>IF(Table1[Start Date]="","",IF(Table1[Start Date]&gt;42369,"",IF(AND(Table1[Leaving Date]&gt;1,Table1[Leaving Date]&lt;42278),"",1)))</f>
        <v/>
      </c>
      <c r="DS560" s="92" t="str">
        <f>IF(Table1[Start Date]="","",IF(Table1[Start Date]&gt;42460,"",IF(AND(Table1[Leaving Date]&gt;1,Table1[Leaving Date]&lt;42370),"",1)))</f>
        <v/>
      </c>
      <c r="DT560" s="92" t="str">
        <f>IF(Table1[Start Date]="","",IF(Table1[Start Date]&gt;42551,"",IF(AND(Table1[Leaving Date]&gt;1,Table1[Leaving Date]&lt;42461),"",1)))</f>
        <v/>
      </c>
      <c r="DU560" s="92" t="str">
        <f>IF(Table1[Start Date]="","",IF(Table1[Start Date]&gt;42643,"",IF(AND(Table1[Leaving Date]&gt;1,Table1[Leaving Date]&lt;42552),"",1)))</f>
        <v/>
      </c>
      <c r="DV560" s="92" t="str">
        <f>IF(Table1[Start Date]="","",IF(Table1[Start Date]&gt;42735,"",IF(AND(Table1[Leaving Date]&gt;1,Table1[Leaving Date]&lt;42644),"",1)))</f>
        <v/>
      </c>
      <c r="DW560" s="92" t="str">
        <f>IF(Table1[Start Date]="","",IF(Table1[Start Date]&gt;42825,"",IF(AND(Table1[Leaving Date]&gt;1,Table1[Leaving Date]&lt;42736),"",1)))</f>
        <v/>
      </c>
      <c r="DX560"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560" s="44" t="e">
        <f>VLOOKUP(Table1[Referral Source],Lists!$G$2:$H$20,2,FALSE)</f>
        <v>#N/A</v>
      </c>
      <c r="DZ560" s="93" t="e">
        <f>SUM(Table1[Data Referral Quarter]+Table1[Data Referral Source])</f>
        <v>#N/A</v>
      </c>
      <c r="EA560" s="44" t="b">
        <f>IF(Table1[Referral Decision]="Accepted",100,IF(Table1[Referral Decision]="Rejected by Provider",200,IF(Table1[Referral Decision]="Rejected by Applicant",300)))</f>
        <v>0</v>
      </c>
      <c r="EB560" s="44">
        <f>SUM(Table1[Data Referral Quarter]+Table1[Data Referral Decision])</f>
        <v>0</v>
      </c>
      <c r="EC560" s="44" t="b">
        <f>IF(Table1[Start Date]&gt;42735,8000,IF(Table1[Start Date]&gt;42643,7000,IF(Table1[Start Date]&gt;42551,6000,IF(Table1[Start Date]&gt;42460,5000,IF(Table1[Start Date]&gt;42369,4000,IF(Table1[Start Date]&gt;42277,3000,IF(Table1[Start Date]&gt;42185,2000,IF(Table1[Start Date]&gt;42094,1000))))))))</f>
        <v>0</v>
      </c>
      <c r="ED560" s="44" t="str">
        <f>IF(Table1[Start Date]="","",IF(Table1[Current Local Authority]="Swindon",1,"2"))</f>
        <v/>
      </c>
      <c r="EE560" s="44" t="e">
        <f>SUM(Table1[Data Start Date]+Table1[Data Local Authority])</f>
        <v>#VALUE!</v>
      </c>
      <c r="EF560" s="44">
        <f>IF(Table1[Registered with GP]="Yes",1,0)</f>
        <v>0</v>
      </c>
      <c r="EG560" s="44">
        <f>SUM(Table1[Data Start Date]+Table1[Data GP Start])</f>
        <v>0</v>
      </c>
      <c r="EH560" s="44" t="str">
        <f>IF(Table1[EET]="NEET",1,IF(Table1[EET]="Education",2,IF(Table1[EET]="Employment",2,IF(Table1[EET]="Training",2,IF(Table1[EET]="Retired",3,"")))))</f>
        <v/>
      </c>
      <c r="EI560" s="44" t="e">
        <f>Table1[Data Start Date]+Table1[Data EET Start]</f>
        <v>#VALUE!</v>
      </c>
      <c r="EJ560" s="44" t="b">
        <f>IF(Table1[Leaving Date]&gt;42735,8000,IF(Table1[Leaving Date]&gt;42643,7000,IF(Table1[Leaving Date]&gt;42551,6000,IF(Table1[Leaving Date]&gt;42460,5000,IF(Table1[Leaving Date]&gt;42369,4000,IF(Table1[Leaving Date]&gt;42277,3000,IF(Table1[Leaving Date]&gt;42185,2000,IF(Table1[Leaving Date]&gt;42094,1000))))))))</f>
        <v>0</v>
      </c>
      <c r="EK560" s="44" t="e">
        <f>VLOOKUP(Table1[Reason for Leaving],Lists!$T$2:$U$15,2,FALSE)</f>
        <v>#N/A</v>
      </c>
      <c r="EL560" s="44" t="e">
        <f>SUM(Table1[Data Leavers Date]+Table1[Data Move On])</f>
        <v>#N/A</v>
      </c>
      <c r="EM560" s="44" t="b">
        <f>IF(Table1[Registered with GP2]="Yes",1,IF(Table1[Registered with GP2]="No",0,IF(Table1[Registered with GP]="Yes",1,IF(Table1[Registered with GP]="No",0))))</f>
        <v>0</v>
      </c>
      <c r="EN560" s="44">
        <f>SUM(Table1[Data Leavers Date]+Table1[Data GP End])</f>
        <v>0</v>
      </c>
      <c r="EO560" s="44" t="str">
        <f>IF(Table1[EET2]="NEET",1,IF(Table1[EET2]="Employment",2,IF(Table1[EET2]="Education",2,IF(Table1[EET2]="Training",2,IF(Table1[EET2]="Retired",3,IF(Table1[EET]="NEET",1,IF(Table1[EET]="Employment",2,IF(Table1[EET]="Education",2,IF(Table1[EET]="Training",2,IF(Table1[EET]="Retired",3,""))))))))))</f>
        <v/>
      </c>
      <c r="EP560" s="44" t="e">
        <f>+Table1[[#This Row],[Data Leavers Date]]+Table1[[#This Row],[Data EET End]]</f>
        <v>#VALUE!</v>
      </c>
      <c r="EQ560" s="44">
        <f>IF(Table1[Exit Form Received]="Yes",1,0)</f>
        <v>0</v>
      </c>
      <c r="ER560" s="44">
        <f>+Table1[[#This Row],[Data Leavers Date]]+Table1[[#This Row],[Data Exit Forms]]</f>
        <v>0</v>
      </c>
      <c r="ES560" s="44" t="str">
        <f>IF(Table1[Data Leavers Date]=1000,SUM(Table1[Leaving Date]-Table1[Start Date]),"")</f>
        <v/>
      </c>
      <c r="ET560" s="44" t="str">
        <f>IF(Table1[Data Leavers Date]=2000,SUM(Table1[Leaving Date]-Table1[Start Date]),"")</f>
        <v/>
      </c>
      <c r="EU560" s="44" t="str">
        <f>IF(Table1[Data Leavers Date]=3000,SUM(Table1[Leaving Date]-Table1[Start Date]),"")</f>
        <v/>
      </c>
      <c r="EV560" s="44" t="str">
        <f>IF(Table1[Data Leavers Date]=4000,SUM(Table1[Leaving Date]-Table1[Start Date]),"")</f>
        <v/>
      </c>
      <c r="EW560" s="44" t="str">
        <f>IF(Table1[Data Leavers Date]=5000,SUM(Table1[Leaving Date]-Table1[Start Date]),"")</f>
        <v/>
      </c>
      <c r="EX560" s="44" t="str">
        <f>IF(Table1[Data Leavers Date]=6000,SUM(Table1[Leaving Date]-Table1[Start Date]),"")</f>
        <v/>
      </c>
      <c r="EY560" s="44" t="str">
        <f>IF(Table1[Data Leavers Date]=7000,SUM(Table1[Leaving Date]-Table1[Start Date]),"")</f>
        <v/>
      </c>
      <c r="EZ560" s="44" t="str">
        <f>IF(Table1[Data Leavers Date]=8000,SUM(Table1[Leaving Date]-Table1[Start Date]),"")</f>
        <v/>
      </c>
      <c r="FA560" s="44" t="str">
        <f>IF(Table1[Date of Initial Assessment]="","",IF(AND(Table1[Start Date]&gt;42094,Table1[Start Date]&lt;42461),Table1[Motivation and Taking Responsibility],""))</f>
        <v/>
      </c>
      <c r="FB560" s="44" t="str">
        <f>IF(Table1[Date of Initial Assessment]="","",IF(AND(Table1[Start Date]&gt;42094,Table1[Start Date]&lt;42461),Table1[Self-Care and Living Skills],""))</f>
        <v/>
      </c>
      <c r="FC560" s="44" t="str">
        <f>IF(Table1[Date of Initial Assessment]="","",IF(AND(Table1[Start Date]&gt;42094,Table1[Start Date]&lt;42461),Table1[Managing Money and Personal Administration],""))</f>
        <v/>
      </c>
      <c r="FD560" s="44" t="str">
        <f>IF(Table1[Date of Initial Assessment]="","",IF(AND(Table1[Start Date]&gt;42094,Table1[Start Date]&lt;42461),Table1[Social Networks and Relationships],""))</f>
        <v/>
      </c>
      <c r="FE560" s="44" t="str">
        <f>IF(Table1[Date of Initial Assessment]="","",IF(AND(Table1[Start Date]&gt;42094,Table1[Start Date]&lt;42461),Table1[Drug and Alcohol Misuse],""))</f>
        <v/>
      </c>
      <c r="FF560" s="44" t="str">
        <f>IF(Table1[Date of Initial Assessment]="","",IF(AND(Table1[Start Date]&gt;42094,Table1[Start Date]&lt;42461),Table1[Physical Health],""))</f>
        <v/>
      </c>
      <c r="FG560" s="44" t="str">
        <f>IF(Table1[Date of Initial Assessment]="","",IF(AND(Table1[Start Date]&gt;42094,Table1[Start Date]&lt;42461),Table1[Emotional and Mental Health],""))</f>
        <v/>
      </c>
      <c r="FH560" s="44" t="str">
        <f>IF(Table1[Date of Initial Assessment]="","",IF(AND(Table1[Start Date]&gt;42094,Table1[Start Date]&lt;42461),Table1[Meaningful Use of Time],""))</f>
        <v/>
      </c>
      <c r="FI560" s="44" t="str">
        <f>IF(Table1[Date of Initial Assessment]="","",IF(AND(Table1[Start Date]&gt;42094,Table1[Start Date]&lt;42461),Table1[Managing Tenancy and Accommodation],""))</f>
        <v/>
      </c>
      <c r="FJ560" s="44" t="str">
        <f>IF(Table1[Date of Initial Assessment]="","",IF(AND(Table1[Start Date]&gt;42094,Table1[Start Date]&lt;42461),Table1[Offending],""))</f>
        <v/>
      </c>
      <c r="FK560" s="44" t="str">
        <f>IF(Table1[Leaving Date]="","",IF(Table1[Date of Initial Assessment]="","",IF(AND(Table1[Leaving Date]&gt;42094,Table1[Leaving Date]&lt;42461),IF(Table1[Date of Last Assessment]="",Table1[Motivation and Taking Responsibility],Table1[Motivation and Taking Responsibility2]),"")))</f>
        <v/>
      </c>
      <c r="FL560" s="44" t="str">
        <f>IF(Table1[Leaving Date]="","",IF(Table1[Date of Initial Assessment]="","",IF(AND(Table1[Leaving Date]&gt;42094,Table1[Leaving Date]&lt;42461),IF(Table1[Date of Last Assessment]="",Table1[Self-Care and Living Skills],Table1[Self-Care and Living Skills2]),"")))</f>
        <v/>
      </c>
      <c r="FM560" s="44" t="str">
        <f>IF(Table1[Leaving Date]="","",IF(Table1[Date of Initial Assessment]="","",IF(AND(Table1[Leaving Date]&gt;42094,Table1[Leaving Date]&lt;42461),IF(Table1[Date of Last Assessment]="",Table1[Managing Money and Personal Administration],Table1[Managing Money and Personal Administration2]),"")))</f>
        <v/>
      </c>
      <c r="FN560" s="44" t="str">
        <f>IF(Table1[Leaving Date]="","",IF(Table1[Date of Initial Assessment]="","",IF(AND(Table1[Leaving Date]&gt;42094,Table1[Leaving Date]&lt;42461),IF(Table1[Date of Last Assessment]="",Table1[Social Networks and Relationships],Table1[Social Networks and Relationships2]),"")))</f>
        <v/>
      </c>
      <c r="FO560" s="44" t="str">
        <f>IF(Table1[Leaving Date]="","",IF(Table1[Date of Initial Assessment]="","",IF(AND(Table1[Leaving Date]&gt;42094,Table1[Leaving Date]&lt;42461),IF(Table1[Date of Last Assessment]="",Table1[Drug and Alcohol Misuse],Table1[Drug and Alcohol Misuse2]),"")))</f>
        <v/>
      </c>
      <c r="FP560" s="44" t="str">
        <f>IF(Table1[Leaving Date]="","",IF(Table1[Date of Initial Assessment]="","",IF(AND(Table1[Leaving Date]&gt;42094,Table1[Leaving Date]&lt;42461),IF(Table1[Date of Last Assessment]="",Table1[Physical Health],Table1[Physical Health2]),"")))</f>
        <v/>
      </c>
      <c r="FQ560" s="44" t="str">
        <f>IF(Table1[Leaving Date]="","",IF(Table1[Date of Initial Assessment]="","",IF(AND(Table1[Leaving Date]&gt;42094,Table1[Leaving Date]&lt;42461),IF(Table1[Date of Last Assessment]="",Table1[Emotional and Mental Health],Table1[Emotional and Mental Health2]),"")))</f>
        <v/>
      </c>
      <c r="FR560" s="44" t="str">
        <f>IF(Table1[Leaving Date]="","",IF(Table1[Date of Initial Assessment]="","",IF(AND(Table1[Leaving Date]&gt;42094,Table1[Leaving Date]&lt;42461),IF(Table1[Date of Last Assessment]="",Table1[Meaningful Use of Time],Table1[Meaningful Use of Time2]),"")))</f>
        <v/>
      </c>
      <c r="FS560" s="44" t="str">
        <f>IF(Table1[Leaving Date]="","",IF(Table1[Date of Initial Assessment]="","",IF(AND(Table1[Leaving Date]&gt;42094,Table1[Leaving Date]&lt;42461),IF(Table1[Date of Last Assessment]="",Table1[Managing Tenancy and Accommodation],Table1[Managing Tenancy and Accommodation2]),"")))</f>
        <v/>
      </c>
      <c r="FT560" s="44" t="str">
        <f>IF(Table1[Leaving Date]="","",IF(Table1[Date of Initial Assessment]="","",IF(AND(Table1[Leaving Date]&gt;42094,Table1[Leaving Date]&lt;42461),IF(Table1[Date of Last Assessment]="",Table1[Offending],Table1[Offending2]),"")))</f>
        <v/>
      </c>
      <c r="FU560" s="44" t="str">
        <f>IF(Table1[Date of Initial Assessment]="","",IF(AND(Table1[Start Date]&gt;42460,Table1[Start Date]&lt;42826),Table1[Motivation and Taking Responsibility],""))</f>
        <v/>
      </c>
      <c r="FV560" s="44" t="str">
        <f>IF(Table1[Date of Initial Assessment]="","",IF(AND(Table1[Start Date]&gt;42460,Table1[Start Date]&lt;42826),Table1[Self-Care and Living Skills],""))</f>
        <v/>
      </c>
      <c r="FW560" s="44" t="str">
        <f>IF(Table1[Date of Initial Assessment]="","",IF(AND(Table1[Start Date]&gt;42460,Table1[Start Date]&lt;42826),Table1[Managing Money and Personal Administration],""))</f>
        <v/>
      </c>
      <c r="FX560" s="44" t="str">
        <f>IF(Table1[Date of Initial Assessment]="","",IF(AND(Table1[Start Date]&gt;42460,Table1[Start Date]&lt;42826),Table1[Social Networks and Relationships],""))</f>
        <v/>
      </c>
      <c r="FY560" s="44" t="str">
        <f>IF(Table1[Date of Initial Assessment]="","",IF(AND(Table1[Start Date]&gt;42460,Table1[Start Date]&lt;42826),Table1[Drug and Alcohol Misuse],""))</f>
        <v/>
      </c>
      <c r="FZ560" s="44" t="str">
        <f>IF(Table1[Date of Initial Assessment]="","",IF(AND(Table1[Start Date]&gt;42460,Table1[Start Date]&lt;42826),Table1[Physical Health],""))</f>
        <v/>
      </c>
      <c r="GA560" s="44" t="str">
        <f>IF(Table1[Date of Initial Assessment]="","",IF(AND(Table1[Start Date]&gt;42460,Table1[Start Date]&lt;42826),Table1[Emotional and Mental Health],""))</f>
        <v/>
      </c>
      <c r="GB560" s="44" t="str">
        <f>IF(Table1[Date of Initial Assessment]="","",IF(AND(Table1[Start Date]&gt;42460,Table1[Start Date]&lt;42826),Table1[Meaningful Use of Time],""))</f>
        <v/>
      </c>
      <c r="GC560" s="44" t="str">
        <f>IF(Table1[Date of Initial Assessment]="","",IF(AND(Table1[Start Date]&gt;42460,Table1[Start Date]&lt;42826),Table1[Managing Tenancy and Accommodation],""))</f>
        <v/>
      </c>
      <c r="GD560" s="44" t="str">
        <f>IF(Table1[Date of Initial Assessment]="","",IF(AND(Table1[Start Date]&gt;42460,Table1[Start Date]&lt;42826),Table1[Offending],""))</f>
        <v/>
      </c>
      <c r="GE560" s="44" t="str">
        <f>IF(Table1[Leaving Date]="","",IF(AND(Table1[Leaving Date]&gt;42460,Table1[Leaving Date]&lt;42826),IF(Table1[Date of Last Assessment]="",Table1[Motivation and Taking Responsibility],Table1[Motivation and Taking Responsibility2]),""))</f>
        <v/>
      </c>
      <c r="GF560" s="44" t="str">
        <f>IF(Table1[Leaving Date]="","",IF(AND(Table1[Leaving Date]&gt;42460,Table1[Leaving Date]&lt;42826),IF(Table1[Date of Last Assessment]="",Table1[Self-Care and Living Skills],Table1[Self-Care and Living Skills2]),""))</f>
        <v/>
      </c>
      <c r="GG560" s="44" t="str">
        <f>IF(Table1[Leaving Date]="","",IF(AND(Table1[Leaving Date]&gt;42460,Table1[Leaving Date]&lt;42826),IF(Table1[Date of Last Assessment]="",Table1[Managing Money and Personal Administration],Table1[Managing Money and Personal Administration2]),""))</f>
        <v/>
      </c>
      <c r="GH560" s="44" t="str">
        <f>IF(Table1[Leaving Date]="","",IF(AND(Table1[Leaving Date]&gt;42460,Table1[Leaving Date]&lt;42826),IF(Table1[Date of Last Assessment]="",Table1[Social Networks and Relationships],Table1[Social Networks and Relationships2]),""))</f>
        <v/>
      </c>
      <c r="GI560" s="44" t="str">
        <f>IF(Table1[Leaving Date]="","",IF(AND(Table1[Leaving Date]&gt;42460,Table1[Leaving Date]&lt;42826),IF(Table1[Date of Last Assessment]="",Table1[Drug and Alcohol Misuse],Table1[Drug and Alcohol Misuse2]),""))</f>
        <v/>
      </c>
      <c r="GJ560" s="44" t="str">
        <f>IF(Table1[Leaving Date]="","",IF(AND(Table1[Leaving Date]&gt;42460,Table1[Leaving Date]&lt;42826),IF(Table1[Date of Last Assessment]="",Table1[Physical Health],Table1[Physical Health2]),""))</f>
        <v/>
      </c>
      <c r="GK560" s="44" t="str">
        <f>IF(Table1[Leaving Date]="","",IF(AND(Table1[Leaving Date]&gt;42460,Table1[Leaving Date]&lt;42826),IF(Table1[Date of Last Assessment]="",Table1[Emotional and Mental Health],Table1[Emotional and Mental Health2]),""))</f>
        <v/>
      </c>
      <c r="GL560" s="44" t="str">
        <f>IF(Table1[Leaving Date]="","",IF(AND(Table1[Leaving Date]&gt;42460,Table1[Leaving Date]&lt;42826),IF(Table1[Date of Last Assessment]="",Table1[Meaningful Use of Time],Table1[Meaningful Use of Time2]),""))</f>
        <v/>
      </c>
      <c r="GM560" s="44" t="str">
        <f>IF(Table1[Leaving Date]="","",IF(AND(Table1[Leaving Date]&gt;42460,Table1[Leaving Date]&lt;42826),IF(Table1[Date of Last Assessment]="",Table1[Managing Tenancy and Accommodation],Table1[Managing Tenancy and Accommodation2]),""))</f>
        <v/>
      </c>
      <c r="GN560" s="44" t="str">
        <f>IF(Table1[Leaving Date]="","",IF(AND(Table1[Leaving Date]&gt;42460,Table1[Leaving Date]&lt;42826),IF(Table1[Date of Last Assessment]="",Table1[Offending],Table1[Offending2]),""))</f>
        <v/>
      </c>
    </row>
    <row r="561" spans="2:196" ht="20.100000000000001" customHeight="1" x14ac:dyDescent="0.2">
      <c r="B561" s="86">
        <f>+'Service Data'!$C$5:$C$5</f>
        <v>0</v>
      </c>
      <c r="C561" s="86"/>
      <c r="D561" s="86"/>
      <c r="E561" s="86"/>
      <c r="F561" s="86"/>
      <c r="G561" s="86"/>
      <c r="H561" s="6"/>
      <c r="I561" s="99" t="str">
        <f ca="1">IF(Table1[[#This Row],[Date of Birth]]="","",SUM(TODAY()-Table1[[#This Row],[Date of Birth]])/365)</f>
        <v/>
      </c>
      <c r="L561" s="86"/>
      <c r="M561" s="77"/>
      <c r="N561" s="86"/>
      <c r="O561" s="86"/>
      <c r="P561" s="91"/>
      <c r="Q561" s="86"/>
      <c r="R561" s="77"/>
      <c r="S561" s="77"/>
      <c r="T561" s="68"/>
      <c r="U561" s="68"/>
      <c r="V561" s="67"/>
      <c r="W561" s="67"/>
      <c r="X561" s="67"/>
      <c r="Y561" s="67"/>
      <c r="Z561" s="67"/>
      <c r="AA561" s="67"/>
      <c r="AB561" s="67"/>
      <c r="AC561" s="67"/>
      <c r="AD561" s="67"/>
      <c r="AE561" s="67"/>
      <c r="AF561" s="67"/>
      <c r="AG561" s="67"/>
      <c r="AH561" s="67"/>
      <c r="AI561" s="67"/>
      <c r="AJ561" s="67"/>
      <c r="AK561" s="67"/>
      <c r="AL561" s="67"/>
      <c r="AM561" s="67"/>
      <c r="AN561" s="77"/>
      <c r="AO561" s="76"/>
      <c r="AP561" s="77"/>
      <c r="AQ561" s="76"/>
      <c r="AR561" s="76"/>
      <c r="AS561" s="76"/>
      <c r="AT561" s="76"/>
      <c r="AU561" s="76"/>
      <c r="AV561" s="77"/>
      <c r="AW561" s="76"/>
      <c r="AX561" s="77"/>
      <c r="AY561" s="76"/>
      <c r="AZ561" s="76"/>
      <c r="BA561" s="76"/>
      <c r="BB561" s="76"/>
      <c r="BC561" s="76"/>
      <c r="BD561" s="77"/>
      <c r="BE561" s="76"/>
      <c r="BF561" s="77"/>
      <c r="BG561" s="76"/>
      <c r="BH561" s="76"/>
      <c r="BI561" s="76"/>
      <c r="BJ561" s="76"/>
      <c r="BK561" s="76"/>
      <c r="BL561" s="77"/>
      <c r="BM561" s="76"/>
      <c r="BN561" s="77"/>
      <c r="BO561" s="76"/>
      <c r="BP561" s="76"/>
      <c r="BQ561" s="76"/>
      <c r="BR561" s="76"/>
      <c r="BS561" s="76"/>
      <c r="BT561" s="77"/>
      <c r="BU561" s="76"/>
      <c r="BV561" s="77"/>
      <c r="BW561" s="76"/>
      <c r="BX561" s="76"/>
      <c r="BY561" s="76"/>
      <c r="BZ561" s="76"/>
      <c r="CA561" s="76"/>
      <c r="CB561" s="77"/>
      <c r="CC561" s="76"/>
      <c r="CD561" s="77"/>
      <c r="CE561" s="76"/>
      <c r="CF561" s="76"/>
      <c r="CG561" s="76"/>
      <c r="CH561" s="76"/>
      <c r="CI561" s="76"/>
      <c r="CJ561" s="77"/>
      <c r="CK561" s="76"/>
      <c r="CL561" s="77"/>
      <c r="CM561" s="76"/>
      <c r="CN561" s="76"/>
      <c r="CO561" s="76"/>
      <c r="CP561" s="76"/>
      <c r="CQ561" s="76"/>
      <c r="CR561" s="78" t="str">
        <f t="shared" si="143"/>
        <v/>
      </c>
      <c r="CS561" s="79" t="str">
        <f t="shared" si="144"/>
        <v/>
      </c>
      <c r="CT561" s="79" t="str">
        <f t="shared" si="145"/>
        <v/>
      </c>
      <c r="CU561" s="79" t="str">
        <f t="shared" si="146"/>
        <v/>
      </c>
      <c r="CV561" s="79" t="str">
        <f t="shared" si="147"/>
        <v/>
      </c>
      <c r="CW561" s="79" t="str">
        <f t="shared" si="148"/>
        <v/>
      </c>
      <c r="CX561" s="79" t="str">
        <f t="shared" si="149"/>
        <v/>
      </c>
      <c r="CY561" s="79" t="str">
        <f t="shared" si="150"/>
        <v/>
      </c>
      <c r="CZ561" s="79" t="str">
        <f t="shared" si="151"/>
        <v/>
      </c>
      <c r="DA561" s="79" t="str">
        <f t="shared" si="152"/>
        <v/>
      </c>
      <c r="DB561" s="79" t="str">
        <f t="shared" si="153"/>
        <v/>
      </c>
      <c r="DC561" s="79" t="str">
        <f t="shared" si="154"/>
        <v/>
      </c>
      <c r="DD561" s="79" t="str">
        <f t="shared" si="155"/>
        <v/>
      </c>
      <c r="DE561" s="79" t="str">
        <f t="shared" si="156"/>
        <v/>
      </c>
      <c r="DF561" s="79" t="str">
        <f t="shared" si="157"/>
        <v/>
      </c>
      <c r="DG561" s="79" t="str">
        <f t="shared" si="158"/>
        <v/>
      </c>
      <c r="DH561" s="76"/>
      <c r="DI561" s="78"/>
      <c r="DJ561" s="76"/>
      <c r="DK561" s="77"/>
      <c r="DL561" s="77"/>
      <c r="DM561" s="77"/>
      <c r="DN561" s="80"/>
      <c r="DO561" s="80"/>
      <c r="DP561" s="92" t="str">
        <f>IF(Table1[Start Date]="","",IF(Table1[Start Date]&gt;42185,"",IF(AND(Table1[Leaving Date]&gt;1,Table1[Leaving Date]&lt;42095),"",1)))</f>
        <v/>
      </c>
      <c r="DQ561" s="92" t="str">
        <f>IF(Table1[Start Date]="","",IF(Table1[Start Date]&gt;42277,"",IF(AND(Table1[Leaving Date]&gt;1,Table1[Leaving Date]&lt;42186),"",1)))</f>
        <v/>
      </c>
      <c r="DR561" s="92" t="str">
        <f>IF(Table1[Start Date]="","",IF(Table1[Start Date]&gt;42369,"",IF(AND(Table1[Leaving Date]&gt;1,Table1[Leaving Date]&lt;42278),"",1)))</f>
        <v/>
      </c>
      <c r="DS561" s="92" t="str">
        <f>IF(Table1[Start Date]="","",IF(Table1[Start Date]&gt;42460,"",IF(AND(Table1[Leaving Date]&gt;1,Table1[Leaving Date]&lt;42370),"",1)))</f>
        <v/>
      </c>
      <c r="DT561" s="92" t="str">
        <f>IF(Table1[Start Date]="","",IF(Table1[Start Date]&gt;42551,"",IF(AND(Table1[Leaving Date]&gt;1,Table1[Leaving Date]&lt;42461),"",1)))</f>
        <v/>
      </c>
      <c r="DU561" s="92" t="str">
        <f>IF(Table1[Start Date]="","",IF(Table1[Start Date]&gt;42643,"",IF(AND(Table1[Leaving Date]&gt;1,Table1[Leaving Date]&lt;42552),"",1)))</f>
        <v/>
      </c>
      <c r="DV561" s="92" t="str">
        <f>IF(Table1[Start Date]="","",IF(Table1[Start Date]&gt;42735,"",IF(AND(Table1[Leaving Date]&gt;1,Table1[Leaving Date]&lt;42644),"",1)))</f>
        <v/>
      </c>
      <c r="DW561" s="92" t="str">
        <f>IF(Table1[Start Date]="","",IF(Table1[Start Date]&gt;42825,"",IF(AND(Table1[Leaving Date]&gt;1,Table1[Leaving Date]&lt;42736),"",1)))</f>
        <v/>
      </c>
      <c r="DX561"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561" s="44" t="e">
        <f>VLOOKUP(Table1[Referral Source],Lists!$G$2:$H$20,2,FALSE)</f>
        <v>#N/A</v>
      </c>
      <c r="DZ561" s="93" t="e">
        <f>SUM(Table1[Data Referral Quarter]+Table1[Data Referral Source])</f>
        <v>#N/A</v>
      </c>
      <c r="EA561" s="44" t="b">
        <f>IF(Table1[Referral Decision]="Accepted",100,IF(Table1[Referral Decision]="Rejected by Provider",200,IF(Table1[Referral Decision]="Rejected by Applicant",300)))</f>
        <v>0</v>
      </c>
      <c r="EB561" s="44">
        <f>SUM(Table1[Data Referral Quarter]+Table1[Data Referral Decision])</f>
        <v>0</v>
      </c>
      <c r="EC561" s="44" t="b">
        <f>IF(Table1[Start Date]&gt;42735,8000,IF(Table1[Start Date]&gt;42643,7000,IF(Table1[Start Date]&gt;42551,6000,IF(Table1[Start Date]&gt;42460,5000,IF(Table1[Start Date]&gt;42369,4000,IF(Table1[Start Date]&gt;42277,3000,IF(Table1[Start Date]&gt;42185,2000,IF(Table1[Start Date]&gt;42094,1000))))))))</f>
        <v>0</v>
      </c>
      <c r="ED561" s="44" t="str">
        <f>IF(Table1[Start Date]="","",IF(Table1[Current Local Authority]="Swindon",1,"2"))</f>
        <v/>
      </c>
      <c r="EE561" s="44" t="e">
        <f>SUM(Table1[Data Start Date]+Table1[Data Local Authority])</f>
        <v>#VALUE!</v>
      </c>
      <c r="EF561" s="44">
        <f>IF(Table1[Registered with GP]="Yes",1,0)</f>
        <v>0</v>
      </c>
      <c r="EG561" s="44">
        <f>SUM(Table1[Data Start Date]+Table1[Data GP Start])</f>
        <v>0</v>
      </c>
      <c r="EH561" s="44" t="str">
        <f>IF(Table1[EET]="NEET",1,IF(Table1[EET]="Education",2,IF(Table1[EET]="Employment",2,IF(Table1[EET]="Training",2,IF(Table1[EET]="Retired",3,"")))))</f>
        <v/>
      </c>
      <c r="EI561" s="44" t="e">
        <f>Table1[Data Start Date]+Table1[Data EET Start]</f>
        <v>#VALUE!</v>
      </c>
      <c r="EJ561" s="44" t="b">
        <f>IF(Table1[Leaving Date]&gt;42735,8000,IF(Table1[Leaving Date]&gt;42643,7000,IF(Table1[Leaving Date]&gt;42551,6000,IF(Table1[Leaving Date]&gt;42460,5000,IF(Table1[Leaving Date]&gt;42369,4000,IF(Table1[Leaving Date]&gt;42277,3000,IF(Table1[Leaving Date]&gt;42185,2000,IF(Table1[Leaving Date]&gt;42094,1000))))))))</f>
        <v>0</v>
      </c>
      <c r="EK561" s="44" t="e">
        <f>VLOOKUP(Table1[Reason for Leaving],Lists!$T$2:$U$15,2,FALSE)</f>
        <v>#N/A</v>
      </c>
      <c r="EL561" s="44" t="e">
        <f>SUM(Table1[Data Leavers Date]+Table1[Data Move On])</f>
        <v>#N/A</v>
      </c>
      <c r="EM561" s="44" t="b">
        <f>IF(Table1[Registered with GP2]="Yes",1,IF(Table1[Registered with GP2]="No",0,IF(Table1[Registered with GP]="Yes",1,IF(Table1[Registered with GP]="No",0))))</f>
        <v>0</v>
      </c>
      <c r="EN561" s="44">
        <f>SUM(Table1[Data Leavers Date]+Table1[Data GP End])</f>
        <v>0</v>
      </c>
      <c r="EO561" s="44" t="str">
        <f>IF(Table1[EET2]="NEET",1,IF(Table1[EET2]="Employment",2,IF(Table1[EET2]="Education",2,IF(Table1[EET2]="Training",2,IF(Table1[EET2]="Retired",3,IF(Table1[EET]="NEET",1,IF(Table1[EET]="Employment",2,IF(Table1[EET]="Education",2,IF(Table1[EET]="Training",2,IF(Table1[EET]="Retired",3,""))))))))))</f>
        <v/>
      </c>
      <c r="EP561" s="44" t="e">
        <f>+Table1[[#This Row],[Data Leavers Date]]+Table1[[#This Row],[Data EET End]]</f>
        <v>#VALUE!</v>
      </c>
      <c r="EQ561" s="44">
        <f>IF(Table1[Exit Form Received]="Yes",1,0)</f>
        <v>0</v>
      </c>
      <c r="ER561" s="44">
        <f>+Table1[[#This Row],[Data Leavers Date]]+Table1[[#This Row],[Data Exit Forms]]</f>
        <v>0</v>
      </c>
      <c r="ES561" s="44" t="str">
        <f>IF(Table1[Data Leavers Date]=1000,SUM(Table1[Leaving Date]-Table1[Start Date]),"")</f>
        <v/>
      </c>
      <c r="ET561" s="44" t="str">
        <f>IF(Table1[Data Leavers Date]=2000,SUM(Table1[Leaving Date]-Table1[Start Date]),"")</f>
        <v/>
      </c>
      <c r="EU561" s="44" t="str">
        <f>IF(Table1[Data Leavers Date]=3000,SUM(Table1[Leaving Date]-Table1[Start Date]),"")</f>
        <v/>
      </c>
      <c r="EV561" s="44" t="str">
        <f>IF(Table1[Data Leavers Date]=4000,SUM(Table1[Leaving Date]-Table1[Start Date]),"")</f>
        <v/>
      </c>
      <c r="EW561" s="44" t="str">
        <f>IF(Table1[Data Leavers Date]=5000,SUM(Table1[Leaving Date]-Table1[Start Date]),"")</f>
        <v/>
      </c>
      <c r="EX561" s="44" t="str">
        <f>IF(Table1[Data Leavers Date]=6000,SUM(Table1[Leaving Date]-Table1[Start Date]),"")</f>
        <v/>
      </c>
      <c r="EY561" s="44" t="str">
        <f>IF(Table1[Data Leavers Date]=7000,SUM(Table1[Leaving Date]-Table1[Start Date]),"")</f>
        <v/>
      </c>
      <c r="EZ561" s="44" t="str">
        <f>IF(Table1[Data Leavers Date]=8000,SUM(Table1[Leaving Date]-Table1[Start Date]),"")</f>
        <v/>
      </c>
      <c r="FA561" s="44" t="str">
        <f>IF(Table1[Date of Initial Assessment]="","",IF(AND(Table1[Start Date]&gt;42094,Table1[Start Date]&lt;42461),Table1[Motivation and Taking Responsibility],""))</f>
        <v/>
      </c>
      <c r="FB561" s="44" t="str">
        <f>IF(Table1[Date of Initial Assessment]="","",IF(AND(Table1[Start Date]&gt;42094,Table1[Start Date]&lt;42461),Table1[Self-Care and Living Skills],""))</f>
        <v/>
      </c>
      <c r="FC561" s="44" t="str">
        <f>IF(Table1[Date of Initial Assessment]="","",IF(AND(Table1[Start Date]&gt;42094,Table1[Start Date]&lt;42461),Table1[Managing Money and Personal Administration],""))</f>
        <v/>
      </c>
      <c r="FD561" s="44" t="str">
        <f>IF(Table1[Date of Initial Assessment]="","",IF(AND(Table1[Start Date]&gt;42094,Table1[Start Date]&lt;42461),Table1[Social Networks and Relationships],""))</f>
        <v/>
      </c>
      <c r="FE561" s="44" t="str">
        <f>IF(Table1[Date of Initial Assessment]="","",IF(AND(Table1[Start Date]&gt;42094,Table1[Start Date]&lt;42461),Table1[Drug and Alcohol Misuse],""))</f>
        <v/>
      </c>
      <c r="FF561" s="44" t="str">
        <f>IF(Table1[Date of Initial Assessment]="","",IF(AND(Table1[Start Date]&gt;42094,Table1[Start Date]&lt;42461),Table1[Physical Health],""))</f>
        <v/>
      </c>
      <c r="FG561" s="44" t="str">
        <f>IF(Table1[Date of Initial Assessment]="","",IF(AND(Table1[Start Date]&gt;42094,Table1[Start Date]&lt;42461),Table1[Emotional and Mental Health],""))</f>
        <v/>
      </c>
      <c r="FH561" s="44" t="str">
        <f>IF(Table1[Date of Initial Assessment]="","",IF(AND(Table1[Start Date]&gt;42094,Table1[Start Date]&lt;42461),Table1[Meaningful Use of Time],""))</f>
        <v/>
      </c>
      <c r="FI561" s="44" t="str">
        <f>IF(Table1[Date of Initial Assessment]="","",IF(AND(Table1[Start Date]&gt;42094,Table1[Start Date]&lt;42461),Table1[Managing Tenancy and Accommodation],""))</f>
        <v/>
      </c>
      <c r="FJ561" s="44" t="str">
        <f>IF(Table1[Date of Initial Assessment]="","",IF(AND(Table1[Start Date]&gt;42094,Table1[Start Date]&lt;42461),Table1[Offending],""))</f>
        <v/>
      </c>
      <c r="FK561" s="44" t="str">
        <f>IF(Table1[Leaving Date]="","",IF(Table1[Date of Initial Assessment]="","",IF(AND(Table1[Leaving Date]&gt;42094,Table1[Leaving Date]&lt;42461),IF(Table1[Date of Last Assessment]="",Table1[Motivation and Taking Responsibility],Table1[Motivation and Taking Responsibility2]),"")))</f>
        <v/>
      </c>
      <c r="FL561" s="44" t="str">
        <f>IF(Table1[Leaving Date]="","",IF(Table1[Date of Initial Assessment]="","",IF(AND(Table1[Leaving Date]&gt;42094,Table1[Leaving Date]&lt;42461),IF(Table1[Date of Last Assessment]="",Table1[Self-Care and Living Skills],Table1[Self-Care and Living Skills2]),"")))</f>
        <v/>
      </c>
      <c r="FM561" s="44" t="str">
        <f>IF(Table1[Leaving Date]="","",IF(Table1[Date of Initial Assessment]="","",IF(AND(Table1[Leaving Date]&gt;42094,Table1[Leaving Date]&lt;42461),IF(Table1[Date of Last Assessment]="",Table1[Managing Money and Personal Administration],Table1[Managing Money and Personal Administration2]),"")))</f>
        <v/>
      </c>
      <c r="FN561" s="44" t="str">
        <f>IF(Table1[Leaving Date]="","",IF(Table1[Date of Initial Assessment]="","",IF(AND(Table1[Leaving Date]&gt;42094,Table1[Leaving Date]&lt;42461),IF(Table1[Date of Last Assessment]="",Table1[Social Networks and Relationships],Table1[Social Networks and Relationships2]),"")))</f>
        <v/>
      </c>
      <c r="FO561" s="44" t="str">
        <f>IF(Table1[Leaving Date]="","",IF(Table1[Date of Initial Assessment]="","",IF(AND(Table1[Leaving Date]&gt;42094,Table1[Leaving Date]&lt;42461),IF(Table1[Date of Last Assessment]="",Table1[Drug and Alcohol Misuse],Table1[Drug and Alcohol Misuse2]),"")))</f>
        <v/>
      </c>
      <c r="FP561" s="44" t="str">
        <f>IF(Table1[Leaving Date]="","",IF(Table1[Date of Initial Assessment]="","",IF(AND(Table1[Leaving Date]&gt;42094,Table1[Leaving Date]&lt;42461),IF(Table1[Date of Last Assessment]="",Table1[Physical Health],Table1[Physical Health2]),"")))</f>
        <v/>
      </c>
      <c r="FQ561" s="44" t="str">
        <f>IF(Table1[Leaving Date]="","",IF(Table1[Date of Initial Assessment]="","",IF(AND(Table1[Leaving Date]&gt;42094,Table1[Leaving Date]&lt;42461),IF(Table1[Date of Last Assessment]="",Table1[Emotional and Mental Health],Table1[Emotional and Mental Health2]),"")))</f>
        <v/>
      </c>
      <c r="FR561" s="44" t="str">
        <f>IF(Table1[Leaving Date]="","",IF(Table1[Date of Initial Assessment]="","",IF(AND(Table1[Leaving Date]&gt;42094,Table1[Leaving Date]&lt;42461),IF(Table1[Date of Last Assessment]="",Table1[Meaningful Use of Time],Table1[Meaningful Use of Time2]),"")))</f>
        <v/>
      </c>
      <c r="FS561" s="44" t="str">
        <f>IF(Table1[Leaving Date]="","",IF(Table1[Date of Initial Assessment]="","",IF(AND(Table1[Leaving Date]&gt;42094,Table1[Leaving Date]&lt;42461),IF(Table1[Date of Last Assessment]="",Table1[Managing Tenancy and Accommodation],Table1[Managing Tenancy and Accommodation2]),"")))</f>
        <v/>
      </c>
      <c r="FT561" s="44" t="str">
        <f>IF(Table1[Leaving Date]="","",IF(Table1[Date of Initial Assessment]="","",IF(AND(Table1[Leaving Date]&gt;42094,Table1[Leaving Date]&lt;42461),IF(Table1[Date of Last Assessment]="",Table1[Offending],Table1[Offending2]),"")))</f>
        <v/>
      </c>
      <c r="FU561" s="44" t="str">
        <f>IF(Table1[Date of Initial Assessment]="","",IF(AND(Table1[Start Date]&gt;42460,Table1[Start Date]&lt;42826),Table1[Motivation and Taking Responsibility],""))</f>
        <v/>
      </c>
      <c r="FV561" s="44" t="str">
        <f>IF(Table1[Date of Initial Assessment]="","",IF(AND(Table1[Start Date]&gt;42460,Table1[Start Date]&lt;42826),Table1[Self-Care and Living Skills],""))</f>
        <v/>
      </c>
      <c r="FW561" s="44" t="str">
        <f>IF(Table1[Date of Initial Assessment]="","",IF(AND(Table1[Start Date]&gt;42460,Table1[Start Date]&lt;42826),Table1[Managing Money and Personal Administration],""))</f>
        <v/>
      </c>
      <c r="FX561" s="44" t="str">
        <f>IF(Table1[Date of Initial Assessment]="","",IF(AND(Table1[Start Date]&gt;42460,Table1[Start Date]&lt;42826),Table1[Social Networks and Relationships],""))</f>
        <v/>
      </c>
      <c r="FY561" s="44" t="str">
        <f>IF(Table1[Date of Initial Assessment]="","",IF(AND(Table1[Start Date]&gt;42460,Table1[Start Date]&lt;42826),Table1[Drug and Alcohol Misuse],""))</f>
        <v/>
      </c>
      <c r="FZ561" s="44" t="str">
        <f>IF(Table1[Date of Initial Assessment]="","",IF(AND(Table1[Start Date]&gt;42460,Table1[Start Date]&lt;42826),Table1[Physical Health],""))</f>
        <v/>
      </c>
      <c r="GA561" s="44" t="str">
        <f>IF(Table1[Date of Initial Assessment]="","",IF(AND(Table1[Start Date]&gt;42460,Table1[Start Date]&lt;42826),Table1[Emotional and Mental Health],""))</f>
        <v/>
      </c>
      <c r="GB561" s="44" t="str">
        <f>IF(Table1[Date of Initial Assessment]="","",IF(AND(Table1[Start Date]&gt;42460,Table1[Start Date]&lt;42826),Table1[Meaningful Use of Time],""))</f>
        <v/>
      </c>
      <c r="GC561" s="44" t="str">
        <f>IF(Table1[Date of Initial Assessment]="","",IF(AND(Table1[Start Date]&gt;42460,Table1[Start Date]&lt;42826),Table1[Managing Tenancy and Accommodation],""))</f>
        <v/>
      </c>
      <c r="GD561" s="44" t="str">
        <f>IF(Table1[Date of Initial Assessment]="","",IF(AND(Table1[Start Date]&gt;42460,Table1[Start Date]&lt;42826),Table1[Offending],""))</f>
        <v/>
      </c>
      <c r="GE561" s="44" t="str">
        <f>IF(Table1[Leaving Date]="","",IF(AND(Table1[Leaving Date]&gt;42460,Table1[Leaving Date]&lt;42826),IF(Table1[Date of Last Assessment]="",Table1[Motivation and Taking Responsibility],Table1[Motivation and Taking Responsibility2]),""))</f>
        <v/>
      </c>
      <c r="GF561" s="44" t="str">
        <f>IF(Table1[Leaving Date]="","",IF(AND(Table1[Leaving Date]&gt;42460,Table1[Leaving Date]&lt;42826),IF(Table1[Date of Last Assessment]="",Table1[Self-Care and Living Skills],Table1[Self-Care and Living Skills2]),""))</f>
        <v/>
      </c>
      <c r="GG561" s="44" t="str">
        <f>IF(Table1[Leaving Date]="","",IF(AND(Table1[Leaving Date]&gt;42460,Table1[Leaving Date]&lt;42826),IF(Table1[Date of Last Assessment]="",Table1[Managing Money and Personal Administration],Table1[Managing Money and Personal Administration2]),""))</f>
        <v/>
      </c>
      <c r="GH561" s="44" t="str">
        <f>IF(Table1[Leaving Date]="","",IF(AND(Table1[Leaving Date]&gt;42460,Table1[Leaving Date]&lt;42826),IF(Table1[Date of Last Assessment]="",Table1[Social Networks and Relationships],Table1[Social Networks and Relationships2]),""))</f>
        <v/>
      </c>
      <c r="GI561" s="44" t="str">
        <f>IF(Table1[Leaving Date]="","",IF(AND(Table1[Leaving Date]&gt;42460,Table1[Leaving Date]&lt;42826),IF(Table1[Date of Last Assessment]="",Table1[Drug and Alcohol Misuse],Table1[Drug and Alcohol Misuse2]),""))</f>
        <v/>
      </c>
      <c r="GJ561" s="44" t="str">
        <f>IF(Table1[Leaving Date]="","",IF(AND(Table1[Leaving Date]&gt;42460,Table1[Leaving Date]&lt;42826),IF(Table1[Date of Last Assessment]="",Table1[Physical Health],Table1[Physical Health2]),""))</f>
        <v/>
      </c>
      <c r="GK561" s="44" t="str">
        <f>IF(Table1[Leaving Date]="","",IF(AND(Table1[Leaving Date]&gt;42460,Table1[Leaving Date]&lt;42826),IF(Table1[Date of Last Assessment]="",Table1[Emotional and Mental Health],Table1[Emotional and Mental Health2]),""))</f>
        <v/>
      </c>
      <c r="GL561" s="44" t="str">
        <f>IF(Table1[Leaving Date]="","",IF(AND(Table1[Leaving Date]&gt;42460,Table1[Leaving Date]&lt;42826),IF(Table1[Date of Last Assessment]="",Table1[Meaningful Use of Time],Table1[Meaningful Use of Time2]),""))</f>
        <v/>
      </c>
      <c r="GM561" s="44" t="str">
        <f>IF(Table1[Leaving Date]="","",IF(AND(Table1[Leaving Date]&gt;42460,Table1[Leaving Date]&lt;42826),IF(Table1[Date of Last Assessment]="",Table1[Managing Tenancy and Accommodation],Table1[Managing Tenancy and Accommodation2]),""))</f>
        <v/>
      </c>
      <c r="GN561" s="44" t="str">
        <f>IF(Table1[Leaving Date]="","",IF(AND(Table1[Leaving Date]&gt;42460,Table1[Leaving Date]&lt;42826),IF(Table1[Date of Last Assessment]="",Table1[Offending],Table1[Offending2]),""))</f>
        <v/>
      </c>
    </row>
    <row r="562" spans="2:196" ht="20.100000000000001" customHeight="1" x14ac:dyDescent="0.2">
      <c r="B562" s="86">
        <f>+'Service Data'!$C$5:$C$5</f>
        <v>0</v>
      </c>
      <c r="C562" s="86"/>
      <c r="D562" s="86"/>
      <c r="E562" s="86"/>
      <c r="F562" s="86"/>
      <c r="G562" s="86"/>
      <c r="H562" s="6"/>
      <c r="I562" s="99" t="str">
        <f ca="1">IF(Table1[[#This Row],[Date of Birth]]="","",SUM(TODAY()-Table1[[#This Row],[Date of Birth]])/365)</f>
        <v/>
      </c>
      <c r="L562" s="86"/>
      <c r="M562" s="77"/>
      <c r="N562" s="86"/>
      <c r="O562" s="86"/>
      <c r="P562" s="91"/>
      <c r="Q562" s="86"/>
      <c r="R562" s="77"/>
      <c r="S562" s="77"/>
      <c r="T562" s="68"/>
      <c r="U562" s="68"/>
      <c r="V562" s="67"/>
      <c r="W562" s="67"/>
      <c r="X562" s="67"/>
      <c r="Y562" s="67"/>
      <c r="Z562" s="67"/>
      <c r="AA562" s="67"/>
      <c r="AB562" s="67"/>
      <c r="AC562" s="67"/>
      <c r="AD562" s="67"/>
      <c r="AE562" s="67"/>
      <c r="AF562" s="67"/>
      <c r="AG562" s="67"/>
      <c r="AH562" s="67"/>
      <c r="AI562" s="67"/>
      <c r="AJ562" s="67"/>
      <c r="AK562" s="67"/>
      <c r="AL562" s="67"/>
      <c r="AM562" s="67"/>
      <c r="AN562" s="77"/>
      <c r="AO562" s="76"/>
      <c r="AP562" s="77"/>
      <c r="AQ562" s="76"/>
      <c r="AR562" s="76"/>
      <c r="AS562" s="76"/>
      <c r="AT562" s="76"/>
      <c r="AU562" s="76"/>
      <c r="AV562" s="77"/>
      <c r="AW562" s="76"/>
      <c r="AX562" s="77"/>
      <c r="AY562" s="76"/>
      <c r="AZ562" s="76"/>
      <c r="BA562" s="76"/>
      <c r="BB562" s="76"/>
      <c r="BC562" s="76"/>
      <c r="BD562" s="77"/>
      <c r="BE562" s="76"/>
      <c r="BF562" s="77"/>
      <c r="BG562" s="76"/>
      <c r="BH562" s="76"/>
      <c r="BI562" s="76"/>
      <c r="BJ562" s="76"/>
      <c r="BK562" s="76"/>
      <c r="BL562" s="77"/>
      <c r="BM562" s="76"/>
      <c r="BN562" s="77"/>
      <c r="BO562" s="76"/>
      <c r="BP562" s="76"/>
      <c r="BQ562" s="76"/>
      <c r="BR562" s="76"/>
      <c r="BS562" s="76"/>
      <c r="BT562" s="77"/>
      <c r="BU562" s="76"/>
      <c r="BV562" s="77"/>
      <c r="BW562" s="76"/>
      <c r="BX562" s="76"/>
      <c r="BY562" s="76"/>
      <c r="BZ562" s="76"/>
      <c r="CA562" s="76"/>
      <c r="CB562" s="77"/>
      <c r="CC562" s="76"/>
      <c r="CD562" s="77"/>
      <c r="CE562" s="76"/>
      <c r="CF562" s="76"/>
      <c r="CG562" s="76"/>
      <c r="CH562" s="76"/>
      <c r="CI562" s="76"/>
      <c r="CJ562" s="77"/>
      <c r="CK562" s="76"/>
      <c r="CL562" s="77"/>
      <c r="CM562" s="76"/>
      <c r="CN562" s="76"/>
      <c r="CO562" s="76"/>
      <c r="CP562" s="76"/>
      <c r="CQ562" s="76"/>
      <c r="CR562" s="78" t="str">
        <f t="shared" si="143"/>
        <v/>
      </c>
      <c r="CS562" s="79" t="str">
        <f t="shared" si="144"/>
        <v/>
      </c>
      <c r="CT562" s="79" t="str">
        <f t="shared" si="145"/>
        <v/>
      </c>
      <c r="CU562" s="79" t="str">
        <f t="shared" si="146"/>
        <v/>
      </c>
      <c r="CV562" s="79" t="str">
        <f t="shared" si="147"/>
        <v/>
      </c>
      <c r="CW562" s="79" t="str">
        <f t="shared" si="148"/>
        <v/>
      </c>
      <c r="CX562" s="79" t="str">
        <f t="shared" si="149"/>
        <v/>
      </c>
      <c r="CY562" s="79" t="str">
        <f t="shared" si="150"/>
        <v/>
      </c>
      <c r="CZ562" s="79" t="str">
        <f t="shared" si="151"/>
        <v/>
      </c>
      <c r="DA562" s="79" t="str">
        <f t="shared" si="152"/>
        <v/>
      </c>
      <c r="DB562" s="79" t="str">
        <f t="shared" si="153"/>
        <v/>
      </c>
      <c r="DC562" s="79" t="str">
        <f t="shared" si="154"/>
        <v/>
      </c>
      <c r="DD562" s="79" t="str">
        <f t="shared" si="155"/>
        <v/>
      </c>
      <c r="DE562" s="79" t="str">
        <f t="shared" si="156"/>
        <v/>
      </c>
      <c r="DF562" s="79" t="str">
        <f t="shared" si="157"/>
        <v/>
      </c>
      <c r="DG562" s="79" t="str">
        <f t="shared" si="158"/>
        <v/>
      </c>
      <c r="DH562" s="76"/>
      <c r="DI562" s="78"/>
      <c r="DJ562" s="76"/>
      <c r="DK562" s="77"/>
      <c r="DL562" s="77"/>
      <c r="DM562" s="77"/>
      <c r="DN562" s="80"/>
      <c r="DO562" s="80"/>
      <c r="DP562" s="92" t="str">
        <f>IF(Table1[Start Date]="","",IF(Table1[Start Date]&gt;42185,"",IF(AND(Table1[Leaving Date]&gt;1,Table1[Leaving Date]&lt;42095),"",1)))</f>
        <v/>
      </c>
      <c r="DQ562" s="92" t="str">
        <f>IF(Table1[Start Date]="","",IF(Table1[Start Date]&gt;42277,"",IF(AND(Table1[Leaving Date]&gt;1,Table1[Leaving Date]&lt;42186),"",1)))</f>
        <v/>
      </c>
      <c r="DR562" s="92" t="str">
        <f>IF(Table1[Start Date]="","",IF(Table1[Start Date]&gt;42369,"",IF(AND(Table1[Leaving Date]&gt;1,Table1[Leaving Date]&lt;42278),"",1)))</f>
        <v/>
      </c>
      <c r="DS562" s="92" t="str">
        <f>IF(Table1[Start Date]="","",IF(Table1[Start Date]&gt;42460,"",IF(AND(Table1[Leaving Date]&gt;1,Table1[Leaving Date]&lt;42370),"",1)))</f>
        <v/>
      </c>
      <c r="DT562" s="92" t="str">
        <f>IF(Table1[Start Date]="","",IF(Table1[Start Date]&gt;42551,"",IF(AND(Table1[Leaving Date]&gt;1,Table1[Leaving Date]&lt;42461),"",1)))</f>
        <v/>
      </c>
      <c r="DU562" s="92" t="str">
        <f>IF(Table1[Start Date]="","",IF(Table1[Start Date]&gt;42643,"",IF(AND(Table1[Leaving Date]&gt;1,Table1[Leaving Date]&lt;42552),"",1)))</f>
        <v/>
      </c>
      <c r="DV562" s="92" t="str">
        <f>IF(Table1[Start Date]="","",IF(Table1[Start Date]&gt;42735,"",IF(AND(Table1[Leaving Date]&gt;1,Table1[Leaving Date]&lt;42644),"",1)))</f>
        <v/>
      </c>
      <c r="DW562" s="92" t="str">
        <f>IF(Table1[Start Date]="","",IF(Table1[Start Date]&gt;42825,"",IF(AND(Table1[Leaving Date]&gt;1,Table1[Leaving Date]&lt;42736),"",1)))</f>
        <v/>
      </c>
      <c r="DX562"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562" s="44" t="e">
        <f>VLOOKUP(Table1[Referral Source],Lists!$G$2:$H$20,2,FALSE)</f>
        <v>#N/A</v>
      </c>
      <c r="DZ562" s="93" t="e">
        <f>SUM(Table1[Data Referral Quarter]+Table1[Data Referral Source])</f>
        <v>#N/A</v>
      </c>
      <c r="EA562" s="44" t="b">
        <f>IF(Table1[Referral Decision]="Accepted",100,IF(Table1[Referral Decision]="Rejected by Provider",200,IF(Table1[Referral Decision]="Rejected by Applicant",300)))</f>
        <v>0</v>
      </c>
      <c r="EB562" s="44">
        <f>SUM(Table1[Data Referral Quarter]+Table1[Data Referral Decision])</f>
        <v>0</v>
      </c>
      <c r="EC562" s="44" t="b">
        <f>IF(Table1[Start Date]&gt;42735,8000,IF(Table1[Start Date]&gt;42643,7000,IF(Table1[Start Date]&gt;42551,6000,IF(Table1[Start Date]&gt;42460,5000,IF(Table1[Start Date]&gt;42369,4000,IF(Table1[Start Date]&gt;42277,3000,IF(Table1[Start Date]&gt;42185,2000,IF(Table1[Start Date]&gt;42094,1000))))))))</f>
        <v>0</v>
      </c>
      <c r="ED562" s="44" t="str">
        <f>IF(Table1[Start Date]="","",IF(Table1[Current Local Authority]="Swindon",1,"2"))</f>
        <v/>
      </c>
      <c r="EE562" s="44" t="e">
        <f>SUM(Table1[Data Start Date]+Table1[Data Local Authority])</f>
        <v>#VALUE!</v>
      </c>
      <c r="EF562" s="44">
        <f>IF(Table1[Registered with GP]="Yes",1,0)</f>
        <v>0</v>
      </c>
      <c r="EG562" s="44">
        <f>SUM(Table1[Data Start Date]+Table1[Data GP Start])</f>
        <v>0</v>
      </c>
      <c r="EH562" s="44" t="str">
        <f>IF(Table1[EET]="NEET",1,IF(Table1[EET]="Education",2,IF(Table1[EET]="Employment",2,IF(Table1[EET]="Training",2,IF(Table1[EET]="Retired",3,"")))))</f>
        <v/>
      </c>
      <c r="EI562" s="44" t="e">
        <f>Table1[Data Start Date]+Table1[Data EET Start]</f>
        <v>#VALUE!</v>
      </c>
      <c r="EJ562" s="44" t="b">
        <f>IF(Table1[Leaving Date]&gt;42735,8000,IF(Table1[Leaving Date]&gt;42643,7000,IF(Table1[Leaving Date]&gt;42551,6000,IF(Table1[Leaving Date]&gt;42460,5000,IF(Table1[Leaving Date]&gt;42369,4000,IF(Table1[Leaving Date]&gt;42277,3000,IF(Table1[Leaving Date]&gt;42185,2000,IF(Table1[Leaving Date]&gt;42094,1000))))))))</f>
        <v>0</v>
      </c>
      <c r="EK562" s="44" t="e">
        <f>VLOOKUP(Table1[Reason for Leaving],Lists!$T$2:$U$15,2,FALSE)</f>
        <v>#N/A</v>
      </c>
      <c r="EL562" s="44" t="e">
        <f>SUM(Table1[Data Leavers Date]+Table1[Data Move On])</f>
        <v>#N/A</v>
      </c>
      <c r="EM562" s="44" t="b">
        <f>IF(Table1[Registered with GP2]="Yes",1,IF(Table1[Registered with GP2]="No",0,IF(Table1[Registered with GP]="Yes",1,IF(Table1[Registered with GP]="No",0))))</f>
        <v>0</v>
      </c>
      <c r="EN562" s="44">
        <f>SUM(Table1[Data Leavers Date]+Table1[Data GP End])</f>
        <v>0</v>
      </c>
      <c r="EO562" s="44" t="str">
        <f>IF(Table1[EET2]="NEET",1,IF(Table1[EET2]="Employment",2,IF(Table1[EET2]="Education",2,IF(Table1[EET2]="Training",2,IF(Table1[EET2]="Retired",3,IF(Table1[EET]="NEET",1,IF(Table1[EET]="Employment",2,IF(Table1[EET]="Education",2,IF(Table1[EET]="Training",2,IF(Table1[EET]="Retired",3,""))))))))))</f>
        <v/>
      </c>
      <c r="EP562" s="44" t="e">
        <f>+Table1[[#This Row],[Data Leavers Date]]+Table1[[#This Row],[Data EET End]]</f>
        <v>#VALUE!</v>
      </c>
      <c r="EQ562" s="44">
        <f>IF(Table1[Exit Form Received]="Yes",1,0)</f>
        <v>0</v>
      </c>
      <c r="ER562" s="44">
        <f>+Table1[[#This Row],[Data Leavers Date]]+Table1[[#This Row],[Data Exit Forms]]</f>
        <v>0</v>
      </c>
      <c r="ES562" s="44" t="str">
        <f>IF(Table1[Data Leavers Date]=1000,SUM(Table1[Leaving Date]-Table1[Start Date]),"")</f>
        <v/>
      </c>
      <c r="ET562" s="44" t="str">
        <f>IF(Table1[Data Leavers Date]=2000,SUM(Table1[Leaving Date]-Table1[Start Date]),"")</f>
        <v/>
      </c>
      <c r="EU562" s="44" t="str">
        <f>IF(Table1[Data Leavers Date]=3000,SUM(Table1[Leaving Date]-Table1[Start Date]),"")</f>
        <v/>
      </c>
      <c r="EV562" s="44" t="str">
        <f>IF(Table1[Data Leavers Date]=4000,SUM(Table1[Leaving Date]-Table1[Start Date]),"")</f>
        <v/>
      </c>
      <c r="EW562" s="44" t="str">
        <f>IF(Table1[Data Leavers Date]=5000,SUM(Table1[Leaving Date]-Table1[Start Date]),"")</f>
        <v/>
      </c>
      <c r="EX562" s="44" t="str">
        <f>IF(Table1[Data Leavers Date]=6000,SUM(Table1[Leaving Date]-Table1[Start Date]),"")</f>
        <v/>
      </c>
      <c r="EY562" s="44" t="str">
        <f>IF(Table1[Data Leavers Date]=7000,SUM(Table1[Leaving Date]-Table1[Start Date]),"")</f>
        <v/>
      </c>
      <c r="EZ562" s="44" t="str">
        <f>IF(Table1[Data Leavers Date]=8000,SUM(Table1[Leaving Date]-Table1[Start Date]),"")</f>
        <v/>
      </c>
      <c r="FA562" s="44" t="str">
        <f>IF(Table1[Date of Initial Assessment]="","",IF(AND(Table1[Start Date]&gt;42094,Table1[Start Date]&lt;42461),Table1[Motivation and Taking Responsibility],""))</f>
        <v/>
      </c>
      <c r="FB562" s="44" t="str">
        <f>IF(Table1[Date of Initial Assessment]="","",IF(AND(Table1[Start Date]&gt;42094,Table1[Start Date]&lt;42461),Table1[Self-Care and Living Skills],""))</f>
        <v/>
      </c>
      <c r="FC562" s="44" t="str">
        <f>IF(Table1[Date of Initial Assessment]="","",IF(AND(Table1[Start Date]&gt;42094,Table1[Start Date]&lt;42461),Table1[Managing Money and Personal Administration],""))</f>
        <v/>
      </c>
      <c r="FD562" s="44" t="str">
        <f>IF(Table1[Date of Initial Assessment]="","",IF(AND(Table1[Start Date]&gt;42094,Table1[Start Date]&lt;42461),Table1[Social Networks and Relationships],""))</f>
        <v/>
      </c>
      <c r="FE562" s="44" t="str">
        <f>IF(Table1[Date of Initial Assessment]="","",IF(AND(Table1[Start Date]&gt;42094,Table1[Start Date]&lt;42461),Table1[Drug and Alcohol Misuse],""))</f>
        <v/>
      </c>
      <c r="FF562" s="44" t="str">
        <f>IF(Table1[Date of Initial Assessment]="","",IF(AND(Table1[Start Date]&gt;42094,Table1[Start Date]&lt;42461),Table1[Physical Health],""))</f>
        <v/>
      </c>
      <c r="FG562" s="44" t="str">
        <f>IF(Table1[Date of Initial Assessment]="","",IF(AND(Table1[Start Date]&gt;42094,Table1[Start Date]&lt;42461),Table1[Emotional and Mental Health],""))</f>
        <v/>
      </c>
      <c r="FH562" s="44" t="str">
        <f>IF(Table1[Date of Initial Assessment]="","",IF(AND(Table1[Start Date]&gt;42094,Table1[Start Date]&lt;42461),Table1[Meaningful Use of Time],""))</f>
        <v/>
      </c>
      <c r="FI562" s="44" t="str">
        <f>IF(Table1[Date of Initial Assessment]="","",IF(AND(Table1[Start Date]&gt;42094,Table1[Start Date]&lt;42461),Table1[Managing Tenancy and Accommodation],""))</f>
        <v/>
      </c>
      <c r="FJ562" s="44" t="str">
        <f>IF(Table1[Date of Initial Assessment]="","",IF(AND(Table1[Start Date]&gt;42094,Table1[Start Date]&lt;42461),Table1[Offending],""))</f>
        <v/>
      </c>
      <c r="FK562" s="44" t="str">
        <f>IF(Table1[Leaving Date]="","",IF(Table1[Date of Initial Assessment]="","",IF(AND(Table1[Leaving Date]&gt;42094,Table1[Leaving Date]&lt;42461),IF(Table1[Date of Last Assessment]="",Table1[Motivation and Taking Responsibility],Table1[Motivation and Taking Responsibility2]),"")))</f>
        <v/>
      </c>
      <c r="FL562" s="44" t="str">
        <f>IF(Table1[Leaving Date]="","",IF(Table1[Date of Initial Assessment]="","",IF(AND(Table1[Leaving Date]&gt;42094,Table1[Leaving Date]&lt;42461),IF(Table1[Date of Last Assessment]="",Table1[Self-Care and Living Skills],Table1[Self-Care and Living Skills2]),"")))</f>
        <v/>
      </c>
      <c r="FM562" s="44" t="str">
        <f>IF(Table1[Leaving Date]="","",IF(Table1[Date of Initial Assessment]="","",IF(AND(Table1[Leaving Date]&gt;42094,Table1[Leaving Date]&lt;42461),IF(Table1[Date of Last Assessment]="",Table1[Managing Money and Personal Administration],Table1[Managing Money and Personal Administration2]),"")))</f>
        <v/>
      </c>
      <c r="FN562" s="44" t="str">
        <f>IF(Table1[Leaving Date]="","",IF(Table1[Date of Initial Assessment]="","",IF(AND(Table1[Leaving Date]&gt;42094,Table1[Leaving Date]&lt;42461),IF(Table1[Date of Last Assessment]="",Table1[Social Networks and Relationships],Table1[Social Networks and Relationships2]),"")))</f>
        <v/>
      </c>
      <c r="FO562" s="44" t="str">
        <f>IF(Table1[Leaving Date]="","",IF(Table1[Date of Initial Assessment]="","",IF(AND(Table1[Leaving Date]&gt;42094,Table1[Leaving Date]&lt;42461),IF(Table1[Date of Last Assessment]="",Table1[Drug and Alcohol Misuse],Table1[Drug and Alcohol Misuse2]),"")))</f>
        <v/>
      </c>
      <c r="FP562" s="44" t="str">
        <f>IF(Table1[Leaving Date]="","",IF(Table1[Date of Initial Assessment]="","",IF(AND(Table1[Leaving Date]&gt;42094,Table1[Leaving Date]&lt;42461),IF(Table1[Date of Last Assessment]="",Table1[Physical Health],Table1[Physical Health2]),"")))</f>
        <v/>
      </c>
      <c r="FQ562" s="44" t="str">
        <f>IF(Table1[Leaving Date]="","",IF(Table1[Date of Initial Assessment]="","",IF(AND(Table1[Leaving Date]&gt;42094,Table1[Leaving Date]&lt;42461),IF(Table1[Date of Last Assessment]="",Table1[Emotional and Mental Health],Table1[Emotional and Mental Health2]),"")))</f>
        <v/>
      </c>
      <c r="FR562" s="44" t="str">
        <f>IF(Table1[Leaving Date]="","",IF(Table1[Date of Initial Assessment]="","",IF(AND(Table1[Leaving Date]&gt;42094,Table1[Leaving Date]&lt;42461),IF(Table1[Date of Last Assessment]="",Table1[Meaningful Use of Time],Table1[Meaningful Use of Time2]),"")))</f>
        <v/>
      </c>
      <c r="FS562" s="44" t="str">
        <f>IF(Table1[Leaving Date]="","",IF(Table1[Date of Initial Assessment]="","",IF(AND(Table1[Leaving Date]&gt;42094,Table1[Leaving Date]&lt;42461),IF(Table1[Date of Last Assessment]="",Table1[Managing Tenancy and Accommodation],Table1[Managing Tenancy and Accommodation2]),"")))</f>
        <v/>
      </c>
      <c r="FT562" s="44" t="str">
        <f>IF(Table1[Leaving Date]="","",IF(Table1[Date of Initial Assessment]="","",IF(AND(Table1[Leaving Date]&gt;42094,Table1[Leaving Date]&lt;42461),IF(Table1[Date of Last Assessment]="",Table1[Offending],Table1[Offending2]),"")))</f>
        <v/>
      </c>
      <c r="FU562" s="44" t="str">
        <f>IF(Table1[Date of Initial Assessment]="","",IF(AND(Table1[Start Date]&gt;42460,Table1[Start Date]&lt;42826),Table1[Motivation and Taking Responsibility],""))</f>
        <v/>
      </c>
      <c r="FV562" s="44" t="str">
        <f>IF(Table1[Date of Initial Assessment]="","",IF(AND(Table1[Start Date]&gt;42460,Table1[Start Date]&lt;42826),Table1[Self-Care and Living Skills],""))</f>
        <v/>
      </c>
      <c r="FW562" s="44" t="str">
        <f>IF(Table1[Date of Initial Assessment]="","",IF(AND(Table1[Start Date]&gt;42460,Table1[Start Date]&lt;42826),Table1[Managing Money and Personal Administration],""))</f>
        <v/>
      </c>
      <c r="FX562" s="44" t="str">
        <f>IF(Table1[Date of Initial Assessment]="","",IF(AND(Table1[Start Date]&gt;42460,Table1[Start Date]&lt;42826),Table1[Social Networks and Relationships],""))</f>
        <v/>
      </c>
      <c r="FY562" s="44" t="str">
        <f>IF(Table1[Date of Initial Assessment]="","",IF(AND(Table1[Start Date]&gt;42460,Table1[Start Date]&lt;42826),Table1[Drug and Alcohol Misuse],""))</f>
        <v/>
      </c>
      <c r="FZ562" s="44" t="str">
        <f>IF(Table1[Date of Initial Assessment]="","",IF(AND(Table1[Start Date]&gt;42460,Table1[Start Date]&lt;42826),Table1[Physical Health],""))</f>
        <v/>
      </c>
      <c r="GA562" s="44" t="str">
        <f>IF(Table1[Date of Initial Assessment]="","",IF(AND(Table1[Start Date]&gt;42460,Table1[Start Date]&lt;42826),Table1[Emotional and Mental Health],""))</f>
        <v/>
      </c>
      <c r="GB562" s="44" t="str">
        <f>IF(Table1[Date of Initial Assessment]="","",IF(AND(Table1[Start Date]&gt;42460,Table1[Start Date]&lt;42826),Table1[Meaningful Use of Time],""))</f>
        <v/>
      </c>
      <c r="GC562" s="44" t="str">
        <f>IF(Table1[Date of Initial Assessment]="","",IF(AND(Table1[Start Date]&gt;42460,Table1[Start Date]&lt;42826),Table1[Managing Tenancy and Accommodation],""))</f>
        <v/>
      </c>
      <c r="GD562" s="44" t="str">
        <f>IF(Table1[Date of Initial Assessment]="","",IF(AND(Table1[Start Date]&gt;42460,Table1[Start Date]&lt;42826),Table1[Offending],""))</f>
        <v/>
      </c>
      <c r="GE562" s="44" t="str">
        <f>IF(Table1[Leaving Date]="","",IF(AND(Table1[Leaving Date]&gt;42460,Table1[Leaving Date]&lt;42826),IF(Table1[Date of Last Assessment]="",Table1[Motivation and Taking Responsibility],Table1[Motivation and Taking Responsibility2]),""))</f>
        <v/>
      </c>
      <c r="GF562" s="44" t="str">
        <f>IF(Table1[Leaving Date]="","",IF(AND(Table1[Leaving Date]&gt;42460,Table1[Leaving Date]&lt;42826),IF(Table1[Date of Last Assessment]="",Table1[Self-Care and Living Skills],Table1[Self-Care and Living Skills2]),""))</f>
        <v/>
      </c>
      <c r="GG562" s="44" t="str">
        <f>IF(Table1[Leaving Date]="","",IF(AND(Table1[Leaving Date]&gt;42460,Table1[Leaving Date]&lt;42826),IF(Table1[Date of Last Assessment]="",Table1[Managing Money and Personal Administration],Table1[Managing Money and Personal Administration2]),""))</f>
        <v/>
      </c>
      <c r="GH562" s="44" t="str">
        <f>IF(Table1[Leaving Date]="","",IF(AND(Table1[Leaving Date]&gt;42460,Table1[Leaving Date]&lt;42826),IF(Table1[Date of Last Assessment]="",Table1[Social Networks and Relationships],Table1[Social Networks and Relationships2]),""))</f>
        <v/>
      </c>
      <c r="GI562" s="44" t="str">
        <f>IF(Table1[Leaving Date]="","",IF(AND(Table1[Leaving Date]&gt;42460,Table1[Leaving Date]&lt;42826),IF(Table1[Date of Last Assessment]="",Table1[Drug and Alcohol Misuse],Table1[Drug and Alcohol Misuse2]),""))</f>
        <v/>
      </c>
      <c r="GJ562" s="44" t="str">
        <f>IF(Table1[Leaving Date]="","",IF(AND(Table1[Leaving Date]&gt;42460,Table1[Leaving Date]&lt;42826),IF(Table1[Date of Last Assessment]="",Table1[Physical Health],Table1[Physical Health2]),""))</f>
        <v/>
      </c>
      <c r="GK562" s="44" t="str">
        <f>IF(Table1[Leaving Date]="","",IF(AND(Table1[Leaving Date]&gt;42460,Table1[Leaving Date]&lt;42826),IF(Table1[Date of Last Assessment]="",Table1[Emotional and Mental Health],Table1[Emotional and Mental Health2]),""))</f>
        <v/>
      </c>
      <c r="GL562" s="44" t="str">
        <f>IF(Table1[Leaving Date]="","",IF(AND(Table1[Leaving Date]&gt;42460,Table1[Leaving Date]&lt;42826),IF(Table1[Date of Last Assessment]="",Table1[Meaningful Use of Time],Table1[Meaningful Use of Time2]),""))</f>
        <v/>
      </c>
      <c r="GM562" s="44" t="str">
        <f>IF(Table1[Leaving Date]="","",IF(AND(Table1[Leaving Date]&gt;42460,Table1[Leaving Date]&lt;42826),IF(Table1[Date of Last Assessment]="",Table1[Managing Tenancy and Accommodation],Table1[Managing Tenancy and Accommodation2]),""))</f>
        <v/>
      </c>
      <c r="GN562" s="44" t="str">
        <f>IF(Table1[Leaving Date]="","",IF(AND(Table1[Leaving Date]&gt;42460,Table1[Leaving Date]&lt;42826),IF(Table1[Date of Last Assessment]="",Table1[Offending],Table1[Offending2]),""))</f>
        <v/>
      </c>
    </row>
    <row r="563" spans="2:196" ht="20.100000000000001" customHeight="1" x14ac:dyDescent="0.2">
      <c r="B563" s="86">
        <f>+'Service Data'!$C$5:$C$5</f>
        <v>0</v>
      </c>
      <c r="C563" s="86"/>
      <c r="D563" s="86"/>
      <c r="E563" s="86"/>
      <c r="F563" s="86"/>
      <c r="G563" s="86"/>
      <c r="H563" s="6"/>
      <c r="I563" s="99" t="str">
        <f ca="1">IF(Table1[[#This Row],[Date of Birth]]="","",SUM(TODAY()-Table1[[#This Row],[Date of Birth]])/365)</f>
        <v/>
      </c>
      <c r="L563" s="86"/>
      <c r="M563" s="77"/>
      <c r="N563" s="86"/>
      <c r="O563" s="86"/>
      <c r="P563" s="91"/>
      <c r="Q563" s="86"/>
      <c r="R563" s="77"/>
      <c r="S563" s="77"/>
      <c r="T563" s="68"/>
      <c r="U563" s="68"/>
      <c r="V563" s="67"/>
      <c r="W563" s="67"/>
      <c r="X563" s="67"/>
      <c r="Y563" s="67"/>
      <c r="Z563" s="67"/>
      <c r="AA563" s="67"/>
      <c r="AB563" s="67"/>
      <c r="AC563" s="67"/>
      <c r="AD563" s="67"/>
      <c r="AE563" s="67"/>
      <c r="AF563" s="67"/>
      <c r="AG563" s="67"/>
      <c r="AH563" s="67"/>
      <c r="AI563" s="67"/>
      <c r="AJ563" s="67"/>
      <c r="AK563" s="67"/>
      <c r="AL563" s="67"/>
      <c r="AM563" s="67"/>
      <c r="AN563" s="77"/>
      <c r="AO563" s="76"/>
      <c r="AP563" s="77"/>
      <c r="AQ563" s="76"/>
      <c r="AR563" s="76"/>
      <c r="AS563" s="76"/>
      <c r="AT563" s="76"/>
      <c r="AU563" s="76"/>
      <c r="AV563" s="77"/>
      <c r="AW563" s="76"/>
      <c r="AX563" s="77"/>
      <c r="AY563" s="76"/>
      <c r="AZ563" s="76"/>
      <c r="BA563" s="76"/>
      <c r="BB563" s="76"/>
      <c r="BC563" s="76"/>
      <c r="BD563" s="77"/>
      <c r="BE563" s="76"/>
      <c r="BF563" s="77"/>
      <c r="BG563" s="76"/>
      <c r="BH563" s="76"/>
      <c r="BI563" s="76"/>
      <c r="BJ563" s="76"/>
      <c r="BK563" s="76"/>
      <c r="BL563" s="77"/>
      <c r="BM563" s="76"/>
      <c r="BN563" s="77"/>
      <c r="BO563" s="76"/>
      <c r="BP563" s="76"/>
      <c r="BQ563" s="76"/>
      <c r="BR563" s="76"/>
      <c r="BS563" s="76"/>
      <c r="BT563" s="77"/>
      <c r="BU563" s="76"/>
      <c r="BV563" s="77"/>
      <c r="BW563" s="76"/>
      <c r="BX563" s="76"/>
      <c r="BY563" s="76"/>
      <c r="BZ563" s="76"/>
      <c r="CA563" s="76"/>
      <c r="CB563" s="77"/>
      <c r="CC563" s="76"/>
      <c r="CD563" s="77"/>
      <c r="CE563" s="76"/>
      <c r="CF563" s="76"/>
      <c r="CG563" s="76"/>
      <c r="CH563" s="76"/>
      <c r="CI563" s="76"/>
      <c r="CJ563" s="77"/>
      <c r="CK563" s="76"/>
      <c r="CL563" s="77"/>
      <c r="CM563" s="76"/>
      <c r="CN563" s="76"/>
      <c r="CO563" s="76"/>
      <c r="CP563" s="76"/>
      <c r="CQ563" s="76"/>
      <c r="CR563" s="78" t="str">
        <f t="shared" si="143"/>
        <v/>
      </c>
      <c r="CS563" s="79" t="str">
        <f t="shared" si="144"/>
        <v/>
      </c>
      <c r="CT563" s="79" t="str">
        <f t="shared" si="145"/>
        <v/>
      </c>
      <c r="CU563" s="79" t="str">
        <f t="shared" si="146"/>
        <v/>
      </c>
      <c r="CV563" s="79" t="str">
        <f t="shared" si="147"/>
        <v/>
      </c>
      <c r="CW563" s="79" t="str">
        <f t="shared" si="148"/>
        <v/>
      </c>
      <c r="CX563" s="79" t="str">
        <f t="shared" si="149"/>
        <v/>
      </c>
      <c r="CY563" s="79" t="str">
        <f t="shared" si="150"/>
        <v/>
      </c>
      <c r="CZ563" s="79" t="str">
        <f t="shared" si="151"/>
        <v/>
      </c>
      <c r="DA563" s="79" t="str">
        <f t="shared" si="152"/>
        <v/>
      </c>
      <c r="DB563" s="79" t="str">
        <f t="shared" si="153"/>
        <v/>
      </c>
      <c r="DC563" s="79" t="str">
        <f t="shared" si="154"/>
        <v/>
      </c>
      <c r="DD563" s="79" t="str">
        <f t="shared" si="155"/>
        <v/>
      </c>
      <c r="DE563" s="79" t="str">
        <f t="shared" si="156"/>
        <v/>
      </c>
      <c r="DF563" s="79" t="str">
        <f t="shared" si="157"/>
        <v/>
      </c>
      <c r="DG563" s="79" t="str">
        <f t="shared" si="158"/>
        <v/>
      </c>
      <c r="DH563" s="76"/>
      <c r="DI563" s="78"/>
      <c r="DJ563" s="76"/>
      <c r="DK563" s="77"/>
      <c r="DL563" s="77"/>
      <c r="DM563" s="77"/>
      <c r="DN563" s="80"/>
      <c r="DO563" s="80"/>
      <c r="DP563" s="92" t="str">
        <f>IF(Table1[Start Date]="","",IF(Table1[Start Date]&gt;42185,"",IF(AND(Table1[Leaving Date]&gt;1,Table1[Leaving Date]&lt;42095),"",1)))</f>
        <v/>
      </c>
      <c r="DQ563" s="92" t="str">
        <f>IF(Table1[Start Date]="","",IF(Table1[Start Date]&gt;42277,"",IF(AND(Table1[Leaving Date]&gt;1,Table1[Leaving Date]&lt;42186),"",1)))</f>
        <v/>
      </c>
      <c r="DR563" s="92" t="str">
        <f>IF(Table1[Start Date]="","",IF(Table1[Start Date]&gt;42369,"",IF(AND(Table1[Leaving Date]&gt;1,Table1[Leaving Date]&lt;42278),"",1)))</f>
        <v/>
      </c>
      <c r="DS563" s="92" t="str">
        <f>IF(Table1[Start Date]="","",IF(Table1[Start Date]&gt;42460,"",IF(AND(Table1[Leaving Date]&gt;1,Table1[Leaving Date]&lt;42370),"",1)))</f>
        <v/>
      </c>
      <c r="DT563" s="92" t="str">
        <f>IF(Table1[Start Date]="","",IF(Table1[Start Date]&gt;42551,"",IF(AND(Table1[Leaving Date]&gt;1,Table1[Leaving Date]&lt;42461),"",1)))</f>
        <v/>
      </c>
      <c r="DU563" s="92" t="str">
        <f>IF(Table1[Start Date]="","",IF(Table1[Start Date]&gt;42643,"",IF(AND(Table1[Leaving Date]&gt;1,Table1[Leaving Date]&lt;42552),"",1)))</f>
        <v/>
      </c>
      <c r="DV563" s="92" t="str">
        <f>IF(Table1[Start Date]="","",IF(Table1[Start Date]&gt;42735,"",IF(AND(Table1[Leaving Date]&gt;1,Table1[Leaving Date]&lt;42644),"",1)))</f>
        <v/>
      </c>
      <c r="DW563" s="92" t="str">
        <f>IF(Table1[Start Date]="","",IF(Table1[Start Date]&gt;42825,"",IF(AND(Table1[Leaving Date]&gt;1,Table1[Leaving Date]&lt;42736),"",1)))</f>
        <v/>
      </c>
      <c r="DX563"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563" s="44" t="e">
        <f>VLOOKUP(Table1[Referral Source],Lists!$G$2:$H$20,2,FALSE)</f>
        <v>#N/A</v>
      </c>
      <c r="DZ563" s="93" t="e">
        <f>SUM(Table1[Data Referral Quarter]+Table1[Data Referral Source])</f>
        <v>#N/A</v>
      </c>
      <c r="EA563" s="44" t="b">
        <f>IF(Table1[Referral Decision]="Accepted",100,IF(Table1[Referral Decision]="Rejected by Provider",200,IF(Table1[Referral Decision]="Rejected by Applicant",300)))</f>
        <v>0</v>
      </c>
      <c r="EB563" s="44">
        <f>SUM(Table1[Data Referral Quarter]+Table1[Data Referral Decision])</f>
        <v>0</v>
      </c>
      <c r="EC563" s="44" t="b">
        <f>IF(Table1[Start Date]&gt;42735,8000,IF(Table1[Start Date]&gt;42643,7000,IF(Table1[Start Date]&gt;42551,6000,IF(Table1[Start Date]&gt;42460,5000,IF(Table1[Start Date]&gt;42369,4000,IF(Table1[Start Date]&gt;42277,3000,IF(Table1[Start Date]&gt;42185,2000,IF(Table1[Start Date]&gt;42094,1000))))))))</f>
        <v>0</v>
      </c>
      <c r="ED563" s="44" t="str">
        <f>IF(Table1[Start Date]="","",IF(Table1[Current Local Authority]="Swindon",1,"2"))</f>
        <v/>
      </c>
      <c r="EE563" s="44" t="e">
        <f>SUM(Table1[Data Start Date]+Table1[Data Local Authority])</f>
        <v>#VALUE!</v>
      </c>
      <c r="EF563" s="44">
        <f>IF(Table1[Registered with GP]="Yes",1,0)</f>
        <v>0</v>
      </c>
      <c r="EG563" s="44">
        <f>SUM(Table1[Data Start Date]+Table1[Data GP Start])</f>
        <v>0</v>
      </c>
      <c r="EH563" s="44" t="str">
        <f>IF(Table1[EET]="NEET",1,IF(Table1[EET]="Education",2,IF(Table1[EET]="Employment",2,IF(Table1[EET]="Training",2,IF(Table1[EET]="Retired",3,"")))))</f>
        <v/>
      </c>
      <c r="EI563" s="44" t="e">
        <f>Table1[Data Start Date]+Table1[Data EET Start]</f>
        <v>#VALUE!</v>
      </c>
      <c r="EJ563" s="44" t="b">
        <f>IF(Table1[Leaving Date]&gt;42735,8000,IF(Table1[Leaving Date]&gt;42643,7000,IF(Table1[Leaving Date]&gt;42551,6000,IF(Table1[Leaving Date]&gt;42460,5000,IF(Table1[Leaving Date]&gt;42369,4000,IF(Table1[Leaving Date]&gt;42277,3000,IF(Table1[Leaving Date]&gt;42185,2000,IF(Table1[Leaving Date]&gt;42094,1000))))))))</f>
        <v>0</v>
      </c>
      <c r="EK563" s="44" t="e">
        <f>VLOOKUP(Table1[Reason for Leaving],Lists!$T$2:$U$15,2,FALSE)</f>
        <v>#N/A</v>
      </c>
      <c r="EL563" s="44" t="e">
        <f>SUM(Table1[Data Leavers Date]+Table1[Data Move On])</f>
        <v>#N/A</v>
      </c>
      <c r="EM563" s="44" t="b">
        <f>IF(Table1[Registered with GP2]="Yes",1,IF(Table1[Registered with GP2]="No",0,IF(Table1[Registered with GP]="Yes",1,IF(Table1[Registered with GP]="No",0))))</f>
        <v>0</v>
      </c>
      <c r="EN563" s="44">
        <f>SUM(Table1[Data Leavers Date]+Table1[Data GP End])</f>
        <v>0</v>
      </c>
      <c r="EO563" s="44" t="str">
        <f>IF(Table1[EET2]="NEET",1,IF(Table1[EET2]="Employment",2,IF(Table1[EET2]="Education",2,IF(Table1[EET2]="Training",2,IF(Table1[EET2]="Retired",3,IF(Table1[EET]="NEET",1,IF(Table1[EET]="Employment",2,IF(Table1[EET]="Education",2,IF(Table1[EET]="Training",2,IF(Table1[EET]="Retired",3,""))))))))))</f>
        <v/>
      </c>
      <c r="EP563" s="44" t="e">
        <f>+Table1[[#This Row],[Data Leavers Date]]+Table1[[#This Row],[Data EET End]]</f>
        <v>#VALUE!</v>
      </c>
      <c r="EQ563" s="44">
        <f>IF(Table1[Exit Form Received]="Yes",1,0)</f>
        <v>0</v>
      </c>
      <c r="ER563" s="44">
        <f>+Table1[[#This Row],[Data Leavers Date]]+Table1[[#This Row],[Data Exit Forms]]</f>
        <v>0</v>
      </c>
      <c r="ES563" s="44" t="str">
        <f>IF(Table1[Data Leavers Date]=1000,SUM(Table1[Leaving Date]-Table1[Start Date]),"")</f>
        <v/>
      </c>
      <c r="ET563" s="44" t="str">
        <f>IF(Table1[Data Leavers Date]=2000,SUM(Table1[Leaving Date]-Table1[Start Date]),"")</f>
        <v/>
      </c>
      <c r="EU563" s="44" t="str">
        <f>IF(Table1[Data Leavers Date]=3000,SUM(Table1[Leaving Date]-Table1[Start Date]),"")</f>
        <v/>
      </c>
      <c r="EV563" s="44" t="str">
        <f>IF(Table1[Data Leavers Date]=4000,SUM(Table1[Leaving Date]-Table1[Start Date]),"")</f>
        <v/>
      </c>
      <c r="EW563" s="44" t="str">
        <f>IF(Table1[Data Leavers Date]=5000,SUM(Table1[Leaving Date]-Table1[Start Date]),"")</f>
        <v/>
      </c>
      <c r="EX563" s="44" t="str">
        <f>IF(Table1[Data Leavers Date]=6000,SUM(Table1[Leaving Date]-Table1[Start Date]),"")</f>
        <v/>
      </c>
      <c r="EY563" s="44" t="str">
        <f>IF(Table1[Data Leavers Date]=7000,SUM(Table1[Leaving Date]-Table1[Start Date]),"")</f>
        <v/>
      </c>
      <c r="EZ563" s="44" t="str">
        <f>IF(Table1[Data Leavers Date]=8000,SUM(Table1[Leaving Date]-Table1[Start Date]),"")</f>
        <v/>
      </c>
      <c r="FA563" s="44" t="str">
        <f>IF(Table1[Date of Initial Assessment]="","",IF(AND(Table1[Start Date]&gt;42094,Table1[Start Date]&lt;42461),Table1[Motivation and Taking Responsibility],""))</f>
        <v/>
      </c>
      <c r="FB563" s="44" t="str">
        <f>IF(Table1[Date of Initial Assessment]="","",IF(AND(Table1[Start Date]&gt;42094,Table1[Start Date]&lt;42461),Table1[Self-Care and Living Skills],""))</f>
        <v/>
      </c>
      <c r="FC563" s="44" t="str">
        <f>IF(Table1[Date of Initial Assessment]="","",IF(AND(Table1[Start Date]&gt;42094,Table1[Start Date]&lt;42461),Table1[Managing Money and Personal Administration],""))</f>
        <v/>
      </c>
      <c r="FD563" s="44" t="str">
        <f>IF(Table1[Date of Initial Assessment]="","",IF(AND(Table1[Start Date]&gt;42094,Table1[Start Date]&lt;42461),Table1[Social Networks and Relationships],""))</f>
        <v/>
      </c>
      <c r="FE563" s="44" t="str">
        <f>IF(Table1[Date of Initial Assessment]="","",IF(AND(Table1[Start Date]&gt;42094,Table1[Start Date]&lt;42461),Table1[Drug and Alcohol Misuse],""))</f>
        <v/>
      </c>
      <c r="FF563" s="44" t="str">
        <f>IF(Table1[Date of Initial Assessment]="","",IF(AND(Table1[Start Date]&gt;42094,Table1[Start Date]&lt;42461),Table1[Physical Health],""))</f>
        <v/>
      </c>
      <c r="FG563" s="44" t="str">
        <f>IF(Table1[Date of Initial Assessment]="","",IF(AND(Table1[Start Date]&gt;42094,Table1[Start Date]&lt;42461),Table1[Emotional and Mental Health],""))</f>
        <v/>
      </c>
      <c r="FH563" s="44" t="str">
        <f>IF(Table1[Date of Initial Assessment]="","",IF(AND(Table1[Start Date]&gt;42094,Table1[Start Date]&lt;42461),Table1[Meaningful Use of Time],""))</f>
        <v/>
      </c>
      <c r="FI563" s="44" t="str">
        <f>IF(Table1[Date of Initial Assessment]="","",IF(AND(Table1[Start Date]&gt;42094,Table1[Start Date]&lt;42461),Table1[Managing Tenancy and Accommodation],""))</f>
        <v/>
      </c>
      <c r="FJ563" s="44" t="str">
        <f>IF(Table1[Date of Initial Assessment]="","",IF(AND(Table1[Start Date]&gt;42094,Table1[Start Date]&lt;42461),Table1[Offending],""))</f>
        <v/>
      </c>
      <c r="FK563" s="44" t="str">
        <f>IF(Table1[Leaving Date]="","",IF(Table1[Date of Initial Assessment]="","",IF(AND(Table1[Leaving Date]&gt;42094,Table1[Leaving Date]&lt;42461),IF(Table1[Date of Last Assessment]="",Table1[Motivation and Taking Responsibility],Table1[Motivation and Taking Responsibility2]),"")))</f>
        <v/>
      </c>
      <c r="FL563" s="44" t="str">
        <f>IF(Table1[Leaving Date]="","",IF(Table1[Date of Initial Assessment]="","",IF(AND(Table1[Leaving Date]&gt;42094,Table1[Leaving Date]&lt;42461),IF(Table1[Date of Last Assessment]="",Table1[Self-Care and Living Skills],Table1[Self-Care and Living Skills2]),"")))</f>
        <v/>
      </c>
      <c r="FM563" s="44" t="str">
        <f>IF(Table1[Leaving Date]="","",IF(Table1[Date of Initial Assessment]="","",IF(AND(Table1[Leaving Date]&gt;42094,Table1[Leaving Date]&lt;42461),IF(Table1[Date of Last Assessment]="",Table1[Managing Money and Personal Administration],Table1[Managing Money and Personal Administration2]),"")))</f>
        <v/>
      </c>
      <c r="FN563" s="44" t="str">
        <f>IF(Table1[Leaving Date]="","",IF(Table1[Date of Initial Assessment]="","",IF(AND(Table1[Leaving Date]&gt;42094,Table1[Leaving Date]&lt;42461),IF(Table1[Date of Last Assessment]="",Table1[Social Networks and Relationships],Table1[Social Networks and Relationships2]),"")))</f>
        <v/>
      </c>
      <c r="FO563" s="44" t="str">
        <f>IF(Table1[Leaving Date]="","",IF(Table1[Date of Initial Assessment]="","",IF(AND(Table1[Leaving Date]&gt;42094,Table1[Leaving Date]&lt;42461),IF(Table1[Date of Last Assessment]="",Table1[Drug and Alcohol Misuse],Table1[Drug and Alcohol Misuse2]),"")))</f>
        <v/>
      </c>
      <c r="FP563" s="44" t="str">
        <f>IF(Table1[Leaving Date]="","",IF(Table1[Date of Initial Assessment]="","",IF(AND(Table1[Leaving Date]&gt;42094,Table1[Leaving Date]&lt;42461),IF(Table1[Date of Last Assessment]="",Table1[Physical Health],Table1[Physical Health2]),"")))</f>
        <v/>
      </c>
      <c r="FQ563" s="44" t="str">
        <f>IF(Table1[Leaving Date]="","",IF(Table1[Date of Initial Assessment]="","",IF(AND(Table1[Leaving Date]&gt;42094,Table1[Leaving Date]&lt;42461),IF(Table1[Date of Last Assessment]="",Table1[Emotional and Mental Health],Table1[Emotional and Mental Health2]),"")))</f>
        <v/>
      </c>
      <c r="FR563" s="44" t="str">
        <f>IF(Table1[Leaving Date]="","",IF(Table1[Date of Initial Assessment]="","",IF(AND(Table1[Leaving Date]&gt;42094,Table1[Leaving Date]&lt;42461),IF(Table1[Date of Last Assessment]="",Table1[Meaningful Use of Time],Table1[Meaningful Use of Time2]),"")))</f>
        <v/>
      </c>
      <c r="FS563" s="44" t="str">
        <f>IF(Table1[Leaving Date]="","",IF(Table1[Date of Initial Assessment]="","",IF(AND(Table1[Leaving Date]&gt;42094,Table1[Leaving Date]&lt;42461),IF(Table1[Date of Last Assessment]="",Table1[Managing Tenancy and Accommodation],Table1[Managing Tenancy and Accommodation2]),"")))</f>
        <v/>
      </c>
      <c r="FT563" s="44" t="str">
        <f>IF(Table1[Leaving Date]="","",IF(Table1[Date of Initial Assessment]="","",IF(AND(Table1[Leaving Date]&gt;42094,Table1[Leaving Date]&lt;42461),IF(Table1[Date of Last Assessment]="",Table1[Offending],Table1[Offending2]),"")))</f>
        <v/>
      </c>
      <c r="FU563" s="44" t="str">
        <f>IF(Table1[Date of Initial Assessment]="","",IF(AND(Table1[Start Date]&gt;42460,Table1[Start Date]&lt;42826),Table1[Motivation and Taking Responsibility],""))</f>
        <v/>
      </c>
      <c r="FV563" s="44" t="str">
        <f>IF(Table1[Date of Initial Assessment]="","",IF(AND(Table1[Start Date]&gt;42460,Table1[Start Date]&lt;42826),Table1[Self-Care and Living Skills],""))</f>
        <v/>
      </c>
      <c r="FW563" s="44" t="str">
        <f>IF(Table1[Date of Initial Assessment]="","",IF(AND(Table1[Start Date]&gt;42460,Table1[Start Date]&lt;42826),Table1[Managing Money and Personal Administration],""))</f>
        <v/>
      </c>
      <c r="FX563" s="44" t="str">
        <f>IF(Table1[Date of Initial Assessment]="","",IF(AND(Table1[Start Date]&gt;42460,Table1[Start Date]&lt;42826),Table1[Social Networks and Relationships],""))</f>
        <v/>
      </c>
      <c r="FY563" s="44" t="str">
        <f>IF(Table1[Date of Initial Assessment]="","",IF(AND(Table1[Start Date]&gt;42460,Table1[Start Date]&lt;42826),Table1[Drug and Alcohol Misuse],""))</f>
        <v/>
      </c>
      <c r="FZ563" s="44" t="str">
        <f>IF(Table1[Date of Initial Assessment]="","",IF(AND(Table1[Start Date]&gt;42460,Table1[Start Date]&lt;42826),Table1[Physical Health],""))</f>
        <v/>
      </c>
      <c r="GA563" s="44" t="str">
        <f>IF(Table1[Date of Initial Assessment]="","",IF(AND(Table1[Start Date]&gt;42460,Table1[Start Date]&lt;42826),Table1[Emotional and Mental Health],""))</f>
        <v/>
      </c>
      <c r="GB563" s="44" t="str">
        <f>IF(Table1[Date of Initial Assessment]="","",IF(AND(Table1[Start Date]&gt;42460,Table1[Start Date]&lt;42826),Table1[Meaningful Use of Time],""))</f>
        <v/>
      </c>
      <c r="GC563" s="44" t="str">
        <f>IF(Table1[Date of Initial Assessment]="","",IF(AND(Table1[Start Date]&gt;42460,Table1[Start Date]&lt;42826),Table1[Managing Tenancy and Accommodation],""))</f>
        <v/>
      </c>
      <c r="GD563" s="44" t="str">
        <f>IF(Table1[Date of Initial Assessment]="","",IF(AND(Table1[Start Date]&gt;42460,Table1[Start Date]&lt;42826),Table1[Offending],""))</f>
        <v/>
      </c>
      <c r="GE563" s="44" t="str">
        <f>IF(Table1[Leaving Date]="","",IF(AND(Table1[Leaving Date]&gt;42460,Table1[Leaving Date]&lt;42826),IF(Table1[Date of Last Assessment]="",Table1[Motivation and Taking Responsibility],Table1[Motivation and Taking Responsibility2]),""))</f>
        <v/>
      </c>
      <c r="GF563" s="44" t="str">
        <f>IF(Table1[Leaving Date]="","",IF(AND(Table1[Leaving Date]&gt;42460,Table1[Leaving Date]&lt;42826),IF(Table1[Date of Last Assessment]="",Table1[Self-Care and Living Skills],Table1[Self-Care and Living Skills2]),""))</f>
        <v/>
      </c>
      <c r="GG563" s="44" t="str">
        <f>IF(Table1[Leaving Date]="","",IF(AND(Table1[Leaving Date]&gt;42460,Table1[Leaving Date]&lt;42826),IF(Table1[Date of Last Assessment]="",Table1[Managing Money and Personal Administration],Table1[Managing Money and Personal Administration2]),""))</f>
        <v/>
      </c>
      <c r="GH563" s="44" t="str">
        <f>IF(Table1[Leaving Date]="","",IF(AND(Table1[Leaving Date]&gt;42460,Table1[Leaving Date]&lt;42826),IF(Table1[Date of Last Assessment]="",Table1[Social Networks and Relationships],Table1[Social Networks and Relationships2]),""))</f>
        <v/>
      </c>
      <c r="GI563" s="44" t="str">
        <f>IF(Table1[Leaving Date]="","",IF(AND(Table1[Leaving Date]&gt;42460,Table1[Leaving Date]&lt;42826),IF(Table1[Date of Last Assessment]="",Table1[Drug and Alcohol Misuse],Table1[Drug and Alcohol Misuse2]),""))</f>
        <v/>
      </c>
      <c r="GJ563" s="44" t="str">
        <f>IF(Table1[Leaving Date]="","",IF(AND(Table1[Leaving Date]&gt;42460,Table1[Leaving Date]&lt;42826),IF(Table1[Date of Last Assessment]="",Table1[Physical Health],Table1[Physical Health2]),""))</f>
        <v/>
      </c>
      <c r="GK563" s="44" t="str">
        <f>IF(Table1[Leaving Date]="","",IF(AND(Table1[Leaving Date]&gt;42460,Table1[Leaving Date]&lt;42826),IF(Table1[Date of Last Assessment]="",Table1[Emotional and Mental Health],Table1[Emotional and Mental Health2]),""))</f>
        <v/>
      </c>
      <c r="GL563" s="44" t="str">
        <f>IF(Table1[Leaving Date]="","",IF(AND(Table1[Leaving Date]&gt;42460,Table1[Leaving Date]&lt;42826),IF(Table1[Date of Last Assessment]="",Table1[Meaningful Use of Time],Table1[Meaningful Use of Time2]),""))</f>
        <v/>
      </c>
      <c r="GM563" s="44" t="str">
        <f>IF(Table1[Leaving Date]="","",IF(AND(Table1[Leaving Date]&gt;42460,Table1[Leaving Date]&lt;42826),IF(Table1[Date of Last Assessment]="",Table1[Managing Tenancy and Accommodation],Table1[Managing Tenancy and Accommodation2]),""))</f>
        <v/>
      </c>
      <c r="GN563" s="44" t="str">
        <f>IF(Table1[Leaving Date]="","",IF(AND(Table1[Leaving Date]&gt;42460,Table1[Leaving Date]&lt;42826),IF(Table1[Date of Last Assessment]="",Table1[Offending],Table1[Offending2]),""))</f>
        <v/>
      </c>
    </row>
    <row r="564" spans="2:196" ht="20.100000000000001" customHeight="1" x14ac:dyDescent="0.2">
      <c r="B564" s="86">
        <f>+'Service Data'!$C$5:$C$5</f>
        <v>0</v>
      </c>
      <c r="C564" s="86"/>
      <c r="D564" s="86"/>
      <c r="E564" s="86"/>
      <c r="F564" s="86"/>
      <c r="G564" s="86"/>
      <c r="H564" s="6"/>
      <c r="I564" s="99" t="str">
        <f ca="1">IF(Table1[[#This Row],[Date of Birth]]="","",SUM(TODAY()-Table1[[#This Row],[Date of Birth]])/365)</f>
        <v/>
      </c>
      <c r="L564" s="86"/>
      <c r="M564" s="77"/>
      <c r="N564" s="86"/>
      <c r="O564" s="86"/>
      <c r="P564" s="91"/>
      <c r="Q564" s="86"/>
      <c r="R564" s="77"/>
      <c r="S564" s="77"/>
      <c r="T564" s="68"/>
      <c r="U564" s="68"/>
      <c r="V564" s="67"/>
      <c r="W564" s="67"/>
      <c r="X564" s="67"/>
      <c r="Y564" s="67"/>
      <c r="Z564" s="67"/>
      <c r="AA564" s="67"/>
      <c r="AB564" s="67"/>
      <c r="AC564" s="67"/>
      <c r="AD564" s="67"/>
      <c r="AE564" s="67"/>
      <c r="AF564" s="67"/>
      <c r="AG564" s="67"/>
      <c r="AH564" s="67"/>
      <c r="AI564" s="67"/>
      <c r="AJ564" s="67"/>
      <c r="AK564" s="67"/>
      <c r="AL564" s="67"/>
      <c r="AM564" s="67"/>
      <c r="AN564" s="77"/>
      <c r="AO564" s="76"/>
      <c r="AP564" s="77"/>
      <c r="AQ564" s="76"/>
      <c r="AR564" s="76"/>
      <c r="AS564" s="76"/>
      <c r="AT564" s="76"/>
      <c r="AU564" s="76"/>
      <c r="AV564" s="77"/>
      <c r="AW564" s="76"/>
      <c r="AX564" s="77"/>
      <c r="AY564" s="76"/>
      <c r="AZ564" s="76"/>
      <c r="BA564" s="76"/>
      <c r="BB564" s="76"/>
      <c r="BC564" s="76"/>
      <c r="BD564" s="77"/>
      <c r="BE564" s="76"/>
      <c r="BF564" s="77"/>
      <c r="BG564" s="76"/>
      <c r="BH564" s="76"/>
      <c r="BI564" s="76"/>
      <c r="BJ564" s="76"/>
      <c r="BK564" s="76"/>
      <c r="BL564" s="77"/>
      <c r="BM564" s="76"/>
      <c r="BN564" s="77"/>
      <c r="BO564" s="76"/>
      <c r="BP564" s="76"/>
      <c r="BQ564" s="76"/>
      <c r="BR564" s="76"/>
      <c r="BS564" s="76"/>
      <c r="BT564" s="77"/>
      <c r="BU564" s="76"/>
      <c r="BV564" s="77"/>
      <c r="BW564" s="76"/>
      <c r="BX564" s="76"/>
      <c r="BY564" s="76"/>
      <c r="BZ564" s="76"/>
      <c r="CA564" s="76"/>
      <c r="CB564" s="77"/>
      <c r="CC564" s="76"/>
      <c r="CD564" s="77"/>
      <c r="CE564" s="76"/>
      <c r="CF564" s="76"/>
      <c r="CG564" s="76"/>
      <c r="CH564" s="76"/>
      <c r="CI564" s="76"/>
      <c r="CJ564" s="77"/>
      <c r="CK564" s="76"/>
      <c r="CL564" s="77"/>
      <c r="CM564" s="76"/>
      <c r="CN564" s="76"/>
      <c r="CO564" s="76"/>
      <c r="CP564" s="76"/>
      <c r="CQ564" s="76"/>
      <c r="CR564" s="78" t="str">
        <f t="shared" si="143"/>
        <v/>
      </c>
      <c r="CS564" s="79" t="str">
        <f t="shared" si="144"/>
        <v/>
      </c>
      <c r="CT564" s="79" t="str">
        <f t="shared" si="145"/>
        <v/>
      </c>
      <c r="CU564" s="79" t="str">
        <f t="shared" si="146"/>
        <v/>
      </c>
      <c r="CV564" s="79" t="str">
        <f t="shared" si="147"/>
        <v/>
      </c>
      <c r="CW564" s="79" t="str">
        <f t="shared" si="148"/>
        <v/>
      </c>
      <c r="CX564" s="79" t="str">
        <f t="shared" si="149"/>
        <v/>
      </c>
      <c r="CY564" s="79" t="str">
        <f t="shared" si="150"/>
        <v/>
      </c>
      <c r="CZ564" s="79" t="str">
        <f t="shared" si="151"/>
        <v/>
      </c>
      <c r="DA564" s="79" t="str">
        <f t="shared" si="152"/>
        <v/>
      </c>
      <c r="DB564" s="79" t="str">
        <f t="shared" si="153"/>
        <v/>
      </c>
      <c r="DC564" s="79" t="str">
        <f t="shared" si="154"/>
        <v/>
      </c>
      <c r="DD564" s="79" t="str">
        <f t="shared" si="155"/>
        <v/>
      </c>
      <c r="DE564" s="79" t="str">
        <f t="shared" si="156"/>
        <v/>
      </c>
      <c r="DF564" s="79" t="str">
        <f t="shared" si="157"/>
        <v/>
      </c>
      <c r="DG564" s="79" t="str">
        <f t="shared" si="158"/>
        <v/>
      </c>
      <c r="DH564" s="76"/>
      <c r="DI564" s="78"/>
      <c r="DJ564" s="76"/>
      <c r="DK564" s="77"/>
      <c r="DL564" s="77"/>
      <c r="DM564" s="77"/>
      <c r="DN564" s="80"/>
      <c r="DO564" s="80"/>
      <c r="DP564" s="92" t="str">
        <f>IF(Table1[Start Date]="","",IF(Table1[Start Date]&gt;42185,"",IF(AND(Table1[Leaving Date]&gt;1,Table1[Leaving Date]&lt;42095),"",1)))</f>
        <v/>
      </c>
      <c r="DQ564" s="92" t="str">
        <f>IF(Table1[Start Date]="","",IF(Table1[Start Date]&gt;42277,"",IF(AND(Table1[Leaving Date]&gt;1,Table1[Leaving Date]&lt;42186),"",1)))</f>
        <v/>
      </c>
      <c r="DR564" s="92" t="str">
        <f>IF(Table1[Start Date]="","",IF(Table1[Start Date]&gt;42369,"",IF(AND(Table1[Leaving Date]&gt;1,Table1[Leaving Date]&lt;42278),"",1)))</f>
        <v/>
      </c>
      <c r="DS564" s="92" t="str">
        <f>IF(Table1[Start Date]="","",IF(Table1[Start Date]&gt;42460,"",IF(AND(Table1[Leaving Date]&gt;1,Table1[Leaving Date]&lt;42370),"",1)))</f>
        <v/>
      </c>
      <c r="DT564" s="92" t="str">
        <f>IF(Table1[Start Date]="","",IF(Table1[Start Date]&gt;42551,"",IF(AND(Table1[Leaving Date]&gt;1,Table1[Leaving Date]&lt;42461),"",1)))</f>
        <v/>
      </c>
      <c r="DU564" s="92" t="str">
        <f>IF(Table1[Start Date]="","",IF(Table1[Start Date]&gt;42643,"",IF(AND(Table1[Leaving Date]&gt;1,Table1[Leaving Date]&lt;42552),"",1)))</f>
        <v/>
      </c>
      <c r="DV564" s="92" t="str">
        <f>IF(Table1[Start Date]="","",IF(Table1[Start Date]&gt;42735,"",IF(AND(Table1[Leaving Date]&gt;1,Table1[Leaving Date]&lt;42644),"",1)))</f>
        <v/>
      </c>
      <c r="DW564" s="92" t="str">
        <f>IF(Table1[Start Date]="","",IF(Table1[Start Date]&gt;42825,"",IF(AND(Table1[Leaving Date]&gt;1,Table1[Leaving Date]&lt;42736),"",1)))</f>
        <v/>
      </c>
      <c r="DX564"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564" s="44" t="e">
        <f>VLOOKUP(Table1[Referral Source],Lists!$G$2:$H$20,2,FALSE)</f>
        <v>#N/A</v>
      </c>
      <c r="DZ564" s="93" t="e">
        <f>SUM(Table1[Data Referral Quarter]+Table1[Data Referral Source])</f>
        <v>#N/A</v>
      </c>
      <c r="EA564" s="44" t="b">
        <f>IF(Table1[Referral Decision]="Accepted",100,IF(Table1[Referral Decision]="Rejected by Provider",200,IF(Table1[Referral Decision]="Rejected by Applicant",300)))</f>
        <v>0</v>
      </c>
      <c r="EB564" s="44">
        <f>SUM(Table1[Data Referral Quarter]+Table1[Data Referral Decision])</f>
        <v>0</v>
      </c>
      <c r="EC564" s="44" t="b">
        <f>IF(Table1[Start Date]&gt;42735,8000,IF(Table1[Start Date]&gt;42643,7000,IF(Table1[Start Date]&gt;42551,6000,IF(Table1[Start Date]&gt;42460,5000,IF(Table1[Start Date]&gt;42369,4000,IF(Table1[Start Date]&gt;42277,3000,IF(Table1[Start Date]&gt;42185,2000,IF(Table1[Start Date]&gt;42094,1000))))))))</f>
        <v>0</v>
      </c>
      <c r="ED564" s="44" t="str">
        <f>IF(Table1[Start Date]="","",IF(Table1[Current Local Authority]="Swindon",1,"2"))</f>
        <v/>
      </c>
      <c r="EE564" s="44" t="e">
        <f>SUM(Table1[Data Start Date]+Table1[Data Local Authority])</f>
        <v>#VALUE!</v>
      </c>
      <c r="EF564" s="44">
        <f>IF(Table1[Registered with GP]="Yes",1,0)</f>
        <v>0</v>
      </c>
      <c r="EG564" s="44">
        <f>SUM(Table1[Data Start Date]+Table1[Data GP Start])</f>
        <v>0</v>
      </c>
      <c r="EH564" s="44" t="str">
        <f>IF(Table1[EET]="NEET",1,IF(Table1[EET]="Education",2,IF(Table1[EET]="Employment",2,IF(Table1[EET]="Training",2,IF(Table1[EET]="Retired",3,"")))))</f>
        <v/>
      </c>
      <c r="EI564" s="44" t="e">
        <f>Table1[Data Start Date]+Table1[Data EET Start]</f>
        <v>#VALUE!</v>
      </c>
      <c r="EJ564" s="44" t="b">
        <f>IF(Table1[Leaving Date]&gt;42735,8000,IF(Table1[Leaving Date]&gt;42643,7000,IF(Table1[Leaving Date]&gt;42551,6000,IF(Table1[Leaving Date]&gt;42460,5000,IF(Table1[Leaving Date]&gt;42369,4000,IF(Table1[Leaving Date]&gt;42277,3000,IF(Table1[Leaving Date]&gt;42185,2000,IF(Table1[Leaving Date]&gt;42094,1000))))))))</f>
        <v>0</v>
      </c>
      <c r="EK564" s="44" t="e">
        <f>VLOOKUP(Table1[Reason for Leaving],Lists!$T$2:$U$15,2,FALSE)</f>
        <v>#N/A</v>
      </c>
      <c r="EL564" s="44" t="e">
        <f>SUM(Table1[Data Leavers Date]+Table1[Data Move On])</f>
        <v>#N/A</v>
      </c>
      <c r="EM564" s="44" t="b">
        <f>IF(Table1[Registered with GP2]="Yes",1,IF(Table1[Registered with GP2]="No",0,IF(Table1[Registered with GP]="Yes",1,IF(Table1[Registered with GP]="No",0))))</f>
        <v>0</v>
      </c>
      <c r="EN564" s="44">
        <f>SUM(Table1[Data Leavers Date]+Table1[Data GP End])</f>
        <v>0</v>
      </c>
      <c r="EO564" s="44" t="str">
        <f>IF(Table1[EET2]="NEET",1,IF(Table1[EET2]="Employment",2,IF(Table1[EET2]="Education",2,IF(Table1[EET2]="Training",2,IF(Table1[EET2]="Retired",3,IF(Table1[EET]="NEET",1,IF(Table1[EET]="Employment",2,IF(Table1[EET]="Education",2,IF(Table1[EET]="Training",2,IF(Table1[EET]="Retired",3,""))))))))))</f>
        <v/>
      </c>
      <c r="EP564" s="44" t="e">
        <f>+Table1[[#This Row],[Data Leavers Date]]+Table1[[#This Row],[Data EET End]]</f>
        <v>#VALUE!</v>
      </c>
      <c r="EQ564" s="44">
        <f>IF(Table1[Exit Form Received]="Yes",1,0)</f>
        <v>0</v>
      </c>
      <c r="ER564" s="44">
        <f>+Table1[[#This Row],[Data Leavers Date]]+Table1[[#This Row],[Data Exit Forms]]</f>
        <v>0</v>
      </c>
      <c r="ES564" s="44" t="str">
        <f>IF(Table1[Data Leavers Date]=1000,SUM(Table1[Leaving Date]-Table1[Start Date]),"")</f>
        <v/>
      </c>
      <c r="ET564" s="44" t="str">
        <f>IF(Table1[Data Leavers Date]=2000,SUM(Table1[Leaving Date]-Table1[Start Date]),"")</f>
        <v/>
      </c>
      <c r="EU564" s="44" t="str">
        <f>IF(Table1[Data Leavers Date]=3000,SUM(Table1[Leaving Date]-Table1[Start Date]),"")</f>
        <v/>
      </c>
      <c r="EV564" s="44" t="str">
        <f>IF(Table1[Data Leavers Date]=4000,SUM(Table1[Leaving Date]-Table1[Start Date]),"")</f>
        <v/>
      </c>
      <c r="EW564" s="44" t="str">
        <f>IF(Table1[Data Leavers Date]=5000,SUM(Table1[Leaving Date]-Table1[Start Date]),"")</f>
        <v/>
      </c>
      <c r="EX564" s="44" t="str">
        <f>IF(Table1[Data Leavers Date]=6000,SUM(Table1[Leaving Date]-Table1[Start Date]),"")</f>
        <v/>
      </c>
      <c r="EY564" s="44" t="str">
        <f>IF(Table1[Data Leavers Date]=7000,SUM(Table1[Leaving Date]-Table1[Start Date]),"")</f>
        <v/>
      </c>
      <c r="EZ564" s="44" t="str">
        <f>IF(Table1[Data Leavers Date]=8000,SUM(Table1[Leaving Date]-Table1[Start Date]),"")</f>
        <v/>
      </c>
      <c r="FA564" s="44" t="str">
        <f>IF(Table1[Date of Initial Assessment]="","",IF(AND(Table1[Start Date]&gt;42094,Table1[Start Date]&lt;42461),Table1[Motivation and Taking Responsibility],""))</f>
        <v/>
      </c>
      <c r="FB564" s="44" t="str">
        <f>IF(Table1[Date of Initial Assessment]="","",IF(AND(Table1[Start Date]&gt;42094,Table1[Start Date]&lt;42461),Table1[Self-Care and Living Skills],""))</f>
        <v/>
      </c>
      <c r="FC564" s="44" t="str">
        <f>IF(Table1[Date of Initial Assessment]="","",IF(AND(Table1[Start Date]&gt;42094,Table1[Start Date]&lt;42461),Table1[Managing Money and Personal Administration],""))</f>
        <v/>
      </c>
      <c r="FD564" s="44" t="str">
        <f>IF(Table1[Date of Initial Assessment]="","",IF(AND(Table1[Start Date]&gt;42094,Table1[Start Date]&lt;42461),Table1[Social Networks and Relationships],""))</f>
        <v/>
      </c>
      <c r="FE564" s="44" t="str">
        <f>IF(Table1[Date of Initial Assessment]="","",IF(AND(Table1[Start Date]&gt;42094,Table1[Start Date]&lt;42461),Table1[Drug and Alcohol Misuse],""))</f>
        <v/>
      </c>
      <c r="FF564" s="44" t="str">
        <f>IF(Table1[Date of Initial Assessment]="","",IF(AND(Table1[Start Date]&gt;42094,Table1[Start Date]&lt;42461),Table1[Physical Health],""))</f>
        <v/>
      </c>
      <c r="FG564" s="44" t="str">
        <f>IF(Table1[Date of Initial Assessment]="","",IF(AND(Table1[Start Date]&gt;42094,Table1[Start Date]&lt;42461),Table1[Emotional and Mental Health],""))</f>
        <v/>
      </c>
      <c r="FH564" s="44" t="str">
        <f>IF(Table1[Date of Initial Assessment]="","",IF(AND(Table1[Start Date]&gt;42094,Table1[Start Date]&lt;42461),Table1[Meaningful Use of Time],""))</f>
        <v/>
      </c>
      <c r="FI564" s="44" t="str">
        <f>IF(Table1[Date of Initial Assessment]="","",IF(AND(Table1[Start Date]&gt;42094,Table1[Start Date]&lt;42461),Table1[Managing Tenancy and Accommodation],""))</f>
        <v/>
      </c>
      <c r="FJ564" s="44" t="str">
        <f>IF(Table1[Date of Initial Assessment]="","",IF(AND(Table1[Start Date]&gt;42094,Table1[Start Date]&lt;42461),Table1[Offending],""))</f>
        <v/>
      </c>
      <c r="FK564" s="44" t="str">
        <f>IF(Table1[Leaving Date]="","",IF(Table1[Date of Initial Assessment]="","",IF(AND(Table1[Leaving Date]&gt;42094,Table1[Leaving Date]&lt;42461),IF(Table1[Date of Last Assessment]="",Table1[Motivation and Taking Responsibility],Table1[Motivation and Taking Responsibility2]),"")))</f>
        <v/>
      </c>
      <c r="FL564" s="44" t="str">
        <f>IF(Table1[Leaving Date]="","",IF(Table1[Date of Initial Assessment]="","",IF(AND(Table1[Leaving Date]&gt;42094,Table1[Leaving Date]&lt;42461),IF(Table1[Date of Last Assessment]="",Table1[Self-Care and Living Skills],Table1[Self-Care and Living Skills2]),"")))</f>
        <v/>
      </c>
      <c r="FM564" s="44" t="str">
        <f>IF(Table1[Leaving Date]="","",IF(Table1[Date of Initial Assessment]="","",IF(AND(Table1[Leaving Date]&gt;42094,Table1[Leaving Date]&lt;42461),IF(Table1[Date of Last Assessment]="",Table1[Managing Money and Personal Administration],Table1[Managing Money and Personal Administration2]),"")))</f>
        <v/>
      </c>
      <c r="FN564" s="44" t="str">
        <f>IF(Table1[Leaving Date]="","",IF(Table1[Date of Initial Assessment]="","",IF(AND(Table1[Leaving Date]&gt;42094,Table1[Leaving Date]&lt;42461),IF(Table1[Date of Last Assessment]="",Table1[Social Networks and Relationships],Table1[Social Networks and Relationships2]),"")))</f>
        <v/>
      </c>
      <c r="FO564" s="44" t="str">
        <f>IF(Table1[Leaving Date]="","",IF(Table1[Date of Initial Assessment]="","",IF(AND(Table1[Leaving Date]&gt;42094,Table1[Leaving Date]&lt;42461),IF(Table1[Date of Last Assessment]="",Table1[Drug and Alcohol Misuse],Table1[Drug and Alcohol Misuse2]),"")))</f>
        <v/>
      </c>
      <c r="FP564" s="44" t="str">
        <f>IF(Table1[Leaving Date]="","",IF(Table1[Date of Initial Assessment]="","",IF(AND(Table1[Leaving Date]&gt;42094,Table1[Leaving Date]&lt;42461),IF(Table1[Date of Last Assessment]="",Table1[Physical Health],Table1[Physical Health2]),"")))</f>
        <v/>
      </c>
      <c r="FQ564" s="44" t="str">
        <f>IF(Table1[Leaving Date]="","",IF(Table1[Date of Initial Assessment]="","",IF(AND(Table1[Leaving Date]&gt;42094,Table1[Leaving Date]&lt;42461),IF(Table1[Date of Last Assessment]="",Table1[Emotional and Mental Health],Table1[Emotional and Mental Health2]),"")))</f>
        <v/>
      </c>
      <c r="FR564" s="44" t="str">
        <f>IF(Table1[Leaving Date]="","",IF(Table1[Date of Initial Assessment]="","",IF(AND(Table1[Leaving Date]&gt;42094,Table1[Leaving Date]&lt;42461),IF(Table1[Date of Last Assessment]="",Table1[Meaningful Use of Time],Table1[Meaningful Use of Time2]),"")))</f>
        <v/>
      </c>
      <c r="FS564" s="44" t="str">
        <f>IF(Table1[Leaving Date]="","",IF(Table1[Date of Initial Assessment]="","",IF(AND(Table1[Leaving Date]&gt;42094,Table1[Leaving Date]&lt;42461),IF(Table1[Date of Last Assessment]="",Table1[Managing Tenancy and Accommodation],Table1[Managing Tenancy and Accommodation2]),"")))</f>
        <v/>
      </c>
      <c r="FT564" s="44" t="str">
        <f>IF(Table1[Leaving Date]="","",IF(Table1[Date of Initial Assessment]="","",IF(AND(Table1[Leaving Date]&gt;42094,Table1[Leaving Date]&lt;42461),IF(Table1[Date of Last Assessment]="",Table1[Offending],Table1[Offending2]),"")))</f>
        <v/>
      </c>
      <c r="FU564" s="44" t="str">
        <f>IF(Table1[Date of Initial Assessment]="","",IF(AND(Table1[Start Date]&gt;42460,Table1[Start Date]&lt;42826),Table1[Motivation and Taking Responsibility],""))</f>
        <v/>
      </c>
      <c r="FV564" s="44" t="str">
        <f>IF(Table1[Date of Initial Assessment]="","",IF(AND(Table1[Start Date]&gt;42460,Table1[Start Date]&lt;42826),Table1[Self-Care and Living Skills],""))</f>
        <v/>
      </c>
      <c r="FW564" s="44" t="str">
        <f>IF(Table1[Date of Initial Assessment]="","",IF(AND(Table1[Start Date]&gt;42460,Table1[Start Date]&lt;42826),Table1[Managing Money and Personal Administration],""))</f>
        <v/>
      </c>
      <c r="FX564" s="44" t="str">
        <f>IF(Table1[Date of Initial Assessment]="","",IF(AND(Table1[Start Date]&gt;42460,Table1[Start Date]&lt;42826),Table1[Social Networks and Relationships],""))</f>
        <v/>
      </c>
      <c r="FY564" s="44" t="str">
        <f>IF(Table1[Date of Initial Assessment]="","",IF(AND(Table1[Start Date]&gt;42460,Table1[Start Date]&lt;42826),Table1[Drug and Alcohol Misuse],""))</f>
        <v/>
      </c>
      <c r="FZ564" s="44" t="str">
        <f>IF(Table1[Date of Initial Assessment]="","",IF(AND(Table1[Start Date]&gt;42460,Table1[Start Date]&lt;42826),Table1[Physical Health],""))</f>
        <v/>
      </c>
      <c r="GA564" s="44" t="str">
        <f>IF(Table1[Date of Initial Assessment]="","",IF(AND(Table1[Start Date]&gt;42460,Table1[Start Date]&lt;42826),Table1[Emotional and Mental Health],""))</f>
        <v/>
      </c>
      <c r="GB564" s="44" t="str">
        <f>IF(Table1[Date of Initial Assessment]="","",IF(AND(Table1[Start Date]&gt;42460,Table1[Start Date]&lt;42826),Table1[Meaningful Use of Time],""))</f>
        <v/>
      </c>
      <c r="GC564" s="44" t="str">
        <f>IF(Table1[Date of Initial Assessment]="","",IF(AND(Table1[Start Date]&gt;42460,Table1[Start Date]&lt;42826),Table1[Managing Tenancy and Accommodation],""))</f>
        <v/>
      </c>
      <c r="GD564" s="44" t="str">
        <f>IF(Table1[Date of Initial Assessment]="","",IF(AND(Table1[Start Date]&gt;42460,Table1[Start Date]&lt;42826),Table1[Offending],""))</f>
        <v/>
      </c>
      <c r="GE564" s="44" t="str">
        <f>IF(Table1[Leaving Date]="","",IF(AND(Table1[Leaving Date]&gt;42460,Table1[Leaving Date]&lt;42826),IF(Table1[Date of Last Assessment]="",Table1[Motivation and Taking Responsibility],Table1[Motivation and Taking Responsibility2]),""))</f>
        <v/>
      </c>
      <c r="GF564" s="44" t="str">
        <f>IF(Table1[Leaving Date]="","",IF(AND(Table1[Leaving Date]&gt;42460,Table1[Leaving Date]&lt;42826),IF(Table1[Date of Last Assessment]="",Table1[Self-Care and Living Skills],Table1[Self-Care and Living Skills2]),""))</f>
        <v/>
      </c>
      <c r="GG564" s="44" t="str">
        <f>IF(Table1[Leaving Date]="","",IF(AND(Table1[Leaving Date]&gt;42460,Table1[Leaving Date]&lt;42826),IF(Table1[Date of Last Assessment]="",Table1[Managing Money and Personal Administration],Table1[Managing Money and Personal Administration2]),""))</f>
        <v/>
      </c>
      <c r="GH564" s="44" t="str">
        <f>IF(Table1[Leaving Date]="","",IF(AND(Table1[Leaving Date]&gt;42460,Table1[Leaving Date]&lt;42826),IF(Table1[Date of Last Assessment]="",Table1[Social Networks and Relationships],Table1[Social Networks and Relationships2]),""))</f>
        <v/>
      </c>
      <c r="GI564" s="44" t="str">
        <f>IF(Table1[Leaving Date]="","",IF(AND(Table1[Leaving Date]&gt;42460,Table1[Leaving Date]&lt;42826),IF(Table1[Date of Last Assessment]="",Table1[Drug and Alcohol Misuse],Table1[Drug and Alcohol Misuse2]),""))</f>
        <v/>
      </c>
      <c r="GJ564" s="44" t="str">
        <f>IF(Table1[Leaving Date]="","",IF(AND(Table1[Leaving Date]&gt;42460,Table1[Leaving Date]&lt;42826),IF(Table1[Date of Last Assessment]="",Table1[Physical Health],Table1[Physical Health2]),""))</f>
        <v/>
      </c>
      <c r="GK564" s="44" t="str">
        <f>IF(Table1[Leaving Date]="","",IF(AND(Table1[Leaving Date]&gt;42460,Table1[Leaving Date]&lt;42826),IF(Table1[Date of Last Assessment]="",Table1[Emotional and Mental Health],Table1[Emotional and Mental Health2]),""))</f>
        <v/>
      </c>
      <c r="GL564" s="44" t="str">
        <f>IF(Table1[Leaving Date]="","",IF(AND(Table1[Leaving Date]&gt;42460,Table1[Leaving Date]&lt;42826),IF(Table1[Date of Last Assessment]="",Table1[Meaningful Use of Time],Table1[Meaningful Use of Time2]),""))</f>
        <v/>
      </c>
      <c r="GM564" s="44" t="str">
        <f>IF(Table1[Leaving Date]="","",IF(AND(Table1[Leaving Date]&gt;42460,Table1[Leaving Date]&lt;42826),IF(Table1[Date of Last Assessment]="",Table1[Managing Tenancy and Accommodation],Table1[Managing Tenancy and Accommodation2]),""))</f>
        <v/>
      </c>
      <c r="GN564" s="44" t="str">
        <f>IF(Table1[Leaving Date]="","",IF(AND(Table1[Leaving Date]&gt;42460,Table1[Leaving Date]&lt;42826),IF(Table1[Date of Last Assessment]="",Table1[Offending],Table1[Offending2]),""))</f>
        <v/>
      </c>
    </row>
    <row r="565" spans="2:196" ht="20.100000000000001" customHeight="1" x14ac:dyDescent="0.2">
      <c r="B565" s="86">
        <f>+'Service Data'!$C$5:$C$5</f>
        <v>0</v>
      </c>
      <c r="C565" s="86"/>
      <c r="D565" s="86"/>
      <c r="E565" s="86"/>
      <c r="F565" s="86"/>
      <c r="G565" s="86"/>
      <c r="H565" s="6"/>
      <c r="I565" s="99" t="str">
        <f ca="1">IF(Table1[[#This Row],[Date of Birth]]="","",SUM(TODAY()-Table1[[#This Row],[Date of Birth]])/365)</f>
        <v/>
      </c>
      <c r="L565" s="86"/>
      <c r="M565" s="77"/>
      <c r="N565" s="86"/>
      <c r="O565" s="86"/>
      <c r="P565" s="91"/>
      <c r="Q565" s="86"/>
      <c r="R565" s="77"/>
      <c r="S565" s="77"/>
      <c r="T565" s="68"/>
      <c r="U565" s="68"/>
      <c r="V565" s="67"/>
      <c r="W565" s="67"/>
      <c r="X565" s="67"/>
      <c r="Y565" s="67"/>
      <c r="Z565" s="67"/>
      <c r="AA565" s="67"/>
      <c r="AB565" s="67"/>
      <c r="AC565" s="67"/>
      <c r="AD565" s="67"/>
      <c r="AE565" s="67"/>
      <c r="AF565" s="67"/>
      <c r="AG565" s="67"/>
      <c r="AH565" s="67"/>
      <c r="AI565" s="67"/>
      <c r="AJ565" s="67"/>
      <c r="AK565" s="67"/>
      <c r="AL565" s="67"/>
      <c r="AM565" s="67"/>
      <c r="AN565" s="77"/>
      <c r="AO565" s="76"/>
      <c r="AP565" s="77"/>
      <c r="AQ565" s="76"/>
      <c r="AR565" s="76"/>
      <c r="AS565" s="76"/>
      <c r="AT565" s="76"/>
      <c r="AU565" s="76"/>
      <c r="AV565" s="77"/>
      <c r="AW565" s="76"/>
      <c r="AX565" s="77"/>
      <c r="AY565" s="76"/>
      <c r="AZ565" s="76"/>
      <c r="BA565" s="76"/>
      <c r="BB565" s="76"/>
      <c r="BC565" s="76"/>
      <c r="BD565" s="77"/>
      <c r="BE565" s="76"/>
      <c r="BF565" s="77"/>
      <c r="BG565" s="76"/>
      <c r="BH565" s="76"/>
      <c r="BI565" s="76"/>
      <c r="BJ565" s="76"/>
      <c r="BK565" s="76"/>
      <c r="BL565" s="77"/>
      <c r="BM565" s="76"/>
      <c r="BN565" s="77"/>
      <c r="BO565" s="76"/>
      <c r="BP565" s="76"/>
      <c r="BQ565" s="76"/>
      <c r="BR565" s="76"/>
      <c r="BS565" s="76"/>
      <c r="BT565" s="77"/>
      <c r="BU565" s="76"/>
      <c r="BV565" s="77"/>
      <c r="BW565" s="76"/>
      <c r="BX565" s="76"/>
      <c r="BY565" s="76"/>
      <c r="BZ565" s="76"/>
      <c r="CA565" s="76"/>
      <c r="CB565" s="77"/>
      <c r="CC565" s="76"/>
      <c r="CD565" s="77"/>
      <c r="CE565" s="76"/>
      <c r="CF565" s="76"/>
      <c r="CG565" s="76"/>
      <c r="CH565" s="76"/>
      <c r="CI565" s="76"/>
      <c r="CJ565" s="77"/>
      <c r="CK565" s="76"/>
      <c r="CL565" s="77"/>
      <c r="CM565" s="76"/>
      <c r="CN565" s="76"/>
      <c r="CO565" s="76"/>
      <c r="CP565" s="76"/>
      <c r="CQ565" s="76"/>
      <c r="CR565" s="78" t="str">
        <f t="shared" si="143"/>
        <v/>
      </c>
      <c r="CS565" s="79" t="str">
        <f t="shared" si="144"/>
        <v/>
      </c>
      <c r="CT565" s="79" t="str">
        <f t="shared" si="145"/>
        <v/>
      </c>
      <c r="CU565" s="79" t="str">
        <f t="shared" si="146"/>
        <v/>
      </c>
      <c r="CV565" s="79" t="str">
        <f t="shared" si="147"/>
        <v/>
      </c>
      <c r="CW565" s="79" t="str">
        <f t="shared" si="148"/>
        <v/>
      </c>
      <c r="CX565" s="79" t="str">
        <f t="shared" si="149"/>
        <v/>
      </c>
      <c r="CY565" s="79" t="str">
        <f t="shared" si="150"/>
        <v/>
      </c>
      <c r="CZ565" s="79" t="str">
        <f t="shared" si="151"/>
        <v/>
      </c>
      <c r="DA565" s="79" t="str">
        <f t="shared" si="152"/>
        <v/>
      </c>
      <c r="DB565" s="79" t="str">
        <f t="shared" si="153"/>
        <v/>
      </c>
      <c r="DC565" s="79" t="str">
        <f t="shared" si="154"/>
        <v/>
      </c>
      <c r="DD565" s="79" t="str">
        <f t="shared" si="155"/>
        <v/>
      </c>
      <c r="DE565" s="79" t="str">
        <f t="shared" si="156"/>
        <v/>
      </c>
      <c r="DF565" s="79" t="str">
        <f t="shared" si="157"/>
        <v/>
      </c>
      <c r="DG565" s="79" t="str">
        <f t="shared" si="158"/>
        <v/>
      </c>
      <c r="DH565" s="76"/>
      <c r="DI565" s="78"/>
      <c r="DJ565" s="76"/>
      <c r="DK565" s="77"/>
      <c r="DL565" s="77"/>
      <c r="DM565" s="77"/>
      <c r="DN565" s="80"/>
      <c r="DO565" s="80"/>
      <c r="DP565" s="92" t="str">
        <f>IF(Table1[Start Date]="","",IF(Table1[Start Date]&gt;42185,"",IF(AND(Table1[Leaving Date]&gt;1,Table1[Leaving Date]&lt;42095),"",1)))</f>
        <v/>
      </c>
      <c r="DQ565" s="92" t="str">
        <f>IF(Table1[Start Date]="","",IF(Table1[Start Date]&gt;42277,"",IF(AND(Table1[Leaving Date]&gt;1,Table1[Leaving Date]&lt;42186),"",1)))</f>
        <v/>
      </c>
      <c r="DR565" s="92" t="str">
        <f>IF(Table1[Start Date]="","",IF(Table1[Start Date]&gt;42369,"",IF(AND(Table1[Leaving Date]&gt;1,Table1[Leaving Date]&lt;42278),"",1)))</f>
        <v/>
      </c>
      <c r="DS565" s="92" t="str">
        <f>IF(Table1[Start Date]="","",IF(Table1[Start Date]&gt;42460,"",IF(AND(Table1[Leaving Date]&gt;1,Table1[Leaving Date]&lt;42370),"",1)))</f>
        <v/>
      </c>
      <c r="DT565" s="92" t="str">
        <f>IF(Table1[Start Date]="","",IF(Table1[Start Date]&gt;42551,"",IF(AND(Table1[Leaving Date]&gt;1,Table1[Leaving Date]&lt;42461),"",1)))</f>
        <v/>
      </c>
      <c r="DU565" s="92" t="str">
        <f>IF(Table1[Start Date]="","",IF(Table1[Start Date]&gt;42643,"",IF(AND(Table1[Leaving Date]&gt;1,Table1[Leaving Date]&lt;42552),"",1)))</f>
        <v/>
      </c>
      <c r="DV565" s="92" t="str">
        <f>IF(Table1[Start Date]="","",IF(Table1[Start Date]&gt;42735,"",IF(AND(Table1[Leaving Date]&gt;1,Table1[Leaving Date]&lt;42644),"",1)))</f>
        <v/>
      </c>
      <c r="DW565" s="92" t="str">
        <f>IF(Table1[Start Date]="","",IF(Table1[Start Date]&gt;42825,"",IF(AND(Table1[Leaving Date]&gt;1,Table1[Leaving Date]&lt;42736),"",1)))</f>
        <v/>
      </c>
      <c r="DX565"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565" s="44" t="e">
        <f>VLOOKUP(Table1[Referral Source],Lists!$G$2:$H$20,2,FALSE)</f>
        <v>#N/A</v>
      </c>
      <c r="DZ565" s="93" t="e">
        <f>SUM(Table1[Data Referral Quarter]+Table1[Data Referral Source])</f>
        <v>#N/A</v>
      </c>
      <c r="EA565" s="44" t="b">
        <f>IF(Table1[Referral Decision]="Accepted",100,IF(Table1[Referral Decision]="Rejected by Provider",200,IF(Table1[Referral Decision]="Rejected by Applicant",300)))</f>
        <v>0</v>
      </c>
      <c r="EB565" s="44">
        <f>SUM(Table1[Data Referral Quarter]+Table1[Data Referral Decision])</f>
        <v>0</v>
      </c>
      <c r="EC565" s="44" t="b">
        <f>IF(Table1[Start Date]&gt;42735,8000,IF(Table1[Start Date]&gt;42643,7000,IF(Table1[Start Date]&gt;42551,6000,IF(Table1[Start Date]&gt;42460,5000,IF(Table1[Start Date]&gt;42369,4000,IF(Table1[Start Date]&gt;42277,3000,IF(Table1[Start Date]&gt;42185,2000,IF(Table1[Start Date]&gt;42094,1000))))))))</f>
        <v>0</v>
      </c>
      <c r="ED565" s="44" t="str">
        <f>IF(Table1[Start Date]="","",IF(Table1[Current Local Authority]="Swindon",1,"2"))</f>
        <v/>
      </c>
      <c r="EE565" s="44" t="e">
        <f>SUM(Table1[Data Start Date]+Table1[Data Local Authority])</f>
        <v>#VALUE!</v>
      </c>
      <c r="EF565" s="44">
        <f>IF(Table1[Registered with GP]="Yes",1,0)</f>
        <v>0</v>
      </c>
      <c r="EG565" s="44">
        <f>SUM(Table1[Data Start Date]+Table1[Data GP Start])</f>
        <v>0</v>
      </c>
      <c r="EH565" s="44" t="str">
        <f>IF(Table1[EET]="NEET",1,IF(Table1[EET]="Education",2,IF(Table1[EET]="Employment",2,IF(Table1[EET]="Training",2,IF(Table1[EET]="Retired",3,"")))))</f>
        <v/>
      </c>
      <c r="EI565" s="44" t="e">
        <f>Table1[Data Start Date]+Table1[Data EET Start]</f>
        <v>#VALUE!</v>
      </c>
      <c r="EJ565" s="44" t="b">
        <f>IF(Table1[Leaving Date]&gt;42735,8000,IF(Table1[Leaving Date]&gt;42643,7000,IF(Table1[Leaving Date]&gt;42551,6000,IF(Table1[Leaving Date]&gt;42460,5000,IF(Table1[Leaving Date]&gt;42369,4000,IF(Table1[Leaving Date]&gt;42277,3000,IF(Table1[Leaving Date]&gt;42185,2000,IF(Table1[Leaving Date]&gt;42094,1000))))))))</f>
        <v>0</v>
      </c>
      <c r="EK565" s="44" t="e">
        <f>VLOOKUP(Table1[Reason for Leaving],Lists!$T$2:$U$15,2,FALSE)</f>
        <v>#N/A</v>
      </c>
      <c r="EL565" s="44" t="e">
        <f>SUM(Table1[Data Leavers Date]+Table1[Data Move On])</f>
        <v>#N/A</v>
      </c>
      <c r="EM565" s="44" t="b">
        <f>IF(Table1[Registered with GP2]="Yes",1,IF(Table1[Registered with GP2]="No",0,IF(Table1[Registered with GP]="Yes",1,IF(Table1[Registered with GP]="No",0))))</f>
        <v>0</v>
      </c>
      <c r="EN565" s="44">
        <f>SUM(Table1[Data Leavers Date]+Table1[Data GP End])</f>
        <v>0</v>
      </c>
      <c r="EO565" s="44" t="str">
        <f>IF(Table1[EET2]="NEET",1,IF(Table1[EET2]="Employment",2,IF(Table1[EET2]="Education",2,IF(Table1[EET2]="Training",2,IF(Table1[EET2]="Retired",3,IF(Table1[EET]="NEET",1,IF(Table1[EET]="Employment",2,IF(Table1[EET]="Education",2,IF(Table1[EET]="Training",2,IF(Table1[EET]="Retired",3,""))))))))))</f>
        <v/>
      </c>
      <c r="EP565" s="44" t="e">
        <f>+Table1[[#This Row],[Data Leavers Date]]+Table1[[#This Row],[Data EET End]]</f>
        <v>#VALUE!</v>
      </c>
      <c r="EQ565" s="44">
        <f>IF(Table1[Exit Form Received]="Yes",1,0)</f>
        <v>0</v>
      </c>
      <c r="ER565" s="44">
        <f>+Table1[[#This Row],[Data Leavers Date]]+Table1[[#This Row],[Data Exit Forms]]</f>
        <v>0</v>
      </c>
      <c r="ES565" s="44" t="str">
        <f>IF(Table1[Data Leavers Date]=1000,SUM(Table1[Leaving Date]-Table1[Start Date]),"")</f>
        <v/>
      </c>
      <c r="ET565" s="44" t="str">
        <f>IF(Table1[Data Leavers Date]=2000,SUM(Table1[Leaving Date]-Table1[Start Date]),"")</f>
        <v/>
      </c>
      <c r="EU565" s="44" t="str">
        <f>IF(Table1[Data Leavers Date]=3000,SUM(Table1[Leaving Date]-Table1[Start Date]),"")</f>
        <v/>
      </c>
      <c r="EV565" s="44" t="str">
        <f>IF(Table1[Data Leavers Date]=4000,SUM(Table1[Leaving Date]-Table1[Start Date]),"")</f>
        <v/>
      </c>
      <c r="EW565" s="44" t="str">
        <f>IF(Table1[Data Leavers Date]=5000,SUM(Table1[Leaving Date]-Table1[Start Date]),"")</f>
        <v/>
      </c>
      <c r="EX565" s="44" t="str">
        <f>IF(Table1[Data Leavers Date]=6000,SUM(Table1[Leaving Date]-Table1[Start Date]),"")</f>
        <v/>
      </c>
      <c r="EY565" s="44" t="str">
        <f>IF(Table1[Data Leavers Date]=7000,SUM(Table1[Leaving Date]-Table1[Start Date]),"")</f>
        <v/>
      </c>
      <c r="EZ565" s="44" t="str">
        <f>IF(Table1[Data Leavers Date]=8000,SUM(Table1[Leaving Date]-Table1[Start Date]),"")</f>
        <v/>
      </c>
      <c r="FA565" s="44" t="str">
        <f>IF(Table1[Date of Initial Assessment]="","",IF(AND(Table1[Start Date]&gt;42094,Table1[Start Date]&lt;42461),Table1[Motivation and Taking Responsibility],""))</f>
        <v/>
      </c>
      <c r="FB565" s="44" t="str">
        <f>IF(Table1[Date of Initial Assessment]="","",IF(AND(Table1[Start Date]&gt;42094,Table1[Start Date]&lt;42461),Table1[Self-Care and Living Skills],""))</f>
        <v/>
      </c>
      <c r="FC565" s="44" t="str">
        <f>IF(Table1[Date of Initial Assessment]="","",IF(AND(Table1[Start Date]&gt;42094,Table1[Start Date]&lt;42461),Table1[Managing Money and Personal Administration],""))</f>
        <v/>
      </c>
      <c r="FD565" s="44" t="str">
        <f>IF(Table1[Date of Initial Assessment]="","",IF(AND(Table1[Start Date]&gt;42094,Table1[Start Date]&lt;42461),Table1[Social Networks and Relationships],""))</f>
        <v/>
      </c>
      <c r="FE565" s="44" t="str">
        <f>IF(Table1[Date of Initial Assessment]="","",IF(AND(Table1[Start Date]&gt;42094,Table1[Start Date]&lt;42461),Table1[Drug and Alcohol Misuse],""))</f>
        <v/>
      </c>
      <c r="FF565" s="44" t="str">
        <f>IF(Table1[Date of Initial Assessment]="","",IF(AND(Table1[Start Date]&gt;42094,Table1[Start Date]&lt;42461),Table1[Physical Health],""))</f>
        <v/>
      </c>
      <c r="FG565" s="44" t="str">
        <f>IF(Table1[Date of Initial Assessment]="","",IF(AND(Table1[Start Date]&gt;42094,Table1[Start Date]&lt;42461),Table1[Emotional and Mental Health],""))</f>
        <v/>
      </c>
      <c r="FH565" s="44" t="str">
        <f>IF(Table1[Date of Initial Assessment]="","",IF(AND(Table1[Start Date]&gt;42094,Table1[Start Date]&lt;42461),Table1[Meaningful Use of Time],""))</f>
        <v/>
      </c>
      <c r="FI565" s="44" t="str">
        <f>IF(Table1[Date of Initial Assessment]="","",IF(AND(Table1[Start Date]&gt;42094,Table1[Start Date]&lt;42461),Table1[Managing Tenancy and Accommodation],""))</f>
        <v/>
      </c>
      <c r="FJ565" s="44" t="str">
        <f>IF(Table1[Date of Initial Assessment]="","",IF(AND(Table1[Start Date]&gt;42094,Table1[Start Date]&lt;42461),Table1[Offending],""))</f>
        <v/>
      </c>
      <c r="FK565" s="44" t="str">
        <f>IF(Table1[Leaving Date]="","",IF(Table1[Date of Initial Assessment]="","",IF(AND(Table1[Leaving Date]&gt;42094,Table1[Leaving Date]&lt;42461),IF(Table1[Date of Last Assessment]="",Table1[Motivation and Taking Responsibility],Table1[Motivation and Taking Responsibility2]),"")))</f>
        <v/>
      </c>
      <c r="FL565" s="44" t="str">
        <f>IF(Table1[Leaving Date]="","",IF(Table1[Date of Initial Assessment]="","",IF(AND(Table1[Leaving Date]&gt;42094,Table1[Leaving Date]&lt;42461),IF(Table1[Date of Last Assessment]="",Table1[Self-Care and Living Skills],Table1[Self-Care and Living Skills2]),"")))</f>
        <v/>
      </c>
      <c r="FM565" s="44" t="str">
        <f>IF(Table1[Leaving Date]="","",IF(Table1[Date of Initial Assessment]="","",IF(AND(Table1[Leaving Date]&gt;42094,Table1[Leaving Date]&lt;42461),IF(Table1[Date of Last Assessment]="",Table1[Managing Money and Personal Administration],Table1[Managing Money and Personal Administration2]),"")))</f>
        <v/>
      </c>
      <c r="FN565" s="44" t="str">
        <f>IF(Table1[Leaving Date]="","",IF(Table1[Date of Initial Assessment]="","",IF(AND(Table1[Leaving Date]&gt;42094,Table1[Leaving Date]&lt;42461),IF(Table1[Date of Last Assessment]="",Table1[Social Networks and Relationships],Table1[Social Networks and Relationships2]),"")))</f>
        <v/>
      </c>
      <c r="FO565" s="44" t="str">
        <f>IF(Table1[Leaving Date]="","",IF(Table1[Date of Initial Assessment]="","",IF(AND(Table1[Leaving Date]&gt;42094,Table1[Leaving Date]&lt;42461),IF(Table1[Date of Last Assessment]="",Table1[Drug and Alcohol Misuse],Table1[Drug and Alcohol Misuse2]),"")))</f>
        <v/>
      </c>
      <c r="FP565" s="44" t="str">
        <f>IF(Table1[Leaving Date]="","",IF(Table1[Date of Initial Assessment]="","",IF(AND(Table1[Leaving Date]&gt;42094,Table1[Leaving Date]&lt;42461),IF(Table1[Date of Last Assessment]="",Table1[Physical Health],Table1[Physical Health2]),"")))</f>
        <v/>
      </c>
      <c r="FQ565" s="44" t="str">
        <f>IF(Table1[Leaving Date]="","",IF(Table1[Date of Initial Assessment]="","",IF(AND(Table1[Leaving Date]&gt;42094,Table1[Leaving Date]&lt;42461),IF(Table1[Date of Last Assessment]="",Table1[Emotional and Mental Health],Table1[Emotional and Mental Health2]),"")))</f>
        <v/>
      </c>
      <c r="FR565" s="44" t="str">
        <f>IF(Table1[Leaving Date]="","",IF(Table1[Date of Initial Assessment]="","",IF(AND(Table1[Leaving Date]&gt;42094,Table1[Leaving Date]&lt;42461),IF(Table1[Date of Last Assessment]="",Table1[Meaningful Use of Time],Table1[Meaningful Use of Time2]),"")))</f>
        <v/>
      </c>
      <c r="FS565" s="44" t="str">
        <f>IF(Table1[Leaving Date]="","",IF(Table1[Date of Initial Assessment]="","",IF(AND(Table1[Leaving Date]&gt;42094,Table1[Leaving Date]&lt;42461),IF(Table1[Date of Last Assessment]="",Table1[Managing Tenancy and Accommodation],Table1[Managing Tenancy and Accommodation2]),"")))</f>
        <v/>
      </c>
      <c r="FT565" s="44" t="str">
        <f>IF(Table1[Leaving Date]="","",IF(Table1[Date of Initial Assessment]="","",IF(AND(Table1[Leaving Date]&gt;42094,Table1[Leaving Date]&lt;42461),IF(Table1[Date of Last Assessment]="",Table1[Offending],Table1[Offending2]),"")))</f>
        <v/>
      </c>
      <c r="FU565" s="44" t="str">
        <f>IF(Table1[Date of Initial Assessment]="","",IF(AND(Table1[Start Date]&gt;42460,Table1[Start Date]&lt;42826),Table1[Motivation and Taking Responsibility],""))</f>
        <v/>
      </c>
      <c r="FV565" s="44" t="str">
        <f>IF(Table1[Date of Initial Assessment]="","",IF(AND(Table1[Start Date]&gt;42460,Table1[Start Date]&lt;42826),Table1[Self-Care and Living Skills],""))</f>
        <v/>
      </c>
      <c r="FW565" s="44" t="str">
        <f>IF(Table1[Date of Initial Assessment]="","",IF(AND(Table1[Start Date]&gt;42460,Table1[Start Date]&lt;42826),Table1[Managing Money and Personal Administration],""))</f>
        <v/>
      </c>
      <c r="FX565" s="44" t="str">
        <f>IF(Table1[Date of Initial Assessment]="","",IF(AND(Table1[Start Date]&gt;42460,Table1[Start Date]&lt;42826),Table1[Social Networks and Relationships],""))</f>
        <v/>
      </c>
      <c r="FY565" s="44" t="str">
        <f>IF(Table1[Date of Initial Assessment]="","",IF(AND(Table1[Start Date]&gt;42460,Table1[Start Date]&lt;42826),Table1[Drug and Alcohol Misuse],""))</f>
        <v/>
      </c>
      <c r="FZ565" s="44" t="str">
        <f>IF(Table1[Date of Initial Assessment]="","",IF(AND(Table1[Start Date]&gt;42460,Table1[Start Date]&lt;42826),Table1[Physical Health],""))</f>
        <v/>
      </c>
      <c r="GA565" s="44" t="str">
        <f>IF(Table1[Date of Initial Assessment]="","",IF(AND(Table1[Start Date]&gt;42460,Table1[Start Date]&lt;42826),Table1[Emotional and Mental Health],""))</f>
        <v/>
      </c>
      <c r="GB565" s="44" t="str">
        <f>IF(Table1[Date of Initial Assessment]="","",IF(AND(Table1[Start Date]&gt;42460,Table1[Start Date]&lt;42826),Table1[Meaningful Use of Time],""))</f>
        <v/>
      </c>
      <c r="GC565" s="44" t="str">
        <f>IF(Table1[Date of Initial Assessment]="","",IF(AND(Table1[Start Date]&gt;42460,Table1[Start Date]&lt;42826),Table1[Managing Tenancy and Accommodation],""))</f>
        <v/>
      </c>
      <c r="GD565" s="44" t="str">
        <f>IF(Table1[Date of Initial Assessment]="","",IF(AND(Table1[Start Date]&gt;42460,Table1[Start Date]&lt;42826),Table1[Offending],""))</f>
        <v/>
      </c>
      <c r="GE565" s="44" t="str">
        <f>IF(Table1[Leaving Date]="","",IF(AND(Table1[Leaving Date]&gt;42460,Table1[Leaving Date]&lt;42826),IF(Table1[Date of Last Assessment]="",Table1[Motivation and Taking Responsibility],Table1[Motivation and Taking Responsibility2]),""))</f>
        <v/>
      </c>
      <c r="GF565" s="44" t="str">
        <f>IF(Table1[Leaving Date]="","",IF(AND(Table1[Leaving Date]&gt;42460,Table1[Leaving Date]&lt;42826),IF(Table1[Date of Last Assessment]="",Table1[Self-Care and Living Skills],Table1[Self-Care and Living Skills2]),""))</f>
        <v/>
      </c>
      <c r="GG565" s="44" t="str">
        <f>IF(Table1[Leaving Date]="","",IF(AND(Table1[Leaving Date]&gt;42460,Table1[Leaving Date]&lt;42826),IF(Table1[Date of Last Assessment]="",Table1[Managing Money and Personal Administration],Table1[Managing Money and Personal Administration2]),""))</f>
        <v/>
      </c>
      <c r="GH565" s="44" t="str">
        <f>IF(Table1[Leaving Date]="","",IF(AND(Table1[Leaving Date]&gt;42460,Table1[Leaving Date]&lt;42826),IF(Table1[Date of Last Assessment]="",Table1[Social Networks and Relationships],Table1[Social Networks and Relationships2]),""))</f>
        <v/>
      </c>
      <c r="GI565" s="44" t="str">
        <f>IF(Table1[Leaving Date]="","",IF(AND(Table1[Leaving Date]&gt;42460,Table1[Leaving Date]&lt;42826),IF(Table1[Date of Last Assessment]="",Table1[Drug and Alcohol Misuse],Table1[Drug and Alcohol Misuse2]),""))</f>
        <v/>
      </c>
      <c r="GJ565" s="44" t="str">
        <f>IF(Table1[Leaving Date]="","",IF(AND(Table1[Leaving Date]&gt;42460,Table1[Leaving Date]&lt;42826),IF(Table1[Date of Last Assessment]="",Table1[Physical Health],Table1[Physical Health2]),""))</f>
        <v/>
      </c>
      <c r="GK565" s="44" t="str">
        <f>IF(Table1[Leaving Date]="","",IF(AND(Table1[Leaving Date]&gt;42460,Table1[Leaving Date]&lt;42826),IF(Table1[Date of Last Assessment]="",Table1[Emotional and Mental Health],Table1[Emotional and Mental Health2]),""))</f>
        <v/>
      </c>
      <c r="GL565" s="44" t="str">
        <f>IF(Table1[Leaving Date]="","",IF(AND(Table1[Leaving Date]&gt;42460,Table1[Leaving Date]&lt;42826),IF(Table1[Date of Last Assessment]="",Table1[Meaningful Use of Time],Table1[Meaningful Use of Time2]),""))</f>
        <v/>
      </c>
      <c r="GM565" s="44" t="str">
        <f>IF(Table1[Leaving Date]="","",IF(AND(Table1[Leaving Date]&gt;42460,Table1[Leaving Date]&lt;42826),IF(Table1[Date of Last Assessment]="",Table1[Managing Tenancy and Accommodation],Table1[Managing Tenancy and Accommodation2]),""))</f>
        <v/>
      </c>
      <c r="GN565" s="44" t="str">
        <f>IF(Table1[Leaving Date]="","",IF(AND(Table1[Leaving Date]&gt;42460,Table1[Leaving Date]&lt;42826),IF(Table1[Date of Last Assessment]="",Table1[Offending],Table1[Offending2]),""))</f>
        <v/>
      </c>
    </row>
    <row r="566" spans="2:196" ht="20.100000000000001" customHeight="1" x14ac:dyDescent="0.2">
      <c r="B566" s="86">
        <f>+'Service Data'!$C$5:$C$5</f>
        <v>0</v>
      </c>
      <c r="C566" s="86"/>
      <c r="D566" s="86"/>
      <c r="E566" s="86"/>
      <c r="F566" s="86"/>
      <c r="G566" s="86"/>
      <c r="H566" s="6"/>
      <c r="I566" s="99" t="str">
        <f ca="1">IF(Table1[[#This Row],[Date of Birth]]="","",SUM(TODAY()-Table1[[#This Row],[Date of Birth]])/365)</f>
        <v/>
      </c>
      <c r="L566" s="86"/>
      <c r="M566" s="77"/>
      <c r="N566" s="86"/>
      <c r="O566" s="86"/>
      <c r="P566" s="91"/>
      <c r="Q566" s="86"/>
      <c r="R566" s="77"/>
      <c r="S566" s="77"/>
      <c r="T566" s="68"/>
      <c r="U566" s="68"/>
      <c r="V566" s="67"/>
      <c r="W566" s="67"/>
      <c r="X566" s="67"/>
      <c r="Y566" s="67"/>
      <c r="Z566" s="67"/>
      <c r="AA566" s="67"/>
      <c r="AB566" s="67"/>
      <c r="AC566" s="67"/>
      <c r="AD566" s="67"/>
      <c r="AE566" s="67"/>
      <c r="AF566" s="67"/>
      <c r="AG566" s="67"/>
      <c r="AH566" s="67"/>
      <c r="AI566" s="67"/>
      <c r="AJ566" s="67"/>
      <c r="AK566" s="67"/>
      <c r="AL566" s="67"/>
      <c r="AM566" s="67"/>
      <c r="AN566" s="77"/>
      <c r="AO566" s="76"/>
      <c r="AP566" s="77"/>
      <c r="AQ566" s="76"/>
      <c r="AR566" s="76"/>
      <c r="AS566" s="76"/>
      <c r="AT566" s="76"/>
      <c r="AU566" s="76"/>
      <c r="AV566" s="77"/>
      <c r="AW566" s="76"/>
      <c r="AX566" s="77"/>
      <c r="AY566" s="76"/>
      <c r="AZ566" s="76"/>
      <c r="BA566" s="76"/>
      <c r="BB566" s="76"/>
      <c r="BC566" s="76"/>
      <c r="BD566" s="77"/>
      <c r="BE566" s="76"/>
      <c r="BF566" s="77"/>
      <c r="BG566" s="76"/>
      <c r="BH566" s="76"/>
      <c r="BI566" s="76"/>
      <c r="BJ566" s="76"/>
      <c r="BK566" s="76"/>
      <c r="BL566" s="77"/>
      <c r="BM566" s="76"/>
      <c r="BN566" s="77"/>
      <c r="BO566" s="76"/>
      <c r="BP566" s="76"/>
      <c r="BQ566" s="76"/>
      <c r="BR566" s="76"/>
      <c r="BS566" s="76"/>
      <c r="BT566" s="77"/>
      <c r="BU566" s="76"/>
      <c r="BV566" s="77"/>
      <c r="BW566" s="76"/>
      <c r="BX566" s="76"/>
      <c r="BY566" s="76"/>
      <c r="BZ566" s="76"/>
      <c r="CA566" s="76"/>
      <c r="CB566" s="77"/>
      <c r="CC566" s="76"/>
      <c r="CD566" s="77"/>
      <c r="CE566" s="76"/>
      <c r="CF566" s="76"/>
      <c r="CG566" s="76"/>
      <c r="CH566" s="76"/>
      <c r="CI566" s="76"/>
      <c r="CJ566" s="77"/>
      <c r="CK566" s="76"/>
      <c r="CL566" s="77"/>
      <c r="CM566" s="76"/>
      <c r="CN566" s="76"/>
      <c r="CO566" s="76"/>
      <c r="CP566" s="76"/>
      <c r="CQ566" s="76"/>
      <c r="CR566" s="78" t="str">
        <f t="shared" si="143"/>
        <v/>
      </c>
      <c r="CS566" s="79" t="str">
        <f t="shared" si="144"/>
        <v/>
      </c>
      <c r="CT566" s="79" t="str">
        <f t="shared" si="145"/>
        <v/>
      </c>
      <c r="CU566" s="79" t="str">
        <f t="shared" si="146"/>
        <v/>
      </c>
      <c r="CV566" s="79" t="str">
        <f t="shared" si="147"/>
        <v/>
      </c>
      <c r="CW566" s="79" t="str">
        <f t="shared" si="148"/>
        <v/>
      </c>
      <c r="CX566" s="79" t="str">
        <f t="shared" si="149"/>
        <v/>
      </c>
      <c r="CY566" s="79" t="str">
        <f t="shared" si="150"/>
        <v/>
      </c>
      <c r="CZ566" s="79" t="str">
        <f t="shared" si="151"/>
        <v/>
      </c>
      <c r="DA566" s="79" t="str">
        <f t="shared" si="152"/>
        <v/>
      </c>
      <c r="DB566" s="79" t="str">
        <f t="shared" si="153"/>
        <v/>
      </c>
      <c r="DC566" s="79" t="str">
        <f t="shared" si="154"/>
        <v/>
      </c>
      <c r="DD566" s="79" t="str">
        <f t="shared" si="155"/>
        <v/>
      </c>
      <c r="DE566" s="79" t="str">
        <f t="shared" si="156"/>
        <v/>
      </c>
      <c r="DF566" s="79" t="str">
        <f t="shared" si="157"/>
        <v/>
      </c>
      <c r="DG566" s="79" t="str">
        <f t="shared" si="158"/>
        <v/>
      </c>
      <c r="DH566" s="76"/>
      <c r="DI566" s="78"/>
      <c r="DJ566" s="76"/>
      <c r="DK566" s="77"/>
      <c r="DL566" s="77"/>
      <c r="DM566" s="77"/>
      <c r="DN566" s="80"/>
      <c r="DO566" s="80"/>
      <c r="DP566" s="92" t="str">
        <f>IF(Table1[Start Date]="","",IF(Table1[Start Date]&gt;42185,"",IF(AND(Table1[Leaving Date]&gt;1,Table1[Leaving Date]&lt;42095),"",1)))</f>
        <v/>
      </c>
      <c r="DQ566" s="92" t="str">
        <f>IF(Table1[Start Date]="","",IF(Table1[Start Date]&gt;42277,"",IF(AND(Table1[Leaving Date]&gt;1,Table1[Leaving Date]&lt;42186),"",1)))</f>
        <v/>
      </c>
      <c r="DR566" s="92" t="str">
        <f>IF(Table1[Start Date]="","",IF(Table1[Start Date]&gt;42369,"",IF(AND(Table1[Leaving Date]&gt;1,Table1[Leaving Date]&lt;42278),"",1)))</f>
        <v/>
      </c>
      <c r="DS566" s="92" t="str">
        <f>IF(Table1[Start Date]="","",IF(Table1[Start Date]&gt;42460,"",IF(AND(Table1[Leaving Date]&gt;1,Table1[Leaving Date]&lt;42370),"",1)))</f>
        <v/>
      </c>
      <c r="DT566" s="92" t="str">
        <f>IF(Table1[Start Date]="","",IF(Table1[Start Date]&gt;42551,"",IF(AND(Table1[Leaving Date]&gt;1,Table1[Leaving Date]&lt;42461),"",1)))</f>
        <v/>
      </c>
      <c r="DU566" s="92" t="str">
        <f>IF(Table1[Start Date]="","",IF(Table1[Start Date]&gt;42643,"",IF(AND(Table1[Leaving Date]&gt;1,Table1[Leaving Date]&lt;42552),"",1)))</f>
        <v/>
      </c>
      <c r="DV566" s="92" t="str">
        <f>IF(Table1[Start Date]="","",IF(Table1[Start Date]&gt;42735,"",IF(AND(Table1[Leaving Date]&gt;1,Table1[Leaving Date]&lt;42644),"",1)))</f>
        <v/>
      </c>
      <c r="DW566" s="92" t="str">
        <f>IF(Table1[Start Date]="","",IF(Table1[Start Date]&gt;42825,"",IF(AND(Table1[Leaving Date]&gt;1,Table1[Leaving Date]&lt;42736),"",1)))</f>
        <v/>
      </c>
      <c r="DX566"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566" s="44" t="e">
        <f>VLOOKUP(Table1[Referral Source],Lists!$G$2:$H$20,2,FALSE)</f>
        <v>#N/A</v>
      </c>
      <c r="DZ566" s="93" t="e">
        <f>SUM(Table1[Data Referral Quarter]+Table1[Data Referral Source])</f>
        <v>#N/A</v>
      </c>
      <c r="EA566" s="44" t="b">
        <f>IF(Table1[Referral Decision]="Accepted",100,IF(Table1[Referral Decision]="Rejected by Provider",200,IF(Table1[Referral Decision]="Rejected by Applicant",300)))</f>
        <v>0</v>
      </c>
      <c r="EB566" s="44">
        <f>SUM(Table1[Data Referral Quarter]+Table1[Data Referral Decision])</f>
        <v>0</v>
      </c>
      <c r="EC566" s="44" t="b">
        <f>IF(Table1[Start Date]&gt;42735,8000,IF(Table1[Start Date]&gt;42643,7000,IF(Table1[Start Date]&gt;42551,6000,IF(Table1[Start Date]&gt;42460,5000,IF(Table1[Start Date]&gt;42369,4000,IF(Table1[Start Date]&gt;42277,3000,IF(Table1[Start Date]&gt;42185,2000,IF(Table1[Start Date]&gt;42094,1000))))))))</f>
        <v>0</v>
      </c>
      <c r="ED566" s="44" t="str">
        <f>IF(Table1[Start Date]="","",IF(Table1[Current Local Authority]="Swindon",1,"2"))</f>
        <v/>
      </c>
      <c r="EE566" s="44" t="e">
        <f>SUM(Table1[Data Start Date]+Table1[Data Local Authority])</f>
        <v>#VALUE!</v>
      </c>
      <c r="EF566" s="44">
        <f>IF(Table1[Registered with GP]="Yes",1,0)</f>
        <v>0</v>
      </c>
      <c r="EG566" s="44">
        <f>SUM(Table1[Data Start Date]+Table1[Data GP Start])</f>
        <v>0</v>
      </c>
      <c r="EH566" s="44" t="str">
        <f>IF(Table1[EET]="NEET",1,IF(Table1[EET]="Education",2,IF(Table1[EET]="Employment",2,IF(Table1[EET]="Training",2,IF(Table1[EET]="Retired",3,"")))))</f>
        <v/>
      </c>
      <c r="EI566" s="44" t="e">
        <f>Table1[Data Start Date]+Table1[Data EET Start]</f>
        <v>#VALUE!</v>
      </c>
      <c r="EJ566" s="44" t="b">
        <f>IF(Table1[Leaving Date]&gt;42735,8000,IF(Table1[Leaving Date]&gt;42643,7000,IF(Table1[Leaving Date]&gt;42551,6000,IF(Table1[Leaving Date]&gt;42460,5000,IF(Table1[Leaving Date]&gt;42369,4000,IF(Table1[Leaving Date]&gt;42277,3000,IF(Table1[Leaving Date]&gt;42185,2000,IF(Table1[Leaving Date]&gt;42094,1000))))))))</f>
        <v>0</v>
      </c>
      <c r="EK566" s="44" t="e">
        <f>VLOOKUP(Table1[Reason for Leaving],Lists!$T$2:$U$15,2,FALSE)</f>
        <v>#N/A</v>
      </c>
      <c r="EL566" s="44" t="e">
        <f>SUM(Table1[Data Leavers Date]+Table1[Data Move On])</f>
        <v>#N/A</v>
      </c>
      <c r="EM566" s="44" t="b">
        <f>IF(Table1[Registered with GP2]="Yes",1,IF(Table1[Registered with GP2]="No",0,IF(Table1[Registered with GP]="Yes",1,IF(Table1[Registered with GP]="No",0))))</f>
        <v>0</v>
      </c>
      <c r="EN566" s="44">
        <f>SUM(Table1[Data Leavers Date]+Table1[Data GP End])</f>
        <v>0</v>
      </c>
      <c r="EO566" s="44" t="str">
        <f>IF(Table1[EET2]="NEET",1,IF(Table1[EET2]="Employment",2,IF(Table1[EET2]="Education",2,IF(Table1[EET2]="Training",2,IF(Table1[EET2]="Retired",3,IF(Table1[EET]="NEET",1,IF(Table1[EET]="Employment",2,IF(Table1[EET]="Education",2,IF(Table1[EET]="Training",2,IF(Table1[EET]="Retired",3,""))))))))))</f>
        <v/>
      </c>
      <c r="EP566" s="44" t="e">
        <f>+Table1[[#This Row],[Data Leavers Date]]+Table1[[#This Row],[Data EET End]]</f>
        <v>#VALUE!</v>
      </c>
      <c r="EQ566" s="44">
        <f>IF(Table1[Exit Form Received]="Yes",1,0)</f>
        <v>0</v>
      </c>
      <c r="ER566" s="44">
        <f>+Table1[[#This Row],[Data Leavers Date]]+Table1[[#This Row],[Data Exit Forms]]</f>
        <v>0</v>
      </c>
      <c r="ES566" s="44" t="str">
        <f>IF(Table1[Data Leavers Date]=1000,SUM(Table1[Leaving Date]-Table1[Start Date]),"")</f>
        <v/>
      </c>
      <c r="ET566" s="44" t="str">
        <f>IF(Table1[Data Leavers Date]=2000,SUM(Table1[Leaving Date]-Table1[Start Date]),"")</f>
        <v/>
      </c>
      <c r="EU566" s="44" t="str">
        <f>IF(Table1[Data Leavers Date]=3000,SUM(Table1[Leaving Date]-Table1[Start Date]),"")</f>
        <v/>
      </c>
      <c r="EV566" s="44" t="str">
        <f>IF(Table1[Data Leavers Date]=4000,SUM(Table1[Leaving Date]-Table1[Start Date]),"")</f>
        <v/>
      </c>
      <c r="EW566" s="44" t="str">
        <f>IF(Table1[Data Leavers Date]=5000,SUM(Table1[Leaving Date]-Table1[Start Date]),"")</f>
        <v/>
      </c>
      <c r="EX566" s="44" t="str">
        <f>IF(Table1[Data Leavers Date]=6000,SUM(Table1[Leaving Date]-Table1[Start Date]),"")</f>
        <v/>
      </c>
      <c r="EY566" s="44" t="str">
        <f>IF(Table1[Data Leavers Date]=7000,SUM(Table1[Leaving Date]-Table1[Start Date]),"")</f>
        <v/>
      </c>
      <c r="EZ566" s="44" t="str">
        <f>IF(Table1[Data Leavers Date]=8000,SUM(Table1[Leaving Date]-Table1[Start Date]),"")</f>
        <v/>
      </c>
      <c r="FA566" s="44" t="str">
        <f>IF(Table1[Date of Initial Assessment]="","",IF(AND(Table1[Start Date]&gt;42094,Table1[Start Date]&lt;42461),Table1[Motivation and Taking Responsibility],""))</f>
        <v/>
      </c>
      <c r="FB566" s="44" t="str">
        <f>IF(Table1[Date of Initial Assessment]="","",IF(AND(Table1[Start Date]&gt;42094,Table1[Start Date]&lt;42461),Table1[Self-Care and Living Skills],""))</f>
        <v/>
      </c>
      <c r="FC566" s="44" t="str">
        <f>IF(Table1[Date of Initial Assessment]="","",IF(AND(Table1[Start Date]&gt;42094,Table1[Start Date]&lt;42461),Table1[Managing Money and Personal Administration],""))</f>
        <v/>
      </c>
      <c r="FD566" s="44" t="str">
        <f>IF(Table1[Date of Initial Assessment]="","",IF(AND(Table1[Start Date]&gt;42094,Table1[Start Date]&lt;42461),Table1[Social Networks and Relationships],""))</f>
        <v/>
      </c>
      <c r="FE566" s="44" t="str">
        <f>IF(Table1[Date of Initial Assessment]="","",IF(AND(Table1[Start Date]&gt;42094,Table1[Start Date]&lt;42461),Table1[Drug and Alcohol Misuse],""))</f>
        <v/>
      </c>
      <c r="FF566" s="44" t="str">
        <f>IF(Table1[Date of Initial Assessment]="","",IF(AND(Table1[Start Date]&gt;42094,Table1[Start Date]&lt;42461),Table1[Physical Health],""))</f>
        <v/>
      </c>
      <c r="FG566" s="44" t="str">
        <f>IF(Table1[Date of Initial Assessment]="","",IF(AND(Table1[Start Date]&gt;42094,Table1[Start Date]&lt;42461),Table1[Emotional and Mental Health],""))</f>
        <v/>
      </c>
      <c r="FH566" s="44" t="str">
        <f>IF(Table1[Date of Initial Assessment]="","",IF(AND(Table1[Start Date]&gt;42094,Table1[Start Date]&lt;42461),Table1[Meaningful Use of Time],""))</f>
        <v/>
      </c>
      <c r="FI566" s="44" t="str">
        <f>IF(Table1[Date of Initial Assessment]="","",IF(AND(Table1[Start Date]&gt;42094,Table1[Start Date]&lt;42461),Table1[Managing Tenancy and Accommodation],""))</f>
        <v/>
      </c>
      <c r="FJ566" s="44" t="str">
        <f>IF(Table1[Date of Initial Assessment]="","",IF(AND(Table1[Start Date]&gt;42094,Table1[Start Date]&lt;42461),Table1[Offending],""))</f>
        <v/>
      </c>
      <c r="FK566" s="44" t="str">
        <f>IF(Table1[Leaving Date]="","",IF(Table1[Date of Initial Assessment]="","",IF(AND(Table1[Leaving Date]&gt;42094,Table1[Leaving Date]&lt;42461),IF(Table1[Date of Last Assessment]="",Table1[Motivation and Taking Responsibility],Table1[Motivation and Taking Responsibility2]),"")))</f>
        <v/>
      </c>
      <c r="FL566" s="44" t="str">
        <f>IF(Table1[Leaving Date]="","",IF(Table1[Date of Initial Assessment]="","",IF(AND(Table1[Leaving Date]&gt;42094,Table1[Leaving Date]&lt;42461),IF(Table1[Date of Last Assessment]="",Table1[Self-Care and Living Skills],Table1[Self-Care and Living Skills2]),"")))</f>
        <v/>
      </c>
      <c r="FM566" s="44" t="str">
        <f>IF(Table1[Leaving Date]="","",IF(Table1[Date of Initial Assessment]="","",IF(AND(Table1[Leaving Date]&gt;42094,Table1[Leaving Date]&lt;42461),IF(Table1[Date of Last Assessment]="",Table1[Managing Money and Personal Administration],Table1[Managing Money and Personal Administration2]),"")))</f>
        <v/>
      </c>
      <c r="FN566" s="44" t="str">
        <f>IF(Table1[Leaving Date]="","",IF(Table1[Date of Initial Assessment]="","",IF(AND(Table1[Leaving Date]&gt;42094,Table1[Leaving Date]&lt;42461),IF(Table1[Date of Last Assessment]="",Table1[Social Networks and Relationships],Table1[Social Networks and Relationships2]),"")))</f>
        <v/>
      </c>
      <c r="FO566" s="44" t="str">
        <f>IF(Table1[Leaving Date]="","",IF(Table1[Date of Initial Assessment]="","",IF(AND(Table1[Leaving Date]&gt;42094,Table1[Leaving Date]&lt;42461),IF(Table1[Date of Last Assessment]="",Table1[Drug and Alcohol Misuse],Table1[Drug and Alcohol Misuse2]),"")))</f>
        <v/>
      </c>
      <c r="FP566" s="44" t="str">
        <f>IF(Table1[Leaving Date]="","",IF(Table1[Date of Initial Assessment]="","",IF(AND(Table1[Leaving Date]&gt;42094,Table1[Leaving Date]&lt;42461),IF(Table1[Date of Last Assessment]="",Table1[Physical Health],Table1[Physical Health2]),"")))</f>
        <v/>
      </c>
      <c r="FQ566" s="44" t="str">
        <f>IF(Table1[Leaving Date]="","",IF(Table1[Date of Initial Assessment]="","",IF(AND(Table1[Leaving Date]&gt;42094,Table1[Leaving Date]&lt;42461),IF(Table1[Date of Last Assessment]="",Table1[Emotional and Mental Health],Table1[Emotional and Mental Health2]),"")))</f>
        <v/>
      </c>
      <c r="FR566" s="44" t="str">
        <f>IF(Table1[Leaving Date]="","",IF(Table1[Date of Initial Assessment]="","",IF(AND(Table1[Leaving Date]&gt;42094,Table1[Leaving Date]&lt;42461),IF(Table1[Date of Last Assessment]="",Table1[Meaningful Use of Time],Table1[Meaningful Use of Time2]),"")))</f>
        <v/>
      </c>
      <c r="FS566" s="44" t="str">
        <f>IF(Table1[Leaving Date]="","",IF(Table1[Date of Initial Assessment]="","",IF(AND(Table1[Leaving Date]&gt;42094,Table1[Leaving Date]&lt;42461),IF(Table1[Date of Last Assessment]="",Table1[Managing Tenancy and Accommodation],Table1[Managing Tenancy and Accommodation2]),"")))</f>
        <v/>
      </c>
      <c r="FT566" s="44" t="str">
        <f>IF(Table1[Leaving Date]="","",IF(Table1[Date of Initial Assessment]="","",IF(AND(Table1[Leaving Date]&gt;42094,Table1[Leaving Date]&lt;42461),IF(Table1[Date of Last Assessment]="",Table1[Offending],Table1[Offending2]),"")))</f>
        <v/>
      </c>
      <c r="FU566" s="44" t="str">
        <f>IF(Table1[Date of Initial Assessment]="","",IF(AND(Table1[Start Date]&gt;42460,Table1[Start Date]&lt;42826),Table1[Motivation and Taking Responsibility],""))</f>
        <v/>
      </c>
      <c r="FV566" s="44" t="str">
        <f>IF(Table1[Date of Initial Assessment]="","",IF(AND(Table1[Start Date]&gt;42460,Table1[Start Date]&lt;42826),Table1[Self-Care and Living Skills],""))</f>
        <v/>
      </c>
      <c r="FW566" s="44" t="str">
        <f>IF(Table1[Date of Initial Assessment]="","",IF(AND(Table1[Start Date]&gt;42460,Table1[Start Date]&lt;42826),Table1[Managing Money and Personal Administration],""))</f>
        <v/>
      </c>
      <c r="FX566" s="44" t="str">
        <f>IF(Table1[Date of Initial Assessment]="","",IF(AND(Table1[Start Date]&gt;42460,Table1[Start Date]&lt;42826),Table1[Social Networks and Relationships],""))</f>
        <v/>
      </c>
      <c r="FY566" s="44" t="str">
        <f>IF(Table1[Date of Initial Assessment]="","",IF(AND(Table1[Start Date]&gt;42460,Table1[Start Date]&lt;42826),Table1[Drug and Alcohol Misuse],""))</f>
        <v/>
      </c>
      <c r="FZ566" s="44" t="str">
        <f>IF(Table1[Date of Initial Assessment]="","",IF(AND(Table1[Start Date]&gt;42460,Table1[Start Date]&lt;42826),Table1[Physical Health],""))</f>
        <v/>
      </c>
      <c r="GA566" s="44" t="str">
        <f>IF(Table1[Date of Initial Assessment]="","",IF(AND(Table1[Start Date]&gt;42460,Table1[Start Date]&lt;42826),Table1[Emotional and Mental Health],""))</f>
        <v/>
      </c>
      <c r="GB566" s="44" t="str">
        <f>IF(Table1[Date of Initial Assessment]="","",IF(AND(Table1[Start Date]&gt;42460,Table1[Start Date]&lt;42826),Table1[Meaningful Use of Time],""))</f>
        <v/>
      </c>
      <c r="GC566" s="44" t="str">
        <f>IF(Table1[Date of Initial Assessment]="","",IF(AND(Table1[Start Date]&gt;42460,Table1[Start Date]&lt;42826),Table1[Managing Tenancy and Accommodation],""))</f>
        <v/>
      </c>
      <c r="GD566" s="44" t="str">
        <f>IF(Table1[Date of Initial Assessment]="","",IF(AND(Table1[Start Date]&gt;42460,Table1[Start Date]&lt;42826),Table1[Offending],""))</f>
        <v/>
      </c>
      <c r="GE566" s="44" t="str">
        <f>IF(Table1[Leaving Date]="","",IF(AND(Table1[Leaving Date]&gt;42460,Table1[Leaving Date]&lt;42826),IF(Table1[Date of Last Assessment]="",Table1[Motivation and Taking Responsibility],Table1[Motivation and Taking Responsibility2]),""))</f>
        <v/>
      </c>
      <c r="GF566" s="44" t="str">
        <f>IF(Table1[Leaving Date]="","",IF(AND(Table1[Leaving Date]&gt;42460,Table1[Leaving Date]&lt;42826),IF(Table1[Date of Last Assessment]="",Table1[Self-Care and Living Skills],Table1[Self-Care and Living Skills2]),""))</f>
        <v/>
      </c>
      <c r="GG566" s="44" t="str">
        <f>IF(Table1[Leaving Date]="","",IF(AND(Table1[Leaving Date]&gt;42460,Table1[Leaving Date]&lt;42826),IF(Table1[Date of Last Assessment]="",Table1[Managing Money and Personal Administration],Table1[Managing Money and Personal Administration2]),""))</f>
        <v/>
      </c>
      <c r="GH566" s="44" t="str">
        <f>IF(Table1[Leaving Date]="","",IF(AND(Table1[Leaving Date]&gt;42460,Table1[Leaving Date]&lt;42826),IF(Table1[Date of Last Assessment]="",Table1[Social Networks and Relationships],Table1[Social Networks and Relationships2]),""))</f>
        <v/>
      </c>
      <c r="GI566" s="44" t="str">
        <f>IF(Table1[Leaving Date]="","",IF(AND(Table1[Leaving Date]&gt;42460,Table1[Leaving Date]&lt;42826),IF(Table1[Date of Last Assessment]="",Table1[Drug and Alcohol Misuse],Table1[Drug and Alcohol Misuse2]),""))</f>
        <v/>
      </c>
      <c r="GJ566" s="44" t="str">
        <f>IF(Table1[Leaving Date]="","",IF(AND(Table1[Leaving Date]&gt;42460,Table1[Leaving Date]&lt;42826),IF(Table1[Date of Last Assessment]="",Table1[Physical Health],Table1[Physical Health2]),""))</f>
        <v/>
      </c>
      <c r="GK566" s="44" t="str">
        <f>IF(Table1[Leaving Date]="","",IF(AND(Table1[Leaving Date]&gt;42460,Table1[Leaving Date]&lt;42826),IF(Table1[Date of Last Assessment]="",Table1[Emotional and Mental Health],Table1[Emotional and Mental Health2]),""))</f>
        <v/>
      </c>
      <c r="GL566" s="44" t="str">
        <f>IF(Table1[Leaving Date]="","",IF(AND(Table1[Leaving Date]&gt;42460,Table1[Leaving Date]&lt;42826),IF(Table1[Date of Last Assessment]="",Table1[Meaningful Use of Time],Table1[Meaningful Use of Time2]),""))</f>
        <v/>
      </c>
      <c r="GM566" s="44" t="str">
        <f>IF(Table1[Leaving Date]="","",IF(AND(Table1[Leaving Date]&gt;42460,Table1[Leaving Date]&lt;42826),IF(Table1[Date of Last Assessment]="",Table1[Managing Tenancy and Accommodation],Table1[Managing Tenancy and Accommodation2]),""))</f>
        <v/>
      </c>
      <c r="GN566" s="44" t="str">
        <f>IF(Table1[Leaving Date]="","",IF(AND(Table1[Leaving Date]&gt;42460,Table1[Leaving Date]&lt;42826),IF(Table1[Date of Last Assessment]="",Table1[Offending],Table1[Offending2]),""))</f>
        <v/>
      </c>
    </row>
    <row r="567" spans="2:196" ht="20.100000000000001" customHeight="1" x14ac:dyDescent="0.2">
      <c r="B567" s="86">
        <f>+'Service Data'!$C$5:$C$5</f>
        <v>0</v>
      </c>
      <c r="C567" s="86"/>
      <c r="D567" s="86"/>
      <c r="E567" s="86"/>
      <c r="F567" s="86"/>
      <c r="G567" s="86"/>
      <c r="H567" s="6"/>
      <c r="I567" s="99" t="str">
        <f ca="1">IF(Table1[[#This Row],[Date of Birth]]="","",SUM(TODAY()-Table1[[#This Row],[Date of Birth]])/365)</f>
        <v/>
      </c>
      <c r="L567" s="86"/>
      <c r="M567" s="77"/>
      <c r="N567" s="86"/>
      <c r="O567" s="86"/>
      <c r="P567" s="91"/>
      <c r="Q567" s="86"/>
      <c r="R567" s="77"/>
      <c r="S567" s="77"/>
      <c r="T567" s="68"/>
      <c r="U567" s="68"/>
      <c r="V567" s="67"/>
      <c r="W567" s="67"/>
      <c r="X567" s="67"/>
      <c r="Y567" s="67"/>
      <c r="Z567" s="67"/>
      <c r="AA567" s="67"/>
      <c r="AB567" s="67"/>
      <c r="AC567" s="67"/>
      <c r="AD567" s="67"/>
      <c r="AE567" s="67"/>
      <c r="AF567" s="67"/>
      <c r="AG567" s="67"/>
      <c r="AH567" s="67"/>
      <c r="AI567" s="67"/>
      <c r="AJ567" s="67"/>
      <c r="AK567" s="67"/>
      <c r="AL567" s="67"/>
      <c r="AM567" s="67"/>
      <c r="AN567" s="77"/>
      <c r="AO567" s="76"/>
      <c r="AP567" s="77"/>
      <c r="AQ567" s="76"/>
      <c r="AR567" s="76"/>
      <c r="AS567" s="76"/>
      <c r="AT567" s="76"/>
      <c r="AU567" s="76"/>
      <c r="AV567" s="77"/>
      <c r="AW567" s="76"/>
      <c r="AX567" s="77"/>
      <c r="AY567" s="76"/>
      <c r="AZ567" s="76"/>
      <c r="BA567" s="76"/>
      <c r="BB567" s="76"/>
      <c r="BC567" s="76"/>
      <c r="BD567" s="77"/>
      <c r="BE567" s="76"/>
      <c r="BF567" s="77"/>
      <c r="BG567" s="76"/>
      <c r="BH567" s="76"/>
      <c r="BI567" s="76"/>
      <c r="BJ567" s="76"/>
      <c r="BK567" s="76"/>
      <c r="BL567" s="77"/>
      <c r="BM567" s="76"/>
      <c r="BN567" s="77"/>
      <c r="BO567" s="76"/>
      <c r="BP567" s="76"/>
      <c r="BQ567" s="76"/>
      <c r="BR567" s="76"/>
      <c r="BS567" s="76"/>
      <c r="BT567" s="77"/>
      <c r="BU567" s="76"/>
      <c r="BV567" s="77"/>
      <c r="BW567" s="76"/>
      <c r="BX567" s="76"/>
      <c r="BY567" s="76"/>
      <c r="BZ567" s="76"/>
      <c r="CA567" s="76"/>
      <c r="CB567" s="77"/>
      <c r="CC567" s="76"/>
      <c r="CD567" s="77"/>
      <c r="CE567" s="76"/>
      <c r="CF567" s="76"/>
      <c r="CG567" s="76"/>
      <c r="CH567" s="76"/>
      <c r="CI567" s="76"/>
      <c r="CJ567" s="77"/>
      <c r="CK567" s="76"/>
      <c r="CL567" s="77"/>
      <c r="CM567" s="76"/>
      <c r="CN567" s="76"/>
      <c r="CO567" s="76"/>
      <c r="CP567" s="76"/>
      <c r="CQ567" s="76"/>
      <c r="CR567" s="78" t="str">
        <f t="shared" si="143"/>
        <v/>
      </c>
      <c r="CS567" s="79" t="str">
        <f t="shared" si="144"/>
        <v/>
      </c>
      <c r="CT567" s="79" t="str">
        <f t="shared" si="145"/>
        <v/>
      </c>
      <c r="CU567" s="79" t="str">
        <f t="shared" si="146"/>
        <v/>
      </c>
      <c r="CV567" s="79" t="str">
        <f t="shared" si="147"/>
        <v/>
      </c>
      <c r="CW567" s="79" t="str">
        <f t="shared" si="148"/>
        <v/>
      </c>
      <c r="CX567" s="79" t="str">
        <f t="shared" si="149"/>
        <v/>
      </c>
      <c r="CY567" s="79" t="str">
        <f t="shared" si="150"/>
        <v/>
      </c>
      <c r="CZ567" s="79" t="str">
        <f t="shared" si="151"/>
        <v/>
      </c>
      <c r="DA567" s="79" t="str">
        <f t="shared" si="152"/>
        <v/>
      </c>
      <c r="DB567" s="79" t="str">
        <f t="shared" si="153"/>
        <v/>
      </c>
      <c r="DC567" s="79" t="str">
        <f t="shared" si="154"/>
        <v/>
      </c>
      <c r="DD567" s="79" t="str">
        <f t="shared" si="155"/>
        <v/>
      </c>
      <c r="DE567" s="79" t="str">
        <f t="shared" si="156"/>
        <v/>
      </c>
      <c r="DF567" s="79" t="str">
        <f t="shared" si="157"/>
        <v/>
      </c>
      <c r="DG567" s="79" t="str">
        <f t="shared" si="158"/>
        <v/>
      </c>
      <c r="DH567" s="76"/>
      <c r="DI567" s="78"/>
      <c r="DJ567" s="76"/>
      <c r="DK567" s="77"/>
      <c r="DL567" s="77"/>
      <c r="DM567" s="77"/>
      <c r="DN567" s="80"/>
      <c r="DO567" s="80"/>
      <c r="DP567" s="92" t="str">
        <f>IF(Table1[Start Date]="","",IF(Table1[Start Date]&gt;42185,"",IF(AND(Table1[Leaving Date]&gt;1,Table1[Leaving Date]&lt;42095),"",1)))</f>
        <v/>
      </c>
      <c r="DQ567" s="92" t="str">
        <f>IF(Table1[Start Date]="","",IF(Table1[Start Date]&gt;42277,"",IF(AND(Table1[Leaving Date]&gt;1,Table1[Leaving Date]&lt;42186),"",1)))</f>
        <v/>
      </c>
      <c r="DR567" s="92" t="str">
        <f>IF(Table1[Start Date]="","",IF(Table1[Start Date]&gt;42369,"",IF(AND(Table1[Leaving Date]&gt;1,Table1[Leaving Date]&lt;42278),"",1)))</f>
        <v/>
      </c>
      <c r="DS567" s="92" t="str">
        <f>IF(Table1[Start Date]="","",IF(Table1[Start Date]&gt;42460,"",IF(AND(Table1[Leaving Date]&gt;1,Table1[Leaving Date]&lt;42370),"",1)))</f>
        <v/>
      </c>
      <c r="DT567" s="92" t="str">
        <f>IF(Table1[Start Date]="","",IF(Table1[Start Date]&gt;42551,"",IF(AND(Table1[Leaving Date]&gt;1,Table1[Leaving Date]&lt;42461),"",1)))</f>
        <v/>
      </c>
      <c r="DU567" s="92" t="str">
        <f>IF(Table1[Start Date]="","",IF(Table1[Start Date]&gt;42643,"",IF(AND(Table1[Leaving Date]&gt;1,Table1[Leaving Date]&lt;42552),"",1)))</f>
        <v/>
      </c>
      <c r="DV567" s="92" t="str">
        <f>IF(Table1[Start Date]="","",IF(Table1[Start Date]&gt;42735,"",IF(AND(Table1[Leaving Date]&gt;1,Table1[Leaving Date]&lt;42644),"",1)))</f>
        <v/>
      </c>
      <c r="DW567" s="92" t="str">
        <f>IF(Table1[Start Date]="","",IF(Table1[Start Date]&gt;42825,"",IF(AND(Table1[Leaving Date]&gt;1,Table1[Leaving Date]&lt;42736),"",1)))</f>
        <v/>
      </c>
      <c r="DX567"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567" s="44" t="e">
        <f>VLOOKUP(Table1[Referral Source],Lists!$G$2:$H$20,2,FALSE)</f>
        <v>#N/A</v>
      </c>
      <c r="DZ567" s="93" t="e">
        <f>SUM(Table1[Data Referral Quarter]+Table1[Data Referral Source])</f>
        <v>#N/A</v>
      </c>
      <c r="EA567" s="44" t="b">
        <f>IF(Table1[Referral Decision]="Accepted",100,IF(Table1[Referral Decision]="Rejected by Provider",200,IF(Table1[Referral Decision]="Rejected by Applicant",300)))</f>
        <v>0</v>
      </c>
      <c r="EB567" s="44">
        <f>SUM(Table1[Data Referral Quarter]+Table1[Data Referral Decision])</f>
        <v>0</v>
      </c>
      <c r="EC567" s="44" t="b">
        <f>IF(Table1[Start Date]&gt;42735,8000,IF(Table1[Start Date]&gt;42643,7000,IF(Table1[Start Date]&gt;42551,6000,IF(Table1[Start Date]&gt;42460,5000,IF(Table1[Start Date]&gt;42369,4000,IF(Table1[Start Date]&gt;42277,3000,IF(Table1[Start Date]&gt;42185,2000,IF(Table1[Start Date]&gt;42094,1000))))))))</f>
        <v>0</v>
      </c>
      <c r="ED567" s="44" t="str">
        <f>IF(Table1[Start Date]="","",IF(Table1[Current Local Authority]="Swindon",1,"2"))</f>
        <v/>
      </c>
      <c r="EE567" s="44" t="e">
        <f>SUM(Table1[Data Start Date]+Table1[Data Local Authority])</f>
        <v>#VALUE!</v>
      </c>
      <c r="EF567" s="44">
        <f>IF(Table1[Registered with GP]="Yes",1,0)</f>
        <v>0</v>
      </c>
      <c r="EG567" s="44">
        <f>SUM(Table1[Data Start Date]+Table1[Data GP Start])</f>
        <v>0</v>
      </c>
      <c r="EH567" s="44" t="str">
        <f>IF(Table1[EET]="NEET",1,IF(Table1[EET]="Education",2,IF(Table1[EET]="Employment",2,IF(Table1[EET]="Training",2,IF(Table1[EET]="Retired",3,"")))))</f>
        <v/>
      </c>
      <c r="EI567" s="44" t="e">
        <f>Table1[Data Start Date]+Table1[Data EET Start]</f>
        <v>#VALUE!</v>
      </c>
      <c r="EJ567" s="44" t="b">
        <f>IF(Table1[Leaving Date]&gt;42735,8000,IF(Table1[Leaving Date]&gt;42643,7000,IF(Table1[Leaving Date]&gt;42551,6000,IF(Table1[Leaving Date]&gt;42460,5000,IF(Table1[Leaving Date]&gt;42369,4000,IF(Table1[Leaving Date]&gt;42277,3000,IF(Table1[Leaving Date]&gt;42185,2000,IF(Table1[Leaving Date]&gt;42094,1000))))))))</f>
        <v>0</v>
      </c>
      <c r="EK567" s="44" t="e">
        <f>VLOOKUP(Table1[Reason for Leaving],Lists!$T$2:$U$15,2,FALSE)</f>
        <v>#N/A</v>
      </c>
      <c r="EL567" s="44" t="e">
        <f>SUM(Table1[Data Leavers Date]+Table1[Data Move On])</f>
        <v>#N/A</v>
      </c>
      <c r="EM567" s="44" t="b">
        <f>IF(Table1[Registered with GP2]="Yes",1,IF(Table1[Registered with GP2]="No",0,IF(Table1[Registered with GP]="Yes",1,IF(Table1[Registered with GP]="No",0))))</f>
        <v>0</v>
      </c>
      <c r="EN567" s="44">
        <f>SUM(Table1[Data Leavers Date]+Table1[Data GP End])</f>
        <v>0</v>
      </c>
      <c r="EO567" s="44" t="str">
        <f>IF(Table1[EET2]="NEET",1,IF(Table1[EET2]="Employment",2,IF(Table1[EET2]="Education",2,IF(Table1[EET2]="Training",2,IF(Table1[EET2]="Retired",3,IF(Table1[EET]="NEET",1,IF(Table1[EET]="Employment",2,IF(Table1[EET]="Education",2,IF(Table1[EET]="Training",2,IF(Table1[EET]="Retired",3,""))))))))))</f>
        <v/>
      </c>
      <c r="EP567" s="44" t="e">
        <f>+Table1[[#This Row],[Data Leavers Date]]+Table1[[#This Row],[Data EET End]]</f>
        <v>#VALUE!</v>
      </c>
      <c r="EQ567" s="44">
        <f>IF(Table1[Exit Form Received]="Yes",1,0)</f>
        <v>0</v>
      </c>
      <c r="ER567" s="44">
        <f>+Table1[[#This Row],[Data Leavers Date]]+Table1[[#This Row],[Data Exit Forms]]</f>
        <v>0</v>
      </c>
      <c r="ES567" s="44" t="str">
        <f>IF(Table1[Data Leavers Date]=1000,SUM(Table1[Leaving Date]-Table1[Start Date]),"")</f>
        <v/>
      </c>
      <c r="ET567" s="44" t="str">
        <f>IF(Table1[Data Leavers Date]=2000,SUM(Table1[Leaving Date]-Table1[Start Date]),"")</f>
        <v/>
      </c>
      <c r="EU567" s="44" t="str">
        <f>IF(Table1[Data Leavers Date]=3000,SUM(Table1[Leaving Date]-Table1[Start Date]),"")</f>
        <v/>
      </c>
      <c r="EV567" s="44" t="str">
        <f>IF(Table1[Data Leavers Date]=4000,SUM(Table1[Leaving Date]-Table1[Start Date]),"")</f>
        <v/>
      </c>
      <c r="EW567" s="44" t="str">
        <f>IF(Table1[Data Leavers Date]=5000,SUM(Table1[Leaving Date]-Table1[Start Date]),"")</f>
        <v/>
      </c>
      <c r="EX567" s="44" t="str">
        <f>IF(Table1[Data Leavers Date]=6000,SUM(Table1[Leaving Date]-Table1[Start Date]),"")</f>
        <v/>
      </c>
      <c r="EY567" s="44" t="str">
        <f>IF(Table1[Data Leavers Date]=7000,SUM(Table1[Leaving Date]-Table1[Start Date]),"")</f>
        <v/>
      </c>
      <c r="EZ567" s="44" t="str">
        <f>IF(Table1[Data Leavers Date]=8000,SUM(Table1[Leaving Date]-Table1[Start Date]),"")</f>
        <v/>
      </c>
      <c r="FA567" s="44" t="str">
        <f>IF(Table1[Date of Initial Assessment]="","",IF(AND(Table1[Start Date]&gt;42094,Table1[Start Date]&lt;42461),Table1[Motivation and Taking Responsibility],""))</f>
        <v/>
      </c>
      <c r="FB567" s="44" t="str">
        <f>IF(Table1[Date of Initial Assessment]="","",IF(AND(Table1[Start Date]&gt;42094,Table1[Start Date]&lt;42461),Table1[Self-Care and Living Skills],""))</f>
        <v/>
      </c>
      <c r="FC567" s="44" t="str">
        <f>IF(Table1[Date of Initial Assessment]="","",IF(AND(Table1[Start Date]&gt;42094,Table1[Start Date]&lt;42461),Table1[Managing Money and Personal Administration],""))</f>
        <v/>
      </c>
      <c r="FD567" s="44" t="str">
        <f>IF(Table1[Date of Initial Assessment]="","",IF(AND(Table1[Start Date]&gt;42094,Table1[Start Date]&lt;42461),Table1[Social Networks and Relationships],""))</f>
        <v/>
      </c>
      <c r="FE567" s="44" t="str">
        <f>IF(Table1[Date of Initial Assessment]="","",IF(AND(Table1[Start Date]&gt;42094,Table1[Start Date]&lt;42461),Table1[Drug and Alcohol Misuse],""))</f>
        <v/>
      </c>
      <c r="FF567" s="44" t="str">
        <f>IF(Table1[Date of Initial Assessment]="","",IF(AND(Table1[Start Date]&gt;42094,Table1[Start Date]&lt;42461),Table1[Physical Health],""))</f>
        <v/>
      </c>
      <c r="FG567" s="44" t="str">
        <f>IF(Table1[Date of Initial Assessment]="","",IF(AND(Table1[Start Date]&gt;42094,Table1[Start Date]&lt;42461),Table1[Emotional and Mental Health],""))</f>
        <v/>
      </c>
      <c r="FH567" s="44" t="str">
        <f>IF(Table1[Date of Initial Assessment]="","",IF(AND(Table1[Start Date]&gt;42094,Table1[Start Date]&lt;42461),Table1[Meaningful Use of Time],""))</f>
        <v/>
      </c>
      <c r="FI567" s="44" t="str">
        <f>IF(Table1[Date of Initial Assessment]="","",IF(AND(Table1[Start Date]&gt;42094,Table1[Start Date]&lt;42461),Table1[Managing Tenancy and Accommodation],""))</f>
        <v/>
      </c>
      <c r="FJ567" s="44" t="str">
        <f>IF(Table1[Date of Initial Assessment]="","",IF(AND(Table1[Start Date]&gt;42094,Table1[Start Date]&lt;42461),Table1[Offending],""))</f>
        <v/>
      </c>
      <c r="FK567" s="44" t="str">
        <f>IF(Table1[Leaving Date]="","",IF(Table1[Date of Initial Assessment]="","",IF(AND(Table1[Leaving Date]&gt;42094,Table1[Leaving Date]&lt;42461),IF(Table1[Date of Last Assessment]="",Table1[Motivation and Taking Responsibility],Table1[Motivation and Taking Responsibility2]),"")))</f>
        <v/>
      </c>
      <c r="FL567" s="44" t="str">
        <f>IF(Table1[Leaving Date]="","",IF(Table1[Date of Initial Assessment]="","",IF(AND(Table1[Leaving Date]&gt;42094,Table1[Leaving Date]&lt;42461),IF(Table1[Date of Last Assessment]="",Table1[Self-Care and Living Skills],Table1[Self-Care and Living Skills2]),"")))</f>
        <v/>
      </c>
      <c r="FM567" s="44" t="str">
        <f>IF(Table1[Leaving Date]="","",IF(Table1[Date of Initial Assessment]="","",IF(AND(Table1[Leaving Date]&gt;42094,Table1[Leaving Date]&lt;42461),IF(Table1[Date of Last Assessment]="",Table1[Managing Money and Personal Administration],Table1[Managing Money and Personal Administration2]),"")))</f>
        <v/>
      </c>
      <c r="FN567" s="44" t="str">
        <f>IF(Table1[Leaving Date]="","",IF(Table1[Date of Initial Assessment]="","",IF(AND(Table1[Leaving Date]&gt;42094,Table1[Leaving Date]&lt;42461),IF(Table1[Date of Last Assessment]="",Table1[Social Networks and Relationships],Table1[Social Networks and Relationships2]),"")))</f>
        <v/>
      </c>
      <c r="FO567" s="44" t="str">
        <f>IF(Table1[Leaving Date]="","",IF(Table1[Date of Initial Assessment]="","",IF(AND(Table1[Leaving Date]&gt;42094,Table1[Leaving Date]&lt;42461),IF(Table1[Date of Last Assessment]="",Table1[Drug and Alcohol Misuse],Table1[Drug and Alcohol Misuse2]),"")))</f>
        <v/>
      </c>
      <c r="FP567" s="44" t="str">
        <f>IF(Table1[Leaving Date]="","",IF(Table1[Date of Initial Assessment]="","",IF(AND(Table1[Leaving Date]&gt;42094,Table1[Leaving Date]&lt;42461),IF(Table1[Date of Last Assessment]="",Table1[Physical Health],Table1[Physical Health2]),"")))</f>
        <v/>
      </c>
      <c r="FQ567" s="44" t="str">
        <f>IF(Table1[Leaving Date]="","",IF(Table1[Date of Initial Assessment]="","",IF(AND(Table1[Leaving Date]&gt;42094,Table1[Leaving Date]&lt;42461),IF(Table1[Date of Last Assessment]="",Table1[Emotional and Mental Health],Table1[Emotional and Mental Health2]),"")))</f>
        <v/>
      </c>
      <c r="FR567" s="44" t="str">
        <f>IF(Table1[Leaving Date]="","",IF(Table1[Date of Initial Assessment]="","",IF(AND(Table1[Leaving Date]&gt;42094,Table1[Leaving Date]&lt;42461),IF(Table1[Date of Last Assessment]="",Table1[Meaningful Use of Time],Table1[Meaningful Use of Time2]),"")))</f>
        <v/>
      </c>
      <c r="FS567" s="44" t="str">
        <f>IF(Table1[Leaving Date]="","",IF(Table1[Date of Initial Assessment]="","",IF(AND(Table1[Leaving Date]&gt;42094,Table1[Leaving Date]&lt;42461),IF(Table1[Date of Last Assessment]="",Table1[Managing Tenancy and Accommodation],Table1[Managing Tenancy and Accommodation2]),"")))</f>
        <v/>
      </c>
      <c r="FT567" s="44" t="str">
        <f>IF(Table1[Leaving Date]="","",IF(Table1[Date of Initial Assessment]="","",IF(AND(Table1[Leaving Date]&gt;42094,Table1[Leaving Date]&lt;42461),IF(Table1[Date of Last Assessment]="",Table1[Offending],Table1[Offending2]),"")))</f>
        <v/>
      </c>
      <c r="FU567" s="44" t="str">
        <f>IF(Table1[Date of Initial Assessment]="","",IF(AND(Table1[Start Date]&gt;42460,Table1[Start Date]&lt;42826),Table1[Motivation and Taking Responsibility],""))</f>
        <v/>
      </c>
      <c r="FV567" s="44" t="str">
        <f>IF(Table1[Date of Initial Assessment]="","",IF(AND(Table1[Start Date]&gt;42460,Table1[Start Date]&lt;42826),Table1[Self-Care and Living Skills],""))</f>
        <v/>
      </c>
      <c r="FW567" s="44" t="str">
        <f>IF(Table1[Date of Initial Assessment]="","",IF(AND(Table1[Start Date]&gt;42460,Table1[Start Date]&lt;42826),Table1[Managing Money and Personal Administration],""))</f>
        <v/>
      </c>
      <c r="FX567" s="44" t="str">
        <f>IF(Table1[Date of Initial Assessment]="","",IF(AND(Table1[Start Date]&gt;42460,Table1[Start Date]&lt;42826),Table1[Social Networks and Relationships],""))</f>
        <v/>
      </c>
      <c r="FY567" s="44" t="str">
        <f>IF(Table1[Date of Initial Assessment]="","",IF(AND(Table1[Start Date]&gt;42460,Table1[Start Date]&lt;42826),Table1[Drug and Alcohol Misuse],""))</f>
        <v/>
      </c>
      <c r="FZ567" s="44" t="str">
        <f>IF(Table1[Date of Initial Assessment]="","",IF(AND(Table1[Start Date]&gt;42460,Table1[Start Date]&lt;42826),Table1[Physical Health],""))</f>
        <v/>
      </c>
      <c r="GA567" s="44" t="str">
        <f>IF(Table1[Date of Initial Assessment]="","",IF(AND(Table1[Start Date]&gt;42460,Table1[Start Date]&lt;42826),Table1[Emotional and Mental Health],""))</f>
        <v/>
      </c>
      <c r="GB567" s="44" t="str">
        <f>IF(Table1[Date of Initial Assessment]="","",IF(AND(Table1[Start Date]&gt;42460,Table1[Start Date]&lt;42826),Table1[Meaningful Use of Time],""))</f>
        <v/>
      </c>
      <c r="GC567" s="44" t="str">
        <f>IF(Table1[Date of Initial Assessment]="","",IF(AND(Table1[Start Date]&gt;42460,Table1[Start Date]&lt;42826),Table1[Managing Tenancy and Accommodation],""))</f>
        <v/>
      </c>
      <c r="GD567" s="44" t="str">
        <f>IF(Table1[Date of Initial Assessment]="","",IF(AND(Table1[Start Date]&gt;42460,Table1[Start Date]&lt;42826),Table1[Offending],""))</f>
        <v/>
      </c>
      <c r="GE567" s="44" t="str">
        <f>IF(Table1[Leaving Date]="","",IF(AND(Table1[Leaving Date]&gt;42460,Table1[Leaving Date]&lt;42826),IF(Table1[Date of Last Assessment]="",Table1[Motivation and Taking Responsibility],Table1[Motivation and Taking Responsibility2]),""))</f>
        <v/>
      </c>
      <c r="GF567" s="44" t="str">
        <f>IF(Table1[Leaving Date]="","",IF(AND(Table1[Leaving Date]&gt;42460,Table1[Leaving Date]&lt;42826),IF(Table1[Date of Last Assessment]="",Table1[Self-Care and Living Skills],Table1[Self-Care and Living Skills2]),""))</f>
        <v/>
      </c>
      <c r="GG567" s="44" t="str">
        <f>IF(Table1[Leaving Date]="","",IF(AND(Table1[Leaving Date]&gt;42460,Table1[Leaving Date]&lt;42826),IF(Table1[Date of Last Assessment]="",Table1[Managing Money and Personal Administration],Table1[Managing Money and Personal Administration2]),""))</f>
        <v/>
      </c>
      <c r="GH567" s="44" t="str">
        <f>IF(Table1[Leaving Date]="","",IF(AND(Table1[Leaving Date]&gt;42460,Table1[Leaving Date]&lt;42826),IF(Table1[Date of Last Assessment]="",Table1[Social Networks and Relationships],Table1[Social Networks and Relationships2]),""))</f>
        <v/>
      </c>
      <c r="GI567" s="44" t="str">
        <f>IF(Table1[Leaving Date]="","",IF(AND(Table1[Leaving Date]&gt;42460,Table1[Leaving Date]&lt;42826),IF(Table1[Date of Last Assessment]="",Table1[Drug and Alcohol Misuse],Table1[Drug and Alcohol Misuse2]),""))</f>
        <v/>
      </c>
      <c r="GJ567" s="44" t="str">
        <f>IF(Table1[Leaving Date]="","",IF(AND(Table1[Leaving Date]&gt;42460,Table1[Leaving Date]&lt;42826),IF(Table1[Date of Last Assessment]="",Table1[Physical Health],Table1[Physical Health2]),""))</f>
        <v/>
      </c>
      <c r="GK567" s="44" t="str">
        <f>IF(Table1[Leaving Date]="","",IF(AND(Table1[Leaving Date]&gt;42460,Table1[Leaving Date]&lt;42826),IF(Table1[Date of Last Assessment]="",Table1[Emotional and Mental Health],Table1[Emotional and Mental Health2]),""))</f>
        <v/>
      </c>
      <c r="GL567" s="44" t="str">
        <f>IF(Table1[Leaving Date]="","",IF(AND(Table1[Leaving Date]&gt;42460,Table1[Leaving Date]&lt;42826),IF(Table1[Date of Last Assessment]="",Table1[Meaningful Use of Time],Table1[Meaningful Use of Time2]),""))</f>
        <v/>
      </c>
      <c r="GM567" s="44" t="str">
        <f>IF(Table1[Leaving Date]="","",IF(AND(Table1[Leaving Date]&gt;42460,Table1[Leaving Date]&lt;42826),IF(Table1[Date of Last Assessment]="",Table1[Managing Tenancy and Accommodation],Table1[Managing Tenancy and Accommodation2]),""))</f>
        <v/>
      </c>
      <c r="GN567" s="44" t="str">
        <f>IF(Table1[Leaving Date]="","",IF(AND(Table1[Leaving Date]&gt;42460,Table1[Leaving Date]&lt;42826),IF(Table1[Date of Last Assessment]="",Table1[Offending],Table1[Offending2]),""))</f>
        <v/>
      </c>
    </row>
    <row r="568" spans="2:196" ht="20.100000000000001" customHeight="1" x14ac:dyDescent="0.2">
      <c r="B568" s="86">
        <f>+'Service Data'!$C$5:$C$5</f>
        <v>0</v>
      </c>
      <c r="C568" s="86"/>
      <c r="D568" s="86"/>
      <c r="E568" s="86"/>
      <c r="F568" s="86"/>
      <c r="G568" s="86"/>
      <c r="H568" s="6"/>
      <c r="I568" s="99" t="str">
        <f ca="1">IF(Table1[[#This Row],[Date of Birth]]="","",SUM(TODAY()-Table1[[#This Row],[Date of Birth]])/365)</f>
        <v/>
      </c>
      <c r="L568" s="86"/>
      <c r="M568" s="77"/>
      <c r="N568" s="86"/>
      <c r="O568" s="86"/>
      <c r="P568" s="91"/>
      <c r="Q568" s="86"/>
      <c r="R568" s="77"/>
      <c r="S568" s="77"/>
      <c r="T568" s="68"/>
      <c r="U568" s="68"/>
      <c r="V568" s="67"/>
      <c r="W568" s="67"/>
      <c r="X568" s="67"/>
      <c r="Y568" s="67"/>
      <c r="Z568" s="67"/>
      <c r="AA568" s="67"/>
      <c r="AB568" s="67"/>
      <c r="AC568" s="67"/>
      <c r="AD568" s="67"/>
      <c r="AE568" s="67"/>
      <c r="AF568" s="67"/>
      <c r="AG568" s="67"/>
      <c r="AH568" s="67"/>
      <c r="AI568" s="67"/>
      <c r="AJ568" s="67"/>
      <c r="AK568" s="67"/>
      <c r="AL568" s="67"/>
      <c r="AM568" s="67"/>
      <c r="AN568" s="77"/>
      <c r="AO568" s="76"/>
      <c r="AP568" s="77"/>
      <c r="AQ568" s="76"/>
      <c r="AR568" s="76"/>
      <c r="AS568" s="76"/>
      <c r="AT568" s="76"/>
      <c r="AU568" s="76"/>
      <c r="AV568" s="77"/>
      <c r="AW568" s="76"/>
      <c r="AX568" s="77"/>
      <c r="AY568" s="76"/>
      <c r="AZ568" s="76"/>
      <c r="BA568" s="76"/>
      <c r="BB568" s="76"/>
      <c r="BC568" s="76"/>
      <c r="BD568" s="77"/>
      <c r="BE568" s="76"/>
      <c r="BF568" s="77"/>
      <c r="BG568" s="76"/>
      <c r="BH568" s="76"/>
      <c r="BI568" s="76"/>
      <c r="BJ568" s="76"/>
      <c r="BK568" s="76"/>
      <c r="BL568" s="77"/>
      <c r="BM568" s="76"/>
      <c r="BN568" s="77"/>
      <c r="BO568" s="76"/>
      <c r="BP568" s="76"/>
      <c r="BQ568" s="76"/>
      <c r="BR568" s="76"/>
      <c r="BS568" s="76"/>
      <c r="BT568" s="77"/>
      <c r="BU568" s="76"/>
      <c r="BV568" s="77"/>
      <c r="BW568" s="76"/>
      <c r="BX568" s="76"/>
      <c r="BY568" s="76"/>
      <c r="BZ568" s="76"/>
      <c r="CA568" s="76"/>
      <c r="CB568" s="77"/>
      <c r="CC568" s="76"/>
      <c r="CD568" s="77"/>
      <c r="CE568" s="76"/>
      <c r="CF568" s="76"/>
      <c r="CG568" s="76"/>
      <c r="CH568" s="76"/>
      <c r="CI568" s="76"/>
      <c r="CJ568" s="77"/>
      <c r="CK568" s="76"/>
      <c r="CL568" s="77"/>
      <c r="CM568" s="76"/>
      <c r="CN568" s="76"/>
      <c r="CO568" s="76"/>
      <c r="CP568" s="76"/>
      <c r="CQ568" s="76"/>
      <c r="CR568" s="78" t="str">
        <f t="shared" si="143"/>
        <v/>
      </c>
      <c r="CS568" s="79" t="str">
        <f t="shared" si="144"/>
        <v/>
      </c>
      <c r="CT568" s="79" t="str">
        <f t="shared" si="145"/>
        <v/>
      </c>
      <c r="CU568" s="79" t="str">
        <f t="shared" si="146"/>
        <v/>
      </c>
      <c r="CV568" s="79" t="str">
        <f t="shared" si="147"/>
        <v/>
      </c>
      <c r="CW568" s="79" t="str">
        <f t="shared" si="148"/>
        <v/>
      </c>
      <c r="CX568" s="79" t="str">
        <f t="shared" si="149"/>
        <v/>
      </c>
      <c r="CY568" s="79" t="str">
        <f t="shared" si="150"/>
        <v/>
      </c>
      <c r="CZ568" s="79" t="str">
        <f t="shared" si="151"/>
        <v/>
      </c>
      <c r="DA568" s="79" t="str">
        <f t="shared" si="152"/>
        <v/>
      </c>
      <c r="DB568" s="79" t="str">
        <f t="shared" si="153"/>
        <v/>
      </c>
      <c r="DC568" s="79" t="str">
        <f t="shared" si="154"/>
        <v/>
      </c>
      <c r="DD568" s="79" t="str">
        <f t="shared" si="155"/>
        <v/>
      </c>
      <c r="DE568" s="79" t="str">
        <f t="shared" si="156"/>
        <v/>
      </c>
      <c r="DF568" s="79" t="str">
        <f t="shared" si="157"/>
        <v/>
      </c>
      <c r="DG568" s="79" t="str">
        <f t="shared" si="158"/>
        <v/>
      </c>
      <c r="DH568" s="76"/>
      <c r="DI568" s="78"/>
      <c r="DJ568" s="76"/>
      <c r="DK568" s="77"/>
      <c r="DL568" s="77"/>
      <c r="DM568" s="77"/>
      <c r="DN568" s="80"/>
      <c r="DO568" s="80"/>
      <c r="DP568" s="92" t="str">
        <f>IF(Table1[Start Date]="","",IF(Table1[Start Date]&gt;42185,"",IF(AND(Table1[Leaving Date]&gt;1,Table1[Leaving Date]&lt;42095),"",1)))</f>
        <v/>
      </c>
      <c r="DQ568" s="92" t="str">
        <f>IF(Table1[Start Date]="","",IF(Table1[Start Date]&gt;42277,"",IF(AND(Table1[Leaving Date]&gt;1,Table1[Leaving Date]&lt;42186),"",1)))</f>
        <v/>
      </c>
      <c r="DR568" s="92" t="str">
        <f>IF(Table1[Start Date]="","",IF(Table1[Start Date]&gt;42369,"",IF(AND(Table1[Leaving Date]&gt;1,Table1[Leaving Date]&lt;42278),"",1)))</f>
        <v/>
      </c>
      <c r="DS568" s="92" t="str">
        <f>IF(Table1[Start Date]="","",IF(Table1[Start Date]&gt;42460,"",IF(AND(Table1[Leaving Date]&gt;1,Table1[Leaving Date]&lt;42370),"",1)))</f>
        <v/>
      </c>
      <c r="DT568" s="92" t="str">
        <f>IF(Table1[Start Date]="","",IF(Table1[Start Date]&gt;42551,"",IF(AND(Table1[Leaving Date]&gt;1,Table1[Leaving Date]&lt;42461),"",1)))</f>
        <v/>
      </c>
      <c r="DU568" s="92" t="str">
        <f>IF(Table1[Start Date]="","",IF(Table1[Start Date]&gt;42643,"",IF(AND(Table1[Leaving Date]&gt;1,Table1[Leaving Date]&lt;42552),"",1)))</f>
        <v/>
      </c>
      <c r="DV568" s="92" t="str">
        <f>IF(Table1[Start Date]="","",IF(Table1[Start Date]&gt;42735,"",IF(AND(Table1[Leaving Date]&gt;1,Table1[Leaving Date]&lt;42644),"",1)))</f>
        <v/>
      </c>
      <c r="DW568" s="92" t="str">
        <f>IF(Table1[Start Date]="","",IF(Table1[Start Date]&gt;42825,"",IF(AND(Table1[Leaving Date]&gt;1,Table1[Leaving Date]&lt;42736),"",1)))</f>
        <v/>
      </c>
      <c r="DX568"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568" s="44" t="e">
        <f>VLOOKUP(Table1[Referral Source],Lists!$G$2:$H$20,2,FALSE)</f>
        <v>#N/A</v>
      </c>
      <c r="DZ568" s="93" t="e">
        <f>SUM(Table1[Data Referral Quarter]+Table1[Data Referral Source])</f>
        <v>#N/A</v>
      </c>
      <c r="EA568" s="44" t="b">
        <f>IF(Table1[Referral Decision]="Accepted",100,IF(Table1[Referral Decision]="Rejected by Provider",200,IF(Table1[Referral Decision]="Rejected by Applicant",300)))</f>
        <v>0</v>
      </c>
      <c r="EB568" s="44">
        <f>SUM(Table1[Data Referral Quarter]+Table1[Data Referral Decision])</f>
        <v>0</v>
      </c>
      <c r="EC568" s="44" t="b">
        <f>IF(Table1[Start Date]&gt;42735,8000,IF(Table1[Start Date]&gt;42643,7000,IF(Table1[Start Date]&gt;42551,6000,IF(Table1[Start Date]&gt;42460,5000,IF(Table1[Start Date]&gt;42369,4000,IF(Table1[Start Date]&gt;42277,3000,IF(Table1[Start Date]&gt;42185,2000,IF(Table1[Start Date]&gt;42094,1000))))))))</f>
        <v>0</v>
      </c>
      <c r="ED568" s="44" t="str">
        <f>IF(Table1[Start Date]="","",IF(Table1[Current Local Authority]="Swindon",1,"2"))</f>
        <v/>
      </c>
      <c r="EE568" s="44" t="e">
        <f>SUM(Table1[Data Start Date]+Table1[Data Local Authority])</f>
        <v>#VALUE!</v>
      </c>
      <c r="EF568" s="44">
        <f>IF(Table1[Registered with GP]="Yes",1,0)</f>
        <v>0</v>
      </c>
      <c r="EG568" s="44">
        <f>SUM(Table1[Data Start Date]+Table1[Data GP Start])</f>
        <v>0</v>
      </c>
      <c r="EH568" s="44" t="str">
        <f>IF(Table1[EET]="NEET",1,IF(Table1[EET]="Education",2,IF(Table1[EET]="Employment",2,IF(Table1[EET]="Training",2,IF(Table1[EET]="Retired",3,"")))))</f>
        <v/>
      </c>
      <c r="EI568" s="44" t="e">
        <f>Table1[Data Start Date]+Table1[Data EET Start]</f>
        <v>#VALUE!</v>
      </c>
      <c r="EJ568" s="44" t="b">
        <f>IF(Table1[Leaving Date]&gt;42735,8000,IF(Table1[Leaving Date]&gt;42643,7000,IF(Table1[Leaving Date]&gt;42551,6000,IF(Table1[Leaving Date]&gt;42460,5000,IF(Table1[Leaving Date]&gt;42369,4000,IF(Table1[Leaving Date]&gt;42277,3000,IF(Table1[Leaving Date]&gt;42185,2000,IF(Table1[Leaving Date]&gt;42094,1000))))))))</f>
        <v>0</v>
      </c>
      <c r="EK568" s="44" t="e">
        <f>VLOOKUP(Table1[Reason for Leaving],Lists!$T$2:$U$15,2,FALSE)</f>
        <v>#N/A</v>
      </c>
      <c r="EL568" s="44" t="e">
        <f>SUM(Table1[Data Leavers Date]+Table1[Data Move On])</f>
        <v>#N/A</v>
      </c>
      <c r="EM568" s="44" t="b">
        <f>IF(Table1[Registered with GP2]="Yes",1,IF(Table1[Registered with GP2]="No",0,IF(Table1[Registered with GP]="Yes",1,IF(Table1[Registered with GP]="No",0))))</f>
        <v>0</v>
      </c>
      <c r="EN568" s="44">
        <f>SUM(Table1[Data Leavers Date]+Table1[Data GP End])</f>
        <v>0</v>
      </c>
      <c r="EO568" s="44" t="str">
        <f>IF(Table1[EET2]="NEET",1,IF(Table1[EET2]="Employment",2,IF(Table1[EET2]="Education",2,IF(Table1[EET2]="Training",2,IF(Table1[EET2]="Retired",3,IF(Table1[EET]="NEET",1,IF(Table1[EET]="Employment",2,IF(Table1[EET]="Education",2,IF(Table1[EET]="Training",2,IF(Table1[EET]="Retired",3,""))))))))))</f>
        <v/>
      </c>
      <c r="EP568" s="44" t="e">
        <f>+Table1[[#This Row],[Data Leavers Date]]+Table1[[#This Row],[Data EET End]]</f>
        <v>#VALUE!</v>
      </c>
      <c r="EQ568" s="44">
        <f>IF(Table1[Exit Form Received]="Yes",1,0)</f>
        <v>0</v>
      </c>
      <c r="ER568" s="44">
        <f>+Table1[[#This Row],[Data Leavers Date]]+Table1[[#This Row],[Data Exit Forms]]</f>
        <v>0</v>
      </c>
      <c r="ES568" s="44" t="str">
        <f>IF(Table1[Data Leavers Date]=1000,SUM(Table1[Leaving Date]-Table1[Start Date]),"")</f>
        <v/>
      </c>
      <c r="ET568" s="44" t="str">
        <f>IF(Table1[Data Leavers Date]=2000,SUM(Table1[Leaving Date]-Table1[Start Date]),"")</f>
        <v/>
      </c>
      <c r="EU568" s="44" t="str">
        <f>IF(Table1[Data Leavers Date]=3000,SUM(Table1[Leaving Date]-Table1[Start Date]),"")</f>
        <v/>
      </c>
      <c r="EV568" s="44" t="str">
        <f>IF(Table1[Data Leavers Date]=4000,SUM(Table1[Leaving Date]-Table1[Start Date]),"")</f>
        <v/>
      </c>
      <c r="EW568" s="44" t="str">
        <f>IF(Table1[Data Leavers Date]=5000,SUM(Table1[Leaving Date]-Table1[Start Date]),"")</f>
        <v/>
      </c>
      <c r="EX568" s="44" t="str">
        <f>IF(Table1[Data Leavers Date]=6000,SUM(Table1[Leaving Date]-Table1[Start Date]),"")</f>
        <v/>
      </c>
      <c r="EY568" s="44" t="str">
        <f>IF(Table1[Data Leavers Date]=7000,SUM(Table1[Leaving Date]-Table1[Start Date]),"")</f>
        <v/>
      </c>
      <c r="EZ568" s="44" t="str">
        <f>IF(Table1[Data Leavers Date]=8000,SUM(Table1[Leaving Date]-Table1[Start Date]),"")</f>
        <v/>
      </c>
      <c r="FA568" s="44" t="str">
        <f>IF(Table1[Date of Initial Assessment]="","",IF(AND(Table1[Start Date]&gt;42094,Table1[Start Date]&lt;42461),Table1[Motivation and Taking Responsibility],""))</f>
        <v/>
      </c>
      <c r="FB568" s="44" t="str">
        <f>IF(Table1[Date of Initial Assessment]="","",IF(AND(Table1[Start Date]&gt;42094,Table1[Start Date]&lt;42461),Table1[Self-Care and Living Skills],""))</f>
        <v/>
      </c>
      <c r="FC568" s="44" t="str">
        <f>IF(Table1[Date of Initial Assessment]="","",IF(AND(Table1[Start Date]&gt;42094,Table1[Start Date]&lt;42461),Table1[Managing Money and Personal Administration],""))</f>
        <v/>
      </c>
      <c r="FD568" s="44" t="str">
        <f>IF(Table1[Date of Initial Assessment]="","",IF(AND(Table1[Start Date]&gt;42094,Table1[Start Date]&lt;42461),Table1[Social Networks and Relationships],""))</f>
        <v/>
      </c>
      <c r="FE568" s="44" t="str">
        <f>IF(Table1[Date of Initial Assessment]="","",IF(AND(Table1[Start Date]&gt;42094,Table1[Start Date]&lt;42461),Table1[Drug and Alcohol Misuse],""))</f>
        <v/>
      </c>
      <c r="FF568" s="44" t="str">
        <f>IF(Table1[Date of Initial Assessment]="","",IF(AND(Table1[Start Date]&gt;42094,Table1[Start Date]&lt;42461),Table1[Physical Health],""))</f>
        <v/>
      </c>
      <c r="FG568" s="44" t="str">
        <f>IF(Table1[Date of Initial Assessment]="","",IF(AND(Table1[Start Date]&gt;42094,Table1[Start Date]&lt;42461),Table1[Emotional and Mental Health],""))</f>
        <v/>
      </c>
      <c r="FH568" s="44" t="str">
        <f>IF(Table1[Date of Initial Assessment]="","",IF(AND(Table1[Start Date]&gt;42094,Table1[Start Date]&lt;42461),Table1[Meaningful Use of Time],""))</f>
        <v/>
      </c>
      <c r="FI568" s="44" t="str">
        <f>IF(Table1[Date of Initial Assessment]="","",IF(AND(Table1[Start Date]&gt;42094,Table1[Start Date]&lt;42461),Table1[Managing Tenancy and Accommodation],""))</f>
        <v/>
      </c>
      <c r="FJ568" s="44" t="str">
        <f>IF(Table1[Date of Initial Assessment]="","",IF(AND(Table1[Start Date]&gt;42094,Table1[Start Date]&lt;42461),Table1[Offending],""))</f>
        <v/>
      </c>
      <c r="FK568" s="44" t="str">
        <f>IF(Table1[Leaving Date]="","",IF(Table1[Date of Initial Assessment]="","",IF(AND(Table1[Leaving Date]&gt;42094,Table1[Leaving Date]&lt;42461),IF(Table1[Date of Last Assessment]="",Table1[Motivation and Taking Responsibility],Table1[Motivation and Taking Responsibility2]),"")))</f>
        <v/>
      </c>
      <c r="FL568" s="44" t="str">
        <f>IF(Table1[Leaving Date]="","",IF(Table1[Date of Initial Assessment]="","",IF(AND(Table1[Leaving Date]&gt;42094,Table1[Leaving Date]&lt;42461),IF(Table1[Date of Last Assessment]="",Table1[Self-Care and Living Skills],Table1[Self-Care and Living Skills2]),"")))</f>
        <v/>
      </c>
      <c r="FM568" s="44" t="str">
        <f>IF(Table1[Leaving Date]="","",IF(Table1[Date of Initial Assessment]="","",IF(AND(Table1[Leaving Date]&gt;42094,Table1[Leaving Date]&lt;42461),IF(Table1[Date of Last Assessment]="",Table1[Managing Money and Personal Administration],Table1[Managing Money and Personal Administration2]),"")))</f>
        <v/>
      </c>
      <c r="FN568" s="44" t="str">
        <f>IF(Table1[Leaving Date]="","",IF(Table1[Date of Initial Assessment]="","",IF(AND(Table1[Leaving Date]&gt;42094,Table1[Leaving Date]&lt;42461),IF(Table1[Date of Last Assessment]="",Table1[Social Networks and Relationships],Table1[Social Networks and Relationships2]),"")))</f>
        <v/>
      </c>
      <c r="FO568" s="44" t="str">
        <f>IF(Table1[Leaving Date]="","",IF(Table1[Date of Initial Assessment]="","",IF(AND(Table1[Leaving Date]&gt;42094,Table1[Leaving Date]&lt;42461),IF(Table1[Date of Last Assessment]="",Table1[Drug and Alcohol Misuse],Table1[Drug and Alcohol Misuse2]),"")))</f>
        <v/>
      </c>
      <c r="FP568" s="44" t="str">
        <f>IF(Table1[Leaving Date]="","",IF(Table1[Date of Initial Assessment]="","",IF(AND(Table1[Leaving Date]&gt;42094,Table1[Leaving Date]&lt;42461),IF(Table1[Date of Last Assessment]="",Table1[Physical Health],Table1[Physical Health2]),"")))</f>
        <v/>
      </c>
      <c r="FQ568" s="44" t="str">
        <f>IF(Table1[Leaving Date]="","",IF(Table1[Date of Initial Assessment]="","",IF(AND(Table1[Leaving Date]&gt;42094,Table1[Leaving Date]&lt;42461),IF(Table1[Date of Last Assessment]="",Table1[Emotional and Mental Health],Table1[Emotional and Mental Health2]),"")))</f>
        <v/>
      </c>
      <c r="FR568" s="44" t="str">
        <f>IF(Table1[Leaving Date]="","",IF(Table1[Date of Initial Assessment]="","",IF(AND(Table1[Leaving Date]&gt;42094,Table1[Leaving Date]&lt;42461),IF(Table1[Date of Last Assessment]="",Table1[Meaningful Use of Time],Table1[Meaningful Use of Time2]),"")))</f>
        <v/>
      </c>
      <c r="FS568" s="44" t="str">
        <f>IF(Table1[Leaving Date]="","",IF(Table1[Date of Initial Assessment]="","",IF(AND(Table1[Leaving Date]&gt;42094,Table1[Leaving Date]&lt;42461),IF(Table1[Date of Last Assessment]="",Table1[Managing Tenancy and Accommodation],Table1[Managing Tenancy and Accommodation2]),"")))</f>
        <v/>
      </c>
      <c r="FT568" s="44" t="str">
        <f>IF(Table1[Leaving Date]="","",IF(Table1[Date of Initial Assessment]="","",IF(AND(Table1[Leaving Date]&gt;42094,Table1[Leaving Date]&lt;42461),IF(Table1[Date of Last Assessment]="",Table1[Offending],Table1[Offending2]),"")))</f>
        <v/>
      </c>
      <c r="FU568" s="44" t="str">
        <f>IF(Table1[Date of Initial Assessment]="","",IF(AND(Table1[Start Date]&gt;42460,Table1[Start Date]&lt;42826),Table1[Motivation and Taking Responsibility],""))</f>
        <v/>
      </c>
      <c r="FV568" s="44" t="str">
        <f>IF(Table1[Date of Initial Assessment]="","",IF(AND(Table1[Start Date]&gt;42460,Table1[Start Date]&lt;42826),Table1[Self-Care and Living Skills],""))</f>
        <v/>
      </c>
      <c r="FW568" s="44" t="str">
        <f>IF(Table1[Date of Initial Assessment]="","",IF(AND(Table1[Start Date]&gt;42460,Table1[Start Date]&lt;42826),Table1[Managing Money and Personal Administration],""))</f>
        <v/>
      </c>
      <c r="FX568" s="44" t="str">
        <f>IF(Table1[Date of Initial Assessment]="","",IF(AND(Table1[Start Date]&gt;42460,Table1[Start Date]&lt;42826),Table1[Social Networks and Relationships],""))</f>
        <v/>
      </c>
      <c r="FY568" s="44" t="str">
        <f>IF(Table1[Date of Initial Assessment]="","",IF(AND(Table1[Start Date]&gt;42460,Table1[Start Date]&lt;42826),Table1[Drug and Alcohol Misuse],""))</f>
        <v/>
      </c>
      <c r="FZ568" s="44" t="str">
        <f>IF(Table1[Date of Initial Assessment]="","",IF(AND(Table1[Start Date]&gt;42460,Table1[Start Date]&lt;42826),Table1[Physical Health],""))</f>
        <v/>
      </c>
      <c r="GA568" s="44" t="str">
        <f>IF(Table1[Date of Initial Assessment]="","",IF(AND(Table1[Start Date]&gt;42460,Table1[Start Date]&lt;42826),Table1[Emotional and Mental Health],""))</f>
        <v/>
      </c>
      <c r="GB568" s="44" t="str">
        <f>IF(Table1[Date of Initial Assessment]="","",IF(AND(Table1[Start Date]&gt;42460,Table1[Start Date]&lt;42826),Table1[Meaningful Use of Time],""))</f>
        <v/>
      </c>
      <c r="GC568" s="44" t="str">
        <f>IF(Table1[Date of Initial Assessment]="","",IF(AND(Table1[Start Date]&gt;42460,Table1[Start Date]&lt;42826),Table1[Managing Tenancy and Accommodation],""))</f>
        <v/>
      </c>
      <c r="GD568" s="44" t="str">
        <f>IF(Table1[Date of Initial Assessment]="","",IF(AND(Table1[Start Date]&gt;42460,Table1[Start Date]&lt;42826),Table1[Offending],""))</f>
        <v/>
      </c>
      <c r="GE568" s="44" t="str">
        <f>IF(Table1[Leaving Date]="","",IF(AND(Table1[Leaving Date]&gt;42460,Table1[Leaving Date]&lt;42826),IF(Table1[Date of Last Assessment]="",Table1[Motivation and Taking Responsibility],Table1[Motivation and Taking Responsibility2]),""))</f>
        <v/>
      </c>
      <c r="GF568" s="44" t="str">
        <f>IF(Table1[Leaving Date]="","",IF(AND(Table1[Leaving Date]&gt;42460,Table1[Leaving Date]&lt;42826),IF(Table1[Date of Last Assessment]="",Table1[Self-Care and Living Skills],Table1[Self-Care and Living Skills2]),""))</f>
        <v/>
      </c>
      <c r="GG568" s="44" t="str">
        <f>IF(Table1[Leaving Date]="","",IF(AND(Table1[Leaving Date]&gt;42460,Table1[Leaving Date]&lt;42826),IF(Table1[Date of Last Assessment]="",Table1[Managing Money and Personal Administration],Table1[Managing Money and Personal Administration2]),""))</f>
        <v/>
      </c>
      <c r="GH568" s="44" t="str">
        <f>IF(Table1[Leaving Date]="","",IF(AND(Table1[Leaving Date]&gt;42460,Table1[Leaving Date]&lt;42826),IF(Table1[Date of Last Assessment]="",Table1[Social Networks and Relationships],Table1[Social Networks and Relationships2]),""))</f>
        <v/>
      </c>
      <c r="GI568" s="44" t="str">
        <f>IF(Table1[Leaving Date]="","",IF(AND(Table1[Leaving Date]&gt;42460,Table1[Leaving Date]&lt;42826),IF(Table1[Date of Last Assessment]="",Table1[Drug and Alcohol Misuse],Table1[Drug and Alcohol Misuse2]),""))</f>
        <v/>
      </c>
      <c r="GJ568" s="44" t="str">
        <f>IF(Table1[Leaving Date]="","",IF(AND(Table1[Leaving Date]&gt;42460,Table1[Leaving Date]&lt;42826),IF(Table1[Date of Last Assessment]="",Table1[Physical Health],Table1[Physical Health2]),""))</f>
        <v/>
      </c>
      <c r="GK568" s="44" t="str">
        <f>IF(Table1[Leaving Date]="","",IF(AND(Table1[Leaving Date]&gt;42460,Table1[Leaving Date]&lt;42826),IF(Table1[Date of Last Assessment]="",Table1[Emotional and Mental Health],Table1[Emotional and Mental Health2]),""))</f>
        <v/>
      </c>
      <c r="GL568" s="44" t="str">
        <f>IF(Table1[Leaving Date]="","",IF(AND(Table1[Leaving Date]&gt;42460,Table1[Leaving Date]&lt;42826),IF(Table1[Date of Last Assessment]="",Table1[Meaningful Use of Time],Table1[Meaningful Use of Time2]),""))</f>
        <v/>
      </c>
      <c r="GM568" s="44" t="str">
        <f>IF(Table1[Leaving Date]="","",IF(AND(Table1[Leaving Date]&gt;42460,Table1[Leaving Date]&lt;42826),IF(Table1[Date of Last Assessment]="",Table1[Managing Tenancy and Accommodation],Table1[Managing Tenancy and Accommodation2]),""))</f>
        <v/>
      </c>
      <c r="GN568" s="44" t="str">
        <f>IF(Table1[Leaving Date]="","",IF(AND(Table1[Leaving Date]&gt;42460,Table1[Leaving Date]&lt;42826),IF(Table1[Date of Last Assessment]="",Table1[Offending],Table1[Offending2]),""))</f>
        <v/>
      </c>
    </row>
    <row r="569" spans="2:196" ht="20.100000000000001" customHeight="1" x14ac:dyDescent="0.2">
      <c r="B569" s="86">
        <f>+'Service Data'!$C$5:$C$5</f>
        <v>0</v>
      </c>
      <c r="C569" s="86"/>
      <c r="D569" s="86"/>
      <c r="E569" s="86"/>
      <c r="F569" s="86"/>
      <c r="G569" s="86"/>
      <c r="H569" s="6"/>
      <c r="I569" s="99" t="str">
        <f ca="1">IF(Table1[[#This Row],[Date of Birth]]="","",SUM(TODAY()-Table1[[#This Row],[Date of Birth]])/365)</f>
        <v/>
      </c>
      <c r="L569" s="86"/>
      <c r="M569" s="77"/>
      <c r="N569" s="86"/>
      <c r="O569" s="86"/>
      <c r="P569" s="91"/>
      <c r="Q569" s="86"/>
      <c r="R569" s="77"/>
      <c r="S569" s="77"/>
      <c r="T569" s="68"/>
      <c r="U569" s="68"/>
      <c r="V569" s="67"/>
      <c r="W569" s="67"/>
      <c r="X569" s="67"/>
      <c r="Y569" s="67"/>
      <c r="Z569" s="67"/>
      <c r="AA569" s="67"/>
      <c r="AB569" s="67"/>
      <c r="AC569" s="67"/>
      <c r="AD569" s="67"/>
      <c r="AE569" s="67"/>
      <c r="AF569" s="67"/>
      <c r="AG569" s="67"/>
      <c r="AH569" s="67"/>
      <c r="AI569" s="67"/>
      <c r="AJ569" s="67"/>
      <c r="AK569" s="67"/>
      <c r="AL569" s="67"/>
      <c r="AM569" s="67"/>
      <c r="AN569" s="77"/>
      <c r="AO569" s="76"/>
      <c r="AP569" s="77"/>
      <c r="AQ569" s="76"/>
      <c r="AR569" s="76"/>
      <c r="AS569" s="76"/>
      <c r="AT569" s="76"/>
      <c r="AU569" s="76"/>
      <c r="AV569" s="77"/>
      <c r="AW569" s="76"/>
      <c r="AX569" s="77"/>
      <c r="AY569" s="76"/>
      <c r="AZ569" s="76"/>
      <c r="BA569" s="76"/>
      <c r="BB569" s="76"/>
      <c r="BC569" s="76"/>
      <c r="BD569" s="77"/>
      <c r="BE569" s="76"/>
      <c r="BF569" s="77"/>
      <c r="BG569" s="76"/>
      <c r="BH569" s="76"/>
      <c r="BI569" s="76"/>
      <c r="BJ569" s="76"/>
      <c r="BK569" s="76"/>
      <c r="BL569" s="77"/>
      <c r="BM569" s="76"/>
      <c r="BN569" s="77"/>
      <c r="BO569" s="76"/>
      <c r="BP569" s="76"/>
      <c r="BQ569" s="76"/>
      <c r="BR569" s="76"/>
      <c r="BS569" s="76"/>
      <c r="BT569" s="77"/>
      <c r="BU569" s="76"/>
      <c r="BV569" s="77"/>
      <c r="BW569" s="76"/>
      <c r="BX569" s="76"/>
      <c r="BY569" s="76"/>
      <c r="BZ569" s="76"/>
      <c r="CA569" s="76"/>
      <c r="CB569" s="77"/>
      <c r="CC569" s="76"/>
      <c r="CD569" s="77"/>
      <c r="CE569" s="76"/>
      <c r="CF569" s="76"/>
      <c r="CG569" s="76"/>
      <c r="CH569" s="76"/>
      <c r="CI569" s="76"/>
      <c r="CJ569" s="77"/>
      <c r="CK569" s="76"/>
      <c r="CL569" s="77"/>
      <c r="CM569" s="76"/>
      <c r="CN569" s="76"/>
      <c r="CO569" s="76"/>
      <c r="CP569" s="76"/>
      <c r="CQ569" s="76"/>
      <c r="CR569" s="78" t="str">
        <f t="shared" si="143"/>
        <v/>
      </c>
      <c r="CS569" s="79" t="str">
        <f t="shared" si="144"/>
        <v/>
      </c>
      <c r="CT569" s="79" t="str">
        <f t="shared" si="145"/>
        <v/>
      </c>
      <c r="CU569" s="79" t="str">
        <f t="shared" si="146"/>
        <v/>
      </c>
      <c r="CV569" s="79" t="str">
        <f t="shared" si="147"/>
        <v/>
      </c>
      <c r="CW569" s="79" t="str">
        <f t="shared" si="148"/>
        <v/>
      </c>
      <c r="CX569" s="79" t="str">
        <f t="shared" si="149"/>
        <v/>
      </c>
      <c r="CY569" s="79" t="str">
        <f t="shared" si="150"/>
        <v/>
      </c>
      <c r="CZ569" s="79" t="str">
        <f t="shared" si="151"/>
        <v/>
      </c>
      <c r="DA569" s="79" t="str">
        <f t="shared" si="152"/>
        <v/>
      </c>
      <c r="DB569" s="79" t="str">
        <f t="shared" si="153"/>
        <v/>
      </c>
      <c r="DC569" s="79" t="str">
        <f t="shared" si="154"/>
        <v/>
      </c>
      <c r="DD569" s="79" t="str">
        <f t="shared" si="155"/>
        <v/>
      </c>
      <c r="DE569" s="79" t="str">
        <f t="shared" si="156"/>
        <v/>
      </c>
      <c r="DF569" s="79" t="str">
        <f t="shared" si="157"/>
        <v/>
      </c>
      <c r="DG569" s="79" t="str">
        <f t="shared" si="158"/>
        <v/>
      </c>
      <c r="DH569" s="76"/>
      <c r="DI569" s="78"/>
      <c r="DJ569" s="76"/>
      <c r="DK569" s="77"/>
      <c r="DL569" s="77"/>
      <c r="DM569" s="77"/>
      <c r="DN569" s="80"/>
      <c r="DO569" s="80"/>
      <c r="DP569" s="92" t="str">
        <f>IF(Table1[Start Date]="","",IF(Table1[Start Date]&gt;42185,"",IF(AND(Table1[Leaving Date]&gt;1,Table1[Leaving Date]&lt;42095),"",1)))</f>
        <v/>
      </c>
      <c r="DQ569" s="92" t="str">
        <f>IF(Table1[Start Date]="","",IF(Table1[Start Date]&gt;42277,"",IF(AND(Table1[Leaving Date]&gt;1,Table1[Leaving Date]&lt;42186),"",1)))</f>
        <v/>
      </c>
      <c r="DR569" s="92" t="str">
        <f>IF(Table1[Start Date]="","",IF(Table1[Start Date]&gt;42369,"",IF(AND(Table1[Leaving Date]&gt;1,Table1[Leaving Date]&lt;42278),"",1)))</f>
        <v/>
      </c>
      <c r="DS569" s="92" t="str">
        <f>IF(Table1[Start Date]="","",IF(Table1[Start Date]&gt;42460,"",IF(AND(Table1[Leaving Date]&gt;1,Table1[Leaving Date]&lt;42370),"",1)))</f>
        <v/>
      </c>
      <c r="DT569" s="92" t="str">
        <f>IF(Table1[Start Date]="","",IF(Table1[Start Date]&gt;42551,"",IF(AND(Table1[Leaving Date]&gt;1,Table1[Leaving Date]&lt;42461),"",1)))</f>
        <v/>
      </c>
      <c r="DU569" s="92" t="str">
        <f>IF(Table1[Start Date]="","",IF(Table1[Start Date]&gt;42643,"",IF(AND(Table1[Leaving Date]&gt;1,Table1[Leaving Date]&lt;42552),"",1)))</f>
        <v/>
      </c>
      <c r="DV569" s="92" t="str">
        <f>IF(Table1[Start Date]="","",IF(Table1[Start Date]&gt;42735,"",IF(AND(Table1[Leaving Date]&gt;1,Table1[Leaving Date]&lt;42644),"",1)))</f>
        <v/>
      </c>
      <c r="DW569" s="92" t="str">
        <f>IF(Table1[Start Date]="","",IF(Table1[Start Date]&gt;42825,"",IF(AND(Table1[Leaving Date]&gt;1,Table1[Leaving Date]&lt;42736),"",1)))</f>
        <v/>
      </c>
      <c r="DX569"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569" s="44" t="e">
        <f>VLOOKUP(Table1[Referral Source],Lists!$G$2:$H$20,2,FALSE)</f>
        <v>#N/A</v>
      </c>
      <c r="DZ569" s="93" t="e">
        <f>SUM(Table1[Data Referral Quarter]+Table1[Data Referral Source])</f>
        <v>#N/A</v>
      </c>
      <c r="EA569" s="44" t="b">
        <f>IF(Table1[Referral Decision]="Accepted",100,IF(Table1[Referral Decision]="Rejected by Provider",200,IF(Table1[Referral Decision]="Rejected by Applicant",300)))</f>
        <v>0</v>
      </c>
      <c r="EB569" s="44">
        <f>SUM(Table1[Data Referral Quarter]+Table1[Data Referral Decision])</f>
        <v>0</v>
      </c>
      <c r="EC569" s="44" t="b">
        <f>IF(Table1[Start Date]&gt;42735,8000,IF(Table1[Start Date]&gt;42643,7000,IF(Table1[Start Date]&gt;42551,6000,IF(Table1[Start Date]&gt;42460,5000,IF(Table1[Start Date]&gt;42369,4000,IF(Table1[Start Date]&gt;42277,3000,IF(Table1[Start Date]&gt;42185,2000,IF(Table1[Start Date]&gt;42094,1000))))))))</f>
        <v>0</v>
      </c>
      <c r="ED569" s="44" t="str">
        <f>IF(Table1[Start Date]="","",IF(Table1[Current Local Authority]="Swindon",1,"2"))</f>
        <v/>
      </c>
      <c r="EE569" s="44" t="e">
        <f>SUM(Table1[Data Start Date]+Table1[Data Local Authority])</f>
        <v>#VALUE!</v>
      </c>
      <c r="EF569" s="44">
        <f>IF(Table1[Registered with GP]="Yes",1,0)</f>
        <v>0</v>
      </c>
      <c r="EG569" s="44">
        <f>SUM(Table1[Data Start Date]+Table1[Data GP Start])</f>
        <v>0</v>
      </c>
      <c r="EH569" s="44" t="str">
        <f>IF(Table1[EET]="NEET",1,IF(Table1[EET]="Education",2,IF(Table1[EET]="Employment",2,IF(Table1[EET]="Training",2,IF(Table1[EET]="Retired",3,"")))))</f>
        <v/>
      </c>
      <c r="EI569" s="44" t="e">
        <f>Table1[Data Start Date]+Table1[Data EET Start]</f>
        <v>#VALUE!</v>
      </c>
      <c r="EJ569" s="44" t="b">
        <f>IF(Table1[Leaving Date]&gt;42735,8000,IF(Table1[Leaving Date]&gt;42643,7000,IF(Table1[Leaving Date]&gt;42551,6000,IF(Table1[Leaving Date]&gt;42460,5000,IF(Table1[Leaving Date]&gt;42369,4000,IF(Table1[Leaving Date]&gt;42277,3000,IF(Table1[Leaving Date]&gt;42185,2000,IF(Table1[Leaving Date]&gt;42094,1000))))))))</f>
        <v>0</v>
      </c>
      <c r="EK569" s="44" t="e">
        <f>VLOOKUP(Table1[Reason for Leaving],Lists!$T$2:$U$15,2,FALSE)</f>
        <v>#N/A</v>
      </c>
      <c r="EL569" s="44" t="e">
        <f>SUM(Table1[Data Leavers Date]+Table1[Data Move On])</f>
        <v>#N/A</v>
      </c>
      <c r="EM569" s="44" t="b">
        <f>IF(Table1[Registered with GP2]="Yes",1,IF(Table1[Registered with GP2]="No",0,IF(Table1[Registered with GP]="Yes",1,IF(Table1[Registered with GP]="No",0))))</f>
        <v>0</v>
      </c>
      <c r="EN569" s="44">
        <f>SUM(Table1[Data Leavers Date]+Table1[Data GP End])</f>
        <v>0</v>
      </c>
      <c r="EO569" s="44" t="str">
        <f>IF(Table1[EET2]="NEET",1,IF(Table1[EET2]="Employment",2,IF(Table1[EET2]="Education",2,IF(Table1[EET2]="Training",2,IF(Table1[EET2]="Retired",3,IF(Table1[EET]="NEET",1,IF(Table1[EET]="Employment",2,IF(Table1[EET]="Education",2,IF(Table1[EET]="Training",2,IF(Table1[EET]="Retired",3,""))))))))))</f>
        <v/>
      </c>
      <c r="EP569" s="44" t="e">
        <f>+Table1[[#This Row],[Data Leavers Date]]+Table1[[#This Row],[Data EET End]]</f>
        <v>#VALUE!</v>
      </c>
      <c r="EQ569" s="44">
        <f>IF(Table1[Exit Form Received]="Yes",1,0)</f>
        <v>0</v>
      </c>
      <c r="ER569" s="44">
        <f>+Table1[[#This Row],[Data Leavers Date]]+Table1[[#This Row],[Data Exit Forms]]</f>
        <v>0</v>
      </c>
      <c r="ES569" s="44" t="str">
        <f>IF(Table1[Data Leavers Date]=1000,SUM(Table1[Leaving Date]-Table1[Start Date]),"")</f>
        <v/>
      </c>
      <c r="ET569" s="44" t="str">
        <f>IF(Table1[Data Leavers Date]=2000,SUM(Table1[Leaving Date]-Table1[Start Date]),"")</f>
        <v/>
      </c>
      <c r="EU569" s="44" t="str">
        <f>IF(Table1[Data Leavers Date]=3000,SUM(Table1[Leaving Date]-Table1[Start Date]),"")</f>
        <v/>
      </c>
      <c r="EV569" s="44" t="str">
        <f>IF(Table1[Data Leavers Date]=4000,SUM(Table1[Leaving Date]-Table1[Start Date]),"")</f>
        <v/>
      </c>
      <c r="EW569" s="44" t="str">
        <f>IF(Table1[Data Leavers Date]=5000,SUM(Table1[Leaving Date]-Table1[Start Date]),"")</f>
        <v/>
      </c>
      <c r="EX569" s="44" t="str">
        <f>IF(Table1[Data Leavers Date]=6000,SUM(Table1[Leaving Date]-Table1[Start Date]),"")</f>
        <v/>
      </c>
      <c r="EY569" s="44" t="str">
        <f>IF(Table1[Data Leavers Date]=7000,SUM(Table1[Leaving Date]-Table1[Start Date]),"")</f>
        <v/>
      </c>
      <c r="EZ569" s="44" t="str">
        <f>IF(Table1[Data Leavers Date]=8000,SUM(Table1[Leaving Date]-Table1[Start Date]),"")</f>
        <v/>
      </c>
      <c r="FA569" s="44" t="str">
        <f>IF(Table1[Date of Initial Assessment]="","",IF(AND(Table1[Start Date]&gt;42094,Table1[Start Date]&lt;42461),Table1[Motivation and Taking Responsibility],""))</f>
        <v/>
      </c>
      <c r="FB569" s="44" t="str">
        <f>IF(Table1[Date of Initial Assessment]="","",IF(AND(Table1[Start Date]&gt;42094,Table1[Start Date]&lt;42461),Table1[Self-Care and Living Skills],""))</f>
        <v/>
      </c>
      <c r="FC569" s="44" t="str">
        <f>IF(Table1[Date of Initial Assessment]="","",IF(AND(Table1[Start Date]&gt;42094,Table1[Start Date]&lt;42461),Table1[Managing Money and Personal Administration],""))</f>
        <v/>
      </c>
      <c r="FD569" s="44" t="str">
        <f>IF(Table1[Date of Initial Assessment]="","",IF(AND(Table1[Start Date]&gt;42094,Table1[Start Date]&lt;42461),Table1[Social Networks and Relationships],""))</f>
        <v/>
      </c>
      <c r="FE569" s="44" t="str">
        <f>IF(Table1[Date of Initial Assessment]="","",IF(AND(Table1[Start Date]&gt;42094,Table1[Start Date]&lt;42461),Table1[Drug and Alcohol Misuse],""))</f>
        <v/>
      </c>
      <c r="FF569" s="44" t="str">
        <f>IF(Table1[Date of Initial Assessment]="","",IF(AND(Table1[Start Date]&gt;42094,Table1[Start Date]&lt;42461),Table1[Physical Health],""))</f>
        <v/>
      </c>
      <c r="FG569" s="44" t="str">
        <f>IF(Table1[Date of Initial Assessment]="","",IF(AND(Table1[Start Date]&gt;42094,Table1[Start Date]&lt;42461),Table1[Emotional and Mental Health],""))</f>
        <v/>
      </c>
      <c r="FH569" s="44" t="str">
        <f>IF(Table1[Date of Initial Assessment]="","",IF(AND(Table1[Start Date]&gt;42094,Table1[Start Date]&lt;42461),Table1[Meaningful Use of Time],""))</f>
        <v/>
      </c>
      <c r="FI569" s="44" t="str">
        <f>IF(Table1[Date of Initial Assessment]="","",IF(AND(Table1[Start Date]&gt;42094,Table1[Start Date]&lt;42461),Table1[Managing Tenancy and Accommodation],""))</f>
        <v/>
      </c>
      <c r="FJ569" s="44" t="str">
        <f>IF(Table1[Date of Initial Assessment]="","",IF(AND(Table1[Start Date]&gt;42094,Table1[Start Date]&lt;42461),Table1[Offending],""))</f>
        <v/>
      </c>
      <c r="FK569" s="44" t="str">
        <f>IF(Table1[Leaving Date]="","",IF(Table1[Date of Initial Assessment]="","",IF(AND(Table1[Leaving Date]&gt;42094,Table1[Leaving Date]&lt;42461),IF(Table1[Date of Last Assessment]="",Table1[Motivation and Taking Responsibility],Table1[Motivation and Taking Responsibility2]),"")))</f>
        <v/>
      </c>
      <c r="FL569" s="44" t="str">
        <f>IF(Table1[Leaving Date]="","",IF(Table1[Date of Initial Assessment]="","",IF(AND(Table1[Leaving Date]&gt;42094,Table1[Leaving Date]&lt;42461),IF(Table1[Date of Last Assessment]="",Table1[Self-Care and Living Skills],Table1[Self-Care and Living Skills2]),"")))</f>
        <v/>
      </c>
      <c r="FM569" s="44" t="str">
        <f>IF(Table1[Leaving Date]="","",IF(Table1[Date of Initial Assessment]="","",IF(AND(Table1[Leaving Date]&gt;42094,Table1[Leaving Date]&lt;42461),IF(Table1[Date of Last Assessment]="",Table1[Managing Money and Personal Administration],Table1[Managing Money and Personal Administration2]),"")))</f>
        <v/>
      </c>
      <c r="FN569" s="44" t="str">
        <f>IF(Table1[Leaving Date]="","",IF(Table1[Date of Initial Assessment]="","",IF(AND(Table1[Leaving Date]&gt;42094,Table1[Leaving Date]&lt;42461),IF(Table1[Date of Last Assessment]="",Table1[Social Networks and Relationships],Table1[Social Networks and Relationships2]),"")))</f>
        <v/>
      </c>
      <c r="FO569" s="44" t="str">
        <f>IF(Table1[Leaving Date]="","",IF(Table1[Date of Initial Assessment]="","",IF(AND(Table1[Leaving Date]&gt;42094,Table1[Leaving Date]&lt;42461),IF(Table1[Date of Last Assessment]="",Table1[Drug and Alcohol Misuse],Table1[Drug and Alcohol Misuse2]),"")))</f>
        <v/>
      </c>
      <c r="FP569" s="44" t="str">
        <f>IF(Table1[Leaving Date]="","",IF(Table1[Date of Initial Assessment]="","",IF(AND(Table1[Leaving Date]&gt;42094,Table1[Leaving Date]&lt;42461),IF(Table1[Date of Last Assessment]="",Table1[Physical Health],Table1[Physical Health2]),"")))</f>
        <v/>
      </c>
      <c r="FQ569" s="44" t="str">
        <f>IF(Table1[Leaving Date]="","",IF(Table1[Date of Initial Assessment]="","",IF(AND(Table1[Leaving Date]&gt;42094,Table1[Leaving Date]&lt;42461),IF(Table1[Date of Last Assessment]="",Table1[Emotional and Mental Health],Table1[Emotional and Mental Health2]),"")))</f>
        <v/>
      </c>
      <c r="FR569" s="44" t="str">
        <f>IF(Table1[Leaving Date]="","",IF(Table1[Date of Initial Assessment]="","",IF(AND(Table1[Leaving Date]&gt;42094,Table1[Leaving Date]&lt;42461),IF(Table1[Date of Last Assessment]="",Table1[Meaningful Use of Time],Table1[Meaningful Use of Time2]),"")))</f>
        <v/>
      </c>
      <c r="FS569" s="44" t="str">
        <f>IF(Table1[Leaving Date]="","",IF(Table1[Date of Initial Assessment]="","",IF(AND(Table1[Leaving Date]&gt;42094,Table1[Leaving Date]&lt;42461),IF(Table1[Date of Last Assessment]="",Table1[Managing Tenancy and Accommodation],Table1[Managing Tenancy and Accommodation2]),"")))</f>
        <v/>
      </c>
      <c r="FT569" s="44" t="str">
        <f>IF(Table1[Leaving Date]="","",IF(Table1[Date of Initial Assessment]="","",IF(AND(Table1[Leaving Date]&gt;42094,Table1[Leaving Date]&lt;42461),IF(Table1[Date of Last Assessment]="",Table1[Offending],Table1[Offending2]),"")))</f>
        <v/>
      </c>
      <c r="FU569" s="44" t="str">
        <f>IF(Table1[Date of Initial Assessment]="","",IF(AND(Table1[Start Date]&gt;42460,Table1[Start Date]&lt;42826),Table1[Motivation and Taking Responsibility],""))</f>
        <v/>
      </c>
      <c r="FV569" s="44" t="str">
        <f>IF(Table1[Date of Initial Assessment]="","",IF(AND(Table1[Start Date]&gt;42460,Table1[Start Date]&lt;42826),Table1[Self-Care and Living Skills],""))</f>
        <v/>
      </c>
      <c r="FW569" s="44" t="str">
        <f>IF(Table1[Date of Initial Assessment]="","",IF(AND(Table1[Start Date]&gt;42460,Table1[Start Date]&lt;42826),Table1[Managing Money and Personal Administration],""))</f>
        <v/>
      </c>
      <c r="FX569" s="44" t="str">
        <f>IF(Table1[Date of Initial Assessment]="","",IF(AND(Table1[Start Date]&gt;42460,Table1[Start Date]&lt;42826),Table1[Social Networks and Relationships],""))</f>
        <v/>
      </c>
      <c r="FY569" s="44" t="str">
        <f>IF(Table1[Date of Initial Assessment]="","",IF(AND(Table1[Start Date]&gt;42460,Table1[Start Date]&lt;42826),Table1[Drug and Alcohol Misuse],""))</f>
        <v/>
      </c>
      <c r="FZ569" s="44" t="str">
        <f>IF(Table1[Date of Initial Assessment]="","",IF(AND(Table1[Start Date]&gt;42460,Table1[Start Date]&lt;42826),Table1[Physical Health],""))</f>
        <v/>
      </c>
      <c r="GA569" s="44" t="str">
        <f>IF(Table1[Date of Initial Assessment]="","",IF(AND(Table1[Start Date]&gt;42460,Table1[Start Date]&lt;42826),Table1[Emotional and Mental Health],""))</f>
        <v/>
      </c>
      <c r="GB569" s="44" t="str">
        <f>IF(Table1[Date of Initial Assessment]="","",IF(AND(Table1[Start Date]&gt;42460,Table1[Start Date]&lt;42826),Table1[Meaningful Use of Time],""))</f>
        <v/>
      </c>
      <c r="GC569" s="44" t="str">
        <f>IF(Table1[Date of Initial Assessment]="","",IF(AND(Table1[Start Date]&gt;42460,Table1[Start Date]&lt;42826),Table1[Managing Tenancy and Accommodation],""))</f>
        <v/>
      </c>
      <c r="GD569" s="44" t="str">
        <f>IF(Table1[Date of Initial Assessment]="","",IF(AND(Table1[Start Date]&gt;42460,Table1[Start Date]&lt;42826),Table1[Offending],""))</f>
        <v/>
      </c>
      <c r="GE569" s="44" t="str">
        <f>IF(Table1[Leaving Date]="","",IF(AND(Table1[Leaving Date]&gt;42460,Table1[Leaving Date]&lt;42826),IF(Table1[Date of Last Assessment]="",Table1[Motivation and Taking Responsibility],Table1[Motivation and Taking Responsibility2]),""))</f>
        <v/>
      </c>
      <c r="GF569" s="44" t="str">
        <f>IF(Table1[Leaving Date]="","",IF(AND(Table1[Leaving Date]&gt;42460,Table1[Leaving Date]&lt;42826),IF(Table1[Date of Last Assessment]="",Table1[Self-Care and Living Skills],Table1[Self-Care and Living Skills2]),""))</f>
        <v/>
      </c>
      <c r="GG569" s="44" t="str">
        <f>IF(Table1[Leaving Date]="","",IF(AND(Table1[Leaving Date]&gt;42460,Table1[Leaving Date]&lt;42826),IF(Table1[Date of Last Assessment]="",Table1[Managing Money and Personal Administration],Table1[Managing Money and Personal Administration2]),""))</f>
        <v/>
      </c>
      <c r="GH569" s="44" t="str">
        <f>IF(Table1[Leaving Date]="","",IF(AND(Table1[Leaving Date]&gt;42460,Table1[Leaving Date]&lt;42826),IF(Table1[Date of Last Assessment]="",Table1[Social Networks and Relationships],Table1[Social Networks and Relationships2]),""))</f>
        <v/>
      </c>
      <c r="GI569" s="44" t="str">
        <f>IF(Table1[Leaving Date]="","",IF(AND(Table1[Leaving Date]&gt;42460,Table1[Leaving Date]&lt;42826),IF(Table1[Date of Last Assessment]="",Table1[Drug and Alcohol Misuse],Table1[Drug and Alcohol Misuse2]),""))</f>
        <v/>
      </c>
      <c r="GJ569" s="44" t="str">
        <f>IF(Table1[Leaving Date]="","",IF(AND(Table1[Leaving Date]&gt;42460,Table1[Leaving Date]&lt;42826),IF(Table1[Date of Last Assessment]="",Table1[Physical Health],Table1[Physical Health2]),""))</f>
        <v/>
      </c>
      <c r="GK569" s="44" t="str">
        <f>IF(Table1[Leaving Date]="","",IF(AND(Table1[Leaving Date]&gt;42460,Table1[Leaving Date]&lt;42826),IF(Table1[Date of Last Assessment]="",Table1[Emotional and Mental Health],Table1[Emotional and Mental Health2]),""))</f>
        <v/>
      </c>
      <c r="GL569" s="44" t="str">
        <f>IF(Table1[Leaving Date]="","",IF(AND(Table1[Leaving Date]&gt;42460,Table1[Leaving Date]&lt;42826),IF(Table1[Date of Last Assessment]="",Table1[Meaningful Use of Time],Table1[Meaningful Use of Time2]),""))</f>
        <v/>
      </c>
      <c r="GM569" s="44" t="str">
        <f>IF(Table1[Leaving Date]="","",IF(AND(Table1[Leaving Date]&gt;42460,Table1[Leaving Date]&lt;42826),IF(Table1[Date of Last Assessment]="",Table1[Managing Tenancy and Accommodation],Table1[Managing Tenancy and Accommodation2]),""))</f>
        <v/>
      </c>
      <c r="GN569" s="44" t="str">
        <f>IF(Table1[Leaving Date]="","",IF(AND(Table1[Leaving Date]&gt;42460,Table1[Leaving Date]&lt;42826),IF(Table1[Date of Last Assessment]="",Table1[Offending],Table1[Offending2]),""))</f>
        <v/>
      </c>
    </row>
    <row r="570" spans="2:196" ht="20.100000000000001" customHeight="1" x14ac:dyDescent="0.2">
      <c r="B570" s="86">
        <f>+'Service Data'!$C$5:$C$5</f>
        <v>0</v>
      </c>
      <c r="C570" s="86"/>
      <c r="D570" s="86"/>
      <c r="E570" s="86"/>
      <c r="F570" s="86"/>
      <c r="G570" s="86"/>
      <c r="H570" s="6"/>
      <c r="I570" s="99" t="str">
        <f ca="1">IF(Table1[[#This Row],[Date of Birth]]="","",SUM(TODAY()-Table1[[#This Row],[Date of Birth]])/365)</f>
        <v/>
      </c>
      <c r="L570" s="86"/>
      <c r="M570" s="77"/>
      <c r="N570" s="86"/>
      <c r="O570" s="86"/>
      <c r="P570" s="91"/>
      <c r="Q570" s="86"/>
      <c r="R570" s="77"/>
      <c r="S570" s="77"/>
      <c r="T570" s="68"/>
      <c r="U570" s="68"/>
      <c r="V570" s="67"/>
      <c r="W570" s="67"/>
      <c r="X570" s="67"/>
      <c r="Y570" s="67"/>
      <c r="Z570" s="67"/>
      <c r="AA570" s="67"/>
      <c r="AB570" s="67"/>
      <c r="AC570" s="67"/>
      <c r="AD570" s="67"/>
      <c r="AE570" s="67"/>
      <c r="AF570" s="67"/>
      <c r="AG570" s="67"/>
      <c r="AH570" s="67"/>
      <c r="AI570" s="67"/>
      <c r="AJ570" s="67"/>
      <c r="AK570" s="67"/>
      <c r="AL570" s="67"/>
      <c r="AM570" s="67"/>
      <c r="AN570" s="77"/>
      <c r="AO570" s="76"/>
      <c r="AP570" s="77"/>
      <c r="AQ570" s="76"/>
      <c r="AR570" s="76"/>
      <c r="AS570" s="76"/>
      <c r="AT570" s="76"/>
      <c r="AU570" s="76"/>
      <c r="AV570" s="77"/>
      <c r="AW570" s="76"/>
      <c r="AX570" s="77"/>
      <c r="AY570" s="76"/>
      <c r="AZ570" s="76"/>
      <c r="BA570" s="76"/>
      <c r="BB570" s="76"/>
      <c r="BC570" s="76"/>
      <c r="BD570" s="77"/>
      <c r="BE570" s="76"/>
      <c r="BF570" s="77"/>
      <c r="BG570" s="76"/>
      <c r="BH570" s="76"/>
      <c r="BI570" s="76"/>
      <c r="BJ570" s="76"/>
      <c r="BK570" s="76"/>
      <c r="BL570" s="77"/>
      <c r="BM570" s="76"/>
      <c r="BN570" s="77"/>
      <c r="BO570" s="76"/>
      <c r="BP570" s="76"/>
      <c r="BQ570" s="76"/>
      <c r="BR570" s="76"/>
      <c r="BS570" s="76"/>
      <c r="BT570" s="77"/>
      <c r="BU570" s="76"/>
      <c r="BV570" s="77"/>
      <c r="BW570" s="76"/>
      <c r="BX570" s="76"/>
      <c r="BY570" s="76"/>
      <c r="BZ570" s="76"/>
      <c r="CA570" s="76"/>
      <c r="CB570" s="77"/>
      <c r="CC570" s="76"/>
      <c r="CD570" s="77"/>
      <c r="CE570" s="76"/>
      <c r="CF570" s="76"/>
      <c r="CG570" s="76"/>
      <c r="CH570" s="76"/>
      <c r="CI570" s="76"/>
      <c r="CJ570" s="77"/>
      <c r="CK570" s="76"/>
      <c r="CL570" s="77"/>
      <c r="CM570" s="76"/>
      <c r="CN570" s="76"/>
      <c r="CO570" s="76"/>
      <c r="CP570" s="76"/>
      <c r="CQ570" s="76"/>
      <c r="CR570" s="78" t="str">
        <f t="shared" si="143"/>
        <v/>
      </c>
      <c r="CS570" s="79" t="str">
        <f t="shared" si="144"/>
        <v/>
      </c>
      <c r="CT570" s="79" t="str">
        <f t="shared" si="145"/>
        <v/>
      </c>
      <c r="CU570" s="79" t="str">
        <f t="shared" si="146"/>
        <v/>
      </c>
      <c r="CV570" s="79" t="str">
        <f t="shared" si="147"/>
        <v/>
      </c>
      <c r="CW570" s="79" t="str">
        <f t="shared" si="148"/>
        <v/>
      </c>
      <c r="CX570" s="79" t="str">
        <f t="shared" si="149"/>
        <v/>
      </c>
      <c r="CY570" s="79" t="str">
        <f t="shared" si="150"/>
        <v/>
      </c>
      <c r="CZ570" s="79" t="str">
        <f t="shared" si="151"/>
        <v/>
      </c>
      <c r="DA570" s="79" t="str">
        <f t="shared" si="152"/>
        <v/>
      </c>
      <c r="DB570" s="79" t="str">
        <f t="shared" si="153"/>
        <v/>
      </c>
      <c r="DC570" s="79" t="str">
        <f t="shared" si="154"/>
        <v/>
      </c>
      <c r="DD570" s="79" t="str">
        <f t="shared" si="155"/>
        <v/>
      </c>
      <c r="DE570" s="79" t="str">
        <f t="shared" si="156"/>
        <v/>
      </c>
      <c r="DF570" s="79" t="str">
        <f t="shared" si="157"/>
        <v/>
      </c>
      <c r="DG570" s="79" t="str">
        <f t="shared" si="158"/>
        <v/>
      </c>
      <c r="DH570" s="76"/>
      <c r="DI570" s="78"/>
      <c r="DJ570" s="76"/>
      <c r="DK570" s="77"/>
      <c r="DL570" s="77"/>
      <c r="DM570" s="77"/>
      <c r="DN570" s="80"/>
      <c r="DO570" s="80"/>
      <c r="DP570" s="92" t="str">
        <f>IF(Table1[Start Date]="","",IF(Table1[Start Date]&gt;42185,"",IF(AND(Table1[Leaving Date]&gt;1,Table1[Leaving Date]&lt;42095),"",1)))</f>
        <v/>
      </c>
      <c r="DQ570" s="92" t="str">
        <f>IF(Table1[Start Date]="","",IF(Table1[Start Date]&gt;42277,"",IF(AND(Table1[Leaving Date]&gt;1,Table1[Leaving Date]&lt;42186),"",1)))</f>
        <v/>
      </c>
      <c r="DR570" s="92" t="str">
        <f>IF(Table1[Start Date]="","",IF(Table1[Start Date]&gt;42369,"",IF(AND(Table1[Leaving Date]&gt;1,Table1[Leaving Date]&lt;42278),"",1)))</f>
        <v/>
      </c>
      <c r="DS570" s="92" t="str">
        <f>IF(Table1[Start Date]="","",IF(Table1[Start Date]&gt;42460,"",IF(AND(Table1[Leaving Date]&gt;1,Table1[Leaving Date]&lt;42370),"",1)))</f>
        <v/>
      </c>
      <c r="DT570" s="92" t="str">
        <f>IF(Table1[Start Date]="","",IF(Table1[Start Date]&gt;42551,"",IF(AND(Table1[Leaving Date]&gt;1,Table1[Leaving Date]&lt;42461),"",1)))</f>
        <v/>
      </c>
      <c r="DU570" s="92" t="str">
        <f>IF(Table1[Start Date]="","",IF(Table1[Start Date]&gt;42643,"",IF(AND(Table1[Leaving Date]&gt;1,Table1[Leaving Date]&lt;42552),"",1)))</f>
        <v/>
      </c>
      <c r="DV570" s="92" t="str">
        <f>IF(Table1[Start Date]="","",IF(Table1[Start Date]&gt;42735,"",IF(AND(Table1[Leaving Date]&gt;1,Table1[Leaving Date]&lt;42644),"",1)))</f>
        <v/>
      </c>
      <c r="DW570" s="92" t="str">
        <f>IF(Table1[Start Date]="","",IF(Table1[Start Date]&gt;42825,"",IF(AND(Table1[Leaving Date]&gt;1,Table1[Leaving Date]&lt;42736),"",1)))</f>
        <v/>
      </c>
      <c r="DX570"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570" s="44" t="e">
        <f>VLOOKUP(Table1[Referral Source],Lists!$G$2:$H$20,2,FALSE)</f>
        <v>#N/A</v>
      </c>
      <c r="DZ570" s="93" t="e">
        <f>SUM(Table1[Data Referral Quarter]+Table1[Data Referral Source])</f>
        <v>#N/A</v>
      </c>
      <c r="EA570" s="44" t="b">
        <f>IF(Table1[Referral Decision]="Accepted",100,IF(Table1[Referral Decision]="Rejected by Provider",200,IF(Table1[Referral Decision]="Rejected by Applicant",300)))</f>
        <v>0</v>
      </c>
      <c r="EB570" s="44">
        <f>SUM(Table1[Data Referral Quarter]+Table1[Data Referral Decision])</f>
        <v>0</v>
      </c>
      <c r="EC570" s="44" t="b">
        <f>IF(Table1[Start Date]&gt;42735,8000,IF(Table1[Start Date]&gt;42643,7000,IF(Table1[Start Date]&gt;42551,6000,IF(Table1[Start Date]&gt;42460,5000,IF(Table1[Start Date]&gt;42369,4000,IF(Table1[Start Date]&gt;42277,3000,IF(Table1[Start Date]&gt;42185,2000,IF(Table1[Start Date]&gt;42094,1000))))))))</f>
        <v>0</v>
      </c>
      <c r="ED570" s="44" t="str">
        <f>IF(Table1[Start Date]="","",IF(Table1[Current Local Authority]="Swindon",1,"2"))</f>
        <v/>
      </c>
      <c r="EE570" s="44" t="e">
        <f>SUM(Table1[Data Start Date]+Table1[Data Local Authority])</f>
        <v>#VALUE!</v>
      </c>
      <c r="EF570" s="44">
        <f>IF(Table1[Registered with GP]="Yes",1,0)</f>
        <v>0</v>
      </c>
      <c r="EG570" s="44">
        <f>SUM(Table1[Data Start Date]+Table1[Data GP Start])</f>
        <v>0</v>
      </c>
      <c r="EH570" s="44" t="str">
        <f>IF(Table1[EET]="NEET",1,IF(Table1[EET]="Education",2,IF(Table1[EET]="Employment",2,IF(Table1[EET]="Training",2,IF(Table1[EET]="Retired",3,"")))))</f>
        <v/>
      </c>
      <c r="EI570" s="44" t="e">
        <f>Table1[Data Start Date]+Table1[Data EET Start]</f>
        <v>#VALUE!</v>
      </c>
      <c r="EJ570" s="44" t="b">
        <f>IF(Table1[Leaving Date]&gt;42735,8000,IF(Table1[Leaving Date]&gt;42643,7000,IF(Table1[Leaving Date]&gt;42551,6000,IF(Table1[Leaving Date]&gt;42460,5000,IF(Table1[Leaving Date]&gt;42369,4000,IF(Table1[Leaving Date]&gt;42277,3000,IF(Table1[Leaving Date]&gt;42185,2000,IF(Table1[Leaving Date]&gt;42094,1000))))))))</f>
        <v>0</v>
      </c>
      <c r="EK570" s="44" t="e">
        <f>VLOOKUP(Table1[Reason for Leaving],Lists!$T$2:$U$15,2,FALSE)</f>
        <v>#N/A</v>
      </c>
      <c r="EL570" s="44" t="e">
        <f>SUM(Table1[Data Leavers Date]+Table1[Data Move On])</f>
        <v>#N/A</v>
      </c>
      <c r="EM570" s="44" t="b">
        <f>IF(Table1[Registered with GP2]="Yes",1,IF(Table1[Registered with GP2]="No",0,IF(Table1[Registered with GP]="Yes",1,IF(Table1[Registered with GP]="No",0))))</f>
        <v>0</v>
      </c>
      <c r="EN570" s="44">
        <f>SUM(Table1[Data Leavers Date]+Table1[Data GP End])</f>
        <v>0</v>
      </c>
      <c r="EO570" s="44" t="str">
        <f>IF(Table1[EET2]="NEET",1,IF(Table1[EET2]="Employment",2,IF(Table1[EET2]="Education",2,IF(Table1[EET2]="Training",2,IF(Table1[EET2]="Retired",3,IF(Table1[EET]="NEET",1,IF(Table1[EET]="Employment",2,IF(Table1[EET]="Education",2,IF(Table1[EET]="Training",2,IF(Table1[EET]="Retired",3,""))))))))))</f>
        <v/>
      </c>
      <c r="EP570" s="44" t="e">
        <f>+Table1[[#This Row],[Data Leavers Date]]+Table1[[#This Row],[Data EET End]]</f>
        <v>#VALUE!</v>
      </c>
      <c r="EQ570" s="44">
        <f>IF(Table1[Exit Form Received]="Yes",1,0)</f>
        <v>0</v>
      </c>
      <c r="ER570" s="44">
        <f>+Table1[[#This Row],[Data Leavers Date]]+Table1[[#This Row],[Data Exit Forms]]</f>
        <v>0</v>
      </c>
      <c r="ES570" s="44" t="str">
        <f>IF(Table1[Data Leavers Date]=1000,SUM(Table1[Leaving Date]-Table1[Start Date]),"")</f>
        <v/>
      </c>
      <c r="ET570" s="44" t="str">
        <f>IF(Table1[Data Leavers Date]=2000,SUM(Table1[Leaving Date]-Table1[Start Date]),"")</f>
        <v/>
      </c>
      <c r="EU570" s="44" t="str">
        <f>IF(Table1[Data Leavers Date]=3000,SUM(Table1[Leaving Date]-Table1[Start Date]),"")</f>
        <v/>
      </c>
      <c r="EV570" s="44" t="str">
        <f>IF(Table1[Data Leavers Date]=4000,SUM(Table1[Leaving Date]-Table1[Start Date]),"")</f>
        <v/>
      </c>
      <c r="EW570" s="44" t="str">
        <f>IF(Table1[Data Leavers Date]=5000,SUM(Table1[Leaving Date]-Table1[Start Date]),"")</f>
        <v/>
      </c>
      <c r="EX570" s="44" t="str">
        <f>IF(Table1[Data Leavers Date]=6000,SUM(Table1[Leaving Date]-Table1[Start Date]),"")</f>
        <v/>
      </c>
      <c r="EY570" s="44" t="str">
        <f>IF(Table1[Data Leavers Date]=7000,SUM(Table1[Leaving Date]-Table1[Start Date]),"")</f>
        <v/>
      </c>
      <c r="EZ570" s="44" t="str">
        <f>IF(Table1[Data Leavers Date]=8000,SUM(Table1[Leaving Date]-Table1[Start Date]),"")</f>
        <v/>
      </c>
      <c r="FA570" s="44" t="str">
        <f>IF(Table1[Date of Initial Assessment]="","",IF(AND(Table1[Start Date]&gt;42094,Table1[Start Date]&lt;42461),Table1[Motivation and Taking Responsibility],""))</f>
        <v/>
      </c>
      <c r="FB570" s="44" t="str">
        <f>IF(Table1[Date of Initial Assessment]="","",IF(AND(Table1[Start Date]&gt;42094,Table1[Start Date]&lt;42461),Table1[Self-Care and Living Skills],""))</f>
        <v/>
      </c>
      <c r="FC570" s="44" t="str">
        <f>IF(Table1[Date of Initial Assessment]="","",IF(AND(Table1[Start Date]&gt;42094,Table1[Start Date]&lt;42461),Table1[Managing Money and Personal Administration],""))</f>
        <v/>
      </c>
      <c r="FD570" s="44" t="str">
        <f>IF(Table1[Date of Initial Assessment]="","",IF(AND(Table1[Start Date]&gt;42094,Table1[Start Date]&lt;42461),Table1[Social Networks and Relationships],""))</f>
        <v/>
      </c>
      <c r="FE570" s="44" t="str">
        <f>IF(Table1[Date of Initial Assessment]="","",IF(AND(Table1[Start Date]&gt;42094,Table1[Start Date]&lt;42461),Table1[Drug and Alcohol Misuse],""))</f>
        <v/>
      </c>
      <c r="FF570" s="44" t="str">
        <f>IF(Table1[Date of Initial Assessment]="","",IF(AND(Table1[Start Date]&gt;42094,Table1[Start Date]&lt;42461),Table1[Physical Health],""))</f>
        <v/>
      </c>
      <c r="FG570" s="44" t="str">
        <f>IF(Table1[Date of Initial Assessment]="","",IF(AND(Table1[Start Date]&gt;42094,Table1[Start Date]&lt;42461),Table1[Emotional and Mental Health],""))</f>
        <v/>
      </c>
      <c r="FH570" s="44" t="str">
        <f>IF(Table1[Date of Initial Assessment]="","",IF(AND(Table1[Start Date]&gt;42094,Table1[Start Date]&lt;42461),Table1[Meaningful Use of Time],""))</f>
        <v/>
      </c>
      <c r="FI570" s="44" t="str">
        <f>IF(Table1[Date of Initial Assessment]="","",IF(AND(Table1[Start Date]&gt;42094,Table1[Start Date]&lt;42461),Table1[Managing Tenancy and Accommodation],""))</f>
        <v/>
      </c>
      <c r="FJ570" s="44" t="str">
        <f>IF(Table1[Date of Initial Assessment]="","",IF(AND(Table1[Start Date]&gt;42094,Table1[Start Date]&lt;42461),Table1[Offending],""))</f>
        <v/>
      </c>
      <c r="FK570" s="44" t="str">
        <f>IF(Table1[Leaving Date]="","",IF(Table1[Date of Initial Assessment]="","",IF(AND(Table1[Leaving Date]&gt;42094,Table1[Leaving Date]&lt;42461),IF(Table1[Date of Last Assessment]="",Table1[Motivation and Taking Responsibility],Table1[Motivation and Taking Responsibility2]),"")))</f>
        <v/>
      </c>
      <c r="FL570" s="44" t="str">
        <f>IF(Table1[Leaving Date]="","",IF(Table1[Date of Initial Assessment]="","",IF(AND(Table1[Leaving Date]&gt;42094,Table1[Leaving Date]&lt;42461),IF(Table1[Date of Last Assessment]="",Table1[Self-Care and Living Skills],Table1[Self-Care and Living Skills2]),"")))</f>
        <v/>
      </c>
      <c r="FM570" s="44" t="str">
        <f>IF(Table1[Leaving Date]="","",IF(Table1[Date of Initial Assessment]="","",IF(AND(Table1[Leaving Date]&gt;42094,Table1[Leaving Date]&lt;42461),IF(Table1[Date of Last Assessment]="",Table1[Managing Money and Personal Administration],Table1[Managing Money and Personal Administration2]),"")))</f>
        <v/>
      </c>
      <c r="FN570" s="44" t="str">
        <f>IF(Table1[Leaving Date]="","",IF(Table1[Date of Initial Assessment]="","",IF(AND(Table1[Leaving Date]&gt;42094,Table1[Leaving Date]&lt;42461),IF(Table1[Date of Last Assessment]="",Table1[Social Networks and Relationships],Table1[Social Networks and Relationships2]),"")))</f>
        <v/>
      </c>
      <c r="FO570" s="44" t="str">
        <f>IF(Table1[Leaving Date]="","",IF(Table1[Date of Initial Assessment]="","",IF(AND(Table1[Leaving Date]&gt;42094,Table1[Leaving Date]&lt;42461),IF(Table1[Date of Last Assessment]="",Table1[Drug and Alcohol Misuse],Table1[Drug and Alcohol Misuse2]),"")))</f>
        <v/>
      </c>
      <c r="FP570" s="44" t="str">
        <f>IF(Table1[Leaving Date]="","",IF(Table1[Date of Initial Assessment]="","",IF(AND(Table1[Leaving Date]&gt;42094,Table1[Leaving Date]&lt;42461),IF(Table1[Date of Last Assessment]="",Table1[Physical Health],Table1[Physical Health2]),"")))</f>
        <v/>
      </c>
      <c r="FQ570" s="44" t="str">
        <f>IF(Table1[Leaving Date]="","",IF(Table1[Date of Initial Assessment]="","",IF(AND(Table1[Leaving Date]&gt;42094,Table1[Leaving Date]&lt;42461),IF(Table1[Date of Last Assessment]="",Table1[Emotional and Mental Health],Table1[Emotional and Mental Health2]),"")))</f>
        <v/>
      </c>
      <c r="FR570" s="44" t="str">
        <f>IF(Table1[Leaving Date]="","",IF(Table1[Date of Initial Assessment]="","",IF(AND(Table1[Leaving Date]&gt;42094,Table1[Leaving Date]&lt;42461),IF(Table1[Date of Last Assessment]="",Table1[Meaningful Use of Time],Table1[Meaningful Use of Time2]),"")))</f>
        <v/>
      </c>
      <c r="FS570" s="44" t="str">
        <f>IF(Table1[Leaving Date]="","",IF(Table1[Date of Initial Assessment]="","",IF(AND(Table1[Leaving Date]&gt;42094,Table1[Leaving Date]&lt;42461),IF(Table1[Date of Last Assessment]="",Table1[Managing Tenancy and Accommodation],Table1[Managing Tenancy and Accommodation2]),"")))</f>
        <v/>
      </c>
      <c r="FT570" s="44" t="str">
        <f>IF(Table1[Leaving Date]="","",IF(Table1[Date of Initial Assessment]="","",IF(AND(Table1[Leaving Date]&gt;42094,Table1[Leaving Date]&lt;42461),IF(Table1[Date of Last Assessment]="",Table1[Offending],Table1[Offending2]),"")))</f>
        <v/>
      </c>
      <c r="FU570" s="44" t="str">
        <f>IF(Table1[Date of Initial Assessment]="","",IF(AND(Table1[Start Date]&gt;42460,Table1[Start Date]&lt;42826),Table1[Motivation and Taking Responsibility],""))</f>
        <v/>
      </c>
      <c r="FV570" s="44" t="str">
        <f>IF(Table1[Date of Initial Assessment]="","",IF(AND(Table1[Start Date]&gt;42460,Table1[Start Date]&lt;42826),Table1[Self-Care and Living Skills],""))</f>
        <v/>
      </c>
      <c r="FW570" s="44" t="str">
        <f>IF(Table1[Date of Initial Assessment]="","",IF(AND(Table1[Start Date]&gt;42460,Table1[Start Date]&lt;42826),Table1[Managing Money and Personal Administration],""))</f>
        <v/>
      </c>
      <c r="FX570" s="44" t="str">
        <f>IF(Table1[Date of Initial Assessment]="","",IF(AND(Table1[Start Date]&gt;42460,Table1[Start Date]&lt;42826),Table1[Social Networks and Relationships],""))</f>
        <v/>
      </c>
      <c r="FY570" s="44" t="str">
        <f>IF(Table1[Date of Initial Assessment]="","",IF(AND(Table1[Start Date]&gt;42460,Table1[Start Date]&lt;42826),Table1[Drug and Alcohol Misuse],""))</f>
        <v/>
      </c>
      <c r="FZ570" s="44" t="str">
        <f>IF(Table1[Date of Initial Assessment]="","",IF(AND(Table1[Start Date]&gt;42460,Table1[Start Date]&lt;42826),Table1[Physical Health],""))</f>
        <v/>
      </c>
      <c r="GA570" s="44" t="str">
        <f>IF(Table1[Date of Initial Assessment]="","",IF(AND(Table1[Start Date]&gt;42460,Table1[Start Date]&lt;42826),Table1[Emotional and Mental Health],""))</f>
        <v/>
      </c>
      <c r="GB570" s="44" t="str">
        <f>IF(Table1[Date of Initial Assessment]="","",IF(AND(Table1[Start Date]&gt;42460,Table1[Start Date]&lt;42826),Table1[Meaningful Use of Time],""))</f>
        <v/>
      </c>
      <c r="GC570" s="44" t="str">
        <f>IF(Table1[Date of Initial Assessment]="","",IF(AND(Table1[Start Date]&gt;42460,Table1[Start Date]&lt;42826),Table1[Managing Tenancy and Accommodation],""))</f>
        <v/>
      </c>
      <c r="GD570" s="44" t="str">
        <f>IF(Table1[Date of Initial Assessment]="","",IF(AND(Table1[Start Date]&gt;42460,Table1[Start Date]&lt;42826),Table1[Offending],""))</f>
        <v/>
      </c>
      <c r="GE570" s="44" t="str">
        <f>IF(Table1[Leaving Date]="","",IF(AND(Table1[Leaving Date]&gt;42460,Table1[Leaving Date]&lt;42826),IF(Table1[Date of Last Assessment]="",Table1[Motivation and Taking Responsibility],Table1[Motivation and Taking Responsibility2]),""))</f>
        <v/>
      </c>
      <c r="GF570" s="44" t="str">
        <f>IF(Table1[Leaving Date]="","",IF(AND(Table1[Leaving Date]&gt;42460,Table1[Leaving Date]&lt;42826),IF(Table1[Date of Last Assessment]="",Table1[Self-Care and Living Skills],Table1[Self-Care and Living Skills2]),""))</f>
        <v/>
      </c>
      <c r="GG570" s="44" t="str">
        <f>IF(Table1[Leaving Date]="","",IF(AND(Table1[Leaving Date]&gt;42460,Table1[Leaving Date]&lt;42826),IF(Table1[Date of Last Assessment]="",Table1[Managing Money and Personal Administration],Table1[Managing Money and Personal Administration2]),""))</f>
        <v/>
      </c>
      <c r="GH570" s="44" t="str">
        <f>IF(Table1[Leaving Date]="","",IF(AND(Table1[Leaving Date]&gt;42460,Table1[Leaving Date]&lt;42826),IF(Table1[Date of Last Assessment]="",Table1[Social Networks and Relationships],Table1[Social Networks and Relationships2]),""))</f>
        <v/>
      </c>
      <c r="GI570" s="44" t="str">
        <f>IF(Table1[Leaving Date]="","",IF(AND(Table1[Leaving Date]&gt;42460,Table1[Leaving Date]&lt;42826),IF(Table1[Date of Last Assessment]="",Table1[Drug and Alcohol Misuse],Table1[Drug and Alcohol Misuse2]),""))</f>
        <v/>
      </c>
      <c r="GJ570" s="44" t="str">
        <f>IF(Table1[Leaving Date]="","",IF(AND(Table1[Leaving Date]&gt;42460,Table1[Leaving Date]&lt;42826),IF(Table1[Date of Last Assessment]="",Table1[Physical Health],Table1[Physical Health2]),""))</f>
        <v/>
      </c>
      <c r="GK570" s="44" t="str">
        <f>IF(Table1[Leaving Date]="","",IF(AND(Table1[Leaving Date]&gt;42460,Table1[Leaving Date]&lt;42826),IF(Table1[Date of Last Assessment]="",Table1[Emotional and Mental Health],Table1[Emotional and Mental Health2]),""))</f>
        <v/>
      </c>
      <c r="GL570" s="44" t="str">
        <f>IF(Table1[Leaving Date]="","",IF(AND(Table1[Leaving Date]&gt;42460,Table1[Leaving Date]&lt;42826),IF(Table1[Date of Last Assessment]="",Table1[Meaningful Use of Time],Table1[Meaningful Use of Time2]),""))</f>
        <v/>
      </c>
      <c r="GM570" s="44" t="str">
        <f>IF(Table1[Leaving Date]="","",IF(AND(Table1[Leaving Date]&gt;42460,Table1[Leaving Date]&lt;42826),IF(Table1[Date of Last Assessment]="",Table1[Managing Tenancy and Accommodation],Table1[Managing Tenancy and Accommodation2]),""))</f>
        <v/>
      </c>
      <c r="GN570" s="44" t="str">
        <f>IF(Table1[Leaving Date]="","",IF(AND(Table1[Leaving Date]&gt;42460,Table1[Leaving Date]&lt;42826),IF(Table1[Date of Last Assessment]="",Table1[Offending],Table1[Offending2]),""))</f>
        <v/>
      </c>
    </row>
    <row r="571" spans="2:196" ht="20.100000000000001" customHeight="1" x14ac:dyDescent="0.2">
      <c r="B571" s="86">
        <f>+'Service Data'!$C$5:$C$5</f>
        <v>0</v>
      </c>
      <c r="C571" s="86"/>
      <c r="D571" s="86"/>
      <c r="E571" s="86"/>
      <c r="F571" s="86"/>
      <c r="G571" s="86"/>
      <c r="H571" s="6"/>
      <c r="I571" s="99" t="str">
        <f ca="1">IF(Table1[[#This Row],[Date of Birth]]="","",SUM(TODAY()-Table1[[#This Row],[Date of Birth]])/365)</f>
        <v/>
      </c>
      <c r="L571" s="86"/>
      <c r="M571" s="77"/>
      <c r="N571" s="86"/>
      <c r="O571" s="86"/>
      <c r="P571" s="91"/>
      <c r="Q571" s="86"/>
      <c r="R571" s="77"/>
      <c r="S571" s="77"/>
      <c r="T571" s="68"/>
      <c r="U571" s="68"/>
      <c r="V571" s="67"/>
      <c r="W571" s="67"/>
      <c r="X571" s="67"/>
      <c r="Y571" s="67"/>
      <c r="Z571" s="67"/>
      <c r="AA571" s="67"/>
      <c r="AB571" s="67"/>
      <c r="AC571" s="67"/>
      <c r="AD571" s="67"/>
      <c r="AE571" s="67"/>
      <c r="AF571" s="67"/>
      <c r="AG571" s="67"/>
      <c r="AH571" s="67"/>
      <c r="AI571" s="67"/>
      <c r="AJ571" s="67"/>
      <c r="AK571" s="67"/>
      <c r="AL571" s="67"/>
      <c r="AM571" s="67"/>
      <c r="AN571" s="77"/>
      <c r="AO571" s="76"/>
      <c r="AP571" s="77"/>
      <c r="AQ571" s="76"/>
      <c r="AR571" s="76"/>
      <c r="AS571" s="76"/>
      <c r="AT571" s="76"/>
      <c r="AU571" s="76"/>
      <c r="AV571" s="77"/>
      <c r="AW571" s="76"/>
      <c r="AX571" s="77"/>
      <c r="AY571" s="76"/>
      <c r="AZ571" s="76"/>
      <c r="BA571" s="76"/>
      <c r="BB571" s="76"/>
      <c r="BC571" s="76"/>
      <c r="BD571" s="77"/>
      <c r="BE571" s="76"/>
      <c r="BF571" s="77"/>
      <c r="BG571" s="76"/>
      <c r="BH571" s="76"/>
      <c r="BI571" s="76"/>
      <c r="BJ571" s="76"/>
      <c r="BK571" s="76"/>
      <c r="BL571" s="77"/>
      <c r="BM571" s="76"/>
      <c r="BN571" s="77"/>
      <c r="BO571" s="76"/>
      <c r="BP571" s="76"/>
      <c r="BQ571" s="76"/>
      <c r="BR571" s="76"/>
      <c r="BS571" s="76"/>
      <c r="BT571" s="77"/>
      <c r="BU571" s="76"/>
      <c r="BV571" s="77"/>
      <c r="BW571" s="76"/>
      <c r="BX571" s="76"/>
      <c r="BY571" s="76"/>
      <c r="BZ571" s="76"/>
      <c r="CA571" s="76"/>
      <c r="CB571" s="77"/>
      <c r="CC571" s="76"/>
      <c r="CD571" s="77"/>
      <c r="CE571" s="76"/>
      <c r="CF571" s="76"/>
      <c r="CG571" s="76"/>
      <c r="CH571" s="76"/>
      <c r="CI571" s="76"/>
      <c r="CJ571" s="77"/>
      <c r="CK571" s="76"/>
      <c r="CL571" s="77"/>
      <c r="CM571" s="76"/>
      <c r="CN571" s="76"/>
      <c r="CO571" s="76"/>
      <c r="CP571" s="76"/>
      <c r="CQ571" s="76"/>
      <c r="CR571" s="78" t="str">
        <f t="shared" si="143"/>
        <v/>
      </c>
      <c r="CS571" s="79" t="str">
        <f t="shared" si="144"/>
        <v/>
      </c>
      <c r="CT571" s="79" t="str">
        <f t="shared" si="145"/>
        <v/>
      </c>
      <c r="CU571" s="79" t="str">
        <f t="shared" si="146"/>
        <v/>
      </c>
      <c r="CV571" s="79" t="str">
        <f t="shared" si="147"/>
        <v/>
      </c>
      <c r="CW571" s="79" t="str">
        <f t="shared" si="148"/>
        <v/>
      </c>
      <c r="CX571" s="79" t="str">
        <f t="shared" si="149"/>
        <v/>
      </c>
      <c r="CY571" s="79" t="str">
        <f t="shared" si="150"/>
        <v/>
      </c>
      <c r="CZ571" s="79" t="str">
        <f t="shared" si="151"/>
        <v/>
      </c>
      <c r="DA571" s="79" t="str">
        <f t="shared" si="152"/>
        <v/>
      </c>
      <c r="DB571" s="79" t="str">
        <f t="shared" si="153"/>
        <v/>
      </c>
      <c r="DC571" s="79" t="str">
        <f t="shared" si="154"/>
        <v/>
      </c>
      <c r="DD571" s="79" t="str">
        <f t="shared" si="155"/>
        <v/>
      </c>
      <c r="DE571" s="79" t="str">
        <f t="shared" si="156"/>
        <v/>
      </c>
      <c r="DF571" s="79" t="str">
        <f t="shared" si="157"/>
        <v/>
      </c>
      <c r="DG571" s="79" t="str">
        <f t="shared" si="158"/>
        <v/>
      </c>
      <c r="DH571" s="76"/>
      <c r="DI571" s="78"/>
      <c r="DJ571" s="76"/>
      <c r="DK571" s="77"/>
      <c r="DL571" s="77"/>
      <c r="DM571" s="77"/>
      <c r="DN571" s="80"/>
      <c r="DO571" s="80"/>
      <c r="DP571" s="92" t="str">
        <f>IF(Table1[Start Date]="","",IF(Table1[Start Date]&gt;42185,"",IF(AND(Table1[Leaving Date]&gt;1,Table1[Leaving Date]&lt;42095),"",1)))</f>
        <v/>
      </c>
      <c r="DQ571" s="92" t="str">
        <f>IF(Table1[Start Date]="","",IF(Table1[Start Date]&gt;42277,"",IF(AND(Table1[Leaving Date]&gt;1,Table1[Leaving Date]&lt;42186),"",1)))</f>
        <v/>
      </c>
      <c r="DR571" s="92" t="str">
        <f>IF(Table1[Start Date]="","",IF(Table1[Start Date]&gt;42369,"",IF(AND(Table1[Leaving Date]&gt;1,Table1[Leaving Date]&lt;42278),"",1)))</f>
        <v/>
      </c>
      <c r="DS571" s="92" t="str">
        <f>IF(Table1[Start Date]="","",IF(Table1[Start Date]&gt;42460,"",IF(AND(Table1[Leaving Date]&gt;1,Table1[Leaving Date]&lt;42370),"",1)))</f>
        <v/>
      </c>
      <c r="DT571" s="92" t="str">
        <f>IF(Table1[Start Date]="","",IF(Table1[Start Date]&gt;42551,"",IF(AND(Table1[Leaving Date]&gt;1,Table1[Leaving Date]&lt;42461),"",1)))</f>
        <v/>
      </c>
      <c r="DU571" s="92" t="str">
        <f>IF(Table1[Start Date]="","",IF(Table1[Start Date]&gt;42643,"",IF(AND(Table1[Leaving Date]&gt;1,Table1[Leaving Date]&lt;42552),"",1)))</f>
        <v/>
      </c>
      <c r="DV571" s="92" t="str">
        <f>IF(Table1[Start Date]="","",IF(Table1[Start Date]&gt;42735,"",IF(AND(Table1[Leaving Date]&gt;1,Table1[Leaving Date]&lt;42644),"",1)))</f>
        <v/>
      </c>
      <c r="DW571" s="92" t="str">
        <f>IF(Table1[Start Date]="","",IF(Table1[Start Date]&gt;42825,"",IF(AND(Table1[Leaving Date]&gt;1,Table1[Leaving Date]&lt;42736),"",1)))</f>
        <v/>
      </c>
      <c r="DX571"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571" s="44" t="e">
        <f>VLOOKUP(Table1[Referral Source],Lists!$G$2:$H$20,2,FALSE)</f>
        <v>#N/A</v>
      </c>
      <c r="DZ571" s="93" t="e">
        <f>SUM(Table1[Data Referral Quarter]+Table1[Data Referral Source])</f>
        <v>#N/A</v>
      </c>
      <c r="EA571" s="44" t="b">
        <f>IF(Table1[Referral Decision]="Accepted",100,IF(Table1[Referral Decision]="Rejected by Provider",200,IF(Table1[Referral Decision]="Rejected by Applicant",300)))</f>
        <v>0</v>
      </c>
      <c r="EB571" s="44">
        <f>SUM(Table1[Data Referral Quarter]+Table1[Data Referral Decision])</f>
        <v>0</v>
      </c>
      <c r="EC571" s="44" t="b">
        <f>IF(Table1[Start Date]&gt;42735,8000,IF(Table1[Start Date]&gt;42643,7000,IF(Table1[Start Date]&gt;42551,6000,IF(Table1[Start Date]&gt;42460,5000,IF(Table1[Start Date]&gt;42369,4000,IF(Table1[Start Date]&gt;42277,3000,IF(Table1[Start Date]&gt;42185,2000,IF(Table1[Start Date]&gt;42094,1000))))))))</f>
        <v>0</v>
      </c>
      <c r="ED571" s="44" t="str">
        <f>IF(Table1[Start Date]="","",IF(Table1[Current Local Authority]="Swindon",1,"2"))</f>
        <v/>
      </c>
      <c r="EE571" s="44" t="e">
        <f>SUM(Table1[Data Start Date]+Table1[Data Local Authority])</f>
        <v>#VALUE!</v>
      </c>
      <c r="EF571" s="44">
        <f>IF(Table1[Registered with GP]="Yes",1,0)</f>
        <v>0</v>
      </c>
      <c r="EG571" s="44">
        <f>SUM(Table1[Data Start Date]+Table1[Data GP Start])</f>
        <v>0</v>
      </c>
      <c r="EH571" s="44" t="str">
        <f>IF(Table1[EET]="NEET",1,IF(Table1[EET]="Education",2,IF(Table1[EET]="Employment",2,IF(Table1[EET]="Training",2,IF(Table1[EET]="Retired",3,"")))))</f>
        <v/>
      </c>
      <c r="EI571" s="44" t="e">
        <f>Table1[Data Start Date]+Table1[Data EET Start]</f>
        <v>#VALUE!</v>
      </c>
      <c r="EJ571" s="44" t="b">
        <f>IF(Table1[Leaving Date]&gt;42735,8000,IF(Table1[Leaving Date]&gt;42643,7000,IF(Table1[Leaving Date]&gt;42551,6000,IF(Table1[Leaving Date]&gt;42460,5000,IF(Table1[Leaving Date]&gt;42369,4000,IF(Table1[Leaving Date]&gt;42277,3000,IF(Table1[Leaving Date]&gt;42185,2000,IF(Table1[Leaving Date]&gt;42094,1000))))))))</f>
        <v>0</v>
      </c>
      <c r="EK571" s="44" t="e">
        <f>VLOOKUP(Table1[Reason for Leaving],Lists!$T$2:$U$15,2,FALSE)</f>
        <v>#N/A</v>
      </c>
      <c r="EL571" s="44" t="e">
        <f>SUM(Table1[Data Leavers Date]+Table1[Data Move On])</f>
        <v>#N/A</v>
      </c>
      <c r="EM571" s="44" t="b">
        <f>IF(Table1[Registered with GP2]="Yes",1,IF(Table1[Registered with GP2]="No",0,IF(Table1[Registered with GP]="Yes",1,IF(Table1[Registered with GP]="No",0))))</f>
        <v>0</v>
      </c>
      <c r="EN571" s="44">
        <f>SUM(Table1[Data Leavers Date]+Table1[Data GP End])</f>
        <v>0</v>
      </c>
      <c r="EO571" s="44" t="str">
        <f>IF(Table1[EET2]="NEET",1,IF(Table1[EET2]="Employment",2,IF(Table1[EET2]="Education",2,IF(Table1[EET2]="Training",2,IF(Table1[EET2]="Retired",3,IF(Table1[EET]="NEET",1,IF(Table1[EET]="Employment",2,IF(Table1[EET]="Education",2,IF(Table1[EET]="Training",2,IF(Table1[EET]="Retired",3,""))))))))))</f>
        <v/>
      </c>
      <c r="EP571" s="44" t="e">
        <f>+Table1[[#This Row],[Data Leavers Date]]+Table1[[#This Row],[Data EET End]]</f>
        <v>#VALUE!</v>
      </c>
      <c r="EQ571" s="44">
        <f>IF(Table1[Exit Form Received]="Yes",1,0)</f>
        <v>0</v>
      </c>
      <c r="ER571" s="44">
        <f>+Table1[[#This Row],[Data Leavers Date]]+Table1[[#This Row],[Data Exit Forms]]</f>
        <v>0</v>
      </c>
      <c r="ES571" s="44" t="str">
        <f>IF(Table1[Data Leavers Date]=1000,SUM(Table1[Leaving Date]-Table1[Start Date]),"")</f>
        <v/>
      </c>
      <c r="ET571" s="44" t="str">
        <f>IF(Table1[Data Leavers Date]=2000,SUM(Table1[Leaving Date]-Table1[Start Date]),"")</f>
        <v/>
      </c>
      <c r="EU571" s="44" t="str">
        <f>IF(Table1[Data Leavers Date]=3000,SUM(Table1[Leaving Date]-Table1[Start Date]),"")</f>
        <v/>
      </c>
      <c r="EV571" s="44" t="str">
        <f>IF(Table1[Data Leavers Date]=4000,SUM(Table1[Leaving Date]-Table1[Start Date]),"")</f>
        <v/>
      </c>
      <c r="EW571" s="44" t="str">
        <f>IF(Table1[Data Leavers Date]=5000,SUM(Table1[Leaving Date]-Table1[Start Date]),"")</f>
        <v/>
      </c>
      <c r="EX571" s="44" t="str">
        <f>IF(Table1[Data Leavers Date]=6000,SUM(Table1[Leaving Date]-Table1[Start Date]),"")</f>
        <v/>
      </c>
      <c r="EY571" s="44" t="str">
        <f>IF(Table1[Data Leavers Date]=7000,SUM(Table1[Leaving Date]-Table1[Start Date]),"")</f>
        <v/>
      </c>
      <c r="EZ571" s="44" t="str">
        <f>IF(Table1[Data Leavers Date]=8000,SUM(Table1[Leaving Date]-Table1[Start Date]),"")</f>
        <v/>
      </c>
      <c r="FA571" s="44" t="str">
        <f>IF(Table1[Date of Initial Assessment]="","",IF(AND(Table1[Start Date]&gt;42094,Table1[Start Date]&lt;42461),Table1[Motivation and Taking Responsibility],""))</f>
        <v/>
      </c>
      <c r="FB571" s="44" t="str">
        <f>IF(Table1[Date of Initial Assessment]="","",IF(AND(Table1[Start Date]&gt;42094,Table1[Start Date]&lt;42461),Table1[Self-Care and Living Skills],""))</f>
        <v/>
      </c>
      <c r="FC571" s="44" t="str">
        <f>IF(Table1[Date of Initial Assessment]="","",IF(AND(Table1[Start Date]&gt;42094,Table1[Start Date]&lt;42461),Table1[Managing Money and Personal Administration],""))</f>
        <v/>
      </c>
      <c r="FD571" s="44" t="str">
        <f>IF(Table1[Date of Initial Assessment]="","",IF(AND(Table1[Start Date]&gt;42094,Table1[Start Date]&lt;42461),Table1[Social Networks and Relationships],""))</f>
        <v/>
      </c>
      <c r="FE571" s="44" t="str">
        <f>IF(Table1[Date of Initial Assessment]="","",IF(AND(Table1[Start Date]&gt;42094,Table1[Start Date]&lt;42461),Table1[Drug and Alcohol Misuse],""))</f>
        <v/>
      </c>
      <c r="FF571" s="44" t="str">
        <f>IF(Table1[Date of Initial Assessment]="","",IF(AND(Table1[Start Date]&gt;42094,Table1[Start Date]&lt;42461),Table1[Physical Health],""))</f>
        <v/>
      </c>
      <c r="FG571" s="44" t="str">
        <f>IF(Table1[Date of Initial Assessment]="","",IF(AND(Table1[Start Date]&gt;42094,Table1[Start Date]&lt;42461),Table1[Emotional and Mental Health],""))</f>
        <v/>
      </c>
      <c r="FH571" s="44" t="str">
        <f>IF(Table1[Date of Initial Assessment]="","",IF(AND(Table1[Start Date]&gt;42094,Table1[Start Date]&lt;42461),Table1[Meaningful Use of Time],""))</f>
        <v/>
      </c>
      <c r="FI571" s="44" t="str">
        <f>IF(Table1[Date of Initial Assessment]="","",IF(AND(Table1[Start Date]&gt;42094,Table1[Start Date]&lt;42461),Table1[Managing Tenancy and Accommodation],""))</f>
        <v/>
      </c>
      <c r="FJ571" s="44" t="str">
        <f>IF(Table1[Date of Initial Assessment]="","",IF(AND(Table1[Start Date]&gt;42094,Table1[Start Date]&lt;42461),Table1[Offending],""))</f>
        <v/>
      </c>
      <c r="FK571" s="44" t="str">
        <f>IF(Table1[Leaving Date]="","",IF(Table1[Date of Initial Assessment]="","",IF(AND(Table1[Leaving Date]&gt;42094,Table1[Leaving Date]&lt;42461),IF(Table1[Date of Last Assessment]="",Table1[Motivation and Taking Responsibility],Table1[Motivation and Taking Responsibility2]),"")))</f>
        <v/>
      </c>
      <c r="FL571" s="44" t="str">
        <f>IF(Table1[Leaving Date]="","",IF(Table1[Date of Initial Assessment]="","",IF(AND(Table1[Leaving Date]&gt;42094,Table1[Leaving Date]&lt;42461),IF(Table1[Date of Last Assessment]="",Table1[Self-Care and Living Skills],Table1[Self-Care and Living Skills2]),"")))</f>
        <v/>
      </c>
      <c r="FM571" s="44" t="str">
        <f>IF(Table1[Leaving Date]="","",IF(Table1[Date of Initial Assessment]="","",IF(AND(Table1[Leaving Date]&gt;42094,Table1[Leaving Date]&lt;42461),IF(Table1[Date of Last Assessment]="",Table1[Managing Money and Personal Administration],Table1[Managing Money and Personal Administration2]),"")))</f>
        <v/>
      </c>
      <c r="FN571" s="44" t="str">
        <f>IF(Table1[Leaving Date]="","",IF(Table1[Date of Initial Assessment]="","",IF(AND(Table1[Leaving Date]&gt;42094,Table1[Leaving Date]&lt;42461),IF(Table1[Date of Last Assessment]="",Table1[Social Networks and Relationships],Table1[Social Networks and Relationships2]),"")))</f>
        <v/>
      </c>
      <c r="FO571" s="44" t="str">
        <f>IF(Table1[Leaving Date]="","",IF(Table1[Date of Initial Assessment]="","",IF(AND(Table1[Leaving Date]&gt;42094,Table1[Leaving Date]&lt;42461),IF(Table1[Date of Last Assessment]="",Table1[Drug and Alcohol Misuse],Table1[Drug and Alcohol Misuse2]),"")))</f>
        <v/>
      </c>
      <c r="FP571" s="44" t="str">
        <f>IF(Table1[Leaving Date]="","",IF(Table1[Date of Initial Assessment]="","",IF(AND(Table1[Leaving Date]&gt;42094,Table1[Leaving Date]&lt;42461),IF(Table1[Date of Last Assessment]="",Table1[Physical Health],Table1[Physical Health2]),"")))</f>
        <v/>
      </c>
      <c r="FQ571" s="44" t="str">
        <f>IF(Table1[Leaving Date]="","",IF(Table1[Date of Initial Assessment]="","",IF(AND(Table1[Leaving Date]&gt;42094,Table1[Leaving Date]&lt;42461),IF(Table1[Date of Last Assessment]="",Table1[Emotional and Mental Health],Table1[Emotional and Mental Health2]),"")))</f>
        <v/>
      </c>
      <c r="FR571" s="44" t="str">
        <f>IF(Table1[Leaving Date]="","",IF(Table1[Date of Initial Assessment]="","",IF(AND(Table1[Leaving Date]&gt;42094,Table1[Leaving Date]&lt;42461),IF(Table1[Date of Last Assessment]="",Table1[Meaningful Use of Time],Table1[Meaningful Use of Time2]),"")))</f>
        <v/>
      </c>
      <c r="FS571" s="44" t="str">
        <f>IF(Table1[Leaving Date]="","",IF(Table1[Date of Initial Assessment]="","",IF(AND(Table1[Leaving Date]&gt;42094,Table1[Leaving Date]&lt;42461),IF(Table1[Date of Last Assessment]="",Table1[Managing Tenancy and Accommodation],Table1[Managing Tenancy and Accommodation2]),"")))</f>
        <v/>
      </c>
      <c r="FT571" s="44" t="str">
        <f>IF(Table1[Leaving Date]="","",IF(Table1[Date of Initial Assessment]="","",IF(AND(Table1[Leaving Date]&gt;42094,Table1[Leaving Date]&lt;42461),IF(Table1[Date of Last Assessment]="",Table1[Offending],Table1[Offending2]),"")))</f>
        <v/>
      </c>
      <c r="FU571" s="44" t="str">
        <f>IF(Table1[Date of Initial Assessment]="","",IF(AND(Table1[Start Date]&gt;42460,Table1[Start Date]&lt;42826),Table1[Motivation and Taking Responsibility],""))</f>
        <v/>
      </c>
      <c r="FV571" s="44" t="str">
        <f>IF(Table1[Date of Initial Assessment]="","",IF(AND(Table1[Start Date]&gt;42460,Table1[Start Date]&lt;42826),Table1[Self-Care and Living Skills],""))</f>
        <v/>
      </c>
      <c r="FW571" s="44" t="str">
        <f>IF(Table1[Date of Initial Assessment]="","",IF(AND(Table1[Start Date]&gt;42460,Table1[Start Date]&lt;42826),Table1[Managing Money and Personal Administration],""))</f>
        <v/>
      </c>
      <c r="FX571" s="44" t="str">
        <f>IF(Table1[Date of Initial Assessment]="","",IF(AND(Table1[Start Date]&gt;42460,Table1[Start Date]&lt;42826),Table1[Social Networks and Relationships],""))</f>
        <v/>
      </c>
      <c r="FY571" s="44" t="str">
        <f>IF(Table1[Date of Initial Assessment]="","",IF(AND(Table1[Start Date]&gt;42460,Table1[Start Date]&lt;42826),Table1[Drug and Alcohol Misuse],""))</f>
        <v/>
      </c>
      <c r="FZ571" s="44" t="str">
        <f>IF(Table1[Date of Initial Assessment]="","",IF(AND(Table1[Start Date]&gt;42460,Table1[Start Date]&lt;42826),Table1[Physical Health],""))</f>
        <v/>
      </c>
      <c r="GA571" s="44" t="str">
        <f>IF(Table1[Date of Initial Assessment]="","",IF(AND(Table1[Start Date]&gt;42460,Table1[Start Date]&lt;42826),Table1[Emotional and Mental Health],""))</f>
        <v/>
      </c>
      <c r="GB571" s="44" t="str">
        <f>IF(Table1[Date of Initial Assessment]="","",IF(AND(Table1[Start Date]&gt;42460,Table1[Start Date]&lt;42826),Table1[Meaningful Use of Time],""))</f>
        <v/>
      </c>
      <c r="GC571" s="44" t="str">
        <f>IF(Table1[Date of Initial Assessment]="","",IF(AND(Table1[Start Date]&gt;42460,Table1[Start Date]&lt;42826),Table1[Managing Tenancy and Accommodation],""))</f>
        <v/>
      </c>
      <c r="GD571" s="44" t="str">
        <f>IF(Table1[Date of Initial Assessment]="","",IF(AND(Table1[Start Date]&gt;42460,Table1[Start Date]&lt;42826),Table1[Offending],""))</f>
        <v/>
      </c>
      <c r="GE571" s="44" t="str">
        <f>IF(Table1[Leaving Date]="","",IF(AND(Table1[Leaving Date]&gt;42460,Table1[Leaving Date]&lt;42826),IF(Table1[Date of Last Assessment]="",Table1[Motivation and Taking Responsibility],Table1[Motivation and Taking Responsibility2]),""))</f>
        <v/>
      </c>
      <c r="GF571" s="44" t="str">
        <f>IF(Table1[Leaving Date]="","",IF(AND(Table1[Leaving Date]&gt;42460,Table1[Leaving Date]&lt;42826),IF(Table1[Date of Last Assessment]="",Table1[Self-Care and Living Skills],Table1[Self-Care and Living Skills2]),""))</f>
        <v/>
      </c>
      <c r="GG571" s="44" t="str">
        <f>IF(Table1[Leaving Date]="","",IF(AND(Table1[Leaving Date]&gt;42460,Table1[Leaving Date]&lt;42826),IF(Table1[Date of Last Assessment]="",Table1[Managing Money and Personal Administration],Table1[Managing Money and Personal Administration2]),""))</f>
        <v/>
      </c>
      <c r="GH571" s="44" t="str">
        <f>IF(Table1[Leaving Date]="","",IF(AND(Table1[Leaving Date]&gt;42460,Table1[Leaving Date]&lt;42826),IF(Table1[Date of Last Assessment]="",Table1[Social Networks and Relationships],Table1[Social Networks and Relationships2]),""))</f>
        <v/>
      </c>
      <c r="GI571" s="44" t="str">
        <f>IF(Table1[Leaving Date]="","",IF(AND(Table1[Leaving Date]&gt;42460,Table1[Leaving Date]&lt;42826),IF(Table1[Date of Last Assessment]="",Table1[Drug and Alcohol Misuse],Table1[Drug and Alcohol Misuse2]),""))</f>
        <v/>
      </c>
      <c r="GJ571" s="44" t="str">
        <f>IF(Table1[Leaving Date]="","",IF(AND(Table1[Leaving Date]&gt;42460,Table1[Leaving Date]&lt;42826),IF(Table1[Date of Last Assessment]="",Table1[Physical Health],Table1[Physical Health2]),""))</f>
        <v/>
      </c>
      <c r="GK571" s="44" t="str">
        <f>IF(Table1[Leaving Date]="","",IF(AND(Table1[Leaving Date]&gt;42460,Table1[Leaving Date]&lt;42826),IF(Table1[Date of Last Assessment]="",Table1[Emotional and Mental Health],Table1[Emotional and Mental Health2]),""))</f>
        <v/>
      </c>
      <c r="GL571" s="44" t="str">
        <f>IF(Table1[Leaving Date]="","",IF(AND(Table1[Leaving Date]&gt;42460,Table1[Leaving Date]&lt;42826),IF(Table1[Date of Last Assessment]="",Table1[Meaningful Use of Time],Table1[Meaningful Use of Time2]),""))</f>
        <v/>
      </c>
      <c r="GM571" s="44" t="str">
        <f>IF(Table1[Leaving Date]="","",IF(AND(Table1[Leaving Date]&gt;42460,Table1[Leaving Date]&lt;42826),IF(Table1[Date of Last Assessment]="",Table1[Managing Tenancy and Accommodation],Table1[Managing Tenancy and Accommodation2]),""))</f>
        <v/>
      </c>
      <c r="GN571" s="44" t="str">
        <f>IF(Table1[Leaving Date]="","",IF(AND(Table1[Leaving Date]&gt;42460,Table1[Leaving Date]&lt;42826),IF(Table1[Date of Last Assessment]="",Table1[Offending],Table1[Offending2]),""))</f>
        <v/>
      </c>
    </row>
    <row r="572" spans="2:196" ht="20.100000000000001" customHeight="1" x14ac:dyDescent="0.2">
      <c r="B572" s="86">
        <f>+'Service Data'!$C$5:$C$5</f>
        <v>0</v>
      </c>
      <c r="C572" s="86"/>
      <c r="D572" s="86"/>
      <c r="E572" s="86"/>
      <c r="F572" s="86"/>
      <c r="G572" s="86"/>
      <c r="H572" s="6"/>
      <c r="I572" s="99" t="str">
        <f ca="1">IF(Table1[[#This Row],[Date of Birth]]="","",SUM(TODAY()-Table1[[#This Row],[Date of Birth]])/365)</f>
        <v/>
      </c>
      <c r="L572" s="86"/>
      <c r="M572" s="77"/>
      <c r="N572" s="86"/>
      <c r="O572" s="86"/>
      <c r="P572" s="91"/>
      <c r="Q572" s="86"/>
      <c r="R572" s="77"/>
      <c r="S572" s="77"/>
      <c r="T572" s="68"/>
      <c r="U572" s="68"/>
      <c r="V572" s="67"/>
      <c r="W572" s="67"/>
      <c r="X572" s="67"/>
      <c r="Y572" s="67"/>
      <c r="Z572" s="67"/>
      <c r="AA572" s="67"/>
      <c r="AB572" s="67"/>
      <c r="AC572" s="67"/>
      <c r="AD572" s="67"/>
      <c r="AE572" s="67"/>
      <c r="AF572" s="67"/>
      <c r="AG572" s="67"/>
      <c r="AH572" s="67"/>
      <c r="AI572" s="67"/>
      <c r="AJ572" s="67"/>
      <c r="AK572" s="67"/>
      <c r="AL572" s="67"/>
      <c r="AM572" s="67"/>
      <c r="AN572" s="77"/>
      <c r="AO572" s="76"/>
      <c r="AP572" s="77"/>
      <c r="AQ572" s="76"/>
      <c r="AR572" s="76"/>
      <c r="AS572" s="76"/>
      <c r="AT572" s="76"/>
      <c r="AU572" s="76"/>
      <c r="AV572" s="77"/>
      <c r="AW572" s="76"/>
      <c r="AX572" s="77"/>
      <c r="AY572" s="76"/>
      <c r="AZ572" s="76"/>
      <c r="BA572" s="76"/>
      <c r="BB572" s="76"/>
      <c r="BC572" s="76"/>
      <c r="BD572" s="77"/>
      <c r="BE572" s="76"/>
      <c r="BF572" s="77"/>
      <c r="BG572" s="76"/>
      <c r="BH572" s="76"/>
      <c r="BI572" s="76"/>
      <c r="BJ572" s="76"/>
      <c r="BK572" s="76"/>
      <c r="BL572" s="77"/>
      <c r="BM572" s="76"/>
      <c r="BN572" s="77"/>
      <c r="BO572" s="76"/>
      <c r="BP572" s="76"/>
      <c r="BQ572" s="76"/>
      <c r="BR572" s="76"/>
      <c r="BS572" s="76"/>
      <c r="BT572" s="77"/>
      <c r="BU572" s="76"/>
      <c r="BV572" s="77"/>
      <c r="BW572" s="76"/>
      <c r="BX572" s="76"/>
      <c r="BY572" s="76"/>
      <c r="BZ572" s="76"/>
      <c r="CA572" s="76"/>
      <c r="CB572" s="77"/>
      <c r="CC572" s="76"/>
      <c r="CD572" s="77"/>
      <c r="CE572" s="76"/>
      <c r="CF572" s="76"/>
      <c r="CG572" s="76"/>
      <c r="CH572" s="76"/>
      <c r="CI572" s="76"/>
      <c r="CJ572" s="77"/>
      <c r="CK572" s="76"/>
      <c r="CL572" s="77"/>
      <c r="CM572" s="76"/>
      <c r="CN572" s="76"/>
      <c r="CO572" s="76"/>
      <c r="CP572" s="76"/>
      <c r="CQ572" s="76"/>
      <c r="CR572" s="78" t="str">
        <f t="shared" si="143"/>
        <v/>
      </c>
      <c r="CS572" s="79" t="str">
        <f t="shared" si="144"/>
        <v/>
      </c>
      <c r="CT572" s="79" t="str">
        <f t="shared" si="145"/>
        <v/>
      </c>
      <c r="CU572" s="79" t="str">
        <f t="shared" si="146"/>
        <v/>
      </c>
      <c r="CV572" s="79" t="str">
        <f t="shared" si="147"/>
        <v/>
      </c>
      <c r="CW572" s="79" t="str">
        <f t="shared" si="148"/>
        <v/>
      </c>
      <c r="CX572" s="79" t="str">
        <f t="shared" si="149"/>
        <v/>
      </c>
      <c r="CY572" s="79" t="str">
        <f t="shared" si="150"/>
        <v/>
      </c>
      <c r="CZ572" s="79" t="str">
        <f t="shared" si="151"/>
        <v/>
      </c>
      <c r="DA572" s="79" t="str">
        <f t="shared" si="152"/>
        <v/>
      </c>
      <c r="DB572" s="79" t="str">
        <f t="shared" si="153"/>
        <v/>
      </c>
      <c r="DC572" s="79" t="str">
        <f t="shared" si="154"/>
        <v/>
      </c>
      <c r="DD572" s="79" t="str">
        <f t="shared" si="155"/>
        <v/>
      </c>
      <c r="DE572" s="79" t="str">
        <f t="shared" si="156"/>
        <v/>
      </c>
      <c r="DF572" s="79" t="str">
        <f t="shared" si="157"/>
        <v/>
      </c>
      <c r="DG572" s="79" t="str">
        <f t="shared" si="158"/>
        <v/>
      </c>
      <c r="DH572" s="76"/>
      <c r="DI572" s="78"/>
      <c r="DJ572" s="76"/>
      <c r="DK572" s="77"/>
      <c r="DL572" s="77"/>
      <c r="DM572" s="77"/>
      <c r="DN572" s="80"/>
      <c r="DO572" s="80"/>
      <c r="DP572" s="92" t="str">
        <f>IF(Table1[Start Date]="","",IF(Table1[Start Date]&gt;42185,"",IF(AND(Table1[Leaving Date]&gt;1,Table1[Leaving Date]&lt;42095),"",1)))</f>
        <v/>
      </c>
      <c r="DQ572" s="92" t="str">
        <f>IF(Table1[Start Date]="","",IF(Table1[Start Date]&gt;42277,"",IF(AND(Table1[Leaving Date]&gt;1,Table1[Leaving Date]&lt;42186),"",1)))</f>
        <v/>
      </c>
      <c r="DR572" s="92" t="str">
        <f>IF(Table1[Start Date]="","",IF(Table1[Start Date]&gt;42369,"",IF(AND(Table1[Leaving Date]&gt;1,Table1[Leaving Date]&lt;42278),"",1)))</f>
        <v/>
      </c>
      <c r="DS572" s="92" t="str">
        <f>IF(Table1[Start Date]="","",IF(Table1[Start Date]&gt;42460,"",IF(AND(Table1[Leaving Date]&gt;1,Table1[Leaving Date]&lt;42370),"",1)))</f>
        <v/>
      </c>
      <c r="DT572" s="92" t="str">
        <f>IF(Table1[Start Date]="","",IF(Table1[Start Date]&gt;42551,"",IF(AND(Table1[Leaving Date]&gt;1,Table1[Leaving Date]&lt;42461),"",1)))</f>
        <v/>
      </c>
      <c r="DU572" s="92" t="str">
        <f>IF(Table1[Start Date]="","",IF(Table1[Start Date]&gt;42643,"",IF(AND(Table1[Leaving Date]&gt;1,Table1[Leaving Date]&lt;42552),"",1)))</f>
        <v/>
      </c>
      <c r="DV572" s="92" t="str">
        <f>IF(Table1[Start Date]="","",IF(Table1[Start Date]&gt;42735,"",IF(AND(Table1[Leaving Date]&gt;1,Table1[Leaving Date]&lt;42644),"",1)))</f>
        <v/>
      </c>
      <c r="DW572" s="92" t="str">
        <f>IF(Table1[Start Date]="","",IF(Table1[Start Date]&gt;42825,"",IF(AND(Table1[Leaving Date]&gt;1,Table1[Leaving Date]&lt;42736),"",1)))</f>
        <v/>
      </c>
      <c r="DX572"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572" s="44" t="e">
        <f>VLOOKUP(Table1[Referral Source],Lists!$G$2:$H$20,2,FALSE)</f>
        <v>#N/A</v>
      </c>
      <c r="DZ572" s="93" t="e">
        <f>SUM(Table1[Data Referral Quarter]+Table1[Data Referral Source])</f>
        <v>#N/A</v>
      </c>
      <c r="EA572" s="44" t="b">
        <f>IF(Table1[Referral Decision]="Accepted",100,IF(Table1[Referral Decision]="Rejected by Provider",200,IF(Table1[Referral Decision]="Rejected by Applicant",300)))</f>
        <v>0</v>
      </c>
      <c r="EB572" s="44">
        <f>SUM(Table1[Data Referral Quarter]+Table1[Data Referral Decision])</f>
        <v>0</v>
      </c>
      <c r="EC572" s="44" t="b">
        <f>IF(Table1[Start Date]&gt;42735,8000,IF(Table1[Start Date]&gt;42643,7000,IF(Table1[Start Date]&gt;42551,6000,IF(Table1[Start Date]&gt;42460,5000,IF(Table1[Start Date]&gt;42369,4000,IF(Table1[Start Date]&gt;42277,3000,IF(Table1[Start Date]&gt;42185,2000,IF(Table1[Start Date]&gt;42094,1000))))))))</f>
        <v>0</v>
      </c>
      <c r="ED572" s="44" t="str">
        <f>IF(Table1[Start Date]="","",IF(Table1[Current Local Authority]="Swindon",1,"2"))</f>
        <v/>
      </c>
      <c r="EE572" s="44" t="e">
        <f>SUM(Table1[Data Start Date]+Table1[Data Local Authority])</f>
        <v>#VALUE!</v>
      </c>
      <c r="EF572" s="44">
        <f>IF(Table1[Registered with GP]="Yes",1,0)</f>
        <v>0</v>
      </c>
      <c r="EG572" s="44">
        <f>SUM(Table1[Data Start Date]+Table1[Data GP Start])</f>
        <v>0</v>
      </c>
      <c r="EH572" s="44" t="str">
        <f>IF(Table1[EET]="NEET",1,IF(Table1[EET]="Education",2,IF(Table1[EET]="Employment",2,IF(Table1[EET]="Training",2,IF(Table1[EET]="Retired",3,"")))))</f>
        <v/>
      </c>
      <c r="EI572" s="44" t="e">
        <f>Table1[Data Start Date]+Table1[Data EET Start]</f>
        <v>#VALUE!</v>
      </c>
      <c r="EJ572" s="44" t="b">
        <f>IF(Table1[Leaving Date]&gt;42735,8000,IF(Table1[Leaving Date]&gt;42643,7000,IF(Table1[Leaving Date]&gt;42551,6000,IF(Table1[Leaving Date]&gt;42460,5000,IF(Table1[Leaving Date]&gt;42369,4000,IF(Table1[Leaving Date]&gt;42277,3000,IF(Table1[Leaving Date]&gt;42185,2000,IF(Table1[Leaving Date]&gt;42094,1000))))))))</f>
        <v>0</v>
      </c>
      <c r="EK572" s="44" t="e">
        <f>VLOOKUP(Table1[Reason for Leaving],Lists!$T$2:$U$15,2,FALSE)</f>
        <v>#N/A</v>
      </c>
      <c r="EL572" s="44" t="e">
        <f>SUM(Table1[Data Leavers Date]+Table1[Data Move On])</f>
        <v>#N/A</v>
      </c>
      <c r="EM572" s="44" t="b">
        <f>IF(Table1[Registered with GP2]="Yes",1,IF(Table1[Registered with GP2]="No",0,IF(Table1[Registered with GP]="Yes",1,IF(Table1[Registered with GP]="No",0))))</f>
        <v>0</v>
      </c>
      <c r="EN572" s="44">
        <f>SUM(Table1[Data Leavers Date]+Table1[Data GP End])</f>
        <v>0</v>
      </c>
      <c r="EO572" s="44" t="str">
        <f>IF(Table1[EET2]="NEET",1,IF(Table1[EET2]="Employment",2,IF(Table1[EET2]="Education",2,IF(Table1[EET2]="Training",2,IF(Table1[EET2]="Retired",3,IF(Table1[EET]="NEET",1,IF(Table1[EET]="Employment",2,IF(Table1[EET]="Education",2,IF(Table1[EET]="Training",2,IF(Table1[EET]="Retired",3,""))))))))))</f>
        <v/>
      </c>
      <c r="EP572" s="44" t="e">
        <f>+Table1[[#This Row],[Data Leavers Date]]+Table1[[#This Row],[Data EET End]]</f>
        <v>#VALUE!</v>
      </c>
      <c r="EQ572" s="44">
        <f>IF(Table1[Exit Form Received]="Yes",1,0)</f>
        <v>0</v>
      </c>
      <c r="ER572" s="44">
        <f>+Table1[[#This Row],[Data Leavers Date]]+Table1[[#This Row],[Data Exit Forms]]</f>
        <v>0</v>
      </c>
      <c r="ES572" s="44" t="str">
        <f>IF(Table1[Data Leavers Date]=1000,SUM(Table1[Leaving Date]-Table1[Start Date]),"")</f>
        <v/>
      </c>
      <c r="ET572" s="44" t="str">
        <f>IF(Table1[Data Leavers Date]=2000,SUM(Table1[Leaving Date]-Table1[Start Date]),"")</f>
        <v/>
      </c>
      <c r="EU572" s="44" t="str">
        <f>IF(Table1[Data Leavers Date]=3000,SUM(Table1[Leaving Date]-Table1[Start Date]),"")</f>
        <v/>
      </c>
      <c r="EV572" s="44" t="str">
        <f>IF(Table1[Data Leavers Date]=4000,SUM(Table1[Leaving Date]-Table1[Start Date]),"")</f>
        <v/>
      </c>
      <c r="EW572" s="44" t="str">
        <f>IF(Table1[Data Leavers Date]=5000,SUM(Table1[Leaving Date]-Table1[Start Date]),"")</f>
        <v/>
      </c>
      <c r="EX572" s="44" t="str">
        <f>IF(Table1[Data Leavers Date]=6000,SUM(Table1[Leaving Date]-Table1[Start Date]),"")</f>
        <v/>
      </c>
      <c r="EY572" s="44" t="str">
        <f>IF(Table1[Data Leavers Date]=7000,SUM(Table1[Leaving Date]-Table1[Start Date]),"")</f>
        <v/>
      </c>
      <c r="EZ572" s="44" t="str">
        <f>IF(Table1[Data Leavers Date]=8000,SUM(Table1[Leaving Date]-Table1[Start Date]),"")</f>
        <v/>
      </c>
      <c r="FA572" s="44" t="str">
        <f>IF(Table1[Date of Initial Assessment]="","",IF(AND(Table1[Start Date]&gt;42094,Table1[Start Date]&lt;42461),Table1[Motivation and Taking Responsibility],""))</f>
        <v/>
      </c>
      <c r="FB572" s="44" t="str">
        <f>IF(Table1[Date of Initial Assessment]="","",IF(AND(Table1[Start Date]&gt;42094,Table1[Start Date]&lt;42461),Table1[Self-Care and Living Skills],""))</f>
        <v/>
      </c>
      <c r="FC572" s="44" t="str">
        <f>IF(Table1[Date of Initial Assessment]="","",IF(AND(Table1[Start Date]&gt;42094,Table1[Start Date]&lt;42461),Table1[Managing Money and Personal Administration],""))</f>
        <v/>
      </c>
      <c r="FD572" s="44" t="str">
        <f>IF(Table1[Date of Initial Assessment]="","",IF(AND(Table1[Start Date]&gt;42094,Table1[Start Date]&lt;42461),Table1[Social Networks and Relationships],""))</f>
        <v/>
      </c>
      <c r="FE572" s="44" t="str">
        <f>IF(Table1[Date of Initial Assessment]="","",IF(AND(Table1[Start Date]&gt;42094,Table1[Start Date]&lt;42461),Table1[Drug and Alcohol Misuse],""))</f>
        <v/>
      </c>
      <c r="FF572" s="44" t="str">
        <f>IF(Table1[Date of Initial Assessment]="","",IF(AND(Table1[Start Date]&gt;42094,Table1[Start Date]&lt;42461),Table1[Physical Health],""))</f>
        <v/>
      </c>
      <c r="FG572" s="44" t="str">
        <f>IF(Table1[Date of Initial Assessment]="","",IF(AND(Table1[Start Date]&gt;42094,Table1[Start Date]&lt;42461),Table1[Emotional and Mental Health],""))</f>
        <v/>
      </c>
      <c r="FH572" s="44" t="str">
        <f>IF(Table1[Date of Initial Assessment]="","",IF(AND(Table1[Start Date]&gt;42094,Table1[Start Date]&lt;42461),Table1[Meaningful Use of Time],""))</f>
        <v/>
      </c>
      <c r="FI572" s="44" t="str">
        <f>IF(Table1[Date of Initial Assessment]="","",IF(AND(Table1[Start Date]&gt;42094,Table1[Start Date]&lt;42461),Table1[Managing Tenancy and Accommodation],""))</f>
        <v/>
      </c>
      <c r="FJ572" s="44" t="str">
        <f>IF(Table1[Date of Initial Assessment]="","",IF(AND(Table1[Start Date]&gt;42094,Table1[Start Date]&lt;42461),Table1[Offending],""))</f>
        <v/>
      </c>
      <c r="FK572" s="44" t="str">
        <f>IF(Table1[Leaving Date]="","",IF(Table1[Date of Initial Assessment]="","",IF(AND(Table1[Leaving Date]&gt;42094,Table1[Leaving Date]&lt;42461),IF(Table1[Date of Last Assessment]="",Table1[Motivation and Taking Responsibility],Table1[Motivation and Taking Responsibility2]),"")))</f>
        <v/>
      </c>
      <c r="FL572" s="44" t="str">
        <f>IF(Table1[Leaving Date]="","",IF(Table1[Date of Initial Assessment]="","",IF(AND(Table1[Leaving Date]&gt;42094,Table1[Leaving Date]&lt;42461),IF(Table1[Date of Last Assessment]="",Table1[Self-Care and Living Skills],Table1[Self-Care and Living Skills2]),"")))</f>
        <v/>
      </c>
      <c r="FM572" s="44" t="str">
        <f>IF(Table1[Leaving Date]="","",IF(Table1[Date of Initial Assessment]="","",IF(AND(Table1[Leaving Date]&gt;42094,Table1[Leaving Date]&lt;42461),IF(Table1[Date of Last Assessment]="",Table1[Managing Money and Personal Administration],Table1[Managing Money and Personal Administration2]),"")))</f>
        <v/>
      </c>
      <c r="FN572" s="44" t="str">
        <f>IF(Table1[Leaving Date]="","",IF(Table1[Date of Initial Assessment]="","",IF(AND(Table1[Leaving Date]&gt;42094,Table1[Leaving Date]&lt;42461),IF(Table1[Date of Last Assessment]="",Table1[Social Networks and Relationships],Table1[Social Networks and Relationships2]),"")))</f>
        <v/>
      </c>
      <c r="FO572" s="44" t="str">
        <f>IF(Table1[Leaving Date]="","",IF(Table1[Date of Initial Assessment]="","",IF(AND(Table1[Leaving Date]&gt;42094,Table1[Leaving Date]&lt;42461),IF(Table1[Date of Last Assessment]="",Table1[Drug and Alcohol Misuse],Table1[Drug and Alcohol Misuse2]),"")))</f>
        <v/>
      </c>
      <c r="FP572" s="44" t="str">
        <f>IF(Table1[Leaving Date]="","",IF(Table1[Date of Initial Assessment]="","",IF(AND(Table1[Leaving Date]&gt;42094,Table1[Leaving Date]&lt;42461),IF(Table1[Date of Last Assessment]="",Table1[Physical Health],Table1[Physical Health2]),"")))</f>
        <v/>
      </c>
      <c r="FQ572" s="44" t="str">
        <f>IF(Table1[Leaving Date]="","",IF(Table1[Date of Initial Assessment]="","",IF(AND(Table1[Leaving Date]&gt;42094,Table1[Leaving Date]&lt;42461),IF(Table1[Date of Last Assessment]="",Table1[Emotional and Mental Health],Table1[Emotional and Mental Health2]),"")))</f>
        <v/>
      </c>
      <c r="FR572" s="44" t="str">
        <f>IF(Table1[Leaving Date]="","",IF(Table1[Date of Initial Assessment]="","",IF(AND(Table1[Leaving Date]&gt;42094,Table1[Leaving Date]&lt;42461),IF(Table1[Date of Last Assessment]="",Table1[Meaningful Use of Time],Table1[Meaningful Use of Time2]),"")))</f>
        <v/>
      </c>
      <c r="FS572" s="44" t="str">
        <f>IF(Table1[Leaving Date]="","",IF(Table1[Date of Initial Assessment]="","",IF(AND(Table1[Leaving Date]&gt;42094,Table1[Leaving Date]&lt;42461),IF(Table1[Date of Last Assessment]="",Table1[Managing Tenancy and Accommodation],Table1[Managing Tenancy and Accommodation2]),"")))</f>
        <v/>
      </c>
      <c r="FT572" s="44" t="str">
        <f>IF(Table1[Leaving Date]="","",IF(Table1[Date of Initial Assessment]="","",IF(AND(Table1[Leaving Date]&gt;42094,Table1[Leaving Date]&lt;42461),IF(Table1[Date of Last Assessment]="",Table1[Offending],Table1[Offending2]),"")))</f>
        <v/>
      </c>
      <c r="FU572" s="44" t="str">
        <f>IF(Table1[Date of Initial Assessment]="","",IF(AND(Table1[Start Date]&gt;42460,Table1[Start Date]&lt;42826),Table1[Motivation and Taking Responsibility],""))</f>
        <v/>
      </c>
      <c r="FV572" s="44" t="str">
        <f>IF(Table1[Date of Initial Assessment]="","",IF(AND(Table1[Start Date]&gt;42460,Table1[Start Date]&lt;42826),Table1[Self-Care and Living Skills],""))</f>
        <v/>
      </c>
      <c r="FW572" s="44" t="str">
        <f>IF(Table1[Date of Initial Assessment]="","",IF(AND(Table1[Start Date]&gt;42460,Table1[Start Date]&lt;42826),Table1[Managing Money and Personal Administration],""))</f>
        <v/>
      </c>
      <c r="FX572" s="44" t="str">
        <f>IF(Table1[Date of Initial Assessment]="","",IF(AND(Table1[Start Date]&gt;42460,Table1[Start Date]&lt;42826),Table1[Social Networks and Relationships],""))</f>
        <v/>
      </c>
      <c r="FY572" s="44" t="str">
        <f>IF(Table1[Date of Initial Assessment]="","",IF(AND(Table1[Start Date]&gt;42460,Table1[Start Date]&lt;42826),Table1[Drug and Alcohol Misuse],""))</f>
        <v/>
      </c>
      <c r="FZ572" s="44" t="str">
        <f>IF(Table1[Date of Initial Assessment]="","",IF(AND(Table1[Start Date]&gt;42460,Table1[Start Date]&lt;42826),Table1[Physical Health],""))</f>
        <v/>
      </c>
      <c r="GA572" s="44" t="str">
        <f>IF(Table1[Date of Initial Assessment]="","",IF(AND(Table1[Start Date]&gt;42460,Table1[Start Date]&lt;42826),Table1[Emotional and Mental Health],""))</f>
        <v/>
      </c>
      <c r="GB572" s="44" t="str">
        <f>IF(Table1[Date of Initial Assessment]="","",IF(AND(Table1[Start Date]&gt;42460,Table1[Start Date]&lt;42826),Table1[Meaningful Use of Time],""))</f>
        <v/>
      </c>
      <c r="GC572" s="44" t="str">
        <f>IF(Table1[Date of Initial Assessment]="","",IF(AND(Table1[Start Date]&gt;42460,Table1[Start Date]&lt;42826),Table1[Managing Tenancy and Accommodation],""))</f>
        <v/>
      </c>
      <c r="GD572" s="44" t="str">
        <f>IF(Table1[Date of Initial Assessment]="","",IF(AND(Table1[Start Date]&gt;42460,Table1[Start Date]&lt;42826),Table1[Offending],""))</f>
        <v/>
      </c>
      <c r="GE572" s="44" t="str">
        <f>IF(Table1[Leaving Date]="","",IF(AND(Table1[Leaving Date]&gt;42460,Table1[Leaving Date]&lt;42826),IF(Table1[Date of Last Assessment]="",Table1[Motivation and Taking Responsibility],Table1[Motivation and Taking Responsibility2]),""))</f>
        <v/>
      </c>
      <c r="GF572" s="44" t="str">
        <f>IF(Table1[Leaving Date]="","",IF(AND(Table1[Leaving Date]&gt;42460,Table1[Leaving Date]&lt;42826),IF(Table1[Date of Last Assessment]="",Table1[Self-Care and Living Skills],Table1[Self-Care and Living Skills2]),""))</f>
        <v/>
      </c>
      <c r="GG572" s="44" t="str">
        <f>IF(Table1[Leaving Date]="","",IF(AND(Table1[Leaving Date]&gt;42460,Table1[Leaving Date]&lt;42826),IF(Table1[Date of Last Assessment]="",Table1[Managing Money and Personal Administration],Table1[Managing Money and Personal Administration2]),""))</f>
        <v/>
      </c>
      <c r="GH572" s="44" t="str">
        <f>IF(Table1[Leaving Date]="","",IF(AND(Table1[Leaving Date]&gt;42460,Table1[Leaving Date]&lt;42826),IF(Table1[Date of Last Assessment]="",Table1[Social Networks and Relationships],Table1[Social Networks and Relationships2]),""))</f>
        <v/>
      </c>
      <c r="GI572" s="44" t="str">
        <f>IF(Table1[Leaving Date]="","",IF(AND(Table1[Leaving Date]&gt;42460,Table1[Leaving Date]&lt;42826),IF(Table1[Date of Last Assessment]="",Table1[Drug and Alcohol Misuse],Table1[Drug and Alcohol Misuse2]),""))</f>
        <v/>
      </c>
      <c r="GJ572" s="44" t="str">
        <f>IF(Table1[Leaving Date]="","",IF(AND(Table1[Leaving Date]&gt;42460,Table1[Leaving Date]&lt;42826),IF(Table1[Date of Last Assessment]="",Table1[Physical Health],Table1[Physical Health2]),""))</f>
        <v/>
      </c>
      <c r="GK572" s="44" t="str">
        <f>IF(Table1[Leaving Date]="","",IF(AND(Table1[Leaving Date]&gt;42460,Table1[Leaving Date]&lt;42826),IF(Table1[Date of Last Assessment]="",Table1[Emotional and Mental Health],Table1[Emotional and Mental Health2]),""))</f>
        <v/>
      </c>
      <c r="GL572" s="44" t="str">
        <f>IF(Table1[Leaving Date]="","",IF(AND(Table1[Leaving Date]&gt;42460,Table1[Leaving Date]&lt;42826),IF(Table1[Date of Last Assessment]="",Table1[Meaningful Use of Time],Table1[Meaningful Use of Time2]),""))</f>
        <v/>
      </c>
      <c r="GM572" s="44" t="str">
        <f>IF(Table1[Leaving Date]="","",IF(AND(Table1[Leaving Date]&gt;42460,Table1[Leaving Date]&lt;42826),IF(Table1[Date of Last Assessment]="",Table1[Managing Tenancy and Accommodation],Table1[Managing Tenancy and Accommodation2]),""))</f>
        <v/>
      </c>
      <c r="GN572" s="44" t="str">
        <f>IF(Table1[Leaving Date]="","",IF(AND(Table1[Leaving Date]&gt;42460,Table1[Leaving Date]&lt;42826),IF(Table1[Date of Last Assessment]="",Table1[Offending],Table1[Offending2]),""))</f>
        <v/>
      </c>
    </row>
    <row r="573" spans="2:196" ht="20.100000000000001" customHeight="1" x14ac:dyDescent="0.2">
      <c r="B573" s="86">
        <f>+'Service Data'!$C$5:$C$5</f>
        <v>0</v>
      </c>
      <c r="C573" s="86"/>
      <c r="D573" s="86"/>
      <c r="E573" s="86"/>
      <c r="F573" s="86"/>
      <c r="G573" s="86"/>
      <c r="H573" s="6"/>
      <c r="I573" s="99" t="str">
        <f ca="1">IF(Table1[[#This Row],[Date of Birth]]="","",SUM(TODAY()-Table1[[#This Row],[Date of Birth]])/365)</f>
        <v/>
      </c>
      <c r="L573" s="86"/>
      <c r="M573" s="77"/>
      <c r="N573" s="86"/>
      <c r="O573" s="86"/>
      <c r="P573" s="91"/>
      <c r="Q573" s="86"/>
      <c r="R573" s="77"/>
      <c r="S573" s="77"/>
      <c r="T573" s="68"/>
      <c r="U573" s="68"/>
      <c r="V573" s="67"/>
      <c r="W573" s="67"/>
      <c r="X573" s="67"/>
      <c r="Y573" s="67"/>
      <c r="Z573" s="67"/>
      <c r="AA573" s="67"/>
      <c r="AB573" s="67"/>
      <c r="AC573" s="67"/>
      <c r="AD573" s="67"/>
      <c r="AE573" s="67"/>
      <c r="AF573" s="67"/>
      <c r="AG573" s="67"/>
      <c r="AH573" s="67"/>
      <c r="AI573" s="67"/>
      <c r="AJ573" s="67"/>
      <c r="AK573" s="67"/>
      <c r="AL573" s="67"/>
      <c r="AM573" s="67"/>
      <c r="AN573" s="77"/>
      <c r="AO573" s="76"/>
      <c r="AP573" s="77"/>
      <c r="AQ573" s="76"/>
      <c r="AR573" s="76"/>
      <c r="AS573" s="76"/>
      <c r="AT573" s="76"/>
      <c r="AU573" s="76"/>
      <c r="AV573" s="77"/>
      <c r="AW573" s="76"/>
      <c r="AX573" s="77"/>
      <c r="AY573" s="76"/>
      <c r="AZ573" s="76"/>
      <c r="BA573" s="76"/>
      <c r="BB573" s="76"/>
      <c r="BC573" s="76"/>
      <c r="BD573" s="77"/>
      <c r="BE573" s="76"/>
      <c r="BF573" s="77"/>
      <c r="BG573" s="76"/>
      <c r="BH573" s="76"/>
      <c r="BI573" s="76"/>
      <c r="BJ573" s="76"/>
      <c r="BK573" s="76"/>
      <c r="BL573" s="77"/>
      <c r="BM573" s="76"/>
      <c r="BN573" s="77"/>
      <c r="BO573" s="76"/>
      <c r="BP573" s="76"/>
      <c r="BQ573" s="76"/>
      <c r="BR573" s="76"/>
      <c r="BS573" s="76"/>
      <c r="BT573" s="77"/>
      <c r="BU573" s="76"/>
      <c r="BV573" s="77"/>
      <c r="BW573" s="76"/>
      <c r="BX573" s="76"/>
      <c r="BY573" s="76"/>
      <c r="BZ573" s="76"/>
      <c r="CA573" s="76"/>
      <c r="CB573" s="77"/>
      <c r="CC573" s="76"/>
      <c r="CD573" s="77"/>
      <c r="CE573" s="76"/>
      <c r="CF573" s="76"/>
      <c r="CG573" s="76"/>
      <c r="CH573" s="76"/>
      <c r="CI573" s="76"/>
      <c r="CJ573" s="77"/>
      <c r="CK573" s="76"/>
      <c r="CL573" s="77"/>
      <c r="CM573" s="76"/>
      <c r="CN573" s="76"/>
      <c r="CO573" s="76"/>
      <c r="CP573" s="76"/>
      <c r="CQ573" s="76"/>
      <c r="CR573" s="78" t="str">
        <f t="shared" si="143"/>
        <v/>
      </c>
      <c r="CS573" s="79" t="str">
        <f t="shared" si="144"/>
        <v/>
      </c>
      <c r="CT573" s="79" t="str">
        <f t="shared" si="145"/>
        <v/>
      </c>
      <c r="CU573" s="79" t="str">
        <f t="shared" si="146"/>
        <v/>
      </c>
      <c r="CV573" s="79" t="str">
        <f t="shared" si="147"/>
        <v/>
      </c>
      <c r="CW573" s="79" t="str">
        <f t="shared" si="148"/>
        <v/>
      </c>
      <c r="CX573" s="79" t="str">
        <f t="shared" si="149"/>
        <v/>
      </c>
      <c r="CY573" s="79" t="str">
        <f t="shared" si="150"/>
        <v/>
      </c>
      <c r="CZ573" s="79" t="str">
        <f t="shared" si="151"/>
        <v/>
      </c>
      <c r="DA573" s="79" t="str">
        <f t="shared" si="152"/>
        <v/>
      </c>
      <c r="DB573" s="79" t="str">
        <f t="shared" si="153"/>
        <v/>
      </c>
      <c r="DC573" s="79" t="str">
        <f t="shared" si="154"/>
        <v/>
      </c>
      <c r="DD573" s="79" t="str">
        <f t="shared" si="155"/>
        <v/>
      </c>
      <c r="DE573" s="79" t="str">
        <f t="shared" si="156"/>
        <v/>
      </c>
      <c r="DF573" s="79" t="str">
        <f t="shared" si="157"/>
        <v/>
      </c>
      <c r="DG573" s="79" t="str">
        <f t="shared" si="158"/>
        <v/>
      </c>
      <c r="DH573" s="76"/>
      <c r="DI573" s="78"/>
      <c r="DJ573" s="76"/>
      <c r="DK573" s="77"/>
      <c r="DL573" s="77"/>
      <c r="DM573" s="77"/>
      <c r="DN573" s="80"/>
      <c r="DO573" s="80"/>
      <c r="DP573" s="92" t="str">
        <f>IF(Table1[Start Date]="","",IF(Table1[Start Date]&gt;42185,"",IF(AND(Table1[Leaving Date]&gt;1,Table1[Leaving Date]&lt;42095),"",1)))</f>
        <v/>
      </c>
      <c r="DQ573" s="92" t="str">
        <f>IF(Table1[Start Date]="","",IF(Table1[Start Date]&gt;42277,"",IF(AND(Table1[Leaving Date]&gt;1,Table1[Leaving Date]&lt;42186),"",1)))</f>
        <v/>
      </c>
      <c r="DR573" s="92" t="str">
        <f>IF(Table1[Start Date]="","",IF(Table1[Start Date]&gt;42369,"",IF(AND(Table1[Leaving Date]&gt;1,Table1[Leaving Date]&lt;42278),"",1)))</f>
        <v/>
      </c>
      <c r="DS573" s="92" t="str">
        <f>IF(Table1[Start Date]="","",IF(Table1[Start Date]&gt;42460,"",IF(AND(Table1[Leaving Date]&gt;1,Table1[Leaving Date]&lt;42370),"",1)))</f>
        <v/>
      </c>
      <c r="DT573" s="92" t="str">
        <f>IF(Table1[Start Date]="","",IF(Table1[Start Date]&gt;42551,"",IF(AND(Table1[Leaving Date]&gt;1,Table1[Leaving Date]&lt;42461),"",1)))</f>
        <v/>
      </c>
      <c r="DU573" s="92" t="str">
        <f>IF(Table1[Start Date]="","",IF(Table1[Start Date]&gt;42643,"",IF(AND(Table1[Leaving Date]&gt;1,Table1[Leaving Date]&lt;42552),"",1)))</f>
        <v/>
      </c>
      <c r="DV573" s="92" t="str">
        <f>IF(Table1[Start Date]="","",IF(Table1[Start Date]&gt;42735,"",IF(AND(Table1[Leaving Date]&gt;1,Table1[Leaving Date]&lt;42644),"",1)))</f>
        <v/>
      </c>
      <c r="DW573" s="92" t="str">
        <f>IF(Table1[Start Date]="","",IF(Table1[Start Date]&gt;42825,"",IF(AND(Table1[Leaving Date]&gt;1,Table1[Leaving Date]&lt;42736),"",1)))</f>
        <v/>
      </c>
      <c r="DX573"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573" s="44" t="e">
        <f>VLOOKUP(Table1[Referral Source],Lists!$G$2:$H$20,2,FALSE)</f>
        <v>#N/A</v>
      </c>
      <c r="DZ573" s="93" t="e">
        <f>SUM(Table1[Data Referral Quarter]+Table1[Data Referral Source])</f>
        <v>#N/A</v>
      </c>
      <c r="EA573" s="44" t="b">
        <f>IF(Table1[Referral Decision]="Accepted",100,IF(Table1[Referral Decision]="Rejected by Provider",200,IF(Table1[Referral Decision]="Rejected by Applicant",300)))</f>
        <v>0</v>
      </c>
      <c r="EB573" s="44">
        <f>SUM(Table1[Data Referral Quarter]+Table1[Data Referral Decision])</f>
        <v>0</v>
      </c>
      <c r="EC573" s="44" t="b">
        <f>IF(Table1[Start Date]&gt;42735,8000,IF(Table1[Start Date]&gt;42643,7000,IF(Table1[Start Date]&gt;42551,6000,IF(Table1[Start Date]&gt;42460,5000,IF(Table1[Start Date]&gt;42369,4000,IF(Table1[Start Date]&gt;42277,3000,IF(Table1[Start Date]&gt;42185,2000,IF(Table1[Start Date]&gt;42094,1000))))))))</f>
        <v>0</v>
      </c>
      <c r="ED573" s="44" t="str">
        <f>IF(Table1[Start Date]="","",IF(Table1[Current Local Authority]="Swindon",1,"2"))</f>
        <v/>
      </c>
      <c r="EE573" s="44" t="e">
        <f>SUM(Table1[Data Start Date]+Table1[Data Local Authority])</f>
        <v>#VALUE!</v>
      </c>
      <c r="EF573" s="44">
        <f>IF(Table1[Registered with GP]="Yes",1,0)</f>
        <v>0</v>
      </c>
      <c r="EG573" s="44">
        <f>SUM(Table1[Data Start Date]+Table1[Data GP Start])</f>
        <v>0</v>
      </c>
      <c r="EH573" s="44" t="str">
        <f>IF(Table1[EET]="NEET",1,IF(Table1[EET]="Education",2,IF(Table1[EET]="Employment",2,IF(Table1[EET]="Training",2,IF(Table1[EET]="Retired",3,"")))))</f>
        <v/>
      </c>
      <c r="EI573" s="44" t="e">
        <f>Table1[Data Start Date]+Table1[Data EET Start]</f>
        <v>#VALUE!</v>
      </c>
      <c r="EJ573" s="44" t="b">
        <f>IF(Table1[Leaving Date]&gt;42735,8000,IF(Table1[Leaving Date]&gt;42643,7000,IF(Table1[Leaving Date]&gt;42551,6000,IF(Table1[Leaving Date]&gt;42460,5000,IF(Table1[Leaving Date]&gt;42369,4000,IF(Table1[Leaving Date]&gt;42277,3000,IF(Table1[Leaving Date]&gt;42185,2000,IF(Table1[Leaving Date]&gt;42094,1000))))))))</f>
        <v>0</v>
      </c>
      <c r="EK573" s="44" t="e">
        <f>VLOOKUP(Table1[Reason for Leaving],Lists!$T$2:$U$15,2,FALSE)</f>
        <v>#N/A</v>
      </c>
      <c r="EL573" s="44" t="e">
        <f>SUM(Table1[Data Leavers Date]+Table1[Data Move On])</f>
        <v>#N/A</v>
      </c>
      <c r="EM573" s="44" t="b">
        <f>IF(Table1[Registered with GP2]="Yes",1,IF(Table1[Registered with GP2]="No",0,IF(Table1[Registered with GP]="Yes",1,IF(Table1[Registered with GP]="No",0))))</f>
        <v>0</v>
      </c>
      <c r="EN573" s="44">
        <f>SUM(Table1[Data Leavers Date]+Table1[Data GP End])</f>
        <v>0</v>
      </c>
      <c r="EO573" s="44" t="str">
        <f>IF(Table1[EET2]="NEET",1,IF(Table1[EET2]="Employment",2,IF(Table1[EET2]="Education",2,IF(Table1[EET2]="Training",2,IF(Table1[EET2]="Retired",3,IF(Table1[EET]="NEET",1,IF(Table1[EET]="Employment",2,IF(Table1[EET]="Education",2,IF(Table1[EET]="Training",2,IF(Table1[EET]="Retired",3,""))))))))))</f>
        <v/>
      </c>
      <c r="EP573" s="44" t="e">
        <f>+Table1[[#This Row],[Data Leavers Date]]+Table1[[#This Row],[Data EET End]]</f>
        <v>#VALUE!</v>
      </c>
      <c r="EQ573" s="44">
        <f>IF(Table1[Exit Form Received]="Yes",1,0)</f>
        <v>0</v>
      </c>
      <c r="ER573" s="44">
        <f>+Table1[[#This Row],[Data Leavers Date]]+Table1[[#This Row],[Data Exit Forms]]</f>
        <v>0</v>
      </c>
      <c r="ES573" s="44" t="str">
        <f>IF(Table1[Data Leavers Date]=1000,SUM(Table1[Leaving Date]-Table1[Start Date]),"")</f>
        <v/>
      </c>
      <c r="ET573" s="44" t="str">
        <f>IF(Table1[Data Leavers Date]=2000,SUM(Table1[Leaving Date]-Table1[Start Date]),"")</f>
        <v/>
      </c>
      <c r="EU573" s="44" t="str">
        <f>IF(Table1[Data Leavers Date]=3000,SUM(Table1[Leaving Date]-Table1[Start Date]),"")</f>
        <v/>
      </c>
      <c r="EV573" s="44" t="str">
        <f>IF(Table1[Data Leavers Date]=4000,SUM(Table1[Leaving Date]-Table1[Start Date]),"")</f>
        <v/>
      </c>
      <c r="EW573" s="44" t="str">
        <f>IF(Table1[Data Leavers Date]=5000,SUM(Table1[Leaving Date]-Table1[Start Date]),"")</f>
        <v/>
      </c>
      <c r="EX573" s="44" t="str">
        <f>IF(Table1[Data Leavers Date]=6000,SUM(Table1[Leaving Date]-Table1[Start Date]),"")</f>
        <v/>
      </c>
      <c r="EY573" s="44" t="str">
        <f>IF(Table1[Data Leavers Date]=7000,SUM(Table1[Leaving Date]-Table1[Start Date]),"")</f>
        <v/>
      </c>
      <c r="EZ573" s="44" t="str">
        <f>IF(Table1[Data Leavers Date]=8000,SUM(Table1[Leaving Date]-Table1[Start Date]),"")</f>
        <v/>
      </c>
      <c r="FA573" s="44" t="str">
        <f>IF(Table1[Date of Initial Assessment]="","",IF(AND(Table1[Start Date]&gt;42094,Table1[Start Date]&lt;42461),Table1[Motivation and Taking Responsibility],""))</f>
        <v/>
      </c>
      <c r="FB573" s="44" t="str">
        <f>IF(Table1[Date of Initial Assessment]="","",IF(AND(Table1[Start Date]&gt;42094,Table1[Start Date]&lt;42461),Table1[Self-Care and Living Skills],""))</f>
        <v/>
      </c>
      <c r="FC573" s="44" t="str">
        <f>IF(Table1[Date of Initial Assessment]="","",IF(AND(Table1[Start Date]&gt;42094,Table1[Start Date]&lt;42461),Table1[Managing Money and Personal Administration],""))</f>
        <v/>
      </c>
      <c r="FD573" s="44" t="str">
        <f>IF(Table1[Date of Initial Assessment]="","",IF(AND(Table1[Start Date]&gt;42094,Table1[Start Date]&lt;42461),Table1[Social Networks and Relationships],""))</f>
        <v/>
      </c>
      <c r="FE573" s="44" t="str">
        <f>IF(Table1[Date of Initial Assessment]="","",IF(AND(Table1[Start Date]&gt;42094,Table1[Start Date]&lt;42461),Table1[Drug and Alcohol Misuse],""))</f>
        <v/>
      </c>
      <c r="FF573" s="44" t="str">
        <f>IF(Table1[Date of Initial Assessment]="","",IF(AND(Table1[Start Date]&gt;42094,Table1[Start Date]&lt;42461),Table1[Physical Health],""))</f>
        <v/>
      </c>
      <c r="FG573" s="44" t="str">
        <f>IF(Table1[Date of Initial Assessment]="","",IF(AND(Table1[Start Date]&gt;42094,Table1[Start Date]&lt;42461),Table1[Emotional and Mental Health],""))</f>
        <v/>
      </c>
      <c r="FH573" s="44" t="str">
        <f>IF(Table1[Date of Initial Assessment]="","",IF(AND(Table1[Start Date]&gt;42094,Table1[Start Date]&lt;42461),Table1[Meaningful Use of Time],""))</f>
        <v/>
      </c>
      <c r="FI573" s="44" t="str">
        <f>IF(Table1[Date of Initial Assessment]="","",IF(AND(Table1[Start Date]&gt;42094,Table1[Start Date]&lt;42461),Table1[Managing Tenancy and Accommodation],""))</f>
        <v/>
      </c>
      <c r="FJ573" s="44" t="str">
        <f>IF(Table1[Date of Initial Assessment]="","",IF(AND(Table1[Start Date]&gt;42094,Table1[Start Date]&lt;42461),Table1[Offending],""))</f>
        <v/>
      </c>
      <c r="FK573" s="44" t="str">
        <f>IF(Table1[Leaving Date]="","",IF(Table1[Date of Initial Assessment]="","",IF(AND(Table1[Leaving Date]&gt;42094,Table1[Leaving Date]&lt;42461),IF(Table1[Date of Last Assessment]="",Table1[Motivation and Taking Responsibility],Table1[Motivation and Taking Responsibility2]),"")))</f>
        <v/>
      </c>
      <c r="FL573" s="44" t="str">
        <f>IF(Table1[Leaving Date]="","",IF(Table1[Date of Initial Assessment]="","",IF(AND(Table1[Leaving Date]&gt;42094,Table1[Leaving Date]&lt;42461),IF(Table1[Date of Last Assessment]="",Table1[Self-Care and Living Skills],Table1[Self-Care and Living Skills2]),"")))</f>
        <v/>
      </c>
      <c r="FM573" s="44" t="str">
        <f>IF(Table1[Leaving Date]="","",IF(Table1[Date of Initial Assessment]="","",IF(AND(Table1[Leaving Date]&gt;42094,Table1[Leaving Date]&lt;42461),IF(Table1[Date of Last Assessment]="",Table1[Managing Money and Personal Administration],Table1[Managing Money and Personal Administration2]),"")))</f>
        <v/>
      </c>
      <c r="FN573" s="44" t="str">
        <f>IF(Table1[Leaving Date]="","",IF(Table1[Date of Initial Assessment]="","",IF(AND(Table1[Leaving Date]&gt;42094,Table1[Leaving Date]&lt;42461),IF(Table1[Date of Last Assessment]="",Table1[Social Networks and Relationships],Table1[Social Networks and Relationships2]),"")))</f>
        <v/>
      </c>
      <c r="FO573" s="44" t="str">
        <f>IF(Table1[Leaving Date]="","",IF(Table1[Date of Initial Assessment]="","",IF(AND(Table1[Leaving Date]&gt;42094,Table1[Leaving Date]&lt;42461),IF(Table1[Date of Last Assessment]="",Table1[Drug and Alcohol Misuse],Table1[Drug and Alcohol Misuse2]),"")))</f>
        <v/>
      </c>
      <c r="FP573" s="44" t="str">
        <f>IF(Table1[Leaving Date]="","",IF(Table1[Date of Initial Assessment]="","",IF(AND(Table1[Leaving Date]&gt;42094,Table1[Leaving Date]&lt;42461),IF(Table1[Date of Last Assessment]="",Table1[Physical Health],Table1[Physical Health2]),"")))</f>
        <v/>
      </c>
      <c r="FQ573" s="44" t="str">
        <f>IF(Table1[Leaving Date]="","",IF(Table1[Date of Initial Assessment]="","",IF(AND(Table1[Leaving Date]&gt;42094,Table1[Leaving Date]&lt;42461),IF(Table1[Date of Last Assessment]="",Table1[Emotional and Mental Health],Table1[Emotional and Mental Health2]),"")))</f>
        <v/>
      </c>
      <c r="FR573" s="44" t="str">
        <f>IF(Table1[Leaving Date]="","",IF(Table1[Date of Initial Assessment]="","",IF(AND(Table1[Leaving Date]&gt;42094,Table1[Leaving Date]&lt;42461),IF(Table1[Date of Last Assessment]="",Table1[Meaningful Use of Time],Table1[Meaningful Use of Time2]),"")))</f>
        <v/>
      </c>
      <c r="FS573" s="44" t="str">
        <f>IF(Table1[Leaving Date]="","",IF(Table1[Date of Initial Assessment]="","",IF(AND(Table1[Leaving Date]&gt;42094,Table1[Leaving Date]&lt;42461),IF(Table1[Date of Last Assessment]="",Table1[Managing Tenancy and Accommodation],Table1[Managing Tenancy and Accommodation2]),"")))</f>
        <v/>
      </c>
      <c r="FT573" s="44" t="str">
        <f>IF(Table1[Leaving Date]="","",IF(Table1[Date of Initial Assessment]="","",IF(AND(Table1[Leaving Date]&gt;42094,Table1[Leaving Date]&lt;42461),IF(Table1[Date of Last Assessment]="",Table1[Offending],Table1[Offending2]),"")))</f>
        <v/>
      </c>
      <c r="FU573" s="44" t="str">
        <f>IF(Table1[Date of Initial Assessment]="","",IF(AND(Table1[Start Date]&gt;42460,Table1[Start Date]&lt;42826),Table1[Motivation and Taking Responsibility],""))</f>
        <v/>
      </c>
      <c r="FV573" s="44" t="str">
        <f>IF(Table1[Date of Initial Assessment]="","",IF(AND(Table1[Start Date]&gt;42460,Table1[Start Date]&lt;42826),Table1[Self-Care and Living Skills],""))</f>
        <v/>
      </c>
      <c r="FW573" s="44" t="str">
        <f>IF(Table1[Date of Initial Assessment]="","",IF(AND(Table1[Start Date]&gt;42460,Table1[Start Date]&lt;42826),Table1[Managing Money and Personal Administration],""))</f>
        <v/>
      </c>
      <c r="FX573" s="44" t="str">
        <f>IF(Table1[Date of Initial Assessment]="","",IF(AND(Table1[Start Date]&gt;42460,Table1[Start Date]&lt;42826),Table1[Social Networks and Relationships],""))</f>
        <v/>
      </c>
      <c r="FY573" s="44" t="str">
        <f>IF(Table1[Date of Initial Assessment]="","",IF(AND(Table1[Start Date]&gt;42460,Table1[Start Date]&lt;42826),Table1[Drug and Alcohol Misuse],""))</f>
        <v/>
      </c>
      <c r="FZ573" s="44" t="str">
        <f>IF(Table1[Date of Initial Assessment]="","",IF(AND(Table1[Start Date]&gt;42460,Table1[Start Date]&lt;42826),Table1[Physical Health],""))</f>
        <v/>
      </c>
      <c r="GA573" s="44" t="str">
        <f>IF(Table1[Date of Initial Assessment]="","",IF(AND(Table1[Start Date]&gt;42460,Table1[Start Date]&lt;42826),Table1[Emotional and Mental Health],""))</f>
        <v/>
      </c>
      <c r="GB573" s="44" t="str">
        <f>IF(Table1[Date of Initial Assessment]="","",IF(AND(Table1[Start Date]&gt;42460,Table1[Start Date]&lt;42826),Table1[Meaningful Use of Time],""))</f>
        <v/>
      </c>
      <c r="GC573" s="44" t="str">
        <f>IF(Table1[Date of Initial Assessment]="","",IF(AND(Table1[Start Date]&gt;42460,Table1[Start Date]&lt;42826),Table1[Managing Tenancy and Accommodation],""))</f>
        <v/>
      </c>
      <c r="GD573" s="44" t="str">
        <f>IF(Table1[Date of Initial Assessment]="","",IF(AND(Table1[Start Date]&gt;42460,Table1[Start Date]&lt;42826),Table1[Offending],""))</f>
        <v/>
      </c>
      <c r="GE573" s="44" t="str">
        <f>IF(Table1[Leaving Date]="","",IF(AND(Table1[Leaving Date]&gt;42460,Table1[Leaving Date]&lt;42826),IF(Table1[Date of Last Assessment]="",Table1[Motivation and Taking Responsibility],Table1[Motivation and Taking Responsibility2]),""))</f>
        <v/>
      </c>
      <c r="GF573" s="44" t="str">
        <f>IF(Table1[Leaving Date]="","",IF(AND(Table1[Leaving Date]&gt;42460,Table1[Leaving Date]&lt;42826),IF(Table1[Date of Last Assessment]="",Table1[Self-Care and Living Skills],Table1[Self-Care and Living Skills2]),""))</f>
        <v/>
      </c>
      <c r="GG573" s="44" t="str">
        <f>IF(Table1[Leaving Date]="","",IF(AND(Table1[Leaving Date]&gt;42460,Table1[Leaving Date]&lt;42826),IF(Table1[Date of Last Assessment]="",Table1[Managing Money and Personal Administration],Table1[Managing Money and Personal Administration2]),""))</f>
        <v/>
      </c>
      <c r="GH573" s="44" t="str">
        <f>IF(Table1[Leaving Date]="","",IF(AND(Table1[Leaving Date]&gt;42460,Table1[Leaving Date]&lt;42826),IF(Table1[Date of Last Assessment]="",Table1[Social Networks and Relationships],Table1[Social Networks and Relationships2]),""))</f>
        <v/>
      </c>
      <c r="GI573" s="44" t="str">
        <f>IF(Table1[Leaving Date]="","",IF(AND(Table1[Leaving Date]&gt;42460,Table1[Leaving Date]&lt;42826),IF(Table1[Date of Last Assessment]="",Table1[Drug and Alcohol Misuse],Table1[Drug and Alcohol Misuse2]),""))</f>
        <v/>
      </c>
      <c r="GJ573" s="44" t="str">
        <f>IF(Table1[Leaving Date]="","",IF(AND(Table1[Leaving Date]&gt;42460,Table1[Leaving Date]&lt;42826),IF(Table1[Date of Last Assessment]="",Table1[Physical Health],Table1[Physical Health2]),""))</f>
        <v/>
      </c>
      <c r="GK573" s="44" t="str">
        <f>IF(Table1[Leaving Date]="","",IF(AND(Table1[Leaving Date]&gt;42460,Table1[Leaving Date]&lt;42826),IF(Table1[Date of Last Assessment]="",Table1[Emotional and Mental Health],Table1[Emotional and Mental Health2]),""))</f>
        <v/>
      </c>
      <c r="GL573" s="44" t="str">
        <f>IF(Table1[Leaving Date]="","",IF(AND(Table1[Leaving Date]&gt;42460,Table1[Leaving Date]&lt;42826),IF(Table1[Date of Last Assessment]="",Table1[Meaningful Use of Time],Table1[Meaningful Use of Time2]),""))</f>
        <v/>
      </c>
      <c r="GM573" s="44" t="str">
        <f>IF(Table1[Leaving Date]="","",IF(AND(Table1[Leaving Date]&gt;42460,Table1[Leaving Date]&lt;42826),IF(Table1[Date of Last Assessment]="",Table1[Managing Tenancy and Accommodation],Table1[Managing Tenancy and Accommodation2]),""))</f>
        <v/>
      </c>
      <c r="GN573" s="44" t="str">
        <f>IF(Table1[Leaving Date]="","",IF(AND(Table1[Leaving Date]&gt;42460,Table1[Leaving Date]&lt;42826),IF(Table1[Date of Last Assessment]="",Table1[Offending],Table1[Offending2]),""))</f>
        <v/>
      </c>
    </row>
    <row r="574" spans="2:196" ht="20.100000000000001" customHeight="1" x14ac:dyDescent="0.2">
      <c r="B574" s="86">
        <f>+'Service Data'!$C$5:$C$5</f>
        <v>0</v>
      </c>
      <c r="C574" s="86"/>
      <c r="D574" s="86"/>
      <c r="E574" s="86"/>
      <c r="F574" s="86"/>
      <c r="G574" s="86"/>
      <c r="H574" s="6"/>
      <c r="I574" s="99" t="str">
        <f ca="1">IF(Table1[[#This Row],[Date of Birth]]="","",SUM(TODAY()-Table1[[#This Row],[Date of Birth]])/365)</f>
        <v/>
      </c>
      <c r="L574" s="86"/>
      <c r="M574" s="77"/>
      <c r="N574" s="86"/>
      <c r="O574" s="86"/>
      <c r="P574" s="91"/>
      <c r="Q574" s="86"/>
      <c r="R574" s="77"/>
      <c r="S574" s="77"/>
      <c r="T574" s="68"/>
      <c r="U574" s="68"/>
      <c r="V574" s="67"/>
      <c r="W574" s="67"/>
      <c r="X574" s="67"/>
      <c r="Y574" s="67"/>
      <c r="Z574" s="67"/>
      <c r="AA574" s="67"/>
      <c r="AB574" s="67"/>
      <c r="AC574" s="67"/>
      <c r="AD574" s="67"/>
      <c r="AE574" s="67"/>
      <c r="AF574" s="67"/>
      <c r="AG574" s="67"/>
      <c r="AH574" s="67"/>
      <c r="AI574" s="67"/>
      <c r="AJ574" s="67"/>
      <c r="AK574" s="67"/>
      <c r="AL574" s="67"/>
      <c r="AM574" s="67"/>
      <c r="AN574" s="77"/>
      <c r="AO574" s="76"/>
      <c r="AP574" s="77"/>
      <c r="AQ574" s="76"/>
      <c r="AR574" s="76"/>
      <c r="AS574" s="76"/>
      <c r="AT574" s="76"/>
      <c r="AU574" s="76"/>
      <c r="AV574" s="77"/>
      <c r="AW574" s="76"/>
      <c r="AX574" s="77"/>
      <c r="AY574" s="76"/>
      <c r="AZ574" s="76"/>
      <c r="BA574" s="76"/>
      <c r="BB574" s="76"/>
      <c r="BC574" s="76"/>
      <c r="BD574" s="77"/>
      <c r="BE574" s="76"/>
      <c r="BF574" s="77"/>
      <c r="BG574" s="76"/>
      <c r="BH574" s="76"/>
      <c r="BI574" s="76"/>
      <c r="BJ574" s="76"/>
      <c r="BK574" s="76"/>
      <c r="BL574" s="77"/>
      <c r="BM574" s="76"/>
      <c r="BN574" s="77"/>
      <c r="BO574" s="76"/>
      <c r="BP574" s="76"/>
      <c r="BQ574" s="76"/>
      <c r="BR574" s="76"/>
      <c r="BS574" s="76"/>
      <c r="BT574" s="77"/>
      <c r="BU574" s="76"/>
      <c r="BV574" s="77"/>
      <c r="BW574" s="76"/>
      <c r="BX574" s="76"/>
      <c r="BY574" s="76"/>
      <c r="BZ574" s="76"/>
      <c r="CA574" s="76"/>
      <c r="CB574" s="77"/>
      <c r="CC574" s="76"/>
      <c r="CD574" s="77"/>
      <c r="CE574" s="76"/>
      <c r="CF574" s="76"/>
      <c r="CG574" s="76"/>
      <c r="CH574" s="76"/>
      <c r="CI574" s="76"/>
      <c r="CJ574" s="77"/>
      <c r="CK574" s="76"/>
      <c r="CL574" s="77"/>
      <c r="CM574" s="76"/>
      <c r="CN574" s="76"/>
      <c r="CO574" s="76"/>
      <c r="CP574" s="76"/>
      <c r="CQ574" s="76"/>
      <c r="CR574" s="78" t="str">
        <f t="shared" si="143"/>
        <v/>
      </c>
      <c r="CS574" s="79" t="str">
        <f t="shared" si="144"/>
        <v/>
      </c>
      <c r="CT574" s="79" t="str">
        <f t="shared" si="145"/>
        <v/>
      </c>
      <c r="CU574" s="79" t="str">
        <f t="shared" si="146"/>
        <v/>
      </c>
      <c r="CV574" s="79" t="str">
        <f t="shared" si="147"/>
        <v/>
      </c>
      <c r="CW574" s="79" t="str">
        <f t="shared" si="148"/>
        <v/>
      </c>
      <c r="CX574" s="79" t="str">
        <f t="shared" si="149"/>
        <v/>
      </c>
      <c r="CY574" s="79" t="str">
        <f t="shared" si="150"/>
        <v/>
      </c>
      <c r="CZ574" s="79" t="str">
        <f t="shared" si="151"/>
        <v/>
      </c>
      <c r="DA574" s="79" t="str">
        <f t="shared" si="152"/>
        <v/>
      </c>
      <c r="DB574" s="79" t="str">
        <f t="shared" si="153"/>
        <v/>
      </c>
      <c r="DC574" s="79" t="str">
        <f t="shared" si="154"/>
        <v/>
      </c>
      <c r="DD574" s="79" t="str">
        <f t="shared" si="155"/>
        <v/>
      </c>
      <c r="DE574" s="79" t="str">
        <f t="shared" si="156"/>
        <v/>
      </c>
      <c r="DF574" s="79" t="str">
        <f t="shared" si="157"/>
        <v/>
      </c>
      <c r="DG574" s="79" t="str">
        <f t="shared" si="158"/>
        <v/>
      </c>
      <c r="DH574" s="76"/>
      <c r="DI574" s="78"/>
      <c r="DJ574" s="76"/>
      <c r="DK574" s="77"/>
      <c r="DL574" s="77"/>
      <c r="DM574" s="77"/>
      <c r="DN574" s="80"/>
      <c r="DO574" s="80"/>
      <c r="DP574" s="92" t="str">
        <f>IF(Table1[Start Date]="","",IF(Table1[Start Date]&gt;42185,"",IF(AND(Table1[Leaving Date]&gt;1,Table1[Leaving Date]&lt;42095),"",1)))</f>
        <v/>
      </c>
      <c r="DQ574" s="92" t="str">
        <f>IF(Table1[Start Date]="","",IF(Table1[Start Date]&gt;42277,"",IF(AND(Table1[Leaving Date]&gt;1,Table1[Leaving Date]&lt;42186),"",1)))</f>
        <v/>
      </c>
      <c r="DR574" s="92" t="str">
        <f>IF(Table1[Start Date]="","",IF(Table1[Start Date]&gt;42369,"",IF(AND(Table1[Leaving Date]&gt;1,Table1[Leaving Date]&lt;42278),"",1)))</f>
        <v/>
      </c>
      <c r="DS574" s="92" t="str">
        <f>IF(Table1[Start Date]="","",IF(Table1[Start Date]&gt;42460,"",IF(AND(Table1[Leaving Date]&gt;1,Table1[Leaving Date]&lt;42370),"",1)))</f>
        <v/>
      </c>
      <c r="DT574" s="92" t="str">
        <f>IF(Table1[Start Date]="","",IF(Table1[Start Date]&gt;42551,"",IF(AND(Table1[Leaving Date]&gt;1,Table1[Leaving Date]&lt;42461),"",1)))</f>
        <v/>
      </c>
      <c r="DU574" s="92" t="str">
        <f>IF(Table1[Start Date]="","",IF(Table1[Start Date]&gt;42643,"",IF(AND(Table1[Leaving Date]&gt;1,Table1[Leaving Date]&lt;42552),"",1)))</f>
        <v/>
      </c>
      <c r="DV574" s="92" t="str">
        <f>IF(Table1[Start Date]="","",IF(Table1[Start Date]&gt;42735,"",IF(AND(Table1[Leaving Date]&gt;1,Table1[Leaving Date]&lt;42644),"",1)))</f>
        <v/>
      </c>
      <c r="DW574" s="92" t="str">
        <f>IF(Table1[Start Date]="","",IF(Table1[Start Date]&gt;42825,"",IF(AND(Table1[Leaving Date]&gt;1,Table1[Leaving Date]&lt;42736),"",1)))</f>
        <v/>
      </c>
      <c r="DX574"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574" s="44" t="e">
        <f>VLOOKUP(Table1[Referral Source],Lists!$G$2:$H$20,2,FALSE)</f>
        <v>#N/A</v>
      </c>
      <c r="DZ574" s="93" t="e">
        <f>SUM(Table1[Data Referral Quarter]+Table1[Data Referral Source])</f>
        <v>#N/A</v>
      </c>
      <c r="EA574" s="44" t="b">
        <f>IF(Table1[Referral Decision]="Accepted",100,IF(Table1[Referral Decision]="Rejected by Provider",200,IF(Table1[Referral Decision]="Rejected by Applicant",300)))</f>
        <v>0</v>
      </c>
      <c r="EB574" s="44">
        <f>SUM(Table1[Data Referral Quarter]+Table1[Data Referral Decision])</f>
        <v>0</v>
      </c>
      <c r="EC574" s="44" t="b">
        <f>IF(Table1[Start Date]&gt;42735,8000,IF(Table1[Start Date]&gt;42643,7000,IF(Table1[Start Date]&gt;42551,6000,IF(Table1[Start Date]&gt;42460,5000,IF(Table1[Start Date]&gt;42369,4000,IF(Table1[Start Date]&gt;42277,3000,IF(Table1[Start Date]&gt;42185,2000,IF(Table1[Start Date]&gt;42094,1000))))))))</f>
        <v>0</v>
      </c>
      <c r="ED574" s="44" t="str">
        <f>IF(Table1[Start Date]="","",IF(Table1[Current Local Authority]="Swindon",1,"2"))</f>
        <v/>
      </c>
      <c r="EE574" s="44" t="e">
        <f>SUM(Table1[Data Start Date]+Table1[Data Local Authority])</f>
        <v>#VALUE!</v>
      </c>
      <c r="EF574" s="44">
        <f>IF(Table1[Registered with GP]="Yes",1,0)</f>
        <v>0</v>
      </c>
      <c r="EG574" s="44">
        <f>SUM(Table1[Data Start Date]+Table1[Data GP Start])</f>
        <v>0</v>
      </c>
      <c r="EH574" s="44" t="str">
        <f>IF(Table1[EET]="NEET",1,IF(Table1[EET]="Education",2,IF(Table1[EET]="Employment",2,IF(Table1[EET]="Training",2,IF(Table1[EET]="Retired",3,"")))))</f>
        <v/>
      </c>
      <c r="EI574" s="44" t="e">
        <f>Table1[Data Start Date]+Table1[Data EET Start]</f>
        <v>#VALUE!</v>
      </c>
      <c r="EJ574" s="44" t="b">
        <f>IF(Table1[Leaving Date]&gt;42735,8000,IF(Table1[Leaving Date]&gt;42643,7000,IF(Table1[Leaving Date]&gt;42551,6000,IF(Table1[Leaving Date]&gt;42460,5000,IF(Table1[Leaving Date]&gt;42369,4000,IF(Table1[Leaving Date]&gt;42277,3000,IF(Table1[Leaving Date]&gt;42185,2000,IF(Table1[Leaving Date]&gt;42094,1000))))))))</f>
        <v>0</v>
      </c>
      <c r="EK574" s="44" t="e">
        <f>VLOOKUP(Table1[Reason for Leaving],Lists!$T$2:$U$15,2,FALSE)</f>
        <v>#N/A</v>
      </c>
      <c r="EL574" s="44" t="e">
        <f>SUM(Table1[Data Leavers Date]+Table1[Data Move On])</f>
        <v>#N/A</v>
      </c>
      <c r="EM574" s="44" t="b">
        <f>IF(Table1[Registered with GP2]="Yes",1,IF(Table1[Registered with GP2]="No",0,IF(Table1[Registered with GP]="Yes",1,IF(Table1[Registered with GP]="No",0))))</f>
        <v>0</v>
      </c>
      <c r="EN574" s="44">
        <f>SUM(Table1[Data Leavers Date]+Table1[Data GP End])</f>
        <v>0</v>
      </c>
      <c r="EO574" s="44" t="str">
        <f>IF(Table1[EET2]="NEET",1,IF(Table1[EET2]="Employment",2,IF(Table1[EET2]="Education",2,IF(Table1[EET2]="Training",2,IF(Table1[EET2]="Retired",3,IF(Table1[EET]="NEET",1,IF(Table1[EET]="Employment",2,IF(Table1[EET]="Education",2,IF(Table1[EET]="Training",2,IF(Table1[EET]="Retired",3,""))))))))))</f>
        <v/>
      </c>
      <c r="EP574" s="44" t="e">
        <f>+Table1[[#This Row],[Data Leavers Date]]+Table1[[#This Row],[Data EET End]]</f>
        <v>#VALUE!</v>
      </c>
      <c r="EQ574" s="44">
        <f>IF(Table1[Exit Form Received]="Yes",1,0)</f>
        <v>0</v>
      </c>
      <c r="ER574" s="44">
        <f>+Table1[[#This Row],[Data Leavers Date]]+Table1[[#This Row],[Data Exit Forms]]</f>
        <v>0</v>
      </c>
      <c r="ES574" s="44" t="str">
        <f>IF(Table1[Data Leavers Date]=1000,SUM(Table1[Leaving Date]-Table1[Start Date]),"")</f>
        <v/>
      </c>
      <c r="ET574" s="44" t="str">
        <f>IF(Table1[Data Leavers Date]=2000,SUM(Table1[Leaving Date]-Table1[Start Date]),"")</f>
        <v/>
      </c>
      <c r="EU574" s="44" t="str">
        <f>IF(Table1[Data Leavers Date]=3000,SUM(Table1[Leaving Date]-Table1[Start Date]),"")</f>
        <v/>
      </c>
      <c r="EV574" s="44" t="str">
        <f>IF(Table1[Data Leavers Date]=4000,SUM(Table1[Leaving Date]-Table1[Start Date]),"")</f>
        <v/>
      </c>
      <c r="EW574" s="44" t="str">
        <f>IF(Table1[Data Leavers Date]=5000,SUM(Table1[Leaving Date]-Table1[Start Date]),"")</f>
        <v/>
      </c>
      <c r="EX574" s="44" t="str">
        <f>IF(Table1[Data Leavers Date]=6000,SUM(Table1[Leaving Date]-Table1[Start Date]),"")</f>
        <v/>
      </c>
      <c r="EY574" s="44" t="str">
        <f>IF(Table1[Data Leavers Date]=7000,SUM(Table1[Leaving Date]-Table1[Start Date]),"")</f>
        <v/>
      </c>
      <c r="EZ574" s="44" t="str">
        <f>IF(Table1[Data Leavers Date]=8000,SUM(Table1[Leaving Date]-Table1[Start Date]),"")</f>
        <v/>
      </c>
      <c r="FA574" s="44" t="str">
        <f>IF(Table1[Date of Initial Assessment]="","",IF(AND(Table1[Start Date]&gt;42094,Table1[Start Date]&lt;42461),Table1[Motivation and Taking Responsibility],""))</f>
        <v/>
      </c>
      <c r="FB574" s="44" t="str">
        <f>IF(Table1[Date of Initial Assessment]="","",IF(AND(Table1[Start Date]&gt;42094,Table1[Start Date]&lt;42461),Table1[Self-Care and Living Skills],""))</f>
        <v/>
      </c>
      <c r="FC574" s="44" t="str">
        <f>IF(Table1[Date of Initial Assessment]="","",IF(AND(Table1[Start Date]&gt;42094,Table1[Start Date]&lt;42461),Table1[Managing Money and Personal Administration],""))</f>
        <v/>
      </c>
      <c r="FD574" s="44" t="str">
        <f>IF(Table1[Date of Initial Assessment]="","",IF(AND(Table1[Start Date]&gt;42094,Table1[Start Date]&lt;42461),Table1[Social Networks and Relationships],""))</f>
        <v/>
      </c>
      <c r="FE574" s="44" t="str">
        <f>IF(Table1[Date of Initial Assessment]="","",IF(AND(Table1[Start Date]&gt;42094,Table1[Start Date]&lt;42461),Table1[Drug and Alcohol Misuse],""))</f>
        <v/>
      </c>
      <c r="FF574" s="44" t="str">
        <f>IF(Table1[Date of Initial Assessment]="","",IF(AND(Table1[Start Date]&gt;42094,Table1[Start Date]&lt;42461),Table1[Physical Health],""))</f>
        <v/>
      </c>
      <c r="FG574" s="44" t="str">
        <f>IF(Table1[Date of Initial Assessment]="","",IF(AND(Table1[Start Date]&gt;42094,Table1[Start Date]&lt;42461),Table1[Emotional and Mental Health],""))</f>
        <v/>
      </c>
      <c r="FH574" s="44" t="str">
        <f>IF(Table1[Date of Initial Assessment]="","",IF(AND(Table1[Start Date]&gt;42094,Table1[Start Date]&lt;42461),Table1[Meaningful Use of Time],""))</f>
        <v/>
      </c>
      <c r="FI574" s="44" t="str">
        <f>IF(Table1[Date of Initial Assessment]="","",IF(AND(Table1[Start Date]&gt;42094,Table1[Start Date]&lt;42461),Table1[Managing Tenancy and Accommodation],""))</f>
        <v/>
      </c>
      <c r="FJ574" s="44" t="str">
        <f>IF(Table1[Date of Initial Assessment]="","",IF(AND(Table1[Start Date]&gt;42094,Table1[Start Date]&lt;42461),Table1[Offending],""))</f>
        <v/>
      </c>
      <c r="FK574" s="44" t="str">
        <f>IF(Table1[Leaving Date]="","",IF(Table1[Date of Initial Assessment]="","",IF(AND(Table1[Leaving Date]&gt;42094,Table1[Leaving Date]&lt;42461),IF(Table1[Date of Last Assessment]="",Table1[Motivation and Taking Responsibility],Table1[Motivation and Taking Responsibility2]),"")))</f>
        <v/>
      </c>
      <c r="FL574" s="44" t="str">
        <f>IF(Table1[Leaving Date]="","",IF(Table1[Date of Initial Assessment]="","",IF(AND(Table1[Leaving Date]&gt;42094,Table1[Leaving Date]&lt;42461),IF(Table1[Date of Last Assessment]="",Table1[Self-Care and Living Skills],Table1[Self-Care and Living Skills2]),"")))</f>
        <v/>
      </c>
      <c r="FM574" s="44" t="str">
        <f>IF(Table1[Leaving Date]="","",IF(Table1[Date of Initial Assessment]="","",IF(AND(Table1[Leaving Date]&gt;42094,Table1[Leaving Date]&lt;42461),IF(Table1[Date of Last Assessment]="",Table1[Managing Money and Personal Administration],Table1[Managing Money and Personal Administration2]),"")))</f>
        <v/>
      </c>
      <c r="FN574" s="44" t="str">
        <f>IF(Table1[Leaving Date]="","",IF(Table1[Date of Initial Assessment]="","",IF(AND(Table1[Leaving Date]&gt;42094,Table1[Leaving Date]&lt;42461),IF(Table1[Date of Last Assessment]="",Table1[Social Networks and Relationships],Table1[Social Networks and Relationships2]),"")))</f>
        <v/>
      </c>
      <c r="FO574" s="44" t="str">
        <f>IF(Table1[Leaving Date]="","",IF(Table1[Date of Initial Assessment]="","",IF(AND(Table1[Leaving Date]&gt;42094,Table1[Leaving Date]&lt;42461),IF(Table1[Date of Last Assessment]="",Table1[Drug and Alcohol Misuse],Table1[Drug and Alcohol Misuse2]),"")))</f>
        <v/>
      </c>
      <c r="FP574" s="44" t="str">
        <f>IF(Table1[Leaving Date]="","",IF(Table1[Date of Initial Assessment]="","",IF(AND(Table1[Leaving Date]&gt;42094,Table1[Leaving Date]&lt;42461),IF(Table1[Date of Last Assessment]="",Table1[Physical Health],Table1[Physical Health2]),"")))</f>
        <v/>
      </c>
      <c r="FQ574" s="44" t="str">
        <f>IF(Table1[Leaving Date]="","",IF(Table1[Date of Initial Assessment]="","",IF(AND(Table1[Leaving Date]&gt;42094,Table1[Leaving Date]&lt;42461),IF(Table1[Date of Last Assessment]="",Table1[Emotional and Mental Health],Table1[Emotional and Mental Health2]),"")))</f>
        <v/>
      </c>
      <c r="FR574" s="44" t="str">
        <f>IF(Table1[Leaving Date]="","",IF(Table1[Date of Initial Assessment]="","",IF(AND(Table1[Leaving Date]&gt;42094,Table1[Leaving Date]&lt;42461),IF(Table1[Date of Last Assessment]="",Table1[Meaningful Use of Time],Table1[Meaningful Use of Time2]),"")))</f>
        <v/>
      </c>
      <c r="FS574" s="44" t="str">
        <f>IF(Table1[Leaving Date]="","",IF(Table1[Date of Initial Assessment]="","",IF(AND(Table1[Leaving Date]&gt;42094,Table1[Leaving Date]&lt;42461),IF(Table1[Date of Last Assessment]="",Table1[Managing Tenancy and Accommodation],Table1[Managing Tenancy and Accommodation2]),"")))</f>
        <v/>
      </c>
      <c r="FT574" s="44" t="str">
        <f>IF(Table1[Leaving Date]="","",IF(Table1[Date of Initial Assessment]="","",IF(AND(Table1[Leaving Date]&gt;42094,Table1[Leaving Date]&lt;42461),IF(Table1[Date of Last Assessment]="",Table1[Offending],Table1[Offending2]),"")))</f>
        <v/>
      </c>
      <c r="FU574" s="44" t="str">
        <f>IF(Table1[Date of Initial Assessment]="","",IF(AND(Table1[Start Date]&gt;42460,Table1[Start Date]&lt;42826),Table1[Motivation and Taking Responsibility],""))</f>
        <v/>
      </c>
      <c r="FV574" s="44" t="str">
        <f>IF(Table1[Date of Initial Assessment]="","",IF(AND(Table1[Start Date]&gt;42460,Table1[Start Date]&lt;42826),Table1[Self-Care and Living Skills],""))</f>
        <v/>
      </c>
      <c r="FW574" s="44" t="str">
        <f>IF(Table1[Date of Initial Assessment]="","",IF(AND(Table1[Start Date]&gt;42460,Table1[Start Date]&lt;42826),Table1[Managing Money and Personal Administration],""))</f>
        <v/>
      </c>
      <c r="FX574" s="44" t="str">
        <f>IF(Table1[Date of Initial Assessment]="","",IF(AND(Table1[Start Date]&gt;42460,Table1[Start Date]&lt;42826),Table1[Social Networks and Relationships],""))</f>
        <v/>
      </c>
      <c r="FY574" s="44" t="str">
        <f>IF(Table1[Date of Initial Assessment]="","",IF(AND(Table1[Start Date]&gt;42460,Table1[Start Date]&lt;42826),Table1[Drug and Alcohol Misuse],""))</f>
        <v/>
      </c>
      <c r="FZ574" s="44" t="str">
        <f>IF(Table1[Date of Initial Assessment]="","",IF(AND(Table1[Start Date]&gt;42460,Table1[Start Date]&lt;42826),Table1[Physical Health],""))</f>
        <v/>
      </c>
      <c r="GA574" s="44" t="str">
        <f>IF(Table1[Date of Initial Assessment]="","",IF(AND(Table1[Start Date]&gt;42460,Table1[Start Date]&lt;42826),Table1[Emotional and Mental Health],""))</f>
        <v/>
      </c>
      <c r="GB574" s="44" t="str">
        <f>IF(Table1[Date of Initial Assessment]="","",IF(AND(Table1[Start Date]&gt;42460,Table1[Start Date]&lt;42826),Table1[Meaningful Use of Time],""))</f>
        <v/>
      </c>
      <c r="GC574" s="44" t="str">
        <f>IF(Table1[Date of Initial Assessment]="","",IF(AND(Table1[Start Date]&gt;42460,Table1[Start Date]&lt;42826),Table1[Managing Tenancy and Accommodation],""))</f>
        <v/>
      </c>
      <c r="GD574" s="44" t="str">
        <f>IF(Table1[Date of Initial Assessment]="","",IF(AND(Table1[Start Date]&gt;42460,Table1[Start Date]&lt;42826),Table1[Offending],""))</f>
        <v/>
      </c>
      <c r="GE574" s="44" t="str">
        <f>IF(Table1[Leaving Date]="","",IF(AND(Table1[Leaving Date]&gt;42460,Table1[Leaving Date]&lt;42826),IF(Table1[Date of Last Assessment]="",Table1[Motivation and Taking Responsibility],Table1[Motivation and Taking Responsibility2]),""))</f>
        <v/>
      </c>
      <c r="GF574" s="44" t="str">
        <f>IF(Table1[Leaving Date]="","",IF(AND(Table1[Leaving Date]&gt;42460,Table1[Leaving Date]&lt;42826),IF(Table1[Date of Last Assessment]="",Table1[Self-Care and Living Skills],Table1[Self-Care and Living Skills2]),""))</f>
        <v/>
      </c>
      <c r="GG574" s="44" t="str">
        <f>IF(Table1[Leaving Date]="","",IF(AND(Table1[Leaving Date]&gt;42460,Table1[Leaving Date]&lt;42826),IF(Table1[Date of Last Assessment]="",Table1[Managing Money and Personal Administration],Table1[Managing Money and Personal Administration2]),""))</f>
        <v/>
      </c>
      <c r="GH574" s="44" t="str">
        <f>IF(Table1[Leaving Date]="","",IF(AND(Table1[Leaving Date]&gt;42460,Table1[Leaving Date]&lt;42826),IF(Table1[Date of Last Assessment]="",Table1[Social Networks and Relationships],Table1[Social Networks and Relationships2]),""))</f>
        <v/>
      </c>
      <c r="GI574" s="44" t="str">
        <f>IF(Table1[Leaving Date]="","",IF(AND(Table1[Leaving Date]&gt;42460,Table1[Leaving Date]&lt;42826),IF(Table1[Date of Last Assessment]="",Table1[Drug and Alcohol Misuse],Table1[Drug and Alcohol Misuse2]),""))</f>
        <v/>
      </c>
      <c r="GJ574" s="44" t="str">
        <f>IF(Table1[Leaving Date]="","",IF(AND(Table1[Leaving Date]&gt;42460,Table1[Leaving Date]&lt;42826),IF(Table1[Date of Last Assessment]="",Table1[Physical Health],Table1[Physical Health2]),""))</f>
        <v/>
      </c>
      <c r="GK574" s="44" t="str">
        <f>IF(Table1[Leaving Date]="","",IF(AND(Table1[Leaving Date]&gt;42460,Table1[Leaving Date]&lt;42826),IF(Table1[Date of Last Assessment]="",Table1[Emotional and Mental Health],Table1[Emotional and Mental Health2]),""))</f>
        <v/>
      </c>
      <c r="GL574" s="44" t="str">
        <f>IF(Table1[Leaving Date]="","",IF(AND(Table1[Leaving Date]&gt;42460,Table1[Leaving Date]&lt;42826),IF(Table1[Date of Last Assessment]="",Table1[Meaningful Use of Time],Table1[Meaningful Use of Time2]),""))</f>
        <v/>
      </c>
      <c r="GM574" s="44" t="str">
        <f>IF(Table1[Leaving Date]="","",IF(AND(Table1[Leaving Date]&gt;42460,Table1[Leaving Date]&lt;42826),IF(Table1[Date of Last Assessment]="",Table1[Managing Tenancy and Accommodation],Table1[Managing Tenancy and Accommodation2]),""))</f>
        <v/>
      </c>
      <c r="GN574" s="44" t="str">
        <f>IF(Table1[Leaving Date]="","",IF(AND(Table1[Leaving Date]&gt;42460,Table1[Leaving Date]&lt;42826),IF(Table1[Date of Last Assessment]="",Table1[Offending],Table1[Offending2]),""))</f>
        <v/>
      </c>
    </row>
    <row r="575" spans="2:196" ht="20.100000000000001" customHeight="1" x14ac:dyDescent="0.2">
      <c r="B575" s="86">
        <f>+'Service Data'!$C$5:$C$5</f>
        <v>0</v>
      </c>
      <c r="C575" s="86"/>
      <c r="D575" s="86"/>
      <c r="E575" s="86"/>
      <c r="F575" s="86"/>
      <c r="G575" s="86"/>
      <c r="H575" s="6"/>
      <c r="I575" s="99" t="str">
        <f ca="1">IF(Table1[[#This Row],[Date of Birth]]="","",SUM(TODAY()-Table1[[#This Row],[Date of Birth]])/365)</f>
        <v/>
      </c>
      <c r="L575" s="86"/>
      <c r="M575" s="77"/>
      <c r="N575" s="86"/>
      <c r="O575" s="86"/>
      <c r="P575" s="91"/>
      <c r="Q575" s="86"/>
      <c r="R575" s="77"/>
      <c r="S575" s="77"/>
      <c r="T575" s="68"/>
      <c r="U575" s="68"/>
      <c r="V575" s="67"/>
      <c r="W575" s="67"/>
      <c r="X575" s="67"/>
      <c r="Y575" s="67"/>
      <c r="Z575" s="67"/>
      <c r="AA575" s="67"/>
      <c r="AB575" s="67"/>
      <c r="AC575" s="67"/>
      <c r="AD575" s="67"/>
      <c r="AE575" s="67"/>
      <c r="AF575" s="67"/>
      <c r="AG575" s="67"/>
      <c r="AH575" s="67"/>
      <c r="AI575" s="67"/>
      <c r="AJ575" s="67"/>
      <c r="AK575" s="67"/>
      <c r="AL575" s="67"/>
      <c r="AM575" s="67"/>
      <c r="AN575" s="77"/>
      <c r="AO575" s="76"/>
      <c r="AP575" s="77"/>
      <c r="AQ575" s="76"/>
      <c r="AR575" s="76"/>
      <c r="AS575" s="76"/>
      <c r="AT575" s="76"/>
      <c r="AU575" s="76"/>
      <c r="AV575" s="77"/>
      <c r="AW575" s="76"/>
      <c r="AX575" s="77"/>
      <c r="AY575" s="76"/>
      <c r="AZ575" s="76"/>
      <c r="BA575" s="76"/>
      <c r="BB575" s="76"/>
      <c r="BC575" s="76"/>
      <c r="BD575" s="77"/>
      <c r="BE575" s="76"/>
      <c r="BF575" s="77"/>
      <c r="BG575" s="76"/>
      <c r="BH575" s="76"/>
      <c r="BI575" s="76"/>
      <c r="BJ575" s="76"/>
      <c r="BK575" s="76"/>
      <c r="BL575" s="77"/>
      <c r="BM575" s="76"/>
      <c r="BN575" s="77"/>
      <c r="BO575" s="76"/>
      <c r="BP575" s="76"/>
      <c r="BQ575" s="76"/>
      <c r="BR575" s="76"/>
      <c r="BS575" s="76"/>
      <c r="BT575" s="77"/>
      <c r="BU575" s="76"/>
      <c r="BV575" s="77"/>
      <c r="BW575" s="76"/>
      <c r="BX575" s="76"/>
      <c r="BY575" s="76"/>
      <c r="BZ575" s="76"/>
      <c r="CA575" s="76"/>
      <c r="CB575" s="77"/>
      <c r="CC575" s="76"/>
      <c r="CD575" s="77"/>
      <c r="CE575" s="76"/>
      <c r="CF575" s="76"/>
      <c r="CG575" s="76"/>
      <c r="CH575" s="76"/>
      <c r="CI575" s="76"/>
      <c r="CJ575" s="77"/>
      <c r="CK575" s="76"/>
      <c r="CL575" s="77"/>
      <c r="CM575" s="76"/>
      <c r="CN575" s="76"/>
      <c r="CO575" s="76"/>
      <c r="CP575" s="76"/>
      <c r="CQ575" s="76"/>
      <c r="CR575" s="78" t="str">
        <f t="shared" si="143"/>
        <v/>
      </c>
      <c r="CS575" s="79" t="str">
        <f t="shared" si="144"/>
        <v/>
      </c>
      <c r="CT575" s="79" t="str">
        <f t="shared" si="145"/>
        <v/>
      </c>
      <c r="CU575" s="79" t="str">
        <f t="shared" si="146"/>
        <v/>
      </c>
      <c r="CV575" s="79" t="str">
        <f t="shared" si="147"/>
        <v/>
      </c>
      <c r="CW575" s="79" t="str">
        <f t="shared" si="148"/>
        <v/>
      </c>
      <c r="CX575" s="79" t="str">
        <f t="shared" si="149"/>
        <v/>
      </c>
      <c r="CY575" s="79" t="str">
        <f t="shared" si="150"/>
        <v/>
      </c>
      <c r="CZ575" s="79" t="str">
        <f t="shared" si="151"/>
        <v/>
      </c>
      <c r="DA575" s="79" t="str">
        <f t="shared" si="152"/>
        <v/>
      </c>
      <c r="DB575" s="79" t="str">
        <f t="shared" si="153"/>
        <v/>
      </c>
      <c r="DC575" s="79" t="str">
        <f t="shared" si="154"/>
        <v/>
      </c>
      <c r="DD575" s="79" t="str">
        <f t="shared" si="155"/>
        <v/>
      </c>
      <c r="DE575" s="79" t="str">
        <f t="shared" si="156"/>
        <v/>
      </c>
      <c r="DF575" s="79" t="str">
        <f t="shared" si="157"/>
        <v/>
      </c>
      <c r="DG575" s="79" t="str">
        <f t="shared" si="158"/>
        <v/>
      </c>
      <c r="DH575" s="76"/>
      <c r="DI575" s="78"/>
      <c r="DJ575" s="76"/>
      <c r="DK575" s="77"/>
      <c r="DL575" s="77"/>
      <c r="DM575" s="77"/>
      <c r="DN575" s="80"/>
      <c r="DO575" s="80"/>
      <c r="DP575" s="92" t="str">
        <f>IF(Table1[Start Date]="","",IF(Table1[Start Date]&gt;42185,"",IF(AND(Table1[Leaving Date]&gt;1,Table1[Leaving Date]&lt;42095),"",1)))</f>
        <v/>
      </c>
      <c r="DQ575" s="92" t="str">
        <f>IF(Table1[Start Date]="","",IF(Table1[Start Date]&gt;42277,"",IF(AND(Table1[Leaving Date]&gt;1,Table1[Leaving Date]&lt;42186),"",1)))</f>
        <v/>
      </c>
      <c r="DR575" s="92" t="str">
        <f>IF(Table1[Start Date]="","",IF(Table1[Start Date]&gt;42369,"",IF(AND(Table1[Leaving Date]&gt;1,Table1[Leaving Date]&lt;42278),"",1)))</f>
        <v/>
      </c>
      <c r="DS575" s="92" t="str">
        <f>IF(Table1[Start Date]="","",IF(Table1[Start Date]&gt;42460,"",IF(AND(Table1[Leaving Date]&gt;1,Table1[Leaving Date]&lt;42370),"",1)))</f>
        <v/>
      </c>
      <c r="DT575" s="92" t="str">
        <f>IF(Table1[Start Date]="","",IF(Table1[Start Date]&gt;42551,"",IF(AND(Table1[Leaving Date]&gt;1,Table1[Leaving Date]&lt;42461),"",1)))</f>
        <v/>
      </c>
      <c r="DU575" s="92" t="str">
        <f>IF(Table1[Start Date]="","",IF(Table1[Start Date]&gt;42643,"",IF(AND(Table1[Leaving Date]&gt;1,Table1[Leaving Date]&lt;42552),"",1)))</f>
        <v/>
      </c>
      <c r="DV575" s="92" t="str">
        <f>IF(Table1[Start Date]="","",IF(Table1[Start Date]&gt;42735,"",IF(AND(Table1[Leaving Date]&gt;1,Table1[Leaving Date]&lt;42644),"",1)))</f>
        <v/>
      </c>
      <c r="DW575" s="92" t="str">
        <f>IF(Table1[Start Date]="","",IF(Table1[Start Date]&gt;42825,"",IF(AND(Table1[Leaving Date]&gt;1,Table1[Leaving Date]&lt;42736),"",1)))</f>
        <v/>
      </c>
      <c r="DX575"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575" s="44" t="e">
        <f>VLOOKUP(Table1[Referral Source],Lists!$G$2:$H$20,2,FALSE)</f>
        <v>#N/A</v>
      </c>
      <c r="DZ575" s="93" t="e">
        <f>SUM(Table1[Data Referral Quarter]+Table1[Data Referral Source])</f>
        <v>#N/A</v>
      </c>
      <c r="EA575" s="44" t="b">
        <f>IF(Table1[Referral Decision]="Accepted",100,IF(Table1[Referral Decision]="Rejected by Provider",200,IF(Table1[Referral Decision]="Rejected by Applicant",300)))</f>
        <v>0</v>
      </c>
      <c r="EB575" s="44">
        <f>SUM(Table1[Data Referral Quarter]+Table1[Data Referral Decision])</f>
        <v>0</v>
      </c>
      <c r="EC575" s="44" t="b">
        <f>IF(Table1[Start Date]&gt;42735,8000,IF(Table1[Start Date]&gt;42643,7000,IF(Table1[Start Date]&gt;42551,6000,IF(Table1[Start Date]&gt;42460,5000,IF(Table1[Start Date]&gt;42369,4000,IF(Table1[Start Date]&gt;42277,3000,IF(Table1[Start Date]&gt;42185,2000,IF(Table1[Start Date]&gt;42094,1000))))))))</f>
        <v>0</v>
      </c>
      <c r="ED575" s="44" t="str">
        <f>IF(Table1[Start Date]="","",IF(Table1[Current Local Authority]="Swindon",1,"2"))</f>
        <v/>
      </c>
      <c r="EE575" s="44" t="e">
        <f>SUM(Table1[Data Start Date]+Table1[Data Local Authority])</f>
        <v>#VALUE!</v>
      </c>
      <c r="EF575" s="44">
        <f>IF(Table1[Registered with GP]="Yes",1,0)</f>
        <v>0</v>
      </c>
      <c r="EG575" s="44">
        <f>SUM(Table1[Data Start Date]+Table1[Data GP Start])</f>
        <v>0</v>
      </c>
      <c r="EH575" s="44" t="str">
        <f>IF(Table1[EET]="NEET",1,IF(Table1[EET]="Education",2,IF(Table1[EET]="Employment",2,IF(Table1[EET]="Training",2,IF(Table1[EET]="Retired",3,"")))))</f>
        <v/>
      </c>
      <c r="EI575" s="44" t="e">
        <f>Table1[Data Start Date]+Table1[Data EET Start]</f>
        <v>#VALUE!</v>
      </c>
      <c r="EJ575" s="44" t="b">
        <f>IF(Table1[Leaving Date]&gt;42735,8000,IF(Table1[Leaving Date]&gt;42643,7000,IF(Table1[Leaving Date]&gt;42551,6000,IF(Table1[Leaving Date]&gt;42460,5000,IF(Table1[Leaving Date]&gt;42369,4000,IF(Table1[Leaving Date]&gt;42277,3000,IF(Table1[Leaving Date]&gt;42185,2000,IF(Table1[Leaving Date]&gt;42094,1000))))))))</f>
        <v>0</v>
      </c>
      <c r="EK575" s="44" t="e">
        <f>VLOOKUP(Table1[Reason for Leaving],Lists!$T$2:$U$15,2,FALSE)</f>
        <v>#N/A</v>
      </c>
      <c r="EL575" s="44" t="e">
        <f>SUM(Table1[Data Leavers Date]+Table1[Data Move On])</f>
        <v>#N/A</v>
      </c>
      <c r="EM575" s="44" t="b">
        <f>IF(Table1[Registered with GP2]="Yes",1,IF(Table1[Registered with GP2]="No",0,IF(Table1[Registered with GP]="Yes",1,IF(Table1[Registered with GP]="No",0))))</f>
        <v>0</v>
      </c>
      <c r="EN575" s="44">
        <f>SUM(Table1[Data Leavers Date]+Table1[Data GP End])</f>
        <v>0</v>
      </c>
      <c r="EO575" s="44" t="str">
        <f>IF(Table1[EET2]="NEET",1,IF(Table1[EET2]="Employment",2,IF(Table1[EET2]="Education",2,IF(Table1[EET2]="Training",2,IF(Table1[EET2]="Retired",3,IF(Table1[EET]="NEET",1,IF(Table1[EET]="Employment",2,IF(Table1[EET]="Education",2,IF(Table1[EET]="Training",2,IF(Table1[EET]="Retired",3,""))))))))))</f>
        <v/>
      </c>
      <c r="EP575" s="44" t="e">
        <f>+Table1[[#This Row],[Data Leavers Date]]+Table1[[#This Row],[Data EET End]]</f>
        <v>#VALUE!</v>
      </c>
      <c r="EQ575" s="44">
        <f>IF(Table1[Exit Form Received]="Yes",1,0)</f>
        <v>0</v>
      </c>
      <c r="ER575" s="44">
        <f>+Table1[[#This Row],[Data Leavers Date]]+Table1[[#This Row],[Data Exit Forms]]</f>
        <v>0</v>
      </c>
      <c r="ES575" s="44" t="str">
        <f>IF(Table1[Data Leavers Date]=1000,SUM(Table1[Leaving Date]-Table1[Start Date]),"")</f>
        <v/>
      </c>
      <c r="ET575" s="44" t="str">
        <f>IF(Table1[Data Leavers Date]=2000,SUM(Table1[Leaving Date]-Table1[Start Date]),"")</f>
        <v/>
      </c>
      <c r="EU575" s="44" t="str">
        <f>IF(Table1[Data Leavers Date]=3000,SUM(Table1[Leaving Date]-Table1[Start Date]),"")</f>
        <v/>
      </c>
      <c r="EV575" s="44" t="str">
        <f>IF(Table1[Data Leavers Date]=4000,SUM(Table1[Leaving Date]-Table1[Start Date]),"")</f>
        <v/>
      </c>
      <c r="EW575" s="44" t="str">
        <f>IF(Table1[Data Leavers Date]=5000,SUM(Table1[Leaving Date]-Table1[Start Date]),"")</f>
        <v/>
      </c>
      <c r="EX575" s="44" t="str">
        <f>IF(Table1[Data Leavers Date]=6000,SUM(Table1[Leaving Date]-Table1[Start Date]),"")</f>
        <v/>
      </c>
      <c r="EY575" s="44" t="str">
        <f>IF(Table1[Data Leavers Date]=7000,SUM(Table1[Leaving Date]-Table1[Start Date]),"")</f>
        <v/>
      </c>
      <c r="EZ575" s="44" t="str">
        <f>IF(Table1[Data Leavers Date]=8000,SUM(Table1[Leaving Date]-Table1[Start Date]),"")</f>
        <v/>
      </c>
      <c r="FA575" s="44" t="str">
        <f>IF(Table1[Date of Initial Assessment]="","",IF(AND(Table1[Start Date]&gt;42094,Table1[Start Date]&lt;42461),Table1[Motivation and Taking Responsibility],""))</f>
        <v/>
      </c>
      <c r="FB575" s="44" t="str">
        <f>IF(Table1[Date of Initial Assessment]="","",IF(AND(Table1[Start Date]&gt;42094,Table1[Start Date]&lt;42461),Table1[Self-Care and Living Skills],""))</f>
        <v/>
      </c>
      <c r="FC575" s="44" t="str">
        <f>IF(Table1[Date of Initial Assessment]="","",IF(AND(Table1[Start Date]&gt;42094,Table1[Start Date]&lt;42461),Table1[Managing Money and Personal Administration],""))</f>
        <v/>
      </c>
      <c r="FD575" s="44" t="str">
        <f>IF(Table1[Date of Initial Assessment]="","",IF(AND(Table1[Start Date]&gt;42094,Table1[Start Date]&lt;42461),Table1[Social Networks and Relationships],""))</f>
        <v/>
      </c>
      <c r="FE575" s="44" t="str">
        <f>IF(Table1[Date of Initial Assessment]="","",IF(AND(Table1[Start Date]&gt;42094,Table1[Start Date]&lt;42461),Table1[Drug and Alcohol Misuse],""))</f>
        <v/>
      </c>
      <c r="FF575" s="44" t="str">
        <f>IF(Table1[Date of Initial Assessment]="","",IF(AND(Table1[Start Date]&gt;42094,Table1[Start Date]&lt;42461),Table1[Physical Health],""))</f>
        <v/>
      </c>
      <c r="FG575" s="44" t="str">
        <f>IF(Table1[Date of Initial Assessment]="","",IF(AND(Table1[Start Date]&gt;42094,Table1[Start Date]&lt;42461),Table1[Emotional and Mental Health],""))</f>
        <v/>
      </c>
      <c r="FH575" s="44" t="str">
        <f>IF(Table1[Date of Initial Assessment]="","",IF(AND(Table1[Start Date]&gt;42094,Table1[Start Date]&lt;42461),Table1[Meaningful Use of Time],""))</f>
        <v/>
      </c>
      <c r="FI575" s="44" t="str">
        <f>IF(Table1[Date of Initial Assessment]="","",IF(AND(Table1[Start Date]&gt;42094,Table1[Start Date]&lt;42461),Table1[Managing Tenancy and Accommodation],""))</f>
        <v/>
      </c>
      <c r="FJ575" s="44" t="str">
        <f>IF(Table1[Date of Initial Assessment]="","",IF(AND(Table1[Start Date]&gt;42094,Table1[Start Date]&lt;42461),Table1[Offending],""))</f>
        <v/>
      </c>
      <c r="FK575" s="44" t="str">
        <f>IF(Table1[Leaving Date]="","",IF(Table1[Date of Initial Assessment]="","",IF(AND(Table1[Leaving Date]&gt;42094,Table1[Leaving Date]&lt;42461),IF(Table1[Date of Last Assessment]="",Table1[Motivation and Taking Responsibility],Table1[Motivation and Taking Responsibility2]),"")))</f>
        <v/>
      </c>
      <c r="FL575" s="44" t="str">
        <f>IF(Table1[Leaving Date]="","",IF(Table1[Date of Initial Assessment]="","",IF(AND(Table1[Leaving Date]&gt;42094,Table1[Leaving Date]&lt;42461),IF(Table1[Date of Last Assessment]="",Table1[Self-Care and Living Skills],Table1[Self-Care and Living Skills2]),"")))</f>
        <v/>
      </c>
      <c r="FM575" s="44" t="str">
        <f>IF(Table1[Leaving Date]="","",IF(Table1[Date of Initial Assessment]="","",IF(AND(Table1[Leaving Date]&gt;42094,Table1[Leaving Date]&lt;42461),IF(Table1[Date of Last Assessment]="",Table1[Managing Money and Personal Administration],Table1[Managing Money and Personal Administration2]),"")))</f>
        <v/>
      </c>
      <c r="FN575" s="44" t="str">
        <f>IF(Table1[Leaving Date]="","",IF(Table1[Date of Initial Assessment]="","",IF(AND(Table1[Leaving Date]&gt;42094,Table1[Leaving Date]&lt;42461),IF(Table1[Date of Last Assessment]="",Table1[Social Networks and Relationships],Table1[Social Networks and Relationships2]),"")))</f>
        <v/>
      </c>
      <c r="FO575" s="44" t="str">
        <f>IF(Table1[Leaving Date]="","",IF(Table1[Date of Initial Assessment]="","",IF(AND(Table1[Leaving Date]&gt;42094,Table1[Leaving Date]&lt;42461),IF(Table1[Date of Last Assessment]="",Table1[Drug and Alcohol Misuse],Table1[Drug and Alcohol Misuse2]),"")))</f>
        <v/>
      </c>
      <c r="FP575" s="44" t="str">
        <f>IF(Table1[Leaving Date]="","",IF(Table1[Date of Initial Assessment]="","",IF(AND(Table1[Leaving Date]&gt;42094,Table1[Leaving Date]&lt;42461),IF(Table1[Date of Last Assessment]="",Table1[Physical Health],Table1[Physical Health2]),"")))</f>
        <v/>
      </c>
      <c r="FQ575" s="44" t="str">
        <f>IF(Table1[Leaving Date]="","",IF(Table1[Date of Initial Assessment]="","",IF(AND(Table1[Leaving Date]&gt;42094,Table1[Leaving Date]&lt;42461),IF(Table1[Date of Last Assessment]="",Table1[Emotional and Mental Health],Table1[Emotional and Mental Health2]),"")))</f>
        <v/>
      </c>
      <c r="FR575" s="44" t="str">
        <f>IF(Table1[Leaving Date]="","",IF(Table1[Date of Initial Assessment]="","",IF(AND(Table1[Leaving Date]&gt;42094,Table1[Leaving Date]&lt;42461),IF(Table1[Date of Last Assessment]="",Table1[Meaningful Use of Time],Table1[Meaningful Use of Time2]),"")))</f>
        <v/>
      </c>
      <c r="FS575" s="44" t="str">
        <f>IF(Table1[Leaving Date]="","",IF(Table1[Date of Initial Assessment]="","",IF(AND(Table1[Leaving Date]&gt;42094,Table1[Leaving Date]&lt;42461),IF(Table1[Date of Last Assessment]="",Table1[Managing Tenancy and Accommodation],Table1[Managing Tenancy and Accommodation2]),"")))</f>
        <v/>
      </c>
      <c r="FT575" s="44" t="str">
        <f>IF(Table1[Leaving Date]="","",IF(Table1[Date of Initial Assessment]="","",IF(AND(Table1[Leaving Date]&gt;42094,Table1[Leaving Date]&lt;42461),IF(Table1[Date of Last Assessment]="",Table1[Offending],Table1[Offending2]),"")))</f>
        <v/>
      </c>
      <c r="FU575" s="44" t="str">
        <f>IF(Table1[Date of Initial Assessment]="","",IF(AND(Table1[Start Date]&gt;42460,Table1[Start Date]&lt;42826),Table1[Motivation and Taking Responsibility],""))</f>
        <v/>
      </c>
      <c r="FV575" s="44" t="str">
        <f>IF(Table1[Date of Initial Assessment]="","",IF(AND(Table1[Start Date]&gt;42460,Table1[Start Date]&lt;42826),Table1[Self-Care and Living Skills],""))</f>
        <v/>
      </c>
      <c r="FW575" s="44" t="str">
        <f>IF(Table1[Date of Initial Assessment]="","",IF(AND(Table1[Start Date]&gt;42460,Table1[Start Date]&lt;42826),Table1[Managing Money and Personal Administration],""))</f>
        <v/>
      </c>
      <c r="FX575" s="44" t="str">
        <f>IF(Table1[Date of Initial Assessment]="","",IF(AND(Table1[Start Date]&gt;42460,Table1[Start Date]&lt;42826),Table1[Social Networks and Relationships],""))</f>
        <v/>
      </c>
      <c r="FY575" s="44" t="str">
        <f>IF(Table1[Date of Initial Assessment]="","",IF(AND(Table1[Start Date]&gt;42460,Table1[Start Date]&lt;42826),Table1[Drug and Alcohol Misuse],""))</f>
        <v/>
      </c>
      <c r="FZ575" s="44" t="str">
        <f>IF(Table1[Date of Initial Assessment]="","",IF(AND(Table1[Start Date]&gt;42460,Table1[Start Date]&lt;42826),Table1[Physical Health],""))</f>
        <v/>
      </c>
      <c r="GA575" s="44" t="str">
        <f>IF(Table1[Date of Initial Assessment]="","",IF(AND(Table1[Start Date]&gt;42460,Table1[Start Date]&lt;42826),Table1[Emotional and Mental Health],""))</f>
        <v/>
      </c>
      <c r="GB575" s="44" t="str">
        <f>IF(Table1[Date of Initial Assessment]="","",IF(AND(Table1[Start Date]&gt;42460,Table1[Start Date]&lt;42826),Table1[Meaningful Use of Time],""))</f>
        <v/>
      </c>
      <c r="GC575" s="44" t="str">
        <f>IF(Table1[Date of Initial Assessment]="","",IF(AND(Table1[Start Date]&gt;42460,Table1[Start Date]&lt;42826),Table1[Managing Tenancy and Accommodation],""))</f>
        <v/>
      </c>
      <c r="GD575" s="44" t="str">
        <f>IF(Table1[Date of Initial Assessment]="","",IF(AND(Table1[Start Date]&gt;42460,Table1[Start Date]&lt;42826),Table1[Offending],""))</f>
        <v/>
      </c>
      <c r="GE575" s="44" t="str">
        <f>IF(Table1[Leaving Date]="","",IF(AND(Table1[Leaving Date]&gt;42460,Table1[Leaving Date]&lt;42826),IF(Table1[Date of Last Assessment]="",Table1[Motivation and Taking Responsibility],Table1[Motivation and Taking Responsibility2]),""))</f>
        <v/>
      </c>
      <c r="GF575" s="44" t="str">
        <f>IF(Table1[Leaving Date]="","",IF(AND(Table1[Leaving Date]&gt;42460,Table1[Leaving Date]&lt;42826),IF(Table1[Date of Last Assessment]="",Table1[Self-Care and Living Skills],Table1[Self-Care and Living Skills2]),""))</f>
        <v/>
      </c>
      <c r="GG575" s="44" t="str">
        <f>IF(Table1[Leaving Date]="","",IF(AND(Table1[Leaving Date]&gt;42460,Table1[Leaving Date]&lt;42826),IF(Table1[Date of Last Assessment]="",Table1[Managing Money and Personal Administration],Table1[Managing Money and Personal Administration2]),""))</f>
        <v/>
      </c>
      <c r="GH575" s="44" t="str">
        <f>IF(Table1[Leaving Date]="","",IF(AND(Table1[Leaving Date]&gt;42460,Table1[Leaving Date]&lt;42826),IF(Table1[Date of Last Assessment]="",Table1[Social Networks and Relationships],Table1[Social Networks and Relationships2]),""))</f>
        <v/>
      </c>
      <c r="GI575" s="44" t="str">
        <f>IF(Table1[Leaving Date]="","",IF(AND(Table1[Leaving Date]&gt;42460,Table1[Leaving Date]&lt;42826),IF(Table1[Date of Last Assessment]="",Table1[Drug and Alcohol Misuse],Table1[Drug and Alcohol Misuse2]),""))</f>
        <v/>
      </c>
      <c r="GJ575" s="44" t="str">
        <f>IF(Table1[Leaving Date]="","",IF(AND(Table1[Leaving Date]&gt;42460,Table1[Leaving Date]&lt;42826),IF(Table1[Date of Last Assessment]="",Table1[Physical Health],Table1[Physical Health2]),""))</f>
        <v/>
      </c>
      <c r="GK575" s="44" t="str">
        <f>IF(Table1[Leaving Date]="","",IF(AND(Table1[Leaving Date]&gt;42460,Table1[Leaving Date]&lt;42826),IF(Table1[Date of Last Assessment]="",Table1[Emotional and Mental Health],Table1[Emotional and Mental Health2]),""))</f>
        <v/>
      </c>
      <c r="GL575" s="44" t="str">
        <f>IF(Table1[Leaving Date]="","",IF(AND(Table1[Leaving Date]&gt;42460,Table1[Leaving Date]&lt;42826),IF(Table1[Date of Last Assessment]="",Table1[Meaningful Use of Time],Table1[Meaningful Use of Time2]),""))</f>
        <v/>
      </c>
      <c r="GM575" s="44" t="str">
        <f>IF(Table1[Leaving Date]="","",IF(AND(Table1[Leaving Date]&gt;42460,Table1[Leaving Date]&lt;42826),IF(Table1[Date of Last Assessment]="",Table1[Managing Tenancy and Accommodation],Table1[Managing Tenancy and Accommodation2]),""))</f>
        <v/>
      </c>
      <c r="GN575" s="44" t="str">
        <f>IF(Table1[Leaving Date]="","",IF(AND(Table1[Leaving Date]&gt;42460,Table1[Leaving Date]&lt;42826),IF(Table1[Date of Last Assessment]="",Table1[Offending],Table1[Offending2]),""))</f>
        <v/>
      </c>
    </row>
    <row r="576" spans="2:196" ht="20.100000000000001" customHeight="1" x14ac:dyDescent="0.2">
      <c r="B576" s="86">
        <f>+'Service Data'!$C$5:$C$5</f>
        <v>0</v>
      </c>
      <c r="C576" s="86"/>
      <c r="D576" s="86"/>
      <c r="E576" s="86"/>
      <c r="F576" s="86"/>
      <c r="G576" s="86"/>
      <c r="H576" s="6"/>
      <c r="I576" s="99" t="str">
        <f ca="1">IF(Table1[[#This Row],[Date of Birth]]="","",SUM(TODAY()-Table1[[#This Row],[Date of Birth]])/365)</f>
        <v/>
      </c>
      <c r="L576" s="86"/>
      <c r="M576" s="77"/>
      <c r="N576" s="86"/>
      <c r="O576" s="86"/>
      <c r="P576" s="91"/>
      <c r="Q576" s="86"/>
      <c r="R576" s="77"/>
      <c r="S576" s="77"/>
      <c r="T576" s="68"/>
      <c r="U576" s="68"/>
      <c r="V576" s="67"/>
      <c r="W576" s="67"/>
      <c r="X576" s="67"/>
      <c r="Y576" s="67"/>
      <c r="Z576" s="67"/>
      <c r="AA576" s="67"/>
      <c r="AB576" s="67"/>
      <c r="AC576" s="67"/>
      <c r="AD576" s="67"/>
      <c r="AE576" s="67"/>
      <c r="AF576" s="67"/>
      <c r="AG576" s="67"/>
      <c r="AH576" s="67"/>
      <c r="AI576" s="67"/>
      <c r="AJ576" s="67"/>
      <c r="AK576" s="67"/>
      <c r="AL576" s="67"/>
      <c r="AM576" s="67"/>
      <c r="AN576" s="77"/>
      <c r="AO576" s="76"/>
      <c r="AP576" s="77"/>
      <c r="AQ576" s="76"/>
      <c r="AR576" s="76"/>
      <c r="AS576" s="76"/>
      <c r="AT576" s="76"/>
      <c r="AU576" s="76"/>
      <c r="AV576" s="77"/>
      <c r="AW576" s="76"/>
      <c r="AX576" s="77"/>
      <c r="AY576" s="76"/>
      <c r="AZ576" s="76"/>
      <c r="BA576" s="76"/>
      <c r="BB576" s="76"/>
      <c r="BC576" s="76"/>
      <c r="BD576" s="77"/>
      <c r="BE576" s="76"/>
      <c r="BF576" s="77"/>
      <c r="BG576" s="76"/>
      <c r="BH576" s="76"/>
      <c r="BI576" s="76"/>
      <c r="BJ576" s="76"/>
      <c r="BK576" s="76"/>
      <c r="BL576" s="77"/>
      <c r="BM576" s="76"/>
      <c r="BN576" s="77"/>
      <c r="BO576" s="76"/>
      <c r="BP576" s="76"/>
      <c r="BQ576" s="76"/>
      <c r="BR576" s="76"/>
      <c r="BS576" s="76"/>
      <c r="BT576" s="77"/>
      <c r="BU576" s="76"/>
      <c r="BV576" s="77"/>
      <c r="BW576" s="76"/>
      <c r="BX576" s="76"/>
      <c r="BY576" s="76"/>
      <c r="BZ576" s="76"/>
      <c r="CA576" s="76"/>
      <c r="CB576" s="77"/>
      <c r="CC576" s="76"/>
      <c r="CD576" s="77"/>
      <c r="CE576" s="76"/>
      <c r="CF576" s="76"/>
      <c r="CG576" s="76"/>
      <c r="CH576" s="76"/>
      <c r="CI576" s="76"/>
      <c r="CJ576" s="77"/>
      <c r="CK576" s="76"/>
      <c r="CL576" s="77"/>
      <c r="CM576" s="76"/>
      <c r="CN576" s="76"/>
      <c r="CO576" s="76"/>
      <c r="CP576" s="76"/>
      <c r="CQ576" s="76"/>
      <c r="CR576" s="78" t="str">
        <f t="shared" si="143"/>
        <v/>
      </c>
      <c r="CS576" s="79" t="str">
        <f t="shared" si="144"/>
        <v/>
      </c>
      <c r="CT576" s="79" t="str">
        <f t="shared" si="145"/>
        <v/>
      </c>
      <c r="CU576" s="79" t="str">
        <f t="shared" si="146"/>
        <v/>
      </c>
      <c r="CV576" s="79" t="str">
        <f t="shared" si="147"/>
        <v/>
      </c>
      <c r="CW576" s="79" t="str">
        <f t="shared" si="148"/>
        <v/>
      </c>
      <c r="CX576" s="79" t="str">
        <f t="shared" si="149"/>
        <v/>
      </c>
      <c r="CY576" s="79" t="str">
        <f t="shared" si="150"/>
        <v/>
      </c>
      <c r="CZ576" s="79" t="str">
        <f t="shared" si="151"/>
        <v/>
      </c>
      <c r="DA576" s="79" t="str">
        <f t="shared" si="152"/>
        <v/>
      </c>
      <c r="DB576" s="79" t="str">
        <f t="shared" si="153"/>
        <v/>
      </c>
      <c r="DC576" s="79" t="str">
        <f t="shared" si="154"/>
        <v/>
      </c>
      <c r="DD576" s="79" t="str">
        <f t="shared" si="155"/>
        <v/>
      </c>
      <c r="DE576" s="79" t="str">
        <f t="shared" si="156"/>
        <v/>
      </c>
      <c r="DF576" s="79" t="str">
        <f t="shared" si="157"/>
        <v/>
      </c>
      <c r="DG576" s="79" t="str">
        <f t="shared" si="158"/>
        <v/>
      </c>
      <c r="DH576" s="76"/>
      <c r="DI576" s="78"/>
      <c r="DJ576" s="76"/>
      <c r="DK576" s="77"/>
      <c r="DL576" s="77"/>
      <c r="DM576" s="77"/>
      <c r="DN576" s="80"/>
      <c r="DO576" s="80"/>
      <c r="DP576" s="92" t="str">
        <f>IF(Table1[Start Date]="","",IF(Table1[Start Date]&gt;42185,"",IF(AND(Table1[Leaving Date]&gt;1,Table1[Leaving Date]&lt;42095),"",1)))</f>
        <v/>
      </c>
      <c r="DQ576" s="92" t="str">
        <f>IF(Table1[Start Date]="","",IF(Table1[Start Date]&gt;42277,"",IF(AND(Table1[Leaving Date]&gt;1,Table1[Leaving Date]&lt;42186),"",1)))</f>
        <v/>
      </c>
      <c r="DR576" s="92" t="str">
        <f>IF(Table1[Start Date]="","",IF(Table1[Start Date]&gt;42369,"",IF(AND(Table1[Leaving Date]&gt;1,Table1[Leaving Date]&lt;42278),"",1)))</f>
        <v/>
      </c>
      <c r="DS576" s="92" t="str">
        <f>IF(Table1[Start Date]="","",IF(Table1[Start Date]&gt;42460,"",IF(AND(Table1[Leaving Date]&gt;1,Table1[Leaving Date]&lt;42370),"",1)))</f>
        <v/>
      </c>
      <c r="DT576" s="92" t="str">
        <f>IF(Table1[Start Date]="","",IF(Table1[Start Date]&gt;42551,"",IF(AND(Table1[Leaving Date]&gt;1,Table1[Leaving Date]&lt;42461),"",1)))</f>
        <v/>
      </c>
      <c r="DU576" s="92" t="str">
        <f>IF(Table1[Start Date]="","",IF(Table1[Start Date]&gt;42643,"",IF(AND(Table1[Leaving Date]&gt;1,Table1[Leaving Date]&lt;42552),"",1)))</f>
        <v/>
      </c>
      <c r="DV576" s="92" t="str">
        <f>IF(Table1[Start Date]="","",IF(Table1[Start Date]&gt;42735,"",IF(AND(Table1[Leaving Date]&gt;1,Table1[Leaving Date]&lt;42644),"",1)))</f>
        <v/>
      </c>
      <c r="DW576" s="92" t="str">
        <f>IF(Table1[Start Date]="","",IF(Table1[Start Date]&gt;42825,"",IF(AND(Table1[Leaving Date]&gt;1,Table1[Leaving Date]&lt;42736),"",1)))</f>
        <v/>
      </c>
      <c r="DX576"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576" s="44" t="e">
        <f>VLOOKUP(Table1[Referral Source],Lists!$G$2:$H$20,2,FALSE)</f>
        <v>#N/A</v>
      </c>
      <c r="DZ576" s="93" t="e">
        <f>SUM(Table1[Data Referral Quarter]+Table1[Data Referral Source])</f>
        <v>#N/A</v>
      </c>
      <c r="EA576" s="44" t="b">
        <f>IF(Table1[Referral Decision]="Accepted",100,IF(Table1[Referral Decision]="Rejected by Provider",200,IF(Table1[Referral Decision]="Rejected by Applicant",300)))</f>
        <v>0</v>
      </c>
      <c r="EB576" s="44">
        <f>SUM(Table1[Data Referral Quarter]+Table1[Data Referral Decision])</f>
        <v>0</v>
      </c>
      <c r="EC576" s="44" t="b">
        <f>IF(Table1[Start Date]&gt;42735,8000,IF(Table1[Start Date]&gt;42643,7000,IF(Table1[Start Date]&gt;42551,6000,IF(Table1[Start Date]&gt;42460,5000,IF(Table1[Start Date]&gt;42369,4000,IF(Table1[Start Date]&gt;42277,3000,IF(Table1[Start Date]&gt;42185,2000,IF(Table1[Start Date]&gt;42094,1000))))))))</f>
        <v>0</v>
      </c>
      <c r="ED576" s="44" t="str">
        <f>IF(Table1[Start Date]="","",IF(Table1[Current Local Authority]="Swindon",1,"2"))</f>
        <v/>
      </c>
      <c r="EE576" s="44" t="e">
        <f>SUM(Table1[Data Start Date]+Table1[Data Local Authority])</f>
        <v>#VALUE!</v>
      </c>
      <c r="EF576" s="44">
        <f>IF(Table1[Registered with GP]="Yes",1,0)</f>
        <v>0</v>
      </c>
      <c r="EG576" s="44">
        <f>SUM(Table1[Data Start Date]+Table1[Data GP Start])</f>
        <v>0</v>
      </c>
      <c r="EH576" s="44" t="str">
        <f>IF(Table1[EET]="NEET",1,IF(Table1[EET]="Education",2,IF(Table1[EET]="Employment",2,IF(Table1[EET]="Training",2,IF(Table1[EET]="Retired",3,"")))))</f>
        <v/>
      </c>
      <c r="EI576" s="44" t="e">
        <f>Table1[Data Start Date]+Table1[Data EET Start]</f>
        <v>#VALUE!</v>
      </c>
      <c r="EJ576" s="44" t="b">
        <f>IF(Table1[Leaving Date]&gt;42735,8000,IF(Table1[Leaving Date]&gt;42643,7000,IF(Table1[Leaving Date]&gt;42551,6000,IF(Table1[Leaving Date]&gt;42460,5000,IF(Table1[Leaving Date]&gt;42369,4000,IF(Table1[Leaving Date]&gt;42277,3000,IF(Table1[Leaving Date]&gt;42185,2000,IF(Table1[Leaving Date]&gt;42094,1000))))))))</f>
        <v>0</v>
      </c>
      <c r="EK576" s="44" t="e">
        <f>VLOOKUP(Table1[Reason for Leaving],Lists!$T$2:$U$15,2,FALSE)</f>
        <v>#N/A</v>
      </c>
      <c r="EL576" s="44" t="e">
        <f>SUM(Table1[Data Leavers Date]+Table1[Data Move On])</f>
        <v>#N/A</v>
      </c>
      <c r="EM576" s="44" t="b">
        <f>IF(Table1[Registered with GP2]="Yes",1,IF(Table1[Registered with GP2]="No",0,IF(Table1[Registered with GP]="Yes",1,IF(Table1[Registered with GP]="No",0))))</f>
        <v>0</v>
      </c>
      <c r="EN576" s="44">
        <f>SUM(Table1[Data Leavers Date]+Table1[Data GP End])</f>
        <v>0</v>
      </c>
      <c r="EO576" s="44" t="str">
        <f>IF(Table1[EET2]="NEET",1,IF(Table1[EET2]="Employment",2,IF(Table1[EET2]="Education",2,IF(Table1[EET2]="Training",2,IF(Table1[EET2]="Retired",3,IF(Table1[EET]="NEET",1,IF(Table1[EET]="Employment",2,IF(Table1[EET]="Education",2,IF(Table1[EET]="Training",2,IF(Table1[EET]="Retired",3,""))))))))))</f>
        <v/>
      </c>
      <c r="EP576" s="44" t="e">
        <f>+Table1[[#This Row],[Data Leavers Date]]+Table1[[#This Row],[Data EET End]]</f>
        <v>#VALUE!</v>
      </c>
      <c r="EQ576" s="44">
        <f>IF(Table1[Exit Form Received]="Yes",1,0)</f>
        <v>0</v>
      </c>
      <c r="ER576" s="44">
        <f>+Table1[[#This Row],[Data Leavers Date]]+Table1[[#This Row],[Data Exit Forms]]</f>
        <v>0</v>
      </c>
      <c r="ES576" s="44" t="str">
        <f>IF(Table1[Data Leavers Date]=1000,SUM(Table1[Leaving Date]-Table1[Start Date]),"")</f>
        <v/>
      </c>
      <c r="ET576" s="44" t="str">
        <f>IF(Table1[Data Leavers Date]=2000,SUM(Table1[Leaving Date]-Table1[Start Date]),"")</f>
        <v/>
      </c>
      <c r="EU576" s="44" t="str">
        <f>IF(Table1[Data Leavers Date]=3000,SUM(Table1[Leaving Date]-Table1[Start Date]),"")</f>
        <v/>
      </c>
      <c r="EV576" s="44" t="str">
        <f>IF(Table1[Data Leavers Date]=4000,SUM(Table1[Leaving Date]-Table1[Start Date]),"")</f>
        <v/>
      </c>
      <c r="EW576" s="44" t="str">
        <f>IF(Table1[Data Leavers Date]=5000,SUM(Table1[Leaving Date]-Table1[Start Date]),"")</f>
        <v/>
      </c>
      <c r="EX576" s="44" t="str">
        <f>IF(Table1[Data Leavers Date]=6000,SUM(Table1[Leaving Date]-Table1[Start Date]),"")</f>
        <v/>
      </c>
      <c r="EY576" s="44" t="str">
        <f>IF(Table1[Data Leavers Date]=7000,SUM(Table1[Leaving Date]-Table1[Start Date]),"")</f>
        <v/>
      </c>
      <c r="EZ576" s="44" t="str">
        <f>IF(Table1[Data Leavers Date]=8000,SUM(Table1[Leaving Date]-Table1[Start Date]),"")</f>
        <v/>
      </c>
      <c r="FA576" s="44" t="str">
        <f>IF(Table1[Date of Initial Assessment]="","",IF(AND(Table1[Start Date]&gt;42094,Table1[Start Date]&lt;42461),Table1[Motivation and Taking Responsibility],""))</f>
        <v/>
      </c>
      <c r="FB576" s="44" t="str">
        <f>IF(Table1[Date of Initial Assessment]="","",IF(AND(Table1[Start Date]&gt;42094,Table1[Start Date]&lt;42461),Table1[Self-Care and Living Skills],""))</f>
        <v/>
      </c>
      <c r="FC576" s="44" t="str">
        <f>IF(Table1[Date of Initial Assessment]="","",IF(AND(Table1[Start Date]&gt;42094,Table1[Start Date]&lt;42461),Table1[Managing Money and Personal Administration],""))</f>
        <v/>
      </c>
      <c r="FD576" s="44" t="str">
        <f>IF(Table1[Date of Initial Assessment]="","",IF(AND(Table1[Start Date]&gt;42094,Table1[Start Date]&lt;42461),Table1[Social Networks and Relationships],""))</f>
        <v/>
      </c>
      <c r="FE576" s="44" t="str">
        <f>IF(Table1[Date of Initial Assessment]="","",IF(AND(Table1[Start Date]&gt;42094,Table1[Start Date]&lt;42461),Table1[Drug and Alcohol Misuse],""))</f>
        <v/>
      </c>
      <c r="FF576" s="44" t="str">
        <f>IF(Table1[Date of Initial Assessment]="","",IF(AND(Table1[Start Date]&gt;42094,Table1[Start Date]&lt;42461),Table1[Physical Health],""))</f>
        <v/>
      </c>
      <c r="FG576" s="44" t="str">
        <f>IF(Table1[Date of Initial Assessment]="","",IF(AND(Table1[Start Date]&gt;42094,Table1[Start Date]&lt;42461),Table1[Emotional and Mental Health],""))</f>
        <v/>
      </c>
      <c r="FH576" s="44" t="str">
        <f>IF(Table1[Date of Initial Assessment]="","",IF(AND(Table1[Start Date]&gt;42094,Table1[Start Date]&lt;42461),Table1[Meaningful Use of Time],""))</f>
        <v/>
      </c>
      <c r="FI576" s="44" t="str">
        <f>IF(Table1[Date of Initial Assessment]="","",IF(AND(Table1[Start Date]&gt;42094,Table1[Start Date]&lt;42461),Table1[Managing Tenancy and Accommodation],""))</f>
        <v/>
      </c>
      <c r="FJ576" s="44" t="str">
        <f>IF(Table1[Date of Initial Assessment]="","",IF(AND(Table1[Start Date]&gt;42094,Table1[Start Date]&lt;42461),Table1[Offending],""))</f>
        <v/>
      </c>
      <c r="FK576" s="44" t="str">
        <f>IF(Table1[Leaving Date]="","",IF(Table1[Date of Initial Assessment]="","",IF(AND(Table1[Leaving Date]&gt;42094,Table1[Leaving Date]&lt;42461),IF(Table1[Date of Last Assessment]="",Table1[Motivation and Taking Responsibility],Table1[Motivation and Taking Responsibility2]),"")))</f>
        <v/>
      </c>
      <c r="FL576" s="44" t="str">
        <f>IF(Table1[Leaving Date]="","",IF(Table1[Date of Initial Assessment]="","",IF(AND(Table1[Leaving Date]&gt;42094,Table1[Leaving Date]&lt;42461),IF(Table1[Date of Last Assessment]="",Table1[Self-Care and Living Skills],Table1[Self-Care and Living Skills2]),"")))</f>
        <v/>
      </c>
      <c r="FM576" s="44" t="str">
        <f>IF(Table1[Leaving Date]="","",IF(Table1[Date of Initial Assessment]="","",IF(AND(Table1[Leaving Date]&gt;42094,Table1[Leaving Date]&lt;42461),IF(Table1[Date of Last Assessment]="",Table1[Managing Money and Personal Administration],Table1[Managing Money and Personal Administration2]),"")))</f>
        <v/>
      </c>
      <c r="FN576" s="44" t="str">
        <f>IF(Table1[Leaving Date]="","",IF(Table1[Date of Initial Assessment]="","",IF(AND(Table1[Leaving Date]&gt;42094,Table1[Leaving Date]&lt;42461),IF(Table1[Date of Last Assessment]="",Table1[Social Networks and Relationships],Table1[Social Networks and Relationships2]),"")))</f>
        <v/>
      </c>
      <c r="FO576" s="44" t="str">
        <f>IF(Table1[Leaving Date]="","",IF(Table1[Date of Initial Assessment]="","",IF(AND(Table1[Leaving Date]&gt;42094,Table1[Leaving Date]&lt;42461),IF(Table1[Date of Last Assessment]="",Table1[Drug and Alcohol Misuse],Table1[Drug and Alcohol Misuse2]),"")))</f>
        <v/>
      </c>
      <c r="FP576" s="44" t="str">
        <f>IF(Table1[Leaving Date]="","",IF(Table1[Date of Initial Assessment]="","",IF(AND(Table1[Leaving Date]&gt;42094,Table1[Leaving Date]&lt;42461),IF(Table1[Date of Last Assessment]="",Table1[Physical Health],Table1[Physical Health2]),"")))</f>
        <v/>
      </c>
      <c r="FQ576" s="44" t="str">
        <f>IF(Table1[Leaving Date]="","",IF(Table1[Date of Initial Assessment]="","",IF(AND(Table1[Leaving Date]&gt;42094,Table1[Leaving Date]&lt;42461),IF(Table1[Date of Last Assessment]="",Table1[Emotional and Mental Health],Table1[Emotional and Mental Health2]),"")))</f>
        <v/>
      </c>
      <c r="FR576" s="44" t="str">
        <f>IF(Table1[Leaving Date]="","",IF(Table1[Date of Initial Assessment]="","",IF(AND(Table1[Leaving Date]&gt;42094,Table1[Leaving Date]&lt;42461),IF(Table1[Date of Last Assessment]="",Table1[Meaningful Use of Time],Table1[Meaningful Use of Time2]),"")))</f>
        <v/>
      </c>
      <c r="FS576" s="44" t="str">
        <f>IF(Table1[Leaving Date]="","",IF(Table1[Date of Initial Assessment]="","",IF(AND(Table1[Leaving Date]&gt;42094,Table1[Leaving Date]&lt;42461),IF(Table1[Date of Last Assessment]="",Table1[Managing Tenancy and Accommodation],Table1[Managing Tenancy and Accommodation2]),"")))</f>
        <v/>
      </c>
      <c r="FT576" s="44" t="str">
        <f>IF(Table1[Leaving Date]="","",IF(Table1[Date of Initial Assessment]="","",IF(AND(Table1[Leaving Date]&gt;42094,Table1[Leaving Date]&lt;42461),IF(Table1[Date of Last Assessment]="",Table1[Offending],Table1[Offending2]),"")))</f>
        <v/>
      </c>
      <c r="FU576" s="44" t="str">
        <f>IF(Table1[Date of Initial Assessment]="","",IF(AND(Table1[Start Date]&gt;42460,Table1[Start Date]&lt;42826),Table1[Motivation and Taking Responsibility],""))</f>
        <v/>
      </c>
      <c r="FV576" s="44" t="str">
        <f>IF(Table1[Date of Initial Assessment]="","",IF(AND(Table1[Start Date]&gt;42460,Table1[Start Date]&lt;42826),Table1[Self-Care and Living Skills],""))</f>
        <v/>
      </c>
      <c r="FW576" s="44" t="str">
        <f>IF(Table1[Date of Initial Assessment]="","",IF(AND(Table1[Start Date]&gt;42460,Table1[Start Date]&lt;42826),Table1[Managing Money and Personal Administration],""))</f>
        <v/>
      </c>
      <c r="FX576" s="44" t="str">
        <f>IF(Table1[Date of Initial Assessment]="","",IF(AND(Table1[Start Date]&gt;42460,Table1[Start Date]&lt;42826),Table1[Social Networks and Relationships],""))</f>
        <v/>
      </c>
      <c r="FY576" s="44" t="str">
        <f>IF(Table1[Date of Initial Assessment]="","",IF(AND(Table1[Start Date]&gt;42460,Table1[Start Date]&lt;42826),Table1[Drug and Alcohol Misuse],""))</f>
        <v/>
      </c>
      <c r="FZ576" s="44" t="str">
        <f>IF(Table1[Date of Initial Assessment]="","",IF(AND(Table1[Start Date]&gt;42460,Table1[Start Date]&lt;42826),Table1[Physical Health],""))</f>
        <v/>
      </c>
      <c r="GA576" s="44" t="str">
        <f>IF(Table1[Date of Initial Assessment]="","",IF(AND(Table1[Start Date]&gt;42460,Table1[Start Date]&lt;42826),Table1[Emotional and Mental Health],""))</f>
        <v/>
      </c>
      <c r="GB576" s="44" t="str">
        <f>IF(Table1[Date of Initial Assessment]="","",IF(AND(Table1[Start Date]&gt;42460,Table1[Start Date]&lt;42826),Table1[Meaningful Use of Time],""))</f>
        <v/>
      </c>
      <c r="GC576" s="44" t="str">
        <f>IF(Table1[Date of Initial Assessment]="","",IF(AND(Table1[Start Date]&gt;42460,Table1[Start Date]&lt;42826),Table1[Managing Tenancy and Accommodation],""))</f>
        <v/>
      </c>
      <c r="GD576" s="44" t="str">
        <f>IF(Table1[Date of Initial Assessment]="","",IF(AND(Table1[Start Date]&gt;42460,Table1[Start Date]&lt;42826),Table1[Offending],""))</f>
        <v/>
      </c>
      <c r="GE576" s="44" t="str">
        <f>IF(Table1[Leaving Date]="","",IF(AND(Table1[Leaving Date]&gt;42460,Table1[Leaving Date]&lt;42826),IF(Table1[Date of Last Assessment]="",Table1[Motivation and Taking Responsibility],Table1[Motivation and Taking Responsibility2]),""))</f>
        <v/>
      </c>
      <c r="GF576" s="44" t="str">
        <f>IF(Table1[Leaving Date]="","",IF(AND(Table1[Leaving Date]&gt;42460,Table1[Leaving Date]&lt;42826),IF(Table1[Date of Last Assessment]="",Table1[Self-Care and Living Skills],Table1[Self-Care and Living Skills2]),""))</f>
        <v/>
      </c>
      <c r="GG576" s="44" t="str">
        <f>IF(Table1[Leaving Date]="","",IF(AND(Table1[Leaving Date]&gt;42460,Table1[Leaving Date]&lt;42826),IF(Table1[Date of Last Assessment]="",Table1[Managing Money and Personal Administration],Table1[Managing Money and Personal Administration2]),""))</f>
        <v/>
      </c>
      <c r="GH576" s="44" t="str">
        <f>IF(Table1[Leaving Date]="","",IF(AND(Table1[Leaving Date]&gt;42460,Table1[Leaving Date]&lt;42826),IF(Table1[Date of Last Assessment]="",Table1[Social Networks and Relationships],Table1[Social Networks and Relationships2]),""))</f>
        <v/>
      </c>
      <c r="GI576" s="44" t="str">
        <f>IF(Table1[Leaving Date]="","",IF(AND(Table1[Leaving Date]&gt;42460,Table1[Leaving Date]&lt;42826),IF(Table1[Date of Last Assessment]="",Table1[Drug and Alcohol Misuse],Table1[Drug and Alcohol Misuse2]),""))</f>
        <v/>
      </c>
      <c r="GJ576" s="44" t="str">
        <f>IF(Table1[Leaving Date]="","",IF(AND(Table1[Leaving Date]&gt;42460,Table1[Leaving Date]&lt;42826),IF(Table1[Date of Last Assessment]="",Table1[Physical Health],Table1[Physical Health2]),""))</f>
        <v/>
      </c>
      <c r="GK576" s="44" t="str">
        <f>IF(Table1[Leaving Date]="","",IF(AND(Table1[Leaving Date]&gt;42460,Table1[Leaving Date]&lt;42826),IF(Table1[Date of Last Assessment]="",Table1[Emotional and Mental Health],Table1[Emotional and Mental Health2]),""))</f>
        <v/>
      </c>
      <c r="GL576" s="44" t="str">
        <f>IF(Table1[Leaving Date]="","",IF(AND(Table1[Leaving Date]&gt;42460,Table1[Leaving Date]&lt;42826),IF(Table1[Date of Last Assessment]="",Table1[Meaningful Use of Time],Table1[Meaningful Use of Time2]),""))</f>
        <v/>
      </c>
      <c r="GM576" s="44" t="str">
        <f>IF(Table1[Leaving Date]="","",IF(AND(Table1[Leaving Date]&gt;42460,Table1[Leaving Date]&lt;42826),IF(Table1[Date of Last Assessment]="",Table1[Managing Tenancy and Accommodation],Table1[Managing Tenancy and Accommodation2]),""))</f>
        <v/>
      </c>
      <c r="GN576" s="44" t="str">
        <f>IF(Table1[Leaving Date]="","",IF(AND(Table1[Leaving Date]&gt;42460,Table1[Leaving Date]&lt;42826),IF(Table1[Date of Last Assessment]="",Table1[Offending],Table1[Offending2]),""))</f>
        <v/>
      </c>
    </row>
    <row r="577" spans="2:196" ht="20.100000000000001" customHeight="1" x14ac:dyDescent="0.2">
      <c r="B577" s="86">
        <f>+'Service Data'!$C$5:$C$5</f>
        <v>0</v>
      </c>
      <c r="C577" s="86"/>
      <c r="D577" s="86"/>
      <c r="E577" s="86"/>
      <c r="F577" s="86"/>
      <c r="G577" s="86"/>
      <c r="H577" s="6"/>
      <c r="I577" s="99" t="str">
        <f ca="1">IF(Table1[[#This Row],[Date of Birth]]="","",SUM(TODAY()-Table1[[#This Row],[Date of Birth]])/365)</f>
        <v/>
      </c>
      <c r="L577" s="86"/>
      <c r="M577" s="77"/>
      <c r="N577" s="86"/>
      <c r="O577" s="86"/>
      <c r="P577" s="91"/>
      <c r="Q577" s="86"/>
      <c r="R577" s="77"/>
      <c r="S577" s="77"/>
      <c r="T577" s="68"/>
      <c r="U577" s="68"/>
      <c r="V577" s="67"/>
      <c r="W577" s="67"/>
      <c r="X577" s="67"/>
      <c r="Y577" s="67"/>
      <c r="Z577" s="67"/>
      <c r="AA577" s="67"/>
      <c r="AB577" s="67"/>
      <c r="AC577" s="67"/>
      <c r="AD577" s="67"/>
      <c r="AE577" s="67"/>
      <c r="AF577" s="67"/>
      <c r="AG577" s="67"/>
      <c r="AH577" s="67"/>
      <c r="AI577" s="67"/>
      <c r="AJ577" s="67"/>
      <c r="AK577" s="67"/>
      <c r="AL577" s="67"/>
      <c r="AM577" s="67"/>
      <c r="AN577" s="77"/>
      <c r="AO577" s="76"/>
      <c r="AP577" s="77"/>
      <c r="AQ577" s="76"/>
      <c r="AR577" s="76"/>
      <c r="AS577" s="76"/>
      <c r="AT577" s="76"/>
      <c r="AU577" s="76"/>
      <c r="AV577" s="77"/>
      <c r="AW577" s="76"/>
      <c r="AX577" s="77"/>
      <c r="AY577" s="76"/>
      <c r="AZ577" s="76"/>
      <c r="BA577" s="76"/>
      <c r="BB577" s="76"/>
      <c r="BC577" s="76"/>
      <c r="BD577" s="77"/>
      <c r="BE577" s="76"/>
      <c r="BF577" s="77"/>
      <c r="BG577" s="76"/>
      <c r="BH577" s="76"/>
      <c r="BI577" s="76"/>
      <c r="BJ577" s="76"/>
      <c r="BK577" s="76"/>
      <c r="BL577" s="77"/>
      <c r="BM577" s="76"/>
      <c r="BN577" s="77"/>
      <c r="BO577" s="76"/>
      <c r="BP577" s="76"/>
      <c r="BQ577" s="76"/>
      <c r="BR577" s="76"/>
      <c r="BS577" s="76"/>
      <c r="BT577" s="77"/>
      <c r="BU577" s="76"/>
      <c r="BV577" s="77"/>
      <c r="BW577" s="76"/>
      <c r="BX577" s="76"/>
      <c r="BY577" s="76"/>
      <c r="BZ577" s="76"/>
      <c r="CA577" s="76"/>
      <c r="CB577" s="77"/>
      <c r="CC577" s="76"/>
      <c r="CD577" s="77"/>
      <c r="CE577" s="76"/>
      <c r="CF577" s="76"/>
      <c r="CG577" s="76"/>
      <c r="CH577" s="76"/>
      <c r="CI577" s="76"/>
      <c r="CJ577" s="77"/>
      <c r="CK577" s="76"/>
      <c r="CL577" s="77"/>
      <c r="CM577" s="76"/>
      <c r="CN577" s="76"/>
      <c r="CO577" s="76"/>
      <c r="CP577" s="76"/>
      <c r="CQ577" s="76"/>
      <c r="CR577" s="78" t="str">
        <f t="shared" si="143"/>
        <v/>
      </c>
      <c r="CS577" s="79" t="str">
        <f t="shared" si="144"/>
        <v/>
      </c>
      <c r="CT577" s="79" t="str">
        <f t="shared" si="145"/>
        <v/>
      </c>
      <c r="CU577" s="79" t="str">
        <f t="shared" si="146"/>
        <v/>
      </c>
      <c r="CV577" s="79" t="str">
        <f t="shared" si="147"/>
        <v/>
      </c>
      <c r="CW577" s="79" t="str">
        <f t="shared" si="148"/>
        <v/>
      </c>
      <c r="CX577" s="79" t="str">
        <f t="shared" si="149"/>
        <v/>
      </c>
      <c r="CY577" s="79" t="str">
        <f t="shared" si="150"/>
        <v/>
      </c>
      <c r="CZ577" s="79" t="str">
        <f t="shared" si="151"/>
        <v/>
      </c>
      <c r="DA577" s="79" t="str">
        <f t="shared" si="152"/>
        <v/>
      </c>
      <c r="DB577" s="79" t="str">
        <f t="shared" si="153"/>
        <v/>
      </c>
      <c r="DC577" s="79" t="str">
        <f t="shared" si="154"/>
        <v/>
      </c>
      <c r="DD577" s="79" t="str">
        <f t="shared" si="155"/>
        <v/>
      </c>
      <c r="DE577" s="79" t="str">
        <f t="shared" si="156"/>
        <v/>
      </c>
      <c r="DF577" s="79" t="str">
        <f t="shared" si="157"/>
        <v/>
      </c>
      <c r="DG577" s="79" t="str">
        <f t="shared" si="158"/>
        <v/>
      </c>
      <c r="DH577" s="76"/>
      <c r="DI577" s="78"/>
      <c r="DJ577" s="76"/>
      <c r="DK577" s="77"/>
      <c r="DL577" s="77"/>
      <c r="DM577" s="77"/>
      <c r="DN577" s="80"/>
      <c r="DO577" s="80"/>
      <c r="DP577" s="92" t="str">
        <f>IF(Table1[Start Date]="","",IF(Table1[Start Date]&gt;42185,"",IF(AND(Table1[Leaving Date]&gt;1,Table1[Leaving Date]&lt;42095),"",1)))</f>
        <v/>
      </c>
      <c r="DQ577" s="92" t="str">
        <f>IF(Table1[Start Date]="","",IF(Table1[Start Date]&gt;42277,"",IF(AND(Table1[Leaving Date]&gt;1,Table1[Leaving Date]&lt;42186),"",1)))</f>
        <v/>
      </c>
      <c r="DR577" s="92" t="str">
        <f>IF(Table1[Start Date]="","",IF(Table1[Start Date]&gt;42369,"",IF(AND(Table1[Leaving Date]&gt;1,Table1[Leaving Date]&lt;42278),"",1)))</f>
        <v/>
      </c>
      <c r="DS577" s="92" t="str">
        <f>IF(Table1[Start Date]="","",IF(Table1[Start Date]&gt;42460,"",IF(AND(Table1[Leaving Date]&gt;1,Table1[Leaving Date]&lt;42370),"",1)))</f>
        <v/>
      </c>
      <c r="DT577" s="92" t="str">
        <f>IF(Table1[Start Date]="","",IF(Table1[Start Date]&gt;42551,"",IF(AND(Table1[Leaving Date]&gt;1,Table1[Leaving Date]&lt;42461),"",1)))</f>
        <v/>
      </c>
      <c r="DU577" s="92" t="str">
        <f>IF(Table1[Start Date]="","",IF(Table1[Start Date]&gt;42643,"",IF(AND(Table1[Leaving Date]&gt;1,Table1[Leaving Date]&lt;42552),"",1)))</f>
        <v/>
      </c>
      <c r="DV577" s="92" t="str">
        <f>IF(Table1[Start Date]="","",IF(Table1[Start Date]&gt;42735,"",IF(AND(Table1[Leaving Date]&gt;1,Table1[Leaving Date]&lt;42644),"",1)))</f>
        <v/>
      </c>
      <c r="DW577" s="92" t="str">
        <f>IF(Table1[Start Date]="","",IF(Table1[Start Date]&gt;42825,"",IF(AND(Table1[Leaving Date]&gt;1,Table1[Leaving Date]&lt;42736),"",1)))</f>
        <v/>
      </c>
      <c r="DX577"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577" s="44" t="e">
        <f>VLOOKUP(Table1[Referral Source],Lists!$G$2:$H$20,2,FALSE)</f>
        <v>#N/A</v>
      </c>
      <c r="DZ577" s="93" t="e">
        <f>SUM(Table1[Data Referral Quarter]+Table1[Data Referral Source])</f>
        <v>#N/A</v>
      </c>
      <c r="EA577" s="44" t="b">
        <f>IF(Table1[Referral Decision]="Accepted",100,IF(Table1[Referral Decision]="Rejected by Provider",200,IF(Table1[Referral Decision]="Rejected by Applicant",300)))</f>
        <v>0</v>
      </c>
      <c r="EB577" s="44">
        <f>SUM(Table1[Data Referral Quarter]+Table1[Data Referral Decision])</f>
        <v>0</v>
      </c>
      <c r="EC577" s="44" t="b">
        <f>IF(Table1[Start Date]&gt;42735,8000,IF(Table1[Start Date]&gt;42643,7000,IF(Table1[Start Date]&gt;42551,6000,IF(Table1[Start Date]&gt;42460,5000,IF(Table1[Start Date]&gt;42369,4000,IF(Table1[Start Date]&gt;42277,3000,IF(Table1[Start Date]&gt;42185,2000,IF(Table1[Start Date]&gt;42094,1000))))))))</f>
        <v>0</v>
      </c>
      <c r="ED577" s="44" t="str">
        <f>IF(Table1[Start Date]="","",IF(Table1[Current Local Authority]="Swindon",1,"2"))</f>
        <v/>
      </c>
      <c r="EE577" s="44" t="e">
        <f>SUM(Table1[Data Start Date]+Table1[Data Local Authority])</f>
        <v>#VALUE!</v>
      </c>
      <c r="EF577" s="44">
        <f>IF(Table1[Registered with GP]="Yes",1,0)</f>
        <v>0</v>
      </c>
      <c r="EG577" s="44">
        <f>SUM(Table1[Data Start Date]+Table1[Data GP Start])</f>
        <v>0</v>
      </c>
      <c r="EH577" s="44" t="str">
        <f>IF(Table1[EET]="NEET",1,IF(Table1[EET]="Education",2,IF(Table1[EET]="Employment",2,IF(Table1[EET]="Training",2,IF(Table1[EET]="Retired",3,"")))))</f>
        <v/>
      </c>
      <c r="EI577" s="44" t="e">
        <f>Table1[Data Start Date]+Table1[Data EET Start]</f>
        <v>#VALUE!</v>
      </c>
      <c r="EJ577" s="44" t="b">
        <f>IF(Table1[Leaving Date]&gt;42735,8000,IF(Table1[Leaving Date]&gt;42643,7000,IF(Table1[Leaving Date]&gt;42551,6000,IF(Table1[Leaving Date]&gt;42460,5000,IF(Table1[Leaving Date]&gt;42369,4000,IF(Table1[Leaving Date]&gt;42277,3000,IF(Table1[Leaving Date]&gt;42185,2000,IF(Table1[Leaving Date]&gt;42094,1000))))))))</f>
        <v>0</v>
      </c>
      <c r="EK577" s="44" t="e">
        <f>VLOOKUP(Table1[Reason for Leaving],Lists!$T$2:$U$15,2,FALSE)</f>
        <v>#N/A</v>
      </c>
      <c r="EL577" s="44" t="e">
        <f>SUM(Table1[Data Leavers Date]+Table1[Data Move On])</f>
        <v>#N/A</v>
      </c>
      <c r="EM577" s="44" t="b">
        <f>IF(Table1[Registered with GP2]="Yes",1,IF(Table1[Registered with GP2]="No",0,IF(Table1[Registered with GP]="Yes",1,IF(Table1[Registered with GP]="No",0))))</f>
        <v>0</v>
      </c>
      <c r="EN577" s="44">
        <f>SUM(Table1[Data Leavers Date]+Table1[Data GP End])</f>
        <v>0</v>
      </c>
      <c r="EO577" s="44" t="str">
        <f>IF(Table1[EET2]="NEET",1,IF(Table1[EET2]="Employment",2,IF(Table1[EET2]="Education",2,IF(Table1[EET2]="Training",2,IF(Table1[EET2]="Retired",3,IF(Table1[EET]="NEET",1,IF(Table1[EET]="Employment",2,IF(Table1[EET]="Education",2,IF(Table1[EET]="Training",2,IF(Table1[EET]="Retired",3,""))))))))))</f>
        <v/>
      </c>
      <c r="EP577" s="44" t="e">
        <f>+Table1[[#This Row],[Data Leavers Date]]+Table1[[#This Row],[Data EET End]]</f>
        <v>#VALUE!</v>
      </c>
      <c r="EQ577" s="44">
        <f>IF(Table1[Exit Form Received]="Yes",1,0)</f>
        <v>0</v>
      </c>
      <c r="ER577" s="44">
        <f>+Table1[[#This Row],[Data Leavers Date]]+Table1[[#This Row],[Data Exit Forms]]</f>
        <v>0</v>
      </c>
      <c r="ES577" s="44" t="str">
        <f>IF(Table1[Data Leavers Date]=1000,SUM(Table1[Leaving Date]-Table1[Start Date]),"")</f>
        <v/>
      </c>
      <c r="ET577" s="44" t="str">
        <f>IF(Table1[Data Leavers Date]=2000,SUM(Table1[Leaving Date]-Table1[Start Date]),"")</f>
        <v/>
      </c>
      <c r="EU577" s="44" t="str">
        <f>IF(Table1[Data Leavers Date]=3000,SUM(Table1[Leaving Date]-Table1[Start Date]),"")</f>
        <v/>
      </c>
      <c r="EV577" s="44" t="str">
        <f>IF(Table1[Data Leavers Date]=4000,SUM(Table1[Leaving Date]-Table1[Start Date]),"")</f>
        <v/>
      </c>
      <c r="EW577" s="44" t="str">
        <f>IF(Table1[Data Leavers Date]=5000,SUM(Table1[Leaving Date]-Table1[Start Date]),"")</f>
        <v/>
      </c>
      <c r="EX577" s="44" t="str">
        <f>IF(Table1[Data Leavers Date]=6000,SUM(Table1[Leaving Date]-Table1[Start Date]),"")</f>
        <v/>
      </c>
      <c r="EY577" s="44" t="str">
        <f>IF(Table1[Data Leavers Date]=7000,SUM(Table1[Leaving Date]-Table1[Start Date]),"")</f>
        <v/>
      </c>
      <c r="EZ577" s="44" t="str">
        <f>IF(Table1[Data Leavers Date]=8000,SUM(Table1[Leaving Date]-Table1[Start Date]),"")</f>
        <v/>
      </c>
      <c r="FA577" s="44" t="str">
        <f>IF(Table1[Date of Initial Assessment]="","",IF(AND(Table1[Start Date]&gt;42094,Table1[Start Date]&lt;42461),Table1[Motivation and Taking Responsibility],""))</f>
        <v/>
      </c>
      <c r="FB577" s="44" t="str">
        <f>IF(Table1[Date of Initial Assessment]="","",IF(AND(Table1[Start Date]&gt;42094,Table1[Start Date]&lt;42461),Table1[Self-Care and Living Skills],""))</f>
        <v/>
      </c>
      <c r="FC577" s="44" t="str">
        <f>IF(Table1[Date of Initial Assessment]="","",IF(AND(Table1[Start Date]&gt;42094,Table1[Start Date]&lt;42461),Table1[Managing Money and Personal Administration],""))</f>
        <v/>
      </c>
      <c r="FD577" s="44" t="str">
        <f>IF(Table1[Date of Initial Assessment]="","",IF(AND(Table1[Start Date]&gt;42094,Table1[Start Date]&lt;42461),Table1[Social Networks and Relationships],""))</f>
        <v/>
      </c>
      <c r="FE577" s="44" t="str">
        <f>IF(Table1[Date of Initial Assessment]="","",IF(AND(Table1[Start Date]&gt;42094,Table1[Start Date]&lt;42461),Table1[Drug and Alcohol Misuse],""))</f>
        <v/>
      </c>
      <c r="FF577" s="44" t="str">
        <f>IF(Table1[Date of Initial Assessment]="","",IF(AND(Table1[Start Date]&gt;42094,Table1[Start Date]&lt;42461),Table1[Physical Health],""))</f>
        <v/>
      </c>
      <c r="FG577" s="44" t="str">
        <f>IF(Table1[Date of Initial Assessment]="","",IF(AND(Table1[Start Date]&gt;42094,Table1[Start Date]&lt;42461),Table1[Emotional and Mental Health],""))</f>
        <v/>
      </c>
      <c r="FH577" s="44" t="str">
        <f>IF(Table1[Date of Initial Assessment]="","",IF(AND(Table1[Start Date]&gt;42094,Table1[Start Date]&lt;42461),Table1[Meaningful Use of Time],""))</f>
        <v/>
      </c>
      <c r="FI577" s="44" t="str">
        <f>IF(Table1[Date of Initial Assessment]="","",IF(AND(Table1[Start Date]&gt;42094,Table1[Start Date]&lt;42461),Table1[Managing Tenancy and Accommodation],""))</f>
        <v/>
      </c>
      <c r="FJ577" s="44" t="str">
        <f>IF(Table1[Date of Initial Assessment]="","",IF(AND(Table1[Start Date]&gt;42094,Table1[Start Date]&lt;42461),Table1[Offending],""))</f>
        <v/>
      </c>
      <c r="FK577" s="44" t="str">
        <f>IF(Table1[Leaving Date]="","",IF(Table1[Date of Initial Assessment]="","",IF(AND(Table1[Leaving Date]&gt;42094,Table1[Leaving Date]&lt;42461),IF(Table1[Date of Last Assessment]="",Table1[Motivation and Taking Responsibility],Table1[Motivation and Taking Responsibility2]),"")))</f>
        <v/>
      </c>
      <c r="FL577" s="44" t="str">
        <f>IF(Table1[Leaving Date]="","",IF(Table1[Date of Initial Assessment]="","",IF(AND(Table1[Leaving Date]&gt;42094,Table1[Leaving Date]&lt;42461),IF(Table1[Date of Last Assessment]="",Table1[Self-Care and Living Skills],Table1[Self-Care and Living Skills2]),"")))</f>
        <v/>
      </c>
      <c r="FM577" s="44" t="str">
        <f>IF(Table1[Leaving Date]="","",IF(Table1[Date of Initial Assessment]="","",IF(AND(Table1[Leaving Date]&gt;42094,Table1[Leaving Date]&lt;42461),IF(Table1[Date of Last Assessment]="",Table1[Managing Money and Personal Administration],Table1[Managing Money and Personal Administration2]),"")))</f>
        <v/>
      </c>
      <c r="FN577" s="44" t="str">
        <f>IF(Table1[Leaving Date]="","",IF(Table1[Date of Initial Assessment]="","",IF(AND(Table1[Leaving Date]&gt;42094,Table1[Leaving Date]&lt;42461),IF(Table1[Date of Last Assessment]="",Table1[Social Networks and Relationships],Table1[Social Networks and Relationships2]),"")))</f>
        <v/>
      </c>
      <c r="FO577" s="44" t="str">
        <f>IF(Table1[Leaving Date]="","",IF(Table1[Date of Initial Assessment]="","",IF(AND(Table1[Leaving Date]&gt;42094,Table1[Leaving Date]&lt;42461),IF(Table1[Date of Last Assessment]="",Table1[Drug and Alcohol Misuse],Table1[Drug and Alcohol Misuse2]),"")))</f>
        <v/>
      </c>
      <c r="FP577" s="44" t="str">
        <f>IF(Table1[Leaving Date]="","",IF(Table1[Date of Initial Assessment]="","",IF(AND(Table1[Leaving Date]&gt;42094,Table1[Leaving Date]&lt;42461),IF(Table1[Date of Last Assessment]="",Table1[Physical Health],Table1[Physical Health2]),"")))</f>
        <v/>
      </c>
      <c r="FQ577" s="44" t="str">
        <f>IF(Table1[Leaving Date]="","",IF(Table1[Date of Initial Assessment]="","",IF(AND(Table1[Leaving Date]&gt;42094,Table1[Leaving Date]&lt;42461),IF(Table1[Date of Last Assessment]="",Table1[Emotional and Mental Health],Table1[Emotional and Mental Health2]),"")))</f>
        <v/>
      </c>
      <c r="FR577" s="44" t="str">
        <f>IF(Table1[Leaving Date]="","",IF(Table1[Date of Initial Assessment]="","",IF(AND(Table1[Leaving Date]&gt;42094,Table1[Leaving Date]&lt;42461),IF(Table1[Date of Last Assessment]="",Table1[Meaningful Use of Time],Table1[Meaningful Use of Time2]),"")))</f>
        <v/>
      </c>
      <c r="FS577" s="44" t="str">
        <f>IF(Table1[Leaving Date]="","",IF(Table1[Date of Initial Assessment]="","",IF(AND(Table1[Leaving Date]&gt;42094,Table1[Leaving Date]&lt;42461),IF(Table1[Date of Last Assessment]="",Table1[Managing Tenancy and Accommodation],Table1[Managing Tenancy and Accommodation2]),"")))</f>
        <v/>
      </c>
      <c r="FT577" s="44" t="str">
        <f>IF(Table1[Leaving Date]="","",IF(Table1[Date of Initial Assessment]="","",IF(AND(Table1[Leaving Date]&gt;42094,Table1[Leaving Date]&lt;42461),IF(Table1[Date of Last Assessment]="",Table1[Offending],Table1[Offending2]),"")))</f>
        <v/>
      </c>
      <c r="FU577" s="44" t="str">
        <f>IF(Table1[Date of Initial Assessment]="","",IF(AND(Table1[Start Date]&gt;42460,Table1[Start Date]&lt;42826),Table1[Motivation and Taking Responsibility],""))</f>
        <v/>
      </c>
      <c r="FV577" s="44" t="str">
        <f>IF(Table1[Date of Initial Assessment]="","",IF(AND(Table1[Start Date]&gt;42460,Table1[Start Date]&lt;42826),Table1[Self-Care and Living Skills],""))</f>
        <v/>
      </c>
      <c r="FW577" s="44" t="str">
        <f>IF(Table1[Date of Initial Assessment]="","",IF(AND(Table1[Start Date]&gt;42460,Table1[Start Date]&lt;42826),Table1[Managing Money and Personal Administration],""))</f>
        <v/>
      </c>
      <c r="FX577" s="44" t="str">
        <f>IF(Table1[Date of Initial Assessment]="","",IF(AND(Table1[Start Date]&gt;42460,Table1[Start Date]&lt;42826),Table1[Social Networks and Relationships],""))</f>
        <v/>
      </c>
      <c r="FY577" s="44" t="str">
        <f>IF(Table1[Date of Initial Assessment]="","",IF(AND(Table1[Start Date]&gt;42460,Table1[Start Date]&lt;42826),Table1[Drug and Alcohol Misuse],""))</f>
        <v/>
      </c>
      <c r="FZ577" s="44" t="str">
        <f>IF(Table1[Date of Initial Assessment]="","",IF(AND(Table1[Start Date]&gt;42460,Table1[Start Date]&lt;42826),Table1[Physical Health],""))</f>
        <v/>
      </c>
      <c r="GA577" s="44" t="str">
        <f>IF(Table1[Date of Initial Assessment]="","",IF(AND(Table1[Start Date]&gt;42460,Table1[Start Date]&lt;42826),Table1[Emotional and Mental Health],""))</f>
        <v/>
      </c>
      <c r="GB577" s="44" t="str">
        <f>IF(Table1[Date of Initial Assessment]="","",IF(AND(Table1[Start Date]&gt;42460,Table1[Start Date]&lt;42826),Table1[Meaningful Use of Time],""))</f>
        <v/>
      </c>
      <c r="GC577" s="44" t="str">
        <f>IF(Table1[Date of Initial Assessment]="","",IF(AND(Table1[Start Date]&gt;42460,Table1[Start Date]&lt;42826),Table1[Managing Tenancy and Accommodation],""))</f>
        <v/>
      </c>
      <c r="GD577" s="44" t="str">
        <f>IF(Table1[Date of Initial Assessment]="","",IF(AND(Table1[Start Date]&gt;42460,Table1[Start Date]&lt;42826),Table1[Offending],""))</f>
        <v/>
      </c>
      <c r="GE577" s="44" t="str">
        <f>IF(Table1[Leaving Date]="","",IF(AND(Table1[Leaving Date]&gt;42460,Table1[Leaving Date]&lt;42826),IF(Table1[Date of Last Assessment]="",Table1[Motivation and Taking Responsibility],Table1[Motivation and Taking Responsibility2]),""))</f>
        <v/>
      </c>
      <c r="GF577" s="44" t="str">
        <f>IF(Table1[Leaving Date]="","",IF(AND(Table1[Leaving Date]&gt;42460,Table1[Leaving Date]&lt;42826),IF(Table1[Date of Last Assessment]="",Table1[Self-Care and Living Skills],Table1[Self-Care and Living Skills2]),""))</f>
        <v/>
      </c>
      <c r="GG577" s="44" t="str">
        <f>IF(Table1[Leaving Date]="","",IF(AND(Table1[Leaving Date]&gt;42460,Table1[Leaving Date]&lt;42826),IF(Table1[Date of Last Assessment]="",Table1[Managing Money and Personal Administration],Table1[Managing Money and Personal Administration2]),""))</f>
        <v/>
      </c>
      <c r="GH577" s="44" t="str">
        <f>IF(Table1[Leaving Date]="","",IF(AND(Table1[Leaving Date]&gt;42460,Table1[Leaving Date]&lt;42826),IF(Table1[Date of Last Assessment]="",Table1[Social Networks and Relationships],Table1[Social Networks and Relationships2]),""))</f>
        <v/>
      </c>
      <c r="GI577" s="44" t="str">
        <f>IF(Table1[Leaving Date]="","",IF(AND(Table1[Leaving Date]&gt;42460,Table1[Leaving Date]&lt;42826),IF(Table1[Date of Last Assessment]="",Table1[Drug and Alcohol Misuse],Table1[Drug and Alcohol Misuse2]),""))</f>
        <v/>
      </c>
      <c r="GJ577" s="44" t="str">
        <f>IF(Table1[Leaving Date]="","",IF(AND(Table1[Leaving Date]&gt;42460,Table1[Leaving Date]&lt;42826),IF(Table1[Date of Last Assessment]="",Table1[Physical Health],Table1[Physical Health2]),""))</f>
        <v/>
      </c>
      <c r="GK577" s="44" t="str">
        <f>IF(Table1[Leaving Date]="","",IF(AND(Table1[Leaving Date]&gt;42460,Table1[Leaving Date]&lt;42826),IF(Table1[Date of Last Assessment]="",Table1[Emotional and Mental Health],Table1[Emotional and Mental Health2]),""))</f>
        <v/>
      </c>
      <c r="GL577" s="44" t="str">
        <f>IF(Table1[Leaving Date]="","",IF(AND(Table1[Leaving Date]&gt;42460,Table1[Leaving Date]&lt;42826),IF(Table1[Date of Last Assessment]="",Table1[Meaningful Use of Time],Table1[Meaningful Use of Time2]),""))</f>
        <v/>
      </c>
      <c r="GM577" s="44" t="str">
        <f>IF(Table1[Leaving Date]="","",IF(AND(Table1[Leaving Date]&gt;42460,Table1[Leaving Date]&lt;42826),IF(Table1[Date of Last Assessment]="",Table1[Managing Tenancy and Accommodation],Table1[Managing Tenancy and Accommodation2]),""))</f>
        <v/>
      </c>
      <c r="GN577" s="44" t="str">
        <f>IF(Table1[Leaving Date]="","",IF(AND(Table1[Leaving Date]&gt;42460,Table1[Leaving Date]&lt;42826),IF(Table1[Date of Last Assessment]="",Table1[Offending],Table1[Offending2]),""))</f>
        <v/>
      </c>
    </row>
    <row r="578" spans="2:196" ht="20.100000000000001" customHeight="1" x14ac:dyDescent="0.2">
      <c r="B578" s="86">
        <f>+'Service Data'!$C$5:$C$5</f>
        <v>0</v>
      </c>
      <c r="C578" s="86"/>
      <c r="D578" s="86"/>
      <c r="E578" s="86"/>
      <c r="F578" s="86"/>
      <c r="G578" s="86"/>
      <c r="H578" s="6"/>
      <c r="I578" s="99" t="str">
        <f ca="1">IF(Table1[[#This Row],[Date of Birth]]="","",SUM(TODAY()-Table1[[#This Row],[Date of Birth]])/365)</f>
        <v/>
      </c>
      <c r="L578" s="86"/>
      <c r="M578" s="77"/>
      <c r="N578" s="86"/>
      <c r="O578" s="86"/>
      <c r="P578" s="91"/>
      <c r="Q578" s="86"/>
      <c r="R578" s="77"/>
      <c r="S578" s="77"/>
      <c r="T578" s="68"/>
      <c r="U578" s="68"/>
      <c r="V578" s="67"/>
      <c r="W578" s="67"/>
      <c r="X578" s="67"/>
      <c r="Y578" s="67"/>
      <c r="Z578" s="67"/>
      <c r="AA578" s="67"/>
      <c r="AB578" s="67"/>
      <c r="AC578" s="67"/>
      <c r="AD578" s="67"/>
      <c r="AE578" s="67"/>
      <c r="AF578" s="67"/>
      <c r="AG578" s="67"/>
      <c r="AH578" s="67"/>
      <c r="AI578" s="67"/>
      <c r="AJ578" s="67"/>
      <c r="AK578" s="67"/>
      <c r="AL578" s="67"/>
      <c r="AM578" s="67"/>
      <c r="AN578" s="77"/>
      <c r="AO578" s="76"/>
      <c r="AP578" s="77"/>
      <c r="AQ578" s="76"/>
      <c r="AR578" s="76"/>
      <c r="AS578" s="76"/>
      <c r="AT578" s="76"/>
      <c r="AU578" s="76"/>
      <c r="AV578" s="77"/>
      <c r="AW578" s="76"/>
      <c r="AX578" s="77"/>
      <c r="AY578" s="76"/>
      <c r="AZ578" s="76"/>
      <c r="BA578" s="76"/>
      <c r="BB578" s="76"/>
      <c r="BC578" s="76"/>
      <c r="BD578" s="77"/>
      <c r="BE578" s="76"/>
      <c r="BF578" s="77"/>
      <c r="BG578" s="76"/>
      <c r="BH578" s="76"/>
      <c r="BI578" s="76"/>
      <c r="BJ578" s="76"/>
      <c r="BK578" s="76"/>
      <c r="BL578" s="77"/>
      <c r="BM578" s="76"/>
      <c r="BN578" s="77"/>
      <c r="BO578" s="76"/>
      <c r="BP578" s="76"/>
      <c r="BQ578" s="76"/>
      <c r="BR578" s="76"/>
      <c r="BS578" s="76"/>
      <c r="BT578" s="77"/>
      <c r="BU578" s="76"/>
      <c r="BV578" s="77"/>
      <c r="BW578" s="76"/>
      <c r="BX578" s="76"/>
      <c r="BY578" s="76"/>
      <c r="BZ578" s="76"/>
      <c r="CA578" s="76"/>
      <c r="CB578" s="77"/>
      <c r="CC578" s="76"/>
      <c r="CD578" s="77"/>
      <c r="CE578" s="76"/>
      <c r="CF578" s="76"/>
      <c r="CG578" s="76"/>
      <c r="CH578" s="76"/>
      <c r="CI578" s="76"/>
      <c r="CJ578" s="77"/>
      <c r="CK578" s="76"/>
      <c r="CL578" s="77"/>
      <c r="CM578" s="76"/>
      <c r="CN578" s="76"/>
      <c r="CO578" s="76"/>
      <c r="CP578" s="76"/>
      <c r="CQ578" s="76"/>
      <c r="CR578" s="78" t="str">
        <f t="shared" si="143"/>
        <v/>
      </c>
      <c r="CS578" s="79" t="str">
        <f t="shared" si="144"/>
        <v/>
      </c>
      <c r="CT578" s="79" t="str">
        <f t="shared" si="145"/>
        <v/>
      </c>
      <c r="CU578" s="79" t="str">
        <f t="shared" si="146"/>
        <v/>
      </c>
      <c r="CV578" s="79" t="str">
        <f t="shared" si="147"/>
        <v/>
      </c>
      <c r="CW578" s="79" t="str">
        <f t="shared" si="148"/>
        <v/>
      </c>
      <c r="CX578" s="79" t="str">
        <f t="shared" si="149"/>
        <v/>
      </c>
      <c r="CY578" s="79" t="str">
        <f t="shared" si="150"/>
        <v/>
      </c>
      <c r="CZ578" s="79" t="str">
        <f t="shared" si="151"/>
        <v/>
      </c>
      <c r="DA578" s="79" t="str">
        <f t="shared" si="152"/>
        <v/>
      </c>
      <c r="DB578" s="79" t="str">
        <f t="shared" si="153"/>
        <v/>
      </c>
      <c r="DC578" s="79" t="str">
        <f t="shared" si="154"/>
        <v/>
      </c>
      <c r="DD578" s="79" t="str">
        <f t="shared" si="155"/>
        <v/>
      </c>
      <c r="DE578" s="79" t="str">
        <f t="shared" si="156"/>
        <v/>
      </c>
      <c r="DF578" s="79" t="str">
        <f t="shared" si="157"/>
        <v/>
      </c>
      <c r="DG578" s="79" t="str">
        <f t="shared" si="158"/>
        <v/>
      </c>
      <c r="DH578" s="76"/>
      <c r="DI578" s="78"/>
      <c r="DJ578" s="76"/>
      <c r="DK578" s="77"/>
      <c r="DL578" s="77"/>
      <c r="DM578" s="77"/>
      <c r="DN578" s="80"/>
      <c r="DO578" s="80"/>
      <c r="DP578" s="92" t="str">
        <f>IF(Table1[Start Date]="","",IF(Table1[Start Date]&gt;42185,"",IF(AND(Table1[Leaving Date]&gt;1,Table1[Leaving Date]&lt;42095),"",1)))</f>
        <v/>
      </c>
      <c r="DQ578" s="92" t="str">
        <f>IF(Table1[Start Date]="","",IF(Table1[Start Date]&gt;42277,"",IF(AND(Table1[Leaving Date]&gt;1,Table1[Leaving Date]&lt;42186),"",1)))</f>
        <v/>
      </c>
      <c r="DR578" s="92" t="str">
        <f>IF(Table1[Start Date]="","",IF(Table1[Start Date]&gt;42369,"",IF(AND(Table1[Leaving Date]&gt;1,Table1[Leaving Date]&lt;42278),"",1)))</f>
        <v/>
      </c>
      <c r="DS578" s="92" t="str">
        <f>IF(Table1[Start Date]="","",IF(Table1[Start Date]&gt;42460,"",IF(AND(Table1[Leaving Date]&gt;1,Table1[Leaving Date]&lt;42370),"",1)))</f>
        <v/>
      </c>
      <c r="DT578" s="92" t="str">
        <f>IF(Table1[Start Date]="","",IF(Table1[Start Date]&gt;42551,"",IF(AND(Table1[Leaving Date]&gt;1,Table1[Leaving Date]&lt;42461),"",1)))</f>
        <v/>
      </c>
      <c r="DU578" s="92" t="str">
        <f>IF(Table1[Start Date]="","",IF(Table1[Start Date]&gt;42643,"",IF(AND(Table1[Leaving Date]&gt;1,Table1[Leaving Date]&lt;42552),"",1)))</f>
        <v/>
      </c>
      <c r="DV578" s="92" t="str">
        <f>IF(Table1[Start Date]="","",IF(Table1[Start Date]&gt;42735,"",IF(AND(Table1[Leaving Date]&gt;1,Table1[Leaving Date]&lt;42644),"",1)))</f>
        <v/>
      </c>
      <c r="DW578" s="92" t="str">
        <f>IF(Table1[Start Date]="","",IF(Table1[Start Date]&gt;42825,"",IF(AND(Table1[Leaving Date]&gt;1,Table1[Leaving Date]&lt;42736),"",1)))</f>
        <v/>
      </c>
      <c r="DX578"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578" s="44" t="e">
        <f>VLOOKUP(Table1[Referral Source],Lists!$G$2:$H$20,2,FALSE)</f>
        <v>#N/A</v>
      </c>
      <c r="DZ578" s="93" t="e">
        <f>SUM(Table1[Data Referral Quarter]+Table1[Data Referral Source])</f>
        <v>#N/A</v>
      </c>
      <c r="EA578" s="44" t="b">
        <f>IF(Table1[Referral Decision]="Accepted",100,IF(Table1[Referral Decision]="Rejected by Provider",200,IF(Table1[Referral Decision]="Rejected by Applicant",300)))</f>
        <v>0</v>
      </c>
      <c r="EB578" s="44">
        <f>SUM(Table1[Data Referral Quarter]+Table1[Data Referral Decision])</f>
        <v>0</v>
      </c>
      <c r="EC578" s="44" t="b">
        <f>IF(Table1[Start Date]&gt;42735,8000,IF(Table1[Start Date]&gt;42643,7000,IF(Table1[Start Date]&gt;42551,6000,IF(Table1[Start Date]&gt;42460,5000,IF(Table1[Start Date]&gt;42369,4000,IF(Table1[Start Date]&gt;42277,3000,IF(Table1[Start Date]&gt;42185,2000,IF(Table1[Start Date]&gt;42094,1000))))))))</f>
        <v>0</v>
      </c>
      <c r="ED578" s="44" t="str">
        <f>IF(Table1[Start Date]="","",IF(Table1[Current Local Authority]="Swindon",1,"2"))</f>
        <v/>
      </c>
      <c r="EE578" s="44" t="e">
        <f>SUM(Table1[Data Start Date]+Table1[Data Local Authority])</f>
        <v>#VALUE!</v>
      </c>
      <c r="EF578" s="44">
        <f>IF(Table1[Registered with GP]="Yes",1,0)</f>
        <v>0</v>
      </c>
      <c r="EG578" s="44">
        <f>SUM(Table1[Data Start Date]+Table1[Data GP Start])</f>
        <v>0</v>
      </c>
      <c r="EH578" s="44" t="str">
        <f>IF(Table1[EET]="NEET",1,IF(Table1[EET]="Education",2,IF(Table1[EET]="Employment",2,IF(Table1[EET]="Training",2,IF(Table1[EET]="Retired",3,"")))))</f>
        <v/>
      </c>
      <c r="EI578" s="44" t="e">
        <f>Table1[Data Start Date]+Table1[Data EET Start]</f>
        <v>#VALUE!</v>
      </c>
      <c r="EJ578" s="44" t="b">
        <f>IF(Table1[Leaving Date]&gt;42735,8000,IF(Table1[Leaving Date]&gt;42643,7000,IF(Table1[Leaving Date]&gt;42551,6000,IF(Table1[Leaving Date]&gt;42460,5000,IF(Table1[Leaving Date]&gt;42369,4000,IF(Table1[Leaving Date]&gt;42277,3000,IF(Table1[Leaving Date]&gt;42185,2000,IF(Table1[Leaving Date]&gt;42094,1000))))))))</f>
        <v>0</v>
      </c>
      <c r="EK578" s="44" t="e">
        <f>VLOOKUP(Table1[Reason for Leaving],Lists!$T$2:$U$15,2,FALSE)</f>
        <v>#N/A</v>
      </c>
      <c r="EL578" s="44" t="e">
        <f>SUM(Table1[Data Leavers Date]+Table1[Data Move On])</f>
        <v>#N/A</v>
      </c>
      <c r="EM578" s="44" t="b">
        <f>IF(Table1[Registered with GP2]="Yes",1,IF(Table1[Registered with GP2]="No",0,IF(Table1[Registered with GP]="Yes",1,IF(Table1[Registered with GP]="No",0))))</f>
        <v>0</v>
      </c>
      <c r="EN578" s="44">
        <f>SUM(Table1[Data Leavers Date]+Table1[Data GP End])</f>
        <v>0</v>
      </c>
      <c r="EO578" s="44" t="str">
        <f>IF(Table1[EET2]="NEET",1,IF(Table1[EET2]="Employment",2,IF(Table1[EET2]="Education",2,IF(Table1[EET2]="Training",2,IF(Table1[EET2]="Retired",3,IF(Table1[EET]="NEET",1,IF(Table1[EET]="Employment",2,IF(Table1[EET]="Education",2,IF(Table1[EET]="Training",2,IF(Table1[EET]="Retired",3,""))))))))))</f>
        <v/>
      </c>
      <c r="EP578" s="44" t="e">
        <f>+Table1[[#This Row],[Data Leavers Date]]+Table1[[#This Row],[Data EET End]]</f>
        <v>#VALUE!</v>
      </c>
      <c r="EQ578" s="44">
        <f>IF(Table1[Exit Form Received]="Yes",1,0)</f>
        <v>0</v>
      </c>
      <c r="ER578" s="44">
        <f>+Table1[[#This Row],[Data Leavers Date]]+Table1[[#This Row],[Data Exit Forms]]</f>
        <v>0</v>
      </c>
      <c r="ES578" s="44" t="str">
        <f>IF(Table1[Data Leavers Date]=1000,SUM(Table1[Leaving Date]-Table1[Start Date]),"")</f>
        <v/>
      </c>
      <c r="ET578" s="44" t="str">
        <f>IF(Table1[Data Leavers Date]=2000,SUM(Table1[Leaving Date]-Table1[Start Date]),"")</f>
        <v/>
      </c>
      <c r="EU578" s="44" t="str">
        <f>IF(Table1[Data Leavers Date]=3000,SUM(Table1[Leaving Date]-Table1[Start Date]),"")</f>
        <v/>
      </c>
      <c r="EV578" s="44" t="str">
        <f>IF(Table1[Data Leavers Date]=4000,SUM(Table1[Leaving Date]-Table1[Start Date]),"")</f>
        <v/>
      </c>
      <c r="EW578" s="44" t="str">
        <f>IF(Table1[Data Leavers Date]=5000,SUM(Table1[Leaving Date]-Table1[Start Date]),"")</f>
        <v/>
      </c>
      <c r="EX578" s="44" t="str">
        <f>IF(Table1[Data Leavers Date]=6000,SUM(Table1[Leaving Date]-Table1[Start Date]),"")</f>
        <v/>
      </c>
      <c r="EY578" s="44" t="str">
        <f>IF(Table1[Data Leavers Date]=7000,SUM(Table1[Leaving Date]-Table1[Start Date]),"")</f>
        <v/>
      </c>
      <c r="EZ578" s="44" t="str">
        <f>IF(Table1[Data Leavers Date]=8000,SUM(Table1[Leaving Date]-Table1[Start Date]),"")</f>
        <v/>
      </c>
      <c r="FA578" s="44" t="str">
        <f>IF(Table1[Date of Initial Assessment]="","",IF(AND(Table1[Start Date]&gt;42094,Table1[Start Date]&lt;42461),Table1[Motivation and Taking Responsibility],""))</f>
        <v/>
      </c>
      <c r="FB578" s="44" t="str">
        <f>IF(Table1[Date of Initial Assessment]="","",IF(AND(Table1[Start Date]&gt;42094,Table1[Start Date]&lt;42461),Table1[Self-Care and Living Skills],""))</f>
        <v/>
      </c>
      <c r="FC578" s="44" t="str">
        <f>IF(Table1[Date of Initial Assessment]="","",IF(AND(Table1[Start Date]&gt;42094,Table1[Start Date]&lt;42461),Table1[Managing Money and Personal Administration],""))</f>
        <v/>
      </c>
      <c r="FD578" s="44" t="str">
        <f>IF(Table1[Date of Initial Assessment]="","",IF(AND(Table1[Start Date]&gt;42094,Table1[Start Date]&lt;42461),Table1[Social Networks and Relationships],""))</f>
        <v/>
      </c>
      <c r="FE578" s="44" t="str">
        <f>IF(Table1[Date of Initial Assessment]="","",IF(AND(Table1[Start Date]&gt;42094,Table1[Start Date]&lt;42461),Table1[Drug and Alcohol Misuse],""))</f>
        <v/>
      </c>
      <c r="FF578" s="44" t="str">
        <f>IF(Table1[Date of Initial Assessment]="","",IF(AND(Table1[Start Date]&gt;42094,Table1[Start Date]&lt;42461),Table1[Physical Health],""))</f>
        <v/>
      </c>
      <c r="FG578" s="44" t="str">
        <f>IF(Table1[Date of Initial Assessment]="","",IF(AND(Table1[Start Date]&gt;42094,Table1[Start Date]&lt;42461),Table1[Emotional and Mental Health],""))</f>
        <v/>
      </c>
      <c r="FH578" s="44" t="str">
        <f>IF(Table1[Date of Initial Assessment]="","",IF(AND(Table1[Start Date]&gt;42094,Table1[Start Date]&lt;42461),Table1[Meaningful Use of Time],""))</f>
        <v/>
      </c>
      <c r="FI578" s="44" t="str">
        <f>IF(Table1[Date of Initial Assessment]="","",IF(AND(Table1[Start Date]&gt;42094,Table1[Start Date]&lt;42461),Table1[Managing Tenancy and Accommodation],""))</f>
        <v/>
      </c>
      <c r="FJ578" s="44" t="str">
        <f>IF(Table1[Date of Initial Assessment]="","",IF(AND(Table1[Start Date]&gt;42094,Table1[Start Date]&lt;42461),Table1[Offending],""))</f>
        <v/>
      </c>
      <c r="FK578" s="44" t="str">
        <f>IF(Table1[Leaving Date]="","",IF(Table1[Date of Initial Assessment]="","",IF(AND(Table1[Leaving Date]&gt;42094,Table1[Leaving Date]&lt;42461),IF(Table1[Date of Last Assessment]="",Table1[Motivation and Taking Responsibility],Table1[Motivation and Taking Responsibility2]),"")))</f>
        <v/>
      </c>
      <c r="FL578" s="44" t="str">
        <f>IF(Table1[Leaving Date]="","",IF(Table1[Date of Initial Assessment]="","",IF(AND(Table1[Leaving Date]&gt;42094,Table1[Leaving Date]&lt;42461),IF(Table1[Date of Last Assessment]="",Table1[Self-Care and Living Skills],Table1[Self-Care and Living Skills2]),"")))</f>
        <v/>
      </c>
      <c r="FM578" s="44" t="str">
        <f>IF(Table1[Leaving Date]="","",IF(Table1[Date of Initial Assessment]="","",IF(AND(Table1[Leaving Date]&gt;42094,Table1[Leaving Date]&lt;42461),IF(Table1[Date of Last Assessment]="",Table1[Managing Money and Personal Administration],Table1[Managing Money and Personal Administration2]),"")))</f>
        <v/>
      </c>
      <c r="FN578" s="44" t="str">
        <f>IF(Table1[Leaving Date]="","",IF(Table1[Date of Initial Assessment]="","",IF(AND(Table1[Leaving Date]&gt;42094,Table1[Leaving Date]&lt;42461),IF(Table1[Date of Last Assessment]="",Table1[Social Networks and Relationships],Table1[Social Networks and Relationships2]),"")))</f>
        <v/>
      </c>
      <c r="FO578" s="44" t="str">
        <f>IF(Table1[Leaving Date]="","",IF(Table1[Date of Initial Assessment]="","",IF(AND(Table1[Leaving Date]&gt;42094,Table1[Leaving Date]&lt;42461),IF(Table1[Date of Last Assessment]="",Table1[Drug and Alcohol Misuse],Table1[Drug and Alcohol Misuse2]),"")))</f>
        <v/>
      </c>
      <c r="FP578" s="44" t="str">
        <f>IF(Table1[Leaving Date]="","",IF(Table1[Date of Initial Assessment]="","",IF(AND(Table1[Leaving Date]&gt;42094,Table1[Leaving Date]&lt;42461),IF(Table1[Date of Last Assessment]="",Table1[Physical Health],Table1[Physical Health2]),"")))</f>
        <v/>
      </c>
      <c r="FQ578" s="44" t="str">
        <f>IF(Table1[Leaving Date]="","",IF(Table1[Date of Initial Assessment]="","",IF(AND(Table1[Leaving Date]&gt;42094,Table1[Leaving Date]&lt;42461),IF(Table1[Date of Last Assessment]="",Table1[Emotional and Mental Health],Table1[Emotional and Mental Health2]),"")))</f>
        <v/>
      </c>
      <c r="FR578" s="44" t="str">
        <f>IF(Table1[Leaving Date]="","",IF(Table1[Date of Initial Assessment]="","",IF(AND(Table1[Leaving Date]&gt;42094,Table1[Leaving Date]&lt;42461),IF(Table1[Date of Last Assessment]="",Table1[Meaningful Use of Time],Table1[Meaningful Use of Time2]),"")))</f>
        <v/>
      </c>
      <c r="FS578" s="44" t="str">
        <f>IF(Table1[Leaving Date]="","",IF(Table1[Date of Initial Assessment]="","",IF(AND(Table1[Leaving Date]&gt;42094,Table1[Leaving Date]&lt;42461),IF(Table1[Date of Last Assessment]="",Table1[Managing Tenancy and Accommodation],Table1[Managing Tenancy and Accommodation2]),"")))</f>
        <v/>
      </c>
      <c r="FT578" s="44" t="str">
        <f>IF(Table1[Leaving Date]="","",IF(Table1[Date of Initial Assessment]="","",IF(AND(Table1[Leaving Date]&gt;42094,Table1[Leaving Date]&lt;42461),IF(Table1[Date of Last Assessment]="",Table1[Offending],Table1[Offending2]),"")))</f>
        <v/>
      </c>
      <c r="FU578" s="44" t="str">
        <f>IF(Table1[Date of Initial Assessment]="","",IF(AND(Table1[Start Date]&gt;42460,Table1[Start Date]&lt;42826),Table1[Motivation and Taking Responsibility],""))</f>
        <v/>
      </c>
      <c r="FV578" s="44" t="str">
        <f>IF(Table1[Date of Initial Assessment]="","",IF(AND(Table1[Start Date]&gt;42460,Table1[Start Date]&lt;42826),Table1[Self-Care and Living Skills],""))</f>
        <v/>
      </c>
      <c r="FW578" s="44" t="str">
        <f>IF(Table1[Date of Initial Assessment]="","",IF(AND(Table1[Start Date]&gt;42460,Table1[Start Date]&lt;42826),Table1[Managing Money and Personal Administration],""))</f>
        <v/>
      </c>
      <c r="FX578" s="44" t="str">
        <f>IF(Table1[Date of Initial Assessment]="","",IF(AND(Table1[Start Date]&gt;42460,Table1[Start Date]&lt;42826),Table1[Social Networks and Relationships],""))</f>
        <v/>
      </c>
      <c r="FY578" s="44" t="str">
        <f>IF(Table1[Date of Initial Assessment]="","",IF(AND(Table1[Start Date]&gt;42460,Table1[Start Date]&lt;42826),Table1[Drug and Alcohol Misuse],""))</f>
        <v/>
      </c>
      <c r="FZ578" s="44" t="str">
        <f>IF(Table1[Date of Initial Assessment]="","",IF(AND(Table1[Start Date]&gt;42460,Table1[Start Date]&lt;42826),Table1[Physical Health],""))</f>
        <v/>
      </c>
      <c r="GA578" s="44" t="str">
        <f>IF(Table1[Date of Initial Assessment]="","",IF(AND(Table1[Start Date]&gt;42460,Table1[Start Date]&lt;42826),Table1[Emotional and Mental Health],""))</f>
        <v/>
      </c>
      <c r="GB578" s="44" t="str">
        <f>IF(Table1[Date of Initial Assessment]="","",IF(AND(Table1[Start Date]&gt;42460,Table1[Start Date]&lt;42826),Table1[Meaningful Use of Time],""))</f>
        <v/>
      </c>
      <c r="GC578" s="44" t="str">
        <f>IF(Table1[Date of Initial Assessment]="","",IF(AND(Table1[Start Date]&gt;42460,Table1[Start Date]&lt;42826),Table1[Managing Tenancy and Accommodation],""))</f>
        <v/>
      </c>
      <c r="GD578" s="44" t="str">
        <f>IF(Table1[Date of Initial Assessment]="","",IF(AND(Table1[Start Date]&gt;42460,Table1[Start Date]&lt;42826),Table1[Offending],""))</f>
        <v/>
      </c>
      <c r="GE578" s="44" t="str">
        <f>IF(Table1[Leaving Date]="","",IF(AND(Table1[Leaving Date]&gt;42460,Table1[Leaving Date]&lt;42826),IF(Table1[Date of Last Assessment]="",Table1[Motivation and Taking Responsibility],Table1[Motivation and Taking Responsibility2]),""))</f>
        <v/>
      </c>
      <c r="GF578" s="44" t="str">
        <f>IF(Table1[Leaving Date]="","",IF(AND(Table1[Leaving Date]&gt;42460,Table1[Leaving Date]&lt;42826),IF(Table1[Date of Last Assessment]="",Table1[Self-Care and Living Skills],Table1[Self-Care and Living Skills2]),""))</f>
        <v/>
      </c>
      <c r="GG578" s="44" t="str">
        <f>IF(Table1[Leaving Date]="","",IF(AND(Table1[Leaving Date]&gt;42460,Table1[Leaving Date]&lt;42826),IF(Table1[Date of Last Assessment]="",Table1[Managing Money and Personal Administration],Table1[Managing Money and Personal Administration2]),""))</f>
        <v/>
      </c>
      <c r="GH578" s="44" t="str">
        <f>IF(Table1[Leaving Date]="","",IF(AND(Table1[Leaving Date]&gt;42460,Table1[Leaving Date]&lt;42826),IF(Table1[Date of Last Assessment]="",Table1[Social Networks and Relationships],Table1[Social Networks and Relationships2]),""))</f>
        <v/>
      </c>
      <c r="GI578" s="44" t="str">
        <f>IF(Table1[Leaving Date]="","",IF(AND(Table1[Leaving Date]&gt;42460,Table1[Leaving Date]&lt;42826),IF(Table1[Date of Last Assessment]="",Table1[Drug and Alcohol Misuse],Table1[Drug and Alcohol Misuse2]),""))</f>
        <v/>
      </c>
      <c r="GJ578" s="44" t="str">
        <f>IF(Table1[Leaving Date]="","",IF(AND(Table1[Leaving Date]&gt;42460,Table1[Leaving Date]&lt;42826),IF(Table1[Date of Last Assessment]="",Table1[Physical Health],Table1[Physical Health2]),""))</f>
        <v/>
      </c>
      <c r="GK578" s="44" t="str">
        <f>IF(Table1[Leaving Date]="","",IF(AND(Table1[Leaving Date]&gt;42460,Table1[Leaving Date]&lt;42826),IF(Table1[Date of Last Assessment]="",Table1[Emotional and Mental Health],Table1[Emotional and Mental Health2]),""))</f>
        <v/>
      </c>
      <c r="GL578" s="44" t="str">
        <f>IF(Table1[Leaving Date]="","",IF(AND(Table1[Leaving Date]&gt;42460,Table1[Leaving Date]&lt;42826),IF(Table1[Date of Last Assessment]="",Table1[Meaningful Use of Time],Table1[Meaningful Use of Time2]),""))</f>
        <v/>
      </c>
      <c r="GM578" s="44" t="str">
        <f>IF(Table1[Leaving Date]="","",IF(AND(Table1[Leaving Date]&gt;42460,Table1[Leaving Date]&lt;42826),IF(Table1[Date of Last Assessment]="",Table1[Managing Tenancy and Accommodation],Table1[Managing Tenancy and Accommodation2]),""))</f>
        <v/>
      </c>
      <c r="GN578" s="44" t="str">
        <f>IF(Table1[Leaving Date]="","",IF(AND(Table1[Leaving Date]&gt;42460,Table1[Leaving Date]&lt;42826),IF(Table1[Date of Last Assessment]="",Table1[Offending],Table1[Offending2]),""))</f>
        <v/>
      </c>
    </row>
    <row r="579" spans="2:196" ht="20.100000000000001" customHeight="1" x14ac:dyDescent="0.2">
      <c r="B579" s="86">
        <f>+'Service Data'!$C$5:$C$5</f>
        <v>0</v>
      </c>
      <c r="C579" s="86"/>
      <c r="D579" s="86"/>
      <c r="E579" s="86"/>
      <c r="F579" s="86"/>
      <c r="G579" s="86"/>
      <c r="H579" s="6"/>
      <c r="I579" s="99" t="str">
        <f ca="1">IF(Table1[[#This Row],[Date of Birth]]="","",SUM(TODAY()-Table1[[#This Row],[Date of Birth]])/365)</f>
        <v/>
      </c>
      <c r="L579" s="86"/>
      <c r="M579" s="77"/>
      <c r="N579" s="86"/>
      <c r="O579" s="86"/>
      <c r="P579" s="91"/>
      <c r="Q579" s="86"/>
      <c r="R579" s="77"/>
      <c r="S579" s="77"/>
      <c r="T579" s="68"/>
      <c r="U579" s="68"/>
      <c r="V579" s="67"/>
      <c r="W579" s="67"/>
      <c r="X579" s="67"/>
      <c r="Y579" s="67"/>
      <c r="Z579" s="67"/>
      <c r="AA579" s="67"/>
      <c r="AB579" s="67"/>
      <c r="AC579" s="67"/>
      <c r="AD579" s="67"/>
      <c r="AE579" s="67"/>
      <c r="AF579" s="67"/>
      <c r="AG579" s="67"/>
      <c r="AH579" s="67"/>
      <c r="AI579" s="67"/>
      <c r="AJ579" s="67"/>
      <c r="AK579" s="67"/>
      <c r="AL579" s="67"/>
      <c r="AM579" s="67"/>
      <c r="AN579" s="77"/>
      <c r="AO579" s="76"/>
      <c r="AP579" s="77"/>
      <c r="AQ579" s="76"/>
      <c r="AR579" s="76"/>
      <c r="AS579" s="76"/>
      <c r="AT579" s="76"/>
      <c r="AU579" s="76"/>
      <c r="AV579" s="77"/>
      <c r="AW579" s="76"/>
      <c r="AX579" s="77"/>
      <c r="AY579" s="76"/>
      <c r="AZ579" s="76"/>
      <c r="BA579" s="76"/>
      <c r="BB579" s="76"/>
      <c r="BC579" s="76"/>
      <c r="BD579" s="77"/>
      <c r="BE579" s="76"/>
      <c r="BF579" s="77"/>
      <c r="BG579" s="76"/>
      <c r="BH579" s="76"/>
      <c r="BI579" s="76"/>
      <c r="BJ579" s="76"/>
      <c r="BK579" s="76"/>
      <c r="BL579" s="77"/>
      <c r="BM579" s="76"/>
      <c r="BN579" s="77"/>
      <c r="BO579" s="76"/>
      <c r="BP579" s="76"/>
      <c r="BQ579" s="76"/>
      <c r="BR579" s="76"/>
      <c r="BS579" s="76"/>
      <c r="BT579" s="77"/>
      <c r="BU579" s="76"/>
      <c r="BV579" s="77"/>
      <c r="BW579" s="76"/>
      <c r="BX579" s="76"/>
      <c r="BY579" s="76"/>
      <c r="BZ579" s="76"/>
      <c r="CA579" s="76"/>
      <c r="CB579" s="77"/>
      <c r="CC579" s="76"/>
      <c r="CD579" s="77"/>
      <c r="CE579" s="76"/>
      <c r="CF579" s="76"/>
      <c r="CG579" s="76"/>
      <c r="CH579" s="76"/>
      <c r="CI579" s="76"/>
      <c r="CJ579" s="77"/>
      <c r="CK579" s="76"/>
      <c r="CL579" s="77"/>
      <c r="CM579" s="76"/>
      <c r="CN579" s="76"/>
      <c r="CO579" s="76"/>
      <c r="CP579" s="76"/>
      <c r="CQ579" s="76"/>
      <c r="CR579" s="78" t="str">
        <f t="shared" si="143"/>
        <v/>
      </c>
      <c r="CS579" s="79" t="str">
        <f t="shared" si="144"/>
        <v/>
      </c>
      <c r="CT579" s="79" t="str">
        <f t="shared" si="145"/>
        <v/>
      </c>
      <c r="CU579" s="79" t="str">
        <f t="shared" si="146"/>
        <v/>
      </c>
      <c r="CV579" s="79" t="str">
        <f t="shared" si="147"/>
        <v/>
      </c>
      <c r="CW579" s="79" t="str">
        <f t="shared" si="148"/>
        <v/>
      </c>
      <c r="CX579" s="79" t="str">
        <f t="shared" si="149"/>
        <v/>
      </c>
      <c r="CY579" s="79" t="str">
        <f t="shared" si="150"/>
        <v/>
      </c>
      <c r="CZ579" s="79" t="str">
        <f t="shared" si="151"/>
        <v/>
      </c>
      <c r="DA579" s="79" t="str">
        <f t="shared" si="152"/>
        <v/>
      </c>
      <c r="DB579" s="79" t="str">
        <f t="shared" si="153"/>
        <v/>
      </c>
      <c r="DC579" s="79" t="str">
        <f t="shared" si="154"/>
        <v/>
      </c>
      <c r="DD579" s="79" t="str">
        <f t="shared" si="155"/>
        <v/>
      </c>
      <c r="DE579" s="79" t="str">
        <f t="shared" si="156"/>
        <v/>
      </c>
      <c r="DF579" s="79" t="str">
        <f t="shared" si="157"/>
        <v/>
      </c>
      <c r="DG579" s="79" t="str">
        <f t="shared" si="158"/>
        <v/>
      </c>
      <c r="DH579" s="76"/>
      <c r="DI579" s="78"/>
      <c r="DJ579" s="76"/>
      <c r="DK579" s="77"/>
      <c r="DL579" s="77"/>
      <c r="DM579" s="77"/>
      <c r="DN579" s="80"/>
      <c r="DO579" s="80"/>
      <c r="DP579" s="92" t="str">
        <f>IF(Table1[Start Date]="","",IF(Table1[Start Date]&gt;42185,"",IF(AND(Table1[Leaving Date]&gt;1,Table1[Leaving Date]&lt;42095),"",1)))</f>
        <v/>
      </c>
      <c r="DQ579" s="92" t="str">
        <f>IF(Table1[Start Date]="","",IF(Table1[Start Date]&gt;42277,"",IF(AND(Table1[Leaving Date]&gt;1,Table1[Leaving Date]&lt;42186),"",1)))</f>
        <v/>
      </c>
      <c r="DR579" s="92" t="str">
        <f>IF(Table1[Start Date]="","",IF(Table1[Start Date]&gt;42369,"",IF(AND(Table1[Leaving Date]&gt;1,Table1[Leaving Date]&lt;42278),"",1)))</f>
        <v/>
      </c>
      <c r="DS579" s="92" t="str">
        <f>IF(Table1[Start Date]="","",IF(Table1[Start Date]&gt;42460,"",IF(AND(Table1[Leaving Date]&gt;1,Table1[Leaving Date]&lt;42370),"",1)))</f>
        <v/>
      </c>
      <c r="DT579" s="92" t="str">
        <f>IF(Table1[Start Date]="","",IF(Table1[Start Date]&gt;42551,"",IF(AND(Table1[Leaving Date]&gt;1,Table1[Leaving Date]&lt;42461),"",1)))</f>
        <v/>
      </c>
      <c r="DU579" s="92" t="str">
        <f>IF(Table1[Start Date]="","",IF(Table1[Start Date]&gt;42643,"",IF(AND(Table1[Leaving Date]&gt;1,Table1[Leaving Date]&lt;42552),"",1)))</f>
        <v/>
      </c>
      <c r="DV579" s="92" t="str">
        <f>IF(Table1[Start Date]="","",IF(Table1[Start Date]&gt;42735,"",IF(AND(Table1[Leaving Date]&gt;1,Table1[Leaving Date]&lt;42644),"",1)))</f>
        <v/>
      </c>
      <c r="DW579" s="92" t="str">
        <f>IF(Table1[Start Date]="","",IF(Table1[Start Date]&gt;42825,"",IF(AND(Table1[Leaving Date]&gt;1,Table1[Leaving Date]&lt;42736),"",1)))</f>
        <v/>
      </c>
      <c r="DX579"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579" s="44" t="e">
        <f>VLOOKUP(Table1[Referral Source],Lists!$G$2:$H$20,2,FALSE)</f>
        <v>#N/A</v>
      </c>
      <c r="DZ579" s="93" t="e">
        <f>SUM(Table1[Data Referral Quarter]+Table1[Data Referral Source])</f>
        <v>#N/A</v>
      </c>
      <c r="EA579" s="44" t="b">
        <f>IF(Table1[Referral Decision]="Accepted",100,IF(Table1[Referral Decision]="Rejected by Provider",200,IF(Table1[Referral Decision]="Rejected by Applicant",300)))</f>
        <v>0</v>
      </c>
      <c r="EB579" s="44">
        <f>SUM(Table1[Data Referral Quarter]+Table1[Data Referral Decision])</f>
        <v>0</v>
      </c>
      <c r="EC579" s="44" t="b">
        <f>IF(Table1[Start Date]&gt;42735,8000,IF(Table1[Start Date]&gt;42643,7000,IF(Table1[Start Date]&gt;42551,6000,IF(Table1[Start Date]&gt;42460,5000,IF(Table1[Start Date]&gt;42369,4000,IF(Table1[Start Date]&gt;42277,3000,IF(Table1[Start Date]&gt;42185,2000,IF(Table1[Start Date]&gt;42094,1000))))))))</f>
        <v>0</v>
      </c>
      <c r="ED579" s="44" t="str">
        <f>IF(Table1[Start Date]="","",IF(Table1[Current Local Authority]="Swindon",1,"2"))</f>
        <v/>
      </c>
      <c r="EE579" s="44" t="e">
        <f>SUM(Table1[Data Start Date]+Table1[Data Local Authority])</f>
        <v>#VALUE!</v>
      </c>
      <c r="EF579" s="44">
        <f>IF(Table1[Registered with GP]="Yes",1,0)</f>
        <v>0</v>
      </c>
      <c r="EG579" s="44">
        <f>SUM(Table1[Data Start Date]+Table1[Data GP Start])</f>
        <v>0</v>
      </c>
      <c r="EH579" s="44" t="str">
        <f>IF(Table1[EET]="NEET",1,IF(Table1[EET]="Education",2,IF(Table1[EET]="Employment",2,IF(Table1[EET]="Training",2,IF(Table1[EET]="Retired",3,"")))))</f>
        <v/>
      </c>
      <c r="EI579" s="44" t="e">
        <f>Table1[Data Start Date]+Table1[Data EET Start]</f>
        <v>#VALUE!</v>
      </c>
      <c r="EJ579" s="44" t="b">
        <f>IF(Table1[Leaving Date]&gt;42735,8000,IF(Table1[Leaving Date]&gt;42643,7000,IF(Table1[Leaving Date]&gt;42551,6000,IF(Table1[Leaving Date]&gt;42460,5000,IF(Table1[Leaving Date]&gt;42369,4000,IF(Table1[Leaving Date]&gt;42277,3000,IF(Table1[Leaving Date]&gt;42185,2000,IF(Table1[Leaving Date]&gt;42094,1000))))))))</f>
        <v>0</v>
      </c>
      <c r="EK579" s="44" t="e">
        <f>VLOOKUP(Table1[Reason for Leaving],Lists!$T$2:$U$15,2,FALSE)</f>
        <v>#N/A</v>
      </c>
      <c r="EL579" s="44" t="e">
        <f>SUM(Table1[Data Leavers Date]+Table1[Data Move On])</f>
        <v>#N/A</v>
      </c>
      <c r="EM579" s="44" t="b">
        <f>IF(Table1[Registered with GP2]="Yes",1,IF(Table1[Registered with GP2]="No",0,IF(Table1[Registered with GP]="Yes",1,IF(Table1[Registered with GP]="No",0))))</f>
        <v>0</v>
      </c>
      <c r="EN579" s="44">
        <f>SUM(Table1[Data Leavers Date]+Table1[Data GP End])</f>
        <v>0</v>
      </c>
      <c r="EO579" s="44" t="str">
        <f>IF(Table1[EET2]="NEET",1,IF(Table1[EET2]="Employment",2,IF(Table1[EET2]="Education",2,IF(Table1[EET2]="Training",2,IF(Table1[EET2]="Retired",3,IF(Table1[EET]="NEET",1,IF(Table1[EET]="Employment",2,IF(Table1[EET]="Education",2,IF(Table1[EET]="Training",2,IF(Table1[EET]="Retired",3,""))))))))))</f>
        <v/>
      </c>
      <c r="EP579" s="44" t="e">
        <f>+Table1[[#This Row],[Data Leavers Date]]+Table1[[#This Row],[Data EET End]]</f>
        <v>#VALUE!</v>
      </c>
      <c r="EQ579" s="44">
        <f>IF(Table1[Exit Form Received]="Yes",1,0)</f>
        <v>0</v>
      </c>
      <c r="ER579" s="44">
        <f>+Table1[[#This Row],[Data Leavers Date]]+Table1[[#This Row],[Data Exit Forms]]</f>
        <v>0</v>
      </c>
      <c r="ES579" s="44" t="str">
        <f>IF(Table1[Data Leavers Date]=1000,SUM(Table1[Leaving Date]-Table1[Start Date]),"")</f>
        <v/>
      </c>
      <c r="ET579" s="44" t="str">
        <f>IF(Table1[Data Leavers Date]=2000,SUM(Table1[Leaving Date]-Table1[Start Date]),"")</f>
        <v/>
      </c>
      <c r="EU579" s="44" t="str">
        <f>IF(Table1[Data Leavers Date]=3000,SUM(Table1[Leaving Date]-Table1[Start Date]),"")</f>
        <v/>
      </c>
      <c r="EV579" s="44" t="str">
        <f>IF(Table1[Data Leavers Date]=4000,SUM(Table1[Leaving Date]-Table1[Start Date]),"")</f>
        <v/>
      </c>
      <c r="EW579" s="44" t="str">
        <f>IF(Table1[Data Leavers Date]=5000,SUM(Table1[Leaving Date]-Table1[Start Date]),"")</f>
        <v/>
      </c>
      <c r="EX579" s="44" t="str">
        <f>IF(Table1[Data Leavers Date]=6000,SUM(Table1[Leaving Date]-Table1[Start Date]),"")</f>
        <v/>
      </c>
      <c r="EY579" s="44" t="str">
        <f>IF(Table1[Data Leavers Date]=7000,SUM(Table1[Leaving Date]-Table1[Start Date]),"")</f>
        <v/>
      </c>
      <c r="EZ579" s="44" t="str">
        <f>IF(Table1[Data Leavers Date]=8000,SUM(Table1[Leaving Date]-Table1[Start Date]),"")</f>
        <v/>
      </c>
      <c r="FA579" s="44" t="str">
        <f>IF(Table1[Date of Initial Assessment]="","",IF(AND(Table1[Start Date]&gt;42094,Table1[Start Date]&lt;42461),Table1[Motivation and Taking Responsibility],""))</f>
        <v/>
      </c>
      <c r="FB579" s="44" t="str">
        <f>IF(Table1[Date of Initial Assessment]="","",IF(AND(Table1[Start Date]&gt;42094,Table1[Start Date]&lt;42461),Table1[Self-Care and Living Skills],""))</f>
        <v/>
      </c>
      <c r="FC579" s="44" t="str">
        <f>IF(Table1[Date of Initial Assessment]="","",IF(AND(Table1[Start Date]&gt;42094,Table1[Start Date]&lt;42461),Table1[Managing Money and Personal Administration],""))</f>
        <v/>
      </c>
      <c r="FD579" s="44" t="str">
        <f>IF(Table1[Date of Initial Assessment]="","",IF(AND(Table1[Start Date]&gt;42094,Table1[Start Date]&lt;42461),Table1[Social Networks and Relationships],""))</f>
        <v/>
      </c>
      <c r="FE579" s="44" t="str">
        <f>IF(Table1[Date of Initial Assessment]="","",IF(AND(Table1[Start Date]&gt;42094,Table1[Start Date]&lt;42461),Table1[Drug and Alcohol Misuse],""))</f>
        <v/>
      </c>
      <c r="FF579" s="44" t="str">
        <f>IF(Table1[Date of Initial Assessment]="","",IF(AND(Table1[Start Date]&gt;42094,Table1[Start Date]&lt;42461),Table1[Physical Health],""))</f>
        <v/>
      </c>
      <c r="FG579" s="44" t="str">
        <f>IF(Table1[Date of Initial Assessment]="","",IF(AND(Table1[Start Date]&gt;42094,Table1[Start Date]&lt;42461),Table1[Emotional and Mental Health],""))</f>
        <v/>
      </c>
      <c r="FH579" s="44" t="str">
        <f>IF(Table1[Date of Initial Assessment]="","",IF(AND(Table1[Start Date]&gt;42094,Table1[Start Date]&lt;42461),Table1[Meaningful Use of Time],""))</f>
        <v/>
      </c>
      <c r="FI579" s="44" t="str">
        <f>IF(Table1[Date of Initial Assessment]="","",IF(AND(Table1[Start Date]&gt;42094,Table1[Start Date]&lt;42461),Table1[Managing Tenancy and Accommodation],""))</f>
        <v/>
      </c>
      <c r="FJ579" s="44" t="str">
        <f>IF(Table1[Date of Initial Assessment]="","",IF(AND(Table1[Start Date]&gt;42094,Table1[Start Date]&lt;42461),Table1[Offending],""))</f>
        <v/>
      </c>
      <c r="FK579" s="44" t="str">
        <f>IF(Table1[Leaving Date]="","",IF(Table1[Date of Initial Assessment]="","",IF(AND(Table1[Leaving Date]&gt;42094,Table1[Leaving Date]&lt;42461),IF(Table1[Date of Last Assessment]="",Table1[Motivation and Taking Responsibility],Table1[Motivation and Taking Responsibility2]),"")))</f>
        <v/>
      </c>
      <c r="FL579" s="44" t="str">
        <f>IF(Table1[Leaving Date]="","",IF(Table1[Date of Initial Assessment]="","",IF(AND(Table1[Leaving Date]&gt;42094,Table1[Leaving Date]&lt;42461),IF(Table1[Date of Last Assessment]="",Table1[Self-Care and Living Skills],Table1[Self-Care and Living Skills2]),"")))</f>
        <v/>
      </c>
      <c r="FM579" s="44" t="str">
        <f>IF(Table1[Leaving Date]="","",IF(Table1[Date of Initial Assessment]="","",IF(AND(Table1[Leaving Date]&gt;42094,Table1[Leaving Date]&lt;42461),IF(Table1[Date of Last Assessment]="",Table1[Managing Money and Personal Administration],Table1[Managing Money and Personal Administration2]),"")))</f>
        <v/>
      </c>
      <c r="FN579" s="44" t="str">
        <f>IF(Table1[Leaving Date]="","",IF(Table1[Date of Initial Assessment]="","",IF(AND(Table1[Leaving Date]&gt;42094,Table1[Leaving Date]&lt;42461),IF(Table1[Date of Last Assessment]="",Table1[Social Networks and Relationships],Table1[Social Networks and Relationships2]),"")))</f>
        <v/>
      </c>
      <c r="FO579" s="44" t="str">
        <f>IF(Table1[Leaving Date]="","",IF(Table1[Date of Initial Assessment]="","",IF(AND(Table1[Leaving Date]&gt;42094,Table1[Leaving Date]&lt;42461),IF(Table1[Date of Last Assessment]="",Table1[Drug and Alcohol Misuse],Table1[Drug and Alcohol Misuse2]),"")))</f>
        <v/>
      </c>
      <c r="FP579" s="44" t="str">
        <f>IF(Table1[Leaving Date]="","",IF(Table1[Date of Initial Assessment]="","",IF(AND(Table1[Leaving Date]&gt;42094,Table1[Leaving Date]&lt;42461),IF(Table1[Date of Last Assessment]="",Table1[Physical Health],Table1[Physical Health2]),"")))</f>
        <v/>
      </c>
      <c r="FQ579" s="44" t="str">
        <f>IF(Table1[Leaving Date]="","",IF(Table1[Date of Initial Assessment]="","",IF(AND(Table1[Leaving Date]&gt;42094,Table1[Leaving Date]&lt;42461),IF(Table1[Date of Last Assessment]="",Table1[Emotional and Mental Health],Table1[Emotional and Mental Health2]),"")))</f>
        <v/>
      </c>
      <c r="FR579" s="44" t="str">
        <f>IF(Table1[Leaving Date]="","",IF(Table1[Date of Initial Assessment]="","",IF(AND(Table1[Leaving Date]&gt;42094,Table1[Leaving Date]&lt;42461),IF(Table1[Date of Last Assessment]="",Table1[Meaningful Use of Time],Table1[Meaningful Use of Time2]),"")))</f>
        <v/>
      </c>
      <c r="FS579" s="44" t="str">
        <f>IF(Table1[Leaving Date]="","",IF(Table1[Date of Initial Assessment]="","",IF(AND(Table1[Leaving Date]&gt;42094,Table1[Leaving Date]&lt;42461),IF(Table1[Date of Last Assessment]="",Table1[Managing Tenancy and Accommodation],Table1[Managing Tenancy and Accommodation2]),"")))</f>
        <v/>
      </c>
      <c r="FT579" s="44" t="str">
        <f>IF(Table1[Leaving Date]="","",IF(Table1[Date of Initial Assessment]="","",IF(AND(Table1[Leaving Date]&gt;42094,Table1[Leaving Date]&lt;42461),IF(Table1[Date of Last Assessment]="",Table1[Offending],Table1[Offending2]),"")))</f>
        <v/>
      </c>
      <c r="FU579" s="44" t="str">
        <f>IF(Table1[Date of Initial Assessment]="","",IF(AND(Table1[Start Date]&gt;42460,Table1[Start Date]&lt;42826),Table1[Motivation and Taking Responsibility],""))</f>
        <v/>
      </c>
      <c r="FV579" s="44" t="str">
        <f>IF(Table1[Date of Initial Assessment]="","",IF(AND(Table1[Start Date]&gt;42460,Table1[Start Date]&lt;42826),Table1[Self-Care and Living Skills],""))</f>
        <v/>
      </c>
      <c r="FW579" s="44" t="str">
        <f>IF(Table1[Date of Initial Assessment]="","",IF(AND(Table1[Start Date]&gt;42460,Table1[Start Date]&lt;42826),Table1[Managing Money and Personal Administration],""))</f>
        <v/>
      </c>
      <c r="FX579" s="44" t="str">
        <f>IF(Table1[Date of Initial Assessment]="","",IF(AND(Table1[Start Date]&gt;42460,Table1[Start Date]&lt;42826),Table1[Social Networks and Relationships],""))</f>
        <v/>
      </c>
      <c r="FY579" s="44" t="str">
        <f>IF(Table1[Date of Initial Assessment]="","",IF(AND(Table1[Start Date]&gt;42460,Table1[Start Date]&lt;42826),Table1[Drug and Alcohol Misuse],""))</f>
        <v/>
      </c>
      <c r="FZ579" s="44" t="str">
        <f>IF(Table1[Date of Initial Assessment]="","",IF(AND(Table1[Start Date]&gt;42460,Table1[Start Date]&lt;42826),Table1[Physical Health],""))</f>
        <v/>
      </c>
      <c r="GA579" s="44" t="str">
        <f>IF(Table1[Date of Initial Assessment]="","",IF(AND(Table1[Start Date]&gt;42460,Table1[Start Date]&lt;42826),Table1[Emotional and Mental Health],""))</f>
        <v/>
      </c>
      <c r="GB579" s="44" t="str">
        <f>IF(Table1[Date of Initial Assessment]="","",IF(AND(Table1[Start Date]&gt;42460,Table1[Start Date]&lt;42826),Table1[Meaningful Use of Time],""))</f>
        <v/>
      </c>
      <c r="GC579" s="44" t="str">
        <f>IF(Table1[Date of Initial Assessment]="","",IF(AND(Table1[Start Date]&gt;42460,Table1[Start Date]&lt;42826),Table1[Managing Tenancy and Accommodation],""))</f>
        <v/>
      </c>
      <c r="GD579" s="44" t="str">
        <f>IF(Table1[Date of Initial Assessment]="","",IF(AND(Table1[Start Date]&gt;42460,Table1[Start Date]&lt;42826),Table1[Offending],""))</f>
        <v/>
      </c>
      <c r="GE579" s="44" t="str">
        <f>IF(Table1[Leaving Date]="","",IF(AND(Table1[Leaving Date]&gt;42460,Table1[Leaving Date]&lt;42826),IF(Table1[Date of Last Assessment]="",Table1[Motivation and Taking Responsibility],Table1[Motivation and Taking Responsibility2]),""))</f>
        <v/>
      </c>
      <c r="GF579" s="44" t="str">
        <f>IF(Table1[Leaving Date]="","",IF(AND(Table1[Leaving Date]&gt;42460,Table1[Leaving Date]&lt;42826),IF(Table1[Date of Last Assessment]="",Table1[Self-Care and Living Skills],Table1[Self-Care and Living Skills2]),""))</f>
        <v/>
      </c>
      <c r="GG579" s="44" t="str">
        <f>IF(Table1[Leaving Date]="","",IF(AND(Table1[Leaving Date]&gt;42460,Table1[Leaving Date]&lt;42826),IF(Table1[Date of Last Assessment]="",Table1[Managing Money and Personal Administration],Table1[Managing Money and Personal Administration2]),""))</f>
        <v/>
      </c>
      <c r="GH579" s="44" t="str">
        <f>IF(Table1[Leaving Date]="","",IF(AND(Table1[Leaving Date]&gt;42460,Table1[Leaving Date]&lt;42826),IF(Table1[Date of Last Assessment]="",Table1[Social Networks and Relationships],Table1[Social Networks and Relationships2]),""))</f>
        <v/>
      </c>
      <c r="GI579" s="44" t="str">
        <f>IF(Table1[Leaving Date]="","",IF(AND(Table1[Leaving Date]&gt;42460,Table1[Leaving Date]&lt;42826),IF(Table1[Date of Last Assessment]="",Table1[Drug and Alcohol Misuse],Table1[Drug and Alcohol Misuse2]),""))</f>
        <v/>
      </c>
      <c r="GJ579" s="44" t="str">
        <f>IF(Table1[Leaving Date]="","",IF(AND(Table1[Leaving Date]&gt;42460,Table1[Leaving Date]&lt;42826),IF(Table1[Date of Last Assessment]="",Table1[Physical Health],Table1[Physical Health2]),""))</f>
        <v/>
      </c>
      <c r="GK579" s="44" t="str">
        <f>IF(Table1[Leaving Date]="","",IF(AND(Table1[Leaving Date]&gt;42460,Table1[Leaving Date]&lt;42826),IF(Table1[Date of Last Assessment]="",Table1[Emotional and Mental Health],Table1[Emotional and Mental Health2]),""))</f>
        <v/>
      </c>
      <c r="GL579" s="44" t="str">
        <f>IF(Table1[Leaving Date]="","",IF(AND(Table1[Leaving Date]&gt;42460,Table1[Leaving Date]&lt;42826),IF(Table1[Date of Last Assessment]="",Table1[Meaningful Use of Time],Table1[Meaningful Use of Time2]),""))</f>
        <v/>
      </c>
      <c r="GM579" s="44" t="str">
        <f>IF(Table1[Leaving Date]="","",IF(AND(Table1[Leaving Date]&gt;42460,Table1[Leaving Date]&lt;42826),IF(Table1[Date of Last Assessment]="",Table1[Managing Tenancy and Accommodation],Table1[Managing Tenancy and Accommodation2]),""))</f>
        <v/>
      </c>
      <c r="GN579" s="44" t="str">
        <f>IF(Table1[Leaving Date]="","",IF(AND(Table1[Leaving Date]&gt;42460,Table1[Leaving Date]&lt;42826),IF(Table1[Date of Last Assessment]="",Table1[Offending],Table1[Offending2]),""))</f>
        <v/>
      </c>
    </row>
    <row r="580" spans="2:196" ht="20.100000000000001" customHeight="1" x14ac:dyDescent="0.2">
      <c r="B580" s="86">
        <f>+'Service Data'!$C$5:$C$5</f>
        <v>0</v>
      </c>
      <c r="C580" s="86"/>
      <c r="D580" s="86"/>
      <c r="E580" s="86"/>
      <c r="F580" s="86"/>
      <c r="G580" s="86"/>
      <c r="H580" s="6"/>
      <c r="I580" s="99" t="str">
        <f ca="1">IF(Table1[[#This Row],[Date of Birth]]="","",SUM(TODAY()-Table1[[#This Row],[Date of Birth]])/365)</f>
        <v/>
      </c>
      <c r="L580" s="86"/>
      <c r="M580" s="77"/>
      <c r="N580" s="86"/>
      <c r="O580" s="86"/>
      <c r="P580" s="91"/>
      <c r="Q580" s="86"/>
      <c r="R580" s="77"/>
      <c r="S580" s="77"/>
      <c r="T580" s="68"/>
      <c r="U580" s="68"/>
      <c r="V580" s="67"/>
      <c r="W580" s="67"/>
      <c r="X580" s="67"/>
      <c r="Y580" s="67"/>
      <c r="Z580" s="67"/>
      <c r="AA580" s="67"/>
      <c r="AB580" s="67"/>
      <c r="AC580" s="67"/>
      <c r="AD580" s="67"/>
      <c r="AE580" s="67"/>
      <c r="AF580" s="67"/>
      <c r="AG580" s="67"/>
      <c r="AH580" s="67"/>
      <c r="AI580" s="67"/>
      <c r="AJ580" s="67"/>
      <c r="AK580" s="67"/>
      <c r="AL580" s="67"/>
      <c r="AM580" s="67"/>
      <c r="AN580" s="77"/>
      <c r="AO580" s="76"/>
      <c r="AP580" s="77"/>
      <c r="AQ580" s="76"/>
      <c r="AR580" s="76"/>
      <c r="AS580" s="76"/>
      <c r="AT580" s="76"/>
      <c r="AU580" s="76"/>
      <c r="AV580" s="77"/>
      <c r="AW580" s="76"/>
      <c r="AX580" s="77"/>
      <c r="AY580" s="76"/>
      <c r="AZ580" s="76"/>
      <c r="BA580" s="76"/>
      <c r="BB580" s="76"/>
      <c r="BC580" s="76"/>
      <c r="BD580" s="77"/>
      <c r="BE580" s="76"/>
      <c r="BF580" s="77"/>
      <c r="BG580" s="76"/>
      <c r="BH580" s="76"/>
      <c r="BI580" s="76"/>
      <c r="BJ580" s="76"/>
      <c r="BK580" s="76"/>
      <c r="BL580" s="77"/>
      <c r="BM580" s="76"/>
      <c r="BN580" s="77"/>
      <c r="BO580" s="76"/>
      <c r="BP580" s="76"/>
      <c r="BQ580" s="76"/>
      <c r="BR580" s="76"/>
      <c r="BS580" s="76"/>
      <c r="BT580" s="77"/>
      <c r="BU580" s="76"/>
      <c r="BV580" s="77"/>
      <c r="BW580" s="76"/>
      <c r="BX580" s="76"/>
      <c r="BY580" s="76"/>
      <c r="BZ580" s="76"/>
      <c r="CA580" s="76"/>
      <c r="CB580" s="77"/>
      <c r="CC580" s="76"/>
      <c r="CD580" s="77"/>
      <c r="CE580" s="76"/>
      <c r="CF580" s="76"/>
      <c r="CG580" s="76"/>
      <c r="CH580" s="76"/>
      <c r="CI580" s="76"/>
      <c r="CJ580" s="77"/>
      <c r="CK580" s="76"/>
      <c r="CL580" s="77"/>
      <c r="CM580" s="76"/>
      <c r="CN580" s="76"/>
      <c r="CO580" s="76"/>
      <c r="CP580" s="76"/>
      <c r="CQ580" s="76"/>
      <c r="CR580" s="78" t="str">
        <f t="shared" ref="CR580:CR600" si="159">IF(U580="","",U580)</f>
        <v/>
      </c>
      <c r="CS580" s="79" t="str">
        <f t="shared" ref="CS580:CS600" si="160">IF(V580="","",V580)</f>
        <v/>
      </c>
      <c r="CT580" s="79" t="str">
        <f t="shared" ref="CT580:CT600" si="161">IF(W580="","",W580)</f>
        <v/>
      </c>
      <c r="CU580" s="79" t="str">
        <f t="shared" ref="CU580:CU600" si="162">IF(X580="","",X580)</f>
        <v/>
      </c>
      <c r="CV580" s="79" t="str">
        <f t="shared" ref="CV580:CV600" si="163">IF(Y580="","",Y580)</f>
        <v/>
      </c>
      <c r="CW580" s="79" t="str">
        <f t="shared" ref="CW580:CW600" si="164">IF(Z580="","",Z580)</f>
        <v/>
      </c>
      <c r="CX580" s="79" t="str">
        <f t="shared" ref="CX580:CX600" si="165">IF(AA580="","",AA580)</f>
        <v/>
      </c>
      <c r="CY580" s="79" t="str">
        <f t="shared" ref="CY580:CY600" si="166">IF(AB580="","",AB580)</f>
        <v/>
      </c>
      <c r="CZ580" s="79" t="str">
        <f t="shared" ref="CZ580:CZ600" si="167">IF(AC580="","",AC580)</f>
        <v/>
      </c>
      <c r="DA580" s="79" t="str">
        <f t="shared" ref="DA580:DA600" si="168">IF(AD580="","",AD580)</f>
        <v/>
      </c>
      <c r="DB580" s="79" t="str">
        <f t="shared" ref="DB580:DB600" si="169">IF(AE580="","",AE580)</f>
        <v/>
      </c>
      <c r="DC580" s="79" t="str">
        <f t="shared" ref="DC580:DC600" si="170">IF(AF580="","",AF580)</f>
        <v/>
      </c>
      <c r="DD580" s="79" t="str">
        <f t="shared" ref="DD580:DD600" si="171">IF(AG580="","",AG580)</f>
        <v/>
      </c>
      <c r="DE580" s="79" t="str">
        <f t="shared" ref="DE580:DE600" si="172">IF(AK580="","",AK580)</f>
        <v/>
      </c>
      <c r="DF580" s="79" t="str">
        <f t="shared" ref="DF580:DF600" si="173">IF(AL580="","",AL580)</f>
        <v/>
      </c>
      <c r="DG580" s="79" t="str">
        <f t="shared" ref="DG580:DG600" si="174">IF(AM580="","",AM580)</f>
        <v/>
      </c>
      <c r="DH580" s="76"/>
      <c r="DI580" s="78"/>
      <c r="DJ580" s="76"/>
      <c r="DK580" s="77"/>
      <c r="DL580" s="77"/>
      <c r="DM580" s="77"/>
      <c r="DN580" s="80"/>
      <c r="DO580" s="80"/>
      <c r="DP580" s="92" t="str">
        <f>IF(Table1[Start Date]="","",IF(Table1[Start Date]&gt;42185,"",IF(AND(Table1[Leaving Date]&gt;1,Table1[Leaving Date]&lt;42095),"",1)))</f>
        <v/>
      </c>
      <c r="DQ580" s="92" t="str">
        <f>IF(Table1[Start Date]="","",IF(Table1[Start Date]&gt;42277,"",IF(AND(Table1[Leaving Date]&gt;1,Table1[Leaving Date]&lt;42186),"",1)))</f>
        <v/>
      </c>
      <c r="DR580" s="92" t="str">
        <f>IF(Table1[Start Date]="","",IF(Table1[Start Date]&gt;42369,"",IF(AND(Table1[Leaving Date]&gt;1,Table1[Leaving Date]&lt;42278),"",1)))</f>
        <v/>
      </c>
      <c r="DS580" s="92" t="str">
        <f>IF(Table1[Start Date]="","",IF(Table1[Start Date]&gt;42460,"",IF(AND(Table1[Leaving Date]&gt;1,Table1[Leaving Date]&lt;42370),"",1)))</f>
        <v/>
      </c>
      <c r="DT580" s="92" t="str">
        <f>IF(Table1[Start Date]="","",IF(Table1[Start Date]&gt;42551,"",IF(AND(Table1[Leaving Date]&gt;1,Table1[Leaving Date]&lt;42461),"",1)))</f>
        <v/>
      </c>
      <c r="DU580" s="92" t="str">
        <f>IF(Table1[Start Date]="","",IF(Table1[Start Date]&gt;42643,"",IF(AND(Table1[Leaving Date]&gt;1,Table1[Leaving Date]&lt;42552),"",1)))</f>
        <v/>
      </c>
      <c r="DV580" s="92" t="str">
        <f>IF(Table1[Start Date]="","",IF(Table1[Start Date]&gt;42735,"",IF(AND(Table1[Leaving Date]&gt;1,Table1[Leaving Date]&lt;42644),"",1)))</f>
        <v/>
      </c>
      <c r="DW580" s="92" t="str">
        <f>IF(Table1[Start Date]="","",IF(Table1[Start Date]&gt;42825,"",IF(AND(Table1[Leaving Date]&gt;1,Table1[Leaving Date]&lt;42736),"",1)))</f>
        <v/>
      </c>
      <c r="DX580"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580" s="44" t="e">
        <f>VLOOKUP(Table1[Referral Source],Lists!$G$2:$H$20,2,FALSE)</f>
        <v>#N/A</v>
      </c>
      <c r="DZ580" s="93" t="e">
        <f>SUM(Table1[Data Referral Quarter]+Table1[Data Referral Source])</f>
        <v>#N/A</v>
      </c>
      <c r="EA580" s="44" t="b">
        <f>IF(Table1[Referral Decision]="Accepted",100,IF(Table1[Referral Decision]="Rejected by Provider",200,IF(Table1[Referral Decision]="Rejected by Applicant",300)))</f>
        <v>0</v>
      </c>
      <c r="EB580" s="44">
        <f>SUM(Table1[Data Referral Quarter]+Table1[Data Referral Decision])</f>
        <v>0</v>
      </c>
      <c r="EC580" s="44" t="b">
        <f>IF(Table1[Start Date]&gt;42735,8000,IF(Table1[Start Date]&gt;42643,7000,IF(Table1[Start Date]&gt;42551,6000,IF(Table1[Start Date]&gt;42460,5000,IF(Table1[Start Date]&gt;42369,4000,IF(Table1[Start Date]&gt;42277,3000,IF(Table1[Start Date]&gt;42185,2000,IF(Table1[Start Date]&gt;42094,1000))))))))</f>
        <v>0</v>
      </c>
      <c r="ED580" s="44" t="str">
        <f>IF(Table1[Start Date]="","",IF(Table1[Current Local Authority]="Swindon",1,"2"))</f>
        <v/>
      </c>
      <c r="EE580" s="44" t="e">
        <f>SUM(Table1[Data Start Date]+Table1[Data Local Authority])</f>
        <v>#VALUE!</v>
      </c>
      <c r="EF580" s="44">
        <f>IF(Table1[Registered with GP]="Yes",1,0)</f>
        <v>0</v>
      </c>
      <c r="EG580" s="44">
        <f>SUM(Table1[Data Start Date]+Table1[Data GP Start])</f>
        <v>0</v>
      </c>
      <c r="EH580" s="44" t="str">
        <f>IF(Table1[EET]="NEET",1,IF(Table1[EET]="Education",2,IF(Table1[EET]="Employment",2,IF(Table1[EET]="Training",2,IF(Table1[EET]="Retired",3,"")))))</f>
        <v/>
      </c>
      <c r="EI580" s="44" t="e">
        <f>Table1[Data Start Date]+Table1[Data EET Start]</f>
        <v>#VALUE!</v>
      </c>
      <c r="EJ580" s="44" t="b">
        <f>IF(Table1[Leaving Date]&gt;42735,8000,IF(Table1[Leaving Date]&gt;42643,7000,IF(Table1[Leaving Date]&gt;42551,6000,IF(Table1[Leaving Date]&gt;42460,5000,IF(Table1[Leaving Date]&gt;42369,4000,IF(Table1[Leaving Date]&gt;42277,3000,IF(Table1[Leaving Date]&gt;42185,2000,IF(Table1[Leaving Date]&gt;42094,1000))))))))</f>
        <v>0</v>
      </c>
      <c r="EK580" s="44" t="e">
        <f>VLOOKUP(Table1[Reason for Leaving],Lists!$T$2:$U$15,2,FALSE)</f>
        <v>#N/A</v>
      </c>
      <c r="EL580" s="44" t="e">
        <f>SUM(Table1[Data Leavers Date]+Table1[Data Move On])</f>
        <v>#N/A</v>
      </c>
      <c r="EM580" s="44" t="b">
        <f>IF(Table1[Registered with GP2]="Yes",1,IF(Table1[Registered with GP2]="No",0,IF(Table1[Registered with GP]="Yes",1,IF(Table1[Registered with GP]="No",0))))</f>
        <v>0</v>
      </c>
      <c r="EN580" s="44">
        <f>SUM(Table1[Data Leavers Date]+Table1[Data GP End])</f>
        <v>0</v>
      </c>
      <c r="EO580" s="44" t="str">
        <f>IF(Table1[EET2]="NEET",1,IF(Table1[EET2]="Employment",2,IF(Table1[EET2]="Education",2,IF(Table1[EET2]="Training",2,IF(Table1[EET2]="Retired",3,IF(Table1[EET]="NEET",1,IF(Table1[EET]="Employment",2,IF(Table1[EET]="Education",2,IF(Table1[EET]="Training",2,IF(Table1[EET]="Retired",3,""))))))))))</f>
        <v/>
      </c>
      <c r="EP580" s="44" t="e">
        <f>+Table1[[#This Row],[Data Leavers Date]]+Table1[[#This Row],[Data EET End]]</f>
        <v>#VALUE!</v>
      </c>
      <c r="EQ580" s="44">
        <f>IF(Table1[Exit Form Received]="Yes",1,0)</f>
        <v>0</v>
      </c>
      <c r="ER580" s="44">
        <f>+Table1[[#This Row],[Data Leavers Date]]+Table1[[#This Row],[Data Exit Forms]]</f>
        <v>0</v>
      </c>
      <c r="ES580" s="44" t="str">
        <f>IF(Table1[Data Leavers Date]=1000,SUM(Table1[Leaving Date]-Table1[Start Date]),"")</f>
        <v/>
      </c>
      <c r="ET580" s="44" t="str">
        <f>IF(Table1[Data Leavers Date]=2000,SUM(Table1[Leaving Date]-Table1[Start Date]),"")</f>
        <v/>
      </c>
      <c r="EU580" s="44" t="str">
        <f>IF(Table1[Data Leavers Date]=3000,SUM(Table1[Leaving Date]-Table1[Start Date]),"")</f>
        <v/>
      </c>
      <c r="EV580" s="44" t="str">
        <f>IF(Table1[Data Leavers Date]=4000,SUM(Table1[Leaving Date]-Table1[Start Date]),"")</f>
        <v/>
      </c>
      <c r="EW580" s="44" t="str">
        <f>IF(Table1[Data Leavers Date]=5000,SUM(Table1[Leaving Date]-Table1[Start Date]),"")</f>
        <v/>
      </c>
      <c r="EX580" s="44" t="str">
        <f>IF(Table1[Data Leavers Date]=6000,SUM(Table1[Leaving Date]-Table1[Start Date]),"")</f>
        <v/>
      </c>
      <c r="EY580" s="44" t="str">
        <f>IF(Table1[Data Leavers Date]=7000,SUM(Table1[Leaving Date]-Table1[Start Date]),"")</f>
        <v/>
      </c>
      <c r="EZ580" s="44" t="str">
        <f>IF(Table1[Data Leavers Date]=8000,SUM(Table1[Leaving Date]-Table1[Start Date]),"")</f>
        <v/>
      </c>
      <c r="FA580" s="44" t="str">
        <f>IF(Table1[Date of Initial Assessment]="","",IF(AND(Table1[Start Date]&gt;42094,Table1[Start Date]&lt;42461),Table1[Motivation and Taking Responsibility],""))</f>
        <v/>
      </c>
      <c r="FB580" s="44" t="str">
        <f>IF(Table1[Date of Initial Assessment]="","",IF(AND(Table1[Start Date]&gt;42094,Table1[Start Date]&lt;42461),Table1[Self-Care and Living Skills],""))</f>
        <v/>
      </c>
      <c r="FC580" s="44" t="str">
        <f>IF(Table1[Date of Initial Assessment]="","",IF(AND(Table1[Start Date]&gt;42094,Table1[Start Date]&lt;42461),Table1[Managing Money and Personal Administration],""))</f>
        <v/>
      </c>
      <c r="FD580" s="44" t="str">
        <f>IF(Table1[Date of Initial Assessment]="","",IF(AND(Table1[Start Date]&gt;42094,Table1[Start Date]&lt;42461),Table1[Social Networks and Relationships],""))</f>
        <v/>
      </c>
      <c r="FE580" s="44" t="str">
        <f>IF(Table1[Date of Initial Assessment]="","",IF(AND(Table1[Start Date]&gt;42094,Table1[Start Date]&lt;42461),Table1[Drug and Alcohol Misuse],""))</f>
        <v/>
      </c>
      <c r="FF580" s="44" t="str">
        <f>IF(Table1[Date of Initial Assessment]="","",IF(AND(Table1[Start Date]&gt;42094,Table1[Start Date]&lt;42461),Table1[Physical Health],""))</f>
        <v/>
      </c>
      <c r="FG580" s="44" t="str">
        <f>IF(Table1[Date of Initial Assessment]="","",IF(AND(Table1[Start Date]&gt;42094,Table1[Start Date]&lt;42461),Table1[Emotional and Mental Health],""))</f>
        <v/>
      </c>
      <c r="FH580" s="44" t="str">
        <f>IF(Table1[Date of Initial Assessment]="","",IF(AND(Table1[Start Date]&gt;42094,Table1[Start Date]&lt;42461),Table1[Meaningful Use of Time],""))</f>
        <v/>
      </c>
      <c r="FI580" s="44" t="str">
        <f>IF(Table1[Date of Initial Assessment]="","",IF(AND(Table1[Start Date]&gt;42094,Table1[Start Date]&lt;42461),Table1[Managing Tenancy and Accommodation],""))</f>
        <v/>
      </c>
      <c r="FJ580" s="44" t="str">
        <f>IF(Table1[Date of Initial Assessment]="","",IF(AND(Table1[Start Date]&gt;42094,Table1[Start Date]&lt;42461),Table1[Offending],""))</f>
        <v/>
      </c>
      <c r="FK580" s="44" t="str">
        <f>IF(Table1[Leaving Date]="","",IF(Table1[Date of Initial Assessment]="","",IF(AND(Table1[Leaving Date]&gt;42094,Table1[Leaving Date]&lt;42461),IF(Table1[Date of Last Assessment]="",Table1[Motivation and Taking Responsibility],Table1[Motivation and Taking Responsibility2]),"")))</f>
        <v/>
      </c>
      <c r="FL580" s="44" t="str">
        <f>IF(Table1[Leaving Date]="","",IF(Table1[Date of Initial Assessment]="","",IF(AND(Table1[Leaving Date]&gt;42094,Table1[Leaving Date]&lt;42461),IF(Table1[Date of Last Assessment]="",Table1[Self-Care and Living Skills],Table1[Self-Care and Living Skills2]),"")))</f>
        <v/>
      </c>
      <c r="FM580" s="44" t="str">
        <f>IF(Table1[Leaving Date]="","",IF(Table1[Date of Initial Assessment]="","",IF(AND(Table1[Leaving Date]&gt;42094,Table1[Leaving Date]&lt;42461),IF(Table1[Date of Last Assessment]="",Table1[Managing Money and Personal Administration],Table1[Managing Money and Personal Administration2]),"")))</f>
        <v/>
      </c>
      <c r="FN580" s="44" t="str">
        <f>IF(Table1[Leaving Date]="","",IF(Table1[Date of Initial Assessment]="","",IF(AND(Table1[Leaving Date]&gt;42094,Table1[Leaving Date]&lt;42461),IF(Table1[Date of Last Assessment]="",Table1[Social Networks and Relationships],Table1[Social Networks and Relationships2]),"")))</f>
        <v/>
      </c>
      <c r="FO580" s="44" t="str">
        <f>IF(Table1[Leaving Date]="","",IF(Table1[Date of Initial Assessment]="","",IF(AND(Table1[Leaving Date]&gt;42094,Table1[Leaving Date]&lt;42461),IF(Table1[Date of Last Assessment]="",Table1[Drug and Alcohol Misuse],Table1[Drug and Alcohol Misuse2]),"")))</f>
        <v/>
      </c>
      <c r="FP580" s="44" t="str">
        <f>IF(Table1[Leaving Date]="","",IF(Table1[Date of Initial Assessment]="","",IF(AND(Table1[Leaving Date]&gt;42094,Table1[Leaving Date]&lt;42461),IF(Table1[Date of Last Assessment]="",Table1[Physical Health],Table1[Physical Health2]),"")))</f>
        <v/>
      </c>
      <c r="FQ580" s="44" t="str">
        <f>IF(Table1[Leaving Date]="","",IF(Table1[Date of Initial Assessment]="","",IF(AND(Table1[Leaving Date]&gt;42094,Table1[Leaving Date]&lt;42461),IF(Table1[Date of Last Assessment]="",Table1[Emotional and Mental Health],Table1[Emotional and Mental Health2]),"")))</f>
        <v/>
      </c>
      <c r="FR580" s="44" t="str">
        <f>IF(Table1[Leaving Date]="","",IF(Table1[Date of Initial Assessment]="","",IF(AND(Table1[Leaving Date]&gt;42094,Table1[Leaving Date]&lt;42461),IF(Table1[Date of Last Assessment]="",Table1[Meaningful Use of Time],Table1[Meaningful Use of Time2]),"")))</f>
        <v/>
      </c>
      <c r="FS580" s="44" t="str">
        <f>IF(Table1[Leaving Date]="","",IF(Table1[Date of Initial Assessment]="","",IF(AND(Table1[Leaving Date]&gt;42094,Table1[Leaving Date]&lt;42461),IF(Table1[Date of Last Assessment]="",Table1[Managing Tenancy and Accommodation],Table1[Managing Tenancy and Accommodation2]),"")))</f>
        <v/>
      </c>
      <c r="FT580" s="44" t="str">
        <f>IF(Table1[Leaving Date]="","",IF(Table1[Date of Initial Assessment]="","",IF(AND(Table1[Leaving Date]&gt;42094,Table1[Leaving Date]&lt;42461),IF(Table1[Date of Last Assessment]="",Table1[Offending],Table1[Offending2]),"")))</f>
        <v/>
      </c>
      <c r="FU580" s="44" t="str">
        <f>IF(Table1[Date of Initial Assessment]="","",IF(AND(Table1[Start Date]&gt;42460,Table1[Start Date]&lt;42826),Table1[Motivation and Taking Responsibility],""))</f>
        <v/>
      </c>
      <c r="FV580" s="44" t="str">
        <f>IF(Table1[Date of Initial Assessment]="","",IF(AND(Table1[Start Date]&gt;42460,Table1[Start Date]&lt;42826),Table1[Self-Care and Living Skills],""))</f>
        <v/>
      </c>
      <c r="FW580" s="44" t="str">
        <f>IF(Table1[Date of Initial Assessment]="","",IF(AND(Table1[Start Date]&gt;42460,Table1[Start Date]&lt;42826),Table1[Managing Money and Personal Administration],""))</f>
        <v/>
      </c>
      <c r="FX580" s="44" t="str">
        <f>IF(Table1[Date of Initial Assessment]="","",IF(AND(Table1[Start Date]&gt;42460,Table1[Start Date]&lt;42826),Table1[Social Networks and Relationships],""))</f>
        <v/>
      </c>
      <c r="FY580" s="44" t="str">
        <f>IF(Table1[Date of Initial Assessment]="","",IF(AND(Table1[Start Date]&gt;42460,Table1[Start Date]&lt;42826),Table1[Drug and Alcohol Misuse],""))</f>
        <v/>
      </c>
      <c r="FZ580" s="44" t="str">
        <f>IF(Table1[Date of Initial Assessment]="","",IF(AND(Table1[Start Date]&gt;42460,Table1[Start Date]&lt;42826),Table1[Physical Health],""))</f>
        <v/>
      </c>
      <c r="GA580" s="44" t="str">
        <f>IF(Table1[Date of Initial Assessment]="","",IF(AND(Table1[Start Date]&gt;42460,Table1[Start Date]&lt;42826),Table1[Emotional and Mental Health],""))</f>
        <v/>
      </c>
      <c r="GB580" s="44" t="str">
        <f>IF(Table1[Date of Initial Assessment]="","",IF(AND(Table1[Start Date]&gt;42460,Table1[Start Date]&lt;42826),Table1[Meaningful Use of Time],""))</f>
        <v/>
      </c>
      <c r="GC580" s="44" t="str">
        <f>IF(Table1[Date of Initial Assessment]="","",IF(AND(Table1[Start Date]&gt;42460,Table1[Start Date]&lt;42826),Table1[Managing Tenancy and Accommodation],""))</f>
        <v/>
      </c>
      <c r="GD580" s="44" t="str">
        <f>IF(Table1[Date of Initial Assessment]="","",IF(AND(Table1[Start Date]&gt;42460,Table1[Start Date]&lt;42826),Table1[Offending],""))</f>
        <v/>
      </c>
      <c r="GE580" s="44" t="str">
        <f>IF(Table1[Leaving Date]="","",IF(AND(Table1[Leaving Date]&gt;42460,Table1[Leaving Date]&lt;42826),IF(Table1[Date of Last Assessment]="",Table1[Motivation and Taking Responsibility],Table1[Motivation and Taking Responsibility2]),""))</f>
        <v/>
      </c>
      <c r="GF580" s="44" t="str">
        <f>IF(Table1[Leaving Date]="","",IF(AND(Table1[Leaving Date]&gt;42460,Table1[Leaving Date]&lt;42826),IF(Table1[Date of Last Assessment]="",Table1[Self-Care and Living Skills],Table1[Self-Care and Living Skills2]),""))</f>
        <v/>
      </c>
      <c r="GG580" s="44" t="str">
        <f>IF(Table1[Leaving Date]="","",IF(AND(Table1[Leaving Date]&gt;42460,Table1[Leaving Date]&lt;42826),IF(Table1[Date of Last Assessment]="",Table1[Managing Money and Personal Administration],Table1[Managing Money and Personal Administration2]),""))</f>
        <v/>
      </c>
      <c r="GH580" s="44" t="str">
        <f>IF(Table1[Leaving Date]="","",IF(AND(Table1[Leaving Date]&gt;42460,Table1[Leaving Date]&lt;42826),IF(Table1[Date of Last Assessment]="",Table1[Social Networks and Relationships],Table1[Social Networks and Relationships2]),""))</f>
        <v/>
      </c>
      <c r="GI580" s="44" t="str">
        <f>IF(Table1[Leaving Date]="","",IF(AND(Table1[Leaving Date]&gt;42460,Table1[Leaving Date]&lt;42826),IF(Table1[Date of Last Assessment]="",Table1[Drug and Alcohol Misuse],Table1[Drug and Alcohol Misuse2]),""))</f>
        <v/>
      </c>
      <c r="GJ580" s="44" t="str">
        <f>IF(Table1[Leaving Date]="","",IF(AND(Table1[Leaving Date]&gt;42460,Table1[Leaving Date]&lt;42826),IF(Table1[Date of Last Assessment]="",Table1[Physical Health],Table1[Physical Health2]),""))</f>
        <v/>
      </c>
      <c r="GK580" s="44" t="str">
        <f>IF(Table1[Leaving Date]="","",IF(AND(Table1[Leaving Date]&gt;42460,Table1[Leaving Date]&lt;42826),IF(Table1[Date of Last Assessment]="",Table1[Emotional and Mental Health],Table1[Emotional and Mental Health2]),""))</f>
        <v/>
      </c>
      <c r="GL580" s="44" t="str">
        <f>IF(Table1[Leaving Date]="","",IF(AND(Table1[Leaving Date]&gt;42460,Table1[Leaving Date]&lt;42826),IF(Table1[Date of Last Assessment]="",Table1[Meaningful Use of Time],Table1[Meaningful Use of Time2]),""))</f>
        <v/>
      </c>
      <c r="GM580" s="44" t="str">
        <f>IF(Table1[Leaving Date]="","",IF(AND(Table1[Leaving Date]&gt;42460,Table1[Leaving Date]&lt;42826),IF(Table1[Date of Last Assessment]="",Table1[Managing Tenancy and Accommodation],Table1[Managing Tenancy and Accommodation2]),""))</f>
        <v/>
      </c>
      <c r="GN580" s="44" t="str">
        <f>IF(Table1[Leaving Date]="","",IF(AND(Table1[Leaving Date]&gt;42460,Table1[Leaving Date]&lt;42826),IF(Table1[Date of Last Assessment]="",Table1[Offending],Table1[Offending2]),""))</f>
        <v/>
      </c>
    </row>
    <row r="581" spans="2:196" ht="20.100000000000001" customHeight="1" x14ac:dyDescent="0.2">
      <c r="B581" s="86">
        <f>+'Service Data'!$C$5:$C$5</f>
        <v>0</v>
      </c>
      <c r="C581" s="86"/>
      <c r="D581" s="86"/>
      <c r="E581" s="86"/>
      <c r="F581" s="86"/>
      <c r="G581" s="86"/>
      <c r="H581" s="6"/>
      <c r="I581" s="99" t="str">
        <f ca="1">IF(Table1[[#This Row],[Date of Birth]]="","",SUM(TODAY()-Table1[[#This Row],[Date of Birth]])/365)</f>
        <v/>
      </c>
      <c r="L581" s="86"/>
      <c r="M581" s="77"/>
      <c r="N581" s="86"/>
      <c r="O581" s="86"/>
      <c r="P581" s="91"/>
      <c r="Q581" s="86"/>
      <c r="R581" s="77"/>
      <c r="S581" s="77"/>
      <c r="T581" s="68"/>
      <c r="U581" s="68"/>
      <c r="V581" s="67"/>
      <c r="W581" s="67"/>
      <c r="X581" s="67"/>
      <c r="Y581" s="67"/>
      <c r="Z581" s="67"/>
      <c r="AA581" s="67"/>
      <c r="AB581" s="67"/>
      <c r="AC581" s="67"/>
      <c r="AD581" s="67"/>
      <c r="AE581" s="67"/>
      <c r="AF581" s="67"/>
      <c r="AG581" s="67"/>
      <c r="AH581" s="67"/>
      <c r="AI581" s="67"/>
      <c r="AJ581" s="67"/>
      <c r="AK581" s="67"/>
      <c r="AL581" s="67"/>
      <c r="AM581" s="67"/>
      <c r="AN581" s="77"/>
      <c r="AO581" s="76"/>
      <c r="AP581" s="77"/>
      <c r="AQ581" s="76"/>
      <c r="AR581" s="76"/>
      <c r="AS581" s="76"/>
      <c r="AT581" s="76"/>
      <c r="AU581" s="76"/>
      <c r="AV581" s="77"/>
      <c r="AW581" s="76"/>
      <c r="AX581" s="77"/>
      <c r="AY581" s="76"/>
      <c r="AZ581" s="76"/>
      <c r="BA581" s="76"/>
      <c r="BB581" s="76"/>
      <c r="BC581" s="76"/>
      <c r="BD581" s="77"/>
      <c r="BE581" s="76"/>
      <c r="BF581" s="77"/>
      <c r="BG581" s="76"/>
      <c r="BH581" s="76"/>
      <c r="BI581" s="76"/>
      <c r="BJ581" s="76"/>
      <c r="BK581" s="76"/>
      <c r="BL581" s="77"/>
      <c r="BM581" s="76"/>
      <c r="BN581" s="77"/>
      <c r="BO581" s="76"/>
      <c r="BP581" s="76"/>
      <c r="BQ581" s="76"/>
      <c r="BR581" s="76"/>
      <c r="BS581" s="76"/>
      <c r="BT581" s="77"/>
      <c r="BU581" s="76"/>
      <c r="BV581" s="77"/>
      <c r="BW581" s="76"/>
      <c r="BX581" s="76"/>
      <c r="BY581" s="76"/>
      <c r="BZ581" s="76"/>
      <c r="CA581" s="76"/>
      <c r="CB581" s="77"/>
      <c r="CC581" s="76"/>
      <c r="CD581" s="77"/>
      <c r="CE581" s="76"/>
      <c r="CF581" s="76"/>
      <c r="CG581" s="76"/>
      <c r="CH581" s="76"/>
      <c r="CI581" s="76"/>
      <c r="CJ581" s="77"/>
      <c r="CK581" s="76"/>
      <c r="CL581" s="77"/>
      <c r="CM581" s="76"/>
      <c r="CN581" s="76"/>
      <c r="CO581" s="76"/>
      <c r="CP581" s="76"/>
      <c r="CQ581" s="76"/>
      <c r="CR581" s="78" t="str">
        <f t="shared" si="159"/>
        <v/>
      </c>
      <c r="CS581" s="79" t="str">
        <f t="shared" si="160"/>
        <v/>
      </c>
      <c r="CT581" s="79" t="str">
        <f t="shared" si="161"/>
        <v/>
      </c>
      <c r="CU581" s="79" t="str">
        <f t="shared" si="162"/>
        <v/>
      </c>
      <c r="CV581" s="79" t="str">
        <f t="shared" si="163"/>
        <v/>
      </c>
      <c r="CW581" s="79" t="str">
        <f t="shared" si="164"/>
        <v/>
      </c>
      <c r="CX581" s="79" t="str">
        <f t="shared" si="165"/>
        <v/>
      </c>
      <c r="CY581" s="79" t="str">
        <f t="shared" si="166"/>
        <v/>
      </c>
      <c r="CZ581" s="79" t="str">
        <f t="shared" si="167"/>
        <v/>
      </c>
      <c r="DA581" s="79" t="str">
        <f t="shared" si="168"/>
        <v/>
      </c>
      <c r="DB581" s="79" t="str">
        <f t="shared" si="169"/>
        <v/>
      </c>
      <c r="DC581" s="79" t="str">
        <f t="shared" si="170"/>
        <v/>
      </c>
      <c r="DD581" s="79" t="str">
        <f t="shared" si="171"/>
        <v/>
      </c>
      <c r="DE581" s="79" t="str">
        <f t="shared" si="172"/>
        <v/>
      </c>
      <c r="DF581" s="79" t="str">
        <f t="shared" si="173"/>
        <v/>
      </c>
      <c r="DG581" s="79" t="str">
        <f t="shared" si="174"/>
        <v/>
      </c>
      <c r="DH581" s="76"/>
      <c r="DI581" s="78"/>
      <c r="DJ581" s="76"/>
      <c r="DK581" s="77"/>
      <c r="DL581" s="77"/>
      <c r="DM581" s="77"/>
      <c r="DN581" s="80"/>
      <c r="DO581" s="80"/>
      <c r="DP581" s="92" t="str">
        <f>IF(Table1[Start Date]="","",IF(Table1[Start Date]&gt;42185,"",IF(AND(Table1[Leaving Date]&gt;1,Table1[Leaving Date]&lt;42095),"",1)))</f>
        <v/>
      </c>
      <c r="DQ581" s="92" t="str">
        <f>IF(Table1[Start Date]="","",IF(Table1[Start Date]&gt;42277,"",IF(AND(Table1[Leaving Date]&gt;1,Table1[Leaving Date]&lt;42186),"",1)))</f>
        <v/>
      </c>
      <c r="DR581" s="92" t="str">
        <f>IF(Table1[Start Date]="","",IF(Table1[Start Date]&gt;42369,"",IF(AND(Table1[Leaving Date]&gt;1,Table1[Leaving Date]&lt;42278),"",1)))</f>
        <v/>
      </c>
      <c r="DS581" s="92" t="str">
        <f>IF(Table1[Start Date]="","",IF(Table1[Start Date]&gt;42460,"",IF(AND(Table1[Leaving Date]&gt;1,Table1[Leaving Date]&lt;42370),"",1)))</f>
        <v/>
      </c>
      <c r="DT581" s="92" t="str">
        <f>IF(Table1[Start Date]="","",IF(Table1[Start Date]&gt;42551,"",IF(AND(Table1[Leaving Date]&gt;1,Table1[Leaving Date]&lt;42461),"",1)))</f>
        <v/>
      </c>
      <c r="DU581" s="92" t="str">
        <f>IF(Table1[Start Date]="","",IF(Table1[Start Date]&gt;42643,"",IF(AND(Table1[Leaving Date]&gt;1,Table1[Leaving Date]&lt;42552),"",1)))</f>
        <v/>
      </c>
      <c r="DV581" s="92" t="str">
        <f>IF(Table1[Start Date]="","",IF(Table1[Start Date]&gt;42735,"",IF(AND(Table1[Leaving Date]&gt;1,Table1[Leaving Date]&lt;42644),"",1)))</f>
        <v/>
      </c>
      <c r="DW581" s="92" t="str">
        <f>IF(Table1[Start Date]="","",IF(Table1[Start Date]&gt;42825,"",IF(AND(Table1[Leaving Date]&gt;1,Table1[Leaving Date]&lt;42736),"",1)))</f>
        <v/>
      </c>
      <c r="DX581"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581" s="44" t="e">
        <f>VLOOKUP(Table1[Referral Source],Lists!$G$2:$H$20,2,FALSE)</f>
        <v>#N/A</v>
      </c>
      <c r="DZ581" s="93" t="e">
        <f>SUM(Table1[Data Referral Quarter]+Table1[Data Referral Source])</f>
        <v>#N/A</v>
      </c>
      <c r="EA581" s="44" t="b">
        <f>IF(Table1[Referral Decision]="Accepted",100,IF(Table1[Referral Decision]="Rejected by Provider",200,IF(Table1[Referral Decision]="Rejected by Applicant",300)))</f>
        <v>0</v>
      </c>
      <c r="EB581" s="44">
        <f>SUM(Table1[Data Referral Quarter]+Table1[Data Referral Decision])</f>
        <v>0</v>
      </c>
      <c r="EC581" s="44" t="b">
        <f>IF(Table1[Start Date]&gt;42735,8000,IF(Table1[Start Date]&gt;42643,7000,IF(Table1[Start Date]&gt;42551,6000,IF(Table1[Start Date]&gt;42460,5000,IF(Table1[Start Date]&gt;42369,4000,IF(Table1[Start Date]&gt;42277,3000,IF(Table1[Start Date]&gt;42185,2000,IF(Table1[Start Date]&gt;42094,1000))))))))</f>
        <v>0</v>
      </c>
      <c r="ED581" s="44" t="str">
        <f>IF(Table1[Start Date]="","",IF(Table1[Current Local Authority]="Swindon",1,"2"))</f>
        <v/>
      </c>
      <c r="EE581" s="44" t="e">
        <f>SUM(Table1[Data Start Date]+Table1[Data Local Authority])</f>
        <v>#VALUE!</v>
      </c>
      <c r="EF581" s="44">
        <f>IF(Table1[Registered with GP]="Yes",1,0)</f>
        <v>0</v>
      </c>
      <c r="EG581" s="44">
        <f>SUM(Table1[Data Start Date]+Table1[Data GP Start])</f>
        <v>0</v>
      </c>
      <c r="EH581" s="44" t="str">
        <f>IF(Table1[EET]="NEET",1,IF(Table1[EET]="Education",2,IF(Table1[EET]="Employment",2,IF(Table1[EET]="Training",2,IF(Table1[EET]="Retired",3,"")))))</f>
        <v/>
      </c>
      <c r="EI581" s="44" t="e">
        <f>Table1[Data Start Date]+Table1[Data EET Start]</f>
        <v>#VALUE!</v>
      </c>
      <c r="EJ581" s="44" t="b">
        <f>IF(Table1[Leaving Date]&gt;42735,8000,IF(Table1[Leaving Date]&gt;42643,7000,IF(Table1[Leaving Date]&gt;42551,6000,IF(Table1[Leaving Date]&gt;42460,5000,IF(Table1[Leaving Date]&gt;42369,4000,IF(Table1[Leaving Date]&gt;42277,3000,IF(Table1[Leaving Date]&gt;42185,2000,IF(Table1[Leaving Date]&gt;42094,1000))))))))</f>
        <v>0</v>
      </c>
      <c r="EK581" s="44" t="e">
        <f>VLOOKUP(Table1[Reason for Leaving],Lists!$T$2:$U$15,2,FALSE)</f>
        <v>#N/A</v>
      </c>
      <c r="EL581" s="44" t="e">
        <f>SUM(Table1[Data Leavers Date]+Table1[Data Move On])</f>
        <v>#N/A</v>
      </c>
      <c r="EM581" s="44" t="b">
        <f>IF(Table1[Registered with GP2]="Yes",1,IF(Table1[Registered with GP2]="No",0,IF(Table1[Registered with GP]="Yes",1,IF(Table1[Registered with GP]="No",0))))</f>
        <v>0</v>
      </c>
      <c r="EN581" s="44">
        <f>SUM(Table1[Data Leavers Date]+Table1[Data GP End])</f>
        <v>0</v>
      </c>
      <c r="EO581" s="44" t="str">
        <f>IF(Table1[EET2]="NEET",1,IF(Table1[EET2]="Employment",2,IF(Table1[EET2]="Education",2,IF(Table1[EET2]="Training",2,IF(Table1[EET2]="Retired",3,IF(Table1[EET]="NEET",1,IF(Table1[EET]="Employment",2,IF(Table1[EET]="Education",2,IF(Table1[EET]="Training",2,IF(Table1[EET]="Retired",3,""))))))))))</f>
        <v/>
      </c>
      <c r="EP581" s="44" t="e">
        <f>+Table1[[#This Row],[Data Leavers Date]]+Table1[[#This Row],[Data EET End]]</f>
        <v>#VALUE!</v>
      </c>
      <c r="EQ581" s="44">
        <f>IF(Table1[Exit Form Received]="Yes",1,0)</f>
        <v>0</v>
      </c>
      <c r="ER581" s="44">
        <f>+Table1[[#This Row],[Data Leavers Date]]+Table1[[#This Row],[Data Exit Forms]]</f>
        <v>0</v>
      </c>
      <c r="ES581" s="44" t="str">
        <f>IF(Table1[Data Leavers Date]=1000,SUM(Table1[Leaving Date]-Table1[Start Date]),"")</f>
        <v/>
      </c>
      <c r="ET581" s="44" t="str">
        <f>IF(Table1[Data Leavers Date]=2000,SUM(Table1[Leaving Date]-Table1[Start Date]),"")</f>
        <v/>
      </c>
      <c r="EU581" s="44" t="str">
        <f>IF(Table1[Data Leavers Date]=3000,SUM(Table1[Leaving Date]-Table1[Start Date]),"")</f>
        <v/>
      </c>
      <c r="EV581" s="44" t="str">
        <f>IF(Table1[Data Leavers Date]=4000,SUM(Table1[Leaving Date]-Table1[Start Date]),"")</f>
        <v/>
      </c>
      <c r="EW581" s="44" t="str">
        <f>IF(Table1[Data Leavers Date]=5000,SUM(Table1[Leaving Date]-Table1[Start Date]),"")</f>
        <v/>
      </c>
      <c r="EX581" s="44" t="str">
        <f>IF(Table1[Data Leavers Date]=6000,SUM(Table1[Leaving Date]-Table1[Start Date]),"")</f>
        <v/>
      </c>
      <c r="EY581" s="44" t="str">
        <f>IF(Table1[Data Leavers Date]=7000,SUM(Table1[Leaving Date]-Table1[Start Date]),"")</f>
        <v/>
      </c>
      <c r="EZ581" s="44" t="str">
        <f>IF(Table1[Data Leavers Date]=8000,SUM(Table1[Leaving Date]-Table1[Start Date]),"")</f>
        <v/>
      </c>
      <c r="FA581" s="44" t="str">
        <f>IF(Table1[Date of Initial Assessment]="","",IF(AND(Table1[Start Date]&gt;42094,Table1[Start Date]&lt;42461),Table1[Motivation and Taking Responsibility],""))</f>
        <v/>
      </c>
      <c r="FB581" s="44" t="str">
        <f>IF(Table1[Date of Initial Assessment]="","",IF(AND(Table1[Start Date]&gt;42094,Table1[Start Date]&lt;42461),Table1[Self-Care and Living Skills],""))</f>
        <v/>
      </c>
      <c r="FC581" s="44" t="str">
        <f>IF(Table1[Date of Initial Assessment]="","",IF(AND(Table1[Start Date]&gt;42094,Table1[Start Date]&lt;42461),Table1[Managing Money and Personal Administration],""))</f>
        <v/>
      </c>
      <c r="FD581" s="44" t="str">
        <f>IF(Table1[Date of Initial Assessment]="","",IF(AND(Table1[Start Date]&gt;42094,Table1[Start Date]&lt;42461),Table1[Social Networks and Relationships],""))</f>
        <v/>
      </c>
      <c r="FE581" s="44" t="str">
        <f>IF(Table1[Date of Initial Assessment]="","",IF(AND(Table1[Start Date]&gt;42094,Table1[Start Date]&lt;42461),Table1[Drug and Alcohol Misuse],""))</f>
        <v/>
      </c>
      <c r="FF581" s="44" t="str">
        <f>IF(Table1[Date of Initial Assessment]="","",IF(AND(Table1[Start Date]&gt;42094,Table1[Start Date]&lt;42461),Table1[Physical Health],""))</f>
        <v/>
      </c>
      <c r="FG581" s="44" t="str">
        <f>IF(Table1[Date of Initial Assessment]="","",IF(AND(Table1[Start Date]&gt;42094,Table1[Start Date]&lt;42461),Table1[Emotional and Mental Health],""))</f>
        <v/>
      </c>
      <c r="FH581" s="44" t="str">
        <f>IF(Table1[Date of Initial Assessment]="","",IF(AND(Table1[Start Date]&gt;42094,Table1[Start Date]&lt;42461),Table1[Meaningful Use of Time],""))</f>
        <v/>
      </c>
      <c r="FI581" s="44" t="str">
        <f>IF(Table1[Date of Initial Assessment]="","",IF(AND(Table1[Start Date]&gt;42094,Table1[Start Date]&lt;42461),Table1[Managing Tenancy and Accommodation],""))</f>
        <v/>
      </c>
      <c r="FJ581" s="44" t="str">
        <f>IF(Table1[Date of Initial Assessment]="","",IF(AND(Table1[Start Date]&gt;42094,Table1[Start Date]&lt;42461),Table1[Offending],""))</f>
        <v/>
      </c>
      <c r="FK581" s="44" t="str">
        <f>IF(Table1[Leaving Date]="","",IF(Table1[Date of Initial Assessment]="","",IF(AND(Table1[Leaving Date]&gt;42094,Table1[Leaving Date]&lt;42461),IF(Table1[Date of Last Assessment]="",Table1[Motivation and Taking Responsibility],Table1[Motivation and Taking Responsibility2]),"")))</f>
        <v/>
      </c>
      <c r="FL581" s="44" t="str">
        <f>IF(Table1[Leaving Date]="","",IF(Table1[Date of Initial Assessment]="","",IF(AND(Table1[Leaving Date]&gt;42094,Table1[Leaving Date]&lt;42461),IF(Table1[Date of Last Assessment]="",Table1[Self-Care and Living Skills],Table1[Self-Care and Living Skills2]),"")))</f>
        <v/>
      </c>
      <c r="FM581" s="44" t="str">
        <f>IF(Table1[Leaving Date]="","",IF(Table1[Date of Initial Assessment]="","",IF(AND(Table1[Leaving Date]&gt;42094,Table1[Leaving Date]&lt;42461),IF(Table1[Date of Last Assessment]="",Table1[Managing Money and Personal Administration],Table1[Managing Money and Personal Administration2]),"")))</f>
        <v/>
      </c>
      <c r="FN581" s="44" t="str">
        <f>IF(Table1[Leaving Date]="","",IF(Table1[Date of Initial Assessment]="","",IF(AND(Table1[Leaving Date]&gt;42094,Table1[Leaving Date]&lt;42461),IF(Table1[Date of Last Assessment]="",Table1[Social Networks and Relationships],Table1[Social Networks and Relationships2]),"")))</f>
        <v/>
      </c>
      <c r="FO581" s="44" t="str">
        <f>IF(Table1[Leaving Date]="","",IF(Table1[Date of Initial Assessment]="","",IF(AND(Table1[Leaving Date]&gt;42094,Table1[Leaving Date]&lt;42461),IF(Table1[Date of Last Assessment]="",Table1[Drug and Alcohol Misuse],Table1[Drug and Alcohol Misuse2]),"")))</f>
        <v/>
      </c>
      <c r="FP581" s="44" t="str">
        <f>IF(Table1[Leaving Date]="","",IF(Table1[Date of Initial Assessment]="","",IF(AND(Table1[Leaving Date]&gt;42094,Table1[Leaving Date]&lt;42461),IF(Table1[Date of Last Assessment]="",Table1[Physical Health],Table1[Physical Health2]),"")))</f>
        <v/>
      </c>
      <c r="FQ581" s="44" t="str">
        <f>IF(Table1[Leaving Date]="","",IF(Table1[Date of Initial Assessment]="","",IF(AND(Table1[Leaving Date]&gt;42094,Table1[Leaving Date]&lt;42461),IF(Table1[Date of Last Assessment]="",Table1[Emotional and Mental Health],Table1[Emotional and Mental Health2]),"")))</f>
        <v/>
      </c>
      <c r="FR581" s="44" t="str">
        <f>IF(Table1[Leaving Date]="","",IF(Table1[Date of Initial Assessment]="","",IF(AND(Table1[Leaving Date]&gt;42094,Table1[Leaving Date]&lt;42461),IF(Table1[Date of Last Assessment]="",Table1[Meaningful Use of Time],Table1[Meaningful Use of Time2]),"")))</f>
        <v/>
      </c>
      <c r="FS581" s="44" t="str">
        <f>IF(Table1[Leaving Date]="","",IF(Table1[Date of Initial Assessment]="","",IF(AND(Table1[Leaving Date]&gt;42094,Table1[Leaving Date]&lt;42461),IF(Table1[Date of Last Assessment]="",Table1[Managing Tenancy and Accommodation],Table1[Managing Tenancy and Accommodation2]),"")))</f>
        <v/>
      </c>
      <c r="FT581" s="44" t="str">
        <f>IF(Table1[Leaving Date]="","",IF(Table1[Date of Initial Assessment]="","",IF(AND(Table1[Leaving Date]&gt;42094,Table1[Leaving Date]&lt;42461),IF(Table1[Date of Last Assessment]="",Table1[Offending],Table1[Offending2]),"")))</f>
        <v/>
      </c>
      <c r="FU581" s="44" t="str">
        <f>IF(Table1[Date of Initial Assessment]="","",IF(AND(Table1[Start Date]&gt;42460,Table1[Start Date]&lt;42826),Table1[Motivation and Taking Responsibility],""))</f>
        <v/>
      </c>
      <c r="FV581" s="44" t="str">
        <f>IF(Table1[Date of Initial Assessment]="","",IF(AND(Table1[Start Date]&gt;42460,Table1[Start Date]&lt;42826),Table1[Self-Care and Living Skills],""))</f>
        <v/>
      </c>
      <c r="FW581" s="44" t="str">
        <f>IF(Table1[Date of Initial Assessment]="","",IF(AND(Table1[Start Date]&gt;42460,Table1[Start Date]&lt;42826),Table1[Managing Money and Personal Administration],""))</f>
        <v/>
      </c>
      <c r="FX581" s="44" t="str">
        <f>IF(Table1[Date of Initial Assessment]="","",IF(AND(Table1[Start Date]&gt;42460,Table1[Start Date]&lt;42826),Table1[Social Networks and Relationships],""))</f>
        <v/>
      </c>
      <c r="FY581" s="44" t="str">
        <f>IF(Table1[Date of Initial Assessment]="","",IF(AND(Table1[Start Date]&gt;42460,Table1[Start Date]&lt;42826),Table1[Drug and Alcohol Misuse],""))</f>
        <v/>
      </c>
      <c r="FZ581" s="44" t="str">
        <f>IF(Table1[Date of Initial Assessment]="","",IF(AND(Table1[Start Date]&gt;42460,Table1[Start Date]&lt;42826),Table1[Physical Health],""))</f>
        <v/>
      </c>
      <c r="GA581" s="44" t="str">
        <f>IF(Table1[Date of Initial Assessment]="","",IF(AND(Table1[Start Date]&gt;42460,Table1[Start Date]&lt;42826),Table1[Emotional and Mental Health],""))</f>
        <v/>
      </c>
      <c r="GB581" s="44" t="str">
        <f>IF(Table1[Date of Initial Assessment]="","",IF(AND(Table1[Start Date]&gt;42460,Table1[Start Date]&lt;42826),Table1[Meaningful Use of Time],""))</f>
        <v/>
      </c>
      <c r="GC581" s="44" t="str">
        <f>IF(Table1[Date of Initial Assessment]="","",IF(AND(Table1[Start Date]&gt;42460,Table1[Start Date]&lt;42826),Table1[Managing Tenancy and Accommodation],""))</f>
        <v/>
      </c>
      <c r="GD581" s="44" t="str">
        <f>IF(Table1[Date of Initial Assessment]="","",IF(AND(Table1[Start Date]&gt;42460,Table1[Start Date]&lt;42826),Table1[Offending],""))</f>
        <v/>
      </c>
      <c r="GE581" s="44" t="str">
        <f>IF(Table1[Leaving Date]="","",IF(AND(Table1[Leaving Date]&gt;42460,Table1[Leaving Date]&lt;42826),IF(Table1[Date of Last Assessment]="",Table1[Motivation and Taking Responsibility],Table1[Motivation and Taking Responsibility2]),""))</f>
        <v/>
      </c>
      <c r="GF581" s="44" t="str">
        <f>IF(Table1[Leaving Date]="","",IF(AND(Table1[Leaving Date]&gt;42460,Table1[Leaving Date]&lt;42826),IF(Table1[Date of Last Assessment]="",Table1[Self-Care and Living Skills],Table1[Self-Care and Living Skills2]),""))</f>
        <v/>
      </c>
      <c r="GG581" s="44" t="str">
        <f>IF(Table1[Leaving Date]="","",IF(AND(Table1[Leaving Date]&gt;42460,Table1[Leaving Date]&lt;42826),IF(Table1[Date of Last Assessment]="",Table1[Managing Money and Personal Administration],Table1[Managing Money and Personal Administration2]),""))</f>
        <v/>
      </c>
      <c r="GH581" s="44" t="str">
        <f>IF(Table1[Leaving Date]="","",IF(AND(Table1[Leaving Date]&gt;42460,Table1[Leaving Date]&lt;42826),IF(Table1[Date of Last Assessment]="",Table1[Social Networks and Relationships],Table1[Social Networks and Relationships2]),""))</f>
        <v/>
      </c>
      <c r="GI581" s="44" t="str">
        <f>IF(Table1[Leaving Date]="","",IF(AND(Table1[Leaving Date]&gt;42460,Table1[Leaving Date]&lt;42826),IF(Table1[Date of Last Assessment]="",Table1[Drug and Alcohol Misuse],Table1[Drug and Alcohol Misuse2]),""))</f>
        <v/>
      </c>
      <c r="GJ581" s="44" t="str">
        <f>IF(Table1[Leaving Date]="","",IF(AND(Table1[Leaving Date]&gt;42460,Table1[Leaving Date]&lt;42826),IF(Table1[Date of Last Assessment]="",Table1[Physical Health],Table1[Physical Health2]),""))</f>
        <v/>
      </c>
      <c r="GK581" s="44" t="str">
        <f>IF(Table1[Leaving Date]="","",IF(AND(Table1[Leaving Date]&gt;42460,Table1[Leaving Date]&lt;42826),IF(Table1[Date of Last Assessment]="",Table1[Emotional and Mental Health],Table1[Emotional and Mental Health2]),""))</f>
        <v/>
      </c>
      <c r="GL581" s="44" t="str">
        <f>IF(Table1[Leaving Date]="","",IF(AND(Table1[Leaving Date]&gt;42460,Table1[Leaving Date]&lt;42826),IF(Table1[Date of Last Assessment]="",Table1[Meaningful Use of Time],Table1[Meaningful Use of Time2]),""))</f>
        <v/>
      </c>
      <c r="GM581" s="44" t="str">
        <f>IF(Table1[Leaving Date]="","",IF(AND(Table1[Leaving Date]&gt;42460,Table1[Leaving Date]&lt;42826),IF(Table1[Date of Last Assessment]="",Table1[Managing Tenancy and Accommodation],Table1[Managing Tenancy and Accommodation2]),""))</f>
        <v/>
      </c>
      <c r="GN581" s="44" t="str">
        <f>IF(Table1[Leaving Date]="","",IF(AND(Table1[Leaving Date]&gt;42460,Table1[Leaving Date]&lt;42826),IF(Table1[Date of Last Assessment]="",Table1[Offending],Table1[Offending2]),""))</f>
        <v/>
      </c>
    </row>
    <row r="582" spans="2:196" ht="20.100000000000001" customHeight="1" x14ac:dyDescent="0.2">
      <c r="B582" s="86">
        <f>+'Service Data'!$C$5:$C$5</f>
        <v>0</v>
      </c>
      <c r="C582" s="86"/>
      <c r="D582" s="86"/>
      <c r="E582" s="86"/>
      <c r="F582" s="86"/>
      <c r="G582" s="86"/>
      <c r="H582" s="6"/>
      <c r="I582" s="99" t="str">
        <f ca="1">IF(Table1[[#This Row],[Date of Birth]]="","",SUM(TODAY()-Table1[[#This Row],[Date of Birth]])/365)</f>
        <v/>
      </c>
      <c r="L582" s="86"/>
      <c r="M582" s="77"/>
      <c r="N582" s="86"/>
      <c r="O582" s="86"/>
      <c r="P582" s="91"/>
      <c r="Q582" s="86"/>
      <c r="R582" s="77"/>
      <c r="S582" s="77"/>
      <c r="T582" s="68"/>
      <c r="U582" s="68"/>
      <c r="V582" s="67"/>
      <c r="W582" s="67"/>
      <c r="X582" s="67"/>
      <c r="Y582" s="67"/>
      <c r="Z582" s="67"/>
      <c r="AA582" s="67"/>
      <c r="AB582" s="67"/>
      <c r="AC582" s="67"/>
      <c r="AD582" s="67"/>
      <c r="AE582" s="67"/>
      <c r="AF582" s="67"/>
      <c r="AG582" s="67"/>
      <c r="AH582" s="67"/>
      <c r="AI582" s="67"/>
      <c r="AJ582" s="67"/>
      <c r="AK582" s="67"/>
      <c r="AL582" s="67"/>
      <c r="AM582" s="67"/>
      <c r="AN582" s="77"/>
      <c r="AO582" s="76"/>
      <c r="AP582" s="77"/>
      <c r="AQ582" s="76"/>
      <c r="AR582" s="76"/>
      <c r="AS582" s="76"/>
      <c r="AT582" s="76"/>
      <c r="AU582" s="76"/>
      <c r="AV582" s="77"/>
      <c r="AW582" s="76"/>
      <c r="AX582" s="77"/>
      <c r="AY582" s="76"/>
      <c r="AZ582" s="76"/>
      <c r="BA582" s="76"/>
      <c r="BB582" s="76"/>
      <c r="BC582" s="76"/>
      <c r="BD582" s="77"/>
      <c r="BE582" s="76"/>
      <c r="BF582" s="77"/>
      <c r="BG582" s="76"/>
      <c r="BH582" s="76"/>
      <c r="BI582" s="76"/>
      <c r="BJ582" s="76"/>
      <c r="BK582" s="76"/>
      <c r="BL582" s="77"/>
      <c r="BM582" s="76"/>
      <c r="BN582" s="77"/>
      <c r="BO582" s="76"/>
      <c r="BP582" s="76"/>
      <c r="BQ582" s="76"/>
      <c r="BR582" s="76"/>
      <c r="BS582" s="76"/>
      <c r="BT582" s="77"/>
      <c r="BU582" s="76"/>
      <c r="BV582" s="77"/>
      <c r="BW582" s="76"/>
      <c r="BX582" s="76"/>
      <c r="BY582" s="76"/>
      <c r="BZ582" s="76"/>
      <c r="CA582" s="76"/>
      <c r="CB582" s="77"/>
      <c r="CC582" s="76"/>
      <c r="CD582" s="77"/>
      <c r="CE582" s="76"/>
      <c r="CF582" s="76"/>
      <c r="CG582" s="76"/>
      <c r="CH582" s="76"/>
      <c r="CI582" s="76"/>
      <c r="CJ582" s="77"/>
      <c r="CK582" s="76"/>
      <c r="CL582" s="77"/>
      <c r="CM582" s="76"/>
      <c r="CN582" s="76"/>
      <c r="CO582" s="76"/>
      <c r="CP582" s="76"/>
      <c r="CQ582" s="76"/>
      <c r="CR582" s="78" t="str">
        <f t="shared" si="159"/>
        <v/>
      </c>
      <c r="CS582" s="79" t="str">
        <f t="shared" si="160"/>
        <v/>
      </c>
      <c r="CT582" s="79" t="str">
        <f t="shared" si="161"/>
        <v/>
      </c>
      <c r="CU582" s="79" t="str">
        <f t="shared" si="162"/>
        <v/>
      </c>
      <c r="CV582" s="79" t="str">
        <f t="shared" si="163"/>
        <v/>
      </c>
      <c r="CW582" s="79" t="str">
        <f t="shared" si="164"/>
        <v/>
      </c>
      <c r="CX582" s="79" t="str">
        <f t="shared" si="165"/>
        <v/>
      </c>
      <c r="CY582" s="79" t="str">
        <f t="shared" si="166"/>
        <v/>
      </c>
      <c r="CZ582" s="79" t="str">
        <f t="shared" si="167"/>
        <v/>
      </c>
      <c r="DA582" s="79" t="str">
        <f t="shared" si="168"/>
        <v/>
      </c>
      <c r="DB582" s="79" t="str">
        <f t="shared" si="169"/>
        <v/>
      </c>
      <c r="DC582" s="79" t="str">
        <f t="shared" si="170"/>
        <v/>
      </c>
      <c r="DD582" s="79" t="str">
        <f t="shared" si="171"/>
        <v/>
      </c>
      <c r="DE582" s="79" t="str">
        <f t="shared" si="172"/>
        <v/>
      </c>
      <c r="DF582" s="79" t="str">
        <f t="shared" si="173"/>
        <v/>
      </c>
      <c r="DG582" s="79" t="str">
        <f t="shared" si="174"/>
        <v/>
      </c>
      <c r="DH582" s="76"/>
      <c r="DI582" s="78"/>
      <c r="DJ582" s="76"/>
      <c r="DK582" s="77"/>
      <c r="DL582" s="77"/>
      <c r="DM582" s="77"/>
      <c r="DN582" s="80"/>
      <c r="DO582" s="80"/>
      <c r="DP582" s="92" t="str">
        <f>IF(Table1[Start Date]="","",IF(Table1[Start Date]&gt;42185,"",IF(AND(Table1[Leaving Date]&gt;1,Table1[Leaving Date]&lt;42095),"",1)))</f>
        <v/>
      </c>
      <c r="DQ582" s="92" t="str">
        <f>IF(Table1[Start Date]="","",IF(Table1[Start Date]&gt;42277,"",IF(AND(Table1[Leaving Date]&gt;1,Table1[Leaving Date]&lt;42186),"",1)))</f>
        <v/>
      </c>
      <c r="DR582" s="92" t="str">
        <f>IF(Table1[Start Date]="","",IF(Table1[Start Date]&gt;42369,"",IF(AND(Table1[Leaving Date]&gt;1,Table1[Leaving Date]&lt;42278),"",1)))</f>
        <v/>
      </c>
      <c r="DS582" s="92" t="str">
        <f>IF(Table1[Start Date]="","",IF(Table1[Start Date]&gt;42460,"",IF(AND(Table1[Leaving Date]&gt;1,Table1[Leaving Date]&lt;42370),"",1)))</f>
        <v/>
      </c>
      <c r="DT582" s="92" t="str">
        <f>IF(Table1[Start Date]="","",IF(Table1[Start Date]&gt;42551,"",IF(AND(Table1[Leaving Date]&gt;1,Table1[Leaving Date]&lt;42461),"",1)))</f>
        <v/>
      </c>
      <c r="DU582" s="92" t="str">
        <f>IF(Table1[Start Date]="","",IF(Table1[Start Date]&gt;42643,"",IF(AND(Table1[Leaving Date]&gt;1,Table1[Leaving Date]&lt;42552),"",1)))</f>
        <v/>
      </c>
      <c r="DV582" s="92" t="str">
        <f>IF(Table1[Start Date]="","",IF(Table1[Start Date]&gt;42735,"",IF(AND(Table1[Leaving Date]&gt;1,Table1[Leaving Date]&lt;42644),"",1)))</f>
        <v/>
      </c>
      <c r="DW582" s="92" t="str">
        <f>IF(Table1[Start Date]="","",IF(Table1[Start Date]&gt;42825,"",IF(AND(Table1[Leaving Date]&gt;1,Table1[Leaving Date]&lt;42736),"",1)))</f>
        <v/>
      </c>
      <c r="DX582"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582" s="44" t="e">
        <f>VLOOKUP(Table1[Referral Source],Lists!$G$2:$H$20,2,FALSE)</f>
        <v>#N/A</v>
      </c>
      <c r="DZ582" s="93" t="e">
        <f>SUM(Table1[Data Referral Quarter]+Table1[Data Referral Source])</f>
        <v>#N/A</v>
      </c>
      <c r="EA582" s="44" t="b">
        <f>IF(Table1[Referral Decision]="Accepted",100,IF(Table1[Referral Decision]="Rejected by Provider",200,IF(Table1[Referral Decision]="Rejected by Applicant",300)))</f>
        <v>0</v>
      </c>
      <c r="EB582" s="44">
        <f>SUM(Table1[Data Referral Quarter]+Table1[Data Referral Decision])</f>
        <v>0</v>
      </c>
      <c r="EC582" s="44" t="b">
        <f>IF(Table1[Start Date]&gt;42735,8000,IF(Table1[Start Date]&gt;42643,7000,IF(Table1[Start Date]&gt;42551,6000,IF(Table1[Start Date]&gt;42460,5000,IF(Table1[Start Date]&gt;42369,4000,IF(Table1[Start Date]&gt;42277,3000,IF(Table1[Start Date]&gt;42185,2000,IF(Table1[Start Date]&gt;42094,1000))))))))</f>
        <v>0</v>
      </c>
      <c r="ED582" s="44" t="str">
        <f>IF(Table1[Start Date]="","",IF(Table1[Current Local Authority]="Swindon",1,"2"))</f>
        <v/>
      </c>
      <c r="EE582" s="44" t="e">
        <f>SUM(Table1[Data Start Date]+Table1[Data Local Authority])</f>
        <v>#VALUE!</v>
      </c>
      <c r="EF582" s="44">
        <f>IF(Table1[Registered with GP]="Yes",1,0)</f>
        <v>0</v>
      </c>
      <c r="EG582" s="44">
        <f>SUM(Table1[Data Start Date]+Table1[Data GP Start])</f>
        <v>0</v>
      </c>
      <c r="EH582" s="44" t="str">
        <f>IF(Table1[EET]="NEET",1,IF(Table1[EET]="Education",2,IF(Table1[EET]="Employment",2,IF(Table1[EET]="Training",2,IF(Table1[EET]="Retired",3,"")))))</f>
        <v/>
      </c>
      <c r="EI582" s="44" t="e">
        <f>Table1[Data Start Date]+Table1[Data EET Start]</f>
        <v>#VALUE!</v>
      </c>
      <c r="EJ582" s="44" t="b">
        <f>IF(Table1[Leaving Date]&gt;42735,8000,IF(Table1[Leaving Date]&gt;42643,7000,IF(Table1[Leaving Date]&gt;42551,6000,IF(Table1[Leaving Date]&gt;42460,5000,IF(Table1[Leaving Date]&gt;42369,4000,IF(Table1[Leaving Date]&gt;42277,3000,IF(Table1[Leaving Date]&gt;42185,2000,IF(Table1[Leaving Date]&gt;42094,1000))))))))</f>
        <v>0</v>
      </c>
      <c r="EK582" s="44" t="e">
        <f>VLOOKUP(Table1[Reason for Leaving],Lists!$T$2:$U$15,2,FALSE)</f>
        <v>#N/A</v>
      </c>
      <c r="EL582" s="44" t="e">
        <f>SUM(Table1[Data Leavers Date]+Table1[Data Move On])</f>
        <v>#N/A</v>
      </c>
      <c r="EM582" s="44" t="b">
        <f>IF(Table1[Registered with GP2]="Yes",1,IF(Table1[Registered with GP2]="No",0,IF(Table1[Registered with GP]="Yes",1,IF(Table1[Registered with GP]="No",0))))</f>
        <v>0</v>
      </c>
      <c r="EN582" s="44">
        <f>SUM(Table1[Data Leavers Date]+Table1[Data GP End])</f>
        <v>0</v>
      </c>
      <c r="EO582" s="44" t="str">
        <f>IF(Table1[EET2]="NEET",1,IF(Table1[EET2]="Employment",2,IF(Table1[EET2]="Education",2,IF(Table1[EET2]="Training",2,IF(Table1[EET2]="Retired",3,IF(Table1[EET]="NEET",1,IF(Table1[EET]="Employment",2,IF(Table1[EET]="Education",2,IF(Table1[EET]="Training",2,IF(Table1[EET]="Retired",3,""))))))))))</f>
        <v/>
      </c>
      <c r="EP582" s="44" t="e">
        <f>+Table1[[#This Row],[Data Leavers Date]]+Table1[[#This Row],[Data EET End]]</f>
        <v>#VALUE!</v>
      </c>
      <c r="EQ582" s="44">
        <f>IF(Table1[Exit Form Received]="Yes",1,0)</f>
        <v>0</v>
      </c>
      <c r="ER582" s="44">
        <f>+Table1[[#This Row],[Data Leavers Date]]+Table1[[#This Row],[Data Exit Forms]]</f>
        <v>0</v>
      </c>
      <c r="ES582" s="44" t="str">
        <f>IF(Table1[Data Leavers Date]=1000,SUM(Table1[Leaving Date]-Table1[Start Date]),"")</f>
        <v/>
      </c>
      <c r="ET582" s="44" t="str">
        <f>IF(Table1[Data Leavers Date]=2000,SUM(Table1[Leaving Date]-Table1[Start Date]),"")</f>
        <v/>
      </c>
      <c r="EU582" s="44" t="str">
        <f>IF(Table1[Data Leavers Date]=3000,SUM(Table1[Leaving Date]-Table1[Start Date]),"")</f>
        <v/>
      </c>
      <c r="EV582" s="44" t="str">
        <f>IF(Table1[Data Leavers Date]=4000,SUM(Table1[Leaving Date]-Table1[Start Date]),"")</f>
        <v/>
      </c>
      <c r="EW582" s="44" t="str">
        <f>IF(Table1[Data Leavers Date]=5000,SUM(Table1[Leaving Date]-Table1[Start Date]),"")</f>
        <v/>
      </c>
      <c r="EX582" s="44" t="str">
        <f>IF(Table1[Data Leavers Date]=6000,SUM(Table1[Leaving Date]-Table1[Start Date]),"")</f>
        <v/>
      </c>
      <c r="EY582" s="44" t="str">
        <f>IF(Table1[Data Leavers Date]=7000,SUM(Table1[Leaving Date]-Table1[Start Date]),"")</f>
        <v/>
      </c>
      <c r="EZ582" s="44" t="str">
        <f>IF(Table1[Data Leavers Date]=8000,SUM(Table1[Leaving Date]-Table1[Start Date]),"")</f>
        <v/>
      </c>
      <c r="FA582" s="44" t="str">
        <f>IF(Table1[Date of Initial Assessment]="","",IF(AND(Table1[Start Date]&gt;42094,Table1[Start Date]&lt;42461),Table1[Motivation and Taking Responsibility],""))</f>
        <v/>
      </c>
      <c r="FB582" s="44" t="str">
        <f>IF(Table1[Date of Initial Assessment]="","",IF(AND(Table1[Start Date]&gt;42094,Table1[Start Date]&lt;42461),Table1[Self-Care and Living Skills],""))</f>
        <v/>
      </c>
      <c r="FC582" s="44" t="str">
        <f>IF(Table1[Date of Initial Assessment]="","",IF(AND(Table1[Start Date]&gt;42094,Table1[Start Date]&lt;42461),Table1[Managing Money and Personal Administration],""))</f>
        <v/>
      </c>
      <c r="FD582" s="44" t="str">
        <f>IF(Table1[Date of Initial Assessment]="","",IF(AND(Table1[Start Date]&gt;42094,Table1[Start Date]&lt;42461),Table1[Social Networks and Relationships],""))</f>
        <v/>
      </c>
      <c r="FE582" s="44" t="str">
        <f>IF(Table1[Date of Initial Assessment]="","",IF(AND(Table1[Start Date]&gt;42094,Table1[Start Date]&lt;42461),Table1[Drug and Alcohol Misuse],""))</f>
        <v/>
      </c>
      <c r="FF582" s="44" t="str">
        <f>IF(Table1[Date of Initial Assessment]="","",IF(AND(Table1[Start Date]&gt;42094,Table1[Start Date]&lt;42461),Table1[Physical Health],""))</f>
        <v/>
      </c>
      <c r="FG582" s="44" t="str">
        <f>IF(Table1[Date of Initial Assessment]="","",IF(AND(Table1[Start Date]&gt;42094,Table1[Start Date]&lt;42461),Table1[Emotional and Mental Health],""))</f>
        <v/>
      </c>
      <c r="FH582" s="44" t="str">
        <f>IF(Table1[Date of Initial Assessment]="","",IF(AND(Table1[Start Date]&gt;42094,Table1[Start Date]&lt;42461),Table1[Meaningful Use of Time],""))</f>
        <v/>
      </c>
      <c r="FI582" s="44" t="str">
        <f>IF(Table1[Date of Initial Assessment]="","",IF(AND(Table1[Start Date]&gt;42094,Table1[Start Date]&lt;42461),Table1[Managing Tenancy and Accommodation],""))</f>
        <v/>
      </c>
      <c r="FJ582" s="44" t="str">
        <f>IF(Table1[Date of Initial Assessment]="","",IF(AND(Table1[Start Date]&gt;42094,Table1[Start Date]&lt;42461),Table1[Offending],""))</f>
        <v/>
      </c>
      <c r="FK582" s="44" t="str">
        <f>IF(Table1[Leaving Date]="","",IF(Table1[Date of Initial Assessment]="","",IF(AND(Table1[Leaving Date]&gt;42094,Table1[Leaving Date]&lt;42461),IF(Table1[Date of Last Assessment]="",Table1[Motivation and Taking Responsibility],Table1[Motivation and Taking Responsibility2]),"")))</f>
        <v/>
      </c>
      <c r="FL582" s="44" t="str">
        <f>IF(Table1[Leaving Date]="","",IF(Table1[Date of Initial Assessment]="","",IF(AND(Table1[Leaving Date]&gt;42094,Table1[Leaving Date]&lt;42461),IF(Table1[Date of Last Assessment]="",Table1[Self-Care and Living Skills],Table1[Self-Care and Living Skills2]),"")))</f>
        <v/>
      </c>
      <c r="FM582" s="44" t="str">
        <f>IF(Table1[Leaving Date]="","",IF(Table1[Date of Initial Assessment]="","",IF(AND(Table1[Leaving Date]&gt;42094,Table1[Leaving Date]&lt;42461),IF(Table1[Date of Last Assessment]="",Table1[Managing Money and Personal Administration],Table1[Managing Money and Personal Administration2]),"")))</f>
        <v/>
      </c>
      <c r="FN582" s="44" t="str">
        <f>IF(Table1[Leaving Date]="","",IF(Table1[Date of Initial Assessment]="","",IF(AND(Table1[Leaving Date]&gt;42094,Table1[Leaving Date]&lt;42461),IF(Table1[Date of Last Assessment]="",Table1[Social Networks and Relationships],Table1[Social Networks and Relationships2]),"")))</f>
        <v/>
      </c>
      <c r="FO582" s="44" t="str">
        <f>IF(Table1[Leaving Date]="","",IF(Table1[Date of Initial Assessment]="","",IF(AND(Table1[Leaving Date]&gt;42094,Table1[Leaving Date]&lt;42461),IF(Table1[Date of Last Assessment]="",Table1[Drug and Alcohol Misuse],Table1[Drug and Alcohol Misuse2]),"")))</f>
        <v/>
      </c>
      <c r="FP582" s="44" t="str">
        <f>IF(Table1[Leaving Date]="","",IF(Table1[Date of Initial Assessment]="","",IF(AND(Table1[Leaving Date]&gt;42094,Table1[Leaving Date]&lt;42461),IF(Table1[Date of Last Assessment]="",Table1[Physical Health],Table1[Physical Health2]),"")))</f>
        <v/>
      </c>
      <c r="FQ582" s="44" t="str">
        <f>IF(Table1[Leaving Date]="","",IF(Table1[Date of Initial Assessment]="","",IF(AND(Table1[Leaving Date]&gt;42094,Table1[Leaving Date]&lt;42461),IF(Table1[Date of Last Assessment]="",Table1[Emotional and Mental Health],Table1[Emotional and Mental Health2]),"")))</f>
        <v/>
      </c>
      <c r="FR582" s="44" t="str">
        <f>IF(Table1[Leaving Date]="","",IF(Table1[Date of Initial Assessment]="","",IF(AND(Table1[Leaving Date]&gt;42094,Table1[Leaving Date]&lt;42461),IF(Table1[Date of Last Assessment]="",Table1[Meaningful Use of Time],Table1[Meaningful Use of Time2]),"")))</f>
        <v/>
      </c>
      <c r="FS582" s="44" t="str">
        <f>IF(Table1[Leaving Date]="","",IF(Table1[Date of Initial Assessment]="","",IF(AND(Table1[Leaving Date]&gt;42094,Table1[Leaving Date]&lt;42461),IF(Table1[Date of Last Assessment]="",Table1[Managing Tenancy and Accommodation],Table1[Managing Tenancy and Accommodation2]),"")))</f>
        <v/>
      </c>
      <c r="FT582" s="44" t="str">
        <f>IF(Table1[Leaving Date]="","",IF(Table1[Date of Initial Assessment]="","",IF(AND(Table1[Leaving Date]&gt;42094,Table1[Leaving Date]&lt;42461),IF(Table1[Date of Last Assessment]="",Table1[Offending],Table1[Offending2]),"")))</f>
        <v/>
      </c>
      <c r="FU582" s="44" t="str">
        <f>IF(Table1[Date of Initial Assessment]="","",IF(AND(Table1[Start Date]&gt;42460,Table1[Start Date]&lt;42826),Table1[Motivation and Taking Responsibility],""))</f>
        <v/>
      </c>
      <c r="FV582" s="44" t="str">
        <f>IF(Table1[Date of Initial Assessment]="","",IF(AND(Table1[Start Date]&gt;42460,Table1[Start Date]&lt;42826),Table1[Self-Care and Living Skills],""))</f>
        <v/>
      </c>
      <c r="FW582" s="44" t="str">
        <f>IF(Table1[Date of Initial Assessment]="","",IF(AND(Table1[Start Date]&gt;42460,Table1[Start Date]&lt;42826),Table1[Managing Money and Personal Administration],""))</f>
        <v/>
      </c>
      <c r="FX582" s="44" t="str">
        <f>IF(Table1[Date of Initial Assessment]="","",IF(AND(Table1[Start Date]&gt;42460,Table1[Start Date]&lt;42826),Table1[Social Networks and Relationships],""))</f>
        <v/>
      </c>
      <c r="FY582" s="44" t="str">
        <f>IF(Table1[Date of Initial Assessment]="","",IF(AND(Table1[Start Date]&gt;42460,Table1[Start Date]&lt;42826),Table1[Drug and Alcohol Misuse],""))</f>
        <v/>
      </c>
      <c r="FZ582" s="44" t="str">
        <f>IF(Table1[Date of Initial Assessment]="","",IF(AND(Table1[Start Date]&gt;42460,Table1[Start Date]&lt;42826),Table1[Physical Health],""))</f>
        <v/>
      </c>
      <c r="GA582" s="44" t="str">
        <f>IF(Table1[Date of Initial Assessment]="","",IF(AND(Table1[Start Date]&gt;42460,Table1[Start Date]&lt;42826),Table1[Emotional and Mental Health],""))</f>
        <v/>
      </c>
      <c r="GB582" s="44" t="str">
        <f>IF(Table1[Date of Initial Assessment]="","",IF(AND(Table1[Start Date]&gt;42460,Table1[Start Date]&lt;42826),Table1[Meaningful Use of Time],""))</f>
        <v/>
      </c>
      <c r="GC582" s="44" t="str">
        <f>IF(Table1[Date of Initial Assessment]="","",IF(AND(Table1[Start Date]&gt;42460,Table1[Start Date]&lt;42826),Table1[Managing Tenancy and Accommodation],""))</f>
        <v/>
      </c>
      <c r="GD582" s="44" t="str">
        <f>IF(Table1[Date of Initial Assessment]="","",IF(AND(Table1[Start Date]&gt;42460,Table1[Start Date]&lt;42826),Table1[Offending],""))</f>
        <v/>
      </c>
      <c r="GE582" s="44" t="str">
        <f>IF(Table1[Leaving Date]="","",IF(AND(Table1[Leaving Date]&gt;42460,Table1[Leaving Date]&lt;42826),IF(Table1[Date of Last Assessment]="",Table1[Motivation and Taking Responsibility],Table1[Motivation and Taking Responsibility2]),""))</f>
        <v/>
      </c>
      <c r="GF582" s="44" t="str">
        <f>IF(Table1[Leaving Date]="","",IF(AND(Table1[Leaving Date]&gt;42460,Table1[Leaving Date]&lt;42826),IF(Table1[Date of Last Assessment]="",Table1[Self-Care and Living Skills],Table1[Self-Care and Living Skills2]),""))</f>
        <v/>
      </c>
      <c r="GG582" s="44" t="str">
        <f>IF(Table1[Leaving Date]="","",IF(AND(Table1[Leaving Date]&gt;42460,Table1[Leaving Date]&lt;42826),IF(Table1[Date of Last Assessment]="",Table1[Managing Money and Personal Administration],Table1[Managing Money and Personal Administration2]),""))</f>
        <v/>
      </c>
      <c r="GH582" s="44" t="str">
        <f>IF(Table1[Leaving Date]="","",IF(AND(Table1[Leaving Date]&gt;42460,Table1[Leaving Date]&lt;42826),IF(Table1[Date of Last Assessment]="",Table1[Social Networks and Relationships],Table1[Social Networks and Relationships2]),""))</f>
        <v/>
      </c>
      <c r="GI582" s="44" t="str">
        <f>IF(Table1[Leaving Date]="","",IF(AND(Table1[Leaving Date]&gt;42460,Table1[Leaving Date]&lt;42826),IF(Table1[Date of Last Assessment]="",Table1[Drug and Alcohol Misuse],Table1[Drug and Alcohol Misuse2]),""))</f>
        <v/>
      </c>
      <c r="GJ582" s="44" t="str">
        <f>IF(Table1[Leaving Date]="","",IF(AND(Table1[Leaving Date]&gt;42460,Table1[Leaving Date]&lt;42826),IF(Table1[Date of Last Assessment]="",Table1[Physical Health],Table1[Physical Health2]),""))</f>
        <v/>
      </c>
      <c r="GK582" s="44" t="str">
        <f>IF(Table1[Leaving Date]="","",IF(AND(Table1[Leaving Date]&gt;42460,Table1[Leaving Date]&lt;42826),IF(Table1[Date of Last Assessment]="",Table1[Emotional and Mental Health],Table1[Emotional and Mental Health2]),""))</f>
        <v/>
      </c>
      <c r="GL582" s="44" t="str">
        <f>IF(Table1[Leaving Date]="","",IF(AND(Table1[Leaving Date]&gt;42460,Table1[Leaving Date]&lt;42826),IF(Table1[Date of Last Assessment]="",Table1[Meaningful Use of Time],Table1[Meaningful Use of Time2]),""))</f>
        <v/>
      </c>
      <c r="GM582" s="44" t="str">
        <f>IF(Table1[Leaving Date]="","",IF(AND(Table1[Leaving Date]&gt;42460,Table1[Leaving Date]&lt;42826),IF(Table1[Date of Last Assessment]="",Table1[Managing Tenancy and Accommodation],Table1[Managing Tenancy and Accommodation2]),""))</f>
        <v/>
      </c>
      <c r="GN582" s="44" t="str">
        <f>IF(Table1[Leaving Date]="","",IF(AND(Table1[Leaving Date]&gt;42460,Table1[Leaving Date]&lt;42826),IF(Table1[Date of Last Assessment]="",Table1[Offending],Table1[Offending2]),""))</f>
        <v/>
      </c>
    </row>
    <row r="583" spans="2:196" ht="20.100000000000001" customHeight="1" x14ac:dyDescent="0.2">
      <c r="B583" s="86">
        <f>+'Service Data'!$C$5:$C$5</f>
        <v>0</v>
      </c>
      <c r="C583" s="86"/>
      <c r="D583" s="86"/>
      <c r="E583" s="86"/>
      <c r="F583" s="86"/>
      <c r="G583" s="86"/>
      <c r="H583" s="6"/>
      <c r="I583" s="99" t="str">
        <f ca="1">IF(Table1[[#This Row],[Date of Birth]]="","",SUM(TODAY()-Table1[[#This Row],[Date of Birth]])/365)</f>
        <v/>
      </c>
      <c r="L583" s="86"/>
      <c r="M583" s="77"/>
      <c r="N583" s="86"/>
      <c r="O583" s="86"/>
      <c r="P583" s="91"/>
      <c r="Q583" s="86"/>
      <c r="R583" s="77"/>
      <c r="S583" s="77"/>
      <c r="T583" s="68"/>
      <c r="U583" s="68"/>
      <c r="V583" s="67"/>
      <c r="W583" s="67"/>
      <c r="X583" s="67"/>
      <c r="Y583" s="67"/>
      <c r="Z583" s="67"/>
      <c r="AA583" s="67"/>
      <c r="AB583" s="67"/>
      <c r="AC583" s="67"/>
      <c r="AD583" s="67"/>
      <c r="AE583" s="67"/>
      <c r="AF583" s="67"/>
      <c r="AG583" s="67"/>
      <c r="AH583" s="67"/>
      <c r="AI583" s="67"/>
      <c r="AJ583" s="67"/>
      <c r="AK583" s="67"/>
      <c r="AL583" s="67"/>
      <c r="AM583" s="67"/>
      <c r="AN583" s="77"/>
      <c r="AO583" s="76"/>
      <c r="AP583" s="77"/>
      <c r="AQ583" s="76"/>
      <c r="AR583" s="76"/>
      <c r="AS583" s="76"/>
      <c r="AT583" s="76"/>
      <c r="AU583" s="76"/>
      <c r="AV583" s="77"/>
      <c r="AW583" s="76"/>
      <c r="AX583" s="77"/>
      <c r="AY583" s="76"/>
      <c r="AZ583" s="76"/>
      <c r="BA583" s="76"/>
      <c r="BB583" s="76"/>
      <c r="BC583" s="76"/>
      <c r="BD583" s="77"/>
      <c r="BE583" s="76"/>
      <c r="BF583" s="77"/>
      <c r="BG583" s="76"/>
      <c r="BH583" s="76"/>
      <c r="BI583" s="76"/>
      <c r="BJ583" s="76"/>
      <c r="BK583" s="76"/>
      <c r="BL583" s="77"/>
      <c r="BM583" s="76"/>
      <c r="BN583" s="77"/>
      <c r="BO583" s="76"/>
      <c r="BP583" s="76"/>
      <c r="BQ583" s="76"/>
      <c r="BR583" s="76"/>
      <c r="BS583" s="76"/>
      <c r="BT583" s="77"/>
      <c r="BU583" s="76"/>
      <c r="BV583" s="77"/>
      <c r="BW583" s="76"/>
      <c r="BX583" s="76"/>
      <c r="BY583" s="76"/>
      <c r="BZ583" s="76"/>
      <c r="CA583" s="76"/>
      <c r="CB583" s="77"/>
      <c r="CC583" s="76"/>
      <c r="CD583" s="77"/>
      <c r="CE583" s="76"/>
      <c r="CF583" s="76"/>
      <c r="CG583" s="76"/>
      <c r="CH583" s="76"/>
      <c r="CI583" s="76"/>
      <c r="CJ583" s="77"/>
      <c r="CK583" s="76"/>
      <c r="CL583" s="77"/>
      <c r="CM583" s="76"/>
      <c r="CN583" s="76"/>
      <c r="CO583" s="76"/>
      <c r="CP583" s="76"/>
      <c r="CQ583" s="76"/>
      <c r="CR583" s="78" t="str">
        <f t="shared" si="159"/>
        <v/>
      </c>
      <c r="CS583" s="79" t="str">
        <f t="shared" si="160"/>
        <v/>
      </c>
      <c r="CT583" s="79" t="str">
        <f t="shared" si="161"/>
        <v/>
      </c>
      <c r="CU583" s="79" t="str">
        <f t="shared" si="162"/>
        <v/>
      </c>
      <c r="CV583" s="79" t="str">
        <f t="shared" si="163"/>
        <v/>
      </c>
      <c r="CW583" s="79" t="str">
        <f t="shared" si="164"/>
        <v/>
      </c>
      <c r="CX583" s="79" t="str">
        <f t="shared" si="165"/>
        <v/>
      </c>
      <c r="CY583" s="79" t="str">
        <f t="shared" si="166"/>
        <v/>
      </c>
      <c r="CZ583" s="79" t="str">
        <f t="shared" si="167"/>
        <v/>
      </c>
      <c r="DA583" s="79" t="str">
        <f t="shared" si="168"/>
        <v/>
      </c>
      <c r="DB583" s="79" t="str">
        <f t="shared" si="169"/>
        <v/>
      </c>
      <c r="DC583" s="79" t="str">
        <f t="shared" si="170"/>
        <v/>
      </c>
      <c r="DD583" s="79" t="str">
        <f t="shared" si="171"/>
        <v/>
      </c>
      <c r="DE583" s="79" t="str">
        <f t="shared" si="172"/>
        <v/>
      </c>
      <c r="DF583" s="79" t="str">
        <f t="shared" si="173"/>
        <v/>
      </c>
      <c r="DG583" s="79" t="str">
        <f t="shared" si="174"/>
        <v/>
      </c>
      <c r="DH583" s="76"/>
      <c r="DI583" s="78"/>
      <c r="DJ583" s="76"/>
      <c r="DK583" s="77"/>
      <c r="DL583" s="77"/>
      <c r="DM583" s="77"/>
      <c r="DN583" s="80"/>
      <c r="DO583" s="80"/>
      <c r="DP583" s="92" t="str">
        <f>IF(Table1[Start Date]="","",IF(Table1[Start Date]&gt;42185,"",IF(AND(Table1[Leaving Date]&gt;1,Table1[Leaving Date]&lt;42095),"",1)))</f>
        <v/>
      </c>
      <c r="DQ583" s="92" t="str">
        <f>IF(Table1[Start Date]="","",IF(Table1[Start Date]&gt;42277,"",IF(AND(Table1[Leaving Date]&gt;1,Table1[Leaving Date]&lt;42186),"",1)))</f>
        <v/>
      </c>
      <c r="DR583" s="92" t="str">
        <f>IF(Table1[Start Date]="","",IF(Table1[Start Date]&gt;42369,"",IF(AND(Table1[Leaving Date]&gt;1,Table1[Leaving Date]&lt;42278),"",1)))</f>
        <v/>
      </c>
      <c r="DS583" s="92" t="str">
        <f>IF(Table1[Start Date]="","",IF(Table1[Start Date]&gt;42460,"",IF(AND(Table1[Leaving Date]&gt;1,Table1[Leaving Date]&lt;42370),"",1)))</f>
        <v/>
      </c>
      <c r="DT583" s="92" t="str">
        <f>IF(Table1[Start Date]="","",IF(Table1[Start Date]&gt;42551,"",IF(AND(Table1[Leaving Date]&gt;1,Table1[Leaving Date]&lt;42461),"",1)))</f>
        <v/>
      </c>
      <c r="DU583" s="92" t="str">
        <f>IF(Table1[Start Date]="","",IF(Table1[Start Date]&gt;42643,"",IF(AND(Table1[Leaving Date]&gt;1,Table1[Leaving Date]&lt;42552),"",1)))</f>
        <v/>
      </c>
      <c r="DV583" s="92" t="str">
        <f>IF(Table1[Start Date]="","",IF(Table1[Start Date]&gt;42735,"",IF(AND(Table1[Leaving Date]&gt;1,Table1[Leaving Date]&lt;42644),"",1)))</f>
        <v/>
      </c>
      <c r="DW583" s="92" t="str">
        <f>IF(Table1[Start Date]="","",IF(Table1[Start Date]&gt;42825,"",IF(AND(Table1[Leaving Date]&gt;1,Table1[Leaving Date]&lt;42736),"",1)))</f>
        <v/>
      </c>
      <c r="DX583"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583" s="44" t="e">
        <f>VLOOKUP(Table1[Referral Source],Lists!$G$2:$H$20,2,FALSE)</f>
        <v>#N/A</v>
      </c>
      <c r="DZ583" s="93" t="e">
        <f>SUM(Table1[Data Referral Quarter]+Table1[Data Referral Source])</f>
        <v>#N/A</v>
      </c>
      <c r="EA583" s="44" t="b">
        <f>IF(Table1[Referral Decision]="Accepted",100,IF(Table1[Referral Decision]="Rejected by Provider",200,IF(Table1[Referral Decision]="Rejected by Applicant",300)))</f>
        <v>0</v>
      </c>
      <c r="EB583" s="44">
        <f>SUM(Table1[Data Referral Quarter]+Table1[Data Referral Decision])</f>
        <v>0</v>
      </c>
      <c r="EC583" s="44" t="b">
        <f>IF(Table1[Start Date]&gt;42735,8000,IF(Table1[Start Date]&gt;42643,7000,IF(Table1[Start Date]&gt;42551,6000,IF(Table1[Start Date]&gt;42460,5000,IF(Table1[Start Date]&gt;42369,4000,IF(Table1[Start Date]&gt;42277,3000,IF(Table1[Start Date]&gt;42185,2000,IF(Table1[Start Date]&gt;42094,1000))))))))</f>
        <v>0</v>
      </c>
      <c r="ED583" s="44" t="str">
        <f>IF(Table1[Start Date]="","",IF(Table1[Current Local Authority]="Swindon",1,"2"))</f>
        <v/>
      </c>
      <c r="EE583" s="44" t="e">
        <f>SUM(Table1[Data Start Date]+Table1[Data Local Authority])</f>
        <v>#VALUE!</v>
      </c>
      <c r="EF583" s="44">
        <f>IF(Table1[Registered with GP]="Yes",1,0)</f>
        <v>0</v>
      </c>
      <c r="EG583" s="44">
        <f>SUM(Table1[Data Start Date]+Table1[Data GP Start])</f>
        <v>0</v>
      </c>
      <c r="EH583" s="44" t="str">
        <f>IF(Table1[EET]="NEET",1,IF(Table1[EET]="Education",2,IF(Table1[EET]="Employment",2,IF(Table1[EET]="Training",2,IF(Table1[EET]="Retired",3,"")))))</f>
        <v/>
      </c>
      <c r="EI583" s="44" t="e">
        <f>Table1[Data Start Date]+Table1[Data EET Start]</f>
        <v>#VALUE!</v>
      </c>
      <c r="EJ583" s="44" t="b">
        <f>IF(Table1[Leaving Date]&gt;42735,8000,IF(Table1[Leaving Date]&gt;42643,7000,IF(Table1[Leaving Date]&gt;42551,6000,IF(Table1[Leaving Date]&gt;42460,5000,IF(Table1[Leaving Date]&gt;42369,4000,IF(Table1[Leaving Date]&gt;42277,3000,IF(Table1[Leaving Date]&gt;42185,2000,IF(Table1[Leaving Date]&gt;42094,1000))))))))</f>
        <v>0</v>
      </c>
      <c r="EK583" s="44" t="e">
        <f>VLOOKUP(Table1[Reason for Leaving],Lists!$T$2:$U$15,2,FALSE)</f>
        <v>#N/A</v>
      </c>
      <c r="EL583" s="44" t="e">
        <f>SUM(Table1[Data Leavers Date]+Table1[Data Move On])</f>
        <v>#N/A</v>
      </c>
      <c r="EM583" s="44" t="b">
        <f>IF(Table1[Registered with GP2]="Yes",1,IF(Table1[Registered with GP2]="No",0,IF(Table1[Registered with GP]="Yes",1,IF(Table1[Registered with GP]="No",0))))</f>
        <v>0</v>
      </c>
      <c r="EN583" s="44">
        <f>SUM(Table1[Data Leavers Date]+Table1[Data GP End])</f>
        <v>0</v>
      </c>
      <c r="EO583" s="44" t="str">
        <f>IF(Table1[EET2]="NEET",1,IF(Table1[EET2]="Employment",2,IF(Table1[EET2]="Education",2,IF(Table1[EET2]="Training",2,IF(Table1[EET2]="Retired",3,IF(Table1[EET]="NEET",1,IF(Table1[EET]="Employment",2,IF(Table1[EET]="Education",2,IF(Table1[EET]="Training",2,IF(Table1[EET]="Retired",3,""))))))))))</f>
        <v/>
      </c>
      <c r="EP583" s="44" t="e">
        <f>+Table1[[#This Row],[Data Leavers Date]]+Table1[[#This Row],[Data EET End]]</f>
        <v>#VALUE!</v>
      </c>
      <c r="EQ583" s="44">
        <f>IF(Table1[Exit Form Received]="Yes",1,0)</f>
        <v>0</v>
      </c>
      <c r="ER583" s="44">
        <f>+Table1[[#This Row],[Data Leavers Date]]+Table1[[#This Row],[Data Exit Forms]]</f>
        <v>0</v>
      </c>
      <c r="ES583" s="44" t="str">
        <f>IF(Table1[Data Leavers Date]=1000,SUM(Table1[Leaving Date]-Table1[Start Date]),"")</f>
        <v/>
      </c>
      <c r="ET583" s="44" t="str">
        <f>IF(Table1[Data Leavers Date]=2000,SUM(Table1[Leaving Date]-Table1[Start Date]),"")</f>
        <v/>
      </c>
      <c r="EU583" s="44" t="str">
        <f>IF(Table1[Data Leavers Date]=3000,SUM(Table1[Leaving Date]-Table1[Start Date]),"")</f>
        <v/>
      </c>
      <c r="EV583" s="44" t="str">
        <f>IF(Table1[Data Leavers Date]=4000,SUM(Table1[Leaving Date]-Table1[Start Date]),"")</f>
        <v/>
      </c>
      <c r="EW583" s="44" t="str">
        <f>IF(Table1[Data Leavers Date]=5000,SUM(Table1[Leaving Date]-Table1[Start Date]),"")</f>
        <v/>
      </c>
      <c r="EX583" s="44" t="str">
        <f>IF(Table1[Data Leavers Date]=6000,SUM(Table1[Leaving Date]-Table1[Start Date]),"")</f>
        <v/>
      </c>
      <c r="EY583" s="44" t="str">
        <f>IF(Table1[Data Leavers Date]=7000,SUM(Table1[Leaving Date]-Table1[Start Date]),"")</f>
        <v/>
      </c>
      <c r="EZ583" s="44" t="str">
        <f>IF(Table1[Data Leavers Date]=8000,SUM(Table1[Leaving Date]-Table1[Start Date]),"")</f>
        <v/>
      </c>
      <c r="FA583" s="44" t="str">
        <f>IF(Table1[Date of Initial Assessment]="","",IF(AND(Table1[Start Date]&gt;42094,Table1[Start Date]&lt;42461),Table1[Motivation and Taking Responsibility],""))</f>
        <v/>
      </c>
      <c r="FB583" s="44" t="str">
        <f>IF(Table1[Date of Initial Assessment]="","",IF(AND(Table1[Start Date]&gt;42094,Table1[Start Date]&lt;42461),Table1[Self-Care and Living Skills],""))</f>
        <v/>
      </c>
      <c r="FC583" s="44" t="str">
        <f>IF(Table1[Date of Initial Assessment]="","",IF(AND(Table1[Start Date]&gt;42094,Table1[Start Date]&lt;42461),Table1[Managing Money and Personal Administration],""))</f>
        <v/>
      </c>
      <c r="FD583" s="44" t="str">
        <f>IF(Table1[Date of Initial Assessment]="","",IF(AND(Table1[Start Date]&gt;42094,Table1[Start Date]&lt;42461),Table1[Social Networks and Relationships],""))</f>
        <v/>
      </c>
      <c r="FE583" s="44" t="str">
        <f>IF(Table1[Date of Initial Assessment]="","",IF(AND(Table1[Start Date]&gt;42094,Table1[Start Date]&lt;42461),Table1[Drug and Alcohol Misuse],""))</f>
        <v/>
      </c>
      <c r="FF583" s="44" t="str">
        <f>IF(Table1[Date of Initial Assessment]="","",IF(AND(Table1[Start Date]&gt;42094,Table1[Start Date]&lt;42461),Table1[Physical Health],""))</f>
        <v/>
      </c>
      <c r="FG583" s="44" t="str">
        <f>IF(Table1[Date of Initial Assessment]="","",IF(AND(Table1[Start Date]&gt;42094,Table1[Start Date]&lt;42461),Table1[Emotional and Mental Health],""))</f>
        <v/>
      </c>
      <c r="FH583" s="44" t="str">
        <f>IF(Table1[Date of Initial Assessment]="","",IF(AND(Table1[Start Date]&gt;42094,Table1[Start Date]&lt;42461),Table1[Meaningful Use of Time],""))</f>
        <v/>
      </c>
      <c r="FI583" s="44" t="str">
        <f>IF(Table1[Date of Initial Assessment]="","",IF(AND(Table1[Start Date]&gt;42094,Table1[Start Date]&lt;42461),Table1[Managing Tenancy and Accommodation],""))</f>
        <v/>
      </c>
      <c r="FJ583" s="44" t="str">
        <f>IF(Table1[Date of Initial Assessment]="","",IF(AND(Table1[Start Date]&gt;42094,Table1[Start Date]&lt;42461),Table1[Offending],""))</f>
        <v/>
      </c>
      <c r="FK583" s="44" t="str">
        <f>IF(Table1[Leaving Date]="","",IF(Table1[Date of Initial Assessment]="","",IF(AND(Table1[Leaving Date]&gt;42094,Table1[Leaving Date]&lt;42461),IF(Table1[Date of Last Assessment]="",Table1[Motivation and Taking Responsibility],Table1[Motivation and Taking Responsibility2]),"")))</f>
        <v/>
      </c>
      <c r="FL583" s="44" t="str">
        <f>IF(Table1[Leaving Date]="","",IF(Table1[Date of Initial Assessment]="","",IF(AND(Table1[Leaving Date]&gt;42094,Table1[Leaving Date]&lt;42461),IF(Table1[Date of Last Assessment]="",Table1[Self-Care and Living Skills],Table1[Self-Care and Living Skills2]),"")))</f>
        <v/>
      </c>
      <c r="FM583" s="44" t="str">
        <f>IF(Table1[Leaving Date]="","",IF(Table1[Date of Initial Assessment]="","",IF(AND(Table1[Leaving Date]&gt;42094,Table1[Leaving Date]&lt;42461),IF(Table1[Date of Last Assessment]="",Table1[Managing Money and Personal Administration],Table1[Managing Money and Personal Administration2]),"")))</f>
        <v/>
      </c>
      <c r="FN583" s="44" t="str">
        <f>IF(Table1[Leaving Date]="","",IF(Table1[Date of Initial Assessment]="","",IF(AND(Table1[Leaving Date]&gt;42094,Table1[Leaving Date]&lt;42461),IF(Table1[Date of Last Assessment]="",Table1[Social Networks and Relationships],Table1[Social Networks and Relationships2]),"")))</f>
        <v/>
      </c>
      <c r="FO583" s="44" t="str">
        <f>IF(Table1[Leaving Date]="","",IF(Table1[Date of Initial Assessment]="","",IF(AND(Table1[Leaving Date]&gt;42094,Table1[Leaving Date]&lt;42461),IF(Table1[Date of Last Assessment]="",Table1[Drug and Alcohol Misuse],Table1[Drug and Alcohol Misuse2]),"")))</f>
        <v/>
      </c>
      <c r="FP583" s="44" t="str">
        <f>IF(Table1[Leaving Date]="","",IF(Table1[Date of Initial Assessment]="","",IF(AND(Table1[Leaving Date]&gt;42094,Table1[Leaving Date]&lt;42461),IF(Table1[Date of Last Assessment]="",Table1[Physical Health],Table1[Physical Health2]),"")))</f>
        <v/>
      </c>
      <c r="FQ583" s="44" t="str">
        <f>IF(Table1[Leaving Date]="","",IF(Table1[Date of Initial Assessment]="","",IF(AND(Table1[Leaving Date]&gt;42094,Table1[Leaving Date]&lt;42461),IF(Table1[Date of Last Assessment]="",Table1[Emotional and Mental Health],Table1[Emotional and Mental Health2]),"")))</f>
        <v/>
      </c>
      <c r="FR583" s="44" t="str">
        <f>IF(Table1[Leaving Date]="","",IF(Table1[Date of Initial Assessment]="","",IF(AND(Table1[Leaving Date]&gt;42094,Table1[Leaving Date]&lt;42461),IF(Table1[Date of Last Assessment]="",Table1[Meaningful Use of Time],Table1[Meaningful Use of Time2]),"")))</f>
        <v/>
      </c>
      <c r="FS583" s="44" t="str">
        <f>IF(Table1[Leaving Date]="","",IF(Table1[Date of Initial Assessment]="","",IF(AND(Table1[Leaving Date]&gt;42094,Table1[Leaving Date]&lt;42461),IF(Table1[Date of Last Assessment]="",Table1[Managing Tenancy and Accommodation],Table1[Managing Tenancy and Accommodation2]),"")))</f>
        <v/>
      </c>
      <c r="FT583" s="44" t="str">
        <f>IF(Table1[Leaving Date]="","",IF(Table1[Date of Initial Assessment]="","",IF(AND(Table1[Leaving Date]&gt;42094,Table1[Leaving Date]&lt;42461),IF(Table1[Date of Last Assessment]="",Table1[Offending],Table1[Offending2]),"")))</f>
        <v/>
      </c>
      <c r="FU583" s="44" t="str">
        <f>IF(Table1[Date of Initial Assessment]="","",IF(AND(Table1[Start Date]&gt;42460,Table1[Start Date]&lt;42826),Table1[Motivation and Taking Responsibility],""))</f>
        <v/>
      </c>
      <c r="FV583" s="44" t="str">
        <f>IF(Table1[Date of Initial Assessment]="","",IF(AND(Table1[Start Date]&gt;42460,Table1[Start Date]&lt;42826),Table1[Self-Care and Living Skills],""))</f>
        <v/>
      </c>
      <c r="FW583" s="44" t="str">
        <f>IF(Table1[Date of Initial Assessment]="","",IF(AND(Table1[Start Date]&gt;42460,Table1[Start Date]&lt;42826),Table1[Managing Money and Personal Administration],""))</f>
        <v/>
      </c>
      <c r="FX583" s="44" t="str">
        <f>IF(Table1[Date of Initial Assessment]="","",IF(AND(Table1[Start Date]&gt;42460,Table1[Start Date]&lt;42826),Table1[Social Networks and Relationships],""))</f>
        <v/>
      </c>
      <c r="FY583" s="44" t="str">
        <f>IF(Table1[Date of Initial Assessment]="","",IF(AND(Table1[Start Date]&gt;42460,Table1[Start Date]&lt;42826),Table1[Drug and Alcohol Misuse],""))</f>
        <v/>
      </c>
      <c r="FZ583" s="44" t="str">
        <f>IF(Table1[Date of Initial Assessment]="","",IF(AND(Table1[Start Date]&gt;42460,Table1[Start Date]&lt;42826),Table1[Physical Health],""))</f>
        <v/>
      </c>
      <c r="GA583" s="44" t="str">
        <f>IF(Table1[Date of Initial Assessment]="","",IF(AND(Table1[Start Date]&gt;42460,Table1[Start Date]&lt;42826),Table1[Emotional and Mental Health],""))</f>
        <v/>
      </c>
      <c r="GB583" s="44" t="str">
        <f>IF(Table1[Date of Initial Assessment]="","",IF(AND(Table1[Start Date]&gt;42460,Table1[Start Date]&lt;42826),Table1[Meaningful Use of Time],""))</f>
        <v/>
      </c>
      <c r="GC583" s="44" t="str">
        <f>IF(Table1[Date of Initial Assessment]="","",IF(AND(Table1[Start Date]&gt;42460,Table1[Start Date]&lt;42826),Table1[Managing Tenancy and Accommodation],""))</f>
        <v/>
      </c>
      <c r="GD583" s="44" t="str">
        <f>IF(Table1[Date of Initial Assessment]="","",IF(AND(Table1[Start Date]&gt;42460,Table1[Start Date]&lt;42826),Table1[Offending],""))</f>
        <v/>
      </c>
      <c r="GE583" s="44" t="str">
        <f>IF(Table1[Leaving Date]="","",IF(AND(Table1[Leaving Date]&gt;42460,Table1[Leaving Date]&lt;42826),IF(Table1[Date of Last Assessment]="",Table1[Motivation and Taking Responsibility],Table1[Motivation and Taking Responsibility2]),""))</f>
        <v/>
      </c>
      <c r="GF583" s="44" t="str">
        <f>IF(Table1[Leaving Date]="","",IF(AND(Table1[Leaving Date]&gt;42460,Table1[Leaving Date]&lt;42826),IF(Table1[Date of Last Assessment]="",Table1[Self-Care and Living Skills],Table1[Self-Care and Living Skills2]),""))</f>
        <v/>
      </c>
      <c r="GG583" s="44" t="str">
        <f>IF(Table1[Leaving Date]="","",IF(AND(Table1[Leaving Date]&gt;42460,Table1[Leaving Date]&lt;42826),IF(Table1[Date of Last Assessment]="",Table1[Managing Money and Personal Administration],Table1[Managing Money and Personal Administration2]),""))</f>
        <v/>
      </c>
      <c r="GH583" s="44" t="str">
        <f>IF(Table1[Leaving Date]="","",IF(AND(Table1[Leaving Date]&gt;42460,Table1[Leaving Date]&lt;42826),IF(Table1[Date of Last Assessment]="",Table1[Social Networks and Relationships],Table1[Social Networks and Relationships2]),""))</f>
        <v/>
      </c>
      <c r="GI583" s="44" t="str">
        <f>IF(Table1[Leaving Date]="","",IF(AND(Table1[Leaving Date]&gt;42460,Table1[Leaving Date]&lt;42826),IF(Table1[Date of Last Assessment]="",Table1[Drug and Alcohol Misuse],Table1[Drug and Alcohol Misuse2]),""))</f>
        <v/>
      </c>
      <c r="GJ583" s="44" t="str">
        <f>IF(Table1[Leaving Date]="","",IF(AND(Table1[Leaving Date]&gt;42460,Table1[Leaving Date]&lt;42826),IF(Table1[Date of Last Assessment]="",Table1[Physical Health],Table1[Physical Health2]),""))</f>
        <v/>
      </c>
      <c r="GK583" s="44" t="str">
        <f>IF(Table1[Leaving Date]="","",IF(AND(Table1[Leaving Date]&gt;42460,Table1[Leaving Date]&lt;42826),IF(Table1[Date of Last Assessment]="",Table1[Emotional and Mental Health],Table1[Emotional and Mental Health2]),""))</f>
        <v/>
      </c>
      <c r="GL583" s="44" t="str">
        <f>IF(Table1[Leaving Date]="","",IF(AND(Table1[Leaving Date]&gt;42460,Table1[Leaving Date]&lt;42826),IF(Table1[Date of Last Assessment]="",Table1[Meaningful Use of Time],Table1[Meaningful Use of Time2]),""))</f>
        <v/>
      </c>
      <c r="GM583" s="44" t="str">
        <f>IF(Table1[Leaving Date]="","",IF(AND(Table1[Leaving Date]&gt;42460,Table1[Leaving Date]&lt;42826),IF(Table1[Date of Last Assessment]="",Table1[Managing Tenancy and Accommodation],Table1[Managing Tenancy and Accommodation2]),""))</f>
        <v/>
      </c>
      <c r="GN583" s="44" t="str">
        <f>IF(Table1[Leaving Date]="","",IF(AND(Table1[Leaving Date]&gt;42460,Table1[Leaving Date]&lt;42826),IF(Table1[Date of Last Assessment]="",Table1[Offending],Table1[Offending2]),""))</f>
        <v/>
      </c>
    </row>
    <row r="584" spans="2:196" ht="20.100000000000001" customHeight="1" x14ac:dyDescent="0.2">
      <c r="B584" s="86">
        <f>+'Service Data'!$C$5:$C$5</f>
        <v>0</v>
      </c>
      <c r="C584" s="86"/>
      <c r="D584" s="86"/>
      <c r="E584" s="86"/>
      <c r="F584" s="86"/>
      <c r="G584" s="86"/>
      <c r="H584" s="6"/>
      <c r="I584" s="99" t="str">
        <f ca="1">IF(Table1[[#This Row],[Date of Birth]]="","",SUM(TODAY()-Table1[[#This Row],[Date of Birth]])/365)</f>
        <v/>
      </c>
      <c r="L584" s="86"/>
      <c r="M584" s="77"/>
      <c r="N584" s="86"/>
      <c r="O584" s="86"/>
      <c r="P584" s="91"/>
      <c r="Q584" s="86"/>
      <c r="R584" s="77"/>
      <c r="S584" s="77"/>
      <c r="T584" s="68"/>
      <c r="U584" s="68"/>
      <c r="V584" s="67"/>
      <c r="W584" s="67"/>
      <c r="X584" s="67"/>
      <c r="Y584" s="67"/>
      <c r="Z584" s="67"/>
      <c r="AA584" s="67"/>
      <c r="AB584" s="67"/>
      <c r="AC584" s="67"/>
      <c r="AD584" s="67"/>
      <c r="AE584" s="67"/>
      <c r="AF584" s="67"/>
      <c r="AG584" s="67"/>
      <c r="AH584" s="67"/>
      <c r="AI584" s="67"/>
      <c r="AJ584" s="67"/>
      <c r="AK584" s="67"/>
      <c r="AL584" s="67"/>
      <c r="AM584" s="67"/>
      <c r="AN584" s="77"/>
      <c r="AO584" s="76"/>
      <c r="AP584" s="77"/>
      <c r="AQ584" s="76"/>
      <c r="AR584" s="76"/>
      <c r="AS584" s="76"/>
      <c r="AT584" s="76"/>
      <c r="AU584" s="76"/>
      <c r="AV584" s="77"/>
      <c r="AW584" s="76"/>
      <c r="AX584" s="77"/>
      <c r="AY584" s="76"/>
      <c r="AZ584" s="76"/>
      <c r="BA584" s="76"/>
      <c r="BB584" s="76"/>
      <c r="BC584" s="76"/>
      <c r="BD584" s="77"/>
      <c r="BE584" s="76"/>
      <c r="BF584" s="77"/>
      <c r="BG584" s="76"/>
      <c r="BH584" s="76"/>
      <c r="BI584" s="76"/>
      <c r="BJ584" s="76"/>
      <c r="BK584" s="76"/>
      <c r="BL584" s="77"/>
      <c r="BM584" s="76"/>
      <c r="BN584" s="77"/>
      <c r="BO584" s="76"/>
      <c r="BP584" s="76"/>
      <c r="BQ584" s="76"/>
      <c r="BR584" s="76"/>
      <c r="BS584" s="76"/>
      <c r="BT584" s="77"/>
      <c r="BU584" s="76"/>
      <c r="BV584" s="77"/>
      <c r="BW584" s="76"/>
      <c r="BX584" s="76"/>
      <c r="BY584" s="76"/>
      <c r="BZ584" s="76"/>
      <c r="CA584" s="76"/>
      <c r="CB584" s="77"/>
      <c r="CC584" s="76"/>
      <c r="CD584" s="77"/>
      <c r="CE584" s="76"/>
      <c r="CF584" s="76"/>
      <c r="CG584" s="76"/>
      <c r="CH584" s="76"/>
      <c r="CI584" s="76"/>
      <c r="CJ584" s="77"/>
      <c r="CK584" s="76"/>
      <c r="CL584" s="77"/>
      <c r="CM584" s="76"/>
      <c r="CN584" s="76"/>
      <c r="CO584" s="76"/>
      <c r="CP584" s="76"/>
      <c r="CQ584" s="76"/>
      <c r="CR584" s="78" t="str">
        <f t="shared" si="159"/>
        <v/>
      </c>
      <c r="CS584" s="79" t="str">
        <f t="shared" si="160"/>
        <v/>
      </c>
      <c r="CT584" s="79" t="str">
        <f t="shared" si="161"/>
        <v/>
      </c>
      <c r="CU584" s="79" t="str">
        <f t="shared" si="162"/>
        <v/>
      </c>
      <c r="CV584" s="79" t="str">
        <f t="shared" si="163"/>
        <v/>
      </c>
      <c r="CW584" s="79" t="str">
        <f t="shared" si="164"/>
        <v/>
      </c>
      <c r="CX584" s="79" t="str">
        <f t="shared" si="165"/>
        <v/>
      </c>
      <c r="CY584" s="79" t="str">
        <f t="shared" si="166"/>
        <v/>
      </c>
      <c r="CZ584" s="79" t="str">
        <f t="shared" si="167"/>
        <v/>
      </c>
      <c r="DA584" s="79" t="str">
        <f t="shared" si="168"/>
        <v/>
      </c>
      <c r="DB584" s="79" t="str">
        <f t="shared" si="169"/>
        <v/>
      </c>
      <c r="DC584" s="79" t="str">
        <f t="shared" si="170"/>
        <v/>
      </c>
      <c r="DD584" s="79" t="str">
        <f t="shared" si="171"/>
        <v/>
      </c>
      <c r="DE584" s="79" t="str">
        <f t="shared" si="172"/>
        <v/>
      </c>
      <c r="DF584" s="79" t="str">
        <f t="shared" si="173"/>
        <v/>
      </c>
      <c r="DG584" s="79" t="str">
        <f t="shared" si="174"/>
        <v/>
      </c>
      <c r="DH584" s="76"/>
      <c r="DI584" s="78"/>
      <c r="DJ584" s="76"/>
      <c r="DK584" s="77"/>
      <c r="DL584" s="77"/>
      <c r="DM584" s="77"/>
      <c r="DN584" s="80"/>
      <c r="DO584" s="80"/>
      <c r="DP584" s="92" t="str">
        <f>IF(Table1[Start Date]="","",IF(Table1[Start Date]&gt;42185,"",IF(AND(Table1[Leaving Date]&gt;1,Table1[Leaving Date]&lt;42095),"",1)))</f>
        <v/>
      </c>
      <c r="DQ584" s="92" t="str">
        <f>IF(Table1[Start Date]="","",IF(Table1[Start Date]&gt;42277,"",IF(AND(Table1[Leaving Date]&gt;1,Table1[Leaving Date]&lt;42186),"",1)))</f>
        <v/>
      </c>
      <c r="DR584" s="92" t="str">
        <f>IF(Table1[Start Date]="","",IF(Table1[Start Date]&gt;42369,"",IF(AND(Table1[Leaving Date]&gt;1,Table1[Leaving Date]&lt;42278),"",1)))</f>
        <v/>
      </c>
      <c r="DS584" s="92" t="str">
        <f>IF(Table1[Start Date]="","",IF(Table1[Start Date]&gt;42460,"",IF(AND(Table1[Leaving Date]&gt;1,Table1[Leaving Date]&lt;42370),"",1)))</f>
        <v/>
      </c>
      <c r="DT584" s="92" t="str">
        <f>IF(Table1[Start Date]="","",IF(Table1[Start Date]&gt;42551,"",IF(AND(Table1[Leaving Date]&gt;1,Table1[Leaving Date]&lt;42461),"",1)))</f>
        <v/>
      </c>
      <c r="DU584" s="92" t="str">
        <f>IF(Table1[Start Date]="","",IF(Table1[Start Date]&gt;42643,"",IF(AND(Table1[Leaving Date]&gt;1,Table1[Leaving Date]&lt;42552),"",1)))</f>
        <v/>
      </c>
      <c r="DV584" s="92" t="str">
        <f>IF(Table1[Start Date]="","",IF(Table1[Start Date]&gt;42735,"",IF(AND(Table1[Leaving Date]&gt;1,Table1[Leaving Date]&lt;42644),"",1)))</f>
        <v/>
      </c>
      <c r="DW584" s="92" t="str">
        <f>IF(Table1[Start Date]="","",IF(Table1[Start Date]&gt;42825,"",IF(AND(Table1[Leaving Date]&gt;1,Table1[Leaving Date]&lt;42736),"",1)))</f>
        <v/>
      </c>
      <c r="DX584"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584" s="44" t="e">
        <f>VLOOKUP(Table1[Referral Source],Lists!$G$2:$H$20,2,FALSE)</f>
        <v>#N/A</v>
      </c>
      <c r="DZ584" s="93" t="e">
        <f>SUM(Table1[Data Referral Quarter]+Table1[Data Referral Source])</f>
        <v>#N/A</v>
      </c>
      <c r="EA584" s="44" t="b">
        <f>IF(Table1[Referral Decision]="Accepted",100,IF(Table1[Referral Decision]="Rejected by Provider",200,IF(Table1[Referral Decision]="Rejected by Applicant",300)))</f>
        <v>0</v>
      </c>
      <c r="EB584" s="44">
        <f>SUM(Table1[Data Referral Quarter]+Table1[Data Referral Decision])</f>
        <v>0</v>
      </c>
      <c r="EC584" s="44" t="b">
        <f>IF(Table1[Start Date]&gt;42735,8000,IF(Table1[Start Date]&gt;42643,7000,IF(Table1[Start Date]&gt;42551,6000,IF(Table1[Start Date]&gt;42460,5000,IF(Table1[Start Date]&gt;42369,4000,IF(Table1[Start Date]&gt;42277,3000,IF(Table1[Start Date]&gt;42185,2000,IF(Table1[Start Date]&gt;42094,1000))))))))</f>
        <v>0</v>
      </c>
      <c r="ED584" s="44" t="str">
        <f>IF(Table1[Start Date]="","",IF(Table1[Current Local Authority]="Swindon",1,"2"))</f>
        <v/>
      </c>
      <c r="EE584" s="44" t="e">
        <f>SUM(Table1[Data Start Date]+Table1[Data Local Authority])</f>
        <v>#VALUE!</v>
      </c>
      <c r="EF584" s="44">
        <f>IF(Table1[Registered with GP]="Yes",1,0)</f>
        <v>0</v>
      </c>
      <c r="EG584" s="44">
        <f>SUM(Table1[Data Start Date]+Table1[Data GP Start])</f>
        <v>0</v>
      </c>
      <c r="EH584" s="44" t="str">
        <f>IF(Table1[EET]="NEET",1,IF(Table1[EET]="Education",2,IF(Table1[EET]="Employment",2,IF(Table1[EET]="Training",2,IF(Table1[EET]="Retired",3,"")))))</f>
        <v/>
      </c>
      <c r="EI584" s="44" t="e">
        <f>Table1[Data Start Date]+Table1[Data EET Start]</f>
        <v>#VALUE!</v>
      </c>
      <c r="EJ584" s="44" t="b">
        <f>IF(Table1[Leaving Date]&gt;42735,8000,IF(Table1[Leaving Date]&gt;42643,7000,IF(Table1[Leaving Date]&gt;42551,6000,IF(Table1[Leaving Date]&gt;42460,5000,IF(Table1[Leaving Date]&gt;42369,4000,IF(Table1[Leaving Date]&gt;42277,3000,IF(Table1[Leaving Date]&gt;42185,2000,IF(Table1[Leaving Date]&gt;42094,1000))))))))</f>
        <v>0</v>
      </c>
      <c r="EK584" s="44" t="e">
        <f>VLOOKUP(Table1[Reason for Leaving],Lists!$T$2:$U$15,2,FALSE)</f>
        <v>#N/A</v>
      </c>
      <c r="EL584" s="44" t="e">
        <f>SUM(Table1[Data Leavers Date]+Table1[Data Move On])</f>
        <v>#N/A</v>
      </c>
      <c r="EM584" s="44" t="b">
        <f>IF(Table1[Registered with GP2]="Yes",1,IF(Table1[Registered with GP2]="No",0,IF(Table1[Registered with GP]="Yes",1,IF(Table1[Registered with GP]="No",0))))</f>
        <v>0</v>
      </c>
      <c r="EN584" s="44">
        <f>SUM(Table1[Data Leavers Date]+Table1[Data GP End])</f>
        <v>0</v>
      </c>
      <c r="EO584" s="44" t="str">
        <f>IF(Table1[EET2]="NEET",1,IF(Table1[EET2]="Employment",2,IF(Table1[EET2]="Education",2,IF(Table1[EET2]="Training",2,IF(Table1[EET2]="Retired",3,IF(Table1[EET]="NEET",1,IF(Table1[EET]="Employment",2,IF(Table1[EET]="Education",2,IF(Table1[EET]="Training",2,IF(Table1[EET]="Retired",3,""))))))))))</f>
        <v/>
      </c>
      <c r="EP584" s="44" t="e">
        <f>+Table1[[#This Row],[Data Leavers Date]]+Table1[[#This Row],[Data EET End]]</f>
        <v>#VALUE!</v>
      </c>
      <c r="EQ584" s="44">
        <f>IF(Table1[Exit Form Received]="Yes",1,0)</f>
        <v>0</v>
      </c>
      <c r="ER584" s="44">
        <f>+Table1[[#This Row],[Data Leavers Date]]+Table1[[#This Row],[Data Exit Forms]]</f>
        <v>0</v>
      </c>
      <c r="ES584" s="44" t="str">
        <f>IF(Table1[Data Leavers Date]=1000,SUM(Table1[Leaving Date]-Table1[Start Date]),"")</f>
        <v/>
      </c>
      <c r="ET584" s="44" t="str">
        <f>IF(Table1[Data Leavers Date]=2000,SUM(Table1[Leaving Date]-Table1[Start Date]),"")</f>
        <v/>
      </c>
      <c r="EU584" s="44" t="str">
        <f>IF(Table1[Data Leavers Date]=3000,SUM(Table1[Leaving Date]-Table1[Start Date]),"")</f>
        <v/>
      </c>
      <c r="EV584" s="44" t="str">
        <f>IF(Table1[Data Leavers Date]=4000,SUM(Table1[Leaving Date]-Table1[Start Date]),"")</f>
        <v/>
      </c>
      <c r="EW584" s="44" t="str">
        <f>IF(Table1[Data Leavers Date]=5000,SUM(Table1[Leaving Date]-Table1[Start Date]),"")</f>
        <v/>
      </c>
      <c r="EX584" s="44" t="str">
        <f>IF(Table1[Data Leavers Date]=6000,SUM(Table1[Leaving Date]-Table1[Start Date]),"")</f>
        <v/>
      </c>
      <c r="EY584" s="44" t="str">
        <f>IF(Table1[Data Leavers Date]=7000,SUM(Table1[Leaving Date]-Table1[Start Date]),"")</f>
        <v/>
      </c>
      <c r="EZ584" s="44" t="str">
        <f>IF(Table1[Data Leavers Date]=8000,SUM(Table1[Leaving Date]-Table1[Start Date]),"")</f>
        <v/>
      </c>
      <c r="FA584" s="44" t="str">
        <f>IF(Table1[Date of Initial Assessment]="","",IF(AND(Table1[Start Date]&gt;42094,Table1[Start Date]&lt;42461),Table1[Motivation and Taking Responsibility],""))</f>
        <v/>
      </c>
      <c r="FB584" s="44" t="str">
        <f>IF(Table1[Date of Initial Assessment]="","",IF(AND(Table1[Start Date]&gt;42094,Table1[Start Date]&lt;42461),Table1[Self-Care and Living Skills],""))</f>
        <v/>
      </c>
      <c r="FC584" s="44" t="str">
        <f>IF(Table1[Date of Initial Assessment]="","",IF(AND(Table1[Start Date]&gt;42094,Table1[Start Date]&lt;42461),Table1[Managing Money and Personal Administration],""))</f>
        <v/>
      </c>
      <c r="FD584" s="44" t="str">
        <f>IF(Table1[Date of Initial Assessment]="","",IF(AND(Table1[Start Date]&gt;42094,Table1[Start Date]&lt;42461),Table1[Social Networks and Relationships],""))</f>
        <v/>
      </c>
      <c r="FE584" s="44" t="str">
        <f>IF(Table1[Date of Initial Assessment]="","",IF(AND(Table1[Start Date]&gt;42094,Table1[Start Date]&lt;42461),Table1[Drug and Alcohol Misuse],""))</f>
        <v/>
      </c>
      <c r="FF584" s="44" t="str">
        <f>IF(Table1[Date of Initial Assessment]="","",IF(AND(Table1[Start Date]&gt;42094,Table1[Start Date]&lt;42461),Table1[Physical Health],""))</f>
        <v/>
      </c>
      <c r="FG584" s="44" t="str">
        <f>IF(Table1[Date of Initial Assessment]="","",IF(AND(Table1[Start Date]&gt;42094,Table1[Start Date]&lt;42461),Table1[Emotional and Mental Health],""))</f>
        <v/>
      </c>
      <c r="FH584" s="44" t="str">
        <f>IF(Table1[Date of Initial Assessment]="","",IF(AND(Table1[Start Date]&gt;42094,Table1[Start Date]&lt;42461),Table1[Meaningful Use of Time],""))</f>
        <v/>
      </c>
      <c r="FI584" s="44" t="str">
        <f>IF(Table1[Date of Initial Assessment]="","",IF(AND(Table1[Start Date]&gt;42094,Table1[Start Date]&lt;42461),Table1[Managing Tenancy and Accommodation],""))</f>
        <v/>
      </c>
      <c r="FJ584" s="44" t="str">
        <f>IF(Table1[Date of Initial Assessment]="","",IF(AND(Table1[Start Date]&gt;42094,Table1[Start Date]&lt;42461),Table1[Offending],""))</f>
        <v/>
      </c>
      <c r="FK584" s="44" t="str">
        <f>IF(Table1[Leaving Date]="","",IF(Table1[Date of Initial Assessment]="","",IF(AND(Table1[Leaving Date]&gt;42094,Table1[Leaving Date]&lt;42461),IF(Table1[Date of Last Assessment]="",Table1[Motivation and Taking Responsibility],Table1[Motivation and Taking Responsibility2]),"")))</f>
        <v/>
      </c>
      <c r="FL584" s="44" t="str">
        <f>IF(Table1[Leaving Date]="","",IF(Table1[Date of Initial Assessment]="","",IF(AND(Table1[Leaving Date]&gt;42094,Table1[Leaving Date]&lt;42461),IF(Table1[Date of Last Assessment]="",Table1[Self-Care and Living Skills],Table1[Self-Care and Living Skills2]),"")))</f>
        <v/>
      </c>
      <c r="FM584" s="44" t="str">
        <f>IF(Table1[Leaving Date]="","",IF(Table1[Date of Initial Assessment]="","",IF(AND(Table1[Leaving Date]&gt;42094,Table1[Leaving Date]&lt;42461),IF(Table1[Date of Last Assessment]="",Table1[Managing Money and Personal Administration],Table1[Managing Money and Personal Administration2]),"")))</f>
        <v/>
      </c>
      <c r="FN584" s="44" t="str">
        <f>IF(Table1[Leaving Date]="","",IF(Table1[Date of Initial Assessment]="","",IF(AND(Table1[Leaving Date]&gt;42094,Table1[Leaving Date]&lt;42461),IF(Table1[Date of Last Assessment]="",Table1[Social Networks and Relationships],Table1[Social Networks and Relationships2]),"")))</f>
        <v/>
      </c>
      <c r="FO584" s="44" t="str">
        <f>IF(Table1[Leaving Date]="","",IF(Table1[Date of Initial Assessment]="","",IF(AND(Table1[Leaving Date]&gt;42094,Table1[Leaving Date]&lt;42461),IF(Table1[Date of Last Assessment]="",Table1[Drug and Alcohol Misuse],Table1[Drug and Alcohol Misuse2]),"")))</f>
        <v/>
      </c>
      <c r="FP584" s="44" t="str">
        <f>IF(Table1[Leaving Date]="","",IF(Table1[Date of Initial Assessment]="","",IF(AND(Table1[Leaving Date]&gt;42094,Table1[Leaving Date]&lt;42461),IF(Table1[Date of Last Assessment]="",Table1[Physical Health],Table1[Physical Health2]),"")))</f>
        <v/>
      </c>
      <c r="FQ584" s="44" t="str">
        <f>IF(Table1[Leaving Date]="","",IF(Table1[Date of Initial Assessment]="","",IF(AND(Table1[Leaving Date]&gt;42094,Table1[Leaving Date]&lt;42461),IF(Table1[Date of Last Assessment]="",Table1[Emotional and Mental Health],Table1[Emotional and Mental Health2]),"")))</f>
        <v/>
      </c>
      <c r="FR584" s="44" t="str">
        <f>IF(Table1[Leaving Date]="","",IF(Table1[Date of Initial Assessment]="","",IF(AND(Table1[Leaving Date]&gt;42094,Table1[Leaving Date]&lt;42461),IF(Table1[Date of Last Assessment]="",Table1[Meaningful Use of Time],Table1[Meaningful Use of Time2]),"")))</f>
        <v/>
      </c>
      <c r="FS584" s="44" t="str">
        <f>IF(Table1[Leaving Date]="","",IF(Table1[Date of Initial Assessment]="","",IF(AND(Table1[Leaving Date]&gt;42094,Table1[Leaving Date]&lt;42461),IF(Table1[Date of Last Assessment]="",Table1[Managing Tenancy and Accommodation],Table1[Managing Tenancy and Accommodation2]),"")))</f>
        <v/>
      </c>
      <c r="FT584" s="44" t="str">
        <f>IF(Table1[Leaving Date]="","",IF(Table1[Date of Initial Assessment]="","",IF(AND(Table1[Leaving Date]&gt;42094,Table1[Leaving Date]&lt;42461),IF(Table1[Date of Last Assessment]="",Table1[Offending],Table1[Offending2]),"")))</f>
        <v/>
      </c>
      <c r="FU584" s="44" t="str">
        <f>IF(Table1[Date of Initial Assessment]="","",IF(AND(Table1[Start Date]&gt;42460,Table1[Start Date]&lt;42826),Table1[Motivation and Taking Responsibility],""))</f>
        <v/>
      </c>
      <c r="FV584" s="44" t="str">
        <f>IF(Table1[Date of Initial Assessment]="","",IF(AND(Table1[Start Date]&gt;42460,Table1[Start Date]&lt;42826),Table1[Self-Care and Living Skills],""))</f>
        <v/>
      </c>
      <c r="FW584" s="44" t="str">
        <f>IF(Table1[Date of Initial Assessment]="","",IF(AND(Table1[Start Date]&gt;42460,Table1[Start Date]&lt;42826),Table1[Managing Money and Personal Administration],""))</f>
        <v/>
      </c>
      <c r="FX584" s="44" t="str">
        <f>IF(Table1[Date of Initial Assessment]="","",IF(AND(Table1[Start Date]&gt;42460,Table1[Start Date]&lt;42826),Table1[Social Networks and Relationships],""))</f>
        <v/>
      </c>
      <c r="FY584" s="44" t="str">
        <f>IF(Table1[Date of Initial Assessment]="","",IF(AND(Table1[Start Date]&gt;42460,Table1[Start Date]&lt;42826),Table1[Drug and Alcohol Misuse],""))</f>
        <v/>
      </c>
      <c r="FZ584" s="44" t="str">
        <f>IF(Table1[Date of Initial Assessment]="","",IF(AND(Table1[Start Date]&gt;42460,Table1[Start Date]&lt;42826),Table1[Physical Health],""))</f>
        <v/>
      </c>
      <c r="GA584" s="44" t="str">
        <f>IF(Table1[Date of Initial Assessment]="","",IF(AND(Table1[Start Date]&gt;42460,Table1[Start Date]&lt;42826),Table1[Emotional and Mental Health],""))</f>
        <v/>
      </c>
      <c r="GB584" s="44" t="str">
        <f>IF(Table1[Date of Initial Assessment]="","",IF(AND(Table1[Start Date]&gt;42460,Table1[Start Date]&lt;42826),Table1[Meaningful Use of Time],""))</f>
        <v/>
      </c>
      <c r="GC584" s="44" t="str">
        <f>IF(Table1[Date of Initial Assessment]="","",IF(AND(Table1[Start Date]&gt;42460,Table1[Start Date]&lt;42826),Table1[Managing Tenancy and Accommodation],""))</f>
        <v/>
      </c>
      <c r="GD584" s="44" t="str">
        <f>IF(Table1[Date of Initial Assessment]="","",IF(AND(Table1[Start Date]&gt;42460,Table1[Start Date]&lt;42826),Table1[Offending],""))</f>
        <v/>
      </c>
      <c r="GE584" s="44" t="str">
        <f>IF(Table1[Leaving Date]="","",IF(AND(Table1[Leaving Date]&gt;42460,Table1[Leaving Date]&lt;42826),IF(Table1[Date of Last Assessment]="",Table1[Motivation and Taking Responsibility],Table1[Motivation and Taking Responsibility2]),""))</f>
        <v/>
      </c>
      <c r="GF584" s="44" t="str">
        <f>IF(Table1[Leaving Date]="","",IF(AND(Table1[Leaving Date]&gt;42460,Table1[Leaving Date]&lt;42826),IF(Table1[Date of Last Assessment]="",Table1[Self-Care and Living Skills],Table1[Self-Care and Living Skills2]),""))</f>
        <v/>
      </c>
      <c r="GG584" s="44" t="str">
        <f>IF(Table1[Leaving Date]="","",IF(AND(Table1[Leaving Date]&gt;42460,Table1[Leaving Date]&lt;42826),IF(Table1[Date of Last Assessment]="",Table1[Managing Money and Personal Administration],Table1[Managing Money and Personal Administration2]),""))</f>
        <v/>
      </c>
      <c r="GH584" s="44" t="str">
        <f>IF(Table1[Leaving Date]="","",IF(AND(Table1[Leaving Date]&gt;42460,Table1[Leaving Date]&lt;42826),IF(Table1[Date of Last Assessment]="",Table1[Social Networks and Relationships],Table1[Social Networks and Relationships2]),""))</f>
        <v/>
      </c>
      <c r="GI584" s="44" t="str">
        <f>IF(Table1[Leaving Date]="","",IF(AND(Table1[Leaving Date]&gt;42460,Table1[Leaving Date]&lt;42826),IF(Table1[Date of Last Assessment]="",Table1[Drug and Alcohol Misuse],Table1[Drug and Alcohol Misuse2]),""))</f>
        <v/>
      </c>
      <c r="GJ584" s="44" t="str">
        <f>IF(Table1[Leaving Date]="","",IF(AND(Table1[Leaving Date]&gt;42460,Table1[Leaving Date]&lt;42826),IF(Table1[Date of Last Assessment]="",Table1[Physical Health],Table1[Physical Health2]),""))</f>
        <v/>
      </c>
      <c r="GK584" s="44" t="str">
        <f>IF(Table1[Leaving Date]="","",IF(AND(Table1[Leaving Date]&gt;42460,Table1[Leaving Date]&lt;42826),IF(Table1[Date of Last Assessment]="",Table1[Emotional and Mental Health],Table1[Emotional and Mental Health2]),""))</f>
        <v/>
      </c>
      <c r="GL584" s="44" t="str">
        <f>IF(Table1[Leaving Date]="","",IF(AND(Table1[Leaving Date]&gt;42460,Table1[Leaving Date]&lt;42826),IF(Table1[Date of Last Assessment]="",Table1[Meaningful Use of Time],Table1[Meaningful Use of Time2]),""))</f>
        <v/>
      </c>
      <c r="GM584" s="44" t="str">
        <f>IF(Table1[Leaving Date]="","",IF(AND(Table1[Leaving Date]&gt;42460,Table1[Leaving Date]&lt;42826),IF(Table1[Date of Last Assessment]="",Table1[Managing Tenancy and Accommodation],Table1[Managing Tenancy and Accommodation2]),""))</f>
        <v/>
      </c>
      <c r="GN584" s="44" t="str">
        <f>IF(Table1[Leaving Date]="","",IF(AND(Table1[Leaving Date]&gt;42460,Table1[Leaving Date]&lt;42826),IF(Table1[Date of Last Assessment]="",Table1[Offending],Table1[Offending2]),""))</f>
        <v/>
      </c>
    </row>
    <row r="585" spans="2:196" ht="20.100000000000001" customHeight="1" x14ac:dyDescent="0.2">
      <c r="B585" s="86">
        <f>+'Service Data'!$C$5:$C$5</f>
        <v>0</v>
      </c>
      <c r="C585" s="86"/>
      <c r="D585" s="86"/>
      <c r="E585" s="86"/>
      <c r="F585" s="86"/>
      <c r="G585" s="86"/>
      <c r="H585" s="6"/>
      <c r="I585" s="99" t="str">
        <f ca="1">IF(Table1[[#This Row],[Date of Birth]]="","",SUM(TODAY()-Table1[[#This Row],[Date of Birth]])/365)</f>
        <v/>
      </c>
      <c r="L585" s="86"/>
      <c r="M585" s="77"/>
      <c r="N585" s="86"/>
      <c r="O585" s="86"/>
      <c r="P585" s="91"/>
      <c r="Q585" s="86"/>
      <c r="R585" s="77"/>
      <c r="S585" s="77"/>
      <c r="T585" s="68"/>
      <c r="U585" s="68"/>
      <c r="V585" s="67"/>
      <c r="W585" s="67"/>
      <c r="X585" s="67"/>
      <c r="Y585" s="67"/>
      <c r="Z585" s="67"/>
      <c r="AA585" s="67"/>
      <c r="AB585" s="67"/>
      <c r="AC585" s="67"/>
      <c r="AD585" s="67"/>
      <c r="AE585" s="67"/>
      <c r="AF585" s="67"/>
      <c r="AG585" s="67"/>
      <c r="AH585" s="67"/>
      <c r="AI585" s="67"/>
      <c r="AJ585" s="67"/>
      <c r="AK585" s="67"/>
      <c r="AL585" s="67"/>
      <c r="AM585" s="67"/>
      <c r="AN585" s="77"/>
      <c r="AO585" s="76"/>
      <c r="AP585" s="77"/>
      <c r="AQ585" s="76"/>
      <c r="AR585" s="76"/>
      <c r="AS585" s="76"/>
      <c r="AT585" s="76"/>
      <c r="AU585" s="76"/>
      <c r="AV585" s="77"/>
      <c r="AW585" s="76"/>
      <c r="AX585" s="77"/>
      <c r="AY585" s="76"/>
      <c r="AZ585" s="76"/>
      <c r="BA585" s="76"/>
      <c r="BB585" s="76"/>
      <c r="BC585" s="76"/>
      <c r="BD585" s="77"/>
      <c r="BE585" s="76"/>
      <c r="BF585" s="77"/>
      <c r="BG585" s="76"/>
      <c r="BH585" s="76"/>
      <c r="BI585" s="76"/>
      <c r="BJ585" s="76"/>
      <c r="BK585" s="76"/>
      <c r="BL585" s="77"/>
      <c r="BM585" s="76"/>
      <c r="BN585" s="77"/>
      <c r="BO585" s="76"/>
      <c r="BP585" s="76"/>
      <c r="BQ585" s="76"/>
      <c r="BR585" s="76"/>
      <c r="BS585" s="76"/>
      <c r="BT585" s="77"/>
      <c r="BU585" s="76"/>
      <c r="BV585" s="77"/>
      <c r="BW585" s="76"/>
      <c r="BX585" s="76"/>
      <c r="BY585" s="76"/>
      <c r="BZ585" s="76"/>
      <c r="CA585" s="76"/>
      <c r="CB585" s="77"/>
      <c r="CC585" s="76"/>
      <c r="CD585" s="77"/>
      <c r="CE585" s="76"/>
      <c r="CF585" s="76"/>
      <c r="CG585" s="76"/>
      <c r="CH585" s="76"/>
      <c r="CI585" s="76"/>
      <c r="CJ585" s="77"/>
      <c r="CK585" s="76"/>
      <c r="CL585" s="77"/>
      <c r="CM585" s="76"/>
      <c r="CN585" s="76"/>
      <c r="CO585" s="76"/>
      <c r="CP585" s="76"/>
      <c r="CQ585" s="76"/>
      <c r="CR585" s="78" t="str">
        <f t="shared" si="159"/>
        <v/>
      </c>
      <c r="CS585" s="79" t="str">
        <f t="shared" si="160"/>
        <v/>
      </c>
      <c r="CT585" s="79" t="str">
        <f t="shared" si="161"/>
        <v/>
      </c>
      <c r="CU585" s="79" t="str">
        <f t="shared" si="162"/>
        <v/>
      </c>
      <c r="CV585" s="79" t="str">
        <f t="shared" si="163"/>
        <v/>
      </c>
      <c r="CW585" s="79" t="str">
        <f t="shared" si="164"/>
        <v/>
      </c>
      <c r="CX585" s="79" t="str">
        <f t="shared" si="165"/>
        <v/>
      </c>
      <c r="CY585" s="79" t="str">
        <f t="shared" si="166"/>
        <v/>
      </c>
      <c r="CZ585" s="79" t="str">
        <f t="shared" si="167"/>
        <v/>
      </c>
      <c r="DA585" s="79" t="str">
        <f t="shared" si="168"/>
        <v/>
      </c>
      <c r="DB585" s="79" t="str">
        <f t="shared" si="169"/>
        <v/>
      </c>
      <c r="DC585" s="79" t="str">
        <f t="shared" si="170"/>
        <v/>
      </c>
      <c r="DD585" s="79" t="str">
        <f t="shared" si="171"/>
        <v/>
      </c>
      <c r="DE585" s="79" t="str">
        <f t="shared" si="172"/>
        <v/>
      </c>
      <c r="DF585" s="79" t="str">
        <f t="shared" si="173"/>
        <v/>
      </c>
      <c r="DG585" s="79" t="str">
        <f t="shared" si="174"/>
        <v/>
      </c>
      <c r="DH585" s="76"/>
      <c r="DI585" s="78"/>
      <c r="DJ585" s="76"/>
      <c r="DK585" s="77"/>
      <c r="DL585" s="77"/>
      <c r="DM585" s="77"/>
      <c r="DN585" s="80"/>
      <c r="DO585" s="80"/>
      <c r="DP585" s="92" t="str">
        <f>IF(Table1[Start Date]="","",IF(Table1[Start Date]&gt;42185,"",IF(AND(Table1[Leaving Date]&gt;1,Table1[Leaving Date]&lt;42095),"",1)))</f>
        <v/>
      </c>
      <c r="DQ585" s="92" t="str">
        <f>IF(Table1[Start Date]="","",IF(Table1[Start Date]&gt;42277,"",IF(AND(Table1[Leaving Date]&gt;1,Table1[Leaving Date]&lt;42186),"",1)))</f>
        <v/>
      </c>
      <c r="DR585" s="92" t="str">
        <f>IF(Table1[Start Date]="","",IF(Table1[Start Date]&gt;42369,"",IF(AND(Table1[Leaving Date]&gt;1,Table1[Leaving Date]&lt;42278),"",1)))</f>
        <v/>
      </c>
      <c r="DS585" s="92" t="str">
        <f>IF(Table1[Start Date]="","",IF(Table1[Start Date]&gt;42460,"",IF(AND(Table1[Leaving Date]&gt;1,Table1[Leaving Date]&lt;42370),"",1)))</f>
        <v/>
      </c>
      <c r="DT585" s="92" t="str">
        <f>IF(Table1[Start Date]="","",IF(Table1[Start Date]&gt;42551,"",IF(AND(Table1[Leaving Date]&gt;1,Table1[Leaving Date]&lt;42461),"",1)))</f>
        <v/>
      </c>
      <c r="DU585" s="92" t="str">
        <f>IF(Table1[Start Date]="","",IF(Table1[Start Date]&gt;42643,"",IF(AND(Table1[Leaving Date]&gt;1,Table1[Leaving Date]&lt;42552),"",1)))</f>
        <v/>
      </c>
      <c r="DV585" s="92" t="str">
        <f>IF(Table1[Start Date]="","",IF(Table1[Start Date]&gt;42735,"",IF(AND(Table1[Leaving Date]&gt;1,Table1[Leaving Date]&lt;42644),"",1)))</f>
        <v/>
      </c>
      <c r="DW585" s="92" t="str">
        <f>IF(Table1[Start Date]="","",IF(Table1[Start Date]&gt;42825,"",IF(AND(Table1[Leaving Date]&gt;1,Table1[Leaving Date]&lt;42736),"",1)))</f>
        <v/>
      </c>
      <c r="DX585"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585" s="44" t="e">
        <f>VLOOKUP(Table1[Referral Source],Lists!$G$2:$H$20,2,FALSE)</f>
        <v>#N/A</v>
      </c>
      <c r="DZ585" s="93" t="e">
        <f>SUM(Table1[Data Referral Quarter]+Table1[Data Referral Source])</f>
        <v>#N/A</v>
      </c>
      <c r="EA585" s="44" t="b">
        <f>IF(Table1[Referral Decision]="Accepted",100,IF(Table1[Referral Decision]="Rejected by Provider",200,IF(Table1[Referral Decision]="Rejected by Applicant",300)))</f>
        <v>0</v>
      </c>
      <c r="EB585" s="44">
        <f>SUM(Table1[Data Referral Quarter]+Table1[Data Referral Decision])</f>
        <v>0</v>
      </c>
      <c r="EC585" s="44" t="b">
        <f>IF(Table1[Start Date]&gt;42735,8000,IF(Table1[Start Date]&gt;42643,7000,IF(Table1[Start Date]&gt;42551,6000,IF(Table1[Start Date]&gt;42460,5000,IF(Table1[Start Date]&gt;42369,4000,IF(Table1[Start Date]&gt;42277,3000,IF(Table1[Start Date]&gt;42185,2000,IF(Table1[Start Date]&gt;42094,1000))))))))</f>
        <v>0</v>
      </c>
      <c r="ED585" s="44" t="str">
        <f>IF(Table1[Start Date]="","",IF(Table1[Current Local Authority]="Swindon",1,"2"))</f>
        <v/>
      </c>
      <c r="EE585" s="44" t="e">
        <f>SUM(Table1[Data Start Date]+Table1[Data Local Authority])</f>
        <v>#VALUE!</v>
      </c>
      <c r="EF585" s="44">
        <f>IF(Table1[Registered with GP]="Yes",1,0)</f>
        <v>0</v>
      </c>
      <c r="EG585" s="44">
        <f>SUM(Table1[Data Start Date]+Table1[Data GP Start])</f>
        <v>0</v>
      </c>
      <c r="EH585" s="44" t="str">
        <f>IF(Table1[EET]="NEET",1,IF(Table1[EET]="Education",2,IF(Table1[EET]="Employment",2,IF(Table1[EET]="Training",2,IF(Table1[EET]="Retired",3,"")))))</f>
        <v/>
      </c>
      <c r="EI585" s="44" t="e">
        <f>Table1[Data Start Date]+Table1[Data EET Start]</f>
        <v>#VALUE!</v>
      </c>
      <c r="EJ585" s="44" t="b">
        <f>IF(Table1[Leaving Date]&gt;42735,8000,IF(Table1[Leaving Date]&gt;42643,7000,IF(Table1[Leaving Date]&gt;42551,6000,IF(Table1[Leaving Date]&gt;42460,5000,IF(Table1[Leaving Date]&gt;42369,4000,IF(Table1[Leaving Date]&gt;42277,3000,IF(Table1[Leaving Date]&gt;42185,2000,IF(Table1[Leaving Date]&gt;42094,1000))))))))</f>
        <v>0</v>
      </c>
      <c r="EK585" s="44" t="e">
        <f>VLOOKUP(Table1[Reason for Leaving],Lists!$T$2:$U$15,2,FALSE)</f>
        <v>#N/A</v>
      </c>
      <c r="EL585" s="44" t="e">
        <f>SUM(Table1[Data Leavers Date]+Table1[Data Move On])</f>
        <v>#N/A</v>
      </c>
      <c r="EM585" s="44" t="b">
        <f>IF(Table1[Registered with GP2]="Yes",1,IF(Table1[Registered with GP2]="No",0,IF(Table1[Registered with GP]="Yes",1,IF(Table1[Registered with GP]="No",0))))</f>
        <v>0</v>
      </c>
      <c r="EN585" s="44">
        <f>SUM(Table1[Data Leavers Date]+Table1[Data GP End])</f>
        <v>0</v>
      </c>
      <c r="EO585" s="44" t="str">
        <f>IF(Table1[EET2]="NEET",1,IF(Table1[EET2]="Employment",2,IF(Table1[EET2]="Education",2,IF(Table1[EET2]="Training",2,IF(Table1[EET2]="Retired",3,IF(Table1[EET]="NEET",1,IF(Table1[EET]="Employment",2,IF(Table1[EET]="Education",2,IF(Table1[EET]="Training",2,IF(Table1[EET]="Retired",3,""))))))))))</f>
        <v/>
      </c>
      <c r="EP585" s="44" t="e">
        <f>+Table1[[#This Row],[Data Leavers Date]]+Table1[[#This Row],[Data EET End]]</f>
        <v>#VALUE!</v>
      </c>
      <c r="EQ585" s="44">
        <f>IF(Table1[Exit Form Received]="Yes",1,0)</f>
        <v>0</v>
      </c>
      <c r="ER585" s="44">
        <f>+Table1[[#This Row],[Data Leavers Date]]+Table1[[#This Row],[Data Exit Forms]]</f>
        <v>0</v>
      </c>
      <c r="ES585" s="44" t="str">
        <f>IF(Table1[Data Leavers Date]=1000,SUM(Table1[Leaving Date]-Table1[Start Date]),"")</f>
        <v/>
      </c>
      <c r="ET585" s="44" t="str">
        <f>IF(Table1[Data Leavers Date]=2000,SUM(Table1[Leaving Date]-Table1[Start Date]),"")</f>
        <v/>
      </c>
      <c r="EU585" s="44" t="str">
        <f>IF(Table1[Data Leavers Date]=3000,SUM(Table1[Leaving Date]-Table1[Start Date]),"")</f>
        <v/>
      </c>
      <c r="EV585" s="44" t="str">
        <f>IF(Table1[Data Leavers Date]=4000,SUM(Table1[Leaving Date]-Table1[Start Date]),"")</f>
        <v/>
      </c>
      <c r="EW585" s="44" t="str">
        <f>IF(Table1[Data Leavers Date]=5000,SUM(Table1[Leaving Date]-Table1[Start Date]),"")</f>
        <v/>
      </c>
      <c r="EX585" s="44" t="str">
        <f>IF(Table1[Data Leavers Date]=6000,SUM(Table1[Leaving Date]-Table1[Start Date]),"")</f>
        <v/>
      </c>
      <c r="EY585" s="44" t="str">
        <f>IF(Table1[Data Leavers Date]=7000,SUM(Table1[Leaving Date]-Table1[Start Date]),"")</f>
        <v/>
      </c>
      <c r="EZ585" s="44" t="str">
        <f>IF(Table1[Data Leavers Date]=8000,SUM(Table1[Leaving Date]-Table1[Start Date]),"")</f>
        <v/>
      </c>
      <c r="FA585" s="44" t="str">
        <f>IF(Table1[Date of Initial Assessment]="","",IF(AND(Table1[Start Date]&gt;42094,Table1[Start Date]&lt;42461),Table1[Motivation and Taking Responsibility],""))</f>
        <v/>
      </c>
      <c r="FB585" s="44" t="str">
        <f>IF(Table1[Date of Initial Assessment]="","",IF(AND(Table1[Start Date]&gt;42094,Table1[Start Date]&lt;42461),Table1[Self-Care and Living Skills],""))</f>
        <v/>
      </c>
      <c r="FC585" s="44" t="str">
        <f>IF(Table1[Date of Initial Assessment]="","",IF(AND(Table1[Start Date]&gt;42094,Table1[Start Date]&lt;42461),Table1[Managing Money and Personal Administration],""))</f>
        <v/>
      </c>
      <c r="FD585" s="44" t="str">
        <f>IF(Table1[Date of Initial Assessment]="","",IF(AND(Table1[Start Date]&gt;42094,Table1[Start Date]&lt;42461),Table1[Social Networks and Relationships],""))</f>
        <v/>
      </c>
      <c r="FE585" s="44" t="str">
        <f>IF(Table1[Date of Initial Assessment]="","",IF(AND(Table1[Start Date]&gt;42094,Table1[Start Date]&lt;42461),Table1[Drug and Alcohol Misuse],""))</f>
        <v/>
      </c>
      <c r="FF585" s="44" t="str">
        <f>IF(Table1[Date of Initial Assessment]="","",IF(AND(Table1[Start Date]&gt;42094,Table1[Start Date]&lt;42461),Table1[Physical Health],""))</f>
        <v/>
      </c>
      <c r="FG585" s="44" t="str">
        <f>IF(Table1[Date of Initial Assessment]="","",IF(AND(Table1[Start Date]&gt;42094,Table1[Start Date]&lt;42461),Table1[Emotional and Mental Health],""))</f>
        <v/>
      </c>
      <c r="FH585" s="44" t="str">
        <f>IF(Table1[Date of Initial Assessment]="","",IF(AND(Table1[Start Date]&gt;42094,Table1[Start Date]&lt;42461),Table1[Meaningful Use of Time],""))</f>
        <v/>
      </c>
      <c r="FI585" s="44" t="str">
        <f>IF(Table1[Date of Initial Assessment]="","",IF(AND(Table1[Start Date]&gt;42094,Table1[Start Date]&lt;42461),Table1[Managing Tenancy and Accommodation],""))</f>
        <v/>
      </c>
      <c r="FJ585" s="44" t="str">
        <f>IF(Table1[Date of Initial Assessment]="","",IF(AND(Table1[Start Date]&gt;42094,Table1[Start Date]&lt;42461),Table1[Offending],""))</f>
        <v/>
      </c>
      <c r="FK585" s="44" t="str">
        <f>IF(Table1[Leaving Date]="","",IF(Table1[Date of Initial Assessment]="","",IF(AND(Table1[Leaving Date]&gt;42094,Table1[Leaving Date]&lt;42461),IF(Table1[Date of Last Assessment]="",Table1[Motivation and Taking Responsibility],Table1[Motivation and Taking Responsibility2]),"")))</f>
        <v/>
      </c>
      <c r="FL585" s="44" t="str">
        <f>IF(Table1[Leaving Date]="","",IF(Table1[Date of Initial Assessment]="","",IF(AND(Table1[Leaving Date]&gt;42094,Table1[Leaving Date]&lt;42461),IF(Table1[Date of Last Assessment]="",Table1[Self-Care and Living Skills],Table1[Self-Care and Living Skills2]),"")))</f>
        <v/>
      </c>
      <c r="FM585" s="44" t="str">
        <f>IF(Table1[Leaving Date]="","",IF(Table1[Date of Initial Assessment]="","",IF(AND(Table1[Leaving Date]&gt;42094,Table1[Leaving Date]&lt;42461),IF(Table1[Date of Last Assessment]="",Table1[Managing Money and Personal Administration],Table1[Managing Money and Personal Administration2]),"")))</f>
        <v/>
      </c>
      <c r="FN585" s="44" t="str">
        <f>IF(Table1[Leaving Date]="","",IF(Table1[Date of Initial Assessment]="","",IF(AND(Table1[Leaving Date]&gt;42094,Table1[Leaving Date]&lt;42461),IF(Table1[Date of Last Assessment]="",Table1[Social Networks and Relationships],Table1[Social Networks and Relationships2]),"")))</f>
        <v/>
      </c>
      <c r="FO585" s="44" t="str">
        <f>IF(Table1[Leaving Date]="","",IF(Table1[Date of Initial Assessment]="","",IF(AND(Table1[Leaving Date]&gt;42094,Table1[Leaving Date]&lt;42461),IF(Table1[Date of Last Assessment]="",Table1[Drug and Alcohol Misuse],Table1[Drug and Alcohol Misuse2]),"")))</f>
        <v/>
      </c>
      <c r="FP585" s="44" t="str">
        <f>IF(Table1[Leaving Date]="","",IF(Table1[Date of Initial Assessment]="","",IF(AND(Table1[Leaving Date]&gt;42094,Table1[Leaving Date]&lt;42461),IF(Table1[Date of Last Assessment]="",Table1[Physical Health],Table1[Physical Health2]),"")))</f>
        <v/>
      </c>
      <c r="FQ585" s="44" t="str">
        <f>IF(Table1[Leaving Date]="","",IF(Table1[Date of Initial Assessment]="","",IF(AND(Table1[Leaving Date]&gt;42094,Table1[Leaving Date]&lt;42461),IF(Table1[Date of Last Assessment]="",Table1[Emotional and Mental Health],Table1[Emotional and Mental Health2]),"")))</f>
        <v/>
      </c>
      <c r="FR585" s="44" t="str">
        <f>IF(Table1[Leaving Date]="","",IF(Table1[Date of Initial Assessment]="","",IF(AND(Table1[Leaving Date]&gt;42094,Table1[Leaving Date]&lt;42461),IF(Table1[Date of Last Assessment]="",Table1[Meaningful Use of Time],Table1[Meaningful Use of Time2]),"")))</f>
        <v/>
      </c>
      <c r="FS585" s="44" t="str">
        <f>IF(Table1[Leaving Date]="","",IF(Table1[Date of Initial Assessment]="","",IF(AND(Table1[Leaving Date]&gt;42094,Table1[Leaving Date]&lt;42461),IF(Table1[Date of Last Assessment]="",Table1[Managing Tenancy and Accommodation],Table1[Managing Tenancy and Accommodation2]),"")))</f>
        <v/>
      </c>
      <c r="FT585" s="44" t="str">
        <f>IF(Table1[Leaving Date]="","",IF(Table1[Date of Initial Assessment]="","",IF(AND(Table1[Leaving Date]&gt;42094,Table1[Leaving Date]&lt;42461),IF(Table1[Date of Last Assessment]="",Table1[Offending],Table1[Offending2]),"")))</f>
        <v/>
      </c>
      <c r="FU585" s="44" t="str">
        <f>IF(Table1[Date of Initial Assessment]="","",IF(AND(Table1[Start Date]&gt;42460,Table1[Start Date]&lt;42826),Table1[Motivation and Taking Responsibility],""))</f>
        <v/>
      </c>
      <c r="FV585" s="44" t="str">
        <f>IF(Table1[Date of Initial Assessment]="","",IF(AND(Table1[Start Date]&gt;42460,Table1[Start Date]&lt;42826),Table1[Self-Care and Living Skills],""))</f>
        <v/>
      </c>
      <c r="FW585" s="44" t="str">
        <f>IF(Table1[Date of Initial Assessment]="","",IF(AND(Table1[Start Date]&gt;42460,Table1[Start Date]&lt;42826),Table1[Managing Money and Personal Administration],""))</f>
        <v/>
      </c>
      <c r="FX585" s="44" t="str">
        <f>IF(Table1[Date of Initial Assessment]="","",IF(AND(Table1[Start Date]&gt;42460,Table1[Start Date]&lt;42826),Table1[Social Networks and Relationships],""))</f>
        <v/>
      </c>
      <c r="FY585" s="44" t="str">
        <f>IF(Table1[Date of Initial Assessment]="","",IF(AND(Table1[Start Date]&gt;42460,Table1[Start Date]&lt;42826),Table1[Drug and Alcohol Misuse],""))</f>
        <v/>
      </c>
      <c r="FZ585" s="44" t="str">
        <f>IF(Table1[Date of Initial Assessment]="","",IF(AND(Table1[Start Date]&gt;42460,Table1[Start Date]&lt;42826),Table1[Physical Health],""))</f>
        <v/>
      </c>
      <c r="GA585" s="44" t="str">
        <f>IF(Table1[Date of Initial Assessment]="","",IF(AND(Table1[Start Date]&gt;42460,Table1[Start Date]&lt;42826),Table1[Emotional and Mental Health],""))</f>
        <v/>
      </c>
      <c r="GB585" s="44" t="str">
        <f>IF(Table1[Date of Initial Assessment]="","",IF(AND(Table1[Start Date]&gt;42460,Table1[Start Date]&lt;42826),Table1[Meaningful Use of Time],""))</f>
        <v/>
      </c>
      <c r="GC585" s="44" t="str">
        <f>IF(Table1[Date of Initial Assessment]="","",IF(AND(Table1[Start Date]&gt;42460,Table1[Start Date]&lt;42826),Table1[Managing Tenancy and Accommodation],""))</f>
        <v/>
      </c>
      <c r="GD585" s="44" t="str">
        <f>IF(Table1[Date of Initial Assessment]="","",IF(AND(Table1[Start Date]&gt;42460,Table1[Start Date]&lt;42826),Table1[Offending],""))</f>
        <v/>
      </c>
      <c r="GE585" s="44" t="str">
        <f>IF(Table1[Leaving Date]="","",IF(AND(Table1[Leaving Date]&gt;42460,Table1[Leaving Date]&lt;42826),IF(Table1[Date of Last Assessment]="",Table1[Motivation and Taking Responsibility],Table1[Motivation and Taking Responsibility2]),""))</f>
        <v/>
      </c>
      <c r="GF585" s="44" t="str">
        <f>IF(Table1[Leaving Date]="","",IF(AND(Table1[Leaving Date]&gt;42460,Table1[Leaving Date]&lt;42826),IF(Table1[Date of Last Assessment]="",Table1[Self-Care and Living Skills],Table1[Self-Care and Living Skills2]),""))</f>
        <v/>
      </c>
      <c r="GG585" s="44" t="str">
        <f>IF(Table1[Leaving Date]="","",IF(AND(Table1[Leaving Date]&gt;42460,Table1[Leaving Date]&lt;42826),IF(Table1[Date of Last Assessment]="",Table1[Managing Money and Personal Administration],Table1[Managing Money and Personal Administration2]),""))</f>
        <v/>
      </c>
      <c r="GH585" s="44" t="str">
        <f>IF(Table1[Leaving Date]="","",IF(AND(Table1[Leaving Date]&gt;42460,Table1[Leaving Date]&lt;42826),IF(Table1[Date of Last Assessment]="",Table1[Social Networks and Relationships],Table1[Social Networks and Relationships2]),""))</f>
        <v/>
      </c>
      <c r="GI585" s="44" t="str">
        <f>IF(Table1[Leaving Date]="","",IF(AND(Table1[Leaving Date]&gt;42460,Table1[Leaving Date]&lt;42826),IF(Table1[Date of Last Assessment]="",Table1[Drug and Alcohol Misuse],Table1[Drug and Alcohol Misuse2]),""))</f>
        <v/>
      </c>
      <c r="GJ585" s="44" t="str">
        <f>IF(Table1[Leaving Date]="","",IF(AND(Table1[Leaving Date]&gt;42460,Table1[Leaving Date]&lt;42826),IF(Table1[Date of Last Assessment]="",Table1[Physical Health],Table1[Physical Health2]),""))</f>
        <v/>
      </c>
      <c r="GK585" s="44" t="str">
        <f>IF(Table1[Leaving Date]="","",IF(AND(Table1[Leaving Date]&gt;42460,Table1[Leaving Date]&lt;42826),IF(Table1[Date of Last Assessment]="",Table1[Emotional and Mental Health],Table1[Emotional and Mental Health2]),""))</f>
        <v/>
      </c>
      <c r="GL585" s="44" t="str">
        <f>IF(Table1[Leaving Date]="","",IF(AND(Table1[Leaving Date]&gt;42460,Table1[Leaving Date]&lt;42826),IF(Table1[Date of Last Assessment]="",Table1[Meaningful Use of Time],Table1[Meaningful Use of Time2]),""))</f>
        <v/>
      </c>
      <c r="GM585" s="44" t="str">
        <f>IF(Table1[Leaving Date]="","",IF(AND(Table1[Leaving Date]&gt;42460,Table1[Leaving Date]&lt;42826),IF(Table1[Date of Last Assessment]="",Table1[Managing Tenancy and Accommodation],Table1[Managing Tenancy and Accommodation2]),""))</f>
        <v/>
      </c>
      <c r="GN585" s="44" t="str">
        <f>IF(Table1[Leaving Date]="","",IF(AND(Table1[Leaving Date]&gt;42460,Table1[Leaving Date]&lt;42826),IF(Table1[Date of Last Assessment]="",Table1[Offending],Table1[Offending2]),""))</f>
        <v/>
      </c>
    </row>
    <row r="586" spans="2:196" ht="20.100000000000001" customHeight="1" x14ac:dyDescent="0.2">
      <c r="B586" s="86">
        <f>+'Service Data'!$C$5:$C$5</f>
        <v>0</v>
      </c>
      <c r="C586" s="86"/>
      <c r="D586" s="86"/>
      <c r="E586" s="86"/>
      <c r="F586" s="86"/>
      <c r="G586" s="86"/>
      <c r="H586" s="6"/>
      <c r="I586" s="99" t="str">
        <f ca="1">IF(Table1[[#This Row],[Date of Birth]]="","",SUM(TODAY()-Table1[[#This Row],[Date of Birth]])/365)</f>
        <v/>
      </c>
      <c r="L586" s="86"/>
      <c r="M586" s="77"/>
      <c r="N586" s="86"/>
      <c r="O586" s="86"/>
      <c r="P586" s="91"/>
      <c r="Q586" s="86"/>
      <c r="R586" s="77"/>
      <c r="S586" s="77"/>
      <c r="T586" s="68"/>
      <c r="U586" s="68"/>
      <c r="V586" s="67"/>
      <c r="W586" s="67"/>
      <c r="X586" s="67"/>
      <c r="Y586" s="67"/>
      <c r="Z586" s="67"/>
      <c r="AA586" s="67"/>
      <c r="AB586" s="67"/>
      <c r="AC586" s="67"/>
      <c r="AD586" s="67"/>
      <c r="AE586" s="67"/>
      <c r="AF586" s="67"/>
      <c r="AG586" s="67"/>
      <c r="AH586" s="67"/>
      <c r="AI586" s="67"/>
      <c r="AJ586" s="67"/>
      <c r="AK586" s="67"/>
      <c r="AL586" s="67"/>
      <c r="AM586" s="67"/>
      <c r="AN586" s="77"/>
      <c r="AO586" s="76"/>
      <c r="AP586" s="77"/>
      <c r="AQ586" s="76"/>
      <c r="AR586" s="76"/>
      <c r="AS586" s="76"/>
      <c r="AT586" s="76"/>
      <c r="AU586" s="76"/>
      <c r="AV586" s="77"/>
      <c r="AW586" s="76"/>
      <c r="AX586" s="77"/>
      <c r="AY586" s="76"/>
      <c r="AZ586" s="76"/>
      <c r="BA586" s="76"/>
      <c r="BB586" s="76"/>
      <c r="BC586" s="76"/>
      <c r="BD586" s="77"/>
      <c r="BE586" s="76"/>
      <c r="BF586" s="77"/>
      <c r="BG586" s="76"/>
      <c r="BH586" s="76"/>
      <c r="BI586" s="76"/>
      <c r="BJ586" s="76"/>
      <c r="BK586" s="76"/>
      <c r="BL586" s="77"/>
      <c r="BM586" s="76"/>
      <c r="BN586" s="77"/>
      <c r="BO586" s="76"/>
      <c r="BP586" s="76"/>
      <c r="BQ586" s="76"/>
      <c r="BR586" s="76"/>
      <c r="BS586" s="76"/>
      <c r="BT586" s="77"/>
      <c r="BU586" s="76"/>
      <c r="BV586" s="77"/>
      <c r="BW586" s="76"/>
      <c r="BX586" s="76"/>
      <c r="BY586" s="76"/>
      <c r="BZ586" s="76"/>
      <c r="CA586" s="76"/>
      <c r="CB586" s="77"/>
      <c r="CC586" s="76"/>
      <c r="CD586" s="77"/>
      <c r="CE586" s="76"/>
      <c r="CF586" s="76"/>
      <c r="CG586" s="76"/>
      <c r="CH586" s="76"/>
      <c r="CI586" s="76"/>
      <c r="CJ586" s="77"/>
      <c r="CK586" s="76"/>
      <c r="CL586" s="77"/>
      <c r="CM586" s="76"/>
      <c r="CN586" s="76"/>
      <c r="CO586" s="76"/>
      <c r="CP586" s="76"/>
      <c r="CQ586" s="76"/>
      <c r="CR586" s="78" t="str">
        <f t="shared" si="159"/>
        <v/>
      </c>
      <c r="CS586" s="79" t="str">
        <f t="shared" si="160"/>
        <v/>
      </c>
      <c r="CT586" s="79" t="str">
        <f t="shared" si="161"/>
        <v/>
      </c>
      <c r="CU586" s="79" t="str">
        <f t="shared" si="162"/>
        <v/>
      </c>
      <c r="CV586" s="79" t="str">
        <f t="shared" si="163"/>
        <v/>
      </c>
      <c r="CW586" s="79" t="str">
        <f t="shared" si="164"/>
        <v/>
      </c>
      <c r="CX586" s="79" t="str">
        <f t="shared" si="165"/>
        <v/>
      </c>
      <c r="CY586" s="79" t="str">
        <f t="shared" si="166"/>
        <v/>
      </c>
      <c r="CZ586" s="79" t="str">
        <f t="shared" si="167"/>
        <v/>
      </c>
      <c r="DA586" s="79" t="str">
        <f t="shared" si="168"/>
        <v/>
      </c>
      <c r="DB586" s="79" t="str">
        <f t="shared" si="169"/>
        <v/>
      </c>
      <c r="DC586" s="79" t="str">
        <f t="shared" si="170"/>
        <v/>
      </c>
      <c r="DD586" s="79" t="str">
        <f t="shared" si="171"/>
        <v/>
      </c>
      <c r="DE586" s="79" t="str">
        <f t="shared" si="172"/>
        <v/>
      </c>
      <c r="DF586" s="79" t="str">
        <f t="shared" si="173"/>
        <v/>
      </c>
      <c r="DG586" s="79" t="str">
        <f t="shared" si="174"/>
        <v/>
      </c>
      <c r="DH586" s="76"/>
      <c r="DI586" s="78"/>
      <c r="DJ586" s="76"/>
      <c r="DK586" s="77"/>
      <c r="DL586" s="77"/>
      <c r="DM586" s="77"/>
      <c r="DN586" s="80"/>
      <c r="DO586" s="80"/>
      <c r="DP586" s="92" t="str">
        <f>IF(Table1[Start Date]="","",IF(Table1[Start Date]&gt;42185,"",IF(AND(Table1[Leaving Date]&gt;1,Table1[Leaving Date]&lt;42095),"",1)))</f>
        <v/>
      </c>
      <c r="DQ586" s="92" t="str">
        <f>IF(Table1[Start Date]="","",IF(Table1[Start Date]&gt;42277,"",IF(AND(Table1[Leaving Date]&gt;1,Table1[Leaving Date]&lt;42186),"",1)))</f>
        <v/>
      </c>
      <c r="DR586" s="92" t="str">
        <f>IF(Table1[Start Date]="","",IF(Table1[Start Date]&gt;42369,"",IF(AND(Table1[Leaving Date]&gt;1,Table1[Leaving Date]&lt;42278),"",1)))</f>
        <v/>
      </c>
      <c r="DS586" s="92" t="str">
        <f>IF(Table1[Start Date]="","",IF(Table1[Start Date]&gt;42460,"",IF(AND(Table1[Leaving Date]&gt;1,Table1[Leaving Date]&lt;42370),"",1)))</f>
        <v/>
      </c>
      <c r="DT586" s="92" t="str">
        <f>IF(Table1[Start Date]="","",IF(Table1[Start Date]&gt;42551,"",IF(AND(Table1[Leaving Date]&gt;1,Table1[Leaving Date]&lt;42461),"",1)))</f>
        <v/>
      </c>
      <c r="DU586" s="92" t="str">
        <f>IF(Table1[Start Date]="","",IF(Table1[Start Date]&gt;42643,"",IF(AND(Table1[Leaving Date]&gt;1,Table1[Leaving Date]&lt;42552),"",1)))</f>
        <v/>
      </c>
      <c r="DV586" s="92" t="str">
        <f>IF(Table1[Start Date]="","",IF(Table1[Start Date]&gt;42735,"",IF(AND(Table1[Leaving Date]&gt;1,Table1[Leaving Date]&lt;42644),"",1)))</f>
        <v/>
      </c>
      <c r="DW586" s="92" t="str">
        <f>IF(Table1[Start Date]="","",IF(Table1[Start Date]&gt;42825,"",IF(AND(Table1[Leaving Date]&gt;1,Table1[Leaving Date]&lt;42736),"",1)))</f>
        <v/>
      </c>
      <c r="DX586"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586" s="44" t="e">
        <f>VLOOKUP(Table1[Referral Source],Lists!$G$2:$H$20,2,FALSE)</f>
        <v>#N/A</v>
      </c>
      <c r="DZ586" s="93" t="e">
        <f>SUM(Table1[Data Referral Quarter]+Table1[Data Referral Source])</f>
        <v>#N/A</v>
      </c>
      <c r="EA586" s="44" t="b">
        <f>IF(Table1[Referral Decision]="Accepted",100,IF(Table1[Referral Decision]="Rejected by Provider",200,IF(Table1[Referral Decision]="Rejected by Applicant",300)))</f>
        <v>0</v>
      </c>
      <c r="EB586" s="44">
        <f>SUM(Table1[Data Referral Quarter]+Table1[Data Referral Decision])</f>
        <v>0</v>
      </c>
      <c r="EC586" s="44" t="b">
        <f>IF(Table1[Start Date]&gt;42735,8000,IF(Table1[Start Date]&gt;42643,7000,IF(Table1[Start Date]&gt;42551,6000,IF(Table1[Start Date]&gt;42460,5000,IF(Table1[Start Date]&gt;42369,4000,IF(Table1[Start Date]&gt;42277,3000,IF(Table1[Start Date]&gt;42185,2000,IF(Table1[Start Date]&gt;42094,1000))))))))</f>
        <v>0</v>
      </c>
      <c r="ED586" s="44" t="str">
        <f>IF(Table1[Start Date]="","",IF(Table1[Current Local Authority]="Swindon",1,"2"))</f>
        <v/>
      </c>
      <c r="EE586" s="44" t="e">
        <f>SUM(Table1[Data Start Date]+Table1[Data Local Authority])</f>
        <v>#VALUE!</v>
      </c>
      <c r="EF586" s="44">
        <f>IF(Table1[Registered with GP]="Yes",1,0)</f>
        <v>0</v>
      </c>
      <c r="EG586" s="44">
        <f>SUM(Table1[Data Start Date]+Table1[Data GP Start])</f>
        <v>0</v>
      </c>
      <c r="EH586" s="44" t="str">
        <f>IF(Table1[EET]="NEET",1,IF(Table1[EET]="Education",2,IF(Table1[EET]="Employment",2,IF(Table1[EET]="Training",2,IF(Table1[EET]="Retired",3,"")))))</f>
        <v/>
      </c>
      <c r="EI586" s="44" t="e">
        <f>Table1[Data Start Date]+Table1[Data EET Start]</f>
        <v>#VALUE!</v>
      </c>
      <c r="EJ586" s="44" t="b">
        <f>IF(Table1[Leaving Date]&gt;42735,8000,IF(Table1[Leaving Date]&gt;42643,7000,IF(Table1[Leaving Date]&gt;42551,6000,IF(Table1[Leaving Date]&gt;42460,5000,IF(Table1[Leaving Date]&gt;42369,4000,IF(Table1[Leaving Date]&gt;42277,3000,IF(Table1[Leaving Date]&gt;42185,2000,IF(Table1[Leaving Date]&gt;42094,1000))))))))</f>
        <v>0</v>
      </c>
      <c r="EK586" s="44" t="e">
        <f>VLOOKUP(Table1[Reason for Leaving],Lists!$T$2:$U$15,2,FALSE)</f>
        <v>#N/A</v>
      </c>
      <c r="EL586" s="44" t="e">
        <f>SUM(Table1[Data Leavers Date]+Table1[Data Move On])</f>
        <v>#N/A</v>
      </c>
      <c r="EM586" s="44" t="b">
        <f>IF(Table1[Registered with GP2]="Yes",1,IF(Table1[Registered with GP2]="No",0,IF(Table1[Registered with GP]="Yes",1,IF(Table1[Registered with GP]="No",0))))</f>
        <v>0</v>
      </c>
      <c r="EN586" s="44">
        <f>SUM(Table1[Data Leavers Date]+Table1[Data GP End])</f>
        <v>0</v>
      </c>
      <c r="EO586" s="44" t="str">
        <f>IF(Table1[EET2]="NEET",1,IF(Table1[EET2]="Employment",2,IF(Table1[EET2]="Education",2,IF(Table1[EET2]="Training",2,IF(Table1[EET2]="Retired",3,IF(Table1[EET]="NEET",1,IF(Table1[EET]="Employment",2,IF(Table1[EET]="Education",2,IF(Table1[EET]="Training",2,IF(Table1[EET]="Retired",3,""))))))))))</f>
        <v/>
      </c>
      <c r="EP586" s="44" t="e">
        <f>+Table1[[#This Row],[Data Leavers Date]]+Table1[[#This Row],[Data EET End]]</f>
        <v>#VALUE!</v>
      </c>
      <c r="EQ586" s="44">
        <f>IF(Table1[Exit Form Received]="Yes",1,0)</f>
        <v>0</v>
      </c>
      <c r="ER586" s="44">
        <f>+Table1[[#This Row],[Data Leavers Date]]+Table1[[#This Row],[Data Exit Forms]]</f>
        <v>0</v>
      </c>
      <c r="ES586" s="44" t="str">
        <f>IF(Table1[Data Leavers Date]=1000,SUM(Table1[Leaving Date]-Table1[Start Date]),"")</f>
        <v/>
      </c>
      <c r="ET586" s="44" t="str">
        <f>IF(Table1[Data Leavers Date]=2000,SUM(Table1[Leaving Date]-Table1[Start Date]),"")</f>
        <v/>
      </c>
      <c r="EU586" s="44" t="str">
        <f>IF(Table1[Data Leavers Date]=3000,SUM(Table1[Leaving Date]-Table1[Start Date]),"")</f>
        <v/>
      </c>
      <c r="EV586" s="44" t="str">
        <f>IF(Table1[Data Leavers Date]=4000,SUM(Table1[Leaving Date]-Table1[Start Date]),"")</f>
        <v/>
      </c>
      <c r="EW586" s="44" t="str">
        <f>IF(Table1[Data Leavers Date]=5000,SUM(Table1[Leaving Date]-Table1[Start Date]),"")</f>
        <v/>
      </c>
      <c r="EX586" s="44" t="str">
        <f>IF(Table1[Data Leavers Date]=6000,SUM(Table1[Leaving Date]-Table1[Start Date]),"")</f>
        <v/>
      </c>
      <c r="EY586" s="44" t="str">
        <f>IF(Table1[Data Leavers Date]=7000,SUM(Table1[Leaving Date]-Table1[Start Date]),"")</f>
        <v/>
      </c>
      <c r="EZ586" s="44" t="str">
        <f>IF(Table1[Data Leavers Date]=8000,SUM(Table1[Leaving Date]-Table1[Start Date]),"")</f>
        <v/>
      </c>
      <c r="FA586" s="44" t="str">
        <f>IF(Table1[Date of Initial Assessment]="","",IF(AND(Table1[Start Date]&gt;42094,Table1[Start Date]&lt;42461),Table1[Motivation and Taking Responsibility],""))</f>
        <v/>
      </c>
      <c r="FB586" s="44" t="str">
        <f>IF(Table1[Date of Initial Assessment]="","",IF(AND(Table1[Start Date]&gt;42094,Table1[Start Date]&lt;42461),Table1[Self-Care and Living Skills],""))</f>
        <v/>
      </c>
      <c r="FC586" s="44" t="str">
        <f>IF(Table1[Date of Initial Assessment]="","",IF(AND(Table1[Start Date]&gt;42094,Table1[Start Date]&lt;42461),Table1[Managing Money and Personal Administration],""))</f>
        <v/>
      </c>
      <c r="FD586" s="44" t="str">
        <f>IF(Table1[Date of Initial Assessment]="","",IF(AND(Table1[Start Date]&gt;42094,Table1[Start Date]&lt;42461),Table1[Social Networks and Relationships],""))</f>
        <v/>
      </c>
      <c r="FE586" s="44" t="str">
        <f>IF(Table1[Date of Initial Assessment]="","",IF(AND(Table1[Start Date]&gt;42094,Table1[Start Date]&lt;42461),Table1[Drug and Alcohol Misuse],""))</f>
        <v/>
      </c>
      <c r="FF586" s="44" t="str">
        <f>IF(Table1[Date of Initial Assessment]="","",IF(AND(Table1[Start Date]&gt;42094,Table1[Start Date]&lt;42461),Table1[Physical Health],""))</f>
        <v/>
      </c>
      <c r="FG586" s="44" t="str">
        <f>IF(Table1[Date of Initial Assessment]="","",IF(AND(Table1[Start Date]&gt;42094,Table1[Start Date]&lt;42461),Table1[Emotional and Mental Health],""))</f>
        <v/>
      </c>
      <c r="FH586" s="44" t="str">
        <f>IF(Table1[Date of Initial Assessment]="","",IF(AND(Table1[Start Date]&gt;42094,Table1[Start Date]&lt;42461),Table1[Meaningful Use of Time],""))</f>
        <v/>
      </c>
      <c r="FI586" s="44" t="str">
        <f>IF(Table1[Date of Initial Assessment]="","",IF(AND(Table1[Start Date]&gt;42094,Table1[Start Date]&lt;42461),Table1[Managing Tenancy and Accommodation],""))</f>
        <v/>
      </c>
      <c r="FJ586" s="44" t="str">
        <f>IF(Table1[Date of Initial Assessment]="","",IF(AND(Table1[Start Date]&gt;42094,Table1[Start Date]&lt;42461),Table1[Offending],""))</f>
        <v/>
      </c>
      <c r="FK586" s="44" t="str">
        <f>IF(Table1[Leaving Date]="","",IF(Table1[Date of Initial Assessment]="","",IF(AND(Table1[Leaving Date]&gt;42094,Table1[Leaving Date]&lt;42461),IF(Table1[Date of Last Assessment]="",Table1[Motivation and Taking Responsibility],Table1[Motivation and Taking Responsibility2]),"")))</f>
        <v/>
      </c>
      <c r="FL586" s="44" t="str">
        <f>IF(Table1[Leaving Date]="","",IF(Table1[Date of Initial Assessment]="","",IF(AND(Table1[Leaving Date]&gt;42094,Table1[Leaving Date]&lt;42461),IF(Table1[Date of Last Assessment]="",Table1[Self-Care and Living Skills],Table1[Self-Care and Living Skills2]),"")))</f>
        <v/>
      </c>
      <c r="FM586" s="44" t="str">
        <f>IF(Table1[Leaving Date]="","",IF(Table1[Date of Initial Assessment]="","",IF(AND(Table1[Leaving Date]&gt;42094,Table1[Leaving Date]&lt;42461),IF(Table1[Date of Last Assessment]="",Table1[Managing Money and Personal Administration],Table1[Managing Money and Personal Administration2]),"")))</f>
        <v/>
      </c>
      <c r="FN586" s="44" t="str">
        <f>IF(Table1[Leaving Date]="","",IF(Table1[Date of Initial Assessment]="","",IF(AND(Table1[Leaving Date]&gt;42094,Table1[Leaving Date]&lt;42461),IF(Table1[Date of Last Assessment]="",Table1[Social Networks and Relationships],Table1[Social Networks and Relationships2]),"")))</f>
        <v/>
      </c>
      <c r="FO586" s="44" t="str">
        <f>IF(Table1[Leaving Date]="","",IF(Table1[Date of Initial Assessment]="","",IF(AND(Table1[Leaving Date]&gt;42094,Table1[Leaving Date]&lt;42461),IF(Table1[Date of Last Assessment]="",Table1[Drug and Alcohol Misuse],Table1[Drug and Alcohol Misuse2]),"")))</f>
        <v/>
      </c>
      <c r="FP586" s="44" t="str">
        <f>IF(Table1[Leaving Date]="","",IF(Table1[Date of Initial Assessment]="","",IF(AND(Table1[Leaving Date]&gt;42094,Table1[Leaving Date]&lt;42461),IF(Table1[Date of Last Assessment]="",Table1[Physical Health],Table1[Physical Health2]),"")))</f>
        <v/>
      </c>
      <c r="FQ586" s="44" t="str">
        <f>IF(Table1[Leaving Date]="","",IF(Table1[Date of Initial Assessment]="","",IF(AND(Table1[Leaving Date]&gt;42094,Table1[Leaving Date]&lt;42461),IF(Table1[Date of Last Assessment]="",Table1[Emotional and Mental Health],Table1[Emotional and Mental Health2]),"")))</f>
        <v/>
      </c>
      <c r="FR586" s="44" t="str">
        <f>IF(Table1[Leaving Date]="","",IF(Table1[Date of Initial Assessment]="","",IF(AND(Table1[Leaving Date]&gt;42094,Table1[Leaving Date]&lt;42461),IF(Table1[Date of Last Assessment]="",Table1[Meaningful Use of Time],Table1[Meaningful Use of Time2]),"")))</f>
        <v/>
      </c>
      <c r="FS586" s="44" t="str">
        <f>IF(Table1[Leaving Date]="","",IF(Table1[Date of Initial Assessment]="","",IF(AND(Table1[Leaving Date]&gt;42094,Table1[Leaving Date]&lt;42461),IF(Table1[Date of Last Assessment]="",Table1[Managing Tenancy and Accommodation],Table1[Managing Tenancy and Accommodation2]),"")))</f>
        <v/>
      </c>
      <c r="FT586" s="44" t="str">
        <f>IF(Table1[Leaving Date]="","",IF(Table1[Date of Initial Assessment]="","",IF(AND(Table1[Leaving Date]&gt;42094,Table1[Leaving Date]&lt;42461),IF(Table1[Date of Last Assessment]="",Table1[Offending],Table1[Offending2]),"")))</f>
        <v/>
      </c>
      <c r="FU586" s="44" t="str">
        <f>IF(Table1[Date of Initial Assessment]="","",IF(AND(Table1[Start Date]&gt;42460,Table1[Start Date]&lt;42826),Table1[Motivation and Taking Responsibility],""))</f>
        <v/>
      </c>
      <c r="FV586" s="44" t="str">
        <f>IF(Table1[Date of Initial Assessment]="","",IF(AND(Table1[Start Date]&gt;42460,Table1[Start Date]&lt;42826),Table1[Self-Care and Living Skills],""))</f>
        <v/>
      </c>
      <c r="FW586" s="44" t="str">
        <f>IF(Table1[Date of Initial Assessment]="","",IF(AND(Table1[Start Date]&gt;42460,Table1[Start Date]&lt;42826),Table1[Managing Money and Personal Administration],""))</f>
        <v/>
      </c>
      <c r="FX586" s="44" t="str">
        <f>IF(Table1[Date of Initial Assessment]="","",IF(AND(Table1[Start Date]&gt;42460,Table1[Start Date]&lt;42826),Table1[Social Networks and Relationships],""))</f>
        <v/>
      </c>
      <c r="FY586" s="44" t="str">
        <f>IF(Table1[Date of Initial Assessment]="","",IF(AND(Table1[Start Date]&gt;42460,Table1[Start Date]&lt;42826),Table1[Drug and Alcohol Misuse],""))</f>
        <v/>
      </c>
      <c r="FZ586" s="44" t="str">
        <f>IF(Table1[Date of Initial Assessment]="","",IF(AND(Table1[Start Date]&gt;42460,Table1[Start Date]&lt;42826),Table1[Physical Health],""))</f>
        <v/>
      </c>
      <c r="GA586" s="44" t="str">
        <f>IF(Table1[Date of Initial Assessment]="","",IF(AND(Table1[Start Date]&gt;42460,Table1[Start Date]&lt;42826),Table1[Emotional and Mental Health],""))</f>
        <v/>
      </c>
      <c r="GB586" s="44" t="str">
        <f>IF(Table1[Date of Initial Assessment]="","",IF(AND(Table1[Start Date]&gt;42460,Table1[Start Date]&lt;42826),Table1[Meaningful Use of Time],""))</f>
        <v/>
      </c>
      <c r="GC586" s="44" t="str">
        <f>IF(Table1[Date of Initial Assessment]="","",IF(AND(Table1[Start Date]&gt;42460,Table1[Start Date]&lt;42826),Table1[Managing Tenancy and Accommodation],""))</f>
        <v/>
      </c>
      <c r="GD586" s="44" t="str">
        <f>IF(Table1[Date of Initial Assessment]="","",IF(AND(Table1[Start Date]&gt;42460,Table1[Start Date]&lt;42826),Table1[Offending],""))</f>
        <v/>
      </c>
      <c r="GE586" s="44" t="str">
        <f>IF(Table1[Leaving Date]="","",IF(AND(Table1[Leaving Date]&gt;42460,Table1[Leaving Date]&lt;42826),IF(Table1[Date of Last Assessment]="",Table1[Motivation and Taking Responsibility],Table1[Motivation and Taking Responsibility2]),""))</f>
        <v/>
      </c>
      <c r="GF586" s="44" t="str">
        <f>IF(Table1[Leaving Date]="","",IF(AND(Table1[Leaving Date]&gt;42460,Table1[Leaving Date]&lt;42826),IF(Table1[Date of Last Assessment]="",Table1[Self-Care and Living Skills],Table1[Self-Care and Living Skills2]),""))</f>
        <v/>
      </c>
      <c r="GG586" s="44" t="str">
        <f>IF(Table1[Leaving Date]="","",IF(AND(Table1[Leaving Date]&gt;42460,Table1[Leaving Date]&lt;42826),IF(Table1[Date of Last Assessment]="",Table1[Managing Money and Personal Administration],Table1[Managing Money and Personal Administration2]),""))</f>
        <v/>
      </c>
      <c r="GH586" s="44" t="str">
        <f>IF(Table1[Leaving Date]="","",IF(AND(Table1[Leaving Date]&gt;42460,Table1[Leaving Date]&lt;42826),IF(Table1[Date of Last Assessment]="",Table1[Social Networks and Relationships],Table1[Social Networks and Relationships2]),""))</f>
        <v/>
      </c>
      <c r="GI586" s="44" t="str">
        <f>IF(Table1[Leaving Date]="","",IF(AND(Table1[Leaving Date]&gt;42460,Table1[Leaving Date]&lt;42826),IF(Table1[Date of Last Assessment]="",Table1[Drug and Alcohol Misuse],Table1[Drug and Alcohol Misuse2]),""))</f>
        <v/>
      </c>
      <c r="GJ586" s="44" t="str">
        <f>IF(Table1[Leaving Date]="","",IF(AND(Table1[Leaving Date]&gt;42460,Table1[Leaving Date]&lt;42826),IF(Table1[Date of Last Assessment]="",Table1[Physical Health],Table1[Physical Health2]),""))</f>
        <v/>
      </c>
      <c r="GK586" s="44" t="str">
        <f>IF(Table1[Leaving Date]="","",IF(AND(Table1[Leaving Date]&gt;42460,Table1[Leaving Date]&lt;42826),IF(Table1[Date of Last Assessment]="",Table1[Emotional and Mental Health],Table1[Emotional and Mental Health2]),""))</f>
        <v/>
      </c>
      <c r="GL586" s="44" t="str">
        <f>IF(Table1[Leaving Date]="","",IF(AND(Table1[Leaving Date]&gt;42460,Table1[Leaving Date]&lt;42826),IF(Table1[Date of Last Assessment]="",Table1[Meaningful Use of Time],Table1[Meaningful Use of Time2]),""))</f>
        <v/>
      </c>
      <c r="GM586" s="44" t="str">
        <f>IF(Table1[Leaving Date]="","",IF(AND(Table1[Leaving Date]&gt;42460,Table1[Leaving Date]&lt;42826),IF(Table1[Date of Last Assessment]="",Table1[Managing Tenancy and Accommodation],Table1[Managing Tenancy and Accommodation2]),""))</f>
        <v/>
      </c>
      <c r="GN586" s="44" t="str">
        <f>IF(Table1[Leaving Date]="","",IF(AND(Table1[Leaving Date]&gt;42460,Table1[Leaving Date]&lt;42826),IF(Table1[Date of Last Assessment]="",Table1[Offending],Table1[Offending2]),""))</f>
        <v/>
      </c>
    </row>
    <row r="587" spans="2:196" ht="20.100000000000001" customHeight="1" x14ac:dyDescent="0.2">
      <c r="B587" s="86">
        <f>+'Service Data'!$C$5:$C$5</f>
        <v>0</v>
      </c>
      <c r="C587" s="86"/>
      <c r="D587" s="86"/>
      <c r="E587" s="86"/>
      <c r="F587" s="86"/>
      <c r="G587" s="86"/>
      <c r="H587" s="6"/>
      <c r="I587" s="99" t="str">
        <f ca="1">IF(Table1[[#This Row],[Date of Birth]]="","",SUM(TODAY()-Table1[[#This Row],[Date of Birth]])/365)</f>
        <v/>
      </c>
      <c r="L587" s="86"/>
      <c r="M587" s="77"/>
      <c r="N587" s="86"/>
      <c r="O587" s="86"/>
      <c r="P587" s="91"/>
      <c r="Q587" s="86"/>
      <c r="R587" s="77"/>
      <c r="S587" s="77"/>
      <c r="T587" s="68"/>
      <c r="U587" s="68"/>
      <c r="V587" s="67"/>
      <c r="W587" s="67"/>
      <c r="X587" s="67"/>
      <c r="Y587" s="67"/>
      <c r="Z587" s="67"/>
      <c r="AA587" s="67"/>
      <c r="AB587" s="67"/>
      <c r="AC587" s="67"/>
      <c r="AD587" s="67"/>
      <c r="AE587" s="67"/>
      <c r="AF587" s="67"/>
      <c r="AG587" s="67"/>
      <c r="AH587" s="67"/>
      <c r="AI587" s="67"/>
      <c r="AJ587" s="67"/>
      <c r="AK587" s="67"/>
      <c r="AL587" s="67"/>
      <c r="AM587" s="67"/>
      <c r="AN587" s="77"/>
      <c r="AO587" s="76"/>
      <c r="AP587" s="77"/>
      <c r="AQ587" s="76"/>
      <c r="AR587" s="76"/>
      <c r="AS587" s="76"/>
      <c r="AT587" s="76"/>
      <c r="AU587" s="76"/>
      <c r="AV587" s="77"/>
      <c r="AW587" s="76"/>
      <c r="AX587" s="77"/>
      <c r="AY587" s="76"/>
      <c r="AZ587" s="76"/>
      <c r="BA587" s="76"/>
      <c r="BB587" s="76"/>
      <c r="BC587" s="76"/>
      <c r="BD587" s="77"/>
      <c r="BE587" s="76"/>
      <c r="BF587" s="77"/>
      <c r="BG587" s="76"/>
      <c r="BH587" s="76"/>
      <c r="BI587" s="76"/>
      <c r="BJ587" s="76"/>
      <c r="BK587" s="76"/>
      <c r="BL587" s="77"/>
      <c r="BM587" s="76"/>
      <c r="BN587" s="77"/>
      <c r="BO587" s="76"/>
      <c r="BP587" s="76"/>
      <c r="BQ587" s="76"/>
      <c r="BR587" s="76"/>
      <c r="BS587" s="76"/>
      <c r="BT587" s="77"/>
      <c r="BU587" s="76"/>
      <c r="BV587" s="77"/>
      <c r="BW587" s="76"/>
      <c r="BX587" s="76"/>
      <c r="BY587" s="76"/>
      <c r="BZ587" s="76"/>
      <c r="CA587" s="76"/>
      <c r="CB587" s="77"/>
      <c r="CC587" s="76"/>
      <c r="CD587" s="77"/>
      <c r="CE587" s="76"/>
      <c r="CF587" s="76"/>
      <c r="CG587" s="76"/>
      <c r="CH587" s="76"/>
      <c r="CI587" s="76"/>
      <c r="CJ587" s="77"/>
      <c r="CK587" s="76"/>
      <c r="CL587" s="77"/>
      <c r="CM587" s="76"/>
      <c r="CN587" s="76"/>
      <c r="CO587" s="76"/>
      <c r="CP587" s="76"/>
      <c r="CQ587" s="76"/>
      <c r="CR587" s="78" t="str">
        <f t="shared" si="159"/>
        <v/>
      </c>
      <c r="CS587" s="79" t="str">
        <f t="shared" si="160"/>
        <v/>
      </c>
      <c r="CT587" s="79" t="str">
        <f t="shared" si="161"/>
        <v/>
      </c>
      <c r="CU587" s="79" t="str">
        <f t="shared" si="162"/>
        <v/>
      </c>
      <c r="CV587" s="79" t="str">
        <f t="shared" si="163"/>
        <v/>
      </c>
      <c r="CW587" s="79" t="str">
        <f t="shared" si="164"/>
        <v/>
      </c>
      <c r="CX587" s="79" t="str">
        <f t="shared" si="165"/>
        <v/>
      </c>
      <c r="CY587" s="79" t="str">
        <f t="shared" si="166"/>
        <v/>
      </c>
      <c r="CZ587" s="79" t="str">
        <f t="shared" si="167"/>
        <v/>
      </c>
      <c r="DA587" s="79" t="str">
        <f t="shared" si="168"/>
        <v/>
      </c>
      <c r="DB587" s="79" t="str">
        <f t="shared" si="169"/>
        <v/>
      </c>
      <c r="DC587" s="79" t="str">
        <f t="shared" si="170"/>
        <v/>
      </c>
      <c r="DD587" s="79" t="str">
        <f t="shared" si="171"/>
        <v/>
      </c>
      <c r="DE587" s="79" t="str">
        <f t="shared" si="172"/>
        <v/>
      </c>
      <c r="DF587" s="79" t="str">
        <f t="shared" si="173"/>
        <v/>
      </c>
      <c r="DG587" s="79" t="str">
        <f t="shared" si="174"/>
        <v/>
      </c>
      <c r="DH587" s="76"/>
      <c r="DI587" s="78"/>
      <c r="DJ587" s="76"/>
      <c r="DK587" s="77"/>
      <c r="DL587" s="77"/>
      <c r="DM587" s="77"/>
      <c r="DN587" s="80"/>
      <c r="DO587" s="80"/>
      <c r="DP587" s="92" t="str">
        <f>IF(Table1[Start Date]="","",IF(Table1[Start Date]&gt;42185,"",IF(AND(Table1[Leaving Date]&gt;1,Table1[Leaving Date]&lt;42095),"",1)))</f>
        <v/>
      </c>
      <c r="DQ587" s="92" t="str">
        <f>IF(Table1[Start Date]="","",IF(Table1[Start Date]&gt;42277,"",IF(AND(Table1[Leaving Date]&gt;1,Table1[Leaving Date]&lt;42186),"",1)))</f>
        <v/>
      </c>
      <c r="DR587" s="92" t="str">
        <f>IF(Table1[Start Date]="","",IF(Table1[Start Date]&gt;42369,"",IF(AND(Table1[Leaving Date]&gt;1,Table1[Leaving Date]&lt;42278),"",1)))</f>
        <v/>
      </c>
      <c r="DS587" s="92" t="str">
        <f>IF(Table1[Start Date]="","",IF(Table1[Start Date]&gt;42460,"",IF(AND(Table1[Leaving Date]&gt;1,Table1[Leaving Date]&lt;42370),"",1)))</f>
        <v/>
      </c>
      <c r="DT587" s="92" t="str">
        <f>IF(Table1[Start Date]="","",IF(Table1[Start Date]&gt;42551,"",IF(AND(Table1[Leaving Date]&gt;1,Table1[Leaving Date]&lt;42461),"",1)))</f>
        <v/>
      </c>
      <c r="DU587" s="92" t="str">
        <f>IF(Table1[Start Date]="","",IF(Table1[Start Date]&gt;42643,"",IF(AND(Table1[Leaving Date]&gt;1,Table1[Leaving Date]&lt;42552),"",1)))</f>
        <v/>
      </c>
      <c r="DV587" s="92" t="str">
        <f>IF(Table1[Start Date]="","",IF(Table1[Start Date]&gt;42735,"",IF(AND(Table1[Leaving Date]&gt;1,Table1[Leaving Date]&lt;42644),"",1)))</f>
        <v/>
      </c>
      <c r="DW587" s="92" t="str">
        <f>IF(Table1[Start Date]="","",IF(Table1[Start Date]&gt;42825,"",IF(AND(Table1[Leaving Date]&gt;1,Table1[Leaving Date]&lt;42736),"",1)))</f>
        <v/>
      </c>
      <c r="DX587"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587" s="44" t="e">
        <f>VLOOKUP(Table1[Referral Source],Lists!$G$2:$H$20,2,FALSE)</f>
        <v>#N/A</v>
      </c>
      <c r="DZ587" s="93" t="e">
        <f>SUM(Table1[Data Referral Quarter]+Table1[Data Referral Source])</f>
        <v>#N/A</v>
      </c>
      <c r="EA587" s="44" t="b">
        <f>IF(Table1[Referral Decision]="Accepted",100,IF(Table1[Referral Decision]="Rejected by Provider",200,IF(Table1[Referral Decision]="Rejected by Applicant",300)))</f>
        <v>0</v>
      </c>
      <c r="EB587" s="44">
        <f>SUM(Table1[Data Referral Quarter]+Table1[Data Referral Decision])</f>
        <v>0</v>
      </c>
      <c r="EC587" s="44" t="b">
        <f>IF(Table1[Start Date]&gt;42735,8000,IF(Table1[Start Date]&gt;42643,7000,IF(Table1[Start Date]&gt;42551,6000,IF(Table1[Start Date]&gt;42460,5000,IF(Table1[Start Date]&gt;42369,4000,IF(Table1[Start Date]&gt;42277,3000,IF(Table1[Start Date]&gt;42185,2000,IF(Table1[Start Date]&gt;42094,1000))))))))</f>
        <v>0</v>
      </c>
      <c r="ED587" s="44" t="str">
        <f>IF(Table1[Start Date]="","",IF(Table1[Current Local Authority]="Swindon",1,"2"))</f>
        <v/>
      </c>
      <c r="EE587" s="44" t="e">
        <f>SUM(Table1[Data Start Date]+Table1[Data Local Authority])</f>
        <v>#VALUE!</v>
      </c>
      <c r="EF587" s="44">
        <f>IF(Table1[Registered with GP]="Yes",1,0)</f>
        <v>0</v>
      </c>
      <c r="EG587" s="44">
        <f>SUM(Table1[Data Start Date]+Table1[Data GP Start])</f>
        <v>0</v>
      </c>
      <c r="EH587" s="44" t="str">
        <f>IF(Table1[EET]="NEET",1,IF(Table1[EET]="Education",2,IF(Table1[EET]="Employment",2,IF(Table1[EET]="Training",2,IF(Table1[EET]="Retired",3,"")))))</f>
        <v/>
      </c>
      <c r="EI587" s="44" t="e">
        <f>Table1[Data Start Date]+Table1[Data EET Start]</f>
        <v>#VALUE!</v>
      </c>
      <c r="EJ587" s="44" t="b">
        <f>IF(Table1[Leaving Date]&gt;42735,8000,IF(Table1[Leaving Date]&gt;42643,7000,IF(Table1[Leaving Date]&gt;42551,6000,IF(Table1[Leaving Date]&gt;42460,5000,IF(Table1[Leaving Date]&gt;42369,4000,IF(Table1[Leaving Date]&gt;42277,3000,IF(Table1[Leaving Date]&gt;42185,2000,IF(Table1[Leaving Date]&gt;42094,1000))))))))</f>
        <v>0</v>
      </c>
      <c r="EK587" s="44" t="e">
        <f>VLOOKUP(Table1[Reason for Leaving],Lists!$T$2:$U$15,2,FALSE)</f>
        <v>#N/A</v>
      </c>
      <c r="EL587" s="44" t="e">
        <f>SUM(Table1[Data Leavers Date]+Table1[Data Move On])</f>
        <v>#N/A</v>
      </c>
      <c r="EM587" s="44" t="b">
        <f>IF(Table1[Registered with GP2]="Yes",1,IF(Table1[Registered with GP2]="No",0,IF(Table1[Registered with GP]="Yes",1,IF(Table1[Registered with GP]="No",0))))</f>
        <v>0</v>
      </c>
      <c r="EN587" s="44">
        <f>SUM(Table1[Data Leavers Date]+Table1[Data GP End])</f>
        <v>0</v>
      </c>
      <c r="EO587" s="44" t="str">
        <f>IF(Table1[EET2]="NEET",1,IF(Table1[EET2]="Employment",2,IF(Table1[EET2]="Education",2,IF(Table1[EET2]="Training",2,IF(Table1[EET2]="Retired",3,IF(Table1[EET]="NEET",1,IF(Table1[EET]="Employment",2,IF(Table1[EET]="Education",2,IF(Table1[EET]="Training",2,IF(Table1[EET]="Retired",3,""))))))))))</f>
        <v/>
      </c>
      <c r="EP587" s="44" t="e">
        <f>+Table1[[#This Row],[Data Leavers Date]]+Table1[[#This Row],[Data EET End]]</f>
        <v>#VALUE!</v>
      </c>
      <c r="EQ587" s="44">
        <f>IF(Table1[Exit Form Received]="Yes",1,0)</f>
        <v>0</v>
      </c>
      <c r="ER587" s="44">
        <f>+Table1[[#This Row],[Data Leavers Date]]+Table1[[#This Row],[Data Exit Forms]]</f>
        <v>0</v>
      </c>
      <c r="ES587" s="44" t="str">
        <f>IF(Table1[Data Leavers Date]=1000,SUM(Table1[Leaving Date]-Table1[Start Date]),"")</f>
        <v/>
      </c>
      <c r="ET587" s="44" t="str">
        <f>IF(Table1[Data Leavers Date]=2000,SUM(Table1[Leaving Date]-Table1[Start Date]),"")</f>
        <v/>
      </c>
      <c r="EU587" s="44" t="str">
        <f>IF(Table1[Data Leavers Date]=3000,SUM(Table1[Leaving Date]-Table1[Start Date]),"")</f>
        <v/>
      </c>
      <c r="EV587" s="44" t="str">
        <f>IF(Table1[Data Leavers Date]=4000,SUM(Table1[Leaving Date]-Table1[Start Date]),"")</f>
        <v/>
      </c>
      <c r="EW587" s="44" t="str">
        <f>IF(Table1[Data Leavers Date]=5000,SUM(Table1[Leaving Date]-Table1[Start Date]),"")</f>
        <v/>
      </c>
      <c r="EX587" s="44" t="str">
        <f>IF(Table1[Data Leavers Date]=6000,SUM(Table1[Leaving Date]-Table1[Start Date]),"")</f>
        <v/>
      </c>
      <c r="EY587" s="44" t="str">
        <f>IF(Table1[Data Leavers Date]=7000,SUM(Table1[Leaving Date]-Table1[Start Date]),"")</f>
        <v/>
      </c>
      <c r="EZ587" s="44" t="str">
        <f>IF(Table1[Data Leavers Date]=8000,SUM(Table1[Leaving Date]-Table1[Start Date]),"")</f>
        <v/>
      </c>
      <c r="FA587" s="44" t="str">
        <f>IF(Table1[Date of Initial Assessment]="","",IF(AND(Table1[Start Date]&gt;42094,Table1[Start Date]&lt;42461),Table1[Motivation and Taking Responsibility],""))</f>
        <v/>
      </c>
      <c r="FB587" s="44" t="str">
        <f>IF(Table1[Date of Initial Assessment]="","",IF(AND(Table1[Start Date]&gt;42094,Table1[Start Date]&lt;42461),Table1[Self-Care and Living Skills],""))</f>
        <v/>
      </c>
      <c r="FC587" s="44" t="str">
        <f>IF(Table1[Date of Initial Assessment]="","",IF(AND(Table1[Start Date]&gt;42094,Table1[Start Date]&lt;42461),Table1[Managing Money and Personal Administration],""))</f>
        <v/>
      </c>
      <c r="FD587" s="44" t="str">
        <f>IF(Table1[Date of Initial Assessment]="","",IF(AND(Table1[Start Date]&gt;42094,Table1[Start Date]&lt;42461),Table1[Social Networks and Relationships],""))</f>
        <v/>
      </c>
      <c r="FE587" s="44" t="str">
        <f>IF(Table1[Date of Initial Assessment]="","",IF(AND(Table1[Start Date]&gt;42094,Table1[Start Date]&lt;42461),Table1[Drug and Alcohol Misuse],""))</f>
        <v/>
      </c>
      <c r="FF587" s="44" t="str">
        <f>IF(Table1[Date of Initial Assessment]="","",IF(AND(Table1[Start Date]&gt;42094,Table1[Start Date]&lt;42461),Table1[Physical Health],""))</f>
        <v/>
      </c>
      <c r="FG587" s="44" t="str">
        <f>IF(Table1[Date of Initial Assessment]="","",IF(AND(Table1[Start Date]&gt;42094,Table1[Start Date]&lt;42461),Table1[Emotional and Mental Health],""))</f>
        <v/>
      </c>
      <c r="FH587" s="44" t="str">
        <f>IF(Table1[Date of Initial Assessment]="","",IF(AND(Table1[Start Date]&gt;42094,Table1[Start Date]&lt;42461),Table1[Meaningful Use of Time],""))</f>
        <v/>
      </c>
      <c r="FI587" s="44" t="str">
        <f>IF(Table1[Date of Initial Assessment]="","",IF(AND(Table1[Start Date]&gt;42094,Table1[Start Date]&lt;42461),Table1[Managing Tenancy and Accommodation],""))</f>
        <v/>
      </c>
      <c r="FJ587" s="44" t="str">
        <f>IF(Table1[Date of Initial Assessment]="","",IF(AND(Table1[Start Date]&gt;42094,Table1[Start Date]&lt;42461),Table1[Offending],""))</f>
        <v/>
      </c>
      <c r="FK587" s="44" t="str">
        <f>IF(Table1[Leaving Date]="","",IF(Table1[Date of Initial Assessment]="","",IF(AND(Table1[Leaving Date]&gt;42094,Table1[Leaving Date]&lt;42461),IF(Table1[Date of Last Assessment]="",Table1[Motivation and Taking Responsibility],Table1[Motivation and Taking Responsibility2]),"")))</f>
        <v/>
      </c>
      <c r="FL587" s="44" t="str">
        <f>IF(Table1[Leaving Date]="","",IF(Table1[Date of Initial Assessment]="","",IF(AND(Table1[Leaving Date]&gt;42094,Table1[Leaving Date]&lt;42461),IF(Table1[Date of Last Assessment]="",Table1[Self-Care and Living Skills],Table1[Self-Care and Living Skills2]),"")))</f>
        <v/>
      </c>
      <c r="FM587" s="44" t="str">
        <f>IF(Table1[Leaving Date]="","",IF(Table1[Date of Initial Assessment]="","",IF(AND(Table1[Leaving Date]&gt;42094,Table1[Leaving Date]&lt;42461),IF(Table1[Date of Last Assessment]="",Table1[Managing Money and Personal Administration],Table1[Managing Money and Personal Administration2]),"")))</f>
        <v/>
      </c>
      <c r="FN587" s="44" t="str">
        <f>IF(Table1[Leaving Date]="","",IF(Table1[Date of Initial Assessment]="","",IF(AND(Table1[Leaving Date]&gt;42094,Table1[Leaving Date]&lt;42461),IF(Table1[Date of Last Assessment]="",Table1[Social Networks and Relationships],Table1[Social Networks and Relationships2]),"")))</f>
        <v/>
      </c>
      <c r="FO587" s="44" t="str">
        <f>IF(Table1[Leaving Date]="","",IF(Table1[Date of Initial Assessment]="","",IF(AND(Table1[Leaving Date]&gt;42094,Table1[Leaving Date]&lt;42461),IF(Table1[Date of Last Assessment]="",Table1[Drug and Alcohol Misuse],Table1[Drug and Alcohol Misuse2]),"")))</f>
        <v/>
      </c>
      <c r="FP587" s="44" t="str">
        <f>IF(Table1[Leaving Date]="","",IF(Table1[Date of Initial Assessment]="","",IF(AND(Table1[Leaving Date]&gt;42094,Table1[Leaving Date]&lt;42461),IF(Table1[Date of Last Assessment]="",Table1[Physical Health],Table1[Physical Health2]),"")))</f>
        <v/>
      </c>
      <c r="FQ587" s="44" t="str">
        <f>IF(Table1[Leaving Date]="","",IF(Table1[Date of Initial Assessment]="","",IF(AND(Table1[Leaving Date]&gt;42094,Table1[Leaving Date]&lt;42461),IF(Table1[Date of Last Assessment]="",Table1[Emotional and Mental Health],Table1[Emotional and Mental Health2]),"")))</f>
        <v/>
      </c>
      <c r="FR587" s="44" t="str">
        <f>IF(Table1[Leaving Date]="","",IF(Table1[Date of Initial Assessment]="","",IF(AND(Table1[Leaving Date]&gt;42094,Table1[Leaving Date]&lt;42461),IF(Table1[Date of Last Assessment]="",Table1[Meaningful Use of Time],Table1[Meaningful Use of Time2]),"")))</f>
        <v/>
      </c>
      <c r="FS587" s="44" t="str">
        <f>IF(Table1[Leaving Date]="","",IF(Table1[Date of Initial Assessment]="","",IF(AND(Table1[Leaving Date]&gt;42094,Table1[Leaving Date]&lt;42461),IF(Table1[Date of Last Assessment]="",Table1[Managing Tenancy and Accommodation],Table1[Managing Tenancy and Accommodation2]),"")))</f>
        <v/>
      </c>
      <c r="FT587" s="44" t="str">
        <f>IF(Table1[Leaving Date]="","",IF(Table1[Date of Initial Assessment]="","",IF(AND(Table1[Leaving Date]&gt;42094,Table1[Leaving Date]&lt;42461),IF(Table1[Date of Last Assessment]="",Table1[Offending],Table1[Offending2]),"")))</f>
        <v/>
      </c>
      <c r="FU587" s="44" t="str">
        <f>IF(Table1[Date of Initial Assessment]="","",IF(AND(Table1[Start Date]&gt;42460,Table1[Start Date]&lt;42826),Table1[Motivation and Taking Responsibility],""))</f>
        <v/>
      </c>
      <c r="FV587" s="44" t="str">
        <f>IF(Table1[Date of Initial Assessment]="","",IF(AND(Table1[Start Date]&gt;42460,Table1[Start Date]&lt;42826),Table1[Self-Care and Living Skills],""))</f>
        <v/>
      </c>
      <c r="FW587" s="44" t="str">
        <f>IF(Table1[Date of Initial Assessment]="","",IF(AND(Table1[Start Date]&gt;42460,Table1[Start Date]&lt;42826),Table1[Managing Money and Personal Administration],""))</f>
        <v/>
      </c>
      <c r="FX587" s="44" t="str">
        <f>IF(Table1[Date of Initial Assessment]="","",IF(AND(Table1[Start Date]&gt;42460,Table1[Start Date]&lt;42826),Table1[Social Networks and Relationships],""))</f>
        <v/>
      </c>
      <c r="FY587" s="44" t="str">
        <f>IF(Table1[Date of Initial Assessment]="","",IF(AND(Table1[Start Date]&gt;42460,Table1[Start Date]&lt;42826),Table1[Drug and Alcohol Misuse],""))</f>
        <v/>
      </c>
      <c r="FZ587" s="44" t="str">
        <f>IF(Table1[Date of Initial Assessment]="","",IF(AND(Table1[Start Date]&gt;42460,Table1[Start Date]&lt;42826),Table1[Physical Health],""))</f>
        <v/>
      </c>
      <c r="GA587" s="44" t="str">
        <f>IF(Table1[Date of Initial Assessment]="","",IF(AND(Table1[Start Date]&gt;42460,Table1[Start Date]&lt;42826),Table1[Emotional and Mental Health],""))</f>
        <v/>
      </c>
      <c r="GB587" s="44" t="str">
        <f>IF(Table1[Date of Initial Assessment]="","",IF(AND(Table1[Start Date]&gt;42460,Table1[Start Date]&lt;42826),Table1[Meaningful Use of Time],""))</f>
        <v/>
      </c>
      <c r="GC587" s="44" t="str">
        <f>IF(Table1[Date of Initial Assessment]="","",IF(AND(Table1[Start Date]&gt;42460,Table1[Start Date]&lt;42826),Table1[Managing Tenancy and Accommodation],""))</f>
        <v/>
      </c>
      <c r="GD587" s="44" t="str">
        <f>IF(Table1[Date of Initial Assessment]="","",IF(AND(Table1[Start Date]&gt;42460,Table1[Start Date]&lt;42826),Table1[Offending],""))</f>
        <v/>
      </c>
      <c r="GE587" s="44" t="str">
        <f>IF(Table1[Leaving Date]="","",IF(AND(Table1[Leaving Date]&gt;42460,Table1[Leaving Date]&lt;42826),IF(Table1[Date of Last Assessment]="",Table1[Motivation and Taking Responsibility],Table1[Motivation and Taking Responsibility2]),""))</f>
        <v/>
      </c>
      <c r="GF587" s="44" t="str">
        <f>IF(Table1[Leaving Date]="","",IF(AND(Table1[Leaving Date]&gt;42460,Table1[Leaving Date]&lt;42826),IF(Table1[Date of Last Assessment]="",Table1[Self-Care and Living Skills],Table1[Self-Care and Living Skills2]),""))</f>
        <v/>
      </c>
      <c r="GG587" s="44" t="str">
        <f>IF(Table1[Leaving Date]="","",IF(AND(Table1[Leaving Date]&gt;42460,Table1[Leaving Date]&lt;42826),IF(Table1[Date of Last Assessment]="",Table1[Managing Money and Personal Administration],Table1[Managing Money and Personal Administration2]),""))</f>
        <v/>
      </c>
      <c r="GH587" s="44" t="str">
        <f>IF(Table1[Leaving Date]="","",IF(AND(Table1[Leaving Date]&gt;42460,Table1[Leaving Date]&lt;42826),IF(Table1[Date of Last Assessment]="",Table1[Social Networks and Relationships],Table1[Social Networks and Relationships2]),""))</f>
        <v/>
      </c>
      <c r="GI587" s="44" t="str">
        <f>IF(Table1[Leaving Date]="","",IF(AND(Table1[Leaving Date]&gt;42460,Table1[Leaving Date]&lt;42826),IF(Table1[Date of Last Assessment]="",Table1[Drug and Alcohol Misuse],Table1[Drug and Alcohol Misuse2]),""))</f>
        <v/>
      </c>
      <c r="GJ587" s="44" t="str">
        <f>IF(Table1[Leaving Date]="","",IF(AND(Table1[Leaving Date]&gt;42460,Table1[Leaving Date]&lt;42826),IF(Table1[Date of Last Assessment]="",Table1[Physical Health],Table1[Physical Health2]),""))</f>
        <v/>
      </c>
      <c r="GK587" s="44" t="str">
        <f>IF(Table1[Leaving Date]="","",IF(AND(Table1[Leaving Date]&gt;42460,Table1[Leaving Date]&lt;42826),IF(Table1[Date of Last Assessment]="",Table1[Emotional and Mental Health],Table1[Emotional and Mental Health2]),""))</f>
        <v/>
      </c>
      <c r="GL587" s="44" t="str">
        <f>IF(Table1[Leaving Date]="","",IF(AND(Table1[Leaving Date]&gt;42460,Table1[Leaving Date]&lt;42826),IF(Table1[Date of Last Assessment]="",Table1[Meaningful Use of Time],Table1[Meaningful Use of Time2]),""))</f>
        <v/>
      </c>
      <c r="GM587" s="44" t="str">
        <f>IF(Table1[Leaving Date]="","",IF(AND(Table1[Leaving Date]&gt;42460,Table1[Leaving Date]&lt;42826),IF(Table1[Date of Last Assessment]="",Table1[Managing Tenancy and Accommodation],Table1[Managing Tenancy and Accommodation2]),""))</f>
        <v/>
      </c>
      <c r="GN587" s="44" t="str">
        <f>IF(Table1[Leaving Date]="","",IF(AND(Table1[Leaving Date]&gt;42460,Table1[Leaving Date]&lt;42826),IF(Table1[Date of Last Assessment]="",Table1[Offending],Table1[Offending2]),""))</f>
        <v/>
      </c>
    </row>
    <row r="588" spans="2:196" ht="20.100000000000001" customHeight="1" x14ac:dyDescent="0.2">
      <c r="B588" s="86">
        <f>+'Service Data'!$C$5:$C$5</f>
        <v>0</v>
      </c>
      <c r="C588" s="86"/>
      <c r="D588" s="86"/>
      <c r="E588" s="86"/>
      <c r="F588" s="86"/>
      <c r="G588" s="86"/>
      <c r="H588" s="6"/>
      <c r="I588" s="99" t="str">
        <f ca="1">IF(Table1[[#This Row],[Date of Birth]]="","",SUM(TODAY()-Table1[[#This Row],[Date of Birth]])/365)</f>
        <v/>
      </c>
      <c r="L588" s="86"/>
      <c r="M588" s="77"/>
      <c r="N588" s="86"/>
      <c r="O588" s="86"/>
      <c r="P588" s="91"/>
      <c r="Q588" s="86"/>
      <c r="R588" s="77"/>
      <c r="S588" s="77"/>
      <c r="T588" s="68"/>
      <c r="U588" s="68"/>
      <c r="V588" s="67"/>
      <c r="W588" s="67"/>
      <c r="X588" s="67"/>
      <c r="Y588" s="67"/>
      <c r="Z588" s="67"/>
      <c r="AA588" s="67"/>
      <c r="AB588" s="67"/>
      <c r="AC588" s="67"/>
      <c r="AD588" s="67"/>
      <c r="AE588" s="67"/>
      <c r="AF588" s="67"/>
      <c r="AG588" s="67"/>
      <c r="AH588" s="67"/>
      <c r="AI588" s="67"/>
      <c r="AJ588" s="67"/>
      <c r="AK588" s="67"/>
      <c r="AL588" s="67"/>
      <c r="AM588" s="67"/>
      <c r="AN588" s="77"/>
      <c r="AO588" s="76"/>
      <c r="AP588" s="77"/>
      <c r="AQ588" s="76"/>
      <c r="AR588" s="76"/>
      <c r="AS588" s="76"/>
      <c r="AT588" s="76"/>
      <c r="AU588" s="76"/>
      <c r="AV588" s="77"/>
      <c r="AW588" s="76"/>
      <c r="AX588" s="77"/>
      <c r="AY588" s="76"/>
      <c r="AZ588" s="76"/>
      <c r="BA588" s="76"/>
      <c r="BB588" s="76"/>
      <c r="BC588" s="76"/>
      <c r="BD588" s="77"/>
      <c r="BE588" s="76"/>
      <c r="BF588" s="77"/>
      <c r="BG588" s="76"/>
      <c r="BH588" s="76"/>
      <c r="BI588" s="76"/>
      <c r="BJ588" s="76"/>
      <c r="BK588" s="76"/>
      <c r="BL588" s="77"/>
      <c r="BM588" s="76"/>
      <c r="BN588" s="77"/>
      <c r="BO588" s="76"/>
      <c r="BP588" s="76"/>
      <c r="BQ588" s="76"/>
      <c r="BR588" s="76"/>
      <c r="BS588" s="76"/>
      <c r="BT588" s="77"/>
      <c r="BU588" s="76"/>
      <c r="BV588" s="77"/>
      <c r="BW588" s="76"/>
      <c r="BX588" s="76"/>
      <c r="BY588" s="76"/>
      <c r="BZ588" s="76"/>
      <c r="CA588" s="76"/>
      <c r="CB588" s="77"/>
      <c r="CC588" s="76"/>
      <c r="CD588" s="77"/>
      <c r="CE588" s="76"/>
      <c r="CF588" s="76"/>
      <c r="CG588" s="76"/>
      <c r="CH588" s="76"/>
      <c r="CI588" s="76"/>
      <c r="CJ588" s="77"/>
      <c r="CK588" s="76"/>
      <c r="CL588" s="77"/>
      <c r="CM588" s="76"/>
      <c r="CN588" s="76"/>
      <c r="CO588" s="76"/>
      <c r="CP588" s="76"/>
      <c r="CQ588" s="76"/>
      <c r="CR588" s="78" t="str">
        <f t="shared" si="159"/>
        <v/>
      </c>
      <c r="CS588" s="79" t="str">
        <f t="shared" si="160"/>
        <v/>
      </c>
      <c r="CT588" s="79" t="str">
        <f t="shared" si="161"/>
        <v/>
      </c>
      <c r="CU588" s="79" t="str">
        <f t="shared" si="162"/>
        <v/>
      </c>
      <c r="CV588" s="79" t="str">
        <f t="shared" si="163"/>
        <v/>
      </c>
      <c r="CW588" s="79" t="str">
        <f t="shared" si="164"/>
        <v/>
      </c>
      <c r="CX588" s="79" t="str">
        <f t="shared" si="165"/>
        <v/>
      </c>
      <c r="CY588" s="79" t="str">
        <f t="shared" si="166"/>
        <v/>
      </c>
      <c r="CZ588" s="79" t="str">
        <f t="shared" si="167"/>
        <v/>
      </c>
      <c r="DA588" s="79" t="str">
        <f t="shared" si="168"/>
        <v/>
      </c>
      <c r="DB588" s="79" t="str">
        <f t="shared" si="169"/>
        <v/>
      </c>
      <c r="DC588" s="79" t="str">
        <f t="shared" si="170"/>
        <v/>
      </c>
      <c r="DD588" s="79" t="str">
        <f t="shared" si="171"/>
        <v/>
      </c>
      <c r="DE588" s="79" t="str">
        <f t="shared" si="172"/>
        <v/>
      </c>
      <c r="DF588" s="79" t="str">
        <f t="shared" si="173"/>
        <v/>
      </c>
      <c r="DG588" s="79" t="str">
        <f t="shared" si="174"/>
        <v/>
      </c>
      <c r="DH588" s="76"/>
      <c r="DI588" s="78"/>
      <c r="DJ588" s="76"/>
      <c r="DK588" s="77"/>
      <c r="DL588" s="77"/>
      <c r="DM588" s="77"/>
      <c r="DN588" s="80"/>
      <c r="DO588" s="80"/>
      <c r="DP588" s="92" t="str">
        <f>IF(Table1[Start Date]="","",IF(Table1[Start Date]&gt;42185,"",IF(AND(Table1[Leaving Date]&gt;1,Table1[Leaving Date]&lt;42095),"",1)))</f>
        <v/>
      </c>
      <c r="DQ588" s="92" t="str">
        <f>IF(Table1[Start Date]="","",IF(Table1[Start Date]&gt;42277,"",IF(AND(Table1[Leaving Date]&gt;1,Table1[Leaving Date]&lt;42186),"",1)))</f>
        <v/>
      </c>
      <c r="DR588" s="92" t="str">
        <f>IF(Table1[Start Date]="","",IF(Table1[Start Date]&gt;42369,"",IF(AND(Table1[Leaving Date]&gt;1,Table1[Leaving Date]&lt;42278),"",1)))</f>
        <v/>
      </c>
      <c r="DS588" s="92" t="str">
        <f>IF(Table1[Start Date]="","",IF(Table1[Start Date]&gt;42460,"",IF(AND(Table1[Leaving Date]&gt;1,Table1[Leaving Date]&lt;42370),"",1)))</f>
        <v/>
      </c>
      <c r="DT588" s="92" t="str">
        <f>IF(Table1[Start Date]="","",IF(Table1[Start Date]&gt;42551,"",IF(AND(Table1[Leaving Date]&gt;1,Table1[Leaving Date]&lt;42461),"",1)))</f>
        <v/>
      </c>
      <c r="DU588" s="92" t="str">
        <f>IF(Table1[Start Date]="","",IF(Table1[Start Date]&gt;42643,"",IF(AND(Table1[Leaving Date]&gt;1,Table1[Leaving Date]&lt;42552),"",1)))</f>
        <v/>
      </c>
      <c r="DV588" s="92" t="str">
        <f>IF(Table1[Start Date]="","",IF(Table1[Start Date]&gt;42735,"",IF(AND(Table1[Leaving Date]&gt;1,Table1[Leaving Date]&lt;42644),"",1)))</f>
        <v/>
      </c>
      <c r="DW588" s="92" t="str">
        <f>IF(Table1[Start Date]="","",IF(Table1[Start Date]&gt;42825,"",IF(AND(Table1[Leaving Date]&gt;1,Table1[Leaving Date]&lt;42736),"",1)))</f>
        <v/>
      </c>
      <c r="DX588"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588" s="44" t="e">
        <f>VLOOKUP(Table1[Referral Source],Lists!$G$2:$H$20,2,FALSE)</f>
        <v>#N/A</v>
      </c>
      <c r="DZ588" s="93" t="e">
        <f>SUM(Table1[Data Referral Quarter]+Table1[Data Referral Source])</f>
        <v>#N/A</v>
      </c>
      <c r="EA588" s="44" t="b">
        <f>IF(Table1[Referral Decision]="Accepted",100,IF(Table1[Referral Decision]="Rejected by Provider",200,IF(Table1[Referral Decision]="Rejected by Applicant",300)))</f>
        <v>0</v>
      </c>
      <c r="EB588" s="44">
        <f>SUM(Table1[Data Referral Quarter]+Table1[Data Referral Decision])</f>
        <v>0</v>
      </c>
      <c r="EC588" s="44" t="b">
        <f>IF(Table1[Start Date]&gt;42735,8000,IF(Table1[Start Date]&gt;42643,7000,IF(Table1[Start Date]&gt;42551,6000,IF(Table1[Start Date]&gt;42460,5000,IF(Table1[Start Date]&gt;42369,4000,IF(Table1[Start Date]&gt;42277,3000,IF(Table1[Start Date]&gt;42185,2000,IF(Table1[Start Date]&gt;42094,1000))))))))</f>
        <v>0</v>
      </c>
      <c r="ED588" s="44" t="str">
        <f>IF(Table1[Start Date]="","",IF(Table1[Current Local Authority]="Swindon",1,"2"))</f>
        <v/>
      </c>
      <c r="EE588" s="44" t="e">
        <f>SUM(Table1[Data Start Date]+Table1[Data Local Authority])</f>
        <v>#VALUE!</v>
      </c>
      <c r="EF588" s="44">
        <f>IF(Table1[Registered with GP]="Yes",1,0)</f>
        <v>0</v>
      </c>
      <c r="EG588" s="44">
        <f>SUM(Table1[Data Start Date]+Table1[Data GP Start])</f>
        <v>0</v>
      </c>
      <c r="EH588" s="44" t="str">
        <f>IF(Table1[EET]="NEET",1,IF(Table1[EET]="Education",2,IF(Table1[EET]="Employment",2,IF(Table1[EET]="Training",2,IF(Table1[EET]="Retired",3,"")))))</f>
        <v/>
      </c>
      <c r="EI588" s="44" t="e">
        <f>Table1[Data Start Date]+Table1[Data EET Start]</f>
        <v>#VALUE!</v>
      </c>
      <c r="EJ588" s="44" t="b">
        <f>IF(Table1[Leaving Date]&gt;42735,8000,IF(Table1[Leaving Date]&gt;42643,7000,IF(Table1[Leaving Date]&gt;42551,6000,IF(Table1[Leaving Date]&gt;42460,5000,IF(Table1[Leaving Date]&gt;42369,4000,IF(Table1[Leaving Date]&gt;42277,3000,IF(Table1[Leaving Date]&gt;42185,2000,IF(Table1[Leaving Date]&gt;42094,1000))))))))</f>
        <v>0</v>
      </c>
      <c r="EK588" s="44" t="e">
        <f>VLOOKUP(Table1[Reason for Leaving],Lists!$T$2:$U$15,2,FALSE)</f>
        <v>#N/A</v>
      </c>
      <c r="EL588" s="44" t="e">
        <f>SUM(Table1[Data Leavers Date]+Table1[Data Move On])</f>
        <v>#N/A</v>
      </c>
      <c r="EM588" s="44" t="b">
        <f>IF(Table1[Registered with GP2]="Yes",1,IF(Table1[Registered with GP2]="No",0,IF(Table1[Registered with GP]="Yes",1,IF(Table1[Registered with GP]="No",0))))</f>
        <v>0</v>
      </c>
      <c r="EN588" s="44">
        <f>SUM(Table1[Data Leavers Date]+Table1[Data GP End])</f>
        <v>0</v>
      </c>
      <c r="EO588" s="44" t="str">
        <f>IF(Table1[EET2]="NEET",1,IF(Table1[EET2]="Employment",2,IF(Table1[EET2]="Education",2,IF(Table1[EET2]="Training",2,IF(Table1[EET2]="Retired",3,IF(Table1[EET]="NEET",1,IF(Table1[EET]="Employment",2,IF(Table1[EET]="Education",2,IF(Table1[EET]="Training",2,IF(Table1[EET]="Retired",3,""))))))))))</f>
        <v/>
      </c>
      <c r="EP588" s="44" t="e">
        <f>+Table1[[#This Row],[Data Leavers Date]]+Table1[[#This Row],[Data EET End]]</f>
        <v>#VALUE!</v>
      </c>
      <c r="EQ588" s="44">
        <f>IF(Table1[Exit Form Received]="Yes",1,0)</f>
        <v>0</v>
      </c>
      <c r="ER588" s="44">
        <f>+Table1[[#This Row],[Data Leavers Date]]+Table1[[#This Row],[Data Exit Forms]]</f>
        <v>0</v>
      </c>
      <c r="ES588" s="44" t="str">
        <f>IF(Table1[Data Leavers Date]=1000,SUM(Table1[Leaving Date]-Table1[Start Date]),"")</f>
        <v/>
      </c>
      <c r="ET588" s="44" t="str">
        <f>IF(Table1[Data Leavers Date]=2000,SUM(Table1[Leaving Date]-Table1[Start Date]),"")</f>
        <v/>
      </c>
      <c r="EU588" s="44" t="str">
        <f>IF(Table1[Data Leavers Date]=3000,SUM(Table1[Leaving Date]-Table1[Start Date]),"")</f>
        <v/>
      </c>
      <c r="EV588" s="44" t="str">
        <f>IF(Table1[Data Leavers Date]=4000,SUM(Table1[Leaving Date]-Table1[Start Date]),"")</f>
        <v/>
      </c>
      <c r="EW588" s="44" t="str">
        <f>IF(Table1[Data Leavers Date]=5000,SUM(Table1[Leaving Date]-Table1[Start Date]),"")</f>
        <v/>
      </c>
      <c r="EX588" s="44" t="str">
        <f>IF(Table1[Data Leavers Date]=6000,SUM(Table1[Leaving Date]-Table1[Start Date]),"")</f>
        <v/>
      </c>
      <c r="EY588" s="44" t="str">
        <f>IF(Table1[Data Leavers Date]=7000,SUM(Table1[Leaving Date]-Table1[Start Date]),"")</f>
        <v/>
      </c>
      <c r="EZ588" s="44" t="str">
        <f>IF(Table1[Data Leavers Date]=8000,SUM(Table1[Leaving Date]-Table1[Start Date]),"")</f>
        <v/>
      </c>
      <c r="FA588" s="44" t="str">
        <f>IF(Table1[Date of Initial Assessment]="","",IF(AND(Table1[Start Date]&gt;42094,Table1[Start Date]&lt;42461),Table1[Motivation and Taking Responsibility],""))</f>
        <v/>
      </c>
      <c r="FB588" s="44" t="str">
        <f>IF(Table1[Date of Initial Assessment]="","",IF(AND(Table1[Start Date]&gt;42094,Table1[Start Date]&lt;42461),Table1[Self-Care and Living Skills],""))</f>
        <v/>
      </c>
      <c r="FC588" s="44" t="str">
        <f>IF(Table1[Date of Initial Assessment]="","",IF(AND(Table1[Start Date]&gt;42094,Table1[Start Date]&lt;42461),Table1[Managing Money and Personal Administration],""))</f>
        <v/>
      </c>
      <c r="FD588" s="44" t="str">
        <f>IF(Table1[Date of Initial Assessment]="","",IF(AND(Table1[Start Date]&gt;42094,Table1[Start Date]&lt;42461),Table1[Social Networks and Relationships],""))</f>
        <v/>
      </c>
      <c r="FE588" s="44" t="str">
        <f>IF(Table1[Date of Initial Assessment]="","",IF(AND(Table1[Start Date]&gt;42094,Table1[Start Date]&lt;42461),Table1[Drug and Alcohol Misuse],""))</f>
        <v/>
      </c>
      <c r="FF588" s="44" t="str">
        <f>IF(Table1[Date of Initial Assessment]="","",IF(AND(Table1[Start Date]&gt;42094,Table1[Start Date]&lt;42461),Table1[Physical Health],""))</f>
        <v/>
      </c>
      <c r="FG588" s="44" t="str">
        <f>IF(Table1[Date of Initial Assessment]="","",IF(AND(Table1[Start Date]&gt;42094,Table1[Start Date]&lt;42461),Table1[Emotional and Mental Health],""))</f>
        <v/>
      </c>
      <c r="FH588" s="44" t="str">
        <f>IF(Table1[Date of Initial Assessment]="","",IF(AND(Table1[Start Date]&gt;42094,Table1[Start Date]&lt;42461),Table1[Meaningful Use of Time],""))</f>
        <v/>
      </c>
      <c r="FI588" s="44" t="str">
        <f>IF(Table1[Date of Initial Assessment]="","",IF(AND(Table1[Start Date]&gt;42094,Table1[Start Date]&lt;42461),Table1[Managing Tenancy and Accommodation],""))</f>
        <v/>
      </c>
      <c r="FJ588" s="44" t="str">
        <f>IF(Table1[Date of Initial Assessment]="","",IF(AND(Table1[Start Date]&gt;42094,Table1[Start Date]&lt;42461),Table1[Offending],""))</f>
        <v/>
      </c>
      <c r="FK588" s="44" t="str">
        <f>IF(Table1[Leaving Date]="","",IF(Table1[Date of Initial Assessment]="","",IF(AND(Table1[Leaving Date]&gt;42094,Table1[Leaving Date]&lt;42461),IF(Table1[Date of Last Assessment]="",Table1[Motivation and Taking Responsibility],Table1[Motivation and Taking Responsibility2]),"")))</f>
        <v/>
      </c>
      <c r="FL588" s="44" t="str">
        <f>IF(Table1[Leaving Date]="","",IF(Table1[Date of Initial Assessment]="","",IF(AND(Table1[Leaving Date]&gt;42094,Table1[Leaving Date]&lt;42461),IF(Table1[Date of Last Assessment]="",Table1[Self-Care and Living Skills],Table1[Self-Care and Living Skills2]),"")))</f>
        <v/>
      </c>
      <c r="FM588" s="44" t="str">
        <f>IF(Table1[Leaving Date]="","",IF(Table1[Date of Initial Assessment]="","",IF(AND(Table1[Leaving Date]&gt;42094,Table1[Leaving Date]&lt;42461),IF(Table1[Date of Last Assessment]="",Table1[Managing Money and Personal Administration],Table1[Managing Money and Personal Administration2]),"")))</f>
        <v/>
      </c>
      <c r="FN588" s="44" t="str">
        <f>IF(Table1[Leaving Date]="","",IF(Table1[Date of Initial Assessment]="","",IF(AND(Table1[Leaving Date]&gt;42094,Table1[Leaving Date]&lt;42461),IF(Table1[Date of Last Assessment]="",Table1[Social Networks and Relationships],Table1[Social Networks and Relationships2]),"")))</f>
        <v/>
      </c>
      <c r="FO588" s="44" t="str">
        <f>IF(Table1[Leaving Date]="","",IF(Table1[Date of Initial Assessment]="","",IF(AND(Table1[Leaving Date]&gt;42094,Table1[Leaving Date]&lt;42461),IF(Table1[Date of Last Assessment]="",Table1[Drug and Alcohol Misuse],Table1[Drug and Alcohol Misuse2]),"")))</f>
        <v/>
      </c>
      <c r="FP588" s="44" t="str">
        <f>IF(Table1[Leaving Date]="","",IF(Table1[Date of Initial Assessment]="","",IF(AND(Table1[Leaving Date]&gt;42094,Table1[Leaving Date]&lt;42461),IF(Table1[Date of Last Assessment]="",Table1[Physical Health],Table1[Physical Health2]),"")))</f>
        <v/>
      </c>
      <c r="FQ588" s="44" t="str">
        <f>IF(Table1[Leaving Date]="","",IF(Table1[Date of Initial Assessment]="","",IF(AND(Table1[Leaving Date]&gt;42094,Table1[Leaving Date]&lt;42461),IF(Table1[Date of Last Assessment]="",Table1[Emotional and Mental Health],Table1[Emotional and Mental Health2]),"")))</f>
        <v/>
      </c>
      <c r="FR588" s="44" t="str">
        <f>IF(Table1[Leaving Date]="","",IF(Table1[Date of Initial Assessment]="","",IF(AND(Table1[Leaving Date]&gt;42094,Table1[Leaving Date]&lt;42461),IF(Table1[Date of Last Assessment]="",Table1[Meaningful Use of Time],Table1[Meaningful Use of Time2]),"")))</f>
        <v/>
      </c>
      <c r="FS588" s="44" t="str">
        <f>IF(Table1[Leaving Date]="","",IF(Table1[Date of Initial Assessment]="","",IF(AND(Table1[Leaving Date]&gt;42094,Table1[Leaving Date]&lt;42461),IF(Table1[Date of Last Assessment]="",Table1[Managing Tenancy and Accommodation],Table1[Managing Tenancy and Accommodation2]),"")))</f>
        <v/>
      </c>
      <c r="FT588" s="44" t="str">
        <f>IF(Table1[Leaving Date]="","",IF(Table1[Date of Initial Assessment]="","",IF(AND(Table1[Leaving Date]&gt;42094,Table1[Leaving Date]&lt;42461),IF(Table1[Date of Last Assessment]="",Table1[Offending],Table1[Offending2]),"")))</f>
        <v/>
      </c>
      <c r="FU588" s="44" t="str">
        <f>IF(Table1[Date of Initial Assessment]="","",IF(AND(Table1[Start Date]&gt;42460,Table1[Start Date]&lt;42826),Table1[Motivation and Taking Responsibility],""))</f>
        <v/>
      </c>
      <c r="FV588" s="44" t="str">
        <f>IF(Table1[Date of Initial Assessment]="","",IF(AND(Table1[Start Date]&gt;42460,Table1[Start Date]&lt;42826),Table1[Self-Care and Living Skills],""))</f>
        <v/>
      </c>
      <c r="FW588" s="44" t="str">
        <f>IF(Table1[Date of Initial Assessment]="","",IF(AND(Table1[Start Date]&gt;42460,Table1[Start Date]&lt;42826),Table1[Managing Money and Personal Administration],""))</f>
        <v/>
      </c>
      <c r="FX588" s="44" t="str">
        <f>IF(Table1[Date of Initial Assessment]="","",IF(AND(Table1[Start Date]&gt;42460,Table1[Start Date]&lt;42826),Table1[Social Networks and Relationships],""))</f>
        <v/>
      </c>
      <c r="FY588" s="44" t="str">
        <f>IF(Table1[Date of Initial Assessment]="","",IF(AND(Table1[Start Date]&gt;42460,Table1[Start Date]&lt;42826),Table1[Drug and Alcohol Misuse],""))</f>
        <v/>
      </c>
      <c r="FZ588" s="44" t="str">
        <f>IF(Table1[Date of Initial Assessment]="","",IF(AND(Table1[Start Date]&gt;42460,Table1[Start Date]&lt;42826),Table1[Physical Health],""))</f>
        <v/>
      </c>
      <c r="GA588" s="44" t="str">
        <f>IF(Table1[Date of Initial Assessment]="","",IF(AND(Table1[Start Date]&gt;42460,Table1[Start Date]&lt;42826),Table1[Emotional and Mental Health],""))</f>
        <v/>
      </c>
      <c r="GB588" s="44" t="str">
        <f>IF(Table1[Date of Initial Assessment]="","",IF(AND(Table1[Start Date]&gt;42460,Table1[Start Date]&lt;42826),Table1[Meaningful Use of Time],""))</f>
        <v/>
      </c>
      <c r="GC588" s="44" t="str">
        <f>IF(Table1[Date of Initial Assessment]="","",IF(AND(Table1[Start Date]&gt;42460,Table1[Start Date]&lt;42826),Table1[Managing Tenancy and Accommodation],""))</f>
        <v/>
      </c>
      <c r="GD588" s="44" t="str">
        <f>IF(Table1[Date of Initial Assessment]="","",IF(AND(Table1[Start Date]&gt;42460,Table1[Start Date]&lt;42826),Table1[Offending],""))</f>
        <v/>
      </c>
      <c r="GE588" s="44" t="str">
        <f>IF(Table1[Leaving Date]="","",IF(AND(Table1[Leaving Date]&gt;42460,Table1[Leaving Date]&lt;42826),IF(Table1[Date of Last Assessment]="",Table1[Motivation and Taking Responsibility],Table1[Motivation and Taking Responsibility2]),""))</f>
        <v/>
      </c>
      <c r="GF588" s="44" t="str">
        <f>IF(Table1[Leaving Date]="","",IF(AND(Table1[Leaving Date]&gt;42460,Table1[Leaving Date]&lt;42826),IF(Table1[Date of Last Assessment]="",Table1[Self-Care and Living Skills],Table1[Self-Care and Living Skills2]),""))</f>
        <v/>
      </c>
      <c r="GG588" s="44" t="str">
        <f>IF(Table1[Leaving Date]="","",IF(AND(Table1[Leaving Date]&gt;42460,Table1[Leaving Date]&lt;42826),IF(Table1[Date of Last Assessment]="",Table1[Managing Money and Personal Administration],Table1[Managing Money and Personal Administration2]),""))</f>
        <v/>
      </c>
      <c r="GH588" s="44" t="str">
        <f>IF(Table1[Leaving Date]="","",IF(AND(Table1[Leaving Date]&gt;42460,Table1[Leaving Date]&lt;42826),IF(Table1[Date of Last Assessment]="",Table1[Social Networks and Relationships],Table1[Social Networks and Relationships2]),""))</f>
        <v/>
      </c>
      <c r="GI588" s="44" t="str">
        <f>IF(Table1[Leaving Date]="","",IF(AND(Table1[Leaving Date]&gt;42460,Table1[Leaving Date]&lt;42826),IF(Table1[Date of Last Assessment]="",Table1[Drug and Alcohol Misuse],Table1[Drug and Alcohol Misuse2]),""))</f>
        <v/>
      </c>
      <c r="GJ588" s="44" t="str">
        <f>IF(Table1[Leaving Date]="","",IF(AND(Table1[Leaving Date]&gt;42460,Table1[Leaving Date]&lt;42826),IF(Table1[Date of Last Assessment]="",Table1[Physical Health],Table1[Physical Health2]),""))</f>
        <v/>
      </c>
      <c r="GK588" s="44" t="str">
        <f>IF(Table1[Leaving Date]="","",IF(AND(Table1[Leaving Date]&gt;42460,Table1[Leaving Date]&lt;42826),IF(Table1[Date of Last Assessment]="",Table1[Emotional and Mental Health],Table1[Emotional and Mental Health2]),""))</f>
        <v/>
      </c>
      <c r="GL588" s="44" t="str">
        <f>IF(Table1[Leaving Date]="","",IF(AND(Table1[Leaving Date]&gt;42460,Table1[Leaving Date]&lt;42826),IF(Table1[Date of Last Assessment]="",Table1[Meaningful Use of Time],Table1[Meaningful Use of Time2]),""))</f>
        <v/>
      </c>
      <c r="GM588" s="44" t="str">
        <f>IF(Table1[Leaving Date]="","",IF(AND(Table1[Leaving Date]&gt;42460,Table1[Leaving Date]&lt;42826),IF(Table1[Date of Last Assessment]="",Table1[Managing Tenancy and Accommodation],Table1[Managing Tenancy and Accommodation2]),""))</f>
        <v/>
      </c>
      <c r="GN588" s="44" t="str">
        <f>IF(Table1[Leaving Date]="","",IF(AND(Table1[Leaving Date]&gt;42460,Table1[Leaving Date]&lt;42826),IF(Table1[Date of Last Assessment]="",Table1[Offending],Table1[Offending2]),""))</f>
        <v/>
      </c>
    </row>
    <row r="589" spans="2:196" ht="20.100000000000001" customHeight="1" x14ac:dyDescent="0.2">
      <c r="B589" s="86">
        <f>+'Service Data'!$C$5:$C$5</f>
        <v>0</v>
      </c>
      <c r="C589" s="86"/>
      <c r="D589" s="86"/>
      <c r="E589" s="86"/>
      <c r="F589" s="86"/>
      <c r="G589" s="86"/>
      <c r="H589" s="6"/>
      <c r="I589" s="99" t="str">
        <f ca="1">IF(Table1[[#This Row],[Date of Birth]]="","",SUM(TODAY()-Table1[[#This Row],[Date of Birth]])/365)</f>
        <v/>
      </c>
      <c r="L589" s="86"/>
      <c r="M589" s="77"/>
      <c r="N589" s="86"/>
      <c r="O589" s="86"/>
      <c r="P589" s="91"/>
      <c r="Q589" s="86"/>
      <c r="R589" s="77"/>
      <c r="S589" s="77"/>
      <c r="T589" s="68"/>
      <c r="U589" s="68"/>
      <c r="V589" s="67"/>
      <c r="W589" s="67"/>
      <c r="X589" s="67"/>
      <c r="Y589" s="67"/>
      <c r="Z589" s="67"/>
      <c r="AA589" s="67"/>
      <c r="AB589" s="67"/>
      <c r="AC589" s="67"/>
      <c r="AD589" s="67"/>
      <c r="AE589" s="67"/>
      <c r="AF589" s="67"/>
      <c r="AG589" s="67"/>
      <c r="AH589" s="67"/>
      <c r="AI589" s="67"/>
      <c r="AJ589" s="67"/>
      <c r="AK589" s="67"/>
      <c r="AL589" s="67"/>
      <c r="AM589" s="67"/>
      <c r="AN589" s="77"/>
      <c r="AO589" s="76"/>
      <c r="AP589" s="77"/>
      <c r="AQ589" s="76"/>
      <c r="AR589" s="76"/>
      <c r="AS589" s="76"/>
      <c r="AT589" s="76"/>
      <c r="AU589" s="76"/>
      <c r="AV589" s="77"/>
      <c r="AW589" s="76"/>
      <c r="AX589" s="77"/>
      <c r="AY589" s="76"/>
      <c r="AZ589" s="76"/>
      <c r="BA589" s="76"/>
      <c r="BB589" s="76"/>
      <c r="BC589" s="76"/>
      <c r="BD589" s="77"/>
      <c r="BE589" s="76"/>
      <c r="BF589" s="77"/>
      <c r="BG589" s="76"/>
      <c r="BH589" s="76"/>
      <c r="BI589" s="76"/>
      <c r="BJ589" s="76"/>
      <c r="BK589" s="76"/>
      <c r="BL589" s="77"/>
      <c r="BM589" s="76"/>
      <c r="BN589" s="77"/>
      <c r="BO589" s="76"/>
      <c r="BP589" s="76"/>
      <c r="BQ589" s="76"/>
      <c r="BR589" s="76"/>
      <c r="BS589" s="76"/>
      <c r="BT589" s="77"/>
      <c r="BU589" s="76"/>
      <c r="BV589" s="77"/>
      <c r="BW589" s="76"/>
      <c r="BX589" s="76"/>
      <c r="BY589" s="76"/>
      <c r="BZ589" s="76"/>
      <c r="CA589" s="76"/>
      <c r="CB589" s="77"/>
      <c r="CC589" s="76"/>
      <c r="CD589" s="77"/>
      <c r="CE589" s="76"/>
      <c r="CF589" s="76"/>
      <c r="CG589" s="76"/>
      <c r="CH589" s="76"/>
      <c r="CI589" s="76"/>
      <c r="CJ589" s="77"/>
      <c r="CK589" s="76"/>
      <c r="CL589" s="77"/>
      <c r="CM589" s="76"/>
      <c r="CN589" s="76"/>
      <c r="CO589" s="76"/>
      <c r="CP589" s="76"/>
      <c r="CQ589" s="76"/>
      <c r="CR589" s="78" t="str">
        <f t="shared" si="159"/>
        <v/>
      </c>
      <c r="CS589" s="79" t="str">
        <f t="shared" si="160"/>
        <v/>
      </c>
      <c r="CT589" s="79" t="str">
        <f t="shared" si="161"/>
        <v/>
      </c>
      <c r="CU589" s="79" t="str">
        <f t="shared" si="162"/>
        <v/>
      </c>
      <c r="CV589" s="79" t="str">
        <f t="shared" si="163"/>
        <v/>
      </c>
      <c r="CW589" s="79" t="str">
        <f t="shared" si="164"/>
        <v/>
      </c>
      <c r="CX589" s="79" t="str">
        <f t="shared" si="165"/>
        <v/>
      </c>
      <c r="CY589" s="79" t="str">
        <f t="shared" si="166"/>
        <v/>
      </c>
      <c r="CZ589" s="79" t="str">
        <f t="shared" si="167"/>
        <v/>
      </c>
      <c r="DA589" s="79" t="str">
        <f t="shared" si="168"/>
        <v/>
      </c>
      <c r="DB589" s="79" t="str">
        <f t="shared" si="169"/>
        <v/>
      </c>
      <c r="DC589" s="79" t="str">
        <f t="shared" si="170"/>
        <v/>
      </c>
      <c r="DD589" s="79" t="str">
        <f t="shared" si="171"/>
        <v/>
      </c>
      <c r="DE589" s="79" t="str">
        <f t="shared" si="172"/>
        <v/>
      </c>
      <c r="DF589" s="79" t="str">
        <f t="shared" si="173"/>
        <v/>
      </c>
      <c r="DG589" s="79" t="str">
        <f t="shared" si="174"/>
        <v/>
      </c>
      <c r="DH589" s="76"/>
      <c r="DI589" s="78"/>
      <c r="DJ589" s="76"/>
      <c r="DK589" s="77"/>
      <c r="DL589" s="77"/>
      <c r="DM589" s="77"/>
      <c r="DN589" s="80"/>
      <c r="DO589" s="80"/>
      <c r="DP589" s="92" t="str">
        <f>IF(Table1[Start Date]="","",IF(Table1[Start Date]&gt;42185,"",IF(AND(Table1[Leaving Date]&gt;1,Table1[Leaving Date]&lt;42095),"",1)))</f>
        <v/>
      </c>
      <c r="DQ589" s="92" t="str">
        <f>IF(Table1[Start Date]="","",IF(Table1[Start Date]&gt;42277,"",IF(AND(Table1[Leaving Date]&gt;1,Table1[Leaving Date]&lt;42186),"",1)))</f>
        <v/>
      </c>
      <c r="DR589" s="92" t="str">
        <f>IF(Table1[Start Date]="","",IF(Table1[Start Date]&gt;42369,"",IF(AND(Table1[Leaving Date]&gt;1,Table1[Leaving Date]&lt;42278),"",1)))</f>
        <v/>
      </c>
      <c r="DS589" s="92" t="str">
        <f>IF(Table1[Start Date]="","",IF(Table1[Start Date]&gt;42460,"",IF(AND(Table1[Leaving Date]&gt;1,Table1[Leaving Date]&lt;42370),"",1)))</f>
        <v/>
      </c>
      <c r="DT589" s="92" t="str">
        <f>IF(Table1[Start Date]="","",IF(Table1[Start Date]&gt;42551,"",IF(AND(Table1[Leaving Date]&gt;1,Table1[Leaving Date]&lt;42461),"",1)))</f>
        <v/>
      </c>
      <c r="DU589" s="92" t="str">
        <f>IF(Table1[Start Date]="","",IF(Table1[Start Date]&gt;42643,"",IF(AND(Table1[Leaving Date]&gt;1,Table1[Leaving Date]&lt;42552),"",1)))</f>
        <v/>
      </c>
      <c r="DV589" s="92" t="str">
        <f>IF(Table1[Start Date]="","",IF(Table1[Start Date]&gt;42735,"",IF(AND(Table1[Leaving Date]&gt;1,Table1[Leaving Date]&lt;42644),"",1)))</f>
        <v/>
      </c>
      <c r="DW589" s="92" t="str">
        <f>IF(Table1[Start Date]="","",IF(Table1[Start Date]&gt;42825,"",IF(AND(Table1[Leaving Date]&gt;1,Table1[Leaving Date]&lt;42736),"",1)))</f>
        <v/>
      </c>
      <c r="DX589"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589" s="44" t="e">
        <f>VLOOKUP(Table1[Referral Source],Lists!$G$2:$H$20,2,FALSE)</f>
        <v>#N/A</v>
      </c>
      <c r="DZ589" s="93" t="e">
        <f>SUM(Table1[Data Referral Quarter]+Table1[Data Referral Source])</f>
        <v>#N/A</v>
      </c>
      <c r="EA589" s="44" t="b">
        <f>IF(Table1[Referral Decision]="Accepted",100,IF(Table1[Referral Decision]="Rejected by Provider",200,IF(Table1[Referral Decision]="Rejected by Applicant",300)))</f>
        <v>0</v>
      </c>
      <c r="EB589" s="44">
        <f>SUM(Table1[Data Referral Quarter]+Table1[Data Referral Decision])</f>
        <v>0</v>
      </c>
      <c r="EC589" s="44" t="b">
        <f>IF(Table1[Start Date]&gt;42735,8000,IF(Table1[Start Date]&gt;42643,7000,IF(Table1[Start Date]&gt;42551,6000,IF(Table1[Start Date]&gt;42460,5000,IF(Table1[Start Date]&gt;42369,4000,IF(Table1[Start Date]&gt;42277,3000,IF(Table1[Start Date]&gt;42185,2000,IF(Table1[Start Date]&gt;42094,1000))))))))</f>
        <v>0</v>
      </c>
      <c r="ED589" s="44" t="str">
        <f>IF(Table1[Start Date]="","",IF(Table1[Current Local Authority]="Swindon",1,"2"))</f>
        <v/>
      </c>
      <c r="EE589" s="44" t="e">
        <f>SUM(Table1[Data Start Date]+Table1[Data Local Authority])</f>
        <v>#VALUE!</v>
      </c>
      <c r="EF589" s="44">
        <f>IF(Table1[Registered with GP]="Yes",1,0)</f>
        <v>0</v>
      </c>
      <c r="EG589" s="44">
        <f>SUM(Table1[Data Start Date]+Table1[Data GP Start])</f>
        <v>0</v>
      </c>
      <c r="EH589" s="44" t="str">
        <f>IF(Table1[EET]="NEET",1,IF(Table1[EET]="Education",2,IF(Table1[EET]="Employment",2,IF(Table1[EET]="Training",2,IF(Table1[EET]="Retired",3,"")))))</f>
        <v/>
      </c>
      <c r="EI589" s="44" t="e">
        <f>Table1[Data Start Date]+Table1[Data EET Start]</f>
        <v>#VALUE!</v>
      </c>
      <c r="EJ589" s="44" t="b">
        <f>IF(Table1[Leaving Date]&gt;42735,8000,IF(Table1[Leaving Date]&gt;42643,7000,IF(Table1[Leaving Date]&gt;42551,6000,IF(Table1[Leaving Date]&gt;42460,5000,IF(Table1[Leaving Date]&gt;42369,4000,IF(Table1[Leaving Date]&gt;42277,3000,IF(Table1[Leaving Date]&gt;42185,2000,IF(Table1[Leaving Date]&gt;42094,1000))))))))</f>
        <v>0</v>
      </c>
      <c r="EK589" s="44" t="e">
        <f>VLOOKUP(Table1[Reason for Leaving],Lists!$T$2:$U$15,2,FALSE)</f>
        <v>#N/A</v>
      </c>
      <c r="EL589" s="44" t="e">
        <f>SUM(Table1[Data Leavers Date]+Table1[Data Move On])</f>
        <v>#N/A</v>
      </c>
      <c r="EM589" s="44" t="b">
        <f>IF(Table1[Registered with GP2]="Yes",1,IF(Table1[Registered with GP2]="No",0,IF(Table1[Registered with GP]="Yes",1,IF(Table1[Registered with GP]="No",0))))</f>
        <v>0</v>
      </c>
      <c r="EN589" s="44">
        <f>SUM(Table1[Data Leavers Date]+Table1[Data GP End])</f>
        <v>0</v>
      </c>
      <c r="EO589" s="44" t="str">
        <f>IF(Table1[EET2]="NEET",1,IF(Table1[EET2]="Employment",2,IF(Table1[EET2]="Education",2,IF(Table1[EET2]="Training",2,IF(Table1[EET2]="Retired",3,IF(Table1[EET]="NEET",1,IF(Table1[EET]="Employment",2,IF(Table1[EET]="Education",2,IF(Table1[EET]="Training",2,IF(Table1[EET]="Retired",3,""))))))))))</f>
        <v/>
      </c>
      <c r="EP589" s="44" t="e">
        <f>+Table1[[#This Row],[Data Leavers Date]]+Table1[[#This Row],[Data EET End]]</f>
        <v>#VALUE!</v>
      </c>
      <c r="EQ589" s="44">
        <f>IF(Table1[Exit Form Received]="Yes",1,0)</f>
        <v>0</v>
      </c>
      <c r="ER589" s="44">
        <f>+Table1[[#This Row],[Data Leavers Date]]+Table1[[#This Row],[Data Exit Forms]]</f>
        <v>0</v>
      </c>
      <c r="ES589" s="44" t="str">
        <f>IF(Table1[Data Leavers Date]=1000,SUM(Table1[Leaving Date]-Table1[Start Date]),"")</f>
        <v/>
      </c>
      <c r="ET589" s="44" t="str">
        <f>IF(Table1[Data Leavers Date]=2000,SUM(Table1[Leaving Date]-Table1[Start Date]),"")</f>
        <v/>
      </c>
      <c r="EU589" s="44" t="str">
        <f>IF(Table1[Data Leavers Date]=3000,SUM(Table1[Leaving Date]-Table1[Start Date]),"")</f>
        <v/>
      </c>
      <c r="EV589" s="44" t="str">
        <f>IF(Table1[Data Leavers Date]=4000,SUM(Table1[Leaving Date]-Table1[Start Date]),"")</f>
        <v/>
      </c>
      <c r="EW589" s="44" t="str">
        <f>IF(Table1[Data Leavers Date]=5000,SUM(Table1[Leaving Date]-Table1[Start Date]),"")</f>
        <v/>
      </c>
      <c r="EX589" s="44" t="str">
        <f>IF(Table1[Data Leavers Date]=6000,SUM(Table1[Leaving Date]-Table1[Start Date]),"")</f>
        <v/>
      </c>
      <c r="EY589" s="44" t="str">
        <f>IF(Table1[Data Leavers Date]=7000,SUM(Table1[Leaving Date]-Table1[Start Date]),"")</f>
        <v/>
      </c>
      <c r="EZ589" s="44" t="str">
        <f>IF(Table1[Data Leavers Date]=8000,SUM(Table1[Leaving Date]-Table1[Start Date]),"")</f>
        <v/>
      </c>
      <c r="FA589" s="44" t="str">
        <f>IF(Table1[Date of Initial Assessment]="","",IF(AND(Table1[Start Date]&gt;42094,Table1[Start Date]&lt;42461),Table1[Motivation and Taking Responsibility],""))</f>
        <v/>
      </c>
      <c r="FB589" s="44" t="str">
        <f>IF(Table1[Date of Initial Assessment]="","",IF(AND(Table1[Start Date]&gt;42094,Table1[Start Date]&lt;42461),Table1[Self-Care and Living Skills],""))</f>
        <v/>
      </c>
      <c r="FC589" s="44" t="str">
        <f>IF(Table1[Date of Initial Assessment]="","",IF(AND(Table1[Start Date]&gt;42094,Table1[Start Date]&lt;42461),Table1[Managing Money and Personal Administration],""))</f>
        <v/>
      </c>
      <c r="FD589" s="44" t="str">
        <f>IF(Table1[Date of Initial Assessment]="","",IF(AND(Table1[Start Date]&gt;42094,Table1[Start Date]&lt;42461),Table1[Social Networks and Relationships],""))</f>
        <v/>
      </c>
      <c r="FE589" s="44" t="str">
        <f>IF(Table1[Date of Initial Assessment]="","",IF(AND(Table1[Start Date]&gt;42094,Table1[Start Date]&lt;42461),Table1[Drug and Alcohol Misuse],""))</f>
        <v/>
      </c>
      <c r="FF589" s="44" t="str">
        <f>IF(Table1[Date of Initial Assessment]="","",IF(AND(Table1[Start Date]&gt;42094,Table1[Start Date]&lt;42461),Table1[Physical Health],""))</f>
        <v/>
      </c>
      <c r="FG589" s="44" t="str">
        <f>IF(Table1[Date of Initial Assessment]="","",IF(AND(Table1[Start Date]&gt;42094,Table1[Start Date]&lt;42461),Table1[Emotional and Mental Health],""))</f>
        <v/>
      </c>
      <c r="FH589" s="44" t="str">
        <f>IF(Table1[Date of Initial Assessment]="","",IF(AND(Table1[Start Date]&gt;42094,Table1[Start Date]&lt;42461),Table1[Meaningful Use of Time],""))</f>
        <v/>
      </c>
      <c r="FI589" s="44" t="str">
        <f>IF(Table1[Date of Initial Assessment]="","",IF(AND(Table1[Start Date]&gt;42094,Table1[Start Date]&lt;42461),Table1[Managing Tenancy and Accommodation],""))</f>
        <v/>
      </c>
      <c r="FJ589" s="44" t="str">
        <f>IF(Table1[Date of Initial Assessment]="","",IF(AND(Table1[Start Date]&gt;42094,Table1[Start Date]&lt;42461),Table1[Offending],""))</f>
        <v/>
      </c>
      <c r="FK589" s="44" t="str">
        <f>IF(Table1[Leaving Date]="","",IF(Table1[Date of Initial Assessment]="","",IF(AND(Table1[Leaving Date]&gt;42094,Table1[Leaving Date]&lt;42461),IF(Table1[Date of Last Assessment]="",Table1[Motivation and Taking Responsibility],Table1[Motivation and Taking Responsibility2]),"")))</f>
        <v/>
      </c>
      <c r="FL589" s="44" t="str">
        <f>IF(Table1[Leaving Date]="","",IF(Table1[Date of Initial Assessment]="","",IF(AND(Table1[Leaving Date]&gt;42094,Table1[Leaving Date]&lt;42461),IF(Table1[Date of Last Assessment]="",Table1[Self-Care and Living Skills],Table1[Self-Care and Living Skills2]),"")))</f>
        <v/>
      </c>
      <c r="FM589" s="44" t="str">
        <f>IF(Table1[Leaving Date]="","",IF(Table1[Date of Initial Assessment]="","",IF(AND(Table1[Leaving Date]&gt;42094,Table1[Leaving Date]&lt;42461),IF(Table1[Date of Last Assessment]="",Table1[Managing Money and Personal Administration],Table1[Managing Money and Personal Administration2]),"")))</f>
        <v/>
      </c>
      <c r="FN589" s="44" t="str">
        <f>IF(Table1[Leaving Date]="","",IF(Table1[Date of Initial Assessment]="","",IF(AND(Table1[Leaving Date]&gt;42094,Table1[Leaving Date]&lt;42461),IF(Table1[Date of Last Assessment]="",Table1[Social Networks and Relationships],Table1[Social Networks and Relationships2]),"")))</f>
        <v/>
      </c>
      <c r="FO589" s="44" t="str">
        <f>IF(Table1[Leaving Date]="","",IF(Table1[Date of Initial Assessment]="","",IF(AND(Table1[Leaving Date]&gt;42094,Table1[Leaving Date]&lt;42461),IF(Table1[Date of Last Assessment]="",Table1[Drug and Alcohol Misuse],Table1[Drug and Alcohol Misuse2]),"")))</f>
        <v/>
      </c>
      <c r="FP589" s="44" t="str">
        <f>IF(Table1[Leaving Date]="","",IF(Table1[Date of Initial Assessment]="","",IF(AND(Table1[Leaving Date]&gt;42094,Table1[Leaving Date]&lt;42461),IF(Table1[Date of Last Assessment]="",Table1[Physical Health],Table1[Physical Health2]),"")))</f>
        <v/>
      </c>
      <c r="FQ589" s="44" t="str">
        <f>IF(Table1[Leaving Date]="","",IF(Table1[Date of Initial Assessment]="","",IF(AND(Table1[Leaving Date]&gt;42094,Table1[Leaving Date]&lt;42461),IF(Table1[Date of Last Assessment]="",Table1[Emotional and Mental Health],Table1[Emotional and Mental Health2]),"")))</f>
        <v/>
      </c>
      <c r="FR589" s="44" t="str">
        <f>IF(Table1[Leaving Date]="","",IF(Table1[Date of Initial Assessment]="","",IF(AND(Table1[Leaving Date]&gt;42094,Table1[Leaving Date]&lt;42461),IF(Table1[Date of Last Assessment]="",Table1[Meaningful Use of Time],Table1[Meaningful Use of Time2]),"")))</f>
        <v/>
      </c>
      <c r="FS589" s="44" t="str">
        <f>IF(Table1[Leaving Date]="","",IF(Table1[Date of Initial Assessment]="","",IF(AND(Table1[Leaving Date]&gt;42094,Table1[Leaving Date]&lt;42461),IF(Table1[Date of Last Assessment]="",Table1[Managing Tenancy and Accommodation],Table1[Managing Tenancy and Accommodation2]),"")))</f>
        <v/>
      </c>
      <c r="FT589" s="44" t="str">
        <f>IF(Table1[Leaving Date]="","",IF(Table1[Date of Initial Assessment]="","",IF(AND(Table1[Leaving Date]&gt;42094,Table1[Leaving Date]&lt;42461),IF(Table1[Date of Last Assessment]="",Table1[Offending],Table1[Offending2]),"")))</f>
        <v/>
      </c>
      <c r="FU589" s="44" t="str">
        <f>IF(Table1[Date of Initial Assessment]="","",IF(AND(Table1[Start Date]&gt;42460,Table1[Start Date]&lt;42826),Table1[Motivation and Taking Responsibility],""))</f>
        <v/>
      </c>
      <c r="FV589" s="44" t="str">
        <f>IF(Table1[Date of Initial Assessment]="","",IF(AND(Table1[Start Date]&gt;42460,Table1[Start Date]&lt;42826),Table1[Self-Care and Living Skills],""))</f>
        <v/>
      </c>
      <c r="FW589" s="44" t="str">
        <f>IF(Table1[Date of Initial Assessment]="","",IF(AND(Table1[Start Date]&gt;42460,Table1[Start Date]&lt;42826),Table1[Managing Money and Personal Administration],""))</f>
        <v/>
      </c>
      <c r="FX589" s="44" t="str">
        <f>IF(Table1[Date of Initial Assessment]="","",IF(AND(Table1[Start Date]&gt;42460,Table1[Start Date]&lt;42826),Table1[Social Networks and Relationships],""))</f>
        <v/>
      </c>
      <c r="FY589" s="44" t="str">
        <f>IF(Table1[Date of Initial Assessment]="","",IF(AND(Table1[Start Date]&gt;42460,Table1[Start Date]&lt;42826),Table1[Drug and Alcohol Misuse],""))</f>
        <v/>
      </c>
      <c r="FZ589" s="44" t="str">
        <f>IF(Table1[Date of Initial Assessment]="","",IF(AND(Table1[Start Date]&gt;42460,Table1[Start Date]&lt;42826),Table1[Physical Health],""))</f>
        <v/>
      </c>
      <c r="GA589" s="44" t="str">
        <f>IF(Table1[Date of Initial Assessment]="","",IF(AND(Table1[Start Date]&gt;42460,Table1[Start Date]&lt;42826),Table1[Emotional and Mental Health],""))</f>
        <v/>
      </c>
      <c r="GB589" s="44" t="str">
        <f>IF(Table1[Date of Initial Assessment]="","",IF(AND(Table1[Start Date]&gt;42460,Table1[Start Date]&lt;42826),Table1[Meaningful Use of Time],""))</f>
        <v/>
      </c>
      <c r="GC589" s="44" t="str">
        <f>IF(Table1[Date of Initial Assessment]="","",IF(AND(Table1[Start Date]&gt;42460,Table1[Start Date]&lt;42826),Table1[Managing Tenancy and Accommodation],""))</f>
        <v/>
      </c>
      <c r="GD589" s="44" t="str">
        <f>IF(Table1[Date of Initial Assessment]="","",IF(AND(Table1[Start Date]&gt;42460,Table1[Start Date]&lt;42826),Table1[Offending],""))</f>
        <v/>
      </c>
      <c r="GE589" s="44" t="str">
        <f>IF(Table1[Leaving Date]="","",IF(AND(Table1[Leaving Date]&gt;42460,Table1[Leaving Date]&lt;42826),IF(Table1[Date of Last Assessment]="",Table1[Motivation and Taking Responsibility],Table1[Motivation and Taking Responsibility2]),""))</f>
        <v/>
      </c>
      <c r="GF589" s="44" t="str">
        <f>IF(Table1[Leaving Date]="","",IF(AND(Table1[Leaving Date]&gt;42460,Table1[Leaving Date]&lt;42826),IF(Table1[Date of Last Assessment]="",Table1[Self-Care and Living Skills],Table1[Self-Care and Living Skills2]),""))</f>
        <v/>
      </c>
      <c r="GG589" s="44" t="str">
        <f>IF(Table1[Leaving Date]="","",IF(AND(Table1[Leaving Date]&gt;42460,Table1[Leaving Date]&lt;42826),IF(Table1[Date of Last Assessment]="",Table1[Managing Money and Personal Administration],Table1[Managing Money and Personal Administration2]),""))</f>
        <v/>
      </c>
      <c r="GH589" s="44" t="str">
        <f>IF(Table1[Leaving Date]="","",IF(AND(Table1[Leaving Date]&gt;42460,Table1[Leaving Date]&lt;42826),IF(Table1[Date of Last Assessment]="",Table1[Social Networks and Relationships],Table1[Social Networks and Relationships2]),""))</f>
        <v/>
      </c>
      <c r="GI589" s="44" t="str">
        <f>IF(Table1[Leaving Date]="","",IF(AND(Table1[Leaving Date]&gt;42460,Table1[Leaving Date]&lt;42826),IF(Table1[Date of Last Assessment]="",Table1[Drug and Alcohol Misuse],Table1[Drug and Alcohol Misuse2]),""))</f>
        <v/>
      </c>
      <c r="GJ589" s="44" t="str">
        <f>IF(Table1[Leaving Date]="","",IF(AND(Table1[Leaving Date]&gt;42460,Table1[Leaving Date]&lt;42826),IF(Table1[Date of Last Assessment]="",Table1[Physical Health],Table1[Physical Health2]),""))</f>
        <v/>
      </c>
      <c r="GK589" s="44" t="str">
        <f>IF(Table1[Leaving Date]="","",IF(AND(Table1[Leaving Date]&gt;42460,Table1[Leaving Date]&lt;42826),IF(Table1[Date of Last Assessment]="",Table1[Emotional and Mental Health],Table1[Emotional and Mental Health2]),""))</f>
        <v/>
      </c>
      <c r="GL589" s="44" t="str">
        <f>IF(Table1[Leaving Date]="","",IF(AND(Table1[Leaving Date]&gt;42460,Table1[Leaving Date]&lt;42826),IF(Table1[Date of Last Assessment]="",Table1[Meaningful Use of Time],Table1[Meaningful Use of Time2]),""))</f>
        <v/>
      </c>
      <c r="GM589" s="44" t="str">
        <f>IF(Table1[Leaving Date]="","",IF(AND(Table1[Leaving Date]&gt;42460,Table1[Leaving Date]&lt;42826),IF(Table1[Date of Last Assessment]="",Table1[Managing Tenancy and Accommodation],Table1[Managing Tenancy and Accommodation2]),""))</f>
        <v/>
      </c>
      <c r="GN589" s="44" t="str">
        <f>IF(Table1[Leaving Date]="","",IF(AND(Table1[Leaving Date]&gt;42460,Table1[Leaving Date]&lt;42826),IF(Table1[Date of Last Assessment]="",Table1[Offending],Table1[Offending2]),""))</f>
        <v/>
      </c>
    </row>
    <row r="590" spans="2:196" ht="20.100000000000001" customHeight="1" x14ac:dyDescent="0.2">
      <c r="B590" s="86">
        <f>+'Service Data'!$C$5:$C$5</f>
        <v>0</v>
      </c>
      <c r="C590" s="86"/>
      <c r="D590" s="86"/>
      <c r="E590" s="86"/>
      <c r="F590" s="86"/>
      <c r="G590" s="86"/>
      <c r="H590" s="6"/>
      <c r="I590" s="99" t="str">
        <f ca="1">IF(Table1[[#This Row],[Date of Birth]]="","",SUM(TODAY()-Table1[[#This Row],[Date of Birth]])/365)</f>
        <v/>
      </c>
      <c r="L590" s="86"/>
      <c r="M590" s="77"/>
      <c r="N590" s="86"/>
      <c r="O590" s="86"/>
      <c r="P590" s="91"/>
      <c r="Q590" s="86"/>
      <c r="R590" s="77"/>
      <c r="S590" s="77"/>
      <c r="T590" s="68"/>
      <c r="U590" s="68"/>
      <c r="V590" s="67"/>
      <c r="W590" s="67"/>
      <c r="X590" s="67"/>
      <c r="Y590" s="67"/>
      <c r="Z590" s="67"/>
      <c r="AA590" s="67"/>
      <c r="AB590" s="67"/>
      <c r="AC590" s="67"/>
      <c r="AD590" s="67"/>
      <c r="AE590" s="67"/>
      <c r="AF590" s="67"/>
      <c r="AG590" s="67"/>
      <c r="AH590" s="67"/>
      <c r="AI590" s="67"/>
      <c r="AJ590" s="67"/>
      <c r="AK590" s="67"/>
      <c r="AL590" s="67"/>
      <c r="AM590" s="67"/>
      <c r="AN590" s="77"/>
      <c r="AO590" s="76"/>
      <c r="AP590" s="77"/>
      <c r="AQ590" s="76"/>
      <c r="AR590" s="76"/>
      <c r="AS590" s="76"/>
      <c r="AT590" s="76"/>
      <c r="AU590" s="76"/>
      <c r="AV590" s="77"/>
      <c r="AW590" s="76"/>
      <c r="AX590" s="77"/>
      <c r="AY590" s="76"/>
      <c r="AZ590" s="76"/>
      <c r="BA590" s="76"/>
      <c r="BB590" s="76"/>
      <c r="BC590" s="76"/>
      <c r="BD590" s="77"/>
      <c r="BE590" s="76"/>
      <c r="BF590" s="77"/>
      <c r="BG590" s="76"/>
      <c r="BH590" s="76"/>
      <c r="BI590" s="76"/>
      <c r="BJ590" s="76"/>
      <c r="BK590" s="76"/>
      <c r="BL590" s="77"/>
      <c r="BM590" s="76"/>
      <c r="BN590" s="77"/>
      <c r="BO590" s="76"/>
      <c r="BP590" s="76"/>
      <c r="BQ590" s="76"/>
      <c r="BR590" s="76"/>
      <c r="BS590" s="76"/>
      <c r="BT590" s="77"/>
      <c r="BU590" s="76"/>
      <c r="BV590" s="77"/>
      <c r="BW590" s="76"/>
      <c r="BX590" s="76"/>
      <c r="BY590" s="76"/>
      <c r="BZ590" s="76"/>
      <c r="CA590" s="76"/>
      <c r="CB590" s="77"/>
      <c r="CC590" s="76"/>
      <c r="CD590" s="77"/>
      <c r="CE590" s="76"/>
      <c r="CF590" s="76"/>
      <c r="CG590" s="76"/>
      <c r="CH590" s="76"/>
      <c r="CI590" s="76"/>
      <c r="CJ590" s="77"/>
      <c r="CK590" s="76"/>
      <c r="CL590" s="77"/>
      <c r="CM590" s="76"/>
      <c r="CN590" s="76"/>
      <c r="CO590" s="76"/>
      <c r="CP590" s="76"/>
      <c r="CQ590" s="76"/>
      <c r="CR590" s="78" t="str">
        <f t="shared" si="159"/>
        <v/>
      </c>
      <c r="CS590" s="79" t="str">
        <f t="shared" si="160"/>
        <v/>
      </c>
      <c r="CT590" s="79" t="str">
        <f t="shared" si="161"/>
        <v/>
      </c>
      <c r="CU590" s="79" t="str">
        <f t="shared" si="162"/>
        <v/>
      </c>
      <c r="CV590" s="79" t="str">
        <f t="shared" si="163"/>
        <v/>
      </c>
      <c r="CW590" s="79" t="str">
        <f t="shared" si="164"/>
        <v/>
      </c>
      <c r="CX590" s="79" t="str">
        <f t="shared" si="165"/>
        <v/>
      </c>
      <c r="CY590" s="79" t="str">
        <f t="shared" si="166"/>
        <v/>
      </c>
      <c r="CZ590" s="79" t="str">
        <f t="shared" si="167"/>
        <v/>
      </c>
      <c r="DA590" s="79" t="str">
        <f t="shared" si="168"/>
        <v/>
      </c>
      <c r="DB590" s="79" t="str">
        <f t="shared" si="169"/>
        <v/>
      </c>
      <c r="DC590" s="79" t="str">
        <f t="shared" si="170"/>
        <v/>
      </c>
      <c r="DD590" s="79" t="str">
        <f t="shared" si="171"/>
        <v/>
      </c>
      <c r="DE590" s="79" t="str">
        <f t="shared" si="172"/>
        <v/>
      </c>
      <c r="DF590" s="79" t="str">
        <f t="shared" si="173"/>
        <v/>
      </c>
      <c r="DG590" s="79" t="str">
        <f t="shared" si="174"/>
        <v/>
      </c>
      <c r="DH590" s="76"/>
      <c r="DI590" s="78"/>
      <c r="DJ590" s="76"/>
      <c r="DK590" s="77"/>
      <c r="DL590" s="77"/>
      <c r="DM590" s="77"/>
      <c r="DN590" s="80"/>
      <c r="DO590" s="80"/>
      <c r="DP590" s="92" t="str">
        <f>IF(Table1[Start Date]="","",IF(Table1[Start Date]&gt;42185,"",IF(AND(Table1[Leaving Date]&gt;1,Table1[Leaving Date]&lt;42095),"",1)))</f>
        <v/>
      </c>
      <c r="DQ590" s="92" t="str">
        <f>IF(Table1[Start Date]="","",IF(Table1[Start Date]&gt;42277,"",IF(AND(Table1[Leaving Date]&gt;1,Table1[Leaving Date]&lt;42186),"",1)))</f>
        <v/>
      </c>
      <c r="DR590" s="92" t="str">
        <f>IF(Table1[Start Date]="","",IF(Table1[Start Date]&gt;42369,"",IF(AND(Table1[Leaving Date]&gt;1,Table1[Leaving Date]&lt;42278),"",1)))</f>
        <v/>
      </c>
      <c r="DS590" s="92" t="str">
        <f>IF(Table1[Start Date]="","",IF(Table1[Start Date]&gt;42460,"",IF(AND(Table1[Leaving Date]&gt;1,Table1[Leaving Date]&lt;42370),"",1)))</f>
        <v/>
      </c>
      <c r="DT590" s="92" t="str">
        <f>IF(Table1[Start Date]="","",IF(Table1[Start Date]&gt;42551,"",IF(AND(Table1[Leaving Date]&gt;1,Table1[Leaving Date]&lt;42461),"",1)))</f>
        <v/>
      </c>
      <c r="DU590" s="92" t="str">
        <f>IF(Table1[Start Date]="","",IF(Table1[Start Date]&gt;42643,"",IF(AND(Table1[Leaving Date]&gt;1,Table1[Leaving Date]&lt;42552),"",1)))</f>
        <v/>
      </c>
      <c r="DV590" s="92" t="str">
        <f>IF(Table1[Start Date]="","",IF(Table1[Start Date]&gt;42735,"",IF(AND(Table1[Leaving Date]&gt;1,Table1[Leaving Date]&lt;42644),"",1)))</f>
        <v/>
      </c>
      <c r="DW590" s="92" t="str">
        <f>IF(Table1[Start Date]="","",IF(Table1[Start Date]&gt;42825,"",IF(AND(Table1[Leaving Date]&gt;1,Table1[Leaving Date]&lt;42736),"",1)))</f>
        <v/>
      </c>
      <c r="DX590"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590" s="44" t="e">
        <f>VLOOKUP(Table1[Referral Source],Lists!$G$2:$H$20,2,FALSE)</f>
        <v>#N/A</v>
      </c>
      <c r="DZ590" s="93" t="e">
        <f>SUM(Table1[Data Referral Quarter]+Table1[Data Referral Source])</f>
        <v>#N/A</v>
      </c>
      <c r="EA590" s="44" t="b">
        <f>IF(Table1[Referral Decision]="Accepted",100,IF(Table1[Referral Decision]="Rejected by Provider",200,IF(Table1[Referral Decision]="Rejected by Applicant",300)))</f>
        <v>0</v>
      </c>
      <c r="EB590" s="44">
        <f>SUM(Table1[Data Referral Quarter]+Table1[Data Referral Decision])</f>
        <v>0</v>
      </c>
      <c r="EC590" s="44" t="b">
        <f>IF(Table1[Start Date]&gt;42735,8000,IF(Table1[Start Date]&gt;42643,7000,IF(Table1[Start Date]&gt;42551,6000,IF(Table1[Start Date]&gt;42460,5000,IF(Table1[Start Date]&gt;42369,4000,IF(Table1[Start Date]&gt;42277,3000,IF(Table1[Start Date]&gt;42185,2000,IF(Table1[Start Date]&gt;42094,1000))))))))</f>
        <v>0</v>
      </c>
      <c r="ED590" s="44" t="str">
        <f>IF(Table1[Start Date]="","",IF(Table1[Current Local Authority]="Swindon",1,"2"))</f>
        <v/>
      </c>
      <c r="EE590" s="44" t="e">
        <f>SUM(Table1[Data Start Date]+Table1[Data Local Authority])</f>
        <v>#VALUE!</v>
      </c>
      <c r="EF590" s="44">
        <f>IF(Table1[Registered with GP]="Yes",1,0)</f>
        <v>0</v>
      </c>
      <c r="EG590" s="44">
        <f>SUM(Table1[Data Start Date]+Table1[Data GP Start])</f>
        <v>0</v>
      </c>
      <c r="EH590" s="44" t="str">
        <f>IF(Table1[EET]="NEET",1,IF(Table1[EET]="Education",2,IF(Table1[EET]="Employment",2,IF(Table1[EET]="Training",2,IF(Table1[EET]="Retired",3,"")))))</f>
        <v/>
      </c>
      <c r="EI590" s="44" t="e">
        <f>Table1[Data Start Date]+Table1[Data EET Start]</f>
        <v>#VALUE!</v>
      </c>
      <c r="EJ590" s="44" t="b">
        <f>IF(Table1[Leaving Date]&gt;42735,8000,IF(Table1[Leaving Date]&gt;42643,7000,IF(Table1[Leaving Date]&gt;42551,6000,IF(Table1[Leaving Date]&gt;42460,5000,IF(Table1[Leaving Date]&gt;42369,4000,IF(Table1[Leaving Date]&gt;42277,3000,IF(Table1[Leaving Date]&gt;42185,2000,IF(Table1[Leaving Date]&gt;42094,1000))))))))</f>
        <v>0</v>
      </c>
      <c r="EK590" s="44" t="e">
        <f>VLOOKUP(Table1[Reason for Leaving],Lists!$T$2:$U$15,2,FALSE)</f>
        <v>#N/A</v>
      </c>
      <c r="EL590" s="44" t="e">
        <f>SUM(Table1[Data Leavers Date]+Table1[Data Move On])</f>
        <v>#N/A</v>
      </c>
      <c r="EM590" s="44" t="b">
        <f>IF(Table1[Registered with GP2]="Yes",1,IF(Table1[Registered with GP2]="No",0,IF(Table1[Registered with GP]="Yes",1,IF(Table1[Registered with GP]="No",0))))</f>
        <v>0</v>
      </c>
      <c r="EN590" s="44">
        <f>SUM(Table1[Data Leavers Date]+Table1[Data GP End])</f>
        <v>0</v>
      </c>
      <c r="EO590" s="44" t="str">
        <f>IF(Table1[EET2]="NEET",1,IF(Table1[EET2]="Employment",2,IF(Table1[EET2]="Education",2,IF(Table1[EET2]="Training",2,IF(Table1[EET2]="Retired",3,IF(Table1[EET]="NEET",1,IF(Table1[EET]="Employment",2,IF(Table1[EET]="Education",2,IF(Table1[EET]="Training",2,IF(Table1[EET]="Retired",3,""))))))))))</f>
        <v/>
      </c>
      <c r="EP590" s="44" t="e">
        <f>+Table1[[#This Row],[Data Leavers Date]]+Table1[[#This Row],[Data EET End]]</f>
        <v>#VALUE!</v>
      </c>
      <c r="EQ590" s="44">
        <f>IF(Table1[Exit Form Received]="Yes",1,0)</f>
        <v>0</v>
      </c>
      <c r="ER590" s="44">
        <f>+Table1[[#This Row],[Data Leavers Date]]+Table1[[#This Row],[Data Exit Forms]]</f>
        <v>0</v>
      </c>
      <c r="ES590" s="44" t="str">
        <f>IF(Table1[Data Leavers Date]=1000,SUM(Table1[Leaving Date]-Table1[Start Date]),"")</f>
        <v/>
      </c>
      <c r="ET590" s="44" t="str">
        <f>IF(Table1[Data Leavers Date]=2000,SUM(Table1[Leaving Date]-Table1[Start Date]),"")</f>
        <v/>
      </c>
      <c r="EU590" s="44" t="str">
        <f>IF(Table1[Data Leavers Date]=3000,SUM(Table1[Leaving Date]-Table1[Start Date]),"")</f>
        <v/>
      </c>
      <c r="EV590" s="44" t="str">
        <f>IF(Table1[Data Leavers Date]=4000,SUM(Table1[Leaving Date]-Table1[Start Date]),"")</f>
        <v/>
      </c>
      <c r="EW590" s="44" t="str">
        <f>IF(Table1[Data Leavers Date]=5000,SUM(Table1[Leaving Date]-Table1[Start Date]),"")</f>
        <v/>
      </c>
      <c r="EX590" s="44" t="str">
        <f>IF(Table1[Data Leavers Date]=6000,SUM(Table1[Leaving Date]-Table1[Start Date]),"")</f>
        <v/>
      </c>
      <c r="EY590" s="44" t="str">
        <f>IF(Table1[Data Leavers Date]=7000,SUM(Table1[Leaving Date]-Table1[Start Date]),"")</f>
        <v/>
      </c>
      <c r="EZ590" s="44" t="str">
        <f>IF(Table1[Data Leavers Date]=8000,SUM(Table1[Leaving Date]-Table1[Start Date]),"")</f>
        <v/>
      </c>
      <c r="FA590" s="44" t="str">
        <f>IF(Table1[Date of Initial Assessment]="","",IF(AND(Table1[Start Date]&gt;42094,Table1[Start Date]&lt;42461),Table1[Motivation and Taking Responsibility],""))</f>
        <v/>
      </c>
      <c r="FB590" s="44" t="str">
        <f>IF(Table1[Date of Initial Assessment]="","",IF(AND(Table1[Start Date]&gt;42094,Table1[Start Date]&lt;42461),Table1[Self-Care and Living Skills],""))</f>
        <v/>
      </c>
      <c r="FC590" s="44" t="str">
        <f>IF(Table1[Date of Initial Assessment]="","",IF(AND(Table1[Start Date]&gt;42094,Table1[Start Date]&lt;42461),Table1[Managing Money and Personal Administration],""))</f>
        <v/>
      </c>
      <c r="FD590" s="44" t="str">
        <f>IF(Table1[Date of Initial Assessment]="","",IF(AND(Table1[Start Date]&gt;42094,Table1[Start Date]&lt;42461),Table1[Social Networks and Relationships],""))</f>
        <v/>
      </c>
      <c r="FE590" s="44" t="str">
        <f>IF(Table1[Date of Initial Assessment]="","",IF(AND(Table1[Start Date]&gt;42094,Table1[Start Date]&lt;42461),Table1[Drug and Alcohol Misuse],""))</f>
        <v/>
      </c>
      <c r="FF590" s="44" t="str">
        <f>IF(Table1[Date of Initial Assessment]="","",IF(AND(Table1[Start Date]&gt;42094,Table1[Start Date]&lt;42461),Table1[Physical Health],""))</f>
        <v/>
      </c>
      <c r="FG590" s="44" t="str">
        <f>IF(Table1[Date of Initial Assessment]="","",IF(AND(Table1[Start Date]&gt;42094,Table1[Start Date]&lt;42461),Table1[Emotional and Mental Health],""))</f>
        <v/>
      </c>
      <c r="FH590" s="44" t="str">
        <f>IF(Table1[Date of Initial Assessment]="","",IF(AND(Table1[Start Date]&gt;42094,Table1[Start Date]&lt;42461),Table1[Meaningful Use of Time],""))</f>
        <v/>
      </c>
      <c r="FI590" s="44" t="str">
        <f>IF(Table1[Date of Initial Assessment]="","",IF(AND(Table1[Start Date]&gt;42094,Table1[Start Date]&lt;42461),Table1[Managing Tenancy and Accommodation],""))</f>
        <v/>
      </c>
      <c r="FJ590" s="44" t="str">
        <f>IF(Table1[Date of Initial Assessment]="","",IF(AND(Table1[Start Date]&gt;42094,Table1[Start Date]&lt;42461),Table1[Offending],""))</f>
        <v/>
      </c>
      <c r="FK590" s="44" t="str">
        <f>IF(Table1[Leaving Date]="","",IF(Table1[Date of Initial Assessment]="","",IF(AND(Table1[Leaving Date]&gt;42094,Table1[Leaving Date]&lt;42461),IF(Table1[Date of Last Assessment]="",Table1[Motivation and Taking Responsibility],Table1[Motivation and Taking Responsibility2]),"")))</f>
        <v/>
      </c>
      <c r="FL590" s="44" t="str">
        <f>IF(Table1[Leaving Date]="","",IF(Table1[Date of Initial Assessment]="","",IF(AND(Table1[Leaving Date]&gt;42094,Table1[Leaving Date]&lt;42461),IF(Table1[Date of Last Assessment]="",Table1[Self-Care and Living Skills],Table1[Self-Care and Living Skills2]),"")))</f>
        <v/>
      </c>
      <c r="FM590" s="44" t="str">
        <f>IF(Table1[Leaving Date]="","",IF(Table1[Date of Initial Assessment]="","",IF(AND(Table1[Leaving Date]&gt;42094,Table1[Leaving Date]&lt;42461),IF(Table1[Date of Last Assessment]="",Table1[Managing Money and Personal Administration],Table1[Managing Money and Personal Administration2]),"")))</f>
        <v/>
      </c>
      <c r="FN590" s="44" t="str">
        <f>IF(Table1[Leaving Date]="","",IF(Table1[Date of Initial Assessment]="","",IF(AND(Table1[Leaving Date]&gt;42094,Table1[Leaving Date]&lt;42461),IF(Table1[Date of Last Assessment]="",Table1[Social Networks and Relationships],Table1[Social Networks and Relationships2]),"")))</f>
        <v/>
      </c>
      <c r="FO590" s="44" t="str">
        <f>IF(Table1[Leaving Date]="","",IF(Table1[Date of Initial Assessment]="","",IF(AND(Table1[Leaving Date]&gt;42094,Table1[Leaving Date]&lt;42461),IF(Table1[Date of Last Assessment]="",Table1[Drug and Alcohol Misuse],Table1[Drug and Alcohol Misuse2]),"")))</f>
        <v/>
      </c>
      <c r="FP590" s="44" t="str">
        <f>IF(Table1[Leaving Date]="","",IF(Table1[Date of Initial Assessment]="","",IF(AND(Table1[Leaving Date]&gt;42094,Table1[Leaving Date]&lt;42461),IF(Table1[Date of Last Assessment]="",Table1[Physical Health],Table1[Physical Health2]),"")))</f>
        <v/>
      </c>
      <c r="FQ590" s="44" t="str">
        <f>IF(Table1[Leaving Date]="","",IF(Table1[Date of Initial Assessment]="","",IF(AND(Table1[Leaving Date]&gt;42094,Table1[Leaving Date]&lt;42461),IF(Table1[Date of Last Assessment]="",Table1[Emotional and Mental Health],Table1[Emotional and Mental Health2]),"")))</f>
        <v/>
      </c>
      <c r="FR590" s="44" t="str">
        <f>IF(Table1[Leaving Date]="","",IF(Table1[Date of Initial Assessment]="","",IF(AND(Table1[Leaving Date]&gt;42094,Table1[Leaving Date]&lt;42461),IF(Table1[Date of Last Assessment]="",Table1[Meaningful Use of Time],Table1[Meaningful Use of Time2]),"")))</f>
        <v/>
      </c>
      <c r="FS590" s="44" t="str">
        <f>IF(Table1[Leaving Date]="","",IF(Table1[Date of Initial Assessment]="","",IF(AND(Table1[Leaving Date]&gt;42094,Table1[Leaving Date]&lt;42461),IF(Table1[Date of Last Assessment]="",Table1[Managing Tenancy and Accommodation],Table1[Managing Tenancy and Accommodation2]),"")))</f>
        <v/>
      </c>
      <c r="FT590" s="44" t="str">
        <f>IF(Table1[Leaving Date]="","",IF(Table1[Date of Initial Assessment]="","",IF(AND(Table1[Leaving Date]&gt;42094,Table1[Leaving Date]&lt;42461),IF(Table1[Date of Last Assessment]="",Table1[Offending],Table1[Offending2]),"")))</f>
        <v/>
      </c>
      <c r="FU590" s="44" t="str">
        <f>IF(Table1[Date of Initial Assessment]="","",IF(AND(Table1[Start Date]&gt;42460,Table1[Start Date]&lt;42826),Table1[Motivation and Taking Responsibility],""))</f>
        <v/>
      </c>
      <c r="FV590" s="44" t="str">
        <f>IF(Table1[Date of Initial Assessment]="","",IF(AND(Table1[Start Date]&gt;42460,Table1[Start Date]&lt;42826),Table1[Self-Care and Living Skills],""))</f>
        <v/>
      </c>
      <c r="FW590" s="44" t="str">
        <f>IF(Table1[Date of Initial Assessment]="","",IF(AND(Table1[Start Date]&gt;42460,Table1[Start Date]&lt;42826),Table1[Managing Money and Personal Administration],""))</f>
        <v/>
      </c>
      <c r="FX590" s="44" t="str">
        <f>IF(Table1[Date of Initial Assessment]="","",IF(AND(Table1[Start Date]&gt;42460,Table1[Start Date]&lt;42826),Table1[Social Networks and Relationships],""))</f>
        <v/>
      </c>
      <c r="FY590" s="44" t="str">
        <f>IF(Table1[Date of Initial Assessment]="","",IF(AND(Table1[Start Date]&gt;42460,Table1[Start Date]&lt;42826),Table1[Drug and Alcohol Misuse],""))</f>
        <v/>
      </c>
      <c r="FZ590" s="44" t="str">
        <f>IF(Table1[Date of Initial Assessment]="","",IF(AND(Table1[Start Date]&gt;42460,Table1[Start Date]&lt;42826),Table1[Physical Health],""))</f>
        <v/>
      </c>
      <c r="GA590" s="44" t="str">
        <f>IF(Table1[Date of Initial Assessment]="","",IF(AND(Table1[Start Date]&gt;42460,Table1[Start Date]&lt;42826),Table1[Emotional and Mental Health],""))</f>
        <v/>
      </c>
      <c r="GB590" s="44" t="str">
        <f>IF(Table1[Date of Initial Assessment]="","",IF(AND(Table1[Start Date]&gt;42460,Table1[Start Date]&lt;42826),Table1[Meaningful Use of Time],""))</f>
        <v/>
      </c>
      <c r="GC590" s="44" t="str">
        <f>IF(Table1[Date of Initial Assessment]="","",IF(AND(Table1[Start Date]&gt;42460,Table1[Start Date]&lt;42826),Table1[Managing Tenancy and Accommodation],""))</f>
        <v/>
      </c>
      <c r="GD590" s="44" t="str">
        <f>IF(Table1[Date of Initial Assessment]="","",IF(AND(Table1[Start Date]&gt;42460,Table1[Start Date]&lt;42826),Table1[Offending],""))</f>
        <v/>
      </c>
      <c r="GE590" s="44" t="str">
        <f>IF(Table1[Leaving Date]="","",IF(AND(Table1[Leaving Date]&gt;42460,Table1[Leaving Date]&lt;42826),IF(Table1[Date of Last Assessment]="",Table1[Motivation and Taking Responsibility],Table1[Motivation and Taking Responsibility2]),""))</f>
        <v/>
      </c>
      <c r="GF590" s="44" t="str">
        <f>IF(Table1[Leaving Date]="","",IF(AND(Table1[Leaving Date]&gt;42460,Table1[Leaving Date]&lt;42826),IF(Table1[Date of Last Assessment]="",Table1[Self-Care and Living Skills],Table1[Self-Care and Living Skills2]),""))</f>
        <v/>
      </c>
      <c r="GG590" s="44" t="str">
        <f>IF(Table1[Leaving Date]="","",IF(AND(Table1[Leaving Date]&gt;42460,Table1[Leaving Date]&lt;42826),IF(Table1[Date of Last Assessment]="",Table1[Managing Money and Personal Administration],Table1[Managing Money and Personal Administration2]),""))</f>
        <v/>
      </c>
      <c r="GH590" s="44" t="str">
        <f>IF(Table1[Leaving Date]="","",IF(AND(Table1[Leaving Date]&gt;42460,Table1[Leaving Date]&lt;42826),IF(Table1[Date of Last Assessment]="",Table1[Social Networks and Relationships],Table1[Social Networks and Relationships2]),""))</f>
        <v/>
      </c>
      <c r="GI590" s="44" t="str">
        <f>IF(Table1[Leaving Date]="","",IF(AND(Table1[Leaving Date]&gt;42460,Table1[Leaving Date]&lt;42826),IF(Table1[Date of Last Assessment]="",Table1[Drug and Alcohol Misuse],Table1[Drug and Alcohol Misuse2]),""))</f>
        <v/>
      </c>
      <c r="GJ590" s="44" t="str">
        <f>IF(Table1[Leaving Date]="","",IF(AND(Table1[Leaving Date]&gt;42460,Table1[Leaving Date]&lt;42826),IF(Table1[Date of Last Assessment]="",Table1[Physical Health],Table1[Physical Health2]),""))</f>
        <v/>
      </c>
      <c r="GK590" s="44" t="str">
        <f>IF(Table1[Leaving Date]="","",IF(AND(Table1[Leaving Date]&gt;42460,Table1[Leaving Date]&lt;42826),IF(Table1[Date of Last Assessment]="",Table1[Emotional and Mental Health],Table1[Emotional and Mental Health2]),""))</f>
        <v/>
      </c>
      <c r="GL590" s="44" t="str">
        <f>IF(Table1[Leaving Date]="","",IF(AND(Table1[Leaving Date]&gt;42460,Table1[Leaving Date]&lt;42826),IF(Table1[Date of Last Assessment]="",Table1[Meaningful Use of Time],Table1[Meaningful Use of Time2]),""))</f>
        <v/>
      </c>
      <c r="GM590" s="44" t="str">
        <f>IF(Table1[Leaving Date]="","",IF(AND(Table1[Leaving Date]&gt;42460,Table1[Leaving Date]&lt;42826),IF(Table1[Date of Last Assessment]="",Table1[Managing Tenancy and Accommodation],Table1[Managing Tenancy and Accommodation2]),""))</f>
        <v/>
      </c>
      <c r="GN590" s="44" t="str">
        <f>IF(Table1[Leaving Date]="","",IF(AND(Table1[Leaving Date]&gt;42460,Table1[Leaving Date]&lt;42826),IF(Table1[Date of Last Assessment]="",Table1[Offending],Table1[Offending2]),""))</f>
        <v/>
      </c>
    </row>
    <row r="591" spans="2:196" ht="20.100000000000001" customHeight="1" x14ac:dyDescent="0.2">
      <c r="B591" s="86">
        <f>+'Service Data'!$C$5:$C$5</f>
        <v>0</v>
      </c>
      <c r="C591" s="86"/>
      <c r="D591" s="86"/>
      <c r="E591" s="86"/>
      <c r="F591" s="86"/>
      <c r="G591" s="86"/>
      <c r="H591" s="6"/>
      <c r="I591" s="99" t="str">
        <f ca="1">IF(Table1[[#This Row],[Date of Birth]]="","",SUM(TODAY()-Table1[[#This Row],[Date of Birth]])/365)</f>
        <v/>
      </c>
      <c r="L591" s="86"/>
      <c r="M591" s="77"/>
      <c r="N591" s="86"/>
      <c r="O591" s="86"/>
      <c r="P591" s="91"/>
      <c r="Q591" s="86"/>
      <c r="R591" s="77"/>
      <c r="S591" s="77"/>
      <c r="T591" s="68"/>
      <c r="U591" s="68"/>
      <c r="V591" s="67"/>
      <c r="W591" s="67"/>
      <c r="X591" s="67"/>
      <c r="Y591" s="67"/>
      <c r="Z591" s="67"/>
      <c r="AA591" s="67"/>
      <c r="AB591" s="67"/>
      <c r="AC591" s="67"/>
      <c r="AD591" s="67"/>
      <c r="AE591" s="67"/>
      <c r="AF591" s="67"/>
      <c r="AG591" s="67"/>
      <c r="AH591" s="67"/>
      <c r="AI591" s="67"/>
      <c r="AJ591" s="67"/>
      <c r="AK591" s="67"/>
      <c r="AL591" s="67"/>
      <c r="AM591" s="67"/>
      <c r="AN591" s="77"/>
      <c r="AO591" s="76"/>
      <c r="AP591" s="77"/>
      <c r="AQ591" s="76"/>
      <c r="AR591" s="76"/>
      <c r="AS591" s="76"/>
      <c r="AT591" s="76"/>
      <c r="AU591" s="76"/>
      <c r="AV591" s="77"/>
      <c r="AW591" s="76"/>
      <c r="AX591" s="77"/>
      <c r="AY591" s="76"/>
      <c r="AZ591" s="76"/>
      <c r="BA591" s="76"/>
      <c r="BB591" s="76"/>
      <c r="BC591" s="76"/>
      <c r="BD591" s="77"/>
      <c r="BE591" s="76"/>
      <c r="BF591" s="77"/>
      <c r="BG591" s="76"/>
      <c r="BH591" s="76"/>
      <c r="BI591" s="76"/>
      <c r="BJ591" s="76"/>
      <c r="BK591" s="76"/>
      <c r="BL591" s="77"/>
      <c r="BM591" s="76"/>
      <c r="BN591" s="77"/>
      <c r="BO591" s="76"/>
      <c r="BP591" s="76"/>
      <c r="BQ591" s="76"/>
      <c r="BR591" s="76"/>
      <c r="BS591" s="76"/>
      <c r="BT591" s="77"/>
      <c r="BU591" s="76"/>
      <c r="BV591" s="77"/>
      <c r="BW591" s="76"/>
      <c r="BX591" s="76"/>
      <c r="BY591" s="76"/>
      <c r="BZ591" s="76"/>
      <c r="CA591" s="76"/>
      <c r="CB591" s="77"/>
      <c r="CC591" s="76"/>
      <c r="CD591" s="77"/>
      <c r="CE591" s="76"/>
      <c r="CF591" s="76"/>
      <c r="CG591" s="76"/>
      <c r="CH591" s="76"/>
      <c r="CI591" s="76"/>
      <c r="CJ591" s="77"/>
      <c r="CK591" s="76"/>
      <c r="CL591" s="77"/>
      <c r="CM591" s="76"/>
      <c r="CN591" s="76"/>
      <c r="CO591" s="76"/>
      <c r="CP591" s="76"/>
      <c r="CQ591" s="76"/>
      <c r="CR591" s="78" t="str">
        <f t="shared" si="159"/>
        <v/>
      </c>
      <c r="CS591" s="79" t="str">
        <f t="shared" si="160"/>
        <v/>
      </c>
      <c r="CT591" s="79" t="str">
        <f t="shared" si="161"/>
        <v/>
      </c>
      <c r="CU591" s="79" t="str">
        <f t="shared" si="162"/>
        <v/>
      </c>
      <c r="CV591" s="79" t="str">
        <f t="shared" si="163"/>
        <v/>
      </c>
      <c r="CW591" s="79" t="str">
        <f t="shared" si="164"/>
        <v/>
      </c>
      <c r="CX591" s="79" t="str">
        <f t="shared" si="165"/>
        <v/>
      </c>
      <c r="CY591" s="79" t="str">
        <f t="shared" si="166"/>
        <v/>
      </c>
      <c r="CZ591" s="79" t="str">
        <f t="shared" si="167"/>
        <v/>
      </c>
      <c r="DA591" s="79" t="str">
        <f t="shared" si="168"/>
        <v/>
      </c>
      <c r="DB591" s="79" t="str">
        <f t="shared" si="169"/>
        <v/>
      </c>
      <c r="DC591" s="79" t="str">
        <f t="shared" si="170"/>
        <v/>
      </c>
      <c r="DD591" s="79" t="str">
        <f t="shared" si="171"/>
        <v/>
      </c>
      <c r="DE591" s="79" t="str">
        <f t="shared" si="172"/>
        <v/>
      </c>
      <c r="DF591" s="79" t="str">
        <f t="shared" si="173"/>
        <v/>
      </c>
      <c r="DG591" s="79" t="str">
        <f t="shared" si="174"/>
        <v/>
      </c>
      <c r="DH591" s="76"/>
      <c r="DI591" s="78"/>
      <c r="DJ591" s="76"/>
      <c r="DK591" s="77"/>
      <c r="DL591" s="77"/>
      <c r="DM591" s="77"/>
      <c r="DN591" s="80"/>
      <c r="DO591" s="80"/>
      <c r="DP591" s="92" t="str">
        <f>IF(Table1[Start Date]="","",IF(Table1[Start Date]&gt;42185,"",IF(AND(Table1[Leaving Date]&gt;1,Table1[Leaving Date]&lt;42095),"",1)))</f>
        <v/>
      </c>
      <c r="DQ591" s="92" t="str">
        <f>IF(Table1[Start Date]="","",IF(Table1[Start Date]&gt;42277,"",IF(AND(Table1[Leaving Date]&gt;1,Table1[Leaving Date]&lt;42186),"",1)))</f>
        <v/>
      </c>
      <c r="DR591" s="92" t="str">
        <f>IF(Table1[Start Date]="","",IF(Table1[Start Date]&gt;42369,"",IF(AND(Table1[Leaving Date]&gt;1,Table1[Leaving Date]&lt;42278),"",1)))</f>
        <v/>
      </c>
      <c r="DS591" s="92" t="str">
        <f>IF(Table1[Start Date]="","",IF(Table1[Start Date]&gt;42460,"",IF(AND(Table1[Leaving Date]&gt;1,Table1[Leaving Date]&lt;42370),"",1)))</f>
        <v/>
      </c>
      <c r="DT591" s="92" t="str">
        <f>IF(Table1[Start Date]="","",IF(Table1[Start Date]&gt;42551,"",IF(AND(Table1[Leaving Date]&gt;1,Table1[Leaving Date]&lt;42461),"",1)))</f>
        <v/>
      </c>
      <c r="DU591" s="92" t="str">
        <f>IF(Table1[Start Date]="","",IF(Table1[Start Date]&gt;42643,"",IF(AND(Table1[Leaving Date]&gt;1,Table1[Leaving Date]&lt;42552),"",1)))</f>
        <v/>
      </c>
      <c r="DV591" s="92" t="str">
        <f>IF(Table1[Start Date]="","",IF(Table1[Start Date]&gt;42735,"",IF(AND(Table1[Leaving Date]&gt;1,Table1[Leaving Date]&lt;42644),"",1)))</f>
        <v/>
      </c>
      <c r="DW591" s="92" t="str">
        <f>IF(Table1[Start Date]="","",IF(Table1[Start Date]&gt;42825,"",IF(AND(Table1[Leaving Date]&gt;1,Table1[Leaving Date]&lt;42736),"",1)))</f>
        <v/>
      </c>
      <c r="DX591"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591" s="44" t="e">
        <f>VLOOKUP(Table1[Referral Source],Lists!$G$2:$H$20,2,FALSE)</f>
        <v>#N/A</v>
      </c>
      <c r="DZ591" s="93" t="e">
        <f>SUM(Table1[Data Referral Quarter]+Table1[Data Referral Source])</f>
        <v>#N/A</v>
      </c>
      <c r="EA591" s="44" t="b">
        <f>IF(Table1[Referral Decision]="Accepted",100,IF(Table1[Referral Decision]="Rejected by Provider",200,IF(Table1[Referral Decision]="Rejected by Applicant",300)))</f>
        <v>0</v>
      </c>
      <c r="EB591" s="44">
        <f>SUM(Table1[Data Referral Quarter]+Table1[Data Referral Decision])</f>
        <v>0</v>
      </c>
      <c r="EC591" s="44" t="b">
        <f>IF(Table1[Start Date]&gt;42735,8000,IF(Table1[Start Date]&gt;42643,7000,IF(Table1[Start Date]&gt;42551,6000,IF(Table1[Start Date]&gt;42460,5000,IF(Table1[Start Date]&gt;42369,4000,IF(Table1[Start Date]&gt;42277,3000,IF(Table1[Start Date]&gt;42185,2000,IF(Table1[Start Date]&gt;42094,1000))))))))</f>
        <v>0</v>
      </c>
      <c r="ED591" s="44" t="str">
        <f>IF(Table1[Start Date]="","",IF(Table1[Current Local Authority]="Swindon",1,"2"))</f>
        <v/>
      </c>
      <c r="EE591" s="44" t="e">
        <f>SUM(Table1[Data Start Date]+Table1[Data Local Authority])</f>
        <v>#VALUE!</v>
      </c>
      <c r="EF591" s="44">
        <f>IF(Table1[Registered with GP]="Yes",1,0)</f>
        <v>0</v>
      </c>
      <c r="EG591" s="44">
        <f>SUM(Table1[Data Start Date]+Table1[Data GP Start])</f>
        <v>0</v>
      </c>
      <c r="EH591" s="44" t="str">
        <f>IF(Table1[EET]="NEET",1,IF(Table1[EET]="Education",2,IF(Table1[EET]="Employment",2,IF(Table1[EET]="Training",2,IF(Table1[EET]="Retired",3,"")))))</f>
        <v/>
      </c>
      <c r="EI591" s="44" t="e">
        <f>Table1[Data Start Date]+Table1[Data EET Start]</f>
        <v>#VALUE!</v>
      </c>
      <c r="EJ591" s="44" t="b">
        <f>IF(Table1[Leaving Date]&gt;42735,8000,IF(Table1[Leaving Date]&gt;42643,7000,IF(Table1[Leaving Date]&gt;42551,6000,IF(Table1[Leaving Date]&gt;42460,5000,IF(Table1[Leaving Date]&gt;42369,4000,IF(Table1[Leaving Date]&gt;42277,3000,IF(Table1[Leaving Date]&gt;42185,2000,IF(Table1[Leaving Date]&gt;42094,1000))))))))</f>
        <v>0</v>
      </c>
      <c r="EK591" s="44" t="e">
        <f>VLOOKUP(Table1[Reason for Leaving],Lists!$T$2:$U$15,2,FALSE)</f>
        <v>#N/A</v>
      </c>
      <c r="EL591" s="44" t="e">
        <f>SUM(Table1[Data Leavers Date]+Table1[Data Move On])</f>
        <v>#N/A</v>
      </c>
      <c r="EM591" s="44" t="b">
        <f>IF(Table1[Registered with GP2]="Yes",1,IF(Table1[Registered with GP2]="No",0,IF(Table1[Registered with GP]="Yes",1,IF(Table1[Registered with GP]="No",0))))</f>
        <v>0</v>
      </c>
      <c r="EN591" s="44">
        <f>SUM(Table1[Data Leavers Date]+Table1[Data GP End])</f>
        <v>0</v>
      </c>
      <c r="EO591" s="44" t="str">
        <f>IF(Table1[EET2]="NEET",1,IF(Table1[EET2]="Employment",2,IF(Table1[EET2]="Education",2,IF(Table1[EET2]="Training",2,IF(Table1[EET2]="Retired",3,IF(Table1[EET]="NEET",1,IF(Table1[EET]="Employment",2,IF(Table1[EET]="Education",2,IF(Table1[EET]="Training",2,IF(Table1[EET]="Retired",3,""))))))))))</f>
        <v/>
      </c>
      <c r="EP591" s="44" t="e">
        <f>+Table1[[#This Row],[Data Leavers Date]]+Table1[[#This Row],[Data EET End]]</f>
        <v>#VALUE!</v>
      </c>
      <c r="EQ591" s="44">
        <f>IF(Table1[Exit Form Received]="Yes",1,0)</f>
        <v>0</v>
      </c>
      <c r="ER591" s="44">
        <f>+Table1[[#This Row],[Data Leavers Date]]+Table1[[#This Row],[Data Exit Forms]]</f>
        <v>0</v>
      </c>
      <c r="ES591" s="44" t="str">
        <f>IF(Table1[Data Leavers Date]=1000,SUM(Table1[Leaving Date]-Table1[Start Date]),"")</f>
        <v/>
      </c>
      <c r="ET591" s="44" t="str">
        <f>IF(Table1[Data Leavers Date]=2000,SUM(Table1[Leaving Date]-Table1[Start Date]),"")</f>
        <v/>
      </c>
      <c r="EU591" s="44" t="str">
        <f>IF(Table1[Data Leavers Date]=3000,SUM(Table1[Leaving Date]-Table1[Start Date]),"")</f>
        <v/>
      </c>
      <c r="EV591" s="44" t="str">
        <f>IF(Table1[Data Leavers Date]=4000,SUM(Table1[Leaving Date]-Table1[Start Date]),"")</f>
        <v/>
      </c>
      <c r="EW591" s="44" t="str">
        <f>IF(Table1[Data Leavers Date]=5000,SUM(Table1[Leaving Date]-Table1[Start Date]),"")</f>
        <v/>
      </c>
      <c r="EX591" s="44" t="str">
        <f>IF(Table1[Data Leavers Date]=6000,SUM(Table1[Leaving Date]-Table1[Start Date]),"")</f>
        <v/>
      </c>
      <c r="EY591" s="44" t="str">
        <f>IF(Table1[Data Leavers Date]=7000,SUM(Table1[Leaving Date]-Table1[Start Date]),"")</f>
        <v/>
      </c>
      <c r="EZ591" s="44" t="str">
        <f>IF(Table1[Data Leavers Date]=8000,SUM(Table1[Leaving Date]-Table1[Start Date]),"")</f>
        <v/>
      </c>
      <c r="FA591" s="44" t="str">
        <f>IF(Table1[Date of Initial Assessment]="","",IF(AND(Table1[Start Date]&gt;42094,Table1[Start Date]&lt;42461),Table1[Motivation and Taking Responsibility],""))</f>
        <v/>
      </c>
      <c r="FB591" s="44" t="str">
        <f>IF(Table1[Date of Initial Assessment]="","",IF(AND(Table1[Start Date]&gt;42094,Table1[Start Date]&lt;42461),Table1[Self-Care and Living Skills],""))</f>
        <v/>
      </c>
      <c r="FC591" s="44" t="str">
        <f>IF(Table1[Date of Initial Assessment]="","",IF(AND(Table1[Start Date]&gt;42094,Table1[Start Date]&lt;42461),Table1[Managing Money and Personal Administration],""))</f>
        <v/>
      </c>
      <c r="FD591" s="44" t="str">
        <f>IF(Table1[Date of Initial Assessment]="","",IF(AND(Table1[Start Date]&gt;42094,Table1[Start Date]&lt;42461),Table1[Social Networks and Relationships],""))</f>
        <v/>
      </c>
      <c r="FE591" s="44" t="str">
        <f>IF(Table1[Date of Initial Assessment]="","",IF(AND(Table1[Start Date]&gt;42094,Table1[Start Date]&lt;42461),Table1[Drug and Alcohol Misuse],""))</f>
        <v/>
      </c>
      <c r="FF591" s="44" t="str">
        <f>IF(Table1[Date of Initial Assessment]="","",IF(AND(Table1[Start Date]&gt;42094,Table1[Start Date]&lt;42461),Table1[Physical Health],""))</f>
        <v/>
      </c>
      <c r="FG591" s="44" t="str">
        <f>IF(Table1[Date of Initial Assessment]="","",IF(AND(Table1[Start Date]&gt;42094,Table1[Start Date]&lt;42461),Table1[Emotional and Mental Health],""))</f>
        <v/>
      </c>
      <c r="FH591" s="44" t="str">
        <f>IF(Table1[Date of Initial Assessment]="","",IF(AND(Table1[Start Date]&gt;42094,Table1[Start Date]&lt;42461),Table1[Meaningful Use of Time],""))</f>
        <v/>
      </c>
      <c r="FI591" s="44" t="str">
        <f>IF(Table1[Date of Initial Assessment]="","",IF(AND(Table1[Start Date]&gt;42094,Table1[Start Date]&lt;42461),Table1[Managing Tenancy and Accommodation],""))</f>
        <v/>
      </c>
      <c r="FJ591" s="44" t="str">
        <f>IF(Table1[Date of Initial Assessment]="","",IF(AND(Table1[Start Date]&gt;42094,Table1[Start Date]&lt;42461),Table1[Offending],""))</f>
        <v/>
      </c>
      <c r="FK591" s="44" t="str">
        <f>IF(Table1[Leaving Date]="","",IF(Table1[Date of Initial Assessment]="","",IF(AND(Table1[Leaving Date]&gt;42094,Table1[Leaving Date]&lt;42461),IF(Table1[Date of Last Assessment]="",Table1[Motivation and Taking Responsibility],Table1[Motivation and Taking Responsibility2]),"")))</f>
        <v/>
      </c>
      <c r="FL591" s="44" t="str">
        <f>IF(Table1[Leaving Date]="","",IF(Table1[Date of Initial Assessment]="","",IF(AND(Table1[Leaving Date]&gt;42094,Table1[Leaving Date]&lt;42461),IF(Table1[Date of Last Assessment]="",Table1[Self-Care and Living Skills],Table1[Self-Care and Living Skills2]),"")))</f>
        <v/>
      </c>
      <c r="FM591" s="44" t="str">
        <f>IF(Table1[Leaving Date]="","",IF(Table1[Date of Initial Assessment]="","",IF(AND(Table1[Leaving Date]&gt;42094,Table1[Leaving Date]&lt;42461),IF(Table1[Date of Last Assessment]="",Table1[Managing Money and Personal Administration],Table1[Managing Money and Personal Administration2]),"")))</f>
        <v/>
      </c>
      <c r="FN591" s="44" t="str">
        <f>IF(Table1[Leaving Date]="","",IF(Table1[Date of Initial Assessment]="","",IF(AND(Table1[Leaving Date]&gt;42094,Table1[Leaving Date]&lt;42461),IF(Table1[Date of Last Assessment]="",Table1[Social Networks and Relationships],Table1[Social Networks and Relationships2]),"")))</f>
        <v/>
      </c>
      <c r="FO591" s="44" t="str">
        <f>IF(Table1[Leaving Date]="","",IF(Table1[Date of Initial Assessment]="","",IF(AND(Table1[Leaving Date]&gt;42094,Table1[Leaving Date]&lt;42461),IF(Table1[Date of Last Assessment]="",Table1[Drug and Alcohol Misuse],Table1[Drug and Alcohol Misuse2]),"")))</f>
        <v/>
      </c>
      <c r="FP591" s="44" t="str">
        <f>IF(Table1[Leaving Date]="","",IF(Table1[Date of Initial Assessment]="","",IF(AND(Table1[Leaving Date]&gt;42094,Table1[Leaving Date]&lt;42461),IF(Table1[Date of Last Assessment]="",Table1[Physical Health],Table1[Physical Health2]),"")))</f>
        <v/>
      </c>
      <c r="FQ591" s="44" t="str">
        <f>IF(Table1[Leaving Date]="","",IF(Table1[Date of Initial Assessment]="","",IF(AND(Table1[Leaving Date]&gt;42094,Table1[Leaving Date]&lt;42461),IF(Table1[Date of Last Assessment]="",Table1[Emotional and Mental Health],Table1[Emotional and Mental Health2]),"")))</f>
        <v/>
      </c>
      <c r="FR591" s="44" t="str">
        <f>IF(Table1[Leaving Date]="","",IF(Table1[Date of Initial Assessment]="","",IF(AND(Table1[Leaving Date]&gt;42094,Table1[Leaving Date]&lt;42461),IF(Table1[Date of Last Assessment]="",Table1[Meaningful Use of Time],Table1[Meaningful Use of Time2]),"")))</f>
        <v/>
      </c>
      <c r="FS591" s="44" t="str">
        <f>IF(Table1[Leaving Date]="","",IF(Table1[Date of Initial Assessment]="","",IF(AND(Table1[Leaving Date]&gt;42094,Table1[Leaving Date]&lt;42461),IF(Table1[Date of Last Assessment]="",Table1[Managing Tenancy and Accommodation],Table1[Managing Tenancy and Accommodation2]),"")))</f>
        <v/>
      </c>
      <c r="FT591" s="44" t="str">
        <f>IF(Table1[Leaving Date]="","",IF(Table1[Date of Initial Assessment]="","",IF(AND(Table1[Leaving Date]&gt;42094,Table1[Leaving Date]&lt;42461),IF(Table1[Date of Last Assessment]="",Table1[Offending],Table1[Offending2]),"")))</f>
        <v/>
      </c>
      <c r="FU591" s="44" t="str">
        <f>IF(Table1[Date of Initial Assessment]="","",IF(AND(Table1[Start Date]&gt;42460,Table1[Start Date]&lt;42826),Table1[Motivation and Taking Responsibility],""))</f>
        <v/>
      </c>
      <c r="FV591" s="44" t="str">
        <f>IF(Table1[Date of Initial Assessment]="","",IF(AND(Table1[Start Date]&gt;42460,Table1[Start Date]&lt;42826),Table1[Self-Care and Living Skills],""))</f>
        <v/>
      </c>
      <c r="FW591" s="44" t="str">
        <f>IF(Table1[Date of Initial Assessment]="","",IF(AND(Table1[Start Date]&gt;42460,Table1[Start Date]&lt;42826),Table1[Managing Money and Personal Administration],""))</f>
        <v/>
      </c>
      <c r="FX591" s="44" t="str">
        <f>IF(Table1[Date of Initial Assessment]="","",IF(AND(Table1[Start Date]&gt;42460,Table1[Start Date]&lt;42826),Table1[Social Networks and Relationships],""))</f>
        <v/>
      </c>
      <c r="FY591" s="44" t="str">
        <f>IF(Table1[Date of Initial Assessment]="","",IF(AND(Table1[Start Date]&gt;42460,Table1[Start Date]&lt;42826),Table1[Drug and Alcohol Misuse],""))</f>
        <v/>
      </c>
      <c r="FZ591" s="44" t="str">
        <f>IF(Table1[Date of Initial Assessment]="","",IF(AND(Table1[Start Date]&gt;42460,Table1[Start Date]&lt;42826),Table1[Physical Health],""))</f>
        <v/>
      </c>
      <c r="GA591" s="44" t="str">
        <f>IF(Table1[Date of Initial Assessment]="","",IF(AND(Table1[Start Date]&gt;42460,Table1[Start Date]&lt;42826),Table1[Emotional and Mental Health],""))</f>
        <v/>
      </c>
      <c r="GB591" s="44" t="str">
        <f>IF(Table1[Date of Initial Assessment]="","",IF(AND(Table1[Start Date]&gt;42460,Table1[Start Date]&lt;42826),Table1[Meaningful Use of Time],""))</f>
        <v/>
      </c>
      <c r="GC591" s="44" t="str">
        <f>IF(Table1[Date of Initial Assessment]="","",IF(AND(Table1[Start Date]&gt;42460,Table1[Start Date]&lt;42826),Table1[Managing Tenancy and Accommodation],""))</f>
        <v/>
      </c>
      <c r="GD591" s="44" t="str">
        <f>IF(Table1[Date of Initial Assessment]="","",IF(AND(Table1[Start Date]&gt;42460,Table1[Start Date]&lt;42826),Table1[Offending],""))</f>
        <v/>
      </c>
      <c r="GE591" s="44" t="str">
        <f>IF(Table1[Leaving Date]="","",IF(AND(Table1[Leaving Date]&gt;42460,Table1[Leaving Date]&lt;42826),IF(Table1[Date of Last Assessment]="",Table1[Motivation and Taking Responsibility],Table1[Motivation and Taking Responsibility2]),""))</f>
        <v/>
      </c>
      <c r="GF591" s="44" t="str">
        <f>IF(Table1[Leaving Date]="","",IF(AND(Table1[Leaving Date]&gt;42460,Table1[Leaving Date]&lt;42826),IF(Table1[Date of Last Assessment]="",Table1[Self-Care and Living Skills],Table1[Self-Care and Living Skills2]),""))</f>
        <v/>
      </c>
      <c r="GG591" s="44" t="str">
        <f>IF(Table1[Leaving Date]="","",IF(AND(Table1[Leaving Date]&gt;42460,Table1[Leaving Date]&lt;42826),IF(Table1[Date of Last Assessment]="",Table1[Managing Money and Personal Administration],Table1[Managing Money and Personal Administration2]),""))</f>
        <v/>
      </c>
      <c r="GH591" s="44" t="str">
        <f>IF(Table1[Leaving Date]="","",IF(AND(Table1[Leaving Date]&gt;42460,Table1[Leaving Date]&lt;42826),IF(Table1[Date of Last Assessment]="",Table1[Social Networks and Relationships],Table1[Social Networks and Relationships2]),""))</f>
        <v/>
      </c>
      <c r="GI591" s="44" t="str">
        <f>IF(Table1[Leaving Date]="","",IF(AND(Table1[Leaving Date]&gt;42460,Table1[Leaving Date]&lt;42826),IF(Table1[Date of Last Assessment]="",Table1[Drug and Alcohol Misuse],Table1[Drug and Alcohol Misuse2]),""))</f>
        <v/>
      </c>
      <c r="GJ591" s="44" t="str">
        <f>IF(Table1[Leaving Date]="","",IF(AND(Table1[Leaving Date]&gt;42460,Table1[Leaving Date]&lt;42826),IF(Table1[Date of Last Assessment]="",Table1[Physical Health],Table1[Physical Health2]),""))</f>
        <v/>
      </c>
      <c r="GK591" s="44" t="str">
        <f>IF(Table1[Leaving Date]="","",IF(AND(Table1[Leaving Date]&gt;42460,Table1[Leaving Date]&lt;42826),IF(Table1[Date of Last Assessment]="",Table1[Emotional and Mental Health],Table1[Emotional and Mental Health2]),""))</f>
        <v/>
      </c>
      <c r="GL591" s="44" t="str">
        <f>IF(Table1[Leaving Date]="","",IF(AND(Table1[Leaving Date]&gt;42460,Table1[Leaving Date]&lt;42826),IF(Table1[Date of Last Assessment]="",Table1[Meaningful Use of Time],Table1[Meaningful Use of Time2]),""))</f>
        <v/>
      </c>
      <c r="GM591" s="44" t="str">
        <f>IF(Table1[Leaving Date]="","",IF(AND(Table1[Leaving Date]&gt;42460,Table1[Leaving Date]&lt;42826),IF(Table1[Date of Last Assessment]="",Table1[Managing Tenancy and Accommodation],Table1[Managing Tenancy and Accommodation2]),""))</f>
        <v/>
      </c>
      <c r="GN591" s="44" t="str">
        <f>IF(Table1[Leaving Date]="","",IF(AND(Table1[Leaving Date]&gt;42460,Table1[Leaving Date]&lt;42826),IF(Table1[Date of Last Assessment]="",Table1[Offending],Table1[Offending2]),""))</f>
        <v/>
      </c>
    </row>
    <row r="592" spans="2:196" ht="20.100000000000001" customHeight="1" x14ac:dyDescent="0.2">
      <c r="B592" s="86">
        <f>+'Service Data'!$C$5:$C$5</f>
        <v>0</v>
      </c>
      <c r="C592" s="86"/>
      <c r="D592" s="86"/>
      <c r="E592" s="86"/>
      <c r="F592" s="86"/>
      <c r="G592" s="86"/>
      <c r="H592" s="6"/>
      <c r="I592" s="99" t="str">
        <f ca="1">IF(Table1[[#This Row],[Date of Birth]]="","",SUM(TODAY()-Table1[[#This Row],[Date of Birth]])/365)</f>
        <v/>
      </c>
      <c r="L592" s="86"/>
      <c r="M592" s="77"/>
      <c r="N592" s="86"/>
      <c r="O592" s="86"/>
      <c r="P592" s="91"/>
      <c r="Q592" s="86"/>
      <c r="R592" s="77"/>
      <c r="S592" s="77"/>
      <c r="T592" s="68"/>
      <c r="U592" s="68"/>
      <c r="V592" s="67"/>
      <c r="W592" s="67"/>
      <c r="X592" s="67"/>
      <c r="Y592" s="67"/>
      <c r="Z592" s="67"/>
      <c r="AA592" s="67"/>
      <c r="AB592" s="67"/>
      <c r="AC592" s="67"/>
      <c r="AD592" s="67"/>
      <c r="AE592" s="67"/>
      <c r="AF592" s="67"/>
      <c r="AG592" s="67"/>
      <c r="AH592" s="67"/>
      <c r="AI592" s="67"/>
      <c r="AJ592" s="67"/>
      <c r="AK592" s="67"/>
      <c r="AL592" s="67"/>
      <c r="AM592" s="67"/>
      <c r="AN592" s="77"/>
      <c r="AO592" s="76"/>
      <c r="AP592" s="77"/>
      <c r="AQ592" s="76"/>
      <c r="AR592" s="76"/>
      <c r="AS592" s="76"/>
      <c r="AT592" s="76"/>
      <c r="AU592" s="76"/>
      <c r="AV592" s="77"/>
      <c r="AW592" s="76"/>
      <c r="AX592" s="77"/>
      <c r="AY592" s="76"/>
      <c r="AZ592" s="76"/>
      <c r="BA592" s="76"/>
      <c r="BB592" s="76"/>
      <c r="BC592" s="76"/>
      <c r="BD592" s="77"/>
      <c r="BE592" s="76"/>
      <c r="BF592" s="77"/>
      <c r="BG592" s="76"/>
      <c r="BH592" s="76"/>
      <c r="BI592" s="76"/>
      <c r="BJ592" s="76"/>
      <c r="BK592" s="76"/>
      <c r="BL592" s="77"/>
      <c r="BM592" s="76"/>
      <c r="BN592" s="77"/>
      <c r="BO592" s="76"/>
      <c r="BP592" s="76"/>
      <c r="BQ592" s="76"/>
      <c r="BR592" s="76"/>
      <c r="BS592" s="76"/>
      <c r="BT592" s="77"/>
      <c r="BU592" s="76"/>
      <c r="BV592" s="77"/>
      <c r="BW592" s="76"/>
      <c r="BX592" s="76"/>
      <c r="BY592" s="76"/>
      <c r="BZ592" s="76"/>
      <c r="CA592" s="76"/>
      <c r="CB592" s="77"/>
      <c r="CC592" s="76"/>
      <c r="CD592" s="77"/>
      <c r="CE592" s="76"/>
      <c r="CF592" s="76"/>
      <c r="CG592" s="76"/>
      <c r="CH592" s="76"/>
      <c r="CI592" s="76"/>
      <c r="CJ592" s="77"/>
      <c r="CK592" s="76"/>
      <c r="CL592" s="77"/>
      <c r="CM592" s="76"/>
      <c r="CN592" s="76"/>
      <c r="CO592" s="76"/>
      <c r="CP592" s="76"/>
      <c r="CQ592" s="76"/>
      <c r="CR592" s="78" t="str">
        <f t="shared" si="159"/>
        <v/>
      </c>
      <c r="CS592" s="79" t="str">
        <f t="shared" si="160"/>
        <v/>
      </c>
      <c r="CT592" s="79" t="str">
        <f t="shared" si="161"/>
        <v/>
      </c>
      <c r="CU592" s="79" t="str">
        <f t="shared" si="162"/>
        <v/>
      </c>
      <c r="CV592" s="79" t="str">
        <f t="shared" si="163"/>
        <v/>
      </c>
      <c r="CW592" s="79" t="str">
        <f t="shared" si="164"/>
        <v/>
      </c>
      <c r="CX592" s="79" t="str">
        <f t="shared" si="165"/>
        <v/>
      </c>
      <c r="CY592" s="79" t="str">
        <f t="shared" si="166"/>
        <v/>
      </c>
      <c r="CZ592" s="79" t="str">
        <f t="shared" si="167"/>
        <v/>
      </c>
      <c r="DA592" s="79" t="str">
        <f t="shared" si="168"/>
        <v/>
      </c>
      <c r="DB592" s="79" t="str">
        <f t="shared" si="169"/>
        <v/>
      </c>
      <c r="DC592" s="79" t="str">
        <f t="shared" si="170"/>
        <v/>
      </c>
      <c r="DD592" s="79" t="str">
        <f t="shared" si="171"/>
        <v/>
      </c>
      <c r="DE592" s="79" t="str">
        <f t="shared" si="172"/>
        <v/>
      </c>
      <c r="DF592" s="79" t="str">
        <f t="shared" si="173"/>
        <v/>
      </c>
      <c r="DG592" s="79" t="str">
        <f t="shared" si="174"/>
        <v/>
      </c>
      <c r="DH592" s="76"/>
      <c r="DI592" s="78"/>
      <c r="DJ592" s="76"/>
      <c r="DK592" s="77"/>
      <c r="DL592" s="77"/>
      <c r="DM592" s="77"/>
      <c r="DN592" s="80"/>
      <c r="DO592" s="80"/>
      <c r="DP592" s="92" t="str">
        <f>IF(Table1[Start Date]="","",IF(Table1[Start Date]&gt;42185,"",IF(AND(Table1[Leaving Date]&gt;1,Table1[Leaving Date]&lt;42095),"",1)))</f>
        <v/>
      </c>
      <c r="DQ592" s="92" t="str">
        <f>IF(Table1[Start Date]="","",IF(Table1[Start Date]&gt;42277,"",IF(AND(Table1[Leaving Date]&gt;1,Table1[Leaving Date]&lt;42186),"",1)))</f>
        <v/>
      </c>
      <c r="DR592" s="92" t="str">
        <f>IF(Table1[Start Date]="","",IF(Table1[Start Date]&gt;42369,"",IF(AND(Table1[Leaving Date]&gt;1,Table1[Leaving Date]&lt;42278),"",1)))</f>
        <v/>
      </c>
      <c r="DS592" s="92" t="str">
        <f>IF(Table1[Start Date]="","",IF(Table1[Start Date]&gt;42460,"",IF(AND(Table1[Leaving Date]&gt;1,Table1[Leaving Date]&lt;42370),"",1)))</f>
        <v/>
      </c>
      <c r="DT592" s="92" t="str">
        <f>IF(Table1[Start Date]="","",IF(Table1[Start Date]&gt;42551,"",IF(AND(Table1[Leaving Date]&gt;1,Table1[Leaving Date]&lt;42461),"",1)))</f>
        <v/>
      </c>
      <c r="DU592" s="92" t="str">
        <f>IF(Table1[Start Date]="","",IF(Table1[Start Date]&gt;42643,"",IF(AND(Table1[Leaving Date]&gt;1,Table1[Leaving Date]&lt;42552),"",1)))</f>
        <v/>
      </c>
      <c r="DV592" s="92" t="str">
        <f>IF(Table1[Start Date]="","",IF(Table1[Start Date]&gt;42735,"",IF(AND(Table1[Leaving Date]&gt;1,Table1[Leaving Date]&lt;42644),"",1)))</f>
        <v/>
      </c>
      <c r="DW592" s="92" t="str">
        <f>IF(Table1[Start Date]="","",IF(Table1[Start Date]&gt;42825,"",IF(AND(Table1[Leaving Date]&gt;1,Table1[Leaving Date]&lt;42736),"",1)))</f>
        <v/>
      </c>
      <c r="DX592"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592" s="44" t="e">
        <f>VLOOKUP(Table1[Referral Source],Lists!$G$2:$H$20,2,FALSE)</f>
        <v>#N/A</v>
      </c>
      <c r="DZ592" s="93" t="e">
        <f>SUM(Table1[Data Referral Quarter]+Table1[Data Referral Source])</f>
        <v>#N/A</v>
      </c>
      <c r="EA592" s="44" t="b">
        <f>IF(Table1[Referral Decision]="Accepted",100,IF(Table1[Referral Decision]="Rejected by Provider",200,IF(Table1[Referral Decision]="Rejected by Applicant",300)))</f>
        <v>0</v>
      </c>
      <c r="EB592" s="44">
        <f>SUM(Table1[Data Referral Quarter]+Table1[Data Referral Decision])</f>
        <v>0</v>
      </c>
      <c r="EC592" s="44" t="b">
        <f>IF(Table1[Start Date]&gt;42735,8000,IF(Table1[Start Date]&gt;42643,7000,IF(Table1[Start Date]&gt;42551,6000,IF(Table1[Start Date]&gt;42460,5000,IF(Table1[Start Date]&gt;42369,4000,IF(Table1[Start Date]&gt;42277,3000,IF(Table1[Start Date]&gt;42185,2000,IF(Table1[Start Date]&gt;42094,1000))))))))</f>
        <v>0</v>
      </c>
      <c r="ED592" s="44" t="str">
        <f>IF(Table1[Start Date]="","",IF(Table1[Current Local Authority]="Swindon",1,"2"))</f>
        <v/>
      </c>
      <c r="EE592" s="44" t="e">
        <f>SUM(Table1[Data Start Date]+Table1[Data Local Authority])</f>
        <v>#VALUE!</v>
      </c>
      <c r="EF592" s="44">
        <f>IF(Table1[Registered with GP]="Yes",1,0)</f>
        <v>0</v>
      </c>
      <c r="EG592" s="44">
        <f>SUM(Table1[Data Start Date]+Table1[Data GP Start])</f>
        <v>0</v>
      </c>
      <c r="EH592" s="44" t="str">
        <f>IF(Table1[EET]="NEET",1,IF(Table1[EET]="Education",2,IF(Table1[EET]="Employment",2,IF(Table1[EET]="Training",2,IF(Table1[EET]="Retired",3,"")))))</f>
        <v/>
      </c>
      <c r="EI592" s="44" t="e">
        <f>Table1[Data Start Date]+Table1[Data EET Start]</f>
        <v>#VALUE!</v>
      </c>
      <c r="EJ592" s="44" t="b">
        <f>IF(Table1[Leaving Date]&gt;42735,8000,IF(Table1[Leaving Date]&gt;42643,7000,IF(Table1[Leaving Date]&gt;42551,6000,IF(Table1[Leaving Date]&gt;42460,5000,IF(Table1[Leaving Date]&gt;42369,4000,IF(Table1[Leaving Date]&gt;42277,3000,IF(Table1[Leaving Date]&gt;42185,2000,IF(Table1[Leaving Date]&gt;42094,1000))))))))</f>
        <v>0</v>
      </c>
      <c r="EK592" s="44" t="e">
        <f>VLOOKUP(Table1[Reason for Leaving],Lists!$T$2:$U$15,2,FALSE)</f>
        <v>#N/A</v>
      </c>
      <c r="EL592" s="44" t="e">
        <f>SUM(Table1[Data Leavers Date]+Table1[Data Move On])</f>
        <v>#N/A</v>
      </c>
      <c r="EM592" s="44" t="b">
        <f>IF(Table1[Registered with GP2]="Yes",1,IF(Table1[Registered with GP2]="No",0,IF(Table1[Registered with GP]="Yes",1,IF(Table1[Registered with GP]="No",0))))</f>
        <v>0</v>
      </c>
      <c r="EN592" s="44">
        <f>SUM(Table1[Data Leavers Date]+Table1[Data GP End])</f>
        <v>0</v>
      </c>
      <c r="EO592" s="44" t="str">
        <f>IF(Table1[EET2]="NEET",1,IF(Table1[EET2]="Employment",2,IF(Table1[EET2]="Education",2,IF(Table1[EET2]="Training",2,IF(Table1[EET2]="Retired",3,IF(Table1[EET]="NEET",1,IF(Table1[EET]="Employment",2,IF(Table1[EET]="Education",2,IF(Table1[EET]="Training",2,IF(Table1[EET]="Retired",3,""))))))))))</f>
        <v/>
      </c>
      <c r="EP592" s="44" t="e">
        <f>+Table1[[#This Row],[Data Leavers Date]]+Table1[[#This Row],[Data EET End]]</f>
        <v>#VALUE!</v>
      </c>
      <c r="EQ592" s="44">
        <f>IF(Table1[Exit Form Received]="Yes",1,0)</f>
        <v>0</v>
      </c>
      <c r="ER592" s="44">
        <f>+Table1[[#This Row],[Data Leavers Date]]+Table1[[#This Row],[Data Exit Forms]]</f>
        <v>0</v>
      </c>
      <c r="ES592" s="44" t="str">
        <f>IF(Table1[Data Leavers Date]=1000,SUM(Table1[Leaving Date]-Table1[Start Date]),"")</f>
        <v/>
      </c>
      <c r="ET592" s="44" t="str">
        <f>IF(Table1[Data Leavers Date]=2000,SUM(Table1[Leaving Date]-Table1[Start Date]),"")</f>
        <v/>
      </c>
      <c r="EU592" s="44" t="str">
        <f>IF(Table1[Data Leavers Date]=3000,SUM(Table1[Leaving Date]-Table1[Start Date]),"")</f>
        <v/>
      </c>
      <c r="EV592" s="44" t="str">
        <f>IF(Table1[Data Leavers Date]=4000,SUM(Table1[Leaving Date]-Table1[Start Date]),"")</f>
        <v/>
      </c>
      <c r="EW592" s="44" t="str">
        <f>IF(Table1[Data Leavers Date]=5000,SUM(Table1[Leaving Date]-Table1[Start Date]),"")</f>
        <v/>
      </c>
      <c r="EX592" s="44" t="str">
        <f>IF(Table1[Data Leavers Date]=6000,SUM(Table1[Leaving Date]-Table1[Start Date]),"")</f>
        <v/>
      </c>
      <c r="EY592" s="44" t="str">
        <f>IF(Table1[Data Leavers Date]=7000,SUM(Table1[Leaving Date]-Table1[Start Date]),"")</f>
        <v/>
      </c>
      <c r="EZ592" s="44" t="str">
        <f>IF(Table1[Data Leavers Date]=8000,SUM(Table1[Leaving Date]-Table1[Start Date]),"")</f>
        <v/>
      </c>
      <c r="FA592" s="44" t="str">
        <f>IF(Table1[Date of Initial Assessment]="","",IF(AND(Table1[Start Date]&gt;42094,Table1[Start Date]&lt;42461),Table1[Motivation and Taking Responsibility],""))</f>
        <v/>
      </c>
      <c r="FB592" s="44" t="str">
        <f>IF(Table1[Date of Initial Assessment]="","",IF(AND(Table1[Start Date]&gt;42094,Table1[Start Date]&lt;42461),Table1[Self-Care and Living Skills],""))</f>
        <v/>
      </c>
      <c r="FC592" s="44" t="str">
        <f>IF(Table1[Date of Initial Assessment]="","",IF(AND(Table1[Start Date]&gt;42094,Table1[Start Date]&lt;42461),Table1[Managing Money and Personal Administration],""))</f>
        <v/>
      </c>
      <c r="FD592" s="44" t="str">
        <f>IF(Table1[Date of Initial Assessment]="","",IF(AND(Table1[Start Date]&gt;42094,Table1[Start Date]&lt;42461),Table1[Social Networks and Relationships],""))</f>
        <v/>
      </c>
      <c r="FE592" s="44" t="str">
        <f>IF(Table1[Date of Initial Assessment]="","",IF(AND(Table1[Start Date]&gt;42094,Table1[Start Date]&lt;42461),Table1[Drug and Alcohol Misuse],""))</f>
        <v/>
      </c>
      <c r="FF592" s="44" t="str">
        <f>IF(Table1[Date of Initial Assessment]="","",IF(AND(Table1[Start Date]&gt;42094,Table1[Start Date]&lt;42461),Table1[Physical Health],""))</f>
        <v/>
      </c>
      <c r="FG592" s="44" t="str">
        <f>IF(Table1[Date of Initial Assessment]="","",IF(AND(Table1[Start Date]&gt;42094,Table1[Start Date]&lt;42461),Table1[Emotional and Mental Health],""))</f>
        <v/>
      </c>
      <c r="FH592" s="44" t="str">
        <f>IF(Table1[Date of Initial Assessment]="","",IF(AND(Table1[Start Date]&gt;42094,Table1[Start Date]&lt;42461),Table1[Meaningful Use of Time],""))</f>
        <v/>
      </c>
      <c r="FI592" s="44" t="str">
        <f>IF(Table1[Date of Initial Assessment]="","",IF(AND(Table1[Start Date]&gt;42094,Table1[Start Date]&lt;42461),Table1[Managing Tenancy and Accommodation],""))</f>
        <v/>
      </c>
      <c r="FJ592" s="44" t="str">
        <f>IF(Table1[Date of Initial Assessment]="","",IF(AND(Table1[Start Date]&gt;42094,Table1[Start Date]&lt;42461),Table1[Offending],""))</f>
        <v/>
      </c>
      <c r="FK592" s="44" t="str">
        <f>IF(Table1[Leaving Date]="","",IF(Table1[Date of Initial Assessment]="","",IF(AND(Table1[Leaving Date]&gt;42094,Table1[Leaving Date]&lt;42461),IF(Table1[Date of Last Assessment]="",Table1[Motivation and Taking Responsibility],Table1[Motivation and Taking Responsibility2]),"")))</f>
        <v/>
      </c>
      <c r="FL592" s="44" t="str">
        <f>IF(Table1[Leaving Date]="","",IF(Table1[Date of Initial Assessment]="","",IF(AND(Table1[Leaving Date]&gt;42094,Table1[Leaving Date]&lt;42461),IF(Table1[Date of Last Assessment]="",Table1[Self-Care and Living Skills],Table1[Self-Care and Living Skills2]),"")))</f>
        <v/>
      </c>
      <c r="FM592" s="44" t="str">
        <f>IF(Table1[Leaving Date]="","",IF(Table1[Date of Initial Assessment]="","",IF(AND(Table1[Leaving Date]&gt;42094,Table1[Leaving Date]&lt;42461),IF(Table1[Date of Last Assessment]="",Table1[Managing Money and Personal Administration],Table1[Managing Money and Personal Administration2]),"")))</f>
        <v/>
      </c>
      <c r="FN592" s="44" t="str">
        <f>IF(Table1[Leaving Date]="","",IF(Table1[Date of Initial Assessment]="","",IF(AND(Table1[Leaving Date]&gt;42094,Table1[Leaving Date]&lt;42461),IF(Table1[Date of Last Assessment]="",Table1[Social Networks and Relationships],Table1[Social Networks and Relationships2]),"")))</f>
        <v/>
      </c>
      <c r="FO592" s="44" t="str">
        <f>IF(Table1[Leaving Date]="","",IF(Table1[Date of Initial Assessment]="","",IF(AND(Table1[Leaving Date]&gt;42094,Table1[Leaving Date]&lt;42461),IF(Table1[Date of Last Assessment]="",Table1[Drug and Alcohol Misuse],Table1[Drug and Alcohol Misuse2]),"")))</f>
        <v/>
      </c>
      <c r="FP592" s="44" t="str">
        <f>IF(Table1[Leaving Date]="","",IF(Table1[Date of Initial Assessment]="","",IF(AND(Table1[Leaving Date]&gt;42094,Table1[Leaving Date]&lt;42461),IF(Table1[Date of Last Assessment]="",Table1[Physical Health],Table1[Physical Health2]),"")))</f>
        <v/>
      </c>
      <c r="FQ592" s="44" t="str">
        <f>IF(Table1[Leaving Date]="","",IF(Table1[Date of Initial Assessment]="","",IF(AND(Table1[Leaving Date]&gt;42094,Table1[Leaving Date]&lt;42461),IF(Table1[Date of Last Assessment]="",Table1[Emotional and Mental Health],Table1[Emotional and Mental Health2]),"")))</f>
        <v/>
      </c>
      <c r="FR592" s="44" t="str">
        <f>IF(Table1[Leaving Date]="","",IF(Table1[Date of Initial Assessment]="","",IF(AND(Table1[Leaving Date]&gt;42094,Table1[Leaving Date]&lt;42461),IF(Table1[Date of Last Assessment]="",Table1[Meaningful Use of Time],Table1[Meaningful Use of Time2]),"")))</f>
        <v/>
      </c>
      <c r="FS592" s="44" t="str">
        <f>IF(Table1[Leaving Date]="","",IF(Table1[Date of Initial Assessment]="","",IF(AND(Table1[Leaving Date]&gt;42094,Table1[Leaving Date]&lt;42461),IF(Table1[Date of Last Assessment]="",Table1[Managing Tenancy and Accommodation],Table1[Managing Tenancy and Accommodation2]),"")))</f>
        <v/>
      </c>
      <c r="FT592" s="44" t="str">
        <f>IF(Table1[Leaving Date]="","",IF(Table1[Date of Initial Assessment]="","",IF(AND(Table1[Leaving Date]&gt;42094,Table1[Leaving Date]&lt;42461),IF(Table1[Date of Last Assessment]="",Table1[Offending],Table1[Offending2]),"")))</f>
        <v/>
      </c>
      <c r="FU592" s="44" t="str">
        <f>IF(Table1[Date of Initial Assessment]="","",IF(AND(Table1[Start Date]&gt;42460,Table1[Start Date]&lt;42826),Table1[Motivation and Taking Responsibility],""))</f>
        <v/>
      </c>
      <c r="FV592" s="44" t="str">
        <f>IF(Table1[Date of Initial Assessment]="","",IF(AND(Table1[Start Date]&gt;42460,Table1[Start Date]&lt;42826),Table1[Self-Care and Living Skills],""))</f>
        <v/>
      </c>
      <c r="FW592" s="44" t="str">
        <f>IF(Table1[Date of Initial Assessment]="","",IF(AND(Table1[Start Date]&gt;42460,Table1[Start Date]&lt;42826),Table1[Managing Money and Personal Administration],""))</f>
        <v/>
      </c>
      <c r="FX592" s="44" t="str">
        <f>IF(Table1[Date of Initial Assessment]="","",IF(AND(Table1[Start Date]&gt;42460,Table1[Start Date]&lt;42826),Table1[Social Networks and Relationships],""))</f>
        <v/>
      </c>
      <c r="FY592" s="44" t="str">
        <f>IF(Table1[Date of Initial Assessment]="","",IF(AND(Table1[Start Date]&gt;42460,Table1[Start Date]&lt;42826),Table1[Drug and Alcohol Misuse],""))</f>
        <v/>
      </c>
      <c r="FZ592" s="44" t="str">
        <f>IF(Table1[Date of Initial Assessment]="","",IF(AND(Table1[Start Date]&gt;42460,Table1[Start Date]&lt;42826),Table1[Physical Health],""))</f>
        <v/>
      </c>
      <c r="GA592" s="44" t="str">
        <f>IF(Table1[Date of Initial Assessment]="","",IF(AND(Table1[Start Date]&gt;42460,Table1[Start Date]&lt;42826),Table1[Emotional and Mental Health],""))</f>
        <v/>
      </c>
      <c r="GB592" s="44" t="str">
        <f>IF(Table1[Date of Initial Assessment]="","",IF(AND(Table1[Start Date]&gt;42460,Table1[Start Date]&lt;42826),Table1[Meaningful Use of Time],""))</f>
        <v/>
      </c>
      <c r="GC592" s="44" t="str">
        <f>IF(Table1[Date of Initial Assessment]="","",IF(AND(Table1[Start Date]&gt;42460,Table1[Start Date]&lt;42826),Table1[Managing Tenancy and Accommodation],""))</f>
        <v/>
      </c>
      <c r="GD592" s="44" t="str">
        <f>IF(Table1[Date of Initial Assessment]="","",IF(AND(Table1[Start Date]&gt;42460,Table1[Start Date]&lt;42826),Table1[Offending],""))</f>
        <v/>
      </c>
      <c r="GE592" s="44" t="str">
        <f>IF(Table1[Leaving Date]="","",IF(AND(Table1[Leaving Date]&gt;42460,Table1[Leaving Date]&lt;42826),IF(Table1[Date of Last Assessment]="",Table1[Motivation and Taking Responsibility],Table1[Motivation and Taking Responsibility2]),""))</f>
        <v/>
      </c>
      <c r="GF592" s="44" t="str">
        <f>IF(Table1[Leaving Date]="","",IF(AND(Table1[Leaving Date]&gt;42460,Table1[Leaving Date]&lt;42826),IF(Table1[Date of Last Assessment]="",Table1[Self-Care and Living Skills],Table1[Self-Care and Living Skills2]),""))</f>
        <v/>
      </c>
      <c r="GG592" s="44" t="str">
        <f>IF(Table1[Leaving Date]="","",IF(AND(Table1[Leaving Date]&gt;42460,Table1[Leaving Date]&lt;42826),IF(Table1[Date of Last Assessment]="",Table1[Managing Money and Personal Administration],Table1[Managing Money and Personal Administration2]),""))</f>
        <v/>
      </c>
      <c r="GH592" s="44" t="str">
        <f>IF(Table1[Leaving Date]="","",IF(AND(Table1[Leaving Date]&gt;42460,Table1[Leaving Date]&lt;42826),IF(Table1[Date of Last Assessment]="",Table1[Social Networks and Relationships],Table1[Social Networks and Relationships2]),""))</f>
        <v/>
      </c>
      <c r="GI592" s="44" t="str">
        <f>IF(Table1[Leaving Date]="","",IF(AND(Table1[Leaving Date]&gt;42460,Table1[Leaving Date]&lt;42826),IF(Table1[Date of Last Assessment]="",Table1[Drug and Alcohol Misuse],Table1[Drug and Alcohol Misuse2]),""))</f>
        <v/>
      </c>
      <c r="GJ592" s="44" t="str">
        <f>IF(Table1[Leaving Date]="","",IF(AND(Table1[Leaving Date]&gt;42460,Table1[Leaving Date]&lt;42826),IF(Table1[Date of Last Assessment]="",Table1[Physical Health],Table1[Physical Health2]),""))</f>
        <v/>
      </c>
      <c r="GK592" s="44" t="str">
        <f>IF(Table1[Leaving Date]="","",IF(AND(Table1[Leaving Date]&gt;42460,Table1[Leaving Date]&lt;42826),IF(Table1[Date of Last Assessment]="",Table1[Emotional and Mental Health],Table1[Emotional and Mental Health2]),""))</f>
        <v/>
      </c>
      <c r="GL592" s="44" t="str">
        <f>IF(Table1[Leaving Date]="","",IF(AND(Table1[Leaving Date]&gt;42460,Table1[Leaving Date]&lt;42826),IF(Table1[Date of Last Assessment]="",Table1[Meaningful Use of Time],Table1[Meaningful Use of Time2]),""))</f>
        <v/>
      </c>
      <c r="GM592" s="44" t="str">
        <f>IF(Table1[Leaving Date]="","",IF(AND(Table1[Leaving Date]&gt;42460,Table1[Leaving Date]&lt;42826),IF(Table1[Date of Last Assessment]="",Table1[Managing Tenancy and Accommodation],Table1[Managing Tenancy and Accommodation2]),""))</f>
        <v/>
      </c>
      <c r="GN592" s="44" t="str">
        <f>IF(Table1[Leaving Date]="","",IF(AND(Table1[Leaving Date]&gt;42460,Table1[Leaving Date]&lt;42826),IF(Table1[Date of Last Assessment]="",Table1[Offending],Table1[Offending2]),""))</f>
        <v/>
      </c>
    </row>
    <row r="593" spans="2:196" ht="20.100000000000001" customHeight="1" x14ac:dyDescent="0.2">
      <c r="B593" s="86">
        <f>+'Service Data'!$C$5:$C$5</f>
        <v>0</v>
      </c>
      <c r="C593" s="86"/>
      <c r="D593" s="86"/>
      <c r="E593" s="86"/>
      <c r="F593" s="86"/>
      <c r="G593" s="86"/>
      <c r="H593" s="6"/>
      <c r="I593" s="99" t="str">
        <f ca="1">IF(Table1[[#This Row],[Date of Birth]]="","",SUM(TODAY()-Table1[[#This Row],[Date of Birth]])/365)</f>
        <v/>
      </c>
      <c r="L593" s="86"/>
      <c r="M593" s="77"/>
      <c r="N593" s="86"/>
      <c r="O593" s="86"/>
      <c r="P593" s="91"/>
      <c r="Q593" s="86"/>
      <c r="R593" s="77"/>
      <c r="S593" s="77"/>
      <c r="T593" s="68"/>
      <c r="U593" s="68"/>
      <c r="V593" s="67"/>
      <c r="W593" s="67"/>
      <c r="X593" s="67"/>
      <c r="Y593" s="67"/>
      <c r="Z593" s="67"/>
      <c r="AA593" s="67"/>
      <c r="AB593" s="67"/>
      <c r="AC593" s="67"/>
      <c r="AD593" s="67"/>
      <c r="AE593" s="67"/>
      <c r="AF593" s="67"/>
      <c r="AG593" s="67"/>
      <c r="AH593" s="67"/>
      <c r="AI593" s="67"/>
      <c r="AJ593" s="67"/>
      <c r="AK593" s="67"/>
      <c r="AL593" s="67"/>
      <c r="AM593" s="67"/>
      <c r="AN593" s="77"/>
      <c r="AO593" s="76"/>
      <c r="AP593" s="77"/>
      <c r="AQ593" s="76"/>
      <c r="AR593" s="76"/>
      <c r="AS593" s="76"/>
      <c r="AT593" s="76"/>
      <c r="AU593" s="76"/>
      <c r="AV593" s="77"/>
      <c r="AW593" s="76"/>
      <c r="AX593" s="77"/>
      <c r="AY593" s="76"/>
      <c r="AZ593" s="76"/>
      <c r="BA593" s="76"/>
      <c r="BB593" s="76"/>
      <c r="BC593" s="76"/>
      <c r="BD593" s="77"/>
      <c r="BE593" s="76"/>
      <c r="BF593" s="77"/>
      <c r="BG593" s="76"/>
      <c r="BH593" s="76"/>
      <c r="BI593" s="76"/>
      <c r="BJ593" s="76"/>
      <c r="BK593" s="76"/>
      <c r="BL593" s="77"/>
      <c r="BM593" s="76"/>
      <c r="BN593" s="77"/>
      <c r="BO593" s="76"/>
      <c r="BP593" s="76"/>
      <c r="BQ593" s="76"/>
      <c r="BR593" s="76"/>
      <c r="BS593" s="76"/>
      <c r="BT593" s="77"/>
      <c r="BU593" s="76"/>
      <c r="BV593" s="77"/>
      <c r="BW593" s="76"/>
      <c r="BX593" s="76"/>
      <c r="BY593" s="76"/>
      <c r="BZ593" s="76"/>
      <c r="CA593" s="76"/>
      <c r="CB593" s="77"/>
      <c r="CC593" s="76"/>
      <c r="CD593" s="77"/>
      <c r="CE593" s="76"/>
      <c r="CF593" s="76"/>
      <c r="CG593" s="76"/>
      <c r="CH593" s="76"/>
      <c r="CI593" s="76"/>
      <c r="CJ593" s="77"/>
      <c r="CK593" s="76"/>
      <c r="CL593" s="77"/>
      <c r="CM593" s="76"/>
      <c r="CN593" s="76"/>
      <c r="CO593" s="76"/>
      <c r="CP593" s="76"/>
      <c r="CQ593" s="76"/>
      <c r="CR593" s="78" t="str">
        <f t="shared" si="159"/>
        <v/>
      </c>
      <c r="CS593" s="79" t="str">
        <f t="shared" si="160"/>
        <v/>
      </c>
      <c r="CT593" s="79" t="str">
        <f t="shared" si="161"/>
        <v/>
      </c>
      <c r="CU593" s="79" t="str">
        <f t="shared" si="162"/>
        <v/>
      </c>
      <c r="CV593" s="79" t="str">
        <f t="shared" si="163"/>
        <v/>
      </c>
      <c r="CW593" s="79" t="str">
        <f t="shared" si="164"/>
        <v/>
      </c>
      <c r="CX593" s="79" t="str">
        <f t="shared" si="165"/>
        <v/>
      </c>
      <c r="CY593" s="79" t="str">
        <f t="shared" si="166"/>
        <v/>
      </c>
      <c r="CZ593" s="79" t="str">
        <f t="shared" si="167"/>
        <v/>
      </c>
      <c r="DA593" s="79" t="str">
        <f t="shared" si="168"/>
        <v/>
      </c>
      <c r="DB593" s="79" t="str">
        <f t="shared" si="169"/>
        <v/>
      </c>
      <c r="DC593" s="79" t="str">
        <f t="shared" si="170"/>
        <v/>
      </c>
      <c r="DD593" s="79" t="str">
        <f t="shared" si="171"/>
        <v/>
      </c>
      <c r="DE593" s="79" t="str">
        <f t="shared" si="172"/>
        <v/>
      </c>
      <c r="DF593" s="79" t="str">
        <f t="shared" si="173"/>
        <v/>
      </c>
      <c r="DG593" s="79" t="str">
        <f t="shared" si="174"/>
        <v/>
      </c>
      <c r="DH593" s="76"/>
      <c r="DI593" s="78"/>
      <c r="DJ593" s="76"/>
      <c r="DK593" s="77"/>
      <c r="DL593" s="77"/>
      <c r="DM593" s="77"/>
      <c r="DN593" s="80"/>
      <c r="DO593" s="80"/>
      <c r="DP593" s="92" t="str">
        <f>IF(Table1[Start Date]="","",IF(Table1[Start Date]&gt;42185,"",IF(AND(Table1[Leaving Date]&gt;1,Table1[Leaving Date]&lt;42095),"",1)))</f>
        <v/>
      </c>
      <c r="DQ593" s="92" t="str">
        <f>IF(Table1[Start Date]="","",IF(Table1[Start Date]&gt;42277,"",IF(AND(Table1[Leaving Date]&gt;1,Table1[Leaving Date]&lt;42186),"",1)))</f>
        <v/>
      </c>
      <c r="DR593" s="92" t="str">
        <f>IF(Table1[Start Date]="","",IF(Table1[Start Date]&gt;42369,"",IF(AND(Table1[Leaving Date]&gt;1,Table1[Leaving Date]&lt;42278),"",1)))</f>
        <v/>
      </c>
      <c r="DS593" s="92" t="str">
        <f>IF(Table1[Start Date]="","",IF(Table1[Start Date]&gt;42460,"",IF(AND(Table1[Leaving Date]&gt;1,Table1[Leaving Date]&lt;42370),"",1)))</f>
        <v/>
      </c>
      <c r="DT593" s="92" t="str">
        <f>IF(Table1[Start Date]="","",IF(Table1[Start Date]&gt;42551,"",IF(AND(Table1[Leaving Date]&gt;1,Table1[Leaving Date]&lt;42461),"",1)))</f>
        <v/>
      </c>
      <c r="DU593" s="92" t="str">
        <f>IF(Table1[Start Date]="","",IF(Table1[Start Date]&gt;42643,"",IF(AND(Table1[Leaving Date]&gt;1,Table1[Leaving Date]&lt;42552),"",1)))</f>
        <v/>
      </c>
      <c r="DV593" s="92" t="str">
        <f>IF(Table1[Start Date]="","",IF(Table1[Start Date]&gt;42735,"",IF(AND(Table1[Leaving Date]&gt;1,Table1[Leaving Date]&lt;42644),"",1)))</f>
        <v/>
      </c>
      <c r="DW593" s="92" t="str">
        <f>IF(Table1[Start Date]="","",IF(Table1[Start Date]&gt;42825,"",IF(AND(Table1[Leaving Date]&gt;1,Table1[Leaving Date]&lt;42736),"",1)))</f>
        <v/>
      </c>
      <c r="DX593"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593" s="44" t="e">
        <f>VLOOKUP(Table1[Referral Source],Lists!$G$2:$H$20,2,FALSE)</f>
        <v>#N/A</v>
      </c>
      <c r="DZ593" s="93" t="e">
        <f>SUM(Table1[Data Referral Quarter]+Table1[Data Referral Source])</f>
        <v>#N/A</v>
      </c>
      <c r="EA593" s="44" t="b">
        <f>IF(Table1[Referral Decision]="Accepted",100,IF(Table1[Referral Decision]="Rejected by Provider",200,IF(Table1[Referral Decision]="Rejected by Applicant",300)))</f>
        <v>0</v>
      </c>
      <c r="EB593" s="44">
        <f>SUM(Table1[Data Referral Quarter]+Table1[Data Referral Decision])</f>
        <v>0</v>
      </c>
      <c r="EC593" s="44" t="b">
        <f>IF(Table1[Start Date]&gt;42735,8000,IF(Table1[Start Date]&gt;42643,7000,IF(Table1[Start Date]&gt;42551,6000,IF(Table1[Start Date]&gt;42460,5000,IF(Table1[Start Date]&gt;42369,4000,IF(Table1[Start Date]&gt;42277,3000,IF(Table1[Start Date]&gt;42185,2000,IF(Table1[Start Date]&gt;42094,1000))))))))</f>
        <v>0</v>
      </c>
      <c r="ED593" s="44" t="str">
        <f>IF(Table1[Start Date]="","",IF(Table1[Current Local Authority]="Swindon",1,"2"))</f>
        <v/>
      </c>
      <c r="EE593" s="44" t="e">
        <f>SUM(Table1[Data Start Date]+Table1[Data Local Authority])</f>
        <v>#VALUE!</v>
      </c>
      <c r="EF593" s="44">
        <f>IF(Table1[Registered with GP]="Yes",1,0)</f>
        <v>0</v>
      </c>
      <c r="EG593" s="44">
        <f>SUM(Table1[Data Start Date]+Table1[Data GP Start])</f>
        <v>0</v>
      </c>
      <c r="EH593" s="44" t="str">
        <f>IF(Table1[EET]="NEET",1,IF(Table1[EET]="Education",2,IF(Table1[EET]="Employment",2,IF(Table1[EET]="Training",2,IF(Table1[EET]="Retired",3,"")))))</f>
        <v/>
      </c>
      <c r="EI593" s="44" t="e">
        <f>Table1[Data Start Date]+Table1[Data EET Start]</f>
        <v>#VALUE!</v>
      </c>
      <c r="EJ593" s="44" t="b">
        <f>IF(Table1[Leaving Date]&gt;42735,8000,IF(Table1[Leaving Date]&gt;42643,7000,IF(Table1[Leaving Date]&gt;42551,6000,IF(Table1[Leaving Date]&gt;42460,5000,IF(Table1[Leaving Date]&gt;42369,4000,IF(Table1[Leaving Date]&gt;42277,3000,IF(Table1[Leaving Date]&gt;42185,2000,IF(Table1[Leaving Date]&gt;42094,1000))))))))</f>
        <v>0</v>
      </c>
      <c r="EK593" s="44" t="e">
        <f>VLOOKUP(Table1[Reason for Leaving],Lists!$T$2:$U$15,2,FALSE)</f>
        <v>#N/A</v>
      </c>
      <c r="EL593" s="44" t="e">
        <f>SUM(Table1[Data Leavers Date]+Table1[Data Move On])</f>
        <v>#N/A</v>
      </c>
      <c r="EM593" s="44" t="b">
        <f>IF(Table1[Registered with GP2]="Yes",1,IF(Table1[Registered with GP2]="No",0,IF(Table1[Registered with GP]="Yes",1,IF(Table1[Registered with GP]="No",0))))</f>
        <v>0</v>
      </c>
      <c r="EN593" s="44">
        <f>SUM(Table1[Data Leavers Date]+Table1[Data GP End])</f>
        <v>0</v>
      </c>
      <c r="EO593" s="44" t="str">
        <f>IF(Table1[EET2]="NEET",1,IF(Table1[EET2]="Employment",2,IF(Table1[EET2]="Education",2,IF(Table1[EET2]="Training",2,IF(Table1[EET2]="Retired",3,IF(Table1[EET]="NEET",1,IF(Table1[EET]="Employment",2,IF(Table1[EET]="Education",2,IF(Table1[EET]="Training",2,IF(Table1[EET]="Retired",3,""))))))))))</f>
        <v/>
      </c>
      <c r="EP593" s="44" t="e">
        <f>+Table1[[#This Row],[Data Leavers Date]]+Table1[[#This Row],[Data EET End]]</f>
        <v>#VALUE!</v>
      </c>
      <c r="EQ593" s="44">
        <f>IF(Table1[Exit Form Received]="Yes",1,0)</f>
        <v>0</v>
      </c>
      <c r="ER593" s="44">
        <f>+Table1[[#This Row],[Data Leavers Date]]+Table1[[#This Row],[Data Exit Forms]]</f>
        <v>0</v>
      </c>
      <c r="ES593" s="44" t="str">
        <f>IF(Table1[Data Leavers Date]=1000,SUM(Table1[Leaving Date]-Table1[Start Date]),"")</f>
        <v/>
      </c>
      <c r="ET593" s="44" t="str">
        <f>IF(Table1[Data Leavers Date]=2000,SUM(Table1[Leaving Date]-Table1[Start Date]),"")</f>
        <v/>
      </c>
      <c r="EU593" s="44" t="str">
        <f>IF(Table1[Data Leavers Date]=3000,SUM(Table1[Leaving Date]-Table1[Start Date]),"")</f>
        <v/>
      </c>
      <c r="EV593" s="44" t="str">
        <f>IF(Table1[Data Leavers Date]=4000,SUM(Table1[Leaving Date]-Table1[Start Date]),"")</f>
        <v/>
      </c>
      <c r="EW593" s="44" t="str">
        <f>IF(Table1[Data Leavers Date]=5000,SUM(Table1[Leaving Date]-Table1[Start Date]),"")</f>
        <v/>
      </c>
      <c r="EX593" s="44" t="str">
        <f>IF(Table1[Data Leavers Date]=6000,SUM(Table1[Leaving Date]-Table1[Start Date]),"")</f>
        <v/>
      </c>
      <c r="EY593" s="44" t="str">
        <f>IF(Table1[Data Leavers Date]=7000,SUM(Table1[Leaving Date]-Table1[Start Date]),"")</f>
        <v/>
      </c>
      <c r="EZ593" s="44" t="str">
        <f>IF(Table1[Data Leavers Date]=8000,SUM(Table1[Leaving Date]-Table1[Start Date]),"")</f>
        <v/>
      </c>
      <c r="FA593" s="44" t="str">
        <f>IF(Table1[Date of Initial Assessment]="","",IF(AND(Table1[Start Date]&gt;42094,Table1[Start Date]&lt;42461),Table1[Motivation and Taking Responsibility],""))</f>
        <v/>
      </c>
      <c r="FB593" s="44" t="str">
        <f>IF(Table1[Date of Initial Assessment]="","",IF(AND(Table1[Start Date]&gt;42094,Table1[Start Date]&lt;42461),Table1[Self-Care and Living Skills],""))</f>
        <v/>
      </c>
      <c r="FC593" s="44" t="str">
        <f>IF(Table1[Date of Initial Assessment]="","",IF(AND(Table1[Start Date]&gt;42094,Table1[Start Date]&lt;42461),Table1[Managing Money and Personal Administration],""))</f>
        <v/>
      </c>
      <c r="FD593" s="44" t="str">
        <f>IF(Table1[Date of Initial Assessment]="","",IF(AND(Table1[Start Date]&gt;42094,Table1[Start Date]&lt;42461),Table1[Social Networks and Relationships],""))</f>
        <v/>
      </c>
      <c r="FE593" s="44" t="str">
        <f>IF(Table1[Date of Initial Assessment]="","",IF(AND(Table1[Start Date]&gt;42094,Table1[Start Date]&lt;42461),Table1[Drug and Alcohol Misuse],""))</f>
        <v/>
      </c>
      <c r="FF593" s="44" t="str">
        <f>IF(Table1[Date of Initial Assessment]="","",IF(AND(Table1[Start Date]&gt;42094,Table1[Start Date]&lt;42461),Table1[Physical Health],""))</f>
        <v/>
      </c>
      <c r="FG593" s="44" t="str">
        <f>IF(Table1[Date of Initial Assessment]="","",IF(AND(Table1[Start Date]&gt;42094,Table1[Start Date]&lt;42461),Table1[Emotional and Mental Health],""))</f>
        <v/>
      </c>
      <c r="FH593" s="44" t="str">
        <f>IF(Table1[Date of Initial Assessment]="","",IF(AND(Table1[Start Date]&gt;42094,Table1[Start Date]&lt;42461),Table1[Meaningful Use of Time],""))</f>
        <v/>
      </c>
      <c r="FI593" s="44" t="str">
        <f>IF(Table1[Date of Initial Assessment]="","",IF(AND(Table1[Start Date]&gt;42094,Table1[Start Date]&lt;42461),Table1[Managing Tenancy and Accommodation],""))</f>
        <v/>
      </c>
      <c r="FJ593" s="44" t="str">
        <f>IF(Table1[Date of Initial Assessment]="","",IF(AND(Table1[Start Date]&gt;42094,Table1[Start Date]&lt;42461),Table1[Offending],""))</f>
        <v/>
      </c>
      <c r="FK593" s="44" t="str">
        <f>IF(Table1[Leaving Date]="","",IF(Table1[Date of Initial Assessment]="","",IF(AND(Table1[Leaving Date]&gt;42094,Table1[Leaving Date]&lt;42461),IF(Table1[Date of Last Assessment]="",Table1[Motivation and Taking Responsibility],Table1[Motivation and Taking Responsibility2]),"")))</f>
        <v/>
      </c>
      <c r="FL593" s="44" t="str">
        <f>IF(Table1[Leaving Date]="","",IF(Table1[Date of Initial Assessment]="","",IF(AND(Table1[Leaving Date]&gt;42094,Table1[Leaving Date]&lt;42461),IF(Table1[Date of Last Assessment]="",Table1[Self-Care and Living Skills],Table1[Self-Care and Living Skills2]),"")))</f>
        <v/>
      </c>
      <c r="FM593" s="44" t="str">
        <f>IF(Table1[Leaving Date]="","",IF(Table1[Date of Initial Assessment]="","",IF(AND(Table1[Leaving Date]&gt;42094,Table1[Leaving Date]&lt;42461),IF(Table1[Date of Last Assessment]="",Table1[Managing Money and Personal Administration],Table1[Managing Money and Personal Administration2]),"")))</f>
        <v/>
      </c>
      <c r="FN593" s="44" t="str">
        <f>IF(Table1[Leaving Date]="","",IF(Table1[Date of Initial Assessment]="","",IF(AND(Table1[Leaving Date]&gt;42094,Table1[Leaving Date]&lt;42461),IF(Table1[Date of Last Assessment]="",Table1[Social Networks and Relationships],Table1[Social Networks and Relationships2]),"")))</f>
        <v/>
      </c>
      <c r="FO593" s="44" t="str">
        <f>IF(Table1[Leaving Date]="","",IF(Table1[Date of Initial Assessment]="","",IF(AND(Table1[Leaving Date]&gt;42094,Table1[Leaving Date]&lt;42461),IF(Table1[Date of Last Assessment]="",Table1[Drug and Alcohol Misuse],Table1[Drug and Alcohol Misuse2]),"")))</f>
        <v/>
      </c>
      <c r="FP593" s="44" t="str">
        <f>IF(Table1[Leaving Date]="","",IF(Table1[Date of Initial Assessment]="","",IF(AND(Table1[Leaving Date]&gt;42094,Table1[Leaving Date]&lt;42461),IF(Table1[Date of Last Assessment]="",Table1[Physical Health],Table1[Physical Health2]),"")))</f>
        <v/>
      </c>
      <c r="FQ593" s="44" t="str">
        <f>IF(Table1[Leaving Date]="","",IF(Table1[Date of Initial Assessment]="","",IF(AND(Table1[Leaving Date]&gt;42094,Table1[Leaving Date]&lt;42461),IF(Table1[Date of Last Assessment]="",Table1[Emotional and Mental Health],Table1[Emotional and Mental Health2]),"")))</f>
        <v/>
      </c>
      <c r="FR593" s="44" t="str">
        <f>IF(Table1[Leaving Date]="","",IF(Table1[Date of Initial Assessment]="","",IF(AND(Table1[Leaving Date]&gt;42094,Table1[Leaving Date]&lt;42461),IF(Table1[Date of Last Assessment]="",Table1[Meaningful Use of Time],Table1[Meaningful Use of Time2]),"")))</f>
        <v/>
      </c>
      <c r="FS593" s="44" t="str">
        <f>IF(Table1[Leaving Date]="","",IF(Table1[Date of Initial Assessment]="","",IF(AND(Table1[Leaving Date]&gt;42094,Table1[Leaving Date]&lt;42461),IF(Table1[Date of Last Assessment]="",Table1[Managing Tenancy and Accommodation],Table1[Managing Tenancy and Accommodation2]),"")))</f>
        <v/>
      </c>
      <c r="FT593" s="44" t="str">
        <f>IF(Table1[Leaving Date]="","",IF(Table1[Date of Initial Assessment]="","",IF(AND(Table1[Leaving Date]&gt;42094,Table1[Leaving Date]&lt;42461),IF(Table1[Date of Last Assessment]="",Table1[Offending],Table1[Offending2]),"")))</f>
        <v/>
      </c>
      <c r="FU593" s="44" t="str">
        <f>IF(Table1[Date of Initial Assessment]="","",IF(AND(Table1[Start Date]&gt;42460,Table1[Start Date]&lt;42826),Table1[Motivation and Taking Responsibility],""))</f>
        <v/>
      </c>
      <c r="FV593" s="44" t="str">
        <f>IF(Table1[Date of Initial Assessment]="","",IF(AND(Table1[Start Date]&gt;42460,Table1[Start Date]&lt;42826),Table1[Self-Care and Living Skills],""))</f>
        <v/>
      </c>
      <c r="FW593" s="44" t="str">
        <f>IF(Table1[Date of Initial Assessment]="","",IF(AND(Table1[Start Date]&gt;42460,Table1[Start Date]&lt;42826),Table1[Managing Money and Personal Administration],""))</f>
        <v/>
      </c>
      <c r="FX593" s="44" t="str">
        <f>IF(Table1[Date of Initial Assessment]="","",IF(AND(Table1[Start Date]&gt;42460,Table1[Start Date]&lt;42826),Table1[Social Networks and Relationships],""))</f>
        <v/>
      </c>
      <c r="FY593" s="44" t="str">
        <f>IF(Table1[Date of Initial Assessment]="","",IF(AND(Table1[Start Date]&gt;42460,Table1[Start Date]&lt;42826),Table1[Drug and Alcohol Misuse],""))</f>
        <v/>
      </c>
      <c r="FZ593" s="44" t="str">
        <f>IF(Table1[Date of Initial Assessment]="","",IF(AND(Table1[Start Date]&gt;42460,Table1[Start Date]&lt;42826),Table1[Physical Health],""))</f>
        <v/>
      </c>
      <c r="GA593" s="44" t="str">
        <f>IF(Table1[Date of Initial Assessment]="","",IF(AND(Table1[Start Date]&gt;42460,Table1[Start Date]&lt;42826),Table1[Emotional and Mental Health],""))</f>
        <v/>
      </c>
      <c r="GB593" s="44" t="str">
        <f>IF(Table1[Date of Initial Assessment]="","",IF(AND(Table1[Start Date]&gt;42460,Table1[Start Date]&lt;42826),Table1[Meaningful Use of Time],""))</f>
        <v/>
      </c>
      <c r="GC593" s="44" t="str">
        <f>IF(Table1[Date of Initial Assessment]="","",IF(AND(Table1[Start Date]&gt;42460,Table1[Start Date]&lt;42826),Table1[Managing Tenancy and Accommodation],""))</f>
        <v/>
      </c>
      <c r="GD593" s="44" t="str">
        <f>IF(Table1[Date of Initial Assessment]="","",IF(AND(Table1[Start Date]&gt;42460,Table1[Start Date]&lt;42826),Table1[Offending],""))</f>
        <v/>
      </c>
      <c r="GE593" s="44" t="str">
        <f>IF(Table1[Leaving Date]="","",IF(AND(Table1[Leaving Date]&gt;42460,Table1[Leaving Date]&lt;42826),IF(Table1[Date of Last Assessment]="",Table1[Motivation and Taking Responsibility],Table1[Motivation and Taking Responsibility2]),""))</f>
        <v/>
      </c>
      <c r="GF593" s="44" t="str">
        <f>IF(Table1[Leaving Date]="","",IF(AND(Table1[Leaving Date]&gt;42460,Table1[Leaving Date]&lt;42826),IF(Table1[Date of Last Assessment]="",Table1[Self-Care and Living Skills],Table1[Self-Care and Living Skills2]),""))</f>
        <v/>
      </c>
      <c r="GG593" s="44" t="str">
        <f>IF(Table1[Leaving Date]="","",IF(AND(Table1[Leaving Date]&gt;42460,Table1[Leaving Date]&lt;42826),IF(Table1[Date of Last Assessment]="",Table1[Managing Money and Personal Administration],Table1[Managing Money and Personal Administration2]),""))</f>
        <v/>
      </c>
      <c r="GH593" s="44" t="str">
        <f>IF(Table1[Leaving Date]="","",IF(AND(Table1[Leaving Date]&gt;42460,Table1[Leaving Date]&lt;42826),IF(Table1[Date of Last Assessment]="",Table1[Social Networks and Relationships],Table1[Social Networks and Relationships2]),""))</f>
        <v/>
      </c>
      <c r="GI593" s="44" t="str">
        <f>IF(Table1[Leaving Date]="","",IF(AND(Table1[Leaving Date]&gt;42460,Table1[Leaving Date]&lt;42826),IF(Table1[Date of Last Assessment]="",Table1[Drug and Alcohol Misuse],Table1[Drug and Alcohol Misuse2]),""))</f>
        <v/>
      </c>
      <c r="GJ593" s="44" t="str">
        <f>IF(Table1[Leaving Date]="","",IF(AND(Table1[Leaving Date]&gt;42460,Table1[Leaving Date]&lt;42826),IF(Table1[Date of Last Assessment]="",Table1[Physical Health],Table1[Physical Health2]),""))</f>
        <v/>
      </c>
      <c r="GK593" s="44" t="str">
        <f>IF(Table1[Leaving Date]="","",IF(AND(Table1[Leaving Date]&gt;42460,Table1[Leaving Date]&lt;42826),IF(Table1[Date of Last Assessment]="",Table1[Emotional and Mental Health],Table1[Emotional and Mental Health2]),""))</f>
        <v/>
      </c>
      <c r="GL593" s="44" t="str">
        <f>IF(Table1[Leaving Date]="","",IF(AND(Table1[Leaving Date]&gt;42460,Table1[Leaving Date]&lt;42826),IF(Table1[Date of Last Assessment]="",Table1[Meaningful Use of Time],Table1[Meaningful Use of Time2]),""))</f>
        <v/>
      </c>
      <c r="GM593" s="44" t="str">
        <f>IF(Table1[Leaving Date]="","",IF(AND(Table1[Leaving Date]&gt;42460,Table1[Leaving Date]&lt;42826),IF(Table1[Date of Last Assessment]="",Table1[Managing Tenancy and Accommodation],Table1[Managing Tenancy and Accommodation2]),""))</f>
        <v/>
      </c>
      <c r="GN593" s="44" t="str">
        <f>IF(Table1[Leaving Date]="","",IF(AND(Table1[Leaving Date]&gt;42460,Table1[Leaving Date]&lt;42826),IF(Table1[Date of Last Assessment]="",Table1[Offending],Table1[Offending2]),""))</f>
        <v/>
      </c>
    </row>
    <row r="594" spans="2:196" ht="20.100000000000001" customHeight="1" x14ac:dyDescent="0.2">
      <c r="B594" s="86">
        <f>+'Service Data'!$C$5:$C$5</f>
        <v>0</v>
      </c>
      <c r="C594" s="86"/>
      <c r="D594" s="86"/>
      <c r="E594" s="86"/>
      <c r="F594" s="86"/>
      <c r="G594" s="86"/>
      <c r="H594" s="6"/>
      <c r="I594" s="99" t="str">
        <f ca="1">IF(Table1[[#This Row],[Date of Birth]]="","",SUM(TODAY()-Table1[[#This Row],[Date of Birth]])/365)</f>
        <v/>
      </c>
      <c r="L594" s="86"/>
      <c r="M594" s="77"/>
      <c r="N594" s="86"/>
      <c r="O594" s="86"/>
      <c r="P594" s="91"/>
      <c r="Q594" s="86"/>
      <c r="R594" s="77"/>
      <c r="S594" s="77"/>
      <c r="T594" s="68"/>
      <c r="U594" s="68"/>
      <c r="V594" s="67"/>
      <c r="W594" s="67"/>
      <c r="X594" s="67"/>
      <c r="Y594" s="67"/>
      <c r="Z594" s="67"/>
      <c r="AA594" s="67"/>
      <c r="AB594" s="67"/>
      <c r="AC594" s="67"/>
      <c r="AD594" s="67"/>
      <c r="AE594" s="67"/>
      <c r="AF594" s="67"/>
      <c r="AG594" s="67"/>
      <c r="AH594" s="67"/>
      <c r="AI594" s="67"/>
      <c r="AJ594" s="67"/>
      <c r="AK594" s="67"/>
      <c r="AL594" s="67"/>
      <c r="AM594" s="67"/>
      <c r="AN594" s="77"/>
      <c r="AO594" s="76"/>
      <c r="AP594" s="77"/>
      <c r="AQ594" s="76"/>
      <c r="AR594" s="76"/>
      <c r="AS594" s="76"/>
      <c r="AT594" s="76"/>
      <c r="AU594" s="76"/>
      <c r="AV594" s="77"/>
      <c r="AW594" s="76"/>
      <c r="AX594" s="77"/>
      <c r="AY594" s="76"/>
      <c r="AZ594" s="76"/>
      <c r="BA594" s="76"/>
      <c r="BB594" s="76"/>
      <c r="BC594" s="76"/>
      <c r="BD594" s="77"/>
      <c r="BE594" s="76"/>
      <c r="BF594" s="77"/>
      <c r="BG594" s="76"/>
      <c r="BH594" s="76"/>
      <c r="BI594" s="76"/>
      <c r="BJ594" s="76"/>
      <c r="BK594" s="76"/>
      <c r="BL594" s="77"/>
      <c r="BM594" s="76"/>
      <c r="BN594" s="77"/>
      <c r="BO594" s="76"/>
      <c r="BP594" s="76"/>
      <c r="BQ594" s="76"/>
      <c r="BR594" s="76"/>
      <c r="BS594" s="76"/>
      <c r="BT594" s="77"/>
      <c r="BU594" s="76"/>
      <c r="BV594" s="77"/>
      <c r="BW594" s="76"/>
      <c r="BX594" s="76"/>
      <c r="BY594" s="76"/>
      <c r="BZ594" s="76"/>
      <c r="CA594" s="76"/>
      <c r="CB594" s="77"/>
      <c r="CC594" s="76"/>
      <c r="CD594" s="77"/>
      <c r="CE594" s="76"/>
      <c r="CF594" s="76"/>
      <c r="CG594" s="76"/>
      <c r="CH594" s="76"/>
      <c r="CI594" s="76"/>
      <c r="CJ594" s="77"/>
      <c r="CK594" s="76"/>
      <c r="CL594" s="77"/>
      <c r="CM594" s="76"/>
      <c r="CN594" s="76"/>
      <c r="CO594" s="76"/>
      <c r="CP594" s="76"/>
      <c r="CQ594" s="76"/>
      <c r="CR594" s="78" t="str">
        <f t="shared" si="159"/>
        <v/>
      </c>
      <c r="CS594" s="79" t="str">
        <f t="shared" si="160"/>
        <v/>
      </c>
      <c r="CT594" s="79" t="str">
        <f t="shared" si="161"/>
        <v/>
      </c>
      <c r="CU594" s="79" t="str">
        <f t="shared" si="162"/>
        <v/>
      </c>
      <c r="CV594" s="79" t="str">
        <f t="shared" si="163"/>
        <v/>
      </c>
      <c r="CW594" s="79" t="str">
        <f t="shared" si="164"/>
        <v/>
      </c>
      <c r="CX594" s="79" t="str">
        <f t="shared" si="165"/>
        <v/>
      </c>
      <c r="CY594" s="79" t="str">
        <f t="shared" si="166"/>
        <v/>
      </c>
      <c r="CZ594" s="79" t="str">
        <f t="shared" si="167"/>
        <v/>
      </c>
      <c r="DA594" s="79" t="str">
        <f t="shared" si="168"/>
        <v/>
      </c>
      <c r="DB594" s="79" t="str">
        <f t="shared" si="169"/>
        <v/>
      </c>
      <c r="DC594" s="79" t="str">
        <f t="shared" si="170"/>
        <v/>
      </c>
      <c r="DD594" s="79" t="str">
        <f t="shared" si="171"/>
        <v/>
      </c>
      <c r="DE594" s="79" t="str">
        <f t="shared" si="172"/>
        <v/>
      </c>
      <c r="DF594" s="79" t="str">
        <f t="shared" si="173"/>
        <v/>
      </c>
      <c r="DG594" s="79" t="str">
        <f t="shared" si="174"/>
        <v/>
      </c>
      <c r="DH594" s="76"/>
      <c r="DI594" s="78"/>
      <c r="DJ594" s="76"/>
      <c r="DK594" s="77"/>
      <c r="DL594" s="77"/>
      <c r="DM594" s="77"/>
      <c r="DN594" s="80"/>
      <c r="DO594" s="80"/>
      <c r="DP594" s="92" t="str">
        <f>IF(Table1[Start Date]="","",IF(Table1[Start Date]&gt;42185,"",IF(AND(Table1[Leaving Date]&gt;1,Table1[Leaving Date]&lt;42095),"",1)))</f>
        <v/>
      </c>
      <c r="DQ594" s="92" t="str">
        <f>IF(Table1[Start Date]="","",IF(Table1[Start Date]&gt;42277,"",IF(AND(Table1[Leaving Date]&gt;1,Table1[Leaving Date]&lt;42186),"",1)))</f>
        <v/>
      </c>
      <c r="DR594" s="92" t="str">
        <f>IF(Table1[Start Date]="","",IF(Table1[Start Date]&gt;42369,"",IF(AND(Table1[Leaving Date]&gt;1,Table1[Leaving Date]&lt;42278),"",1)))</f>
        <v/>
      </c>
      <c r="DS594" s="92" t="str">
        <f>IF(Table1[Start Date]="","",IF(Table1[Start Date]&gt;42460,"",IF(AND(Table1[Leaving Date]&gt;1,Table1[Leaving Date]&lt;42370),"",1)))</f>
        <v/>
      </c>
      <c r="DT594" s="92" t="str">
        <f>IF(Table1[Start Date]="","",IF(Table1[Start Date]&gt;42551,"",IF(AND(Table1[Leaving Date]&gt;1,Table1[Leaving Date]&lt;42461),"",1)))</f>
        <v/>
      </c>
      <c r="DU594" s="92" t="str">
        <f>IF(Table1[Start Date]="","",IF(Table1[Start Date]&gt;42643,"",IF(AND(Table1[Leaving Date]&gt;1,Table1[Leaving Date]&lt;42552),"",1)))</f>
        <v/>
      </c>
      <c r="DV594" s="92" t="str">
        <f>IF(Table1[Start Date]="","",IF(Table1[Start Date]&gt;42735,"",IF(AND(Table1[Leaving Date]&gt;1,Table1[Leaving Date]&lt;42644),"",1)))</f>
        <v/>
      </c>
      <c r="DW594" s="92" t="str">
        <f>IF(Table1[Start Date]="","",IF(Table1[Start Date]&gt;42825,"",IF(AND(Table1[Leaving Date]&gt;1,Table1[Leaving Date]&lt;42736),"",1)))</f>
        <v/>
      </c>
      <c r="DX594"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594" s="44" t="e">
        <f>VLOOKUP(Table1[Referral Source],Lists!$G$2:$H$20,2,FALSE)</f>
        <v>#N/A</v>
      </c>
      <c r="DZ594" s="93" t="e">
        <f>SUM(Table1[Data Referral Quarter]+Table1[Data Referral Source])</f>
        <v>#N/A</v>
      </c>
      <c r="EA594" s="44" t="b">
        <f>IF(Table1[Referral Decision]="Accepted",100,IF(Table1[Referral Decision]="Rejected by Provider",200,IF(Table1[Referral Decision]="Rejected by Applicant",300)))</f>
        <v>0</v>
      </c>
      <c r="EB594" s="44">
        <f>SUM(Table1[Data Referral Quarter]+Table1[Data Referral Decision])</f>
        <v>0</v>
      </c>
      <c r="EC594" s="44" t="b">
        <f>IF(Table1[Start Date]&gt;42735,8000,IF(Table1[Start Date]&gt;42643,7000,IF(Table1[Start Date]&gt;42551,6000,IF(Table1[Start Date]&gt;42460,5000,IF(Table1[Start Date]&gt;42369,4000,IF(Table1[Start Date]&gt;42277,3000,IF(Table1[Start Date]&gt;42185,2000,IF(Table1[Start Date]&gt;42094,1000))))))))</f>
        <v>0</v>
      </c>
      <c r="ED594" s="44" t="str">
        <f>IF(Table1[Start Date]="","",IF(Table1[Current Local Authority]="Swindon",1,"2"))</f>
        <v/>
      </c>
      <c r="EE594" s="44" t="e">
        <f>SUM(Table1[Data Start Date]+Table1[Data Local Authority])</f>
        <v>#VALUE!</v>
      </c>
      <c r="EF594" s="44">
        <f>IF(Table1[Registered with GP]="Yes",1,0)</f>
        <v>0</v>
      </c>
      <c r="EG594" s="44">
        <f>SUM(Table1[Data Start Date]+Table1[Data GP Start])</f>
        <v>0</v>
      </c>
      <c r="EH594" s="44" t="str">
        <f>IF(Table1[EET]="NEET",1,IF(Table1[EET]="Education",2,IF(Table1[EET]="Employment",2,IF(Table1[EET]="Training",2,IF(Table1[EET]="Retired",3,"")))))</f>
        <v/>
      </c>
      <c r="EI594" s="44" t="e">
        <f>Table1[Data Start Date]+Table1[Data EET Start]</f>
        <v>#VALUE!</v>
      </c>
      <c r="EJ594" s="44" t="b">
        <f>IF(Table1[Leaving Date]&gt;42735,8000,IF(Table1[Leaving Date]&gt;42643,7000,IF(Table1[Leaving Date]&gt;42551,6000,IF(Table1[Leaving Date]&gt;42460,5000,IF(Table1[Leaving Date]&gt;42369,4000,IF(Table1[Leaving Date]&gt;42277,3000,IF(Table1[Leaving Date]&gt;42185,2000,IF(Table1[Leaving Date]&gt;42094,1000))))))))</f>
        <v>0</v>
      </c>
      <c r="EK594" s="44" t="e">
        <f>VLOOKUP(Table1[Reason for Leaving],Lists!$T$2:$U$15,2,FALSE)</f>
        <v>#N/A</v>
      </c>
      <c r="EL594" s="44" t="e">
        <f>SUM(Table1[Data Leavers Date]+Table1[Data Move On])</f>
        <v>#N/A</v>
      </c>
      <c r="EM594" s="44" t="b">
        <f>IF(Table1[Registered with GP2]="Yes",1,IF(Table1[Registered with GP2]="No",0,IF(Table1[Registered with GP]="Yes",1,IF(Table1[Registered with GP]="No",0))))</f>
        <v>0</v>
      </c>
      <c r="EN594" s="44">
        <f>SUM(Table1[Data Leavers Date]+Table1[Data GP End])</f>
        <v>0</v>
      </c>
      <c r="EO594" s="44" t="str">
        <f>IF(Table1[EET2]="NEET",1,IF(Table1[EET2]="Employment",2,IF(Table1[EET2]="Education",2,IF(Table1[EET2]="Training",2,IF(Table1[EET2]="Retired",3,IF(Table1[EET]="NEET",1,IF(Table1[EET]="Employment",2,IF(Table1[EET]="Education",2,IF(Table1[EET]="Training",2,IF(Table1[EET]="Retired",3,""))))))))))</f>
        <v/>
      </c>
      <c r="EP594" s="44" t="e">
        <f>+Table1[[#This Row],[Data Leavers Date]]+Table1[[#This Row],[Data EET End]]</f>
        <v>#VALUE!</v>
      </c>
      <c r="EQ594" s="44">
        <f>IF(Table1[Exit Form Received]="Yes",1,0)</f>
        <v>0</v>
      </c>
      <c r="ER594" s="44">
        <f>+Table1[[#This Row],[Data Leavers Date]]+Table1[[#This Row],[Data Exit Forms]]</f>
        <v>0</v>
      </c>
      <c r="ES594" s="44" t="str">
        <f>IF(Table1[Data Leavers Date]=1000,SUM(Table1[Leaving Date]-Table1[Start Date]),"")</f>
        <v/>
      </c>
      <c r="ET594" s="44" t="str">
        <f>IF(Table1[Data Leavers Date]=2000,SUM(Table1[Leaving Date]-Table1[Start Date]),"")</f>
        <v/>
      </c>
      <c r="EU594" s="44" t="str">
        <f>IF(Table1[Data Leavers Date]=3000,SUM(Table1[Leaving Date]-Table1[Start Date]),"")</f>
        <v/>
      </c>
      <c r="EV594" s="44" t="str">
        <f>IF(Table1[Data Leavers Date]=4000,SUM(Table1[Leaving Date]-Table1[Start Date]),"")</f>
        <v/>
      </c>
      <c r="EW594" s="44" t="str">
        <f>IF(Table1[Data Leavers Date]=5000,SUM(Table1[Leaving Date]-Table1[Start Date]),"")</f>
        <v/>
      </c>
      <c r="EX594" s="44" t="str">
        <f>IF(Table1[Data Leavers Date]=6000,SUM(Table1[Leaving Date]-Table1[Start Date]),"")</f>
        <v/>
      </c>
      <c r="EY594" s="44" t="str">
        <f>IF(Table1[Data Leavers Date]=7000,SUM(Table1[Leaving Date]-Table1[Start Date]),"")</f>
        <v/>
      </c>
      <c r="EZ594" s="44" t="str">
        <f>IF(Table1[Data Leavers Date]=8000,SUM(Table1[Leaving Date]-Table1[Start Date]),"")</f>
        <v/>
      </c>
      <c r="FA594" s="44" t="str">
        <f>IF(Table1[Date of Initial Assessment]="","",IF(AND(Table1[Start Date]&gt;42094,Table1[Start Date]&lt;42461),Table1[Motivation and Taking Responsibility],""))</f>
        <v/>
      </c>
      <c r="FB594" s="44" t="str">
        <f>IF(Table1[Date of Initial Assessment]="","",IF(AND(Table1[Start Date]&gt;42094,Table1[Start Date]&lt;42461),Table1[Self-Care and Living Skills],""))</f>
        <v/>
      </c>
      <c r="FC594" s="44" t="str">
        <f>IF(Table1[Date of Initial Assessment]="","",IF(AND(Table1[Start Date]&gt;42094,Table1[Start Date]&lt;42461),Table1[Managing Money and Personal Administration],""))</f>
        <v/>
      </c>
      <c r="FD594" s="44" t="str">
        <f>IF(Table1[Date of Initial Assessment]="","",IF(AND(Table1[Start Date]&gt;42094,Table1[Start Date]&lt;42461),Table1[Social Networks and Relationships],""))</f>
        <v/>
      </c>
      <c r="FE594" s="44" t="str">
        <f>IF(Table1[Date of Initial Assessment]="","",IF(AND(Table1[Start Date]&gt;42094,Table1[Start Date]&lt;42461),Table1[Drug and Alcohol Misuse],""))</f>
        <v/>
      </c>
      <c r="FF594" s="44" t="str">
        <f>IF(Table1[Date of Initial Assessment]="","",IF(AND(Table1[Start Date]&gt;42094,Table1[Start Date]&lt;42461),Table1[Physical Health],""))</f>
        <v/>
      </c>
      <c r="FG594" s="44" t="str">
        <f>IF(Table1[Date of Initial Assessment]="","",IF(AND(Table1[Start Date]&gt;42094,Table1[Start Date]&lt;42461),Table1[Emotional and Mental Health],""))</f>
        <v/>
      </c>
      <c r="FH594" s="44" t="str">
        <f>IF(Table1[Date of Initial Assessment]="","",IF(AND(Table1[Start Date]&gt;42094,Table1[Start Date]&lt;42461),Table1[Meaningful Use of Time],""))</f>
        <v/>
      </c>
      <c r="FI594" s="44" t="str">
        <f>IF(Table1[Date of Initial Assessment]="","",IF(AND(Table1[Start Date]&gt;42094,Table1[Start Date]&lt;42461),Table1[Managing Tenancy and Accommodation],""))</f>
        <v/>
      </c>
      <c r="FJ594" s="44" t="str">
        <f>IF(Table1[Date of Initial Assessment]="","",IF(AND(Table1[Start Date]&gt;42094,Table1[Start Date]&lt;42461),Table1[Offending],""))</f>
        <v/>
      </c>
      <c r="FK594" s="44" t="str">
        <f>IF(Table1[Leaving Date]="","",IF(Table1[Date of Initial Assessment]="","",IF(AND(Table1[Leaving Date]&gt;42094,Table1[Leaving Date]&lt;42461),IF(Table1[Date of Last Assessment]="",Table1[Motivation and Taking Responsibility],Table1[Motivation and Taking Responsibility2]),"")))</f>
        <v/>
      </c>
      <c r="FL594" s="44" t="str">
        <f>IF(Table1[Leaving Date]="","",IF(Table1[Date of Initial Assessment]="","",IF(AND(Table1[Leaving Date]&gt;42094,Table1[Leaving Date]&lt;42461),IF(Table1[Date of Last Assessment]="",Table1[Self-Care and Living Skills],Table1[Self-Care and Living Skills2]),"")))</f>
        <v/>
      </c>
      <c r="FM594" s="44" t="str">
        <f>IF(Table1[Leaving Date]="","",IF(Table1[Date of Initial Assessment]="","",IF(AND(Table1[Leaving Date]&gt;42094,Table1[Leaving Date]&lt;42461),IF(Table1[Date of Last Assessment]="",Table1[Managing Money and Personal Administration],Table1[Managing Money and Personal Administration2]),"")))</f>
        <v/>
      </c>
      <c r="FN594" s="44" t="str">
        <f>IF(Table1[Leaving Date]="","",IF(Table1[Date of Initial Assessment]="","",IF(AND(Table1[Leaving Date]&gt;42094,Table1[Leaving Date]&lt;42461),IF(Table1[Date of Last Assessment]="",Table1[Social Networks and Relationships],Table1[Social Networks and Relationships2]),"")))</f>
        <v/>
      </c>
      <c r="FO594" s="44" t="str">
        <f>IF(Table1[Leaving Date]="","",IF(Table1[Date of Initial Assessment]="","",IF(AND(Table1[Leaving Date]&gt;42094,Table1[Leaving Date]&lt;42461),IF(Table1[Date of Last Assessment]="",Table1[Drug and Alcohol Misuse],Table1[Drug and Alcohol Misuse2]),"")))</f>
        <v/>
      </c>
      <c r="FP594" s="44" t="str">
        <f>IF(Table1[Leaving Date]="","",IF(Table1[Date of Initial Assessment]="","",IF(AND(Table1[Leaving Date]&gt;42094,Table1[Leaving Date]&lt;42461),IF(Table1[Date of Last Assessment]="",Table1[Physical Health],Table1[Physical Health2]),"")))</f>
        <v/>
      </c>
      <c r="FQ594" s="44" t="str">
        <f>IF(Table1[Leaving Date]="","",IF(Table1[Date of Initial Assessment]="","",IF(AND(Table1[Leaving Date]&gt;42094,Table1[Leaving Date]&lt;42461),IF(Table1[Date of Last Assessment]="",Table1[Emotional and Mental Health],Table1[Emotional and Mental Health2]),"")))</f>
        <v/>
      </c>
      <c r="FR594" s="44" t="str">
        <f>IF(Table1[Leaving Date]="","",IF(Table1[Date of Initial Assessment]="","",IF(AND(Table1[Leaving Date]&gt;42094,Table1[Leaving Date]&lt;42461),IF(Table1[Date of Last Assessment]="",Table1[Meaningful Use of Time],Table1[Meaningful Use of Time2]),"")))</f>
        <v/>
      </c>
      <c r="FS594" s="44" t="str">
        <f>IF(Table1[Leaving Date]="","",IF(Table1[Date of Initial Assessment]="","",IF(AND(Table1[Leaving Date]&gt;42094,Table1[Leaving Date]&lt;42461),IF(Table1[Date of Last Assessment]="",Table1[Managing Tenancy and Accommodation],Table1[Managing Tenancy and Accommodation2]),"")))</f>
        <v/>
      </c>
      <c r="FT594" s="44" t="str">
        <f>IF(Table1[Leaving Date]="","",IF(Table1[Date of Initial Assessment]="","",IF(AND(Table1[Leaving Date]&gt;42094,Table1[Leaving Date]&lt;42461),IF(Table1[Date of Last Assessment]="",Table1[Offending],Table1[Offending2]),"")))</f>
        <v/>
      </c>
      <c r="FU594" s="44" t="str">
        <f>IF(Table1[Date of Initial Assessment]="","",IF(AND(Table1[Start Date]&gt;42460,Table1[Start Date]&lt;42826),Table1[Motivation and Taking Responsibility],""))</f>
        <v/>
      </c>
      <c r="FV594" s="44" t="str">
        <f>IF(Table1[Date of Initial Assessment]="","",IF(AND(Table1[Start Date]&gt;42460,Table1[Start Date]&lt;42826),Table1[Self-Care and Living Skills],""))</f>
        <v/>
      </c>
      <c r="FW594" s="44" t="str">
        <f>IF(Table1[Date of Initial Assessment]="","",IF(AND(Table1[Start Date]&gt;42460,Table1[Start Date]&lt;42826),Table1[Managing Money and Personal Administration],""))</f>
        <v/>
      </c>
      <c r="FX594" s="44" t="str">
        <f>IF(Table1[Date of Initial Assessment]="","",IF(AND(Table1[Start Date]&gt;42460,Table1[Start Date]&lt;42826),Table1[Social Networks and Relationships],""))</f>
        <v/>
      </c>
      <c r="FY594" s="44" t="str">
        <f>IF(Table1[Date of Initial Assessment]="","",IF(AND(Table1[Start Date]&gt;42460,Table1[Start Date]&lt;42826),Table1[Drug and Alcohol Misuse],""))</f>
        <v/>
      </c>
      <c r="FZ594" s="44" t="str">
        <f>IF(Table1[Date of Initial Assessment]="","",IF(AND(Table1[Start Date]&gt;42460,Table1[Start Date]&lt;42826),Table1[Physical Health],""))</f>
        <v/>
      </c>
      <c r="GA594" s="44" t="str">
        <f>IF(Table1[Date of Initial Assessment]="","",IF(AND(Table1[Start Date]&gt;42460,Table1[Start Date]&lt;42826),Table1[Emotional and Mental Health],""))</f>
        <v/>
      </c>
      <c r="GB594" s="44" t="str">
        <f>IF(Table1[Date of Initial Assessment]="","",IF(AND(Table1[Start Date]&gt;42460,Table1[Start Date]&lt;42826),Table1[Meaningful Use of Time],""))</f>
        <v/>
      </c>
      <c r="GC594" s="44" t="str">
        <f>IF(Table1[Date of Initial Assessment]="","",IF(AND(Table1[Start Date]&gt;42460,Table1[Start Date]&lt;42826),Table1[Managing Tenancy and Accommodation],""))</f>
        <v/>
      </c>
      <c r="GD594" s="44" t="str">
        <f>IF(Table1[Date of Initial Assessment]="","",IF(AND(Table1[Start Date]&gt;42460,Table1[Start Date]&lt;42826),Table1[Offending],""))</f>
        <v/>
      </c>
      <c r="GE594" s="44" t="str">
        <f>IF(Table1[Leaving Date]="","",IF(AND(Table1[Leaving Date]&gt;42460,Table1[Leaving Date]&lt;42826),IF(Table1[Date of Last Assessment]="",Table1[Motivation and Taking Responsibility],Table1[Motivation and Taking Responsibility2]),""))</f>
        <v/>
      </c>
      <c r="GF594" s="44" t="str">
        <f>IF(Table1[Leaving Date]="","",IF(AND(Table1[Leaving Date]&gt;42460,Table1[Leaving Date]&lt;42826),IF(Table1[Date of Last Assessment]="",Table1[Self-Care and Living Skills],Table1[Self-Care and Living Skills2]),""))</f>
        <v/>
      </c>
      <c r="GG594" s="44" t="str">
        <f>IF(Table1[Leaving Date]="","",IF(AND(Table1[Leaving Date]&gt;42460,Table1[Leaving Date]&lt;42826),IF(Table1[Date of Last Assessment]="",Table1[Managing Money and Personal Administration],Table1[Managing Money and Personal Administration2]),""))</f>
        <v/>
      </c>
      <c r="GH594" s="44" t="str">
        <f>IF(Table1[Leaving Date]="","",IF(AND(Table1[Leaving Date]&gt;42460,Table1[Leaving Date]&lt;42826),IF(Table1[Date of Last Assessment]="",Table1[Social Networks and Relationships],Table1[Social Networks and Relationships2]),""))</f>
        <v/>
      </c>
      <c r="GI594" s="44" t="str">
        <f>IF(Table1[Leaving Date]="","",IF(AND(Table1[Leaving Date]&gt;42460,Table1[Leaving Date]&lt;42826),IF(Table1[Date of Last Assessment]="",Table1[Drug and Alcohol Misuse],Table1[Drug and Alcohol Misuse2]),""))</f>
        <v/>
      </c>
      <c r="GJ594" s="44" t="str">
        <f>IF(Table1[Leaving Date]="","",IF(AND(Table1[Leaving Date]&gt;42460,Table1[Leaving Date]&lt;42826),IF(Table1[Date of Last Assessment]="",Table1[Physical Health],Table1[Physical Health2]),""))</f>
        <v/>
      </c>
      <c r="GK594" s="44" t="str">
        <f>IF(Table1[Leaving Date]="","",IF(AND(Table1[Leaving Date]&gt;42460,Table1[Leaving Date]&lt;42826),IF(Table1[Date of Last Assessment]="",Table1[Emotional and Mental Health],Table1[Emotional and Mental Health2]),""))</f>
        <v/>
      </c>
      <c r="GL594" s="44" t="str">
        <f>IF(Table1[Leaving Date]="","",IF(AND(Table1[Leaving Date]&gt;42460,Table1[Leaving Date]&lt;42826),IF(Table1[Date of Last Assessment]="",Table1[Meaningful Use of Time],Table1[Meaningful Use of Time2]),""))</f>
        <v/>
      </c>
      <c r="GM594" s="44" t="str">
        <f>IF(Table1[Leaving Date]="","",IF(AND(Table1[Leaving Date]&gt;42460,Table1[Leaving Date]&lt;42826),IF(Table1[Date of Last Assessment]="",Table1[Managing Tenancy and Accommodation],Table1[Managing Tenancy and Accommodation2]),""))</f>
        <v/>
      </c>
      <c r="GN594" s="44" t="str">
        <f>IF(Table1[Leaving Date]="","",IF(AND(Table1[Leaving Date]&gt;42460,Table1[Leaving Date]&lt;42826),IF(Table1[Date of Last Assessment]="",Table1[Offending],Table1[Offending2]),""))</f>
        <v/>
      </c>
    </row>
    <row r="595" spans="2:196" ht="20.100000000000001" customHeight="1" x14ac:dyDescent="0.2">
      <c r="B595" s="86">
        <f>+'Service Data'!$C$5:$C$5</f>
        <v>0</v>
      </c>
      <c r="C595" s="86"/>
      <c r="D595" s="86"/>
      <c r="E595" s="86"/>
      <c r="F595" s="86"/>
      <c r="G595" s="86"/>
      <c r="H595" s="6"/>
      <c r="I595" s="99" t="str">
        <f ca="1">IF(Table1[[#This Row],[Date of Birth]]="","",SUM(TODAY()-Table1[[#This Row],[Date of Birth]])/365)</f>
        <v/>
      </c>
      <c r="L595" s="86"/>
      <c r="M595" s="77"/>
      <c r="N595" s="86"/>
      <c r="O595" s="86"/>
      <c r="P595" s="91"/>
      <c r="Q595" s="86"/>
      <c r="R595" s="77"/>
      <c r="S595" s="77"/>
      <c r="T595" s="68"/>
      <c r="U595" s="68"/>
      <c r="V595" s="67"/>
      <c r="W595" s="67"/>
      <c r="X595" s="67"/>
      <c r="Y595" s="67"/>
      <c r="Z595" s="67"/>
      <c r="AA595" s="67"/>
      <c r="AB595" s="67"/>
      <c r="AC595" s="67"/>
      <c r="AD595" s="67"/>
      <c r="AE595" s="67"/>
      <c r="AF595" s="67"/>
      <c r="AG595" s="67"/>
      <c r="AH595" s="67"/>
      <c r="AI595" s="67"/>
      <c r="AJ595" s="67"/>
      <c r="AK595" s="67"/>
      <c r="AL595" s="67"/>
      <c r="AM595" s="67"/>
      <c r="AN595" s="77"/>
      <c r="AO595" s="76"/>
      <c r="AP595" s="77"/>
      <c r="AQ595" s="76"/>
      <c r="AR595" s="76"/>
      <c r="AS595" s="76"/>
      <c r="AT595" s="76"/>
      <c r="AU595" s="76"/>
      <c r="AV595" s="77"/>
      <c r="AW595" s="76"/>
      <c r="AX595" s="77"/>
      <c r="AY595" s="76"/>
      <c r="AZ595" s="76"/>
      <c r="BA595" s="76"/>
      <c r="BB595" s="76"/>
      <c r="BC595" s="76"/>
      <c r="BD595" s="77"/>
      <c r="BE595" s="76"/>
      <c r="BF595" s="77"/>
      <c r="BG595" s="76"/>
      <c r="BH595" s="76"/>
      <c r="BI595" s="76"/>
      <c r="BJ595" s="76"/>
      <c r="BK595" s="76"/>
      <c r="BL595" s="77"/>
      <c r="BM595" s="76"/>
      <c r="BN595" s="77"/>
      <c r="BO595" s="76"/>
      <c r="BP595" s="76"/>
      <c r="BQ595" s="76"/>
      <c r="BR595" s="76"/>
      <c r="BS595" s="76"/>
      <c r="BT595" s="77"/>
      <c r="BU595" s="76"/>
      <c r="BV595" s="77"/>
      <c r="BW595" s="76"/>
      <c r="BX595" s="76"/>
      <c r="BY595" s="76"/>
      <c r="BZ595" s="76"/>
      <c r="CA595" s="76"/>
      <c r="CB595" s="77"/>
      <c r="CC595" s="76"/>
      <c r="CD595" s="77"/>
      <c r="CE595" s="76"/>
      <c r="CF595" s="76"/>
      <c r="CG595" s="76"/>
      <c r="CH595" s="76"/>
      <c r="CI595" s="76"/>
      <c r="CJ595" s="77"/>
      <c r="CK595" s="76"/>
      <c r="CL595" s="77"/>
      <c r="CM595" s="76"/>
      <c r="CN595" s="76"/>
      <c r="CO595" s="76"/>
      <c r="CP595" s="76"/>
      <c r="CQ595" s="76"/>
      <c r="CR595" s="78" t="str">
        <f t="shared" si="159"/>
        <v/>
      </c>
      <c r="CS595" s="79" t="str">
        <f t="shared" si="160"/>
        <v/>
      </c>
      <c r="CT595" s="79" t="str">
        <f t="shared" si="161"/>
        <v/>
      </c>
      <c r="CU595" s="79" t="str">
        <f t="shared" si="162"/>
        <v/>
      </c>
      <c r="CV595" s="79" t="str">
        <f t="shared" si="163"/>
        <v/>
      </c>
      <c r="CW595" s="79" t="str">
        <f t="shared" si="164"/>
        <v/>
      </c>
      <c r="CX595" s="79" t="str">
        <f t="shared" si="165"/>
        <v/>
      </c>
      <c r="CY595" s="79" t="str">
        <f t="shared" si="166"/>
        <v/>
      </c>
      <c r="CZ595" s="79" t="str">
        <f t="shared" si="167"/>
        <v/>
      </c>
      <c r="DA595" s="79" t="str">
        <f t="shared" si="168"/>
        <v/>
      </c>
      <c r="DB595" s="79" t="str">
        <f t="shared" si="169"/>
        <v/>
      </c>
      <c r="DC595" s="79" t="str">
        <f t="shared" si="170"/>
        <v/>
      </c>
      <c r="DD595" s="79" t="str">
        <f t="shared" si="171"/>
        <v/>
      </c>
      <c r="DE595" s="79" t="str">
        <f t="shared" si="172"/>
        <v/>
      </c>
      <c r="DF595" s="79" t="str">
        <f t="shared" si="173"/>
        <v/>
      </c>
      <c r="DG595" s="79" t="str">
        <f t="shared" si="174"/>
        <v/>
      </c>
      <c r="DH595" s="76"/>
      <c r="DI595" s="78"/>
      <c r="DJ595" s="76"/>
      <c r="DK595" s="77"/>
      <c r="DL595" s="77"/>
      <c r="DM595" s="77"/>
      <c r="DN595" s="80"/>
      <c r="DO595" s="80"/>
      <c r="DP595" s="92" t="str">
        <f>IF(Table1[Start Date]="","",IF(Table1[Start Date]&gt;42185,"",IF(AND(Table1[Leaving Date]&gt;1,Table1[Leaving Date]&lt;42095),"",1)))</f>
        <v/>
      </c>
      <c r="DQ595" s="92" t="str">
        <f>IF(Table1[Start Date]="","",IF(Table1[Start Date]&gt;42277,"",IF(AND(Table1[Leaving Date]&gt;1,Table1[Leaving Date]&lt;42186),"",1)))</f>
        <v/>
      </c>
      <c r="DR595" s="92" t="str">
        <f>IF(Table1[Start Date]="","",IF(Table1[Start Date]&gt;42369,"",IF(AND(Table1[Leaving Date]&gt;1,Table1[Leaving Date]&lt;42278),"",1)))</f>
        <v/>
      </c>
      <c r="DS595" s="92" t="str">
        <f>IF(Table1[Start Date]="","",IF(Table1[Start Date]&gt;42460,"",IF(AND(Table1[Leaving Date]&gt;1,Table1[Leaving Date]&lt;42370),"",1)))</f>
        <v/>
      </c>
      <c r="DT595" s="92" t="str">
        <f>IF(Table1[Start Date]="","",IF(Table1[Start Date]&gt;42551,"",IF(AND(Table1[Leaving Date]&gt;1,Table1[Leaving Date]&lt;42461),"",1)))</f>
        <v/>
      </c>
      <c r="DU595" s="92" t="str">
        <f>IF(Table1[Start Date]="","",IF(Table1[Start Date]&gt;42643,"",IF(AND(Table1[Leaving Date]&gt;1,Table1[Leaving Date]&lt;42552),"",1)))</f>
        <v/>
      </c>
      <c r="DV595" s="92" t="str">
        <f>IF(Table1[Start Date]="","",IF(Table1[Start Date]&gt;42735,"",IF(AND(Table1[Leaving Date]&gt;1,Table1[Leaving Date]&lt;42644),"",1)))</f>
        <v/>
      </c>
      <c r="DW595" s="92" t="str">
        <f>IF(Table1[Start Date]="","",IF(Table1[Start Date]&gt;42825,"",IF(AND(Table1[Leaving Date]&gt;1,Table1[Leaving Date]&lt;42736),"",1)))</f>
        <v/>
      </c>
      <c r="DX595"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595" s="44" t="e">
        <f>VLOOKUP(Table1[Referral Source],Lists!$G$2:$H$20,2,FALSE)</f>
        <v>#N/A</v>
      </c>
      <c r="DZ595" s="93" t="e">
        <f>SUM(Table1[Data Referral Quarter]+Table1[Data Referral Source])</f>
        <v>#N/A</v>
      </c>
      <c r="EA595" s="44" t="b">
        <f>IF(Table1[Referral Decision]="Accepted",100,IF(Table1[Referral Decision]="Rejected by Provider",200,IF(Table1[Referral Decision]="Rejected by Applicant",300)))</f>
        <v>0</v>
      </c>
      <c r="EB595" s="44">
        <f>SUM(Table1[Data Referral Quarter]+Table1[Data Referral Decision])</f>
        <v>0</v>
      </c>
      <c r="EC595" s="44" t="b">
        <f>IF(Table1[Start Date]&gt;42735,8000,IF(Table1[Start Date]&gt;42643,7000,IF(Table1[Start Date]&gt;42551,6000,IF(Table1[Start Date]&gt;42460,5000,IF(Table1[Start Date]&gt;42369,4000,IF(Table1[Start Date]&gt;42277,3000,IF(Table1[Start Date]&gt;42185,2000,IF(Table1[Start Date]&gt;42094,1000))))))))</f>
        <v>0</v>
      </c>
      <c r="ED595" s="44" t="str">
        <f>IF(Table1[Start Date]="","",IF(Table1[Current Local Authority]="Swindon",1,"2"))</f>
        <v/>
      </c>
      <c r="EE595" s="44" t="e">
        <f>SUM(Table1[Data Start Date]+Table1[Data Local Authority])</f>
        <v>#VALUE!</v>
      </c>
      <c r="EF595" s="44">
        <f>IF(Table1[Registered with GP]="Yes",1,0)</f>
        <v>0</v>
      </c>
      <c r="EG595" s="44">
        <f>SUM(Table1[Data Start Date]+Table1[Data GP Start])</f>
        <v>0</v>
      </c>
      <c r="EH595" s="44" t="str">
        <f>IF(Table1[EET]="NEET",1,IF(Table1[EET]="Education",2,IF(Table1[EET]="Employment",2,IF(Table1[EET]="Training",2,IF(Table1[EET]="Retired",3,"")))))</f>
        <v/>
      </c>
      <c r="EI595" s="44" t="e">
        <f>Table1[Data Start Date]+Table1[Data EET Start]</f>
        <v>#VALUE!</v>
      </c>
      <c r="EJ595" s="44" t="b">
        <f>IF(Table1[Leaving Date]&gt;42735,8000,IF(Table1[Leaving Date]&gt;42643,7000,IF(Table1[Leaving Date]&gt;42551,6000,IF(Table1[Leaving Date]&gt;42460,5000,IF(Table1[Leaving Date]&gt;42369,4000,IF(Table1[Leaving Date]&gt;42277,3000,IF(Table1[Leaving Date]&gt;42185,2000,IF(Table1[Leaving Date]&gt;42094,1000))))))))</f>
        <v>0</v>
      </c>
      <c r="EK595" s="44" t="e">
        <f>VLOOKUP(Table1[Reason for Leaving],Lists!$T$2:$U$15,2,FALSE)</f>
        <v>#N/A</v>
      </c>
      <c r="EL595" s="44" t="e">
        <f>SUM(Table1[Data Leavers Date]+Table1[Data Move On])</f>
        <v>#N/A</v>
      </c>
      <c r="EM595" s="44" t="b">
        <f>IF(Table1[Registered with GP2]="Yes",1,IF(Table1[Registered with GP2]="No",0,IF(Table1[Registered with GP]="Yes",1,IF(Table1[Registered with GP]="No",0))))</f>
        <v>0</v>
      </c>
      <c r="EN595" s="44">
        <f>SUM(Table1[Data Leavers Date]+Table1[Data GP End])</f>
        <v>0</v>
      </c>
      <c r="EO595" s="44" t="str">
        <f>IF(Table1[EET2]="NEET",1,IF(Table1[EET2]="Employment",2,IF(Table1[EET2]="Education",2,IF(Table1[EET2]="Training",2,IF(Table1[EET2]="Retired",3,IF(Table1[EET]="NEET",1,IF(Table1[EET]="Employment",2,IF(Table1[EET]="Education",2,IF(Table1[EET]="Training",2,IF(Table1[EET]="Retired",3,""))))))))))</f>
        <v/>
      </c>
      <c r="EP595" s="44" t="e">
        <f>+Table1[[#This Row],[Data Leavers Date]]+Table1[[#This Row],[Data EET End]]</f>
        <v>#VALUE!</v>
      </c>
      <c r="EQ595" s="44">
        <f>IF(Table1[Exit Form Received]="Yes",1,0)</f>
        <v>0</v>
      </c>
      <c r="ER595" s="44">
        <f>+Table1[[#This Row],[Data Leavers Date]]+Table1[[#This Row],[Data Exit Forms]]</f>
        <v>0</v>
      </c>
      <c r="ES595" s="44" t="str">
        <f>IF(Table1[Data Leavers Date]=1000,SUM(Table1[Leaving Date]-Table1[Start Date]),"")</f>
        <v/>
      </c>
      <c r="ET595" s="44" t="str">
        <f>IF(Table1[Data Leavers Date]=2000,SUM(Table1[Leaving Date]-Table1[Start Date]),"")</f>
        <v/>
      </c>
      <c r="EU595" s="44" t="str">
        <f>IF(Table1[Data Leavers Date]=3000,SUM(Table1[Leaving Date]-Table1[Start Date]),"")</f>
        <v/>
      </c>
      <c r="EV595" s="44" t="str">
        <f>IF(Table1[Data Leavers Date]=4000,SUM(Table1[Leaving Date]-Table1[Start Date]),"")</f>
        <v/>
      </c>
      <c r="EW595" s="44" t="str">
        <f>IF(Table1[Data Leavers Date]=5000,SUM(Table1[Leaving Date]-Table1[Start Date]),"")</f>
        <v/>
      </c>
      <c r="EX595" s="44" t="str">
        <f>IF(Table1[Data Leavers Date]=6000,SUM(Table1[Leaving Date]-Table1[Start Date]),"")</f>
        <v/>
      </c>
      <c r="EY595" s="44" t="str">
        <f>IF(Table1[Data Leavers Date]=7000,SUM(Table1[Leaving Date]-Table1[Start Date]),"")</f>
        <v/>
      </c>
      <c r="EZ595" s="44" t="str">
        <f>IF(Table1[Data Leavers Date]=8000,SUM(Table1[Leaving Date]-Table1[Start Date]),"")</f>
        <v/>
      </c>
      <c r="FA595" s="44" t="str">
        <f>IF(Table1[Date of Initial Assessment]="","",IF(AND(Table1[Start Date]&gt;42094,Table1[Start Date]&lt;42461),Table1[Motivation and Taking Responsibility],""))</f>
        <v/>
      </c>
      <c r="FB595" s="44" t="str">
        <f>IF(Table1[Date of Initial Assessment]="","",IF(AND(Table1[Start Date]&gt;42094,Table1[Start Date]&lt;42461),Table1[Self-Care and Living Skills],""))</f>
        <v/>
      </c>
      <c r="FC595" s="44" t="str">
        <f>IF(Table1[Date of Initial Assessment]="","",IF(AND(Table1[Start Date]&gt;42094,Table1[Start Date]&lt;42461),Table1[Managing Money and Personal Administration],""))</f>
        <v/>
      </c>
      <c r="FD595" s="44" t="str">
        <f>IF(Table1[Date of Initial Assessment]="","",IF(AND(Table1[Start Date]&gt;42094,Table1[Start Date]&lt;42461),Table1[Social Networks and Relationships],""))</f>
        <v/>
      </c>
      <c r="FE595" s="44" t="str">
        <f>IF(Table1[Date of Initial Assessment]="","",IF(AND(Table1[Start Date]&gt;42094,Table1[Start Date]&lt;42461),Table1[Drug and Alcohol Misuse],""))</f>
        <v/>
      </c>
      <c r="FF595" s="44" t="str">
        <f>IF(Table1[Date of Initial Assessment]="","",IF(AND(Table1[Start Date]&gt;42094,Table1[Start Date]&lt;42461),Table1[Physical Health],""))</f>
        <v/>
      </c>
      <c r="FG595" s="44" t="str">
        <f>IF(Table1[Date of Initial Assessment]="","",IF(AND(Table1[Start Date]&gt;42094,Table1[Start Date]&lt;42461),Table1[Emotional and Mental Health],""))</f>
        <v/>
      </c>
      <c r="FH595" s="44" t="str">
        <f>IF(Table1[Date of Initial Assessment]="","",IF(AND(Table1[Start Date]&gt;42094,Table1[Start Date]&lt;42461),Table1[Meaningful Use of Time],""))</f>
        <v/>
      </c>
      <c r="FI595" s="44" t="str">
        <f>IF(Table1[Date of Initial Assessment]="","",IF(AND(Table1[Start Date]&gt;42094,Table1[Start Date]&lt;42461),Table1[Managing Tenancy and Accommodation],""))</f>
        <v/>
      </c>
      <c r="FJ595" s="44" t="str">
        <f>IF(Table1[Date of Initial Assessment]="","",IF(AND(Table1[Start Date]&gt;42094,Table1[Start Date]&lt;42461),Table1[Offending],""))</f>
        <v/>
      </c>
      <c r="FK595" s="44" t="str">
        <f>IF(Table1[Leaving Date]="","",IF(Table1[Date of Initial Assessment]="","",IF(AND(Table1[Leaving Date]&gt;42094,Table1[Leaving Date]&lt;42461),IF(Table1[Date of Last Assessment]="",Table1[Motivation and Taking Responsibility],Table1[Motivation and Taking Responsibility2]),"")))</f>
        <v/>
      </c>
      <c r="FL595" s="44" t="str">
        <f>IF(Table1[Leaving Date]="","",IF(Table1[Date of Initial Assessment]="","",IF(AND(Table1[Leaving Date]&gt;42094,Table1[Leaving Date]&lt;42461),IF(Table1[Date of Last Assessment]="",Table1[Self-Care and Living Skills],Table1[Self-Care and Living Skills2]),"")))</f>
        <v/>
      </c>
      <c r="FM595" s="44" t="str">
        <f>IF(Table1[Leaving Date]="","",IF(Table1[Date of Initial Assessment]="","",IF(AND(Table1[Leaving Date]&gt;42094,Table1[Leaving Date]&lt;42461),IF(Table1[Date of Last Assessment]="",Table1[Managing Money and Personal Administration],Table1[Managing Money and Personal Administration2]),"")))</f>
        <v/>
      </c>
      <c r="FN595" s="44" t="str">
        <f>IF(Table1[Leaving Date]="","",IF(Table1[Date of Initial Assessment]="","",IF(AND(Table1[Leaving Date]&gt;42094,Table1[Leaving Date]&lt;42461),IF(Table1[Date of Last Assessment]="",Table1[Social Networks and Relationships],Table1[Social Networks and Relationships2]),"")))</f>
        <v/>
      </c>
      <c r="FO595" s="44" t="str">
        <f>IF(Table1[Leaving Date]="","",IF(Table1[Date of Initial Assessment]="","",IF(AND(Table1[Leaving Date]&gt;42094,Table1[Leaving Date]&lt;42461),IF(Table1[Date of Last Assessment]="",Table1[Drug and Alcohol Misuse],Table1[Drug and Alcohol Misuse2]),"")))</f>
        <v/>
      </c>
      <c r="FP595" s="44" t="str">
        <f>IF(Table1[Leaving Date]="","",IF(Table1[Date of Initial Assessment]="","",IF(AND(Table1[Leaving Date]&gt;42094,Table1[Leaving Date]&lt;42461),IF(Table1[Date of Last Assessment]="",Table1[Physical Health],Table1[Physical Health2]),"")))</f>
        <v/>
      </c>
      <c r="FQ595" s="44" t="str">
        <f>IF(Table1[Leaving Date]="","",IF(Table1[Date of Initial Assessment]="","",IF(AND(Table1[Leaving Date]&gt;42094,Table1[Leaving Date]&lt;42461),IF(Table1[Date of Last Assessment]="",Table1[Emotional and Mental Health],Table1[Emotional and Mental Health2]),"")))</f>
        <v/>
      </c>
      <c r="FR595" s="44" t="str">
        <f>IF(Table1[Leaving Date]="","",IF(Table1[Date of Initial Assessment]="","",IF(AND(Table1[Leaving Date]&gt;42094,Table1[Leaving Date]&lt;42461),IF(Table1[Date of Last Assessment]="",Table1[Meaningful Use of Time],Table1[Meaningful Use of Time2]),"")))</f>
        <v/>
      </c>
      <c r="FS595" s="44" t="str">
        <f>IF(Table1[Leaving Date]="","",IF(Table1[Date of Initial Assessment]="","",IF(AND(Table1[Leaving Date]&gt;42094,Table1[Leaving Date]&lt;42461),IF(Table1[Date of Last Assessment]="",Table1[Managing Tenancy and Accommodation],Table1[Managing Tenancy and Accommodation2]),"")))</f>
        <v/>
      </c>
      <c r="FT595" s="44" t="str">
        <f>IF(Table1[Leaving Date]="","",IF(Table1[Date of Initial Assessment]="","",IF(AND(Table1[Leaving Date]&gt;42094,Table1[Leaving Date]&lt;42461),IF(Table1[Date of Last Assessment]="",Table1[Offending],Table1[Offending2]),"")))</f>
        <v/>
      </c>
      <c r="FU595" s="44" t="str">
        <f>IF(Table1[Date of Initial Assessment]="","",IF(AND(Table1[Start Date]&gt;42460,Table1[Start Date]&lt;42826),Table1[Motivation and Taking Responsibility],""))</f>
        <v/>
      </c>
      <c r="FV595" s="44" t="str">
        <f>IF(Table1[Date of Initial Assessment]="","",IF(AND(Table1[Start Date]&gt;42460,Table1[Start Date]&lt;42826),Table1[Self-Care and Living Skills],""))</f>
        <v/>
      </c>
      <c r="FW595" s="44" t="str">
        <f>IF(Table1[Date of Initial Assessment]="","",IF(AND(Table1[Start Date]&gt;42460,Table1[Start Date]&lt;42826),Table1[Managing Money and Personal Administration],""))</f>
        <v/>
      </c>
      <c r="FX595" s="44" t="str">
        <f>IF(Table1[Date of Initial Assessment]="","",IF(AND(Table1[Start Date]&gt;42460,Table1[Start Date]&lt;42826),Table1[Social Networks and Relationships],""))</f>
        <v/>
      </c>
      <c r="FY595" s="44" t="str">
        <f>IF(Table1[Date of Initial Assessment]="","",IF(AND(Table1[Start Date]&gt;42460,Table1[Start Date]&lt;42826),Table1[Drug and Alcohol Misuse],""))</f>
        <v/>
      </c>
      <c r="FZ595" s="44" t="str">
        <f>IF(Table1[Date of Initial Assessment]="","",IF(AND(Table1[Start Date]&gt;42460,Table1[Start Date]&lt;42826),Table1[Physical Health],""))</f>
        <v/>
      </c>
      <c r="GA595" s="44" t="str">
        <f>IF(Table1[Date of Initial Assessment]="","",IF(AND(Table1[Start Date]&gt;42460,Table1[Start Date]&lt;42826),Table1[Emotional and Mental Health],""))</f>
        <v/>
      </c>
      <c r="GB595" s="44" t="str">
        <f>IF(Table1[Date of Initial Assessment]="","",IF(AND(Table1[Start Date]&gt;42460,Table1[Start Date]&lt;42826),Table1[Meaningful Use of Time],""))</f>
        <v/>
      </c>
      <c r="GC595" s="44" t="str">
        <f>IF(Table1[Date of Initial Assessment]="","",IF(AND(Table1[Start Date]&gt;42460,Table1[Start Date]&lt;42826),Table1[Managing Tenancy and Accommodation],""))</f>
        <v/>
      </c>
      <c r="GD595" s="44" t="str">
        <f>IF(Table1[Date of Initial Assessment]="","",IF(AND(Table1[Start Date]&gt;42460,Table1[Start Date]&lt;42826),Table1[Offending],""))</f>
        <v/>
      </c>
      <c r="GE595" s="44" t="str">
        <f>IF(Table1[Leaving Date]="","",IF(AND(Table1[Leaving Date]&gt;42460,Table1[Leaving Date]&lt;42826),IF(Table1[Date of Last Assessment]="",Table1[Motivation and Taking Responsibility],Table1[Motivation and Taking Responsibility2]),""))</f>
        <v/>
      </c>
      <c r="GF595" s="44" t="str">
        <f>IF(Table1[Leaving Date]="","",IF(AND(Table1[Leaving Date]&gt;42460,Table1[Leaving Date]&lt;42826),IF(Table1[Date of Last Assessment]="",Table1[Self-Care and Living Skills],Table1[Self-Care and Living Skills2]),""))</f>
        <v/>
      </c>
      <c r="GG595" s="44" t="str">
        <f>IF(Table1[Leaving Date]="","",IF(AND(Table1[Leaving Date]&gt;42460,Table1[Leaving Date]&lt;42826),IF(Table1[Date of Last Assessment]="",Table1[Managing Money and Personal Administration],Table1[Managing Money and Personal Administration2]),""))</f>
        <v/>
      </c>
      <c r="GH595" s="44" t="str">
        <f>IF(Table1[Leaving Date]="","",IF(AND(Table1[Leaving Date]&gt;42460,Table1[Leaving Date]&lt;42826),IF(Table1[Date of Last Assessment]="",Table1[Social Networks and Relationships],Table1[Social Networks and Relationships2]),""))</f>
        <v/>
      </c>
      <c r="GI595" s="44" t="str">
        <f>IF(Table1[Leaving Date]="","",IF(AND(Table1[Leaving Date]&gt;42460,Table1[Leaving Date]&lt;42826),IF(Table1[Date of Last Assessment]="",Table1[Drug and Alcohol Misuse],Table1[Drug and Alcohol Misuse2]),""))</f>
        <v/>
      </c>
      <c r="GJ595" s="44" t="str">
        <f>IF(Table1[Leaving Date]="","",IF(AND(Table1[Leaving Date]&gt;42460,Table1[Leaving Date]&lt;42826),IF(Table1[Date of Last Assessment]="",Table1[Physical Health],Table1[Physical Health2]),""))</f>
        <v/>
      </c>
      <c r="GK595" s="44" t="str">
        <f>IF(Table1[Leaving Date]="","",IF(AND(Table1[Leaving Date]&gt;42460,Table1[Leaving Date]&lt;42826),IF(Table1[Date of Last Assessment]="",Table1[Emotional and Mental Health],Table1[Emotional and Mental Health2]),""))</f>
        <v/>
      </c>
      <c r="GL595" s="44" t="str">
        <f>IF(Table1[Leaving Date]="","",IF(AND(Table1[Leaving Date]&gt;42460,Table1[Leaving Date]&lt;42826),IF(Table1[Date of Last Assessment]="",Table1[Meaningful Use of Time],Table1[Meaningful Use of Time2]),""))</f>
        <v/>
      </c>
      <c r="GM595" s="44" t="str">
        <f>IF(Table1[Leaving Date]="","",IF(AND(Table1[Leaving Date]&gt;42460,Table1[Leaving Date]&lt;42826),IF(Table1[Date of Last Assessment]="",Table1[Managing Tenancy and Accommodation],Table1[Managing Tenancy and Accommodation2]),""))</f>
        <v/>
      </c>
      <c r="GN595" s="44" t="str">
        <f>IF(Table1[Leaving Date]="","",IF(AND(Table1[Leaving Date]&gt;42460,Table1[Leaving Date]&lt;42826),IF(Table1[Date of Last Assessment]="",Table1[Offending],Table1[Offending2]),""))</f>
        <v/>
      </c>
    </row>
    <row r="596" spans="2:196" ht="20.100000000000001" customHeight="1" x14ac:dyDescent="0.2">
      <c r="B596" s="86">
        <f>+'Service Data'!$C$5:$C$5</f>
        <v>0</v>
      </c>
      <c r="C596" s="86"/>
      <c r="D596" s="86"/>
      <c r="E596" s="86"/>
      <c r="F596" s="86"/>
      <c r="G596" s="86"/>
      <c r="H596" s="6"/>
      <c r="I596" s="99" t="str">
        <f ca="1">IF(Table1[[#This Row],[Date of Birth]]="","",SUM(TODAY()-Table1[[#This Row],[Date of Birth]])/365)</f>
        <v/>
      </c>
      <c r="L596" s="86"/>
      <c r="M596" s="77"/>
      <c r="N596" s="86"/>
      <c r="O596" s="86"/>
      <c r="P596" s="91"/>
      <c r="Q596" s="86"/>
      <c r="R596" s="77"/>
      <c r="S596" s="77"/>
      <c r="T596" s="68"/>
      <c r="U596" s="68"/>
      <c r="V596" s="67"/>
      <c r="W596" s="67"/>
      <c r="X596" s="67"/>
      <c r="Y596" s="67"/>
      <c r="Z596" s="67"/>
      <c r="AA596" s="67"/>
      <c r="AB596" s="67"/>
      <c r="AC596" s="67"/>
      <c r="AD596" s="67"/>
      <c r="AE596" s="67"/>
      <c r="AF596" s="67"/>
      <c r="AG596" s="67"/>
      <c r="AH596" s="67"/>
      <c r="AI596" s="67"/>
      <c r="AJ596" s="67"/>
      <c r="AK596" s="67"/>
      <c r="AL596" s="67"/>
      <c r="AM596" s="67"/>
      <c r="AN596" s="77"/>
      <c r="AO596" s="76"/>
      <c r="AP596" s="77"/>
      <c r="AQ596" s="76"/>
      <c r="AR596" s="76"/>
      <c r="AS596" s="76"/>
      <c r="AT596" s="76"/>
      <c r="AU596" s="76"/>
      <c r="AV596" s="77"/>
      <c r="AW596" s="76"/>
      <c r="AX596" s="77"/>
      <c r="AY596" s="76"/>
      <c r="AZ596" s="76"/>
      <c r="BA596" s="76"/>
      <c r="BB596" s="76"/>
      <c r="BC596" s="76"/>
      <c r="BD596" s="77"/>
      <c r="BE596" s="76"/>
      <c r="BF596" s="77"/>
      <c r="BG596" s="76"/>
      <c r="BH596" s="76"/>
      <c r="BI596" s="76"/>
      <c r="BJ596" s="76"/>
      <c r="BK596" s="76"/>
      <c r="BL596" s="77"/>
      <c r="BM596" s="76"/>
      <c r="BN596" s="77"/>
      <c r="BO596" s="76"/>
      <c r="BP596" s="76"/>
      <c r="BQ596" s="76"/>
      <c r="BR596" s="76"/>
      <c r="BS596" s="76"/>
      <c r="BT596" s="77"/>
      <c r="BU596" s="76"/>
      <c r="BV596" s="77"/>
      <c r="BW596" s="76"/>
      <c r="BX596" s="76"/>
      <c r="BY596" s="76"/>
      <c r="BZ596" s="76"/>
      <c r="CA596" s="76"/>
      <c r="CB596" s="77"/>
      <c r="CC596" s="76"/>
      <c r="CD596" s="77"/>
      <c r="CE596" s="76"/>
      <c r="CF596" s="76"/>
      <c r="CG596" s="76"/>
      <c r="CH596" s="76"/>
      <c r="CI596" s="76"/>
      <c r="CJ596" s="77"/>
      <c r="CK596" s="76"/>
      <c r="CL596" s="77"/>
      <c r="CM596" s="76"/>
      <c r="CN596" s="76"/>
      <c r="CO596" s="76"/>
      <c r="CP596" s="76"/>
      <c r="CQ596" s="76"/>
      <c r="CR596" s="78" t="str">
        <f t="shared" si="159"/>
        <v/>
      </c>
      <c r="CS596" s="79" t="str">
        <f t="shared" si="160"/>
        <v/>
      </c>
      <c r="CT596" s="79" t="str">
        <f t="shared" si="161"/>
        <v/>
      </c>
      <c r="CU596" s="79" t="str">
        <f t="shared" si="162"/>
        <v/>
      </c>
      <c r="CV596" s="79" t="str">
        <f t="shared" si="163"/>
        <v/>
      </c>
      <c r="CW596" s="79" t="str">
        <f t="shared" si="164"/>
        <v/>
      </c>
      <c r="CX596" s="79" t="str">
        <f t="shared" si="165"/>
        <v/>
      </c>
      <c r="CY596" s="79" t="str">
        <f t="shared" si="166"/>
        <v/>
      </c>
      <c r="CZ596" s="79" t="str">
        <f t="shared" si="167"/>
        <v/>
      </c>
      <c r="DA596" s="79" t="str">
        <f t="shared" si="168"/>
        <v/>
      </c>
      <c r="DB596" s="79" t="str">
        <f t="shared" si="169"/>
        <v/>
      </c>
      <c r="DC596" s="79" t="str">
        <f t="shared" si="170"/>
        <v/>
      </c>
      <c r="DD596" s="79" t="str">
        <f t="shared" si="171"/>
        <v/>
      </c>
      <c r="DE596" s="79" t="str">
        <f t="shared" si="172"/>
        <v/>
      </c>
      <c r="DF596" s="79" t="str">
        <f t="shared" si="173"/>
        <v/>
      </c>
      <c r="DG596" s="79" t="str">
        <f t="shared" si="174"/>
        <v/>
      </c>
      <c r="DH596" s="76"/>
      <c r="DI596" s="78"/>
      <c r="DJ596" s="76"/>
      <c r="DK596" s="77"/>
      <c r="DL596" s="77"/>
      <c r="DM596" s="77"/>
      <c r="DN596" s="80"/>
      <c r="DO596" s="80"/>
      <c r="DP596" s="92" t="str">
        <f>IF(Table1[Start Date]="","",IF(Table1[Start Date]&gt;42185,"",IF(AND(Table1[Leaving Date]&gt;1,Table1[Leaving Date]&lt;42095),"",1)))</f>
        <v/>
      </c>
      <c r="DQ596" s="92" t="str">
        <f>IF(Table1[Start Date]="","",IF(Table1[Start Date]&gt;42277,"",IF(AND(Table1[Leaving Date]&gt;1,Table1[Leaving Date]&lt;42186),"",1)))</f>
        <v/>
      </c>
      <c r="DR596" s="92" t="str">
        <f>IF(Table1[Start Date]="","",IF(Table1[Start Date]&gt;42369,"",IF(AND(Table1[Leaving Date]&gt;1,Table1[Leaving Date]&lt;42278),"",1)))</f>
        <v/>
      </c>
      <c r="DS596" s="92" t="str">
        <f>IF(Table1[Start Date]="","",IF(Table1[Start Date]&gt;42460,"",IF(AND(Table1[Leaving Date]&gt;1,Table1[Leaving Date]&lt;42370),"",1)))</f>
        <v/>
      </c>
      <c r="DT596" s="92" t="str">
        <f>IF(Table1[Start Date]="","",IF(Table1[Start Date]&gt;42551,"",IF(AND(Table1[Leaving Date]&gt;1,Table1[Leaving Date]&lt;42461),"",1)))</f>
        <v/>
      </c>
      <c r="DU596" s="92" t="str">
        <f>IF(Table1[Start Date]="","",IF(Table1[Start Date]&gt;42643,"",IF(AND(Table1[Leaving Date]&gt;1,Table1[Leaving Date]&lt;42552),"",1)))</f>
        <v/>
      </c>
      <c r="DV596" s="92" t="str">
        <f>IF(Table1[Start Date]="","",IF(Table1[Start Date]&gt;42735,"",IF(AND(Table1[Leaving Date]&gt;1,Table1[Leaving Date]&lt;42644),"",1)))</f>
        <v/>
      </c>
      <c r="DW596" s="92" t="str">
        <f>IF(Table1[Start Date]="","",IF(Table1[Start Date]&gt;42825,"",IF(AND(Table1[Leaving Date]&gt;1,Table1[Leaving Date]&lt;42736),"",1)))</f>
        <v/>
      </c>
      <c r="DX596"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596" s="44" t="e">
        <f>VLOOKUP(Table1[Referral Source],Lists!$G$2:$H$20,2,FALSE)</f>
        <v>#N/A</v>
      </c>
      <c r="DZ596" s="93" t="e">
        <f>SUM(Table1[Data Referral Quarter]+Table1[Data Referral Source])</f>
        <v>#N/A</v>
      </c>
      <c r="EA596" s="44" t="b">
        <f>IF(Table1[Referral Decision]="Accepted",100,IF(Table1[Referral Decision]="Rejected by Provider",200,IF(Table1[Referral Decision]="Rejected by Applicant",300)))</f>
        <v>0</v>
      </c>
      <c r="EB596" s="44">
        <f>SUM(Table1[Data Referral Quarter]+Table1[Data Referral Decision])</f>
        <v>0</v>
      </c>
      <c r="EC596" s="44" t="b">
        <f>IF(Table1[Start Date]&gt;42735,8000,IF(Table1[Start Date]&gt;42643,7000,IF(Table1[Start Date]&gt;42551,6000,IF(Table1[Start Date]&gt;42460,5000,IF(Table1[Start Date]&gt;42369,4000,IF(Table1[Start Date]&gt;42277,3000,IF(Table1[Start Date]&gt;42185,2000,IF(Table1[Start Date]&gt;42094,1000))))))))</f>
        <v>0</v>
      </c>
      <c r="ED596" s="44" t="str">
        <f>IF(Table1[Start Date]="","",IF(Table1[Current Local Authority]="Swindon",1,"2"))</f>
        <v/>
      </c>
      <c r="EE596" s="44" t="e">
        <f>SUM(Table1[Data Start Date]+Table1[Data Local Authority])</f>
        <v>#VALUE!</v>
      </c>
      <c r="EF596" s="44">
        <f>IF(Table1[Registered with GP]="Yes",1,0)</f>
        <v>0</v>
      </c>
      <c r="EG596" s="44">
        <f>SUM(Table1[Data Start Date]+Table1[Data GP Start])</f>
        <v>0</v>
      </c>
      <c r="EH596" s="44" t="str">
        <f>IF(Table1[EET]="NEET",1,IF(Table1[EET]="Education",2,IF(Table1[EET]="Employment",2,IF(Table1[EET]="Training",2,IF(Table1[EET]="Retired",3,"")))))</f>
        <v/>
      </c>
      <c r="EI596" s="44" t="e">
        <f>Table1[Data Start Date]+Table1[Data EET Start]</f>
        <v>#VALUE!</v>
      </c>
      <c r="EJ596" s="44" t="b">
        <f>IF(Table1[Leaving Date]&gt;42735,8000,IF(Table1[Leaving Date]&gt;42643,7000,IF(Table1[Leaving Date]&gt;42551,6000,IF(Table1[Leaving Date]&gt;42460,5000,IF(Table1[Leaving Date]&gt;42369,4000,IF(Table1[Leaving Date]&gt;42277,3000,IF(Table1[Leaving Date]&gt;42185,2000,IF(Table1[Leaving Date]&gt;42094,1000))))))))</f>
        <v>0</v>
      </c>
      <c r="EK596" s="44" t="e">
        <f>VLOOKUP(Table1[Reason for Leaving],Lists!$T$2:$U$15,2,FALSE)</f>
        <v>#N/A</v>
      </c>
      <c r="EL596" s="44" t="e">
        <f>SUM(Table1[Data Leavers Date]+Table1[Data Move On])</f>
        <v>#N/A</v>
      </c>
      <c r="EM596" s="44" t="b">
        <f>IF(Table1[Registered with GP2]="Yes",1,IF(Table1[Registered with GP2]="No",0,IF(Table1[Registered with GP]="Yes",1,IF(Table1[Registered with GP]="No",0))))</f>
        <v>0</v>
      </c>
      <c r="EN596" s="44">
        <f>SUM(Table1[Data Leavers Date]+Table1[Data GP End])</f>
        <v>0</v>
      </c>
      <c r="EO596" s="44" t="str">
        <f>IF(Table1[EET2]="NEET",1,IF(Table1[EET2]="Employment",2,IF(Table1[EET2]="Education",2,IF(Table1[EET2]="Training",2,IF(Table1[EET2]="Retired",3,IF(Table1[EET]="NEET",1,IF(Table1[EET]="Employment",2,IF(Table1[EET]="Education",2,IF(Table1[EET]="Training",2,IF(Table1[EET]="Retired",3,""))))))))))</f>
        <v/>
      </c>
      <c r="EP596" s="44" t="e">
        <f>+Table1[[#This Row],[Data Leavers Date]]+Table1[[#This Row],[Data EET End]]</f>
        <v>#VALUE!</v>
      </c>
      <c r="EQ596" s="44">
        <f>IF(Table1[Exit Form Received]="Yes",1,0)</f>
        <v>0</v>
      </c>
      <c r="ER596" s="44">
        <f>+Table1[[#This Row],[Data Leavers Date]]+Table1[[#This Row],[Data Exit Forms]]</f>
        <v>0</v>
      </c>
      <c r="ES596" s="44" t="str">
        <f>IF(Table1[Data Leavers Date]=1000,SUM(Table1[Leaving Date]-Table1[Start Date]),"")</f>
        <v/>
      </c>
      <c r="ET596" s="44" t="str">
        <f>IF(Table1[Data Leavers Date]=2000,SUM(Table1[Leaving Date]-Table1[Start Date]),"")</f>
        <v/>
      </c>
      <c r="EU596" s="44" t="str">
        <f>IF(Table1[Data Leavers Date]=3000,SUM(Table1[Leaving Date]-Table1[Start Date]),"")</f>
        <v/>
      </c>
      <c r="EV596" s="44" t="str">
        <f>IF(Table1[Data Leavers Date]=4000,SUM(Table1[Leaving Date]-Table1[Start Date]),"")</f>
        <v/>
      </c>
      <c r="EW596" s="44" t="str">
        <f>IF(Table1[Data Leavers Date]=5000,SUM(Table1[Leaving Date]-Table1[Start Date]),"")</f>
        <v/>
      </c>
      <c r="EX596" s="44" t="str">
        <f>IF(Table1[Data Leavers Date]=6000,SUM(Table1[Leaving Date]-Table1[Start Date]),"")</f>
        <v/>
      </c>
      <c r="EY596" s="44" t="str">
        <f>IF(Table1[Data Leavers Date]=7000,SUM(Table1[Leaving Date]-Table1[Start Date]),"")</f>
        <v/>
      </c>
      <c r="EZ596" s="44" t="str">
        <f>IF(Table1[Data Leavers Date]=8000,SUM(Table1[Leaving Date]-Table1[Start Date]),"")</f>
        <v/>
      </c>
      <c r="FA596" s="44" t="str">
        <f>IF(Table1[Date of Initial Assessment]="","",IF(AND(Table1[Start Date]&gt;42094,Table1[Start Date]&lt;42461),Table1[Motivation and Taking Responsibility],""))</f>
        <v/>
      </c>
      <c r="FB596" s="44" t="str">
        <f>IF(Table1[Date of Initial Assessment]="","",IF(AND(Table1[Start Date]&gt;42094,Table1[Start Date]&lt;42461),Table1[Self-Care and Living Skills],""))</f>
        <v/>
      </c>
      <c r="FC596" s="44" t="str">
        <f>IF(Table1[Date of Initial Assessment]="","",IF(AND(Table1[Start Date]&gt;42094,Table1[Start Date]&lt;42461),Table1[Managing Money and Personal Administration],""))</f>
        <v/>
      </c>
      <c r="FD596" s="44" t="str">
        <f>IF(Table1[Date of Initial Assessment]="","",IF(AND(Table1[Start Date]&gt;42094,Table1[Start Date]&lt;42461),Table1[Social Networks and Relationships],""))</f>
        <v/>
      </c>
      <c r="FE596" s="44" t="str">
        <f>IF(Table1[Date of Initial Assessment]="","",IF(AND(Table1[Start Date]&gt;42094,Table1[Start Date]&lt;42461),Table1[Drug and Alcohol Misuse],""))</f>
        <v/>
      </c>
      <c r="FF596" s="44" t="str">
        <f>IF(Table1[Date of Initial Assessment]="","",IF(AND(Table1[Start Date]&gt;42094,Table1[Start Date]&lt;42461),Table1[Physical Health],""))</f>
        <v/>
      </c>
      <c r="FG596" s="44" t="str">
        <f>IF(Table1[Date of Initial Assessment]="","",IF(AND(Table1[Start Date]&gt;42094,Table1[Start Date]&lt;42461),Table1[Emotional and Mental Health],""))</f>
        <v/>
      </c>
      <c r="FH596" s="44" t="str">
        <f>IF(Table1[Date of Initial Assessment]="","",IF(AND(Table1[Start Date]&gt;42094,Table1[Start Date]&lt;42461),Table1[Meaningful Use of Time],""))</f>
        <v/>
      </c>
      <c r="FI596" s="44" t="str">
        <f>IF(Table1[Date of Initial Assessment]="","",IF(AND(Table1[Start Date]&gt;42094,Table1[Start Date]&lt;42461),Table1[Managing Tenancy and Accommodation],""))</f>
        <v/>
      </c>
      <c r="FJ596" s="44" t="str">
        <f>IF(Table1[Date of Initial Assessment]="","",IF(AND(Table1[Start Date]&gt;42094,Table1[Start Date]&lt;42461),Table1[Offending],""))</f>
        <v/>
      </c>
      <c r="FK596" s="44" t="str">
        <f>IF(Table1[Leaving Date]="","",IF(Table1[Date of Initial Assessment]="","",IF(AND(Table1[Leaving Date]&gt;42094,Table1[Leaving Date]&lt;42461),IF(Table1[Date of Last Assessment]="",Table1[Motivation and Taking Responsibility],Table1[Motivation and Taking Responsibility2]),"")))</f>
        <v/>
      </c>
      <c r="FL596" s="44" t="str">
        <f>IF(Table1[Leaving Date]="","",IF(Table1[Date of Initial Assessment]="","",IF(AND(Table1[Leaving Date]&gt;42094,Table1[Leaving Date]&lt;42461),IF(Table1[Date of Last Assessment]="",Table1[Self-Care and Living Skills],Table1[Self-Care and Living Skills2]),"")))</f>
        <v/>
      </c>
      <c r="FM596" s="44" t="str">
        <f>IF(Table1[Leaving Date]="","",IF(Table1[Date of Initial Assessment]="","",IF(AND(Table1[Leaving Date]&gt;42094,Table1[Leaving Date]&lt;42461),IF(Table1[Date of Last Assessment]="",Table1[Managing Money and Personal Administration],Table1[Managing Money and Personal Administration2]),"")))</f>
        <v/>
      </c>
      <c r="FN596" s="44" t="str">
        <f>IF(Table1[Leaving Date]="","",IF(Table1[Date of Initial Assessment]="","",IF(AND(Table1[Leaving Date]&gt;42094,Table1[Leaving Date]&lt;42461),IF(Table1[Date of Last Assessment]="",Table1[Social Networks and Relationships],Table1[Social Networks and Relationships2]),"")))</f>
        <v/>
      </c>
      <c r="FO596" s="44" t="str">
        <f>IF(Table1[Leaving Date]="","",IF(Table1[Date of Initial Assessment]="","",IF(AND(Table1[Leaving Date]&gt;42094,Table1[Leaving Date]&lt;42461),IF(Table1[Date of Last Assessment]="",Table1[Drug and Alcohol Misuse],Table1[Drug and Alcohol Misuse2]),"")))</f>
        <v/>
      </c>
      <c r="FP596" s="44" t="str">
        <f>IF(Table1[Leaving Date]="","",IF(Table1[Date of Initial Assessment]="","",IF(AND(Table1[Leaving Date]&gt;42094,Table1[Leaving Date]&lt;42461),IF(Table1[Date of Last Assessment]="",Table1[Physical Health],Table1[Physical Health2]),"")))</f>
        <v/>
      </c>
      <c r="FQ596" s="44" t="str">
        <f>IF(Table1[Leaving Date]="","",IF(Table1[Date of Initial Assessment]="","",IF(AND(Table1[Leaving Date]&gt;42094,Table1[Leaving Date]&lt;42461),IF(Table1[Date of Last Assessment]="",Table1[Emotional and Mental Health],Table1[Emotional and Mental Health2]),"")))</f>
        <v/>
      </c>
      <c r="FR596" s="44" t="str">
        <f>IF(Table1[Leaving Date]="","",IF(Table1[Date of Initial Assessment]="","",IF(AND(Table1[Leaving Date]&gt;42094,Table1[Leaving Date]&lt;42461),IF(Table1[Date of Last Assessment]="",Table1[Meaningful Use of Time],Table1[Meaningful Use of Time2]),"")))</f>
        <v/>
      </c>
      <c r="FS596" s="44" t="str">
        <f>IF(Table1[Leaving Date]="","",IF(Table1[Date of Initial Assessment]="","",IF(AND(Table1[Leaving Date]&gt;42094,Table1[Leaving Date]&lt;42461),IF(Table1[Date of Last Assessment]="",Table1[Managing Tenancy and Accommodation],Table1[Managing Tenancy and Accommodation2]),"")))</f>
        <v/>
      </c>
      <c r="FT596" s="44" t="str">
        <f>IF(Table1[Leaving Date]="","",IF(Table1[Date of Initial Assessment]="","",IF(AND(Table1[Leaving Date]&gt;42094,Table1[Leaving Date]&lt;42461),IF(Table1[Date of Last Assessment]="",Table1[Offending],Table1[Offending2]),"")))</f>
        <v/>
      </c>
      <c r="FU596" s="44" t="str">
        <f>IF(Table1[Date of Initial Assessment]="","",IF(AND(Table1[Start Date]&gt;42460,Table1[Start Date]&lt;42826),Table1[Motivation and Taking Responsibility],""))</f>
        <v/>
      </c>
      <c r="FV596" s="44" t="str">
        <f>IF(Table1[Date of Initial Assessment]="","",IF(AND(Table1[Start Date]&gt;42460,Table1[Start Date]&lt;42826),Table1[Self-Care and Living Skills],""))</f>
        <v/>
      </c>
      <c r="FW596" s="44" t="str">
        <f>IF(Table1[Date of Initial Assessment]="","",IF(AND(Table1[Start Date]&gt;42460,Table1[Start Date]&lt;42826),Table1[Managing Money and Personal Administration],""))</f>
        <v/>
      </c>
      <c r="FX596" s="44" t="str">
        <f>IF(Table1[Date of Initial Assessment]="","",IF(AND(Table1[Start Date]&gt;42460,Table1[Start Date]&lt;42826),Table1[Social Networks and Relationships],""))</f>
        <v/>
      </c>
      <c r="FY596" s="44" t="str">
        <f>IF(Table1[Date of Initial Assessment]="","",IF(AND(Table1[Start Date]&gt;42460,Table1[Start Date]&lt;42826),Table1[Drug and Alcohol Misuse],""))</f>
        <v/>
      </c>
      <c r="FZ596" s="44" t="str">
        <f>IF(Table1[Date of Initial Assessment]="","",IF(AND(Table1[Start Date]&gt;42460,Table1[Start Date]&lt;42826),Table1[Physical Health],""))</f>
        <v/>
      </c>
      <c r="GA596" s="44" t="str">
        <f>IF(Table1[Date of Initial Assessment]="","",IF(AND(Table1[Start Date]&gt;42460,Table1[Start Date]&lt;42826),Table1[Emotional and Mental Health],""))</f>
        <v/>
      </c>
      <c r="GB596" s="44" t="str">
        <f>IF(Table1[Date of Initial Assessment]="","",IF(AND(Table1[Start Date]&gt;42460,Table1[Start Date]&lt;42826),Table1[Meaningful Use of Time],""))</f>
        <v/>
      </c>
      <c r="GC596" s="44" t="str">
        <f>IF(Table1[Date of Initial Assessment]="","",IF(AND(Table1[Start Date]&gt;42460,Table1[Start Date]&lt;42826),Table1[Managing Tenancy and Accommodation],""))</f>
        <v/>
      </c>
      <c r="GD596" s="44" t="str">
        <f>IF(Table1[Date of Initial Assessment]="","",IF(AND(Table1[Start Date]&gt;42460,Table1[Start Date]&lt;42826),Table1[Offending],""))</f>
        <v/>
      </c>
      <c r="GE596" s="44" t="str">
        <f>IF(Table1[Leaving Date]="","",IF(AND(Table1[Leaving Date]&gt;42460,Table1[Leaving Date]&lt;42826),IF(Table1[Date of Last Assessment]="",Table1[Motivation and Taking Responsibility],Table1[Motivation and Taking Responsibility2]),""))</f>
        <v/>
      </c>
      <c r="GF596" s="44" t="str">
        <f>IF(Table1[Leaving Date]="","",IF(AND(Table1[Leaving Date]&gt;42460,Table1[Leaving Date]&lt;42826),IF(Table1[Date of Last Assessment]="",Table1[Self-Care and Living Skills],Table1[Self-Care and Living Skills2]),""))</f>
        <v/>
      </c>
      <c r="GG596" s="44" t="str">
        <f>IF(Table1[Leaving Date]="","",IF(AND(Table1[Leaving Date]&gt;42460,Table1[Leaving Date]&lt;42826),IF(Table1[Date of Last Assessment]="",Table1[Managing Money and Personal Administration],Table1[Managing Money and Personal Administration2]),""))</f>
        <v/>
      </c>
      <c r="GH596" s="44" t="str">
        <f>IF(Table1[Leaving Date]="","",IF(AND(Table1[Leaving Date]&gt;42460,Table1[Leaving Date]&lt;42826),IF(Table1[Date of Last Assessment]="",Table1[Social Networks and Relationships],Table1[Social Networks and Relationships2]),""))</f>
        <v/>
      </c>
      <c r="GI596" s="44" t="str">
        <f>IF(Table1[Leaving Date]="","",IF(AND(Table1[Leaving Date]&gt;42460,Table1[Leaving Date]&lt;42826),IF(Table1[Date of Last Assessment]="",Table1[Drug and Alcohol Misuse],Table1[Drug and Alcohol Misuse2]),""))</f>
        <v/>
      </c>
      <c r="GJ596" s="44" t="str">
        <f>IF(Table1[Leaving Date]="","",IF(AND(Table1[Leaving Date]&gt;42460,Table1[Leaving Date]&lt;42826),IF(Table1[Date of Last Assessment]="",Table1[Physical Health],Table1[Physical Health2]),""))</f>
        <v/>
      </c>
      <c r="GK596" s="44" t="str">
        <f>IF(Table1[Leaving Date]="","",IF(AND(Table1[Leaving Date]&gt;42460,Table1[Leaving Date]&lt;42826),IF(Table1[Date of Last Assessment]="",Table1[Emotional and Mental Health],Table1[Emotional and Mental Health2]),""))</f>
        <v/>
      </c>
      <c r="GL596" s="44" t="str">
        <f>IF(Table1[Leaving Date]="","",IF(AND(Table1[Leaving Date]&gt;42460,Table1[Leaving Date]&lt;42826),IF(Table1[Date of Last Assessment]="",Table1[Meaningful Use of Time],Table1[Meaningful Use of Time2]),""))</f>
        <v/>
      </c>
      <c r="GM596" s="44" t="str">
        <f>IF(Table1[Leaving Date]="","",IF(AND(Table1[Leaving Date]&gt;42460,Table1[Leaving Date]&lt;42826),IF(Table1[Date of Last Assessment]="",Table1[Managing Tenancy and Accommodation],Table1[Managing Tenancy and Accommodation2]),""))</f>
        <v/>
      </c>
      <c r="GN596" s="44" t="str">
        <f>IF(Table1[Leaving Date]="","",IF(AND(Table1[Leaving Date]&gt;42460,Table1[Leaving Date]&lt;42826),IF(Table1[Date of Last Assessment]="",Table1[Offending],Table1[Offending2]),""))</f>
        <v/>
      </c>
    </row>
    <row r="597" spans="2:196" ht="20.100000000000001" customHeight="1" x14ac:dyDescent="0.2">
      <c r="B597" s="86">
        <f>+'Service Data'!$C$5:$C$5</f>
        <v>0</v>
      </c>
      <c r="C597" s="86"/>
      <c r="D597" s="86"/>
      <c r="E597" s="86"/>
      <c r="F597" s="86"/>
      <c r="G597" s="86"/>
      <c r="H597" s="6"/>
      <c r="I597" s="99" t="str">
        <f ca="1">IF(Table1[[#This Row],[Date of Birth]]="","",SUM(TODAY()-Table1[[#This Row],[Date of Birth]])/365)</f>
        <v/>
      </c>
      <c r="L597" s="86"/>
      <c r="M597" s="77"/>
      <c r="N597" s="86"/>
      <c r="O597" s="86"/>
      <c r="P597" s="91"/>
      <c r="Q597" s="86"/>
      <c r="R597" s="77"/>
      <c r="S597" s="77"/>
      <c r="T597" s="68"/>
      <c r="U597" s="68"/>
      <c r="V597" s="67"/>
      <c r="W597" s="67"/>
      <c r="X597" s="67"/>
      <c r="Y597" s="67"/>
      <c r="Z597" s="67"/>
      <c r="AA597" s="67"/>
      <c r="AB597" s="67"/>
      <c r="AC597" s="67"/>
      <c r="AD597" s="67"/>
      <c r="AE597" s="67"/>
      <c r="AF597" s="67"/>
      <c r="AG597" s="67"/>
      <c r="AH597" s="67"/>
      <c r="AI597" s="67"/>
      <c r="AJ597" s="67"/>
      <c r="AK597" s="67"/>
      <c r="AL597" s="67"/>
      <c r="AM597" s="67"/>
      <c r="AN597" s="77"/>
      <c r="AO597" s="76"/>
      <c r="AP597" s="77"/>
      <c r="AQ597" s="76"/>
      <c r="AR597" s="76"/>
      <c r="AS597" s="76"/>
      <c r="AT597" s="76"/>
      <c r="AU597" s="76"/>
      <c r="AV597" s="77"/>
      <c r="AW597" s="76"/>
      <c r="AX597" s="77"/>
      <c r="AY597" s="76"/>
      <c r="AZ597" s="76"/>
      <c r="BA597" s="76"/>
      <c r="BB597" s="76"/>
      <c r="BC597" s="76"/>
      <c r="BD597" s="77"/>
      <c r="BE597" s="76"/>
      <c r="BF597" s="77"/>
      <c r="BG597" s="76"/>
      <c r="BH597" s="76"/>
      <c r="BI597" s="76"/>
      <c r="BJ597" s="76"/>
      <c r="BK597" s="76"/>
      <c r="BL597" s="77"/>
      <c r="BM597" s="76"/>
      <c r="BN597" s="77"/>
      <c r="BO597" s="76"/>
      <c r="BP597" s="76"/>
      <c r="BQ597" s="76"/>
      <c r="BR597" s="76"/>
      <c r="BS597" s="76"/>
      <c r="BT597" s="77"/>
      <c r="BU597" s="76"/>
      <c r="BV597" s="77"/>
      <c r="BW597" s="76"/>
      <c r="BX597" s="76"/>
      <c r="BY597" s="76"/>
      <c r="BZ597" s="76"/>
      <c r="CA597" s="76"/>
      <c r="CB597" s="77"/>
      <c r="CC597" s="76"/>
      <c r="CD597" s="77"/>
      <c r="CE597" s="76"/>
      <c r="CF597" s="76"/>
      <c r="CG597" s="76"/>
      <c r="CH597" s="76"/>
      <c r="CI597" s="76"/>
      <c r="CJ597" s="77"/>
      <c r="CK597" s="76"/>
      <c r="CL597" s="77"/>
      <c r="CM597" s="76"/>
      <c r="CN597" s="76"/>
      <c r="CO597" s="76"/>
      <c r="CP597" s="76"/>
      <c r="CQ597" s="76"/>
      <c r="CR597" s="78" t="str">
        <f t="shared" si="159"/>
        <v/>
      </c>
      <c r="CS597" s="79" t="str">
        <f t="shared" si="160"/>
        <v/>
      </c>
      <c r="CT597" s="79" t="str">
        <f t="shared" si="161"/>
        <v/>
      </c>
      <c r="CU597" s="79" t="str">
        <f t="shared" si="162"/>
        <v/>
      </c>
      <c r="CV597" s="79" t="str">
        <f t="shared" si="163"/>
        <v/>
      </c>
      <c r="CW597" s="79" t="str">
        <f t="shared" si="164"/>
        <v/>
      </c>
      <c r="CX597" s="79" t="str">
        <f t="shared" si="165"/>
        <v/>
      </c>
      <c r="CY597" s="79" t="str">
        <f t="shared" si="166"/>
        <v/>
      </c>
      <c r="CZ597" s="79" t="str">
        <f t="shared" si="167"/>
        <v/>
      </c>
      <c r="DA597" s="79" t="str">
        <f t="shared" si="168"/>
        <v/>
      </c>
      <c r="DB597" s="79" t="str">
        <f t="shared" si="169"/>
        <v/>
      </c>
      <c r="DC597" s="79" t="str">
        <f t="shared" si="170"/>
        <v/>
      </c>
      <c r="DD597" s="79" t="str">
        <f t="shared" si="171"/>
        <v/>
      </c>
      <c r="DE597" s="79" t="str">
        <f t="shared" si="172"/>
        <v/>
      </c>
      <c r="DF597" s="79" t="str">
        <f t="shared" si="173"/>
        <v/>
      </c>
      <c r="DG597" s="79" t="str">
        <f t="shared" si="174"/>
        <v/>
      </c>
      <c r="DH597" s="76"/>
      <c r="DI597" s="78"/>
      <c r="DJ597" s="76"/>
      <c r="DK597" s="77"/>
      <c r="DL597" s="77"/>
      <c r="DM597" s="77"/>
      <c r="DN597" s="80"/>
      <c r="DO597" s="80"/>
      <c r="DP597" s="92" t="str">
        <f>IF(Table1[Start Date]="","",IF(Table1[Start Date]&gt;42185,"",IF(AND(Table1[Leaving Date]&gt;1,Table1[Leaving Date]&lt;42095),"",1)))</f>
        <v/>
      </c>
      <c r="DQ597" s="92" t="str">
        <f>IF(Table1[Start Date]="","",IF(Table1[Start Date]&gt;42277,"",IF(AND(Table1[Leaving Date]&gt;1,Table1[Leaving Date]&lt;42186),"",1)))</f>
        <v/>
      </c>
      <c r="DR597" s="92" t="str">
        <f>IF(Table1[Start Date]="","",IF(Table1[Start Date]&gt;42369,"",IF(AND(Table1[Leaving Date]&gt;1,Table1[Leaving Date]&lt;42278),"",1)))</f>
        <v/>
      </c>
      <c r="DS597" s="92" t="str">
        <f>IF(Table1[Start Date]="","",IF(Table1[Start Date]&gt;42460,"",IF(AND(Table1[Leaving Date]&gt;1,Table1[Leaving Date]&lt;42370),"",1)))</f>
        <v/>
      </c>
      <c r="DT597" s="92" t="str">
        <f>IF(Table1[Start Date]="","",IF(Table1[Start Date]&gt;42551,"",IF(AND(Table1[Leaving Date]&gt;1,Table1[Leaving Date]&lt;42461),"",1)))</f>
        <v/>
      </c>
      <c r="DU597" s="92" t="str">
        <f>IF(Table1[Start Date]="","",IF(Table1[Start Date]&gt;42643,"",IF(AND(Table1[Leaving Date]&gt;1,Table1[Leaving Date]&lt;42552),"",1)))</f>
        <v/>
      </c>
      <c r="DV597" s="92" t="str">
        <f>IF(Table1[Start Date]="","",IF(Table1[Start Date]&gt;42735,"",IF(AND(Table1[Leaving Date]&gt;1,Table1[Leaving Date]&lt;42644),"",1)))</f>
        <v/>
      </c>
      <c r="DW597" s="92" t="str">
        <f>IF(Table1[Start Date]="","",IF(Table1[Start Date]&gt;42825,"",IF(AND(Table1[Leaving Date]&gt;1,Table1[Leaving Date]&lt;42736),"",1)))</f>
        <v/>
      </c>
      <c r="DX597"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597" s="44" t="e">
        <f>VLOOKUP(Table1[Referral Source],Lists!$G$2:$H$20,2,FALSE)</f>
        <v>#N/A</v>
      </c>
      <c r="DZ597" s="93" t="e">
        <f>SUM(Table1[Data Referral Quarter]+Table1[Data Referral Source])</f>
        <v>#N/A</v>
      </c>
      <c r="EA597" s="44" t="b">
        <f>IF(Table1[Referral Decision]="Accepted",100,IF(Table1[Referral Decision]="Rejected by Provider",200,IF(Table1[Referral Decision]="Rejected by Applicant",300)))</f>
        <v>0</v>
      </c>
      <c r="EB597" s="44">
        <f>SUM(Table1[Data Referral Quarter]+Table1[Data Referral Decision])</f>
        <v>0</v>
      </c>
      <c r="EC597" s="44" t="b">
        <f>IF(Table1[Start Date]&gt;42735,8000,IF(Table1[Start Date]&gt;42643,7000,IF(Table1[Start Date]&gt;42551,6000,IF(Table1[Start Date]&gt;42460,5000,IF(Table1[Start Date]&gt;42369,4000,IF(Table1[Start Date]&gt;42277,3000,IF(Table1[Start Date]&gt;42185,2000,IF(Table1[Start Date]&gt;42094,1000))))))))</f>
        <v>0</v>
      </c>
      <c r="ED597" s="44" t="str">
        <f>IF(Table1[Start Date]="","",IF(Table1[Current Local Authority]="Swindon",1,"2"))</f>
        <v/>
      </c>
      <c r="EE597" s="44" t="e">
        <f>SUM(Table1[Data Start Date]+Table1[Data Local Authority])</f>
        <v>#VALUE!</v>
      </c>
      <c r="EF597" s="44">
        <f>IF(Table1[Registered with GP]="Yes",1,0)</f>
        <v>0</v>
      </c>
      <c r="EG597" s="44">
        <f>SUM(Table1[Data Start Date]+Table1[Data GP Start])</f>
        <v>0</v>
      </c>
      <c r="EH597" s="44" t="str">
        <f>IF(Table1[EET]="NEET",1,IF(Table1[EET]="Education",2,IF(Table1[EET]="Employment",2,IF(Table1[EET]="Training",2,IF(Table1[EET]="Retired",3,"")))))</f>
        <v/>
      </c>
      <c r="EI597" s="44" t="e">
        <f>Table1[Data Start Date]+Table1[Data EET Start]</f>
        <v>#VALUE!</v>
      </c>
      <c r="EJ597" s="44" t="b">
        <f>IF(Table1[Leaving Date]&gt;42735,8000,IF(Table1[Leaving Date]&gt;42643,7000,IF(Table1[Leaving Date]&gt;42551,6000,IF(Table1[Leaving Date]&gt;42460,5000,IF(Table1[Leaving Date]&gt;42369,4000,IF(Table1[Leaving Date]&gt;42277,3000,IF(Table1[Leaving Date]&gt;42185,2000,IF(Table1[Leaving Date]&gt;42094,1000))))))))</f>
        <v>0</v>
      </c>
      <c r="EK597" s="44" t="e">
        <f>VLOOKUP(Table1[Reason for Leaving],Lists!$T$2:$U$15,2,FALSE)</f>
        <v>#N/A</v>
      </c>
      <c r="EL597" s="44" t="e">
        <f>SUM(Table1[Data Leavers Date]+Table1[Data Move On])</f>
        <v>#N/A</v>
      </c>
      <c r="EM597" s="44" t="b">
        <f>IF(Table1[Registered with GP2]="Yes",1,IF(Table1[Registered with GP2]="No",0,IF(Table1[Registered with GP]="Yes",1,IF(Table1[Registered with GP]="No",0))))</f>
        <v>0</v>
      </c>
      <c r="EN597" s="44">
        <f>SUM(Table1[Data Leavers Date]+Table1[Data GP End])</f>
        <v>0</v>
      </c>
      <c r="EO597" s="44" t="str">
        <f>IF(Table1[EET2]="NEET",1,IF(Table1[EET2]="Employment",2,IF(Table1[EET2]="Education",2,IF(Table1[EET2]="Training",2,IF(Table1[EET2]="Retired",3,IF(Table1[EET]="NEET",1,IF(Table1[EET]="Employment",2,IF(Table1[EET]="Education",2,IF(Table1[EET]="Training",2,IF(Table1[EET]="Retired",3,""))))))))))</f>
        <v/>
      </c>
      <c r="EP597" s="44" t="e">
        <f>+Table1[[#This Row],[Data Leavers Date]]+Table1[[#This Row],[Data EET End]]</f>
        <v>#VALUE!</v>
      </c>
      <c r="EQ597" s="44">
        <f>IF(Table1[Exit Form Received]="Yes",1,0)</f>
        <v>0</v>
      </c>
      <c r="ER597" s="44">
        <f>+Table1[[#This Row],[Data Leavers Date]]+Table1[[#This Row],[Data Exit Forms]]</f>
        <v>0</v>
      </c>
      <c r="ES597" s="44" t="str">
        <f>IF(Table1[Data Leavers Date]=1000,SUM(Table1[Leaving Date]-Table1[Start Date]),"")</f>
        <v/>
      </c>
      <c r="ET597" s="44" t="str">
        <f>IF(Table1[Data Leavers Date]=2000,SUM(Table1[Leaving Date]-Table1[Start Date]),"")</f>
        <v/>
      </c>
      <c r="EU597" s="44" t="str">
        <f>IF(Table1[Data Leavers Date]=3000,SUM(Table1[Leaving Date]-Table1[Start Date]),"")</f>
        <v/>
      </c>
      <c r="EV597" s="44" t="str">
        <f>IF(Table1[Data Leavers Date]=4000,SUM(Table1[Leaving Date]-Table1[Start Date]),"")</f>
        <v/>
      </c>
      <c r="EW597" s="44" t="str">
        <f>IF(Table1[Data Leavers Date]=5000,SUM(Table1[Leaving Date]-Table1[Start Date]),"")</f>
        <v/>
      </c>
      <c r="EX597" s="44" t="str">
        <f>IF(Table1[Data Leavers Date]=6000,SUM(Table1[Leaving Date]-Table1[Start Date]),"")</f>
        <v/>
      </c>
      <c r="EY597" s="44" t="str">
        <f>IF(Table1[Data Leavers Date]=7000,SUM(Table1[Leaving Date]-Table1[Start Date]),"")</f>
        <v/>
      </c>
      <c r="EZ597" s="44" t="str">
        <f>IF(Table1[Data Leavers Date]=8000,SUM(Table1[Leaving Date]-Table1[Start Date]),"")</f>
        <v/>
      </c>
      <c r="FA597" s="44" t="str">
        <f>IF(Table1[Date of Initial Assessment]="","",IF(AND(Table1[Start Date]&gt;42094,Table1[Start Date]&lt;42461),Table1[Motivation and Taking Responsibility],""))</f>
        <v/>
      </c>
      <c r="FB597" s="44" t="str">
        <f>IF(Table1[Date of Initial Assessment]="","",IF(AND(Table1[Start Date]&gt;42094,Table1[Start Date]&lt;42461),Table1[Self-Care and Living Skills],""))</f>
        <v/>
      </c>
      <c r="FC597" s="44" t="str">
        <f>IF(Table1[Date of Initial Assessment]="","",IF(AND(Table1[Start Date]&gt;42094,Table1[Start Date]&lt;42461),Table1[Managing Money and Personal Administration],""))</f>
        <v/>
      </c>
      <c r="FD597" s="44" t="str">
        <f>IF(Table1[Date of Initial Assessment]="","",IF(AND(Table1[Start Date]&gt;42094,Table1[Start Date]&lt;42461),Table1[Social Networks and Relationships],""))</f>
        <v/>
      </c>
      <c r="FE597" s="44" t="str">
        <f>IF(Table1[Date of Initial Assessment]="","",IF(AND(Table1[Start Date]&gt;42094,Table1[Start Date]&lt;42461),Table1[Drug and Alcohol Misuse],""))</f>
        <v/>
      </c>
      <c r="FF597" s="44" t="str">
        <f>IF(Table1[Date of Initial Assessment]="","",IF(AND(Table1[Start Date]&gt;42094,Table1[Start Date]&lt;42461),Table1[Physical Health],""))</f>
        <v/>
      </c>
      <c r="FG597" s="44" t="str">
        <f>IF(Table1[Date of Initial Assessment]="","",IF(AND(Table1[Start Date]&gt;42094,Table1[Start Date]&lt;42461),Table1[Emotional and Mental Health],""))</f>
        <v/>
      </c>
      <c r="FH597" s="44" t="str">
        <f>IF(Table1[Date of Initial Assessment]="","",IF(AND(Table1[Start Date]&gt;42094,Table1[Start Date]&lt;42461),Table1[Meaningful Use of Time],""))</f>
        <v/>
      </c>
      <c r="FI597" s="44" t="str">
        <f>IF(Table1[Date of Initial Assessment]="","",IF(AND(Table1[Start Date]&gt;42094,Table1[Start Date]&lt;42461),Table1[Managing Tenancy and Accommodation],""))</f>
        <v/>
      </c>
      <c r="FJ597" s="44" t="str">
        <f>IF(Table1[Date of Initial Assessment]="","",IF(AND(Table1[Start Date]&gt;42094,Table1[Start Date]&lt;42461),Table1[Offending],""))</f>
        <v/>
      </c>
      <c r="FK597" s="44" t="str">
        <f>IF(Table1[Leaving Date]="","",IF(Table1[Date of Initial Assessment]="","",IF(AND(Table1[Leaving Date]&gt;42094,Table1[Leaving Date]&lt;42461),IF(Table1[Date of Last Assessment]="",Table1[Motivation and Taking Responsibility],Table1[Motivation and Taking Responsibility2]),"")))</f>
        <v/>
      </c>
      <c r="FL597" s="44" t="str">
        <f>IF(Table1[Leaving Date]="","",IF(Table1[Date of Initial Assessment]="","",IF(AND(Table1[Leaving Date]&gt;42094,Table1[Leaving Date]&lt;42461),IF(Table1[Date of Last Assessment]="",Table1[Self-Care and Living Skills],Table1[Self-Care and Living Skills2]),"")))</f>
        <v/>
      </c>
      <c r="FM597" s="44" t="str">
        <f>IF(Table1[Leaving Date]="","",IF(Table1[Date of Initial Assessment]="","",IF(AND(Table1[Leaving Date]&gt;42094,Table1[Leaving Date]&lt;42461),IF(Table1[Date of Last Assessment]="",Table1[Managing Money and Personal Administration],Table1[Managing Money and Personal Administration2]),"")))</f>
        <v/>
      </c>
      <c r="FN597" s="44" t="str">
        <f>IF(Table1[Leaving Date]="","",IF(Table1[Date of Initial Assessment]="","",IF(AND(Table1[Leaving Date]&gt;42094,Table1[Leaving Date]&lt;42461),IF(Table1[Date of Last Assessment]="",Table1[Social Networks and Relationships],Table1[Social Networks and Relationships2]),"")))</f>
        <v/>
      </c>
      <c r="FO597" s="44" t="str">
        <f>IF(Table1[Leaving Date]="","",IF(Table1[Date of Initial Assessment]="","",IF(AND(Table1[Leaving Date]&gt;42094,Table1[Leaving Date]&lt;42461),IF(Table1[Date of Last Assessment]="",Table1[Drug and Alcohol Misuse],Table1[Drug and Alcohol Misuse2]),"")))</f>
        <v/>
      </c>
      <c r="FP597" s="44" t="str">
        <f>IF(Table1[Leaving Date]="","",IF(Table1[Date of Initial Assessment]="","",IF(AND(Table1[Leaving Date]&gt;42094,Table1[Leaving Date]&lt;42461),IF(Table1[Date of Last Assessment]="",Table1[Physical Health],Table1[Physical Health2]),"")))</f>
        <v/>
      </c>
      <c r="FQ597" s="44" t="str">
        <f>IF(Table1[Leaving Date]="","",IF(Table1[Date of Initial Assessment]="","",IF(AND(Table1[Leaving Date]&gt;42094,Table1[Leaving Date]&lt;42461),IF(Table1[Date of Last Assessment]="",Table1[Emotional and Mental Health],Table1[Emotional and Mental Health2]),"")))</f>
        <v/>
      </c>
      <c r="FR597" s="44" t="str">
        <f>IF(Table1[Leaving Date]="","",IF(Table1[Date of Initial Assessment]="","",IF(AND(Table1[Leaving Date]&gt;42094,Table1[Leaving Date]&lt;42461),IF(Table1[Date of Last Assessment]="",Table1[Meaningful Use of Time],Table1[Meaningful Use of Time2]),"")))</f>
        <v/>
      </c>
      <c r="FS597" s="44" t="str">
        <f>IF(Table1[Leaving Date]="","",IF(Table1[Date of Initial Assessment]="","",IF(AND(Table1[Leaving Date]&gt;42094,Table1[Leaving Date]&lt;42461),IF(Table1[Date of Last Assessment]="",Table1[Managing Tenancy and Accommodation],Table1[Managing Tenancy and Accommodation2]),"")))</f>
        <v/>
      </c>
      <c r="FT597" s="44" t="str">
        <f>IF(Table1[Leaving Date]="","",IF(Table1[Date of Initial Assessment]="","",IF(AND(Table1[Leaving Date]&gt;42094,Table1[Leaving Date]&lt;42461),IF(Table1[Date of Last Assessment]="",Table1[Offending],Table1[Offending2]),"")))</f>
        <v/>
      </c>
      <c r="FU597" s="44" t="str">
        <f>IF(Table1[Date of Initial Assessment]="","",IF(AND(Table1[Start Date]&gt;42460,Table1[Start Date]&lt;42826),Table1[Motivation and Taking Responsibility],""))</f>
        <v/>
      </c>
      <c r="FV597" s="44" t="str">
        <f>IF(Table1[Date of Initial Assessment]="","",IF(AND(Table1[Start Date]&gt;42460,Table1[Start Date]&lt;42826),Table1[Self-Care and Living Skills],""))</f>
        <v/>
      </c>
      <c r="FW597" s="44" t="str">
        <f>IF(Table1[Date of Initial Assessment]="","",IF(AND(Table1[Start Date]&gt;42460,Table1[Start Date]&lt;42826),Table1[Managing Money and Personal Administration],""))</f>
        <v/>
      </c>
      <c r="FX597" s="44" t="str">
        <f>IF(Table1[Date of Initial Assessment]="","",IF(AND(Table1[Start Date]&gt;42460,Table1[Start Date]&lt;42826),Table1[Social Networks and Relationships],""))</f>
        <v/>
      </c>
      <c r="FY597" s="44" t="str">
        <f>IF(Table1[Date of Initial Assessment]="","",IF(AND(Table1[Start Date]&gt;42460,Table1[Start Date]&lt;42826),Table1[Drug and Alcohol Misuse],""))</f>
        <v/>
      </c>
      <c r="FZ597" s="44" t="str">
        <f>IF(Table1[Date of Initial Assessment]="","",IF(AND(Table1[Start Date]&gt;42460,Table1[Start Date]&lt;42826),Table1[Physical Health],""))</f>
        <v/>
      </c>
      <c r="GA597" s="44" t="str">
        <f>IF(Table1[Date of Initial Assessment]="","",IF(AND(Table1[Start Date]&gt;42460,Table1[Start Date]&lt;42826),Table1[Emotional and Mental Health],""))</f>
        <v/>
      </c>
      <c r="GB597" s="44" t="str">
        <f>IF(Table1[Date of Initial Assessment]="","",IF(AND(Table1[Start Date]&gt;42460,Table1[Start Date]&lt;42826),Table1[Meaningful Use of Time],""))</f>
        <v/>
      </c>
      <c r="GC597" s="44" t="str">
        <f>IF(Table1[Date of Initial Assessment]="","",IF(AND(Table1[Start Date]&gt;42460,Table1[Start Date]&lt;42826),Table1[Managing Tenancy and Accommodation],""))</f>
        <v/>
      </c>
      <c r="GD597" s="44" t="str">
        <f>IF(Table1[Date of Initial Assessment]="","",IF(AND(Table1[Start Date]&gt;42460,Table1[Start Date]&lt;42826),Table1[Offending],""))</f>
        <v/>
      </c>
      <c r="GE597" s="44" t="str">
        <f>IF(Table1[Leaving Date]="","",IF(AND(Table1[Leaving Date]&gt;42460,Table1[Leaving Date]&lt;42826),IF(Table1[Date of Last Assessment]="",Table1[Motivation and Taking Responsibility],Table1[Motivation and Taking Responsibility2]),""))</f>
        <v/>
      </c>
      <c r="GF597" s="44" t="str">
        <f>IF(Table1[Leaving Date]="","",IF(AND(Table1[Leaving Date]&gt;42460,Table1[Leaving Date]&lt;42826),IF(Table1[Date of Last Assessment]="",Table1[Self-Care and Living Skills],Table1[Self-Care and Living Skills2]),""))</f>
        <v/>
      </c>
      <c r="GG597" s="44" t="str">
        <f>IF(Table1[Leaving Date]="","",IF(AND(Table1[Leaving Date]&gt;42460,Table1[Leaving Date]&lt;42826),IF(Table1[Date of Last Assessment]="",Table1[Managing Money and Personal Administration],Table1[Managing Money and Personal Administration2]),""))</f>
        <v/>
      </c>
      <c r="GH597" s="44" t="str">
        <f>IF(Table1[Leaving Date]="","",IF(AND(Table1[Leaving Date]&gt;42460,Table1[Leaving Date]&lt;42826),IF(Table1[Date of Last Assessment]="",Table1[Social Networks and Relationships],Table1[Social Networks and Relationships2]),""))</f>
        <v/>
      </c>
      <c r="GI597" s="44" t="str">
        <f>IF(Table1[Leaving Date]="","",IF(AND(Table1[Leaving Date]&gt;42460,Table1[Leaving Date]&lt;42826),IF(Table1[Date of Last Assessment]="",Table1[Drug and Alcohol Misuse],Table1[Drug and Alcohol Misuse2]),""))</f>
        <v/>
      </c>
      <c r="GJ597" s="44" t="str">
        <f>IF(Table1[Leaving Date]="","",IF(AND(Table1[Leaving Date]&gt;42460,Table1[Leaving Date]&lt;42826),IF(Table1[Date of Last Assessment]="",Table1[Physical Health],Table1[Physical Health2]),""))</f>
        <v/>
      </c>
      <c r="GK597" s="44" t="str">
        <f>IF(Table1[Leaving Date]="","",IF(AND(Table1[Leaving Date]&gt;42460,Table1[Leaving Date]&lt;42826),IF(Table1[Date of Last Assessment]="",Table1[Emotional and Mental Health],Table1[Emotional and Mental Health2]),""))</f>
        <v/>
      </c>
      <c r="GL597" s="44" t="str">
        <f>IF(Table1[Leaving Date]="","",IF(AND(Table1[Leaving Date]&gt;42460,Table1[Leaving Date]&lt;42826),IF(Table1[Date of Last Assessment]="",Table1[Meaningful Use of Time],Table1[Meaningful Use of Time2]),""))</f>
        <v/>
      </c>
      <c r="GM597" s="44" t="str">
        <f>IF(Table1[Leaving Date]="","",IF(AND(Table1[Leaving Date]&gt;42460,Table1[Leaving Date]&lt;42826),IF(Table1[Date of Last Assessment]="",Table1[Managing Tenancy and Accommodation],Table1[Managing Tenancy and Accommodation2]),""))</f>
        <v/>
      </c>
      <c r="GN597" s="44" t="str">
        <f>IF(Table1[Leaving Date]="","",IF(AND(Table1[Leaving Date]&gt;42460,Table1[Leaving Date]&lt;42826),IF(Table1[Date of Last Assessment]="",Table1[Offending],Table1[Offending2]),""))</f>
        <v/>
      </c>
    </row>
    <row r="598" spans="2:196" ht="20.100000000000001" customHeight="1" x14ac:dyDescent="0.2">
      <c r="B598" s="86">
        <f>+'Service Data'!$C$5:$C$5</f>
        <v>0</v>
      </c>
      <c r="C598" s="86"/>
      <c r="D598" s="86"/>
      <c r="E598" s="86"/>
      <c r="F598" s="86"/>
      <c r="G598" s="86"/>
      <c r="H598" s="6"/>
      <c r="I598" s="99" t="str">
        <f ca="1">IF(Table1[[#This Row],[Date of Birth]]="","",SUM(TODAY()-Table1[[#This Row],[Date of Birth]])/365)</f>
        <v/>
      </c>
      <c r="L598" s="86"/>
      <c r="M598" s="77"/>
      <c r="N598" s="86"/>
      <c r="O598" s="86"/>
      <c r="P598" s="91"/>
      <c r="Q598" s="86"/>
      <c r="R598" s="77"/>
      <c r="S598" s="77"/>
      <c r="T598" s="68"/>
      <c r="U598" s="68"/>
      <c r="V598" s="67"/>
      <c r="W598" s="67"/>
      <c r="X598" s="67"/>
      <c r="Y598" s="67"/>
      <c r="Z598" s="67"/>
      <c r="AA598" s="67"/>
      <c r="AB598" s="67"/>
      <c r="AC598" s="67"/>
      <c r="AD598" s="67"/>
      <c r="AE598" s="67"/>
      <c r="AF598" s="67"/>
      <c r="AG598" s="67"/>
      <c r="AH598" s="67"/>
      <c r="AI598" s="67"/>
      <c r="AJ598" s="67"/>
      <c r="AK598" s="67"/>
      <c r="AL598" s="67"/>
      <c r="AM598" s="67"/>
      <c r="AN598" s="77"/>
      <c r="AO598" s="76"/>
      <c r="AP598" s="77"/>
      <c r="AQ598" s="76"/>
      <c r="AR598" s="76"/>
      <c r="AS598" s="76"/>
      <c r="AT598" s="76"/>
      <c r="AU598" s="76"/>
      <c r="AV598" s="77"/>
      <c r="AW598" s="76"/>
      <c r="AX598" s="77"/>
      <c r="AY598" s="76"/>
      <c r="AZ598" s="76"/>
      <c r="BA598" s="76"/>
      <c r="BB598" s="76"/>
      <c r="BC598" s="76"/>
      <c r="BD598" s="77"/>
      <c r="BE598" s="76"/>
      <c r="BF598" s="77"/>
      <c r="BG598" s="76"/>
      <c r="BH598" s="76"/>
      <c r="BI598" s="76"/>
      <c r="BJ598" s="76"/>
      <c r="BK598" s="76"/>
      <c r="BL598" s="77"/>
      <c r="BM598" s="76"/>
      <c r="BN598" s="77"/>
      <c r="BO598" s="76"/>
      <c r="BP598" s="76"/>
      <c r="BQ598" s="76"/>
      <c r="BR598" s="76"/>
      <c r="BS598" s="76"/>
      <c r="BT598" s="77"/>
      <c r="BU598" s="76"/>
      <c r="BV598" s="77"/>
      <c r="BW598" s="76"/>
      <c r="BX598" s="76"/>
      <c r="BY598" s="76"/>
      <c r="BZ598" s="76"/>
      <c r="CA598" s="76"/>
      <c r="CB598" s="77"/>
      <c r="CC598" s="76"/>
      <c r="CD598" s="77"/>
      <c r="CE598" s="76"/>
      <c r="CF598" s="76"/>
      <c r="CG598" s="76"/>
      <c r="CH598" s="76"/>
      <c r="CI598" s="76"/>
      <c r="CJ598" s="77"/>
      <c r="CK598" s="76"/>
      <c r="CL598" s="77"/>
      <c r="CM598" s="76"/>
      <c r="CN598" s="76"/>
      <c r="CO598" s="76"/>
      <c r="CP598" s="76"/>
      <c r="CQ598" s="76"/>
      <c r="CR598" s="78" t="str">
        <f t="shared" si="159"/>
        <v/>
      </c>
      <c r="CS598" s="79" t="str">
        <f t="shared" si="160"/>
        <v/>
      </c>
      <c r="CT598" s="79" t="str">
        <f t="shared" si="161"/>
        <v/>
      </c>
      <c r="CU598" s="79" t="str">
        <f t="shared" si="162"/>
        <v/>
      </c>
      <c r="CV598" s="79" t="str">
        <f t="shared" si="163"/>
        <v/>
      </c>
      <c r="CW598" s="79" t="str">
        <f t="shared" si="164"/>
        <v/>
      </c>
      <c r="CX598" s="79" t="str">
        <f t="shared" si="165"/>
        <v/>
      </c>
      <c r="CY598" s="79" t="str">
        <f t="shared" si="166"/>
        <v/>
      </c>
      <c r="CZ598" s="79" t="str">
        <f t="shared" si="167"/>
        <v/>
      </c>
      <c r="DA598" s="79" t="str">
        <f t="shared" si="168"/>
        <v/>
      </c>
      <c r="DB598" s="79" t="str">
        <f t="shared" si="169"/>
        <v/>
      </c>
      <c r="DC598" s="79" t="str">
        <f t="shared" si="170"/>
        <v/>
      </c>
      <c r="DD598" s="79" t="str">
        <f t="shared" si="171"/>
        <v/>
      </c>
      <c r="DE598" s="79" t="str">
        <f t="shared" si="172"/>
        <v/>
      </c>
      <c r="DF598" s="79" t="str">
        <f t="shared" si="173"/>
        <v/>
      </c>
      <c r="DG598" s="79" t="str">
        <f t="shared" si="174"/>
        <v/>
      </c>
      <c r="DH598" s="76"/>
      <c r="DI598" s="78"/>
      <c r="DJ598" s="76"/>
      <c r="DK598" s="77"/>
      <c r="DL598" s="77"/>
      <c r="DM598" s="77"/>
      <c r="DN598" s="80"/>
      <c r="DO598" s="80"/>
      <c r="DP598" s="92" t="str">
        <f>IF(Table1[Start Date]="","",IF(Table1[Start Date]&gt;42185,"",IF(AND(Table1[Leaving Date]&gt;1,Table1[Leaving Date]&lt;42095),"",1)))</f>
        <v/>
      </c>
      <c r="DQ598" s="92" t="str">
        <f>IF(Table1[Start Date]="","",IF(Table1[Start Date]&gt;42277,"",IF(AND(Table1[Leaving Date]&gt;1,Table1[Leaving Date]&lt;42186),"",1)))</f>
        <v/>
      </c>
      <c r="DR598" s="92" t="str">
        <f>IF(Table1[Start Date]="","",IF(Table1[Start Date]&gt;42369,"",IF(AND(Table1[Leaving Date]&gt;1,Table1[Leaving Date]&lt;42278),"",1)))</f>
        <v/>
      </c>
      <c r="DS598" s="92" t="str">
        <f>IF(Table1[Start Date]="","",IF(Table1[Start Date]&gt;42460,"",IF(AND(Table1[Leaving Date]&gt;1,Table1[Leaving Date]&lt;42370),"",1)))</f>
        <v/>
      </c>
      <c r="DT598" s="92" t="str">
        <f>IF(Table1[Start Date]="","",IF(Table1[Start Date]&gt;42551,"",IF(AND(Table1[Leaving Date]&gt;1,Table1[Leaving Date]&lt;42461),"",1)))</f>
        <v/>
      </c>
      <c r="DU598" s="92" t="str">
        <f>IF(Table1[Start Date]="","",IF(Table1[Start Date]&gt;42643,"",IF(AND(Table1[Leaving Date]&gt;1,Table1[Leaving Date]&lt;42552),"",1)))</f>
        <v/>
      </c>
      <c r="DV598" s="92" t="str">
        <f>IF(Table1[Start Date]="","",IF(Table1[Start Date]&gt;42735,"",IF(AND(Table1[Leaving Date]&gt;1,Table1[Leaving Date]&lt;42644),"",1)))</f>
        <v/>
      </c>
      <c r="DW598" s="92" t="str">
        <f>IF(Table1[Start Date]="","",IF(Table1[Start Date]&gt;42825,"",IF(AND(Table1[Leaving Date]&gt;1,Table1[Leaving Date]&lt;42736),"",1)))</f>
        <v/>
      </c>
      <c r="DX598"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598" s="44" t="e">
        <f>VLOOKUP(Table1[Referral Source],Lists!$G$2:$H$20,2,FALSE)</f>
        <v>#N/A</v>
      </c>
      <c r="DZ598" s="93" t="e">
        <f>SUM(Table1[Data Referral Quarter]+Table1[Data Referral Source])</f>
        <v>#N/A</v>
      </c>
      <c r="EA598" s="44" t="b">
        <f>IF(Table1[Referral Decision]="Accepted",100,IF(Table1[Referral Decision]="Rejected by Provider",200,IF(Table1[Referral Decision]="Rejected by Applicant",300)))</f>
        <v>0</v>
      </c>
      <c r="EB598" s="44">
        <f>SUM(Table1[Data Referral Quarter]+Table1[Data Referral Decision])</f>
        <v>0</v>
      </c>
      <c r="EC598" s="44" t="b">
        <f>IF(Table1[Start Date]&gt;42735,8000,IF(Table1[Start Date]&gt;42643,7000,IF(Table1[Start Date]&gt;42551,6000,IF(Table1[Start Date]&gt;42460,5000,IF(Table1[Start Date]&gt;42369,4000,IF(Table1[Start Date]&gt;42277,3000,IF(Table1[Start Date]&gt;42185,2000,IF(Table1[Start Date]&gt;42094,1000))))))))</f>
        <v>0</v>
      </c>
      <c r="ED598" s="44" t="str">
        <f>IF(Table1[Start Date]="","",IF(Table1[Current Local Authority]="Swindon",1,"2"))</f>
        <v/>
      </c>
      <c r="EE598" s="44" t="e">
        <f>SUM(Table1[Data Start Date]+Table1[Data Local Authority])</f>
        <v>#VALUE!</v>
      </c>
      <c r="EF598" s="44">
        <f>IF(Table1[Registered with GP]="Yes",1,0)</f>
        <v>0</v>
      </c>
      <c r="EG598" s="44">
        <f>SUM(Table1[Data Start Date]+Table1[Data GP Start])</f>
        <v>0</v>
      </c>
      <c r="EH598" s="44" t="str">
        <f>IF(Table1[EET]="NEET",1,IF(Table1[EET]="Education",2,IF(Table1[EET]="Employment",2,IF(Table1[EET]="Training",2,IF(Table1[EET]="Retired",3,"")))))</f>
        <v/>
      </c>
      <c r="EI598" s="44" t="e">
        <f>Table1[Data Start Date]+Table1[Data EET Start]</f>
        <v>#VALUE!</v>
      </c>
      <c r="EJ598" s="44" t="b">
        <f>IF(Table1[Leaving Date]&gt;42735,8000,IF(Table1[Leaving Date]&gt;42643,7000,IF(Table1[Leaving Date]&gt;42551,6000,IF(Table1[Leaving Date]&gt;42460,5000,IF(Table1[Leaving Date]&gt;42369,4000,IF(Table1[Leaving Date]&gt;42277,3000,IF(Table1[Leaving Date]&gt;42185,2000,IF(Table1[Leaving Date]&gt;42094,1000))))))))</f>
        <v>0</v>
      </c>
      <c r="EK598" s="44" t="e">
        <f>VLOOKUP(Table1[Reason for Leaving],Lists!$T$2:$U$15,2,FALSE)</f>
        <v>#N/A</v>
      </c>
      <c r="EL598" s="44" t="e">
        <f>SUM(Table1[Data Leavers Date]+Table1[Data Move On])</f>
        <v>#N/A</v>
      </c>
      <c r="EM598" s="44" t="b">
        <f>IF(Table1[Registered with GP2]="Yes",1,IF(Table1[Registered with GP2]="No",0,IF(Table1[Registered with GP]="Yes",1,IF(Table1[Registered with GP]="No",0))))</f>
        <v>0</v>
      </c>
      <c r="EN598" s="44">
        <f>SUM(Table1[Data Leavers Date]+Table1[Data GP End])</f>
        <v>0</v>
      </c>
      <c r="EO598" s="44" t="str">
        <f>IF(Table1[EET2]="NEET",1,IF(Table1[EET2]="Employment",2,IF(Table1[EET2]="Education",2,IF(Table1[EET2]="Training",2,IF(Table1[EET2]="Retired",3,IF(Table1[EET]="NEET",1,IF(Table1[EET]="Employment",2,IF(Table1[EET]="Education",2,IF(Table1[EET]="Training",2,IF(Table1[EET]="Retired",3,""))))))))))</f>
        <v/>
      </c>
      <c r="EP598" s="44" t="e">
        <f>+Table1[[#This Row],[Data Leavers Date]]+Table1[[#This Row],[Data EET End]]</f>
        <v>#VALUE!</v>
      </c>
      <c r="EQ598" s="44">
        <f>IF(Table1[Exit Form Received]="Yes",1,0)</f>
        <v>0</v>
      </c>
      <c r="ER598" s="44">
        <f>+Table1[[#This Row],[Data Leavers Date]]+Table1[[#This Row],[Data Exit Forms]]</f>
        <v>0</v>
      </c>
      <c r="ES598" s="44" t="str">
        <f>IF(Table1[Data Leavers Date]=1000,SUM(Table1[Leaving Date]-Table1[Start Date]),"")</f>
        <v/>
      </c>
      <c r="ET598" s="44" t="str">
        <f>IF(Table1[Data Leavers Date]=2000,SUM(Table1[Leaving Date]-Table1[Start Date]),"")</f>
        <v/>
      </c>
      <c r="EU598" s="44" t="str">
        <f>IF(Table1[Data Leavers Date]=3000,SUM(Table1[Leaving Date]-Table1[Start Date]),"")</f>
        <v/>
      </c>
      <c r="EV598" s="44" t="str">
        <f>IF(Table1[Data Leavers Date]=4000,SUM(Table1[Leaving Date]-Table1[Start Date]),"")</f>
        <v/>
      </c>
      <c r="EW598" s="44" t="str">
        <f>IF(Table1[Data Leavers Date]=5000,SUM(Table1[Leaving Date]-Table1[Start Date]),"")</f>
        <v/>
      </c>
      <c r="EX598" s="44" t="str">
        <f>IF(Table1[Data Leavers Date]=6000,SUM(Table1[Leaving Date]-Table1[Start Date]),"")</f>
        <v/>
      </c>
      <c r="EY598" s="44" t="str">
        <f>IF(Table1[Data Leavers Date]=7000,SUM(Table1[Leaving Date]-Table1[Start Date]),"")</f>
        <v/>
      </c>
      <c r="EZ598" s="44" t="str">
        <f>IF(Table1[Data Leavers Date]=8000,SUM(Table1[Leaving Date]-Table1[Start Date]),"")</f>
        <v/>
      </c>
      <c r="FA598" s="44" t="str">
        <f>IF(Table1[Date of Initial Assessment]="","",IF(AND(Table1[Start Date]&gt;42094,Table1[Start Date]&lt;42461),Table1[Motivation and Taking Responsibility],""))</f>
        <v/>
      </c>
      <c r="FB598" s="44" t="str">
        <f>IF(Table1[Date of Initial Assessment]="","",IF(AND(Table1[Start Date]&gt;42094,Table1[Start Date]&lt;42461),Table1[Self-Care and Living Skills],""))</f>
        <v/>
      </c>
      <c r="FC598" s="44" t="str">
        <f>IF(Table1[Date of Initial Assessment]="","",IF(AND(Table1[Start Date]&gt;42094,Table1[Start Date]&lt;42461),Table1[Managing Money and Personal Administration],""))</f>
        <v/>
      </c>
      <c r="FD598" s="44" t="str">
        <f>IF(Table1[Date of Initial Assessment]="","",IF(AND(Table1[Start Date]&gt;42094,Table1[Start Date]&lt;42461),Table1[Social Networks and Relationships],""))</f>
        <v/>
      </c>
      <c r="FE598" s="44" t="str">
        <f>IF(Table1[Date of Initial Assessment]="","",IF(AND(Table1[Start Date]&gt;42094,Table1[Start Date]&lt;42461),Table1[Drug and Alcohol Misuse],""))</f>
        <v/>
      </c>
      <c r="FF598" s="44" t="str">
        <f>IF(Table1[Date of Initial Assessment]="","",IF(AND(Table1[Start Date]&gt;42094,Table1[Start Date]&lt;42461),Table1[Physical Health],""))</f>
        <v/>
      </c>
      <c r="FG598" s="44" t="str">
        <f>IF(Table1[Date of Initial Assessment]="","",IF(AND(Table1[Start Date]&gt;42094,Table1[Start Date]&lt;42461),Table1[Emotional and Mental Health],""))</f>
        <v/>
      </c>
      <c r="FH598" s="44" t="str">
        <f>IF(Table1[Date of Initial Assessment]="","",IF(AND(Table1[Start Date]&gt;42094,Table1[Start Date]&lt;42461),Table1[Meaningful Use of Time],""))</f>
        <v/>
      </c>
      <c r="FI598" s="44" t="str">
        <f>IF(Table1[Date of Initial Assessment]="","",IF(AND(Table1[Start Date]&gt;42094,Table1[Start Date]&lt;42461),Table1[Managing Tenancy and Accommodation],""))</f>
        <v/>
      </c>
      <c r="FJ598" s="44" t="str">
        <f>IF(Table1[Date of Initial Assessment]="","",IF(AND(Table1[Start Date]&gt;42094,Table1[Start Date]&lt;42461),Table1[Offending],""))</f>
        <v/>
      </c>
      <c r="FK598" s="44" t="str">
        <f>IF(Table1[Leaving Date]="","",IF(Table1[Date of Initial Assessment]="","",IF(AND(Table1[Leaving Date]&gt;42094,Table1[Leaving Date]&lt;42461),IF(Table1[Date of Last Assessment]="",Table1[Motivation and Taking Responsibility],Table1[Motivation and Taking Responsibility2]),"")))</f>
        <v/>
      </c>
      <c r="FL598" s="44" t="str">
        <f>IF(Table1[Leaving Date]="","",IF(Table1[Date of Initial Assessment]="","",IF(AND(Table1[Leaving Date]&gt;42094,Table1[Leaving Date]&lt;42461),IF(Table1[Date of Last Assessment]="",Table1[Self-Care and Living Skills],Table1[Self-Care and Living Skills2]),"")))</f>
        <v/>
      </c>
      <c r="FM598" s="44" t="str">
        <f>IF(Table1[Leaving Date]="","",IF(Table1[Date of Initial Assessment]="","",IF(AND(Table1[Leaving Date]&gt;42094,Table1[Leaving Date]&lt;42461),IF(Table1[Date of Last Assessment]="",Table1[Managing Money and Personal Administration],Table1[Managing Money and Personal Administration2]),"")))</f>
        <v/>
      </c>
      <c r="FN598" s="44" t="str">
        <f>IF(Table1[Leaving Date]="","",IF(Table1[Date of Initial Assessment]="","",IF(AND(Table1[Leaving Date]&gt;42094,Table1[Leaving Date]&lt;42461),IF(Table1[Date of Last Assessment]="",Table1[Social Networks and Relationships],Table1[Social Networks and Relationships2]),"")))</f>
        <v/>
      </c>
      <c r="FO598" s="44" t="str">
        <f>IF(Table1[Leaving Date]="","",IF(Table1[Date of Initial Assessment]="","",IF(AND(Table1[Leaving Date]&gt;42094,Table1[Leaving Date]&lt;42461),IF(Table1[Date of Last Assessment]="",Table1[Drug and Alcohol Misuse],Table1[Drug and Alcohol Misuse2]),"")))</f>
        <v/>
      </c>
      <c r="FP598" s="44" t="str">
        <f>IF(Table1[Leaving Date]="","",IF(Table1[Date of Initial Assessment]="","",IF(AND(Table1[Leaving Date]&gt;42094,Table1[Leaving Date]&lt;42461),IF(Table1[Date of Last Assessment]="",Table1[Physical Health],Table1[Physical Health2]),"")))</f>
        <v/>
      </c>
      <c r="FQ598" s="44" t="str">
        <f>IF(Table1[Leaving Date]="","",IF(Table1[Date of Initial Assessment]="","",IF(AND(Table1[Leaving Date]&gt;42094,Table1[Leaving Date]&lt;42461),IF(Table1[Date of Last Assessment]="",Table1[Emotional and Mental Health],Table1[Emotional and Mental Health2]),"")))</f>
        <v/>
      </c>
      <c r="FR598" s="44" t="str">
        <f>IF(Table1[Leaving Date]="","",IF(Table1[Date of Initial Assessment]="","",IF(AND(Table1[Leaving Date]&gt;42094,Table1[Leaving Date]&lt;42461),IF(Table1[Date of Last Assessment]="",Table1[Meaningful Use of Time],Table1[Meaningful Use of Time2]),"")))</f>
        <v/>
      </c>
      <c r="FS598" s="44" t="str">
        <f>IF(Table1[Leaving Date]="","",IF(Table1[Date of Initial Assessment]="","",IF(AND(Table1[Leaving Date]&gt;42094,Table1[Leaving Date]&lt;42461),IF(Table1[Date of Last Assessment]="",Table1[Managing Tenancy and Accommodation],Table1[Managing Tenancy and Accommodation2]),"")))</f>
        <v/>
      </c>
      <c r="FT598" s="44" t="str">
        <f>IF(Table1[Leaving Date]="","",IF(Table1[Date of Initial Assessment]="","",IF(AND(Table1[Leaving Date]&gt;42094,Table1[Leaving Date]&lt;42461),IF(Table1[Date of Last Assessment]="",Table1[Offending],Table1[Offending2]),"")))</f>
        <v/>
      </c>
      <c r="FU598" s="44" t="str">
        <f>IF(Table1[Date of Initial Assessment]="","",IF(AND(Table1[Start Date]&gt;42460,Table1[Start Date]&lt;42826),Table1[Motivation and Taking Responsibility],""))</f>
        <v/>
      </c>
      <c r="FV598" s="44" t="str">
        <f>IF(Table1[Date of Initial Assessment]="","",IF(AND(Table1[Start Date]&gt;42460,Table1[Start Date]&lt;42826),Table1[Self-Care and Living Skills],""))</f>
        <v/>
      </c>
      <c r="FW598" s="44" t="str">
        <f>IF(Table1[Date of Initial Assessment]="","",IF(AND(Table1[Start Date]&gt;42460,Table1[Start Date]&lt;42826),Table1[Managing Money and Personal Administration],""))</f>
        <v/>
      </c>
      <c r="FX598" s="44" t="str">
        <f>IF(Table1[Date of Initial Assessment]="","",IF(AND(Table1[Start Date]&gt;42460,Table1[Start Date]&lt;42826),Table1[Social Networks and Relationships],""))</f>
        <v/>
      </c>
      <c r="FY598" s="44" t="str">
        <f>IF(Table1[Date of Initial Assessment]="","",IF(AND(Table1[Start Date]&gt;42460,Table1[Start Date]&lt;42826),Table1[Drug and Alcohol Misuse],""))</f>
        <v/>
      </c>
      <c r="FZ598" s="44" t="str">
        <f>IF(Table1[Date of Initial Assessment]="","",IF(AND(Table1[Start Date]&gt;42460,Table1[Start Date]&lt;42826),Table1[Physical Health],""))</f>
        <v/>
      </c>
      <c r="GA598" s="44" t="str">
        <f>IF(Table1[Date of Initial Assessment]="","",IF(AND(Table1[Start Date]&gt;42460,Table1[Start Date]&lt;42826),Table1[Emotional and Mental Health],""))</f>
        <v/>
      </c>
      <c r="GB598" s="44" t="str">
        <f>IF(Table1[Date of Initial Assessment]="","",IF(AND(Table1[Start Date]&gt;42460,Table1[Start Date]&lt;42826),Table1[Meaningful Use of Time],""))</f>
        <v/>
      </c>
      <c r="GC598" s="44" t="str">
        <f>IF(Table1[Date of Initial Assessment]="","",IF(AND(Table1[Start Date]&gt;42460,Table1[Start Date]&lt;42826),Table1[Managing Tenancy and Accommodation],""))</f>
        <v/>
      </c>
      <c r="GD598" s="44" t="str">
        <f>IF(Table1[Date of Initial Assessment]="","",IF(AND(Table1[Start Date]&gt;42460,Table1[Start Date]&lt;42826),Table1[Offending],""))</f>
        <v/>
      </c>
      <c r="GE598" s="44" t="str">
        <f>IF(Table1[Leaving Date]="","",IF(AND(Table1[Leaving Date]&gt;42460,Table1[Leaving Date]&lt;42826),IF(Table1[Date of Last Assessment]="",Table1[Motivation and Taking Responsibility],Table1[Motivation and Taking Responsibility2]),""))</f>
        <v/>
      </c>
      <c r="GF598" s="44" t="str">
        <f>IF(Table1[Leaving Date]="","",IF(AND(Table1[Leaving Date]&gt;42460,Table1[Leaving Date]&lt;42826),IF(Table1[Date of Last Assessment]="",Table1[Self-Care and Living Skills],Table1[Self-Care and Living Skills2]),""))</f>
        <v/>
      </c>
      <c r="GG598" s="44" t="str">
        <f>IF(Table1[Leaving Date]="","",IF(AND(Table1[Leaving Date]&gt;42460,Table1[Leaving Date]&lt;42826),IF(Table1[Date of Last Assessment]="",Table1[Managing Money and Personal Administration],Table1[Managing Money and Personal Administration2]),""))</f>
        <v/>
      </c>
      <c r="GH598" s="44" t="str">
        <f>IF(Table1[Leaving Date]="","",IF(AND(Table1[Leaving Date]&gt;42460,Table1[Leaving Date]&lt;42826),IF(Table1[Date of Last Assessment]="",Table1[Social Networks and Relationships],Table1[Social Networks and Relationships2]),""))</f>
        <v/>
      </c>
      <c r="GI598" s="44" t="str">
        <f>IF(Table1[Leaving Date]="","",IF(AND(Table1[Leaving Date]&gt;42460,Table1[Leaving Date]&lt;42826),IF(Table1[Date of Last Assessment]="",Table1[Drug and Alcohol Misuse],Table1[Drug and Alcohol Misuse2]),""))</f>
        <v/>
      </c>
      <c r="GJ598" s="44" t="str">
        <f>IF(Table1[Leaving Date]="","",IF(AND(Table1[Leaving Date]&gt;42460,Table1[Leaving Date]&lt;42826),IF(Table1[Date of Last Assessment]="",Table1[Physical Health],Table1[Physical Health2]),""))</f>
        <v/>
      </c>
      <c r="GK598" s="44" t="str">
        <f>IF(Table1[Leaving Date]="","",IF(AND(Table1[Leaving Date]&gt;42460,Table1[Leaving Date]&lt;42826),IF(Table1[Date of Last Assessment]="",Table1[Emotional and Mental Health],Table1[Emotional and Mental Health2]),""))</f>
        <v/>
      </c>
      <c r="GL598" s="44" t="str">
        <f>IF(Table1[Leaving Date]="","",IF(AND(Table1[Leaving Date]&gt;42460,Table1[Leaving Date]&lt;42826),IF(Table1[Date of Last Assessment]="",Table1[Meaningful Use of Time],Table1[Meaningful Use of Time2]),""))</f>
        <v/>
      </c>
      <c r="GM598" s="44" t="str">
        <f>IF(Table1[Leaving Date]="","",IF(AND(Table1[Leaving Date]&gt;42460,Table1[Leaving Date]&lt;42826),IF(Table1[Date of Last Assessment]="",Table1[Managing Tenancy and Accommodation],Table1[Managing Tenancy and Accommodation2]),""))</f>
        <v/>
      </c>
      <c r="GN598" s="44" t="str">
        <f>IF(Table1[Leaving Date]="","",IF(AND(Table1[Leaving Date]&gt;42460,Table1[Leaving Date]&lt;42826),IF(Table1[Date of Last Assessment]="",Table1[Offending],Table1[Offending2]),""))</f>
        <v/>
      </c>
    </row>
    <row r="599" spans="2:196" ht="20.100000000000001" customHeight="1" x14ac:dyDescent="0.2">
      <c r="B599" s="86">
        <f>+'Service Data'!$C$5:$C$5</f>
        <v>0</v>
      </c>
      <c r="C599" s="86"/>
      <c r="D599" s="86"/>
      <c r="E599" s="86"/>
      <c r="F599" s="86"/>
      <c r="G599" s="86"/>
      <c r="H599" s="6"/>
      <c r="I599" s="99" t="str">
        <f ca="1">IF(Table1[[#This Row],[Date of Birth]]="","",SUM(TODAY()-Table1[[#This Row],[Date of Birth]])/365)</f>
        <v/>
      </c>
      <c r="L599" s="86"/>
      <c r="M599" s="77"/>
      <c r="N599" s="86"/>
      <c r="O599" s="86"/>
      <c r="P599" s="91"/>
      <c r="Q599" s="86"/>
      <c r="R599" s="77"/>
      <c r="S599" s="77"/>
      <c r="T599" s="68"/>
      <c r="U599" s="68"/>
      <c r="V599" s="67"/>
      <c r="W599" s="67"/>
      <c r="X599" s="67"/>
      <c r="Y599" s="67"/>
      <c r="Z599" s="67"/>
      <c r="AA599" s="67"/>
      <c r="AB599" s="67"/>
      <c r="AC599" s="67"/>
      <c r="AD599" s="67"/>
      <c r="AE599" s="67"/>
      <c r="AF599" s="67"/>
      <c r="AG599" s="67"/>
      <c r="AH599" s="67"/>
      <c r="AI599" s="67"/>
      <c r="AJ599" s="67"/>
      <c r="AK599" s="67"/>
      <c r="AL599" s="67"/>
      <c r="AM599" s="67"/>
      <c r="AN599" s="77"/>
      <c r="AO599" s="76"/>
      <c r="AP599" s="77"/>
      <c r="AQ599" s="76"/>
      <c r="AR599" s="76"/>
      <c r="AS599" s="76"/>
      <c r="AT599" s="76"/>
      <c r="AU599" s="76"/>
      <c r="AV599" s="77"/>
      <c r="AW599" s="76"/>
      <c r="AX599" s="77"/>
      <c r="AY599" s="76"/>
      <c r="AZ599" s="76"/>
      <c r="BA599" s="76"/>
      <c r="BB599" s="76"/>
      <c r="BC599" s="76"/>
      <c r="BD599" s="77"/>
      <c r="BE599" s="76"/>
      <c r="BF599" s="77"/>
      <c r="BG599" s="76"/>
      <c r="BH599" s="76"/>
      <c r="BI599" s="76"/>
      <c r="BJ599" s="76"/>
      <c r="BK599" s="76"/>
      <c r="BL599" s="77"/>
      <c r="BM599" s="76"/>
      <c r="BN599" s="77"/>
      <c r="BO599" s="76"/>
      <c r="BP599" s="76"/>
      <c r="BQ599" s="76"/>
      <c r="BR599" s="76"/>
      <c r="BS599" s="76"/>
      <c r="BT599" s="77"/>
      <c r="BU599" s="76"/>
      <c r="BV599" s="77"/>
      <c r="BW599" s="76"/>
      <c r="BX599" s="76"/>
      <c r="BY599" s="76"/>
      <c r="BZ599" s="76"/>
      <c r="CA599" s="76"/>
      <c r="CB599" s="77"/>
      <c r="CC599" s="76"/>
      <c r="CD599" s="77"/>
      <c r="CE599" s="76"/>
      <c r="CF599" s="76"/>
      <c r="CG599" s="76"/>
      <c r="CH599" s="76"/>
      <c r="CI599" s="76"/>
      <c r="CJ599" s="77"/>
      <c r="CK599" s="76"/>
      <c r="CL599" s="77"/>
      <c r="CM599" s="76"/>
      <c r="CN599" s="76"/>
      <c r="CO599" s="76"/>
      <c r="CP599" s="76"/>
      <c r="CQ599" s="76"/>
      <c r="CR599" s="78" t="str">
        <f t="shared" si="159"/>
        <v/>
      </c>
      <c r="CS599" s="79" t="str">
        <f t="shared" si="160"/>
        <v/>
      </c>
      <c r="CT599" s="79" t="str">
        <f t="shared" si="161"/>
        <v/>
      </c>
      <c r="CU599" s="79" t="str">
        <f t="shared" si="162"/>
        <v/>
      </c>
      <c r="CV599" s="79" t="str">
        <f t="shared" si="163"/>
        <v/>
      </c>
      <c r="CW599" s="79" t="str">
        <f t="shared" si="164"/>
        <v/>
      </c>
      <c r="CX599" s="79" t="str">
        <f t="shared" si="165"/>
        <v/>
      </c>
      <c r="CY599" s="79" t="str">
        <f t="shared" si="166"/>
        <v/>
      </c>
      <c r="CZ599" s="79" t="str">
        <f t="shared" si="167"/>
        <v/>
      </c>
      <c r="DA599" s="79" t="str">
        <f t="shared" si="168"/>
        <v/>
      </c>
      <c r="DB599" s="79" t="str">
        <f t="shared" si="169"/>
        <v/>
      </c>
      <c r="DC599" s="79" t="str">
        <f t="shared" si="170"/>
        <v/>
      </c>
      <c r="DD599" s="79" t="str">
        <f t="shared" si="171"/>
        <v/>
      </c>
      <c r="DE599" s="79" t="str">
        <f t="shared" si="172"/>
        <v/>
      </c>
      <c r="DF599" s="79" t="str">
        <f t="shared" si="173"/>
        <v/>
      </c>
      <c r="DG599" s="79" t="str">
        <f t="shared" si="174"/>
        <v/>
      </c>
      <c r="DH599" s="76"/>
      <c r="DI599" s="78"/>
      <c r="DJ599" s="76"/>
      <c r="DK599" s="77"/>
      <c r="DL599" s="77"/>
      <c r="DM599" s="77"/>
      <c r="DN599" s="80"/>
      <c r="DO599" s="80"/>
      <c r="DP599" s="92" t="str">
        <f>IF(Table1[Start Date]="","",IF(Table1[Start Date]&gt;42185,"",IF(AND(Table1[Leaving Date]&gt;1,Table1[Leaving Date]&lt;42095),"",1)))</f>
        <v/>
      </c>
      <c r="DQ599" s="92" t="str">
        <f>IF(Table1[Start Date]="","",IF(Table1[Start Date]&gt;42277,"",IF(AND(Table1[Leaving Date]&gt;1,Table1[Leaving Date]&lt;42186),"",1)))</f>
        <v/>
      </c>
      <c r="DR599" s="92" t="str">
        <f>IF(Table1[Start Date]="","",IF(Table1[Start Date]&gt;42369,"",IF(AND(Table1[Leaving Date]&gt;1,Table1[Leaving Date]&lt;42278),"",1)))</f>
        <v/>
      </c>
      <c r="DS599" s="92" t="str">
        <f>IF(Table1[Start Date]="","",IF(Table1[Start Date]&gt;42460,"",IF(AND(Table1[Leaving Date]&gt;1,Table1[Leaving Date]&lt;42370),"",1)))</f>
        <v/>
      </c>
      <c r="DT599" s="92" t="str">
        <f>IF(Table1[Start Date]="","",IF(Table1[Start Date]&gt;42551,"",IF(AND(Table1[Leaving Date]&gt;1,Table1[Leaving Date]&lt;42461),"",1)))</f>
        <v/>
      </c>
      <c r="DU599" s="92" t="str">
        <f>IF(Table1[Start Date]="","",IF(Table1[Start Date]&gt;42643,"",IF(AND(Table1[Leaving Date]&gt;1,Table1[Leaving Date]&lt;42552),"",1)))</f>
        <v/>
      </c>
      <c r="DV599" s="92" t="str">
        <f>IF(Table1[Start Date]="","",IF(Table1[Start Date]&gt;42735,"",IF(AND(Table1[Leaving Date]&gt;1,Table1[Leaving Date]&lt;42644),"",1)))</f>
        <v/>
      </c>
      <c r="DW599" s="92" t="str">
        <f>IF(Table1[Start Date]="","",IF(Table1[Start Date]&gt;42825,"",IF(AND(Table1[Leaving Date]&gt;1,Table1[Leaving Date]&lt;42736),"",1)))</f>
        <v/>
      </c>
      <c r="DX599"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599" s="44" t="e">
        <f>VLOOKUP(Table1[Referral Source],Lists!$G$2:$H$20,2,FALSE)</f>
        <v>#N/A</v>
      </c>
      <c r="DZ599" s="93" t="e">
        <f>SUM(Table1[Data Referral Quarter]+Table1[Data Referral Source])</f>
        <v>#N/A</v>
      </c>
      <c r="EA599" s="44" t="b">
        <f>IF(Table1[Referral Decision]="Accepted",100,IF(Table1[Referral Decision]="Rejected by Provider",200,IF(Table1[Referral Decision]="Rejected by Applicant",300)))</f>
        <v>0</v>
      </c>
      <c r="EB599" s="44">
        <f>SUM(Table1[Data Referral Quarter]+Table1[Data Referral Decision])</f>
        <v>0</v>
      </c>
      <c r="EC599" s="44" t="b">
        <f>IF(Table1[Start Date]&gt;42735,8000,IF(Table1[Start Date]&gt;42643,7000,IF(Table1[Start Date]&gt;42551,6000,IF(Table1[Start Date]&gt;42460,5000,IF(Table1[Start Date]&gt;42369,4000,IF(Table1[Start Date]&gt;42277,3000,IF(Table1[Start Date]&gt;42185,2000,IF(Table1[Start Date]&gt;42094,1000))))))))</f>
        <v>0</v>
      </c>
      <c r="ED599" s="44" t="str">
        <f>IF(Table1[Start Date]="","",IF(Table1[Current Local Authority]="Swindon",1,"2"))</f>
        <v/>
      </c>
      <c r="EE599" s="44" t="e">
        <f>SUM(Table1[Data Start Date]+Table1[Data Local Authority])</f>
        <v>#VALUE!</v>
      </c>
      <c r="EF599" s="44">
        <f>IF(Table1[Registered with GP]="Yes",1,0)</f>
        <v>0</v>
      </c>
      <c r="EG599" s="44">
        <f>SUM(Table1[Data Start Date]+Table1[Data GP Start])</f>
        <v>0</v>
      </c>
      <c r="EH599" s="44" t="str">
        <f>IF(Table1[EET]="NEET",1,IF(Table1[EET]="Education",2,IF(Table1[EET]="Employment",2,IF(Table1[EET]="Training",2,IF(Table1[EET]="Retired",3,"")))))</f>
        <v/>
      </c>
      <c r="EI599" s="44" t="e">
        <f>Table1[Data Start Date]+Table1[Data EET Start]</f>
        <v>#VALUE!</v>
      </c>
      <c r="EJ599" s="44" t="b">
        <f>IF(Table1[Leaving Date]&gt;42735,8000,IF(Table1[Leaving Date]&gt;42643,7000,IF(Table1[Leaving Date]&gt;42551,6000,IF(Table1[Leaving Date]&gt;42460,5000,IF(Table1[Leaving Date]&gt;42369,4000,IF(Table1[Leaving Date]&gt;42277,3000,IF(Table1[Leaving Date]&gt;42185,2000,IF(Table1[Leaving Date]&gt;42094,1000))))))))</f>
        <v>0</v>
      </c>
      <c r="EK599" s="44" t="e">
        <f>VLOOKUP(Table1[Reason for Leaving],Lists!$T$2:$U$15,2,FALSE)</f>
        <v>#N/A</v>
      </c>
      <c r="EL599" s="44" t="e">
        <f>SUM(Table1[Data Leavers Date]+Table1[Data Move On])</f>
        <v>#N/A</v>
      </c>
      <c r="EM599" s="44" t="b">
        <f>IF(Table1[Registered with GP2]="Yes",1,IF(Table1[Registered with GP2]="No",0,IF(Table1[Registered with GP]="Yes",1,IF(Table1[Registered with GP]="No",0))))</f>
        <v>0</v>
      </c>
      <c r="EN599" s="44">
        <f>SUM(Table1[Data Leavers Date]+Table1[Data GP End])</f>
        <v>0</v>
      </c>
      <c r="EO599" s="44" t="str">
        <f>IF(Table1[EET2]="NEET",1,IF(Table1[EET2]="Employment",2,IF(Table1[EET2]="Education",2,IF(Table1[EET2]="Training",2,IF(Table1[EET2]="Retired",3,IF(Table1[EET]="NEET",1,IF(Table1[EET]="Employment",2,IF(Table1[EET]="Education",2,IF(Table1[EET]="Training",2,IF(Table1[EET]="Retired",3,""))))))))))</f>
        <v/>
      </c>
      <c r="EP599" s="44" t="e">
        <f>+Table1[[#This Row],[Data Leavers Date]]+Table1[[#This Row],[Data EET End]]</f>
        <v>#VALUE!</v>
      </c>
      <c r="EQ599" s="44">
        <f>IF(Table1[Exit Form Received]="Yes",1,0)</f>
        <v>0</v>
      </c>
      <c r="ER599" s="44">
        <f>+Table1[[#This Row],[Data Leavers Date]]+Table1[[#This Row],[Data Exit Forms]]</f>
        <v>0</v>
      </c>
      <c r="ES599" s="44" t="str">
        <f>IF(Table1[Data Leavers Date]=1000,SUM(Table1[Leaving Date]-Table1[Start Date]),"")</f>
        <v/>
      </c>
      <c r="ET599" s="44" t="str">
        <f>IF(Table1[Data Leavers Date]=2000,SUM(Table1[Leaving Date]-Table1[Start Date]),"")</f>
        <v/>
      </c>
      <c r="EU599" s="44" t="str">
        <f>IF(Table1[Data Leavers Date]=3000,SUM(Table1[Leaving Date]-Table1[Start Date]),"")</f>
        <v/>
      </c>
      <c r="EV599" s="44" t="str">
        <f>IF(Table1[Data Leavers Date]=4000,SUM(Table1[Leaving Date]-Table1[Start Date]),"")</f>
        <v/>
      </c>
      <c r="EW599" s="44" t="str">
        <f>IF(Table1[Data Leavers Date]=5000,SUM(Table1[Leaving Date]-Table1[Start Date]),"")</f>
        <v/>
      </c>
      <c r="EX599" s="44" t="str">
        <f>IF(Table1[Data Leavers Date]=6000,SUM(Table1[Leaving Date]-Table1[Start Date]),"")</f>
        <v/>
      </c>
      <c r="EY599" s="44" t="str">
        <f>IF(Table1[Data Leavers Date]=7000,SUM(Table1[Leaving Date]-Table1[Start Date]),"")</f>
        <v/>
      </c>
      <c r="EZ599" s="44" t="str">
        <f>IF(Table1[Data Leavers Date]=8000,SUM(Table1[Leaving Date]-Table1[Start Date]),"")</f>
        <v/>
      </c>
      <c r="FA599" s="44" t="str">
        <f>IF(Table1[Date of Initial Assessment]="","",IF(AND(Table1[Start Date]&gt;42094,Table1[Start Date]&lt;42461),Table1[Motivation and Taking Responsibility],""))</f>
        <v/>
      </c>
      <c r="FB599" s="44" t="str">
        <f>IF(Table1[Date of Initial Assessment]="","",IF(AND(Table1[Start Date]&gt;42094,Table1[Start Date]&lt;42461),Table1[Self-Care and Living Skills],""))</f>
        <v/>
      </c>
      <c r="FC599" s="44" t="str">
        <f>IF(Table1[Date of Initial Assessment]="","",IF(AND(Table1[Start Date]&gt;42094,Table1[Start Date]&lt;42461),Table1[Managing Money and Personal Administration],""))</f>
        <v/>
      </c>
      <c r="FD599" s="44" t="str">
        <f>IF(Table1[Date of Initial Assessment]="","",IF(AND(Table1[Start Date]&gt;42094,Table1[Start Date]&lt;42461),Table1[Social Networks and Relationships],""))</f>
        <v/>
      </c>
      <c r="FE599" s="44" t="str">
        <f>IF(Table1[Date of Initial Assessment]="","",IF(AND(Table1[Start Date]&gt;42094,Table1[Start Date]&lt;42461),Table1[Drug and Alcohol Misuse],""))</f>
        <v/>
      </c>
      <c r="FF599" s="44" t="str">
        <f>IF(Table1[Date of Initial Assessment]="","",IF(AND(Table1[Start Date]&gt;42094,Table1[Start Date]&lt;42461),Table1[Physical Health],""))</f>
        <v/>
      </c>
      <c r="FG599" s="44" t="str">
        <f>IF(Table1[Date of Initial Assessment]="","",IF(AND(Table1[Start Date]&gt;42094,Table1[Start Date]&lt;42461),Table1[Emotional and Mental Health],""))</f>
        <v/>
      </c>
      <c r="FH599" s="44" t="str">
        <f>IF(Table1[Date of Initial Assessment]="","",IF(AND(Table1[Start Date]&gt;42094,Table1[Start Date]&lt;42461),Table1[Meaningful Use of Time],""))</f>
        <v/>
      </c>
      <c r="FI599" s="44" t="str">
        <f>IF(Table1[Date of Initial Assessment]="","",IF(AND(Table1[Start Date]&gt;42094,Table1[Start Date]&lt;42461),Table1[Managing Tenancy and Accommodation],""))</f>
        <v/>
      </c>
      <c r="FJ599" s="44" t="str">
        <f>IF(Table1[Date of Initial Assessment]="","",IF(AND(Table1[Start Date]&gt;42094,Table1[Start Date]&lt;42461),Table1[Offending],""))</f>
        <v/>
      </c>
      <c r="FK599" s="44" t="str">
        <f>IF(Table1[Leaving Date]="","",IF(Table1[Date of Initial Assessment]="","",IF(AND(Table1[Leaving Date]&gt;42094,Table1[Leaving Date]&lt;42461),IF(Table1[Date of Last Assessment]="",Table1[Motivation and Taking Responsibility],Table1[Motivation and Taking Responsibility2]),"")))</f>
        <v/>
      </c>
      <c r="FL599" s="44" t="str">
        <f>IF(Table1[Leaving Date]="","",IF(Table1[Date of Initial Assessment]="","",IF(AND(Table1[Leaving Date]&gt;42094,Table1[Leaving Date]&lt;42461),IF(Table1[Date of Last Assessment]="",Table1[Self-Care and Living Skills],Table1[Self-Care and Living Skills2]),"")))</f>
        <v/>
      </c>
      <c r="FM599" s="44" t="str">
        <f>IF(Table1[Leaving Date]="","",IF(Table1[Date of Initial Assessment]="","",IF(AND(Table1[Leaving Date]&gt;42094,Table1[Leaving Date]&lt;42461),IF(Table1[Date of Last Assessment]="",Table1[Managing Money and Personal Administration],Table1[Managing Money and Personal Administration2]),"")))</f>
        <v/>
      </c>
      <c r="FN599" s="44" t="str">
        <f>IF(Table1[Leaving Date]="","",IF(Table1[Date of Initial Assessment]="","",IF(AND(Table1[Leaving Date]&gt;42094,Table1[Leaving Date]&lt;42461),IF(Table1[Date of Last Assessment]="",Table1[Social Networks and Relationships],Table1[Social Networks and Relationships2]),"")))</f>
        <v/>
      </c>
      <c r="FO599" s="44" t="str">
        <f>IF(Table1[Leaving Date]="","",IF(Table1[Date of Initial Assessment]="","",IF(AND(Table1[Leaving Date]&gt;42094,Table1[Leaving Date]&lt;42461),IF(Table1[Date of Last Assessment]="",Table1[Drug and Alcohol Misuse],Table1[Drug and Alcohol Misuse2]),"")))</f>
        <v/>
      </c>
      <c r="FP599" s="44" t="str">
        <f>IF(Table1[Leaving Date]="","",IF(Table1[Date of Initial Assessment]="","",IF(AND(Table1[Leaving Date]&gt;42094,Table1[Leaving Date]&lt;42461),IF(Table1[Date of Last Assessment]="",Table1[Physical Health],Table1[Physical Health2]),"")))</f>
        <v/>
      </c>
      <c r="FQ599" s="44" t="str">
        <f>IF(Table1[Leaving Date]="","",IF(Table1[Date of Initial Assessment]="","",IF(AND(Table1[Leaving Date]&gt;42094,Table1[Leaving Date]&lt;42461),IF(Table1[Date of Last Assessment]="",Table1[Emotional and Mental Health],Table1[Emotional and Mental Health2]),"")))</f>
        <v/>
      </c>
      <c r="FR599" s="44" t="str">
        <f>IF(Table1[Leaving Date]="","",IF(Table1[Date of Initial Assessment]="","",IF(AND(Table1[Leaving Date]&gt;42094,Table1[Leaving Date]&lt;42461),IF(Table1[Date of Last Assessment]="",Table1[Meaningful Use of Time],Table1[Meaningful Use of Time2]),"")))</f>
        <v/>
      </c>
      <c r="FS599" s="44" t="str">
        <f>IF(Table1[Leaving Date]="","",IF(Table1[Date of Initial Assessment]="","",IF(AND(Table1[Leaving Date]&gt;42094,Table1[Leaving Date]&lt;42461),IF(Table1[Date of Last Assessment]="",Table1[Managing Tenancy and Accommodation],Table1[Managing Tenancy and Accommodation2]),"")))</f>
        <v/>
      </c>
      <c r="FT599" s="44" t="str">
        <f>IF(Table1[Leaving Date]="","",IF(Table1[Date of Initial Assessment]="","",IF(AND(Table1[Leaving Date]&gt;42094,Table1[Leaving Date]&lt;42461),IF(Table1[Date of Last Assessment]="",Table1[Offending],Table1[Offending2]),"")))</f>
        <v/>
      </c>
      <c r="FU599" s="44" t="str">
        <f>IF(Table1[Date of Initial Assessment]="","",IF(AND(Table1[Start Date]&gt;42460,Table1[Start Date]&lt;42826),Table1[Motivation and Taking Responsibility],""))</f>
        <v/>
      </c>
      <c r="FV599" s="44" t="str">
        <f>IF(Table1[Date of Initial Assessment]="","",IF(AND(Table1[Start Date]&gt;42460,Table1[Start Date]&lt;42826),Table1[Self-Care and Living Skills],""))</f>
        <v/>
      </c>
      <c r="FW599" s="44" t="str">
        <f>IF(Table1[Date of Initial Assessment]="","",IF(AND(Table1[Start Date]&gt;42460,Table1[Start Date]&lt;42826),Table1[Managing Money and Personal Administration],""))</f>
        <v/>
      </c>
      <c r="FX599" s="44" t="str">
        <f>IF(Table1[Date of Initial Assessment]="","",IF(AND(Table1[Start Date]&gt;42460,Table1[Start Date]&lt;42826),Table1[Social Networks and Relationships],""))</f>
        <v/>
      </c>
      <c r="FY599" s="44" t="str">
        <f>IF(Table1[Date of Initial Assessment]="","",IF(AND(Table1[Start Date]&gt;42460,Table1[Start Date]&lt;42826),Table1[Drug and Alcohol Misuse],""))</f>
        <v/>
      </c>
      <c r="FZ599" s="44" t="str">
        <f>IF(Table1[Date of Initial Assessment]="","",IF(AND(Table1[Start Date]&gt;42460,Table1[Start Date]&lt;42826),Table1[Physical Health],""))</f>
        <v/>
      </c>
      <c r="GA599" s="44" t="str">
        <f>IF(Table1[Date of Initial Assessment]="","",IF(AND(Table1[Start Date]&gt;42460,Table1[Start Date]&lt;42826),Table1[Emotional and Mental Health],""))</f>
        <v/>
      </c>
      <c r="GB599" s="44" t="str">
        <f>IF(Table1[Date of Initial Assessment]="","",IF(AND(Table1[Start Date]&gt;42460,Table1[Start Date]&lt;42826),Table1[Meaningful Use of Time],""))</f>
        <v/>
      </c>
      <c r="GC599" s="44" t="str">
        <f>IF(Table1[Date of Initial Assessment]="","",IF(AND(Table1[Start Date]&gt;42460,Table1[Start Date]&lt;42826),Table1[Managing Tenancy and Accommodation],""))</f>
        <v/>
      </c>
      <c r="GD599" s="44" t="str">
        <f>IF(Table1[Date of Initial Assessment]="","",IF(AND(Table1[Start Date]&gt;42460,Table1[Start Date]&lt;42826),Table1[Offending],""))</f>
        <v/>
      </c>
      <c r="GE599" s="44" t="str">
        <f>IF(Table1[Leaving Date]="","",IF(AND(Table1[Leaving Date]&gt;42460,Table1[Leaving Date]&lt;42826),IF(Table1[Date of Last Assessment]="",Table1[Motivation and Taking Responsibility],Table1[Motivation and Taking Responsibility2]),""))</f>
        <v/>
      </c>
      <c r="GF599" s="44" t="str">
        <f>IF(Table1[Leaving Date]="","",IF(AND(Table1[Leaving Date]&gt;42460,Table1[Leaving Date]&lt;42826),IF(Table1[Date of Last Assessment]="",Table1[Self-Care and Living Skills],Table1[Self-Care and Living Skills2]),""))</f>
        <v/>
      </c>
      <c r="GG599" s="44" t="str">
        <f>IF(Table1[Leaving Date]="","",IF(AND(Table1[Leaving Date]&gt;42460,Table1[Leaving Date]&lt;42826),IF(Table1[Date of Last Assessment]="",Table1[Managing Money and Personal Administration],Table1[Managing Money and Personal Administration2]),""))</f>
        <v/>
      </c>
      <c r="GH599" s="44" t="str">
        <f>IF(Table1[Leaving Date]="","",IF(AND(Table1[Leaving Date]&gt;42460,Table1[Leaving Date]&lt;42826),IF(Table1[Date of Last Assessment]="",Table1[Social Networks and Relationships],Table1[Social Networks and Relationships2]),""))</f>
        <v/>
      </c>
      <c r="GI599" s="44" t="str">
        <f>IF(Table1[Leaving Date]="","",IF(AND(Table1[Leaving Date]&gt;42460,Table1[Leaving Date]&lt;42826),IF(Table1[Date of Last Assessment]="",Table1[Drug and Alcohol Misuse],Table1[Drug and Alcohol Misuse2]),""))</f>
        <v/>
      </c>
      <c r="GJ599" s="44" t="str">
        <f>IF(Table1[Leaving Date]="","",IF(AND(Table1[Leaving Date]&gt;42460,Table1[Leaving Date]&lt;42826),IF(Table1[Date of Last Assessment]="",Table1[Physical Health],Table1[Physical Health2]),""))</f>
        <v/>
      </c>
      <c r="GK599" s="44" t="str">
        <f>IF(Table1[Leaving Date]="","",IF(AND(Table1[Leaving Date]&gt;42460,Table1[Leaving Date]&lt;42826),IF(Table1[Date of Last Assessment]="",Table1[Emotional and Mental Health],Table1[Emotional and Mental Health2]),""))</f>
        <v/>
      </c>
      <c r="GL599" s="44" t="str">
        <f>IF(Table1[Leaving Date]="","",IF(AND(Table1[Leaving Date]&gt;42460,Table1[Leaving Date]&lt;42826),IF(Table1[Date of Last Assessment]="",Table1[Meaningful Use of Time],Table1[Meaningful Use of Time2]),""))</f>
        <v/>
      </c>
      <c r="GM599" s="44" t="str">
        <f>IF(Table1[Leaving Date]="","",IF(AND(Table1[Leaving Date]&gt;42460,Table1[Leaving Date]&lt;42826),IF(Table1[Date of Last Assessment]="",Table1[Managing Tenancy and Accommodation],Table1[Managing Tenancy and Accommodation2]),""))</f>
        <v/>
      </c>
      <c r="GN599" s="44" t="str">
        <f>IF(Table1[Leaving Date]="","",IF(AND(Table1[Leaving Date]&gt;42460,Table1[Leaving Date]&lt;42826),IF(Table1[Date of Last Assessment]="",Table1[Offending],Table1[Offending2]),""))</f>
        <v/>
      </c>
    </row>
    <row r="600" spans="2:196" ht="20.100000000000001" customHeight="1" x14ac:dyDescent="0.2">
      <c r="B600" s="86">
        <f>+'Service Data'!$C$5:$C$5</f>
        <v>0</v>
      </c>
      <c r="C600" s="86"/>
      <c r="D600" s="86"/>
      <c r="E600" s="86"/>
      <c r="F600" s="86"/>
      <c r="G600" s="86"/>
      <c r="H600" s="6"/>
      <c r="I600" s="99" t="str">
        <f ca="1">IF(Table1[[#This Row],[Date of Birth]]="","",SUM(TODAY()-Table1[[#This Row],[Date of Birth]])/365)</f>
        <v/>
      </c>
      <c r="L600" s="86"/>
      <c r="M600" s="77"/>
      <c r="N600" s="86"/>
      <c r="O600" s="86"/>
      <c r="P600" s="91"/>
      <c r="Q600" s="86"/>
      <c r="R600" s="77"/>
      <c r="S600" s="77"/>
      <c r="T600" s="68"/>
      <c r="U600" s="68"/>
      <c r="V600" s="67"/>
      <c r="W600" s="67"/>
      <c r="X600" s="67"/>
      <c r="Y600" s="67"/>
      <c r="Z600" s="67"/>
      <c r="AA600" s="67"/>
      <c r="AB600" s="67"/>
      <c r="AC600" s="67"/>
      <c r="AD600" s="67"/>
      <c r="AE600" s="67"/>
      <c r="AF600" s="67"/>
      <c r="AG600" s="67"/>
      <c r="AH600" s="67"/>
      <c r="AI600" s="67"/>
      <c r="AJ600" s="67"/>
      <c r="AK600" s="67"/>
      <c r="AL600" s="67"/>
      <c r="AM600" s="67"/>
      <c r="AN600" s="77"/>
      <c r="AO600" s="76"/>
      <c r="AP600" s="77"/>
      <c r="AQ600" s="76"/>
      <c r="AR600" s="76"/>
      <c r="AS600" s="76"/>
      <c r="AT600" s="76"/>
      <c r="AU600" s="76"/>
      <c r="AV600" s="77"/>
      <c r="AW600" s="76"/>
      <c r="AX600" s="77"/>
      <c r="AY600" s="76"/>
      <c r="AZ600" s="76"/>
      <c r="BA600" s="76"/>
      <c r="BB600" s="76"/>
      <c r="BC600" s="76"/>
      <c r="BD600" s="77"/>
      <c r="BE600" s="76"/>
      <c r="BF600" s="77"/>
      <c r="BG600" s="76"/>
      <c r="BH600" s="76"/>
      <c r="BI600" s="76"/>
      <c r="BJ600" s="76"/>
      <c r="BK600" s="76"/>
      <c r="BL600" s="77"/>
      <c r="BM600" s="76"/>
      <c r="BN600" s="77"/>
      <c r="BO600" s="76"/>
      <c r="BP600" s="76"/>
      <c r="BQ600" s="76"/>
      <c r="BR600" s="76"/>
      <c r="BS600" s="76"/>
      <c r="BT600" s="77"/>
      <c r="BU600" s="76"/>
      <c r="BV600" s="77"/>
      <c r="BW600" s="76"/>
      <c r="BX600" s="76"/>
      <c r="BY600" s="76"/>
      <c r="BZ600" s="76"/>
      <c r="CA600" s="76"/>
      <c r="CB600" s="77"/>
      <c r="CC600" s="76"/>
      <c r="CD600" s="77"/>
      <c r="CE600" s="76"/>
      <c r="CF600" s="76"/>
      <c r="CG600" s="76"/>
      <c r="CH600" s="76"/>
      <c r="CI600" s="76"/>
      <c r="CJ600" s="77"/>
      <c r="CK600" s="76"/>
      <c r="CL600" s="77"/>
      <c r="CM600" s="76"/>
      <c r="CN600" s="76"/>
      <c r="CO600" s="76"/>
      <c r="CP600" s="76"/>
      <c r="CQ600" s="76"/>
      <c r="CR600" s="78" t="str">
        <f t="shared" si="159"/>
        <v/>
      </c>
      <c r="CS600" s="79" t="str">
        <f t="shared" si="160"/>
        <v/>
      </c>
      <c r="CT600" s="79" t="str">
        <f t="shared" si="161"/>
        <v/>
      </c>
      <c r="CU600" s="79" t="str">
        <f t="shared" si="162"/>
        <v/>
      </c>
      <c r="CV600" s="79" t="str">
        <f t="shared" si="163"/>
        <v/>
      </c>
      <c r="CW600" s="79" t="str">
        <f t="shared" si="164"/>
        <v/>
      </c>
      <c r="CX600" s="79" t="str">
        <f t="shared" si="165"/>
        <v/>
      </c>
      <c r="CY600" s="79" t="str">
        <f t="shared" si="166"/>
        <v/>
      </c>
      <c r="CZ600" s="79" t="str">
        <f t="shared" si="167"/>
        <v/>
      </c>
      <c r="DA600" s="79" t="str">
        <f t="shared" si="168"/>
        <v/>
      </c>
      <c r="DB600" s="79" t="str">
        <f t="shared" si="169"/>
        <v/>
      </c>
      <c r="DC600" s="79" t="str">
        <f t="shared" si="170"/>
        <v/>
      </c>
      <c r="DD600" s="79" t="str">
        <f t="shared" si="171"/>
        <v/>
      </c>
      <c r="DE600" s="79" t="str">
        <f t="shared" si="172"/>
        <v/>
      </c>
      <c r="DF600" s="79" t="str">
        <f t="shared" si="173"/>
        <v/>
      </c>
      <c r="DG600" s="79" t="str">
        <f t="shared" si="174"/>
        <v/>
      </c>
      <c r="DH600" s="76"/>
      <c r="DI600" s="78"/>
      <c r="DJ600" s="76"/>
      <c r="DK600" s="77"/>
      <c r="DL600" s="77"/>
      <c r="DM600" s="77"/>
      <c r="DN600" s="80"/>
      <c r="DO600" s="80"/>
      <c r="DP600" s="92" t="str">
        <f>IF(Table1[Start Date]="","",IF(Table1[Start Date]&gt;42185,"",IF(AND(Table1[Leaving Date]&gt;1,Table1[Leaving Date]&lt;42095),"",1)))</f>
        <v/>
      </c>
      <c r="DQ600" s="92" t="str">
        <f>IF(Table1[Start Date]="","",IF(Table1[Start Date]&gt;42277,"",IF(AND(Table1[Leaving Date]&gt;1,Table1[Leaving Date]&lt;42186),"",1)))</f>
        <v/>
      </c>
      <c r="DR600" s="92" t="str">
        <f>IF(Table1[Start Date]="","",IF(Table1[Start Date]&gt;42369,"",IF(AND(Table1[Leaving Date]&gt;1,Table1[Leaving Date]&lt;42278),"",1)))</f>
        <v/>
      </c>
      <c r="DS600" s="92" t="str">
        <f>IF(Table1[Start Date]="","",IF(Table1[Start Date]&gt;42460,"",IF(AND(Table1[Leaving Date]&gt;1,Table1[Leaving Date]&lt;42370),"",1)))</f>
        <v/>
      </c>
      <c r="DT600" s="92" t="str">
        <f>IF(Table1[Start Date]="","",IF(Table1[Start Date]&gt;42551,"",IF(AND(Table1[Leaving Date]&gt;1,Table1[Leaving Date]&lt;42461),"",1)))</f>
        <v/>
      </c>
      <c r="DU600" s="92" t="str">
        <f>IF(Table1[Start Date]="","",IF(Table1[Start Date]&gt;42643,"",IF(AND(Table1[Leaving Date]&gt;1,Table1[Leaving Date]&lt;42552),"",1)))</f>
        <v/>
      </c>
      <c r="DV600" s="92" t="str">
        <f>IF(Table1[Start Date]="","",IF(Table1[Start Date]&gt;42735,"",IF(AND(Table1[Leaving Date]&gt;1,Table1[Leaving Date]&lt;42644),"",1)))</f>
        <v/>
      </c>
      <c r="DW600" s="92" t="str">
        <f>IF(Table1[Start Date]="","",IF(Table1[Start Date]&gt;42825,"",IF(AND(Table1[Leaving Date]&gt;1,Table1[Leaving Date]&lt;42736),"",1)))</f>
        <v/>
      </c>
      <c r="DX600" s="44" t="b">
        <f>IF(Table1[Date Referral was Received]&gt;42735,8000,IF(Table1[Date Referral was Received]&gt;42643,7000,IF(Table1[Date Referral was Received]&gt;42551,6000,IF(Table1[Date Referral was Received]&gt;42460,5000,IF(Table1[Date Referral was Received]&gt;42369,4000,IF(Table1[Date Referral was Received]&gt;42277,3000,IF(Table1[Date Referral was Received]&gt;42185,2000,IF(Table1[Date Referral was Received]&gt;42094,1000))))))))</f>
        <v>0</v>
      </c>
      <c r="DY600" s="44" t="e">
        <f>VLOOKUP(Table1[Referral Source],Lists!$G$2:$H$20,2,FALSE)</f>
        <v>#N/A</v>
      </c>
      <c r="DZ600" s="93" t="e">
        <f>SUM(Table1[Data Referral Quarter]+Table1[Data Referral Source])</f>
        <v>#N/A</v>
      </c>
      <c r="EA600" s="44" t="b">
        <f>IF(Table1[Referral Decision]="Accepted",100,IF(Table1[Referral Decision]="Rejected by Provider",200,IF(Table1[Referral Decision]="Rejected by Applicant",300)))</f>
        <v>0</v>
      </c>
      <c r="EB600" s="44">
        <f>SUM(Table1[Data Referral Quarter]+Table1[Data Referral Decision])</f>
        <v>0</v>
      </c>
      <c r="EC600" s="44" t="b">
        <f>IF(Table1[Start Date]&gt;42735,8000,IF(Table1[Start Date]&gt;42643,7000,IF(Table1[Start Date]&gt;42551,6000,IF(Table1[Start Date]&gt;42460,5000,IF(Table1[Start Date]&gt;42369,4000,IF(Table1[Start Date]&gt;42277,3000,IF(Table1[Start Date]&gt;42185,2000,IF(Table1[Start Date]&gt;42094,1000))))))))</f>
        <v>0</v>
      </c>
      <c r="ED600" s="44" t="str">
        <f>IF(Table1[Start Date]="","",IF(Table1[Current Local Authority]="Swindon",1,"2"))</f>
        <v/>
      </c>
      <c r="EE600" s="44" t="e">
        <f>SUM(Table1[Data Start Date]+Table1[Data Local Authority])</f>
        <v>#VALUE!</v>
      </c>
      <c r="EF600" s="44">
        <f>IF(Table1[Registered with GP]="Yes",1,0)</f>
        <v>0</v>
      </c>
      <c r="EG600" s="44">
        <f>SUM(Table1[Data Start Date]+Table1[Data GP Start])</f>
        <v>0</v>
      </c>
      <c r="EH600" s="44" t="str">
        <f>IF(Table1[EET]="NEET",1,IF(Table1[EET]="Education",2,IF(Table1[EET]="Employment",2,IF(Table1[EET]="Training",2,IF(Table1[EET]="Retired",3,"")))))</f>
        <v/>
      </c>
      <c r="EI600" s="44" t="e">
        <f>Table1[Data Start Date]+Table1[Data EET Start]</f>
        <v>#VALUE!</v>
      </c>
      <c r="EJ600" s="44" t="b">
        <f>IF(Table1[Leaving Date]&gt;42735,8000,IF(Table1[Leaving Date]&gt;42643,7000,IF(Table1[Leaving Date]&gt;42551,6000,IF(Table1[Leaving Date]&gt;42460,5000,IF(Table1[Leaving Date]&gt;42369,4000,IF(Table1[Leaving Date]&gt;42277,3000,IF(Table1[Leaving Date]&gt;42185,2000,IF(Table1[Leaving Date]&gt;42094,1000))))))))</f>
        <v>0</v>
      </c>
      <c r="EK600" s="44" t="e">
        <f>VLOOKUP(Table1[Reason for Leaving],Lists!$T$2:$U$15,2,FALSE)</f>
        <v>#N/A</v>
      </c>
      <c r="EL600" s="44" t="e">
        <f>SUM(Table1[Data Leavers Date]+Table1[Data Move On])</f>
        <v>#N/A</v>
      </c>
      <c r="EM600" s="44" t="b">
        <f>IF(Table1[Registered with GP2]="Yes",1,IF(Table1[Registered with GP2]="No",0,IF(Table1[Registered with GP]="Yes",1,IF(Table1[Registered with GP]="No",0))))</f>
        <v>0</v>
      </c>
      <c r="EN600" s="44">
        <f>SUM(Table1[Data Leavers Date]+Table1[Data GP End])</f>
        <v>0</v>
      </c>
      <c r="EO600" s="44" t="str">
        <f>IF(Table1[EET2]="NEET",1,IF(Table1[EET2]="Employment",2,IF(Table1[EET2]="Education",2,IF(Table1[EET2]="Training",2,IF(Table1[EET2]="Retired",3,IF(Table1[EET]="NEET",1,IF(Table1[EET]="Employment",2,IF(Table1[EET]="Education",2,IF(Table1[EET]="Training",2,IF(Table1[EET]="Retired",3,""))))))))))</f>
        <v/>
      </c>
      <c r="EP600" s="44" t="e">
        <f>+Table1[[#This Row],[Data Leavers Date]]+Table1[[#This Row],[Data EET End]]</f>
        <v>#VALUE!</v>
      </c>
      <c r="EQ600" s="44">
        <f>IF(Table1[Exit Form Received]="Yes",1,0)</f>
        <v>0</v>
      </c>
      <c r="ER600" s="44">
        <f>+Table1[[#This Row],[Data Leavers Date]]+Table1[[#This Row],[Data Exit Forms]]</f>
        <v>0</v>
      </c>
      <c r="ES600" s="44" t="str">
        <f>IF(Table1[Data Leavers Date]=1000,SUM(Table1[Leaving Date]-Table1[Start Date]),"")</f>
        <v/>
      </c>
      <c r="ET600" s="44" t="str">
        <f>IF(Table1[Data Leavers Date]=2000,SUM(Table1[Leaving Date]-Table1[Start Date]),"")</f>
        <v/>
      </c>
      <c r="EU600" s="44" t="str">
        <f>IF(Table1[Data Leavers Date]=3000,SUM(Table1[Leaving Date]-Table1[Start Date]),"")</f>
        <v/>
      </c>
      <c r="EV600" s="44" t="str">
        <f>IF(Table1[Data Leavers Date]=4000,SUM(Table1[Leaving Date]-Table1[Start Date]),"")</f>
        <v/>
      </c>
      <c r="EW600" s="44" t="str">
        <f>IF(Table1[Data Leavers Date]=5000,SUM(Table1[Leaving Date]-Table1[Start Date]),"")</f>
        <v/>
      </c>
      <c r="EX600" s="44" t="str">
        <f>IF(Table1[Data Leavers Date]=6000,SUM(Table1[Leaving Date]-Table1[Start Date]),"")</f>
        <v/>
      </c>
      <c r="EY600" s="44" t="str">
        <f>IF(Table1[Data Leavers Date]=7000,SUM(Table1[Leaving Date]-Table1[Start Date]),"")</f>
        <v/>
      </c>
      <c r="EZ600" s="44" t="str">
        <f>IF(Table1[Data Leavers Date]=8000,SUM(Table1[Leaving Date]-Table1[Start Date]),"")</f>
        <v/>
      </c>
      <c r="FA600" s="44" t="str">
        <f>IF(Table1[Date of Initial Assessment]="","",IF(AND(Table1[Start Date]&gt;42094,Table1[Start Date]&lt;42461),Table1[Motivation and Taking Responsibility],""))</f>
        <v/>
      </c>
      <c r="FB600" s="44" t="str">
        <f>IF(Table1[Date of Initial Assessment]="","",IF(AND(Table1[Start Date]&gt;42094,Table1[Start Date]&lt;42461),Table1[Self-Care and Living Skills],""))</f>
        <v/>
      </c>
      <c r="FC600" s="44" t="str">
        <f>IF(Table1[Date of Initial Assessment]="","",IF(AND(Table1[Start Date]&gt;42094,Table1[Start Date]&lt;42461),Table1[Managing Money and Personal Administration],""))</f>
        <v/>
      </c>
      <c r="FD600" s="44" t="str">
        <f>IF(Table1[Date of Initial Assessment]="","",IF(AND(Table1[Start Date]&gt;42094,Table1[Start Date]&lt;42461),Table1[Social Networks and Relationships],""))</f>
        <v/>
      </c>
      <c r="FE600" s="44" t="str">
        <f>IF(Table1[Date of Initial Assessment]="","",IF(AND(Table1[Start Date]&gt;42094,Table1[Start Date]&lt;42461),Table1[Drug and Alcohol Misuse],""))</f>
        <v/>
      </c>
      <c r="FF600" s="44" t="str">
        <f>IF(Table1[Date of Initial Assessment]="","",IF(AND(Table1[Start Date]&gt;42094,Table1[Start Date]&lt;42461),Table1[Physical Health],""))</f>
        <v/>
      </c>
      <c r="FG600" s="44" t="str">
        <f>IF(Table1[Date of Initial Assessment]="","",IF(AND(Table1[Start Date]&gt;42094,Table1[Start Date]&lt;42461),Table1[Emotional and Mental Health],""))</f>
        <v/>
      </c>
      <c r="FH600" s="44" t="str">
        <f>IF(Table1[Date of Initial Assessment]="","",IF(AND(Table1[Start Date]&gt;42094,Table1[Start Date]&lt;42461),Table1[Meaningful Use of Time],""))</f>
        <v/>
      </c>
      <c r="FI600" s="44" t="str">
        <f>IF(Table1[Date of Initial Assessment]="","",IF(AND(Table1[Start Date]&gt;42094,Table1[Start Date]&lt;42461),Table1[Managing Tenancy and Accommodation],""))</f>
        <v/>
      </c>
      <c r="FJ600" s="44" t="str">
        <f>IF(Table1[Date of Initial Assessment]="","",IF(AND(Table1[Start Date]&gt;42094,Table1[Start Date]&lt;42461),Table1[Offending],""))</f>
        <v/>
      </c>
      <c r="FK600" s="44" t="str">
        <f>IF(Table1[Leaving Date]="","",IF(Table1[Date of Initial Assessment]="","",IF(AND(Table1[Leaving Date]&gt;42094,Table1[Leaving Date]&lt;42461),IF(Table1[Date of Last Assessment]="",Table1[Motivation and Taking Responsibility],Table1[Motivation and Taking Responsibility2]),"")))</f>
        <v/>
      </c>
      <c r="FL600" s="44" t="str">
        <f>IF(Table1[Leaving Date]="","",IF(Table1[Date of Initial Assessment]="","",IF(AND(Table1[Leaving Date]&gt;42094,Table1[Leaving Date]&lt;42461),IF(Table1[Date of Last Assessment]="",Table1[Self-Care and Living Skills],Table1[Self-Care and Living Skills2]),"")))</f>
        <v/>
      </c>
      <c r="FM600" s="44" t="str">
        <f>IF(Table1[Leaving Date]="","",IF(Table1[Date of Initial Assessment]="","",IF(AND(Table1[Leaving Date]&gt;42094,Table1[Leaving Date]&lt;42461),IF(Table1[Date of Last Assessment]="",Table1[Managing Money and Personal Administration],Table1[Managing Money and Personal Administration2]),"")))</f>
        <v/>
      </c>
      <c r="FN600" s="44" t="str">
        <f>IF(Table1[Leaving Date]="","",IF(Table1[Date of Initial Assessment]="","",IF(AND(Table1[Leaving Date]&gt;42094,Table1[Leaving Date]&lt;42461),IF(Table1[Date of Last Assessment]="",Table1[Social Networks and Relationships],Table1[Social Networks and Relationships2]),"")))</f>
        <v/>
      </c>
      <c r="FO600" s="44" t="str">
        <f>IF(Table1[Leaving Date]="","",IF(Table1[Date of Initial Assessment]="","",IF(AND(Table1[Leaving Date]&gt;42094,Table1[Leaving Date]&lt;42461),IF(Table1[Date of Last Assessment]="",Table1[Drug and Alcohol Misuse],Table1[Drug and Alcohol Misuse2]),"")))</f>
        <v/>
      </c>
      <c r="FP600" s="44" t="str">
        <f>IF(Table1[Leaving Date]="","",IF(Table1[Date of Initial Assessment]="","",IF(AND(Table1[Leaving Date]&gt;42094,Table1[Leaving Date]&lt;42461),IF(Table1[Date of Last Assessment]="",Table1[Physical Health],Table1[Physical Health2]),"")))</f>
        <v/>
      </c>
      <c r="FQ600" s="44" t="str">
        <f>IF(Table1[Leaving Date]="","",IF(Table1[Date of Initial Assessment]="","",IF(AND(Table1[Leaving Date]&gt;42094,Table1[Leaving Date]&lt;42461),IF(Table1[Date of Last Assessment]="",Table1[Emotional and Mental Health],Table1[Emotional and Mental Health2]),"")))</f>
        <v/>
      </c>
      <c r="FR600" s="44" t="str">
        <f>IF(Table1[Leaving Date]="","",IF(Table1[Date of Initial Assessment]="","",IF(AND(Table1[Leaving Date]&gt;42094,Table1[Leaving Date]&lt;42461),IF(Table1[Date of Last Assessment]="",Table1[Meaningful Use of Time],Table1[Meaningful Use of Time2]),"")))</f>
        <v/>
      </c>
      <c r="FS600" s="44" t="str">
        <f>IF(Table1[Leaving Date]="","",IF(Table1[Date of Initial Assessment]="","",IF(AND(Table1[Leaving Date]&gt;42094,Table1[Leaving Date]&lt;42461),IF(Table1[Date of Last Assessment]="",Table1[Managing Tenancy and Accommodation],Table1[Managing Tenancy and Accommodation2]),"")))</f>
        <v/>
      </c>
      <c r="FT600" s="44" t="str">
        <f>IF(Table1[Leaving Date]="","",IF(Table1[Date of Initial Assessment]="","",IF(AND(Table1[Leaving Date]&gt;42094,Table1[Leaving Date]&lt;42461),IF(Table1[Date of Last Assessment]="",Table1[Offending],Table1[Offending2]),"")))</f>
        <v/>
      </c>
      <c r="FU600" s="44" t="str">
        <f>IF(Table1[Date of Initial Assessment]="","",IF(AND(Table1[Start Date]&gt;42460,Table1[Start Date]&lt;42826),Table1[Motivation and Taking Responsibility],""))</f>
        <v/>
      </c>
      <c r="FV600" s="44" t="str">
        <f>IF(Table1[Date of Initial Assessment]="","",IF(AND(Table1[Start Date]&gt;42460,Table1[Start Date]&lt;42826),Table1[Self-Care and Living Skills],""))</f>
        <v/>
      </c>
      <c r="FW600" s="44" t="str">
        <f>IF(Table1[Date of Initial Assessment]="","",IF(AND(Table1[Start Date]&gt;42460,Table1[Start Date]&lt;42826),Table1[Managing Money and Personal Administration],""))</f>
        <v/>
      </c>
      <c r="FX600" s="44" t="str">
        <f>IF(Table1[Date of Initial Assessment]="","",IF(AND(Table1[Start Date]&gt;42460,Table1[Start Date]&lt;42826),Table1[Social Networks and Relationships],""))</f>
        <v/>
      </c>
      <c r="FY600" s="44" t="str">
        <f>IF(Table1[Date of Initial Assessment]="","",IF(AND(Table1[Start Date]&gt;42460,Table1[Start Date]&lt;42826),Table1[Drug and Alcohol Misuse],""))</f>
        <v/>
      </c>
      <c r="FZ600" s="44" t="str">
        <f>IF(Table1[Date of Initial Assessment]="","",IF(AND(Table1[Start Date]&gt;42460,Table1[Start Date]&lt;42826),Table1[Physical Health],""))</f>
        <v/>
      </c>
      <c r="GA600" s="44" t="str">
        <f>IF(Table1[Date of Initial Assessment]="","",IF(AND(Table1[Start Date]&gt;42460,Table1[Start Date]&lt;42826),Table1[Emotional and Mental Health],""))</f>
        <v/>
      </c>
      <c r="GB600" s="44" t="str">
        <f>IF(Table1[Date of Initial Assessment]="","",IF(AND(Table1[Start Date]&gt;42460,Table1[Start Date]&lt;42826),Table1[Meaningful Use of Time],""))</f>
        <v/>
      </c>
      <c r="GC600" s="44" t="str">
        <f>IF(Table1[Date of Initial Assessment]="","",IF(AND(Table1[Start Date]&gt;42460,Table1[Start Date]&lt;42826),Table1[Managing Tenancy and Accommodation],""))</f>
        <v/>
      </c>
      <c r="GD600" s="44" t="str">
        <f>IF(Table1[Date of Initial Assessment]="","",IF(AND(Table1[Start Date]&gt;42460,Table1[Start Date]&lt;42826),Table1[Offending],""))</f>
        <v/>
      </c>
      <c r="GE600" s="44" t="str">
        <f>IF(Table1[Leaving Date]="","",IF(AND(Table1[Leaving Date]&gt;42460,Table1[Leaving Date]&lt;42826),IF(Table1[Date of Last Assessment]="",Table1[Motivation and Taking Responsibility],Table1[Motivation and Taking Responsibility2]),""))</f>
        <v/>
      </c>
      <c r="GF600" s="44" t="str">
        <f>IF(Table1[Leaving Date]="","",IF(AND(Table1[Leaving Date]&gt;42460,Table1[Leaving Date]&lt;42826),IF(Table1[Date of Last Assessment]="",Table1[Self-Care and Living Skills],Table1[Self-Care and Living Skills2]),""))</f>
        <v/>
      </c>
      <c r="GG600" s="44" t="str">
        <f>IF(Table1[Leaving Date]="","",IF(AND(Table1[Leaving Date]&gt;42460,Table1[Leaving Date]&lt;42826),IF(Table1[Date of Last Assessment]="",Table1[Managing Money and Personal Administration],Table1[Managing Money and Personal Administration2]),""))</f>
        <v/>
      </c>
      <c r="GH600" s="44" t="str">
        <f>IF(Table1[Leaving Date]="","",IF(AND(Table1[Leaving Date]&gt;42460,Table1[Leaving Date]&lt;42826),IF(Table1[Date of Last Assessment]="",Table1[Social Networks and Relationships],Table1[Social Networks and Relationships2]),""))</f>
        <v/>
      </c>
      <c r="GI600" s="44" t="str">
        <f>IF(Table1[Leaving Date]="","",IF(AND(Table1[Leaving Date]&gt;42460,Table1[Leaving Date]&lt;42826),IF(Table1[Date of Last Assessment]="",Table1[Drug and Alcohol Misuse],Table1[Drug and Alcohol Misuse2]),""))</f>
        <v/>
      </c>
      <c r="GJ600" s="44" t="str">
        <f>IF(Table1[Leaving Date]="","",IF(AND(Table1[Leaving Date]&gt;42460,Table1[Leaving Date]&lt;42826),IF(Table1[Date of Last Assessment]="",Table1[Physical Health],Table1[Physical Health2]),""))</f>
        <v/>
      </c>
      <c r="GK600" s="44" t="str">
        <f>IF(Table1[Leaving Date]="","",IF(AND(Table1[Leaving Date]&gt;42460,Table1[Leaving Date]&lt;42826),IF(Table1[Date of Last Assessment]="",Table1[Emotional and Mental Health],Table1[Emotional and Mental Health2]),""))</f>
        <v/>
      </c>
      <c r="GL600" s="44" t="str">
        <f>IF(Table1[Leaving Date]="","",IF(AND(Table1[Leaving Date]&gt;42460,Table1[Leaving Date]&lt;42826),IF(Table1[Date of Last Assessment]="",Table1[Meaningful Use of Time],Table1[Meaningful Use of Time2]),""))</f>
        <v/>
      </c>
      <c r="GM600" s="44" t="str">
        <f>IF(Table1[Leaving Date]="","",IF(AND(Table1[Leaving Date]&gt;42460,Table1[Leaving Date]&lt;42826),IF(Table1[Date of Last Assessment]="",Table1[Managing Tenancy and Accommodation],Table1[Managing Tenancy and Accommodation2]),""))</f>
        <v/>
      </c>
      <c r="GN600" s="44" t="str">
        <f>IF(Table1[Leaving Date]="","",IF(AND(Table1[Leaving Date]&gt;42460,Table1[Leaving Date]&lt;42826),IF(Table1[Date of Last Assessment]="",Table1[Offending],Table1[Offending2]),""))</f>
        <v/>
      </c>
    </row>
  </sheetData>
  <sheetProtection password="CBE0" sheet="1" objects="1" scenarios="1" formatCells="0" formatColumns="0" formatRows="0" insertColumns="0" insertRows="0" insertHyperlinks="0" deleteColumns="0" deleteRows="0" sort="0" autoFilter="0" pivotTables="0"/>
  <protectedRanges>
    <protectedRange password="CBE0" sqref="DC2:DW2 B2:U2 CR2 T6:V2292 N6:N2292 P6:P2292 AF2:BK2 B6:K2292 N3:S3 M3:M600 X6:EC2292 N4:Q5 S4:S5 R4:R600 CR3:DW5 B3:L5" name="Range1"/>
    <protectedRange password="CBE0" sqref="V2:AE2 CS2:DB2 FA2:GN2" name="Range1_1"/>
    <protectedRange password="CBE0" sqref="BL2:BS2" name="Range1_2"/>
    <protectedRange password="CBE0" sqref="BT2:CA2" name="Range1_3"/>
    <protectedRange password="CBE0" sqref="CB2:CI2" name="Range1_4"/>
    <protectedRange password="CBE0" sqref="CJ2:CQ2" name="Range1_5"/>
    <protectedRange password="CBE0" sqref="T3:CQ5" name="Range1_6"/>
  </protectedRanges>
  <dataConsolidate/>
  <conditionalFormatting sqref="T3:DO600">
    <cfRule type="expression" dxfId="393" priority="6">
      <formula>OR($R3="Rejected by Provider")</formula>
    </cfRule>
    <cfRule type="expression" dxfId="392" priority="5">
      <formula>OR($R3="Rejected by Applicant")</formula>
    </cfRule>
  </conditionalFormatting>
  <conditionalFormatting sqref="S3:S600">
    <cfRule type="expression" dxfId="391" priority="3">
      <formula>OR($R3="Accepted")</formula>
    </cfRule>
  </conditionalFormatting>
  <conditionalFormatting sqref="U3:DO600">
    <cfRule type="expression" dxfId="390" priority="2">
      <formula>OR($T3="")</formula>
    </cfRule>
  </conditionalFormatting>
  <conditionalFormatting sqref="D3:DO600">
    <cfRule type="expression" dxfId="389" priority="1">
      <formula>OR($C3="")</formula>
    </cfRule>
  </conditionalFormatting>
  <dataValidations count="8">
    <dataValidation type="whole" allowBlank="1" showInputMessage="1" showErrorMessage="1" sqref="V3:AE600 CS3:DB600">
      <formula1>1</formula1>
      <formula2>10</formula2>
    </dataValidation>
    <dataValidation type="date" operator="greaterThanOrEqual" allowBlank="1" showInputMessage="1" showErrorMessage="1" sqref="U3:U600">
      <formula1>T3</formula1>
    </dataValidation>
    <dataValidation type="date" operator="greaterThan" allowBlank="1" showInputMessage="1" showErrorMessage="1" sqref="H3:I600">
      <formula1>1</formula1>
    </dataValidation>
    <dataValidation type="date" operator="greaterThan" allowBlank="1" showInputMessage="1" showErrorMessage="1" sqref="DI3:DI600">
      <formula1>T3</formula1>
    </dataValidation>
    <dataValidation type="date" operator="greaterThanOrEqual" allowBlank="1" showInputMessage="1" showErrorMessage="1" sqref="T3:T600">
      <formula1>T3</formula1>
    </dataValidation>
    <dataValidation type="whole" allowBlank="1" showInputMessage="1" showErrorMessage="1" sqref="AO3:AO600 AW3:AW600 BE3:BE600 BM3:BM600 BU3:BU600 CC3:CC600 CK3:CK600">
      <formula1>0</formula1>
      <formula2>17</formula2>
    </dataValidation>
    <dataValidation type="whole" allowBlank="1" showInputMessage="1" showErrorMessage="1" error="This must be a number between 1 and 10" sqref="DC3:DD3">
      <formula1>1</formula1>
      <formula2>10</formula2>
    </dataValidation>
    <dataValidation allowBlank="1" showInputMessage="1" showErrorMessage="1" error="This must be a number between 1 and 10" sqref="DG3"/>
  </dataValidations>
  <pageMargins left="0" right="0.70866141732283472" top="0.59055118110236227" bottom="0" header="0.31496062992125984" footer="0.31496062992125984"/>
  <pageSetup paperSize="9" scale="15" fitToWidth="4" orientation="landscape" horizontalDpi="300" verticalDpi="0" r:id="rId1"/>
  <tableParts count="1">
    <tablePart r:id="rId2"/>
  </tableParts>
  <extLst>
    <ext xmlns:x14="http://schemas.microsoft.com/office/spreadsheetml/2009/9/main" uri="{CCE6A557-97BC-4b89-ADB6-D9C93CAAB3DF}">
      <x14:dataValidations xmlns:xm="http://schemas.microsoft.com/office/excel/2006/main" count="20">
        <x14:dataValidation type="list" allowBlank="1" showInputMessage="1" showErrorMessage="1">
          <x14:formula1>
            <xm:f>Lists!$Q$2:$Q$10</xm:f>
          </x14:formula1>
          <xm:sqref>AL3:AL600 DF4:DF600</xm:sqref>
        </x14:dataValidation>
        <x14:dataValidation type="list" allowBlank="1" showInputMessage="1" showErrorMessage="1">
          <x14:formula1>
            <xm:f>Lists!$A$2:$A$17</xm:f>
          </x14:formula1>
          <xm:sqref>D3:D600</xm:sqref>
        </x14:dataValidation>
        <x14:dataValidation type="list" allowBlank="1" showInputMessage="1" showErrorMessage="1">
          <x14:formula1>
            <xm:f>Lists!$B$2:$B$4</xm:f>
          </x14:formula1>
          <xm:sqref>E3:E600 AH3:AH600 AJ3:AJ600</xm:sqref>
        </x14:dataValidation>
        <x14:dataValidation type="list" allowBlank="1" showInputMessage="1" showErrorMessage="1">
          <x14:formula1>
            <xm:f>Lists!$C$2:$C$7</xm:f>
          </x14:formula1>
          <xm:sqref>F3:F600</xm:sqref>
        </x14:dataValidation>
        <x14:dataValidation type="list" allowBlank="1" showInputMessage="1" showErrorMessage="1">
          <x14:formula1>
            <xm:f>Lists!$D$2:$D$11</xm:f>
          </x14:formula1>
          <xm:sqref>G3:G600</xm:sqref>
        </x14:dataValidation>
        <x14:dataValidation type="list" allowBlank="1" showInputMessage="1" showErrorMessage="1">
          <x14:formula1>
            <xm:f>Lists!$E$2:$E$4</xm:f>
          </x14:formula1>
          <xm:sqref>J3:J600</xm:sqref>
        </x14:dataValidation>
        <x14:dataValidation type="list" allowBlank="1" showInputMessage="1" showErrorMessage="1">
          <x14:formula1>
            <xm:f>Lists!$F$2:$F$4</xm:f>
          </x14:formula1>
          <xm:sqref>K3:K600 AQ3:AU600 AY3:BC600 BG3:BK600 BO3:BS600 BW3:CA600 CE3:CI600 CM3:CQ600</xm:sqref>
        </x14:dataValidation>
        <x14:dataValidation type="list" allowBlank="1" showInputMessage="1" showErrorMessage="1">
          <x14:formula1>
            <xm:f>Lists!$J$2:$J$12</xm:f>
          </x14:formula1>
          <xm:sqref>N3:N600</xm:sqref>
        </x14:dataValidation>
        <x14:dataValidation type="list" allowBlank="1" showInputMessage="1" showErrorMessage="1">
          <x14:formula1>
            <xm:f>Lists!$L$2:$L$4</xm:f>
          </x14:formula1>
          <xm:sqref>R3:R600</xm:sqref>
        </x14:dataValidation>
        <x14:dataValidation type="list" allowBlank="1" showInputMessage="1" showErrorMessage="1">
          <x14:formula1>
            <xm:f>Lists!$K$2:$K$3</xm:f>
          </x14:formula1>
          <xm:sqref>O3:O600</xm:sqref>
        </x14:dataValidation>
        <x14:dataValidation type="list" allowBlank="1" showInputMessage="1" showErrorMessage="1">
          <x14:formula1>
            <xm:f>Lists!$N$2:$N$5</xm:f>
          </x14:formula1>
          <xm:sqref>AI3:AI600</xm:sqref>
        </x14:dataValidation>
        <x14:dataValidation type="list" allowBlank="1" showInputMessage="1" showErrorMessage="1">
          <x14:formula1>
            <xm:f>Lists!$B$2:$B$3</xm:f>
          </x14:formula1>
          <xm:sqref>AF3:AG600</xm:sqref>
        </x14:dataValidation>
        <x14:dataValidation type="list" allowBlank="1" showInputMessage="1" showErrorMessage="1">
          <x14:formula1>
            <xm:f>Lists!$O$2:$O$6</xm:f>
          </x14:formula1>
          <xm:sqref>AK3:AK600 DE4:DE600</xm:sqref>
        </x14:dataValidation>
        <x14:dataValidation type="list" allowBlank="1" showInputMessage="1" showErrorMessage="1">
          <x14:formula1>
            <xm:f>Lists!$S$2:$S$6</xm:f>
          </x14:formula1>
          <xm:sqref>AP3:AP600 AX3:AX600 BF3:BF600 BN3:BN600 BV3:BV600 CD3:CD600 CL3:CL600</xm:sqref>
        </x14:dataValidation>
        <x14:dataValidation type="list" allowBlank="1" showInputMessage="1" showErrorMessage="1">
          <x14:formula1>
            <xm:f>Lists!$M$2:$M$3</xm:f>
          </x14:formula1>
          <xm:sqref>DL3:DM600 DC4:DD600</xm:sqref>
        </x14:dataValidation>
        <x14:dataValidation type="list" allowBlank="1" showInputMessage="1" showErrorMessage="1">
          <x14:formula1>
            <xm:f>Lists!$I$2:$I$416</xm:f>
          </x14:formula1>
          <xm:sqref>L3:L600 DK3:DK600</xm:sqref>
        </x14:dataValidation>
        <x14:dataValidation type="list" allowBlank="1" showInputMessage="1" showErrorMessage="1">
          <x14:formula1>
            <xm:f>Lists!$G$2:$G$20</xm:f>
          </x14:formula1>
          <xm:sqref>Q3:Q600</xm:sqref>
        </x14:dataValidation>
        <x14:dataValidation type="list" allowBlank="1" showInputMessage="1" showErrorMessage="1">
          <x14:formula1>
            <xm:f>Lists!$T$2:$T$15</xm:f>
          </x14:formula1>
          <xm:sqref>DJ3:DJ600</xm:sqref>
        </x14:dataValidation>
        <x14:dataValidation type="list" allowBlank="1" showInputMessage="1" showErrorMessage="1" error="This must be a number between 1 and 10">
          <x14:formula1>
            <xm:f>Lists!$O$2:$O$6</xm:f>
          </x14:formula1>
          <xm:sqref>DE3</xm:sqref>
        </x14:dataValidation>
        <x14:dataValidation type="list" allowBlank="1" showInputMessage="1" showErrorMessage="1" error="This must be a number between 1 and 10">
          <x14:formula1>
            <xm:f>Lists!$Q$2:$Q$10</xm:f>
          </x14:formula1>
          <xm:sqref>DF3</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AH8"/>
  <sheetViews>
    <sheetView showGridLines="0" showRowColHeaders="0" zoomScale="80" zoomScaleNormal="80" workbookViewId="0">
      <selection activeCell="B3" sqref="B3"/>
    </sheetView>
  </sheetViews>
  <sheetFormatPr defaultColWidth="30.7109375" defaultRowHeight="12.75" x14ac:dyDescent="0.2"/>
  <cols>
    <col min="1" max="16384" width="30.7109375" style="24"/>
  </cols>
  <sheetData>
    <row r="2" spans="1:34" x14ac:dyDescent="0.2">
      <c r="B2" s="30" t="s">
        <v>592</v>
      </c>
      <c r="F2" s="30" t="s">
        <v>591</v>
      </c>
    </row>
    <row r="3" spans="1:34" x14ac:dyDescent="0.2">
      <c r="B3" s="29" t="s">
        <v>8</v>
      </c>
      <c r="F3" s="98">
        <f ca="1">TODAY()</f>
        <v>42606</v>
      </c>
    </row>
    <row r="4" spans="1:34" s="27" customFormat="1" x14ac:dyDescent="0.2">
      <c r="A4" s="28"/>
      <c r="B4" s="28" t="s">
        <v>590</v>
      </c>
      <c r="C4" s="28" t="s">
        <v>589</v>
      </c>
      <c r="D4" s="28" t="s">
        <v>588</v>
      </c>
      <c r="E4" s="28" t="s">
        <v>587</v>
      </c>
      <c r="F4" s="28" t="s">
        <v>586</v>
      </c>
      <c r="G4" s="28" t="s">
        <v>585</v>
      </c>
      <c r="H4" s="28" t="s">
        <v>584</v>
      </c>
      <c r="I4" s="28" t="s">
        <v>583</v>
      </c>
      <c r="J4" s="28" t="s">
        <v>582</v>
      </c>
      <c r="K4" s="28" t="s">
        <v>581</v>
      </c>
      <c r="L4" s="28" t="s">
        <v>580</v>
      </c>
      <c r="M4" s="28" t="s">
        <v>579</v>
      </c>
      <c r="N4" s="28" t="s">
        <v>578</v>
      </c>
      <c r="O4" s="28" t="s">
        <v>577</v>
      </c>
      <c r="P4" s="28" t="s">
        <v>576</v>
      </c>
      <c r="Q4" s="28" t="s">
        <v>575</v>
      </c>
      <c r="R4" s="28" t="s">
        <v>574</v>
      </c>
      <c r="S4" s="28" t="s">
        <v>573</v>
      </c>
      <c r="T4" s="28" t="s">
        <v>572</v>
      </c>
      <c r="U4" s="28" t="s">
        <v>571</v>
      </c>
      <c r="V4" s="103"/>
      <c r="W4" s="103"/>
      <c r="X4" s="103"/>
      <c r="Y4" s="103"/>
      <c r="AF4" s="100"/>
      <c r="AG4" s="100"/>
      <c r="AH4" s="100"/>
    </row>
    <row r="5" spans="1:34" s="27" customFormat="1" x14ac:dyDescent="0.2">
      <c r="A5" s="28"/>
      <c r="B5" s="28" t="e">
        <f>VLOOKUP($B$3,'User Data'!$C$3:$DB$6290,20,FALSE)</f>
        <v>#N/A</v>
      </c>
      <c r="C5" s="28" t="e">
        <f>VLOOKUP($B$3,'User Data'!$C$3:$DB$6290,21,FALSE)</f>
        <v>#N/A</v>
      </c>
      <c r="D5" s="28" t="e">
        <f>VLOOKUP($B$3,'User Data'!$C$3:$DB$6290,22,FALSE)</f>
        <v>#N/A</v>
      </c>
      <c r="E5" s="28" t="e">
        <f>VLOOKUP($B$3,'User Data'!$C$3:$DB$6290,23,FALSE)</f>
        <v>#N/A</v>
      </c>
      <c r="F5" s="28" t="e">
        <f>VLOOKUP($B$3,'User Data'!$C$3:$DB$6290,24,FALSE)</f>
        <v>#N/A</v>
      </c>
      <c r="G5" s="28" t="e">
        <f>VLOOKUP($B$3,'User Data'!$C$3:$DB$6290,25,FALSE)</f>
        <v>#N/A</v>
      </c>
      <c r="H5" s="28" t="e">
        <f>VLOOKUP($B$3,'User Data'!$C$3:$DB$6290,26,FALSE)</f>
        <v>#N/A</v>
      </c>
      <c r="I5" s="28" t="e">
        <f>VLOOKUP($B$3,'User Data'!$C$3:$DB$6290,27,FALSE)</f>
        <v>#N/A</v>
      </c>
      <c r="J5" s="28" t="e">
        <f>VLOOKUP($B$3,'User Data'!$C$3:$DB$6290,28,FALSE)</f>
        <v>#N/A</v>
      </c>
      <c r="K5" s="28" t="e">
        <f>VLOOKUP($B$3,'User Data'!$C$3:$DB$6290,29,FALSE)</f>
        <v>#N/A</v>
      </c>
      <c r="L5" s="28" t="e">
        <f>VLOOKUP($B$3,'User Data'!$C$3:$DB$6290,95,FALSE)</f>
        <v>#N/A</v>
      </c>
      <c r="M5" s="28" t="e">
        <f>VLOOKUP($B$3,'User Data'!$C$3:$DB$6290,96,FALSE)</f>
        <v>#N/A</v>
      </c>
      <c r="N5" s="28" t="e">
        <f>VLOOKUP($B$3,'User Data'!$C$3:$DB$6290,97,FALSE)</f>
        <v>#N/A</v>
      </c>
      <c r="O5" s="28" t="e">
        <f>VLOOKUP($B$3,'User Data'!$C$3:$DB$6290,98,FALSE)</f>
        <v>#N/A</v>
      </c>
      <c r="P5" s="28" t="e">
        <f>VLOOKUP($B$3,'User Data'!$C$3:$DB$6290,99,FALSE)</f>
        <v>#N/A</v>
      </c>
      <c r="Q5" s="28" t="e">
        <f>VLOOKUP($B$3,'User Data'!$C$3:$DB$6290,100,FALSE)</f>
        <v>#N/A</v>
      </c>
      <c r="R5" s="28" t="e">
        <f>VLOOKUP($B$3,'User Data'!$C$3:$DB$6290,101,FALSE)</f>
        <v>#N/A</v>
      </c>
      <c r="S5" s="28" t="e">
        <f>VLOOKUP($B$3,'User Data'!$C$3:$DB$6290,102,FALSE)</f>
        <v>#N/A</v>
      </c>
      <c r="T5" s="28" t="e">
        <f>VLOOKUP($B$3,'User Data'!$C$3:$DB$6290,103,FALSE)</f>
        <v>#N/A</v>
      </c>
      <c r="U5" s="28" t="e">
        <f>VLOOKUP($B$3,'User Data'!$C$3:$DB$6290,104,FALSE)</f>
        <v>#N/A</v>
      </c>
      <c r="V5" s="103"/>
      <c r="W5" s="103"/>
      <c r="X5" s="103"/>
      <c r="Y5" s="103"/>
      <c r="AF5" s="100"/>
      <c r="AG5" s="100"/>
      <c r="AH5" s="100"/>
    </row>
    <row r="6" spans="1:34" x14ac:dyDescent="0.2">
      <c r="A6" s="25"/>
      <c r="B6" s="26"/>
      <c r="C6" s="26"/>
      <c r="D6" s="26"/>
      <c r="E6" s="26"/>
      <c r="F6" s="26"/>
      <c r="G6" s="26"/>
      <c r="H6" s="26"/>
      <c r="I6" s="26"/>
      <c r="J6" s="26"/>
      <c r="K6" s="26"/>
      <c r="L6" s="26"/>
      <c r="M6" s="26"/>
      <c r="N6" s="26"/>
      <c r="O6" s="26"/>
      <c r="P6" s="26"/>
      <c r="Q6" s="26"/>
      <c r="R6" s="26"/>
      <c r="S6" s="26"/>
      <c r="T6" s="26"/>
      <c r="U6" s="26"/>
      <c r="V6" s="26"/>
      <c r="W6" s="25"/>
    </row>
    <row r="7" spans="1:34" x14ac:dyDescent="0.2">
      <c r="A7" s="25"/>
      <c r="B7" s="25"/>
      <c r="C7" s="25"/>
      <c r="D7" s="25"/>
      <c r="E7" s="25"/>
      <c r="F7" s="25"/>
      <c r="G7" s="25"/>
      <c r="H7" s="25"/>
      <c r="I7" s="25"/>
      <c r="J7" s="25"/>
      <c r="K7" s="25"/>
      <c r="L7" s="25"/>
      <c r="M7" s="25"/>
      <c r="N7" s="25"/>
      <c r="O7" s="25"/>
      <c r="P7" s="25"/>
      <c r="Q7" s="25"/>
      <c r="R7" s="25"/>
      <c r="S7" s="25"/>
      <c r="T7" s="25"/>
      <c r="U7" s="25"/>
      <c r="V7" s="25"/>
      <c r="W7" s="25"/>
    </row>
    <row r="8" spans="1:34" x14ac:dyDescent="0.2">
      <c r="A8" s="25"/>
      <c r="B8" s="25"/>
      <c r="C8" s="25"/>
      <c r="D8" s="25"/>
      <c r="E8" s="25"/>
      <c r="F8" s="25"/>
      <c r="G8" s="25"/>
      <c r="H8" s="25"/>
      <c r="I8" s="25"/>
      <c r="J8" s="25"/>
      <c r="K8" s="25"/>
      <c r="L8" s="25"/>
      <c r="M8" s="25"/>
      <c r="N8" s="25"/>
      <c r="O8" s="25"/>
      <c r="P8" s="25"/>
      <c r="Q8" s="25"/>
      <c r="R8" s="25"/>
      <c r="S8" s="25"/>
      <c r="T8" s="25"/>
      <c r="U8" s="25"/>
      <c r="V8" s="25"/>
      <c r="W8" s="25"/>
    </row>
  </sheetData>
  <sheetProtection password="CBE0" sheet="1" objects="1" scenarios="1" selectLockedCells="1"/>
  <pageMargins left="0.7" right="0.7" top="0.75" bottom="0.75" header="0.3" footer="0.3"/>
  <pageSetup paperSize="9" scale="87" orientation="landscape" horizontalDpi="300" verticalDpi="300"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'User Data'!$C$3:$C$5574</xm:f>
          </x14:formula1>
          <xm:sqref>B3</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16"/>
  <sheetViews>
    <sheetView topLeftCell="F1" workbookViewId="0">
      <selection activeCell="O8" sqref="O8"/>
    </sheetView>
  </sheetViews>
  <sheetFormatPr defaultRowHeight="12.75" x14ac:dyDescent="0.2"/>
  <cols>
    <col min="1" max="6" width="9.140625" style="2"/>
    <col min="7" max="7" width="16.5703125" style="2" bestFit="1" customWidth="1"/>
    <col min="8" max="8" width="16.5703125" style="2" customWidth="1"/>
    <col min="9" max="9" width="9.140625" style="19"/>
    <col min="10" max="19" width="9.140625" style="2"/>
    <col min="20" max="20" width="26.85546875" style="2" bestFit="1" customWidth="1"/>
    <col min="21" max="16384" width="9.140625" style="2"/>
  </cols>
  <sheetData>
    <row r="1" spans="1:21" s="8" customFormat="1" x14ac:dyDescent="0.2">
      <c r="A1" s="8" t="s">
        <v>9</v>
      </c>
      <c r="B1" s="8" t="s">
        <v>636</v>
      </c>
      <c r="C1" s="8" t="s">
        <v>11</v>
      </c>
      <c r="D1" s="8" t="s">
        <v>12</v>
      </c>
      <c r="E1" s="8" t="s">
        <v>13</v>
      </c>
      <c r="F1" s="8" t="s">
        <v>14</v>
      </c>
      <c r="G1" s="8" t="s">
        <v>15</v>
      </c>
      <c r="I1" s="17" t="s">
        <v>634</v>
      </c>
      <c r="J1" s="8" t="s">
        <v>570</v>
      </c>
      <c r="K1" s="8" t="s">
        <v>82</v>
      </c>
      <c r="L1" s="8" t="s">
        <v>34</v>
      </c>
      <c r="M1" s="8" t="s">
        <v>628</v>
      </c>
      <c r="N1" s="8" t="s">
        <v>601</v>
      </c>
      <c r="O1" s="8" t="s">
        <v>26</v>
      </c>
      <c r="Q1" s="8" t="s">
        <v>102</v>
      </c>
      <c r="S1" s="8" t="s">
        <v>28</v>
      </c>
      <c r="T1" s="8" t="s">
        <v>24</v>
      </c>
    </row>
    <row r="2" spans="1:21" x14ac:dyDescent="0.2">
      <c r="A2" s="2" t="s">
        <v>35</v>
      </c>
      <c r="B2" s="2" t="s">
        <v>36</v>
      </c>
      <c r="C2" s="2" t="s">
        <v>37</v>
      </c>
      <c r="D2" s="2" t="s">
        <v>38</v>
      </c>
      <c r="E2" s="2" t="s">
        <v>39</v>
      </c>
      <c r="F2" s="2" t="s">
        <v>36</v>
      </c>
      <c r="G2" s="2" t="s">
        <v>638</v>
      </c>
      <c r="H2" s="2">
        <v>1</v>
      </c>
      <c r="I2" s="18" t="s">
        <v>608</v>
      </c>
      <c r="J2" s="2" t="s">
        <v>679</v>
      </c>
      <c r="K2" s="3" t="s">
        <v>36</v>
      </c>
      <c r="L2" s="2" t="s">
        <v>41</v>
      </c>
      <c r="M2" s="2" t="s">
        <v>36</v>
      </c>
      <c r="N2" s="2" t="s">
        <v>36</v>
      </c>
      <c r="O2" s="2" t="s">
        <v>42</v>
      </c>
      <c r="P2" s="2">
        <v>1</v>
      </c>
      <c r="Q2" s="2" t="s">
        <v>103</v>
      </c>
      <c r="R2" s="2">
        <v>0</v>
      </c>
      <c r="S2" s="2" t="s">
        <v>83</v>
      </c>
      <c r="T2" s="2" t="s">
        <v>565</v>
      </c>
      <c r="U2" s="2">
        <v>1</v>
      </c>
    </row>
    <row r="3" spans="1:21" x14ac:dyDescent="0.2">
      <c r="A3" s="2" t="s">
        <v>44</v>
      </c>
      <c r="B3" s="2" t="s">
        <v>45</v>
      </c>
      <c r="C3" s="2" t="s">
        <v>46</v>
      </c>
      <c r="D3" s="2" t="s">
        <v>47</v>
      </c>
      <c r="E3" s="2" t="s">
        <v>48</v>
      </c>
      <c r="F3" s="2" t="s">
        <v>45</v>
      </c>
      <c r="G3" s="2" t="s">
        <v>639</v>
      </c>
      <c r="H3" s="2">
        <v>1</v>
      </c>
      <c r="I3" s="18" t="s">
        <v>786</v>
      </c>
      <c r="J3" s="3" t="s">
        <v>40</v>
      </c>
      <c r="K3" s="3" t="s">
        <v>45</v>
      </c>
      <c r="L3" s="2" t="s">
        <v>49</v>
      </c>
      <c r="M3" s="2" t="s">
        <v>45</v>
      </c>
      <c r="N3" s="2" t="s">
        <v>45</v>
      </c>
      <c r="O3" s="2" t="s">
        <v>43</v>
      </c>
      <c r="P3" s="2">
        <v>2</v>
      </c>
      <c r="Q3" s="2" t="s">
        <v>617</v>
      </c>
      <c r="R3" s="2">
        <v>1</v>
      </c>
      <c r="S3" s="2" t="s">
        <v>84</v>
      </c>
      <c r="T3" s="2" t="s">
        <v>566</v>
      </c>
      <c r="U3" s="2">
        <v>1</v>
      </c>
    </row>
    <row r="4" spans="1:21" x14ac:dyDescent="0.2">
      <c r="A4" s="2" t="s">
        <v>51</v>
      </c>
      <c r="B4" s="2" t="s">
        <v>52</v>
      </c>
      <c r="C4" s="2" t="s">
        <v>53</v>
      </c>
      <c r="D4" s="2" t="s">
        <v>54</v>
      </c>
      <c r="E4" s="2" t="s">
        <v>52</v>
      </c>
      <c r="F4" s="2" t="s">
        <v>52</v>
      </c>
      <c r="G4" s="2" t="s">
        <v>644</v>
      </c>
      <c r="H4" s="2">
        <v>2</v>
      </c>
      <c r="I4" s="19" t="s">
        <v>52</v>
      </c>
      <c r="J4" s="3" t="s">
        <v>603</v>
      </c>
      <c r="K4" s="3"/>
      <c r="L4" s="2" t="s">
        <v>57</v>
      </c>
      <c r="N4" s="2" t="s">
        <v>52</v>
      </c>
      <c r="O4" s="2" t="s">
        <v>50</v>
      </c>
      <c r="P4" s="2">
        <v>2</v>
      </c>
      <c r="Q4" s="2" t="s">
        <v>106</v>
      </c>
      <c r="R4" s="2">
        <v>2</v>
      </c>
      <c r="S4" s="2" t="s">
        <v>85</v>
      </c>
      <c r="T4" s="2" t="s">
        <v>567</v>
      </c>
      <c r="U4" s="2">
        <v>1</v>
      </c>
    </row>
    <row r="5" spans="1:21" x14ac:dyDescent="0.2">
      <c r="A5" s="2" t="s">
        <v>59</v>
      </c>
      <c r="C5" s="2" t="s">
        <v>60</v>
      </c>
      <c r="D5" s="2" t="s">
        <v>61</v>
      </c>
      <c r="G5" s="2" t="s">
        <v>787</v>
      </c>
      <c r="H5" s="2">
        <v>1</v>
      </c>
      <c r="I5" s="2" t="s">
        <v>505</v>
      </c>
      <c r="J5" s="2" t="s">
        <v>100</v>
      </c>
      <c r="K5" s="3"/>
      <c r="N5" s="2" t="s">
        <v>633</v>
      </c>
      <c r="O5" s="2" t="s">
        <v>58</v>
      </c>
      <c r="P5" s="2">
        <v>2</v>
      </c>
      <c r="Q5" s="2" t="s">
        <v>105</v>
      </c>
      <c r="R5" s="2">
        <v>3</v>
      </c>
      <c r="S5" s="2" t="s">
        <v>86</v>
      </c>
      <c r="T5" s="2" t="s">
        <v>686</v>
      </c>
      <c r="U5" s="2">
        <v>1</v>
      </c>
    </row>
    <row r="6" spans="1:21" x14ac:dyDescent="0.2">
      <c r="A6" s="2" t="s">
        <v>64</v>
      </c>
      <c r="C6" s="2" t="s">
        <v>65</v>
      </c>
      <c r="D6" s="2" t="s">
        <v>66</v>
      </c>
      <c r="G6" s="2" t="s">
        <v>696</v>
      </c>
      <c r="H6" s="2">
        <v>1</v>
      </c>
      <c r="I6" s="2" t="s">
        <v>506</v>
      </c>
      <c r="J6" s="3" t="s">
        <v>56</v>
      </c>
      <c r="O6" s="2" t="s">
        <v>699</v>
      </c>
      <c r="P6" s="2">
        <v>3</v>
      </c>
      <c r="Q6" s="2" t="s">
        <v>618</v>
      </c>
      <c r="R6" s="2">
        <v>4</v>
      </c>
      <c r="S6" s="2" t="s">
        <v>87</v>
      </c>
      <c r="T6" s="2" t="s">
        <v>788</v>
      </c>
      <c r="U6" s="2">
        <v>1</v>
      </c>
    </row>
    <row r="7" spans="1:21" x14ac:dyDescent="0.2">
      <c r="A7" s="2" t="s">
        <v>68</v>
      </c>
      <c r="C7" s="2" t="s">
        <v>52</v>
      </c>
      <c r="D7" s="2" t="s">
        <v>69</v>
      </c>
      <c r="G7" s="2" t="s">
        <v>641</v>
      </c>
      <c r="H7" s="2">
        <v>1</v>
      </c>
      <c r="I7" s="2" t="s">
        <v>436</v>
      </c>
      <c r="J7" s="2" t="s">
        <v>98</v>
      </c>
      <c r="O7" s="2">
        <v>0</v>
      </c>
      <c r="Q7" s="2" t="s">
        <v>619</v>
      </c>
      <c r="R7" s="2">
        <v>5</v>
      </c>
      <c r="T7" s="2" t="s">
        <v>607</v>
      </c>
      <c r="U7" s="2">
        <v>2</v>
      </c>
    </row>
    <row r="8" spans="1:21" x14ac:dyDescent="0.2">
      <c r="A8" s="2" t="s">
        <v>71</v>
      </c>
      <c r="D8" s="2" t="s">
        <v>72</v>
      </c>
      <c r="G8" s="2" t="s">
        <v>607</v>
      </c>
      <c r="H8" s="2">
        <v>2</v>
      </c>
      <c r="I8" s="2" t="s">
        <v>146</v>
      </c>
      <c r="J8" s="3" t="s">
        <v>63</v>
      </c>
      <c r="Q8" s="2" t="s">
        <v>104</v>
      </c>
      <c r="R8" s="2">
        <v>6</v>
      </c>
      <c r="T8" s="2" t="s">
        <v>539</v>
      </c>
      <c r="U8" s="2">
        <v>3</v>
      </c>
    </row>
    <row r="9" spans="1:21" x14ac:dyDescent="0.2">
      <c r="A9" s="2" t="s">
        <v>73</v>
      </c>
      <c r="D9" s="2" t="s">
        <v>74</v>
      </c>
      <c r="G9" s="2" t="s">
        <v>698</v>
      </c>
      <c r="H9" s="2">
        <v>1</v>
      </c>
      <c r="I9" s="2" t="s">
        <v>211</v>
      </c>
      <c r="J9" s="2" t="s">
        <v>99</v>
      </c>
      <c r="Q9" s="2" t="s">
        <v>620</v>
      </c>
      <c r="R9" s="2">
        <v>7</v>
      </c>
      <c r="T9" s="2" t="s">
        <v>540</v>
      </c>
      <c r="U9" s="2">
        <v>3</v>
      </c>
    </row>
    <row r="10" spans="1:21" x14ac:dyDescent="0.2">
      <c r="A10" s="2" t="s">
        <v>75</v>
      </c>
      <c r="D10" s="2" t="s">
        <v>65</v>
      </c>
      <c r="G10" s="2" t="s">
        <v>62</v>
      </c>
      <c r="H10" s="2">
        <v>2</v>
      </c>
      <c r="I10" s="2" t="s">
        <v>507</v>
      </c>
      <c r="J10" s="2" t="s">
        <v>101</v>
      </c>
      <c r="Q10" s="2" t="s">
        <v>621</v>
      </c>
      <c r="R10" s="2">
        <v>8</v>
      </c>
      <c r="T10" s="2" t="s">
        <v>685</v>
      </c>
      <c r="U10" s="2">
        <v>1</v>
      </c>
    </row>
    <row r="11" spans="1:21" x14ac:dyDescent="0.2">
      <c r="A11" s="2" t="s">
        <v>76</v>
      </c>
      <c r="D11" s="2" t="s">
        <v>52</v>
      </c>
      <c r="G11" s="2" t="s">
        <v>643</v>
      </c>
      <c r="H11" s="2">
        <v>2</v>
      </c>
      <c r="I11" s="2" t="s">
        <v>508</v>
      </c>
      <c r="J11" s="2" t="s">
        <v>70</v>
      </c>
      <c r="T11" s="2" t="s">
        <v>56</v>
      </c>
      <c r="U11" s="2">
        <v>3</v>
      </c>
    </row>
    <row r="12" spans="1:21" x14ac:dyDescent="0.2">
      <c r="A12" s="2" t="s">
        <v>77</v>
      </c>
      <c r="G12" s="2" t="s">
        <v>65</v>
      </c>
      <c r="H12" s="2">
        <v>2</v>
      </c>
      <c r="I12" s="2" t="s">
        <v>437</v>
      </c>
      <c r="J12" s="3" t="s">
        <v>604</v>
      </c>
      <c r="T12" s="2" t="s">
        <v>541</v>
      </c>
      <c r="U12" s="2">
        <v>2</v>
      </c>
    </row>
    <row r="13" spans="1:21" x14ac:dyDescent="0.2">
      <c r="A13" s="2" t="s">
        <v>78</v>
      </c>
      <c r="G13" s="2" t="s">
        <v>602</v>
      </c>
      <c r="H13" s="2">
        <v>2</v>
      </c>
      <c r="I13" s="2" t="s">
        <v>244</v>
      </c>
      <c r="T13" s="2" t="s">
        <v>65</v>
      </c>
      <c r="U13" s="2">
        <v>2</v>
      </c>
    </row>
    <row r="14" spans="1:21" x14ac:dyDescent="0.2">
      <c r="A14" s="2" t="s">
        <v>79</v>
      </c>
      <c r="G14" s="2" t="s">
        <v>67</v>
      </c>
      <c r="H14" s="2">
        <v>2</v>
      </c>
      <c r="I14" s="2" t="s">
        <v>405</v>
      </c>
      <c r="T14" s="2" t="s">
        <v>687</v>
      </c>
      <c r="U14" s="2">
        <v>1</v>
      </c>
    </row>
    <row r="15" spans="1:21" x14ac:dyDescent="0.2">
      <c r="A15" s="2" t="s">
        <v>80</v>
      </c>
      <c r="G15" s="2" t="s">
        <v>697</v>
      </c>
      <c r="H15" s="2">
        <v>2</v>
      </c>
      <c r="I15" s="2" t="s">
        <v>382</v>
      </c>
      <c r="T15" s="2" t="s">
        <v>700</v>
      </c>
      <c r="U15" s="2">
        <v>3</v>
      </c>
    </row>
    <row r="16" spans="1:21" x14ac:dyDescent="0.2">
      <c r="A16" s="2" t="s">
        <v>65</v>
      </c>
      <c r="G16" s="2" t="s">
        <v>642</v>
      </c>
      <c r="H16" s="2">
        <v>1</v>
      </c>
      <c r="I16" s="2" t="s">
        <v>330</v>
      </c>
    </row>
    <row r="17" spans="1:9" x14ac:dyDescent="0.2">
      <c r="A17" s="2" t="s">
        <v>52</v>
      </c>
      <c r="G17" s="2" t="s">
        <v>538</v>
      </c>
      <c r="H17" s="2">
        <v>2</v>
      </c>
      <c r="I17" s="2" t="s">
        <v>350</v>
      </c>
    </row>
    <row r="18" spans="1:9" x14ac:dyDescent="0.2">
      <c r="G18" s="2" t="s">
        <v>70</v>
      </c>
      <c r="H18" s="2">
        <v>2</v>
      </c>
      <c r="I18" s="2" t="s">
        <v>351</v>
      </c>
    </row>
    <row r="19" spans="1:9" x14ac:dyDescent="0.2">
      <c r="G19" s="2" t="s">
        <v>785</v>
      </c>
      <c r="H19" s="2">
        <v>1</v>
      </c>
      <c r="I19" s="2" t="s">
        <v>196</v>
      </c>
    </row>
    <row r="20" spans="1:9" x14ac:dyDescent="0.2">
      <c r="G20" s="2" t="s">
        <v>55</v>
      </c>
      <c r="H20" s="2">
        <v>1</v>
      </c>
      <c r="I20" s="2" t="s">
        <v>147</v>
      </c>
    </row>
    <row r="21" spans="1:9" x14ac:dyDescent="0.2">
      <c r="I21" s="2" t="s">
        <v>298</v>
      </c>
    </row>
    <row r="22" spans="1:9" x14ac:dyDescent="0.2">
      <c r="I22" s="2" t="s">
        <v>393</v>
      </c>
    </row>
    <row r="23" spans="1:9" x14ac:dyDescent="0.2">
      <c r="I23" s="2" t="s">
        <v>245</v>
      </c>
    </row>
    <row r="24" spans="1:9" x14ac:dyDescent="0.2">
      <c r="I24" s="2" t="s">
        <v>443</v>
      </c>
    </row>
    <row r="25" spans="1:9" x14ac:dyDescent="0.2">
      <c r="I25" s="2" t="s">
        <v>285</v>
      </c>
    </row>
    <row r="26" spans="1:9" x14ac:dyDescent="0.2">
      <c r="I26" s="2" t="s">
        <v>352</v>
      </c>
    </row>
    <row r="27" spans="1:9" x14ac:dyDescent="0.2">
      <c r="I27" s="2" t="s">
        <v>271</v>
      </c>
    </row>
    <row r="28" spans="1:9" x14ac:dyDescent="0.2">
      <c r="I28" s="2" t="s">
        <v>220</v>
      </c>
    </row>
    <row r="29" spans="1:9" x14ac:dyDescent="0.2">
      <c r="I29" s="2" t="s">
        <v>139</v>
      </c>
    </row>
    <row r="30" spans="1:9" x14ac:dyDescent="0.2">
      <c r="I30" s="2" t="s">
        <v>140</v>
      </c>
    </row>
    <row r="31" spans="1:9" x14ac:dyDescent="0.2">
      <c r="I31" s="2" t="s">
        <v>501</v>
      </c>
    </row>
    <row r="32" spans="1:9" x14ac:dyDescent="0.2">
      <c r="I32" s="2" t="s">
        <v>212</v>
      </c>
    </row>
    <row r="33" spans="9:9" x14ac:dyDescent="0.2">
      <c r="I33" s="2" t="s">
        <v>153</v>
      </c>
    </row>
    <row r="34" spans="9:9" x14ac:dyDescent="0.2">
      <c r="I34" s="2" t="s">
        <v>228</v>
      </c>
    </row>
    <row r="35" spans="9:9" x14ac:dyDescent="0.2">
      <c r="I35" s="2" t="s">
        <v>444</v>
      </c>
    </row>
    <row r="36" spans="9:9" x14ac:dyDescent="0.2">
      <c r="I36" s="2" t="s">
        <v>369</v>
      </c>
    </row>
    <row r="37" spans="9:9" x14ac:dyDescent="0.2">
      <c r="I37" s="2" t="s">
        <v>201</v>
      </c>
    </row>
    <row r="38" spans="9:9" x14ac:dyDescent="0.2">
      <c r="I38" s="2" t="s">
        <v>299</v>
      </c>
    </row>
    <row r="39" spans="9:9" x14ac:dyDescent="0.2">
      <c r="I39" s="2" t="s">
        <v>322</v>
      </c>
    </row>
    <row r="40" spans="9:9" x14ac:dyDescent="0.2">
      <c r="I40" s="2" t="s">
        <v>353</v>
      </c>
    </row>
    <row r="41" spans="9:9" x14ac:dyDescent="0.2">
      <c r="I41" s="2" t="s">
        <v>300</v>
      </c>
    </row>
    <row r="42" spans="9:9" x14ac:dyDescent="0.2">
      <c r="I42" s="2" t="s">
        <v>495</v>
      </c>
    </row>
    <row r="43" spans="9:9" x14ac:dyDescent="0.2">
      <c r="I43" s="2" t="s">
        <v>370</v>
      </c>
    </row>
    <row r="44" spans="9:9" x14ac:dyDescent="0.2">
      <c r="I44" s="2" t="s">
        <v>445</v>
      </c>
    </row>
    <row r="45" spans="9:9" x14ac:dyDescent="0.2">
      <c r="I45" s="2" t="s">
        <v>323</v>
      </c>
    </row>
    <row r="46" spans="9:9" x14ac:dyDescent="0.2">
      <c r="I46" s="2" t="s">
        <v>354</v>
      </c>
    </row>
    <row r="47" spans="9:9" x14ac:dyDescent="0.2">
      <c r="I47" s="2" t="s">
        <v>279</v>
      </c>
    </row>
    <row r="48" spans="9:9" x14ac:dyDescent="0.2">
      <c r="I48" s="2" t="s">
        <v>311</v>
      </c>
    </row>
    <row r="49" spans="9:9" x14ac:dyDescent="0.2">
      <c r="I49" s="2" t="s">
        <v>246</v>
      </c>
    </row>
    <row r="50" spans="9:9" x14ac:dyDescent="0.2">
      <c r="I50" s="2" t="s">
        <v>381</v>
      </c>
    </row>
    <row r="51" spans="9:9" x14ac:dyDescent="0.2">
      <c r="I51" s="2" t="s">
        <v>164</v>
      </c>
    </row>
    <row r="52" spans="9:9" x14ac:dyDescent="0.2">
      <c r="I52" s="2" t="s">
        <v>154</v>
      </c>
    </row>
    <row r="53" spans="9:9" x14ac:dyDescent="0.2">
      <c r="I53" s="2" t="s">
        <v>500</v>
      </c>
    </row>
    <row r="54" spans="9:9" x14ac:dyDescent="0.2">
      <c r="I54" s="2" t="s">
        <v>202</v>
      </c>
    </row>
    <row r="55" spans="9:9" x14ac:dyDescent="0.2">
      <c r="I55" s="2" t="s">
        <v>292</v>
      </c>
    </row>
    <row r="56" spans="9:9" x14ac:dyDescent="0.2">
      <c r="I56" s="2" t="s">
        <v>291</v>
      </c>
    </row>
    <row r="57" spans="9:9" x14ac:dyDescent="0.2">
      <c r="I57" s="2" t="s">
        <v>336</v>
      </c>
    </row>
    <row r="58" spans="9:9" x14ac:dyDescent="0.2">
      <c r="I58" s="2" t="s">
        <v>256</v>
      </c>
    </row>
    <row r="59" spans="9:9" x14ac:dyDescent="0.2">
      <c r="I59" s="2" t="s">
        <v>406</v>
      </c>
    </row>
    <row r="60" spans="9:9" x14ac:dyDescent="0.2">
      <c r="I60" s="2" t="s">
        <v>497</v>
      </c>
    </row>
    <row r="61" spans="9:9" x14ac:dyDescent="0.2">
      <c r="I61" s="2" t="s">
        <v>148</v>
      </c>
    </row>
    <row r="62" spans="9:9" x14ac:dyDescent="0.2">
      <c r="I62" s="2" t="s">
        <v>492</v>
      </c>
    </row>
    <row r="63" spans="9:9" x14ac:dyDescent="0.2">
      <c r="I63" s="2" t="s">
        <v>301</v>
      </c>
    </row>
    <row r="64" spans="9:9" x14ac:dyDescent="0.2">
      <c r="I64" s="2" t="s">
        <v>286</v>
      </c>
    </row>
    <row r="65" spans="9:9" x14ac:dyDescent="0.2">
      <c r="I65" s="2" t="s">
        <v>490</v>
      </c>
    </row>
    <row r="66" spans="9:9" x14ac:dyDescent="0.2">
      <c r="I66" s="2" t="s">
        <v>221</v>
      </c>
    </row>
    <row r="67" spans="9:9" x14ac:dyDescent="0.2">
      <c r="I67" s="2" t="s">
        <v>302</v>
      </c>
    </row>
    <row r="68" spans="9:9" x14ac:dyDescent="0.2">
      <c r="I68" s="2" t="s">
        <v>471</v>
      </c>
    </row>
    <row r="69" spans="9:9" x14ac:dyDescent="0.2">
      <c r="I69" s="2" t="s">
        <v>418</v>
      </c>
    </row>
    <row r="70" spans="9:9" x14ac:dyDescent="0.2">
      <c r="I70" s="2" t="s">
        <v>141</v>
      </c>
    </row>
    <row r="71" spans="9:9" x14ac:dyDescent="0.2">
      <c r="I71" s="2" t="s">
        <v>142</v>
      </c>
    </row>
    <row r="72" spans="9:9" x14ac:dyDescent="0.2">
      <c r="I72" s="2" t="s">
        <v>213</v>
      </c>
    </row>
    <row r="73" spans="9:9" x14ac:dyDescent="0.2">
      <c r="I73" s="2" t="s">
        <v>438</v>
      </c>
    </row>
    <row r="74" spans="9:9" x14ac:dyDescent="0.2">
      <c r="I74" s="2" t="s">
        <v>383</v>
      </c>
    </row>
    <row r="75" spans="9:9" x14ac:dyDescent="0.2">
      <c r="I75" s="2" t="s">
        <v>165</v>
      </c>
    </row>
    <row r="76" spans="9:9" x14ac:dyDescent="0.2">
      <c r="I76" s="2" t="s">
        <v>464</v>
      </c>
    </row>
    <row r="77" spans="9:9" x14ac:dyDescent="0.2">
      <c r="I77" s="2" t="s">
        <v>516</v>
      </c>
    </row>
    <row r="78" spans="9:9" x14ac:dyDescent="0.2">
      <c r="I78" s="2" t="s">
        <v>337</v>
      </c>
    </row>
    <row r="79" spans="9:9" x14ac:dyDescent="0.2">
      <c r="I79" s="2" t="s">
        <v>509</v>
      </c>
    </row>
    <row r="80" spans="9:9" x14ac:dyDescent="0.2">
      <c r="I80" s="2" t="s">
        <v>303</v>
      </c>
    </row>
    <row r="81" spans="9:9" x14ac:dyDescent="0.2">
      <c r="I81" s="2" t="s">
        <v>485</v>
      </c>
    </row>
    <row r="82" spans="9:9" x14ac:dyDescent="0.2">
      <c r="I82" s="2" t="s">
        <v>149</v>
      </c>
    </row>
    <row r="83" spans="9:9" x14ac:dyDescent="0.2">
      <c r="I83" s="2" t="s">
        <v>236</v>
      </c>
    </row>
    <row r="84" spans="9:9" x14ac:dyDescent="0.2">
      <c r="I84" s="2" t="s">
        <v>446</v>
      </c>
    </row>
    <row r="85" spans="9:9" x14ac:dyDescent="0.2">
      <c r="I85" s="2" t="s">
        <v>472</v>
      </c>
    </row>
    <row r="86" spans="9:9" x14ac:dyDescent="0.2">
      <c r="I86" s="2" t="s">
        <v>126</v>
      </c>
    </row>
    <row r="87" spans="9:9" x14ac:dyDescent="0.2">
      <c r="I87" s="2" t="s">
        <v>272</v>
      </c>
    </row>
    <row r="88" spans="9:9" x14ac:dyDescent="0.2">
      <c r="I88" s="2" t="s">
        <v>188</v>
      </c>
    </row>
    <row r="89" spans="9:9" x14ac:dyDescent="0.2">
      <c r="I89" s="2" t="s">
        <v>439</v>
      </c>
    </row>
    <row r="90" spans="9:9" x14ac:dyDescent="0.2">
      <c r="I90" s="2" t="s">
        <v>355</v>
      </c>
    </row>
    <row r="91" spans="9:9" x14ac:dyDescent="0.2">
      <c r="I91" s="2" t="s">
        <v>145</v>
      </c>
    </row>
    <row r="92" spans="9:9" x14ac:dyDescent="0.2">
      <c r="I92" s="2" t="s">
        <v>312</v>
      </c>
    </row>
    <row r="93" spans="9:9" x14ac:dyDescent="0.2">
      <c r="I93" s="2" t="s">
        <v>127</v>
      </c>
    </row>
    <row r="94" spans="9:9" x14ac:dyDescent="0.2">
      <c r="I94" s="2" t="s">
        <v>407</v>
      </c>
    </row>
    <row r="95" spans="9:9" x14ac:dyDescent="0.2">
      <c r="I95" s="2" t="s">
        <v>237</v>
      </c>
    </row>
    <row r="96" spans="9:9" x14ac:dyDescent="0.2">
      <c r="I96" s="2" t="s">
        <v>486</v>
      </c>
    </row>
    <row r="97" spans="9:9" x14ac:dyDescent="0.2">
      <c r="I97" s="2" t="s">
        <v>206</v>
      </c>
    </row>
    <row r="98" spans="9:9" x14ac:dyDescent="0.2">
      <c r="I98" s="2" t="s">
        <v>210</v>
      </c>
    </row>
    <row r="99" spans="9:9" x14ac:dyDescent="0.2">
      <c r="I99" s="2" t="s">
        <v>214</v>
      </c>
    </row>
    <row r="100" spans="9:9" x14ac:dyDescent="0.2">
      <c r="I100" s="2" t="s">
        <v>454</v>
      </c>
    </row>
    <row r="101" spans="9:9" x14ac:dyDescent="0.2">
      <c r="I101" s="2" t="s">
        <v>197</v>
      </c>
    </row>
    <row r="102" spans="9:9" x14ac:dyDescent="0.2">
      <c r="I102" s="2" t="s">
        <v>463</v>
      </c>
    </row>
    <row r="103" spans="9:9" x14ac:dyDescent="0.2">
      <c r="I103" s="2" t="s">
        <v>408</v>
      </c>
    </row>
    <row r="104" spans="9:9" x14ac:dyDescent="0.2">
      <c r="I104" s="2" t="s">
        <v>273</v>
      </c>
    </row>
    <row r="105" spans="9:9" x14ac:dyDescent="0.2">
      <c r="I105" s="2" t="s">
        <v>510</v>
      </c>
    </row>
    <row r="106" spans="9:9" x14ac:dyDescent="0.2">
      <c r="I106" s="2" t="s">
        <v>511</v>
      </c>
    </row>
    <row r="107" spans="9:9" x14ac:dyDescent="0.2">
      <c r="I107" s="2" t="s">
        <v>356</v>
      </c>
    </row>
    <row r="108" spans="9:9" x14ac:dyDescent="0.2">
      <c r="I108" s="2" t="s">
        <v>512</v>
      </c>
    </row>
    <row r="109" spans="9:9" x14ac:dyDescent="0.2">
      <c r="I109" s="2" t="s">
        <v>293</v>
      </c>
    </row>
    <row r="110" spans="9:9" x14ac:dyDescent="0.2">
      <c r="I110" s="2" t="s">
        <v>455</v>
      </c>
    </row>
    <row r="111" spans="9:9" x14ac:dyDescent="0.2">
      <c r="I111" s="2" t="s">
        <v>465</v>
      </c>
    </row>
    <row r="112" spans="9:9" x14ac:dyDescent="0.2">
      <c r="I112" s="2" t="s">
        <v>513</v>
      </c>
    </row>
    <row r="113" spans="9:9" x14ac:dyDescent="0.2">
      <c r="I113" s="2" t="s">
        <v>394</v>
      </c>
    </row>
    <row r="114" spans="9:9" x14ac:dyDescent="0.2">
      <c r="I114" s="2" t="s">
        <v>313</v>
      </c>
    </row>
    <row r="115" spans="9:9" x14ac:dyDescent="0.2">
      <c r="I115" s="2" t="s">
        <v>229</v>
      </c>
    </row>
    <row r="116" spans="9:9" x14ac:dyDescent="0.2">
      <c r="I116" s="2" t="s">
        <v>514</v>
      </c>
    </row>
    <row r="117" spans="9:9" x14ac:dyDescent="0.2">
      <c r="I117" s="2" t="s">
        <v>238</v>
      </c>
    </row>
    <row r="118" spans="9:9" x14ac:dyDescent="0.2">
      <c r="I118" s="2" t="s">
        <v>515</v>
      </c>
    </row>
    <row r="119" spans="9:9" x14ac:dyDescent="0.2">
      <c r="I119" s="2" t="s">
        <v>182</v>
      </c>
    </row>
    <row r="120" spans="9:9" x14ac:dyDescent="0.2">
      <c r="I120" s="2" t="s">
        <v>257</v>
      </c>
    </row>
    <row r="121" spans="9:9" x14ac:dyDescent="0.2">
      <c r="I121" s="2" t="s">
        <v>386</v>
      </c>
    </row>
    <row r="122" spans="9:9" x14ac:dyDescent="0.2">
      <c r="I122" s="2" t="s">
        <v>387</v>
      </c>
    </row>
    <row r="123" spans="9:9" x14ac:dyDescent="0.2">
      <c r="I123" s="2" t="s">
        <v>395</v>
      </c>
    </row>
    <row r="124" spans="9:9" x14ac:dyDescent="0.2">
      <c r="I124" s="2" t="s">
        <v>150</v>
      </c>
    </row>
    <row r="125" spans="9:9" x14ac:dyDescent="0.2">
      <c r="I125" s="2" t="s">
        <v>517</v>
      </c>
    </row>
    <row r="126" spans="9:9" x14ac:dyDescent="0.2">
      <c r="I126" s="2" t="s">
        <v>424</v>
      </c>
    </row>
    <row r="127" spans="9:9" x14ac:dyDescent="0.2">
      <c r="I127" s="2" t="s">
        <v>357</v>
      </c>
    </row>
    <row r="128" spans="9:9" x14ac:dyDescent="0.2">
      <c r="I128" s="2" t="s">
        <v>304</v>
      </c>
    </row>
    <row r="129" spans="9:9" x14ac:dyDescent="0.2">
      <c r="I129" s="2" t="s">
        <v>425</v>
      </c>
    </row>
    <row r="130" spans="9:9" x14ac:dyDescent="0.2">
      <c r="I130" s="2" t="s">
        <v>215</v>
      </c>
    </row>
    <row r="131" spans="9:9" x14ac:dyDescent="0.2">
      <c r="I131" s="2" t="s">
        <v>297</v>
      </c>
    </row>
    <row r="132" spans="9:9" x14ac:dyDescent="0.2">
      <c r="I132" s="2" t="s">
        <v>456</v>
      </c>
    </row>
    <row r="133" spans="9:9" x14ac:dyDescent="0.2">
      <c r="I133" s="2" t="s">
        <v>518</v>
      </c>
    </row>
    <row r="134" spans="9:9" x14ac:dyDescent="0.2">
      <c r="I134" s="2" t="s">
        <v>396</v>
      </c>
    </row>
    <row r="135" spans="9:9" x14ac:dyDescent="0.2">
      <c r="I135" s="2" t="s">
        <v>294</v>
      </c>
    </row>
    <row r="136" spans="9:9" x14ac:dyDescent="0.2">
      <c r="I136" s="2" t="s">
        <v>519</v>
      </c>
    </row>
    <row r="137" spans="9:9" x14ac:dyDescent="0.2">
      <c r="I137" s="2" t="s">
        <v>487</v>
      </c>
    </row>
    <row r="138" spans="9:9" ht="15" x14ac:dyDescent="0.2">
      <c r="I138" s="2" t="s">
        <v>537</v>
      </c>
    </row>
    <row r="139" spans="9:9" x14ac:dyDescent="0.2">
      <c r="I139" s="2" t="s">
        <v>473</v>
      </c>
    </row>
    <row r="140" spans="9:9" x14ac:dyDescent="0.2">
      <c r="I140" s="2" t="s">
        <v>166</v>
      </c>
    </row>
    <row r="141" spans="9:9" x14ac:dyDescent="0.2">
      <c r="I141" s="2" t="s">
        <v>134</v>
      </c>
    </row>
    <row r="142" spans="9:9" x14ac:dyDescent="0.2">
      <c r="I142" s="2" t="s">
        <v>247</v>
      </c>
    </row>
    <row r="143" spans="9:9" x14ac:dyDescent="0.2">
      <c r="I143" s="2" t="s">
        <v>520</v>
      </c>
    </row>
    <row r="144" spans="9:9" x14ac:dyDescent="0.2">
      <c r="I144" s="2" t="s">
        <v>474</v>
      </c>
    </row>
    <row r="145" spans="9:9" x14ac:dyDescent="0.2">
      <c r="I145" s="2" t="s">
        <v>470</v>
      </c>
    </row>
    <row r="146" spans="9:9" x14ac:dyDescent="0.2">
      <c r="I146" s="2" t="s">
        <v>397</v>
      </c>
    </row>
    <row r="147" spans="9:9" x14ac:dyDescent="0.2">
      <c r="I147" s="2" t="s">
        <v>409</v>
      </c>
    </row>
    <row r="148" spans="9:9" x14ac:dyDescent="0.2">
      <c r="I148" s="2" t="s">
        <v>324</v>
      </c>
    </row>
    <row r="149" spans="9:9" x14ac:dyDescent="0.2">
      <c r="I149" s="2" t="s">
        <v>152</v>
      </c>
    </row>
    <row r="150" spans="9:9" x14ac:dyDescent="0.2">
      <c r="I150" s="2" t="s">
        <v>358</v>
      </c>
    </row>
    <row r="151" spans="9:9" x14ac:dyDescent="0.2">
      <c r="I151" s="2" t="s">
        <v>426</v>
      </c>
    </row>
    <row r="152" spans="9:9" x14ac:dyDescent="0.2">
      <c r="I152" s="2" t="s">
        <v>484</v>
      </c>
    </row>
    <row r="153" spans="9:9" x14ac:dyDescent="0.2">
      <c r="I153" s="2" t="s">
        <v>338</v>
      </c>
    </row>
    <row r="154" spans="9:9" x14ac:dyDescent="0.2">
      <c r="I154" s="2" t="s">
        <v>143</v>
      </c>
    </row>
    <row r="155" spans="9:9" x14ac:dyDescent="0.2">
      <c r="I155" s="2" t="s">
        <v>189</v>
      </c>
    </row>
    <row r="156" spans="9:9" x14ac:dyDescent="0.2">
      <c r="I156" s="2" t="s">
        <v>339</v>
      </c>
    </row>
    <row r="157" spans="9:9" x14ac:dyDescent="0.2">
      <c r="I157" s="2" t="s">
        <v>392</v>
      </c>
    </row>
    <row r="158" spans="9:9" x14ac:dyDescent="0.2">
      <c r="I158" s="2" t="s">
        <v>222</v>
      </c>
    </row>
    <row r="159" spans="9:9" x14ac:dyDescent="0.2">
      <c r="I159" s="2" t="s">
        <v>340</v>
      </c>
    </row>
    <row r="160" spans="9:9" x14ac:dyDescent="0.2">
      <c r="I160" s="2" t="s">
        <v>305</v>
      </c>
    </row>
    <row r="161" spans="9:9" x14ac:dyDescent="0.2">
      <c r="I161" s="2" t="s">
        <v>190</v>
      </c>
    </row>
    <row r="162" spans="9:9" x14ac:dyDescent="0.2">
      <c r="I162" s="2" t="s">
        <v>359</v>
      </c>
    </row>
    <row r="163" spans="9:9" x14ac:dyDescent="0.2">
      <c r="I163" s="2" t="s">
        <v>398</v>
      </c>
    </row>
    <row r="164" spans="9:9" x14ac:dyDescent="0.2">
      <c r="I164" s="2" t="s">
        <v>128</v>
      </c>
    </row>
    <row r="165" spans="9:9" x14ac:dyDescent="0.2">
      <c r="I165" s="2" t="s">
        <v>388</v>
      </c>
    </row>
    <row r="166" spans="9:9" x14ac:dyDescent="0.2">
      <c r="I166" s="2" t="s">
        <v>399</v>
      </c>
    </row>
    <row r="167" spans="9:9" x14ac:dyDescent="0.2">
      <c r="I167" s="2" t="s">
        <v>360</v>
      </c>
    </row>
    <row r="168" spans="9:9" x14ac:dyDescent="0.2">
      <c r="I168" s="2" t="s">
        <v>251</v>
      </c>
    </row>
    <row r="169" spans="9:9" x14ac:dyDescent="0.2">
      <c r="I169" s="2" t="s">
        <v>310</v>
      </c>
    </row>
    <row r="170" spans="9:9" x14ac:dyDescent="0.2">
      <c r="I170" s="2" t="s">
        <v>314</v>
      </c>
    </row>
    <row r="171" spans="9:9" x14ac:dyDescent="0.2">
      <c r="I171" s="2" t="s">
        <v>216</v>
      </c>
    </row>
    <row r="172" spans="9:9" x14ac:dyDescent="0.2">
      <c r="I172" s="2" t="s">
        <v>521</v>
      </c>
    </row>
    <row r="173" spans="9:9" x14ac:dyDescent="0.2">
      <c r="I173" s="2" t="s">
        <v>361</v>
      </c>
    </row>
    <row r="174" spans="9:9" x14ac:dyDescent="0.2">
      <c r="I174" s="2" t="s">
        <v>223</v>
      </c>
    </row>
    <row r="175" spans="9:9" x14ac:dyDescent="0.2">
      <c r="I175" s="2" t="s">
        <v>440</v>
      </c>
    </row>
    <row r="176" spans="9:9" x14ac:dyDescent="0.2">
      <c r="I176" s="2" t="s">
        <v>362</v>
      </c>
    </row>
    <row r="177" spans="9:9" x14ac:dyDescent="0.2">
      <c r="I177" s="2" t="s">
        <v>295</v>
      </c>
    </row>
    <row r="178" spans="9:9" x14ac:dyDescent="0.2">
      <c r="I178" s="2" t="s">
        <v>167</v>
      </c>
    </row>
    <row r="179" spans="9:9" x14ac:dyDescent="0.2">
      <c r="I179" s="2" t="s">
        <v>522</v>
      </c>
    </row>
    <row r="180" spans="9:9" x14ac:dyDescent="0.2">
      <c r="I180" s="2" t="s">
        <v>331</v>
      </c>
    </row>
    <row r="181" spans="9:9" x14ac:dyDescent="0.2">
      <c r="I181" s="2" t="s">
        <v>483</v>
      </c>
    </row>
    <row r="182" spans="9:9" x14ac:dyDescent="0.2">
      <c r="I182" s="2" t="s">
        <v>371</v>
      </c>
    </row>
    <row r="183" spans="9:9" x14ac:dyDescent="0.2">
      <c r="I183" s="2" t="s">
        <v>447</v>
      </c>
    </row>
    <row r="184" spans="9:9" x14ac:dyDescent="0.2">
      <c r="I184" s="2" t="s">
        <v>341</v>
      </c>
    </row>
    <row r="185" spans="9:9" x14ac:dyDescent="0.2">
      <c r="I185" s="2" t="s">
        <v>342</v>
      </c>
    </row>
    <row r="186" spans="9:9" x14ac:dyDescent="0.2">
      <c r="I186" s="2" t="s">
        <v>404</v>
      </c>
    </row>
    <row r="187" spans="9:9" x14ac:dyDescent="0.2">
      <c r="I187" s="2" t="s">
        <v>239</v>
      </c>
    </row>
    <row r="188" spans="9:9" x14ac:dyDescent="0.2">
      <c r="I188" s="2" t="s">
        <v>325</v>
      </c>
    </row>
    <row r="189" spans="9:9" x14ac:dyDescent="0.2">
      <c r="I189" s="2" t="s">
        <v>183</v>
      </c>
    </row>
    <row r="190" spans="9:9" x14ac:dyDescent="0.2">
      <c r="I190" s="2" t="s">
        <v>363</v>
      </c>
    </row>
    <row r="191" spans="9:9" x14ac:dyDescent="0.2">
      <c r="I191" s="2" t="s">
        <v>203</v>
      </c>
    </row>
    <row r="192" spans="9:9" x14ac:dyDescent="0.2">
      <c r="I192" s="2" t="s">
        <v>177</v>
      </c>
    </row>
    <row r="193" spans="9:9" x14ac:dyDescent="0.2">
      <c r="I193" s="2" t="s">
        <v>343</v>
      </c>
    </row>
    <row r="194" spans="9:9" x14ac:dyDescent="0.2">
      <c r="I194" s="2" t="s">
        <v>163</v>
      </c>
    </row>
    <row r="195" spans="9:9" x14ac:dyDescent="0.2">
      <c r="I195" s="2" t="s">
        <v>168</v>
      </c>
    </row>
    <row r="196" spans="9:9" x14ac:dyDescent="0.2">
      <c r="I196" s="2" t="s">
        <v>204</v>
      </c>
    </row>
    <row r="197" spans="9:9" x14ac:dyDescent="0.2">
      <c r="I197" s="2" t="s">
        <v>207</v>
      </c>
    </row>
    <row r="198" spans="9:9" x14ac:dyDescent="0.2">
      <c r="I198" s="2" t="s">
        <v>219</v>
      </c>
    </row>
    <row r="199" spans="9:9" x14ac:dyDescent="0.2">
      <c r="I199" s="2" t="s">
        <v>389</v>
      </c>
    </row>
    <row r="200" spans="9:9" x14ac:dyDescent="0.2">
      <c r="I200" s="2" t="s">
        <v>344</v>
      </c>
    </row>
    <row r="201" spans="9:9" x14ac:dyDescent="0.2">
      <c r="I201" s="2" t="s">
        <v>258</v>
      </c>
    </row>
    <row r="202" spans="9:9" x14ac:dyDescent="0.2">
      <c r="I202" s="2" t="s">
        <v>230</v>
      </c>
    </row>
    <row r="203" spans="9:9" x14ac:dyDescent="0.2">
      <c r="I203" s="2" t="s">
        <v>227</v>
      </c>
    </row>
    <row r="204" spans="9:9" x14ac:dyDescent="0.2">
      <c r="I204" s="2" t="s">
        <v>178</v>
      </c>
    </row>
    <row r="205" spans="9:9" x14ac:dyDescent="0.2">
      <c r="I205" s="2" t="s">
        <v>287</v>
      </c>
    </row>
    <row r="206" spans="9:9" x14ac:dyDescent="0.2">
      <c r="I206" s="2" t="s">
        <v>410</v>
      </c>
    </row>
    <row r="207" spans="9:9" x14ac:dyDescent="0.2">
      <c r="I207" s="2" t="s">
        <v>306</v>
      </c>
    </row>
    <row r="208" spans="9:9" x14ac:dyDescent="0.2">
      <c r="I208" s="2" t="s">
        <v>280</v>
      </c>
    </row>
    <row r="209" spans="9:9" x14ac:dyDescent="0.2">
      <c r="I209" s="2" t="s">
        <v>155</v>
      </c>
    </row>
    <row r="210" spans="9:9" x14ac:dyDescent="0.2">
      <c r="I210" s="2" t="s">
        <v>248</v>
      </c>
    </row>
    <row r="211" spans="9:9" x14ac:dyDescent="0.2">
      <c r="I211" s="2" t="s">
        <v>372</v>
      </c>
    </row>
    <row r="212" spans="9:9" x14ac:dyDescent="0.2">
      <c r="I212" s="2" t="s">
        <v>224</v>
      </c>
    </row>
    <row r="213" spans="9:9" x14ac:dyDescent="0.2">
      <c r="I213" s="2" t="s">
        <v>478</v>
      </c>
    </row>
    <row r="214" spans="9:9" x14ac:dyDescent="0.2">
      <c r="I214" s="2" t="s">
        <v>176</v>
      </c>
    </row>
    <row r="215" spans="9:9" x14ac:dyDescent="0.2">
      <c r="I215" s="2" t="s">
        <v>499</v>
      </c>
    </row>
    <row r="216" spans="9:9" x14ac:dyDescent="0.2">
      <c r="I216" s="2" t="s">
        <v>364</v>
      </c>
    </row>
    <row r="217" spans="9:9" x14ac:dyDescent="0.2">
      <c r="I217" s="2" t="s">
        <v>457</v>
      </c>
    </row>
    <row r="218" spans="9:9" x14ac:dyDescent="0.2">
      <c r="I218" s="2" t="s">
        <v>332</v>
      </c>
    </row>
    <row r="219" spans="9:9" x14ac:dyDescent="0.2">
      <c r="I219" s="2" t="s">
        <v>441</v>
      </c>
    </row>
    <row r="220" spans="9:9" x14ac:dyDescent="0.2">
      <c r="I220" s="2" t="s">
        <v>129</v>
      </c>
    </row>
    <row r="221" spans="9:9" x14ac:dyDescent="0.2">
      <c r="I221" s="2" t="s">
        <v>523</v>
      </c>
    </row>
    <row r="222" spans="9:9" x14ac:dyDescent="0.2">
      <c r="I222" s="2" t="s">
        <v>373</v>
      </c>
    </row>
    <row r="223" spans="9:9" x14ac:dyDescent="0.2">
      <c r="I223" s="2" t="s">
        <v>427</v>
      </c>
    </row>
    <row r="224" spans="9:9" x14ac:dyDescent="0.2">
      <c r="I224" s="2" t="s">
        <v>503</v>
      </c>
    </row>
    <row r="225" spans="9:9" x14ac:dyDescent="0.2">
      <c r="I225" s="2" t="s">
        <v>524</v>
      </c>
    </row>
    <row r="226" spans="9:9" x14ac:dyDescent="0.2">
      <c r="I226" s="2" t="s">
        <v>494</v>
      </c>
    </row>
    <row r="227" spans="9:9" x14ac:dyDescent="0.2">
      <c r="I227" s="2" t="s">
        <v>400</v>
      </c>
    </row>
    <row r="228" spans="9:9" x14ac:dyDescent="0.2">
      <c r="I228" s="2" t="s">
        <v>249</v>
      </c>
    </row>
    <row r="229" spans="9:9" x14ac:dyDescent="0.2">
      <c r="I229" s="2" t="s">
        <v>135</v>
      </c>
    </row>
    <row r="230" spans="9:9" x14ac:dyDescent="0.2">
      <c r="I230" s="2" t="s">
        <v>259</v>
      </c>
    </row>
    <row r="231" spans="9:9" x14ac:dyDescent="0.2">
      <c r="I231" s="2" t="s">
        <v>345</v>
      </c>
    </row>
    <row r="232" spans="9:9" x14ac:dyDescent="0.2">
      <c r="I232" s="2" t="s">
        <v>504</v>
      </c>
    </row>
    <row r="233" spans="9:9" x14ac:dyDescent="0.2">
      <c r="I233" s="2" t="s">
        <v>321</v>
      </c>
    </row>
    <row r="234" spans="9:9" x14ac:dyDescent="0.2">
      <c r="I234" s="2" t="s">
        <v>525</v>
      </c>
    </row>
    <row r="235" spans="9:9" x14ac:dyDescent="0.2">
      <c r="I235" s="2" t="s">
        <v>458</v>
      </c>
    </row>
    <row r="236" spans="9:9" x14ac:dyDescent="0.2">
      <c r="I236" s="2" t="s">
        <v>466</v>
      </c>
    </row>
    <row r="237" spans="9:9" x14ac:dyDescent="0.2">
      <c r="I237" s="2" t="s">
        <v>217</v>
      </c>
    </row>
    <row r="238" spans="9:9" x14ac:dyDescent="0.2">
      <c r="I238" s="2" t="s">
        <v>184</v>
      </c>
    </row>
    <row r="239" spans="9:9" x14ac:dyDescent="0.2">
      <c r="I239" s="2" t="s">
        <v>315</v>
      </c>
    </row>
    <row r="240" spans="9:9" x14ac:dyDescent="0.2">
      <c r="I240" s="2" t="s">
        <v>231</v>
      </c>
    </row>
    <row r="241" spans="9:9" x14ac:dyDescent="0.2">
      <c r="I241" s="2" t="s">
        <v>526</v>
      </c>
    </row>
    <row r="242" spans="9:9" x14ac:dyDescent="0.2">
      <c r="I242" s="2" t="s">
        <v>185</v>
      </c>
    </row>
    <row r="243" spans="9:9" x14ac:dyDescent="0.2">
      <c r="I243" s="2" t="s">
        <v>326</v>
      </c>
    </row>
    <row r="244" spans="9:9" x14ac:dyDescent="0.2">
      <c r="I244" s="2" t="s">
        <v>448</v>
      </c>
    </row>
    <row r="245" spans="9:9" x14ac:dyDescent="0.2">
      <c r="I245" s="2" t="s">
        <v>136</v>
      </c>
    </row>
    <row r="246" spans="9:9" x14ac:dyDescent="0.2">
      <c r="I246" s="2" t="s">
        <v>265</v>
      </c>
    </row>
    <row r="247" spans="9:9" x14ac:dyDescent="0.2">
      <c r="I247" s="2" t="s">
        <v>225</v>
      </c>
    </row>
    <row r="248" spans="9:9" x14ac:dyDescent="0.2">
      <c r="I248" s="2" t="s">
        <v>187</v>
      </c>
    </row>
    <row r="249" spans="9:9" x14ac:dyDescent="0.2">
      <c r="I249" s="2" t="s">
        <v>240</v>
      </c>
    </row>
    <row r="250" spans="9:9" x14ac:dyDescent="0.2">
      <c r="I250" s="2" t="s">
        <v>235</v>
      </c>
    </row>
    <row r="251" spans="9:9" x14ac:dyDescent="0.2">
      <c r="I251" s="2" t="s">
        <v>130</v>
      </c>
    </row>
    <row r="252" spans="9:9" x14ac:dyDescent="0.2">
      <c r="I252" s="2" t="s">
        <v>327</v>
      </c>
    </row>
    <row r="253" spans="9:9" x14ac:dyDescent="0.2">
      <c r="I253" s="2" t="s">
        <v>208</v>
      </c>
    </row>
    <row r="254" spans="9:9" x14ac:dyDescent="0.2">
      <c r="I254" s="2" t="s">
        <v>243</v>
      </c>
    </row>
    <row r="255" spans="9:9" x14ac:dyDescent="0.2">
      <c r="I255" s="2" t="s">
        <v>266</v>
      </c>
    </row>
    <row r="256" spans="9:9" x14ac:dyDescent="0.2">
      <c r="I256" s="2" t="s">
        <v>226</v>
      </c>
    </row>
    <row r="257" spans="9:9" x14ac:dyDescent="0.2">
      <c r="I257" s="2" t="s">
        <v>156</v>
      </c>
    </row>
    <row r="258" spans="9:9" x14ac:dyDescent="0.2">
      <c r="I258" s="2" t="s">
        <v>527</v>
      </c>
    </row>
    <row r="259" spans="9:9" x14ac:dyDescent="0.2">
      <c r="I259" s="2" t="s">
        <v>419</v>
      </c>
    </row>
    <row r="260" spans="9:9" x14ac:dyDescent="0.2">
      <c r="I260" s="2" t="s">
        <v>417</v>
      </c>
    </row>
    <row r="261" spans="9:9" x14ac:dyDescent="0.2">
      <c r="I261" s="2" t="s">
        <v>491</v>
      </c>
    </row>
    <row r="262" spans="9:9" x14ac:dyDescent="0.2">
      <c r="I262" s="2" t="s">
        <v>169</v>
      </c>
    </row>
    <row r="263" spans="9:9" x14ac:dyDescent="0.2">
      <c r="I263" s="2" t="s">
        <v>528</v>
      </c>
    </row>
    <row r="264" spans="9:9" x14ac:dyDescent="0.2">
      <c r="I264" s="2" t="s">
        <v>288</v>
      </c>
    </row>
    <row r="265" spans="9:9" x14ac:dyDescent="0.2">
      <c r="I265" s="2" t="s">
        <v>449</v>
      </c>
    </row>
    <row r="266" spans="9:9" x14ac:dyDescent="0.2">
      <c r="I266" s="2" t="s">
        <v>450</v>
      </c>
    </row>
    <row r="267" spans="9:9" x14ac:dyDescent="0.2">
      <c r="I267" s="2" t="s">
        <v>374</v>
      </c>
    </row>
    <row r="268" spans="9:9" x14ac:dyDescent="0.2">
      <c r="I268" s="2" t="s">
        <v>489</v>
      </c>
    </row>
    <row r="269" spans="9:9" x14ac:dyDescent="0.2">
      <c r="I269" s="2" t="s">
        <v>170</v>
      </c>
    </row>
    <row r="270" spans="9:9" x14ac:dyDescent="0.2">
      <c r="I270" s="2" t="s">
        <v>467</v>
      </c>
    </row>
    <row r="271" spans="9:9" x14ac:dyDescent="0.2">
      <c r="I271" s="2" t="s">
        <v>375</v>
      </c>
    </row>
    <row r="272" spans="9:9" x14ac:dyDescent="0.2">
      <c r="I272" s="2" t="s">
        <v>365</v>
      </c>
    </row>
    <row r="273" spans="9:9" x14ac:dyDescent="0.2">
      <c r="I273" s="2" t="s">
        <v>131</v>
      </c>
    </row>
    <row r="274" spans="9:9" x14ac:dyDescent="0.2">
      <c r="I274" s="2" t="s">
        <v>281</v>
      </c>
    </row>
    <row r="275" spans="9:9" x14ac:dyDescent="0.2">
      <c r="I275" s="2" t="s">
        <v>428</v>
      </c>
    </row>
    <row r="276" spans="9:9" x14ac:dyDescent="0.2">
      <c r="I276" s="2" t="s">
        <v>529</v>
      </c>
    </row>
    <row r="277" spans="9:9" x14ac:dyDescent="0.2">
      <c r="I277" s="2" t="s">
        <v>498</v>
      </c>
    </row>
    <row r="278" spans="9:9" x14ac:dyDescent="0.2">
      <c r="I278" s="2" t="s">
        <v>171</v>
      </c>
    </row>
    <row r="279" spans="9:9" x14ac:dyDescent="0.2">
      <c r="I279" s="2" t="s">
        <v>366</v>
      </c>
    </row>
    <row r="280" spans="9:9" x14ac:dyDescent="0.2">
      <c r="I280" s="2" t="s">
        <v>191</v>
      </c>
    </row>
    <row r="281" spans="9:9" x14ac:dyDescent="0.2">
      <c r="I281" s="2" t="s">
        <v>157</v>
      </c>
    </row>
    <row r="282" spans="9:9" x14ac:dyDescent="0.2">
      <c r="I282" s="2" t="s">
        <v>307</v>
      </c>
    </row>
    <row r="283" spans="9:9" x14ac:dyDescent="0.2">
      <c r="I283" s="2" t="s">
        <v>172</v>
      </c>
    </row>
    <row r="284" spans="9:9" x14ac:dyDescent="0.2">
      <c r="I284" s="2" t="s">
        <v>390</v>
      </c>
    </row>
    <row r="285" spans="9:9" x14ac:dyDescent="0.2">
      <c r="I285" s="2" t="s">
        <v>198</v>
      </c>
    </row>
    <row r="286" spans="9:9" x14ac:dyDescent="0.2">
      <c r="I286" s="2" t="s">
        <v>267</v>
      </c>
    </row>
    <row r="287" spans="9:9" x14ac:dyDescent="0.2">
      <c r="I287" s="2" t="s">
        <v>429</v>
      </c>
    </row>
    <row r="288" spans="9:9" x14ac:dyDescent="0.2">
      <c r="I288" s="2" t="s">
        <v>250</v>
      </c>
    </row>
    <row r="289" spans="9:9" x14ac:dyDescent="0.2">
      <c r="I289" s="2" t="s">
        <v>401</v>
      </c>
    </row>
    <row r="290" spans="9:9" x14ac:dyDescent="0.2">
      <c r="I290" s="2" t="s">
        <v>209</v>
      </c>
    </row>
    <row r="291" spans="9:9" x14ac:dyDescent="0.2">
      <c r="I291" s="2" t="s">
        <v>192</v>
      </c>
    </row>
    <row r="292" spans="9:9" x14ac:dyDescent="0.2">
      <c r="I292" s="2" t="s">
        <v>158</v>
      </c>
    </row>
    <row r="293" spans="9:9" x14ac:dyDescent="0.2">
      <c r="I293" s="2" t="s">
        <v>274</v>
      </c>
    </row>
    <row r="294" spans="9:9" x14ac:dyDescent="0.2">
      <c r="I294" s="2" t="s">
        <v>193</v>
      </c>
    </row>
    <row r="295" spans="9:9" x14ac:dyDescent="0.2">
      <c r="I295" s="2" t="s">
        <v>530</v>
      </c>
    </row>
    <row r="296" spans="9:9" x14ac:dyDescent="0.2">
      <c r="I296" s="2" t="s">
        <v>479</v>
      </c>
    </row>
    <row r="297" spans="9:9" x14ac:dyDescent="0.2">
      <c r="I297" s="2" t="s">
        <v>179</v>
      </c>
    </row>
    <row r="298" spans="9:9" x14ac:dyDescent="0.2">
      <c r="I298" s="2" t="s">
        <v>194</v>
      </c>
    </row>
    <row r="299" spans="9:9" x14ac:dyDescent="0.2">
      <c r="I299" s="2" t="s">
        <v>411</v>
      </c>
    </row>
    <row r="300" spans="9:9" x14ac:dyDescent="0.2">
      <c r="I300" s="2" t="s">
        <v>199</v>
      </c>
    </row>
    <row r="301" spans="9:9" x14ac:dyDescent="0.2">
      <c r="I301" s="2" t="s">
        <v>412</v>
      </c>
    </row>
    <row r="302" spans="9:9" x14ac:dyDescent="0.2">
      <c r="I302" s="2" t="s">
        <v>531</v>
      </c>
    </row>
    <row r="303" spans="9:9" x14ac:dyDescent="0.2">
      <c r="I303" s="2" t="s">
        <v>252</v>
      </c>
    </row>
    <row r="304" spans="9:9" x14ac:dyDescent="0.2">
      <c r="I304" s="2" t="s">
        <v>376</v>
      </c>
    </row>
    <row r="305" spans="9:9" x14ac:dyDescent="0.2">
      <c r="I305" s="2" t="s">
        <v>275</v>
      </c>
    </row>
    <row r="306" spans="9:9" x14ac:dyDescent="0.2">
      <c r="I306" s="2" t="s">
        <v>477</v>
      </c>
    </row>
    <row r="307" spans="9:9" x14ac:dyDescent="0.2">
      <c r="I307" s="2" t="s">
        <v>532</v>
      </c>
    </row>
    <row r="308" spans="9:9" x14ac:dyDescent="0.2">
      <c r="I308" s="2" t="s">
        <v>384</v>
      </c>
    </row>
    <row r="309" spans="9:9" x14ac:dyDescent="0.2">
      <c r="I309" s="2" t="s">
        <v>296</v>
      </c>
    </row>
    <row r="310" spans="9:9" x14ac:dyDescent="0.2">
      <c r="I310" s="2" t="s">
        <v>218</v>
      </c>
    </row>
    <row r="311" spans="9:9" x14ac:dyDescent="0.2">
      <c r="I311" s="2" t="s">
        <v>451</v>
      </c>
    </row>
    <row r="312" spans="9:9" x14ac:dyDescent="0.2">
      <c r="I312" s="2" t="s">
        <v>459</v>
      </c>
    </row>
    <row r="313" spans="9:9" x14ac:dyDescent="0.2">
      <c r="I313" s="2" t="s">
        <v>232</v>
      </c>
    </row>
    <row r="314" spans="9:9" x14ac:dyDescent="0.2">
      <c r="I314" s="2" t="s">
        <v>233</v>
      </c>
    </row>
    <row r="315" spans="9:9" x14ac:dyDescent="0.2">
      <c r="I315" s="2" t="s">
        <v>151</v>
      </c>
    </row>
    <row r="316" spans="9:9" x14ac:dyDescent="0.2">
      <c r="I316" s="2" t="s">
        <v>533</v>
      </c>
    </row>
    <row r="317" spans="9:9" x14ac:dyDescent="0.2">
      <c r="I317" s="2" t="s">
        <v>328</v>
      </c>
    </row>
    <row r="318" spans="9:9" x14ac:dyDescent="0.2">
      <c r="I318" s="2" t="s">
        <v>241</v>
      </c>
    </row>
    <row r="319" spans="9:9" x14ac:dyDescent="0.2">
      <c r="I319" s="2" t="s">
        <v>420</v>
      </c>
    </row>
    <row r="320" spans="9:9" x14ac:dyDescent="0.2">
      <c r="I320" s="2" t="s">
        <v>173</v>
      </c>
    </row>
    <row r="321" spans="9:9" x14ac:dyDescent="0.2">
      <c r="I321" s="2" t="s">
        <v>480</v>
      </c>
    </row>
    <row r="322" spans="9:9" x14ac:dyDescent="0.2">
      <c r="I322" s="2" t="s">
        <v>260</v>
      </c>
    </row>
    <row r="323" spans="9:9" x14ac:dyDescent="0.2">
      <c r="I323" s="2" t="s">
        <v>137</v>
      </c>
    </row>
    <row r="324" spans="9:9" x14ac:dyDescent="0.2">
      <c r="I324" s="2" t="s">
        <v>195</v>
      </c>
    </row>
    <row r="325" spans="9:9" x14ac:dyDescent="0.2">
      <c r="I325" s="2" t="s">
        <v>377</v>
      </c>
    </row>
    <row r="326" spans="9:9" x14ac:dyDescent="0.2">
      <c r="I326" s="2" t="s">
        <v>289</v>
      </c>
    </row>
    <row r="327" spans="9:9" x14ac:dyDescent="0.2">
      <c r="I327" s="2" t="s">
        <v>346</v>
      </c>
    </row>
    <row r="328" spans="9:9" x14ac:dyDescent="0.2">
      <c r="I328" s="2" t="s">
        <v>430</v>
      </c>
    </row>
    <row r="329" spans="9:9" x14ac:dyDescent="0.2">
      <c r="I329" s="2" t="s">
        <v>316</v>
      </c>
    </row>
    <row r="330" spans="9:9" x14ac:dyDescent="0.2">
      <c r="I330" s="2" t="s">
        <v>333</v>
      </c>
    </row>
    <row r="331" spans="9:9" x14ac:dyDescent="0.2">
      <c r="I331" s="2" t="s">
        <v>180</v>
      </c>
    </row>
    <row r="332" spans="9:9" x14ac:dyDescent="0.2">
      <c r="I332" s="2" t="s">
        <v>261</v>
      </c>
    </row>
    <row r="333" spans="9:9" x14ac:dyDescent="0.2">
      <c r="I333" s="2" t="s">
        <v>255</v>
      </c>
    </row>
    <row r="334" spans="9:9" x14ac:dyDescent="0.2">
      <c r="I334" s="2" t="s">
        <v>262</v>
      </c>
    </row>
    <row r="335" spans="9:9" x14ac:dyDescent="0.2">
      <c r="I335" s="2" t="s">
        <v>317</v>
      </c>
    </row>
    <row r="336" spans="9:9" x14ac:dyDescent="0.2">
      <c r="I336" s="2" t="s">
        <v>534</v>
      </c>
    </row>
    <row r="337" spans="9:9" x14ac:dyDescent="0.2">
      <c r="I337" s="2" t="s">
        <v>159</v>
      </c>
    </row>
    <row r="338" spans="9:9" x14ac:dyDescent="0.2">
      <c r="I338" s="2" t="s">
        <v>132</v>
      </c>
    </row>
    <row r="339" spans="9:9" x14ac:dyDescent="0.2">
      <c r="I339" s="2" t="s">
        <v>253</v>
      </c>
    </row>
    <row r="340" spans="9:9" x14ac:dyDescent="0.2">
      <c r="I340" s="2" t="s">
        <v>268</v>
      </c>
    </row>
    <row r="341" spans="9:9" x14ac:dyDescent="0.2">
      <c r="I341" s="2" t="s">
        <v>475</v>
      </c>
    </row>
    <row r="342" spans="9:9" x14ac:dyDescent="0.2">
      <c r="I342" s="2" t="s">
        <v>329</v>
      </c>
    </row>
    <row r="343" spans="9:9" x14ac:dyDescent="0.2">
      <c r="I343" s="2" t="s">
        <v>334</v>
      </c>
    </row>
    <row r="344" spans="9:9" x14ac:dyDescent="0.2">
      <c r="I344" s="2" t="s">
        <v>138</v>
      </c>
    </row>
    <row r="345" spans="9:9" x14ac:dyDescent="0.2">
      <c r="I345" s="2" t="s">
        <v>423</v>
      </c>
    </row>
    <row r="346" spans="9:9" x14ac:dyDescent="0.2">
      <c r="I346" s="2" t="s">
        <v>431</v>
      </c>
    </row>
    <row r="347" spans="9:9" x14ac:dyDescent="0.2">
      <c r="I347" s="2" t="s">
        <v>367</v>
      </c>
    </row>
    <row r="348" spans="9:9" x14ac:dyDescent="0.2">
      <c r="I348" s="2" t="s">
        <v>413</v>
      </c>
    </row>
    <row r="349" spans="9:9" x14ac:dyDescent="0.2">
      <c r="I349" s="2" t="s">
        <v>493</v>
      </c>
    </row>
    <row r="350" spans="9:9" x14ac:dyDescent="0.2">
      <c r="I350" s="2" t="s">
        <v>160</v>
      </c>
    </row>
    <row r="351" spans="9:9" x14ac:dyDescent="0.2">
      <c r="I351" s="2" t="s">
        <v>263</v>
      </c>
    </row>
    <row r="352" spans="9:9" x14ac:dyDescent="0.2">
      <c r="I352" s="2" t="s">
        <v>432</v>
      </c>
    </row>
    <row r="353" spans="9:9" x14ac:dyDescent="0.2">
      <c r="I353" s="2" t="s">
        <v>481</v>
      </c>
    </row>
    <row r="354" spans="9:9" x14ac:dyDescent="0.2">
      <c r="I354" s="2" t="s">
        <v>460</v>
      </c>
    </row>
    <row r="355" spans="9:9" x14ac:dyDescent="0.2">
      <c r="I355" s="2" t="s">
        <v>254</v>
      </c>
    </row>
    <row r="356" spans="9:9" x14ac:dyDescent="0.2">
      <c r="I356" s="2" t="s">
        <v>308</v>
      </c>
    </row>
    <row r="357" spans="9:9" x14ac:dyDescent="0.2">
      <c r="I357" s="2" t="s">
        <v>402</v>
      </c>
    </row>
    <row r="358" spans="9:9" x14ac:dyDescent="0.2">
      <c r="I358" s="2" t="s">
        <v>476</v>
      </c>
    </row>
    <row r="359" spans="9:9" x14ac:dyDescent="0.2">
      <c r="I359" s="2" t="s">
        <v>414</v>
      </c>
    </row>
    <row r="360" spans="9:9" x14ac:dyDescent="0.2">
      <c r="I360" s="2" t="s">
        <v>496</v>
      </c>
    </row>
    <row r="361" spans="9:9" x14ac:dyDescent="0.2">
      <c r="I361" s="2" t="s">
        <v>318</v>
      </c>
    </row>
    <row r="362" spans="9:9" x14ac:dyDescent="0.2">
      <c r="I362" s="2" t="s">
        <v>290</v>
      </c>
    </row>
    <row r="363" spans="9:9" x14ac:dyDescent="0.2">
      <c r="I363" s="2" t="s">
        <v>415</v>
      </c>
    </row>
    <row r="364" spans="9:9" x14ac:dyDescent="0.2">
      <c r="I364" s="2" t="s">
        <v>452</v>
      </c>
    </row>
    <row r="365" spans="9:9" x14ac:dyDescent="0.2">
      <c r="I365" s="2" t="s">
        <v>502</v>
      </c>
    </row>
    <row r="366" spans="9:9" x14ac:dyDescent="0.2">
      <c r="I366" s="2" t="s">
        <v>461</v>
      </c>
    </row>
    <row r="367" spans="9:9" x14ac:dyDescent="0.2">
      <c r="I367" s="2" t="s">
        <v>347</v>
      </c>
    </row>
    <row r="368" spans="9:9" x14ac:dyDescent="0.2">
      <c r="I368" s="2" t="s">
        <v>161</v>
      </c>
    </row>
    <row r="369" spans="9:9" x14ac:dyDescent="0.2">
      <c r="I369" s="2" t="s">
        <v>416</v>
      </c>
    </row>
    <row r="370" spans="9:9" x14ac:dyDescent="0.2">
      <c r="I370" s="2" t="s">
        <v>133</v>
      </c>
    </row>
    <row r="371" spans="9:9" x14ac:dyDescent="0.2">
      <c r="I371" s="2" t="s">
        <v>309</v>
      </c>
    </row>
    <row r="372" spans="9:9" x14ac:dyDescent="0.2">
      <c r="I372" s="2" t="s">
        <v>421</v>
      </c>
    </row>
    <row r="373" spans="9:9" x14ac:dyDescent="0.2">
      <c r="I373" s="2" t="s">
        <v>205</v>
      </c>
    </row>
    <row r="374" spans="9:9" x14ac:dyDescent="0.2">
      <c r="I374" s="2" t="s">
        <v>276</v>
      </c>
    </row>
    <row r="375" spans="9:9" x14ac:dyDescent="0.2">
      <c r="I375" s="2" t="s">
        <v>368</v>
      </c>
    </row>
    <row r="376" spans="9:9" x14ac:dyDescent="0.2">
      <c r="I376" s="2" t="s">
        <v>348</v>
      </c>
    </row>
    <row r="377" spans="9:9" x14ac:dyDescent="0.2">
      <c r="I377" s="2" t="s">
        <v>144</v>
      </c>
    </row>
    <row r="378" spans="9:9" x14ac:dyDescent="0.2">
      <c r="I378" s="2" t="s">
        <v>269</v>
      </c>
    </row>
    <row r="379" spans="9:9" x14ac:dyDescent="0.2">
      <c r="I379" s="2" t="s">
        <v>264</v>
      </c>
    </row>
    <row r="380" spans="9:9" x14ac:dyDescent="0.2">
      <c r="I380" s="2" t="s">
        <v>319</v>
      </c>
    </row>
    <row r="381" spans="9:9" x14ac:dyDescent="0.2">
      <c r="I381" s="2" t="s">
        <v>335</v>
      </c>
    </row>
    <row r="382" spans="9:9" x14ac:dyDescent="0.2">
      <c r="I382" s="2" t="s">
        <v>433</v>
      </c>
    </row>
    <row r="383" spans="9:9" x14ac:dyDescent="0.2">
      <c r="I383" s="2" t="s">
        <v>391</v>
      </c>
    </row>
    <row r="384" spans="9:9" x14ac:dyDescent="0.2">
      <c r="I384" s="2" t="s">
        <v>242</v>
      </c>
    </row>
    <row r="385" spans="9:9" x14ac:dyDescent="0.2">
      <c r="I385" s="2" t="s">
        <v>320</v>
      </c>
    </row>
    <row r="386" spans="9:9" x14ac:dyDescent="0.2">
      <c r="I386" s="2" t="s">
        <v>378</v>
      </c>
    </row>
    <row r="387" spans="9:9" x14ac:dyDescent="0.2">
      <c r="I387" s="2" t="s">
        <v>462</v>
      </c>
    </row>
    <row r="388" spans="9:9" x14ac:dyDescent="0.2">
      <c r="I388" s="2" t="s">
        <v>468</v>
      </c>
    </row>
    <row r="389" spans="9:9" x14ac:dyDescent="0.2">
      <c r="I389" s="2" t="s">
        <v>535</v>
      </c>
    </row>
    <row r="390" spans="9:9" x14ac:dyDescent="0.2">
      <c r="I390" s="2" t="s">
        <v>174</v>
      </c>
    </row>
    <row r="391" spans="9:9" x14ac:dyDescent="0.2">
      <c r="I391" s="2" t="s">
        <v>234</v>
      </c>
    </row>
    <row r="392" spans="9:9" x14ac:dyDescent="0.2">
      <c r="I392" s="2" t="s">
        <v>536</v>
      </c>
    </row>
    <row r="393" spans="9:9" x14ac:dyDescent="0.2">
      <c r="I393" s="2" t="s">
        <v>270</v>
      </c>
    </row>
    <row r="394" spans="9:9" x14ac:dyDescent="0.2">
      <c r="I394" s="2" t="s">
        <v>422</v>
      </c>
    </row>
    <row r="395" spans="9:9" x14ac:dyDescent="0.2">
      <c r="I395" s="2" t="s">
        <v>482</v>
      </c>
    </row>
    <row r="396" spans="9:9" x14ac:dyDescent="0.2">
      <c r="I396" s="2" t="s">
        <v>435</v>
      </c>
    </row>
    <row r="397" spans="9:9" x14ac:dyDescent="0.2">
      <c r="I397" s="2" t="s">
        <v>200</v>
      </c>
    </row>
    <row r="398" spans="9:9" x14ac:dyDescent="0.2">
      <c r="I398" s="2" t="s">
        <v>349</v>
      </c>
    </row>
    <row r="399" spans="9:9" x14ac:dyDescent="0.2">
      <c r="I399" s="2" t="s">
        <v>469</v>
      </c>
    </row>
    <row r="400" spans="9:9" x14ac:dyDescent="0.2">
      <c r="I400" s="2" t="s">
        <v>162</v>
      </c>
    </row>
    <row r="401" spans="9:9" x14ac:dyDescent="0.2">
      <c r="I401" s="2" t="s">
        <v>453</v>
      </c>
    </row>
    <row r="402" spans="9:9" x14ac:dyDescent="0.2">
      <c r="I402" s="2" t="s">
        <v>403</v>
      </c>
    </row>
    <row r="403" spans="9:9" x14ac:dyDescent="0.2">
      <c r="I403" s="2" t="s">
        <v>379</v>
      </c>
    </row>
    <row r="404" spans="9:9" x14ac:dyDescent="0.2">
      <c r="I404" s="2" t="s">
        <v>181</v>
      </c>
    </row>
    <row r="405" spans="9:9" x14ac:dyDescent="0.2">
      <c r="I405" s="2" t="s">
        <v>434</v>
      </c>
    </row>
    <row r="406" spans="9:9" x14ac:dyDescent="0.2">
      <c r="I406" s="2" t="s">
        <v>380</v>
      </c>
    </row>
    <row r="407" spans="9:9" x14ac:dyDescent="0.2">
      <c r="I407" s="2" t="s">
        <v>277</v>
      </c>
    </row>
    <row r="408" spans="9:9" x14ac:dyDescent="0.2">
      <c r="I408" s="2" t="s">
        <v>282</v>
      </c>
    </row>
    <row r="409" spans="9:9" x14ac:dyDescent="0.2">
      <c r="I409" s="2" t="s">
        <v>278</v>
      </c>
    </row>
    <row r="410" spans="9:9" x14ac:dyDescent="0.2">
      <c r="I410" s="2" t="s">
        <v>442</v>
      </c>
    </row>
    <row r="411" spans="9:9" x14ac:dyDescent="0.2">
      <c r="I411" s="2" t="s">
        <v>488</v>
      </c>
    </row>
    <row r="412" spans="9:9" x14ac:dyDescent="0.2">
      <c r="I412" s="2" t="s">
        <v>283</v>
      </c>
    </row>
    <row r="413" spans="9:9" x14ac:dyDescent="0.2">
      <c r="I413" s="2" t="s">
        <v>385</v>
      </c>
    </row>
    <row r="414" spans="9:9" x14ac:dyDescent="0.2">
      <c r="I414" s="2" t="s">
        <v>175</v>
      </c>
    </row>
    <row r="415" spans="9:9" x14ac:dyDescent="0.2">
      <c r="I415" s="2" t="s">
        <v>284</v>
      </c>
    </row>
    <row r="416" spans="9:9" x14ac:dyDescent="0.2">
      <c r="I416" s="2" t="s">
        <v>186</v>
      </c>
    </row>
  </sheetData>
  <protectedRanges>
    <protectedRange password="CBE0" sqref="K2:K5 J2:J6" name="Range1"/>
  </protectedRanges>
  <sortState ref="G2:H18">
    <sortCondition ref="G2"/>
  </sortState>
  <pageMargins left="0.7" right="0.7" top="0.75" bottom="0.75" header="0.3" footer="0.3"/>
  <pageSetup paperSize="9" orientation="portrait" horizontalDpi="300"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vt:i4>
      </vt:variant>
    </vt:vector>
  </HeadingPairs>
  <TitlesOfParts>
    <vt:vector size="8" baseType="lpstr">
      <vt:lpstr>Instructions</vt:lpstr>
      <vt:lpstr>Service Data</vt:lpstr>
      <vt:lpstr>User Data</vt:lpstr>
      <vt:lpstr>Outcomes Star</vt:lpstr>
      <vt:lpstr>Lists</vt:lpstr>
      <vt:lpstr>'Outcomes Star'!Print_Area</vt:lpstr>
      <vt:lpstr>'Service Data'!Print_Area</vt:lpstr>
      <vt:lpstr>'User Data'!Print_Area</vt:lpstr>
    </vt:vector>
  </TitlesOfParts>
  <Company>SBC</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Ian Stenner</dc:creator>
  <cp:lastModifiedBy>Ian Stenner</cp:lastModifiedBy>
  <cp:lastPrinted>2016-04-29T08:45:56Z</cp:lastPrinted>
  <dcterms:created xsi:type="dcterms:W3CDTF">2015-04-07T12:41:23Z</dcterms:created>
  <dcterms:modified xsi:type="dcterms:W3CDTF">2016-08-24T11:41:25Z</dcterms:modified>
</cp:coreProperties>
</file>